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20-selection" sheetId="1" r:id="rId5"/>
    <sheet state="hidden" name="analytics" sheetId="2" r:id="rId6"/>
    <sheet state="hidden" name="salesx_all" sheetId="3" r:id="rId7"/>
  </sheets>
  <definedNames>
    <definedName hidden="1" localSheetId="0" name="_xlnm._FilterDatabase">'top-20-selection'!$A$1:$P$21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last 3 months
</t>
      </text>
    </comment>
    <comment authorId="0" ref="J1">
      <text>
        <t xml:space="preserve">last 3 months
</t>
      </text>
    </comment>
    <comment authorId="0" ref="K1">
      <text>
        <t xml:space="preserve">last 3 months
</t>
      </text>
    </comment>
    <comment authorId="0" ref="L1">
      <text>
        <t xml:space="preserve">last 3 months
</t>
      </text>
    </comment>
    <comment authorId="0" ref="M1">
      <text>
        <t xml:space="preserve">Placement 
of [Implementation Type e.g. Banner, Button, etc.]</t>
      </text>
    </comment>
    <comment authorId="0" ref="N1">
      <text>
        <t xml:space="preserve">Heatmap data - ranked by most clicks. on Clarity</t>
      </text>
    </comment>
    <comment authorId="0" ref="G2">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2">
      <text>
        <t xml:space="preserve">Based on Scroll Depth from Microsoft Clarity
</t>
      </text>
    </comment>
    <comment authorId="0" ref="O2">
      <text>
        <t xml:space="preserve">Service + &gt;100 sessions → Banner
Nav clicks → Button
Below-fold/carousel/hero clicks → Button
Text block / headings → Anchor Link ← Now checked before page type
Industry / Case Study → Button
None / empty → Banner
Default → Button</t>
      </text>
    </comment>
    <comment authorId="0" ref="G3">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3">
      <text>
        <t xml:space="preserve">Based on Scroll Depth from Microsoft Clarity
</t>
      </text>
    </comment>
    <comment authorId="0" ref="O3">
      <text>
        <t xml:space="preserve">Service + &gt;100 sessions → Banner
Nav clicks → Button
Below-fold/carousel/hero clicks → Button
Text block / headings → Anchor Link ← Now checked before page type
Industry / Case Study → Button
None / empty → Banner
Default → Button</t>
      </text>
    </comment>
    <comment authorId="0" ref="G4">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4">
      <text>
        <t xml:space="preserve">Based on Scroll Depth from Microsoft Clarity
</t>
      </text>
    </comment>
    <comment authorId="0" ref="O4">
      <text>
        <t xml:space="preserve">Service + &gt;100 sessions → Banner
Nav clicks → Button
Below-fold/carousel/hero clicks → Button
Text block / headings → Anchor Link ← Now checked before page type
Industry / Case Study → Button
None / empty → Banner
Default → Button</t>
      </text>
    </comment>
    <comment authorId="0" ref="G5">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5">
      <text>
        <t xml:space="preserve">Based on Scroll Depth from Microsoft Clarity
</t>
      </text>
    </comment>
    <comment authorId="0" ref="O5">
      <text>
        <t xml:space="preserve">Service + &gt;100 sessions → Banner
Nav clicks → Button
Below-fold/carousel/hero clicks → Button
Text block / headings → Anchor Link ← Now checked before page type
Industry / Case Study → Button
None / empty → Banner
Default → Button</t>
      </text>
    </comment>
    <comment authorId="0" ref="G6">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6">
      <text>
        <t xml:space="preserve">Based on Scroll Depth from Microsoft Clarity
</t>
      </text>
    </comment>
    <comment authorId="0" ref="O6">
      <text>
        <t xml:space="preserve">Service + &gt;100 sessions → Banner
Nav clicks → Button
Below-fold/carousel/hero clicks → Button
Text block / headings → Anchor Link ← Now checked before page type
Industry / Case Study → Button
None / empty → Banner
Default → Button</t>
      </text>
    </comment>
    <comment authorId="0" ref="G7">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7">
      <text>
        <t xml:space="preserve">Based on Scroll Depth from Microsoft Clarity
</t>
      </text>
    </comment>
    <comment authorId="0" ref="O7">
      <text>
        <t xml:space="preserve">Service + &gt;100 sessions → Banner
Nav clicks → Button
Below-fold/carousel/hero clicks → Button
Text block / headings → Anchor Link ← Now checked before page type
Industry / Case Study → Button
None / empty → Banner
Default → Button</t>
      </text>
    </comment>
    <comment authorId="0" ref="G8">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8">
      <text>
        <t xml:space="preserve">Based on Scroll Depth from Microsoft Clarity
</t>
      </text>
    </comment>
    <comment authorId="0" ref="O8">
      <text>
        <t xml:space="preserve">Service + &gt;100 sessions → Banner
Nav clicks → Button
Below-fold/carousel/hero clicks → Button
Text block / headings → Anchor Link ← Now checked before page type
Industry / Case Study → Button
None / empty → Banner
Default → Button</t>
      </text>
    </comment>
    <comment authorId="0" ref="G9">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9">
      <text>
        <t xml:space="preserve">Based on Scroll Depth from Microsoft Clarity
</t>
      </text>
    </comment>
    <comment authorId="0" ref="O9">
      <text>
        <t xml:space="preserve">Service + &gt;100 sessions → Banner
Nav clicks → Button
Below-fold/carousel/hero clicks → Button
Text block / headings → Anchor Link ← Now checked before page type
Industry / Case Study → Button
None / empty → Banner
Default → Button</t>
      </text>
    </comment>
    <comment authorId="0" ref="G10">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10">
      <text>
        <t xml:space="preserve">Based on Scroll Depth from Microsoft Clarity
</t>
      </text>
    </comment>
    <comment authorId="0" ref="O10">
      <text>
        <t xml:space="preserve">Service + &gt;100 sessions → Banner
Nav clicks → Button
Below-fold/carousel/hero clicks → Button
Text block / headings → Anchor Link ← Now checked before page type
Industry / Case Study → Button
None / empty → Banner
Default → Button</t>
      </text>
    </comment>
    <comment authorId="0" ref="G11">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11">
      <text>
        <t xml:space="preserve">Based on Scroll Depth from Microsoft Clarity
</t>
      </text>
    </comment>
    <comment authorId="0" ref="O11">
      <text>
        <t xml:space="preserve">Service + &gt;100 sessions → Banner
Nav clicks → Button
Below-fold/carousel/hero clicks → Button
Text block / headings → Anchor Link ← Now checked before page type
Industry / Case Study → Button
None / empty → Banner
Default → Button</t>
      </text>
    </comment>
    <comment authorId="0" ref="G12">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12">
      <text>
        <t xml:space="preserve">Based on Scroll Depth from Microsoft Clarity
</t>
      </text>
    </comment>
    <comment authorId="0" ref="O12">
      <text>
        <t xml:space="preserve">Service + &gt;100 sessions → Banner
Nav clicks → Button
Below-fold/carousel/hero clicks → Button
Text block / headings → Anchor Link ← Now checked before page type
Industry / Case Study → Button
None / empty → Banner
Default → Button</t>
      </text>
    </comment>
    <comment authorId="0" ref="G13">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13">
      <text>
        <t xml:space="preserve">Based on Scroll Depth from Microsoft Clarity
</t>
      </text>
    </comment>
    <comment authorId="0" ref="O13">
      <text>
        <t xml:space="preserve">Service + &gt;100 sessions → Banner
Nav clicks → Button
Below-fold/carousel/hero clicks → Button
Text block / headings → Anchor Link ← Now checked before page type
Industry / Case Study → Button
None / empty → Banner
Default → Button</t>
      </text>
    </comment>
    <comment authorId="0" ref="G14">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14">
      <text>
        <t xml:space="preserve">Based on Scroll Depth from Microsoft Clarity
</t>
      </text>
    </comment>
    <comment authorId="0" ref="O14">
      <text>
        <t xml:space="preserve">Service + &gt;100 sessions → Banner
Nav clicks → Button
Below-fold/carousel/hero clicks → Button
Text block / headings → Anchor Link ← Now checked before page type
Industry / Case Study → Button
None / empty → Banner
Default → Button</t>
      </text>
    </comment>
    <comment authorId="0" ref="G15">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15">
      <text>
        <t xml:space="preserve">Based on Scroll Depth from Microsoft Clarity
</t>
      </text>
    </comment>
    <comment authorId="0" ref="O15">
      <text>
        <t xml:space="preserve">Service + &gt;100 sessions → Banner
Nav clicks → Button
Below-fold/carousel/hero clicks → Button
Text block / headings → Anchor Link ← Now checked before page type
Industry / Case Study → Button
None / empty → Banner
Default → Button</t>
      </text>
    </comment>
    <comment authorId="0" ref="G16">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16">
      <text>
        <t xml:space="preserve">Based on Scroll Depth from Microsoft Clarity
</t>
      </text>
    </comment>
    <comment authorId="0" ref="O16">
      <text>
        <t xml:space="preserve">Service + &gt;100 sessions → Banner
Nav clicks → Button
Below-fold/carousel/hero clicks → Button
Text block / headings → Anchor Link ← Now checked before page type
Industry / Case Study → Button
None / empty → Banner
Default → Button</t>
      </text>
    </comment>
    <comment authorId="0" ref="G17">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17">
      <text>
        <t xml:space="preserve">Based on Scroll Depth from Microsoft Clarity
</t>
      </text>
    </comment>
    <comment authorId="0" ref="O17">
      <text>
        <t xml:space="preserve">Service + &gt;100 sessions → Banner
Nav clicks → Button
Below-fold/carousel/hero clicks → Button
Text block / headings → Anchor Link ← Now checked before page type
Industry / Case Study → Button
None / empty → Banner
Default → Button</t>
      </text>
    </comment>
    <comment authorId="0" ref="G18">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18">
      <text>
        <t xml:space="preserve">Based on Scroll Depth from Microsoft Clarity
</t>
      </text>
    </comment>
    <comment authorId="0" ref="O18">
      <text>
        <t xml:space="preserve">Service + &gt;100 sessions → Banner
Nav clicks → Button
Below-fold/carousel/hero clicks → Button
Text block / headings → Anchor Link ← Now checked before page type
Industry / Case Study → Button
None / empty → Banner
Default → Button</t>
      </text>
    </comment>
    <comment authorId="0" ref="G19">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19">
      <text>
        <t xml:space="preserve">Based on Scroll Depth from Microsoft Clarity
</t>
      </text>
    </comment>
    <comment authorId="0" ref="O19">
      <text>
        <t xml:space="preserve">Service + &gt;100 sessions → Banner
Nav clicks → Button
Below-fold/carousel/hero clicks → Button
Text block / headings → Anchor Link ← Now checked before page type
Industry / Case Study → Button
None / empty → Banner
Default → Button</t>
      </text>
    </comment>
    <comment authorId="0" ref="G20">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20">
      <text>
        <t xml:space="preserve">Based on Scroll Depth from Microsoft Clarity
</t>
      </text>
    </comment>
    <comment authorId="0" ref="O20">
      <text>
        <t xml:space="preserve">Service + &gt;100 sessions → Banner
Nav clicks → Button
Below-fold/carousel/hero clicks → Button
Text block / headings → Anchor Link ← Now checked before page type
Industry / Case Study → Button
None / empty → Banner
Default → Button</t>
      </text>
    </comment>
    <comment authorId="0" ref="G21">
      <text>
        <t xml:space="preserve">The score answers one question: "How likely is a user on this page to want a sales performance assessment?"
High score (75+) = They're actively looking for sales help → Banner
Medium score (60-74) = They're researching options → Button
Lower score (55-59) = They might be interested → Button or Link
</t>
      </text>
    </comment>
    <comment authorId="0" ref="M21">
      <text>
        <t xml:space="preserve">Based on Scroll Depth from Microsoft Clarity
</t>
      </text>
    </comment>
    <comment authorId="0" ref="O21">
      <text>
        <t xml:space="preserve">Service + &gt;100 sessions → Banner
Nav clicks → Button
Below-fold/carousel/hero clicks → Button
Text block / headings → Anchor Link ← Now checked before page type
Industry / Case Study → Button
None / empty → Banner
Default → Button</t>
      </text>
    </comment>
  </commentList>
</comments>
</file>

<file path=xl/sharedStrings.xml><?xml version="1.0" encoding="utf-8"?>
<sst xmlns="http://schemas.openxmlformats.org/spreadsheetml/2006/main" count="28986" uniqueCount="9226">
  <si>
    <t>Rank</t>
  </si>
  <si>
    <t>Page URL</t>
  </si>
  <si>
    <t>Intent Pts</t>
  </si>
  <si>
    <t>Traffic Pts</t>
  </si>
  <si>
    <t>PageType Pts</t>
  </si>
  <si>
    <t>Engage Pts</t>
  </si>
  <si>
    <t>Weighted Score</t>
  </si>
  <si>
    <t>Sessions</t>
  </si>
  <si>
    <t>Page Type</t>
  </si>
  <si>
    <t>Bounce Rate</t>
  </si>
  <si>
    <t>Avg Engage Time</t>
  </si>
  <si>
    <t xml:space="preserve">Scroll Depth % </t>
  </si>
  <si>
    <t xml:space="preserve">Placement </t>
  </si>
  <si>
    <t>Click Hot Zones</t>
  </si>
  <si>
    <t>Impl Type</t>
  </si>
  <si>
    <t>Status</t>
  </si>
  <si>
    <t>URL</t>
  </si>
  <si>
    <t>Click Hot Zone References (Column R)</t>
  </si>
  <si>
    <t>/client-solutions/</t>
  </si>
  <si>
    <t>Service</t>
  </si>
  <si>
    <t>39.2s</t>
  </si>
  <si>
    <t>UPPER MID</t>
  </si>
  <si>
    <t>nav menu</t>
  </si>
  <si>
    <t>https://salesxceleration.com/client-solutions/</t>
  </si>
  <si>
    <t>Priority</t>
  </si>
  <si>
    <t>Click Hot Zone</t>
  </si>
  <si>
    <t>Write</t>
  </si>
  <si>
    <t>What It Means</t>
  </si>
  <si>
    <t>Where to Place</t>
  </si>
  <si>
    <t>/state-of-sales/</t>
  </si>
  <si>
    <t>3.5s</t>
  </si>
  <si>
    <t>TOP</t>
  </si>
  <si>
    <t>https://salesxceleration.com/state-of-sales/</t>
  </si>
  <si>
    <t>Service + &gt;100 sessions</t>
  </si>
  <si>
    <t>(any)</t>
  </si>
  <si>
    <t>High-traffic flagship page</t>
  </si>
  <si>
    <t>Banner in upper-mid</t>
  </si>
  <si>
    <t>/sales-strategy/</t>
  </si>
  <si>
    <t>76.5s</t>
  </si>
  <si>
    <t>https://salesxceleration.com/sales-strategy/</t>
  </si>
  <si>
    <t>Nav menu/CTA/phone clicks</t>
  </si>
  <si>
    <t>nav menu / nav CTA / nav phone</t>
  </si>
  <si>
    <t>Users engaging with header</t>
  </si>
  <si>
    <t>Button in hero or next section</t>
  </si>
  <si>
    <t>/private-equity-solutions/</t>
  </si>
  <si>
    <t>86.2s</t>
  </si>
  <si>
    <t>trust carousel</t>
  </si>
  <si>
    <t>https://salesxceleration.com/private-equity-solutions/</t>
  </si>
  <si>
    <t>Below-fold text, CTA or carousel</t>
  </si>
  <si>
    <t>below-fold / trust carousel</t>
  </si>
  <si>
    <t>Users scrolling and engaging</t>
  </si>
  <si>
    <t>Button BEFORE or AFTER hot zone</t>
  </si>
  <si>
    <t>/private-equity-solutions/tech-mfg-case-study/</t>
  </si>
  <si>
    <t>Case Study</t>
  </si>
  <si>
    <t>126.4s</t>
  </si>
  <si>
    <t>hero headline</t>
  </si>
  <si>
    <t>https://salesxceleration.com/private-equity-solutions/tech-mfg-case-study/</t>
  </si>
  <si>
    <t>Hero element clicks</t>
  </si>
  <si>
    <t>hero CTA / hero headline / hero text / hero image</t>
  </si>
  <si>
    <t>Users engaging with hero</t>
  </si>
  <si>
    <t>Button in hero (secondary) or below</t>
  </si>
  <si>
    <t>/sales-infrastructure/</t>
  </si>
  <si>
    <t>49.5s</t>
  </si>
  <si>
    <t>https://salesxceleration.com/sales-infrastructure/</t>
  </si>
  <si>
    <t>Text paragraphs</t>
  </si>
  <si>
    <t>text block</t>
  </si>
  <si>
    <t>Users treating text as clickable</t>
  </si>
  <si>
    <t>Anchor Link within text</t>
  </si>
  <si>
    <t>/sales-team/</t>
  </si>
  <si>
    <t>18.0s</t>
  </si>
  <si>
    <t>https://salesxceleration.com/sales-team/</t>
  </si>
  <si>
    <t>Headings</t>
  </si>
  <si>
    <t>headings</t>
  </si>
  <si>
    <t>Users trying to navigate</t>
  </si>
  <si>
    <t>Anchor Link in section</t>
  </si>
  <si>
    <t>/private-equity-solutions/private-equity/</t>
  </si>
  <si>
    <t>22.9s</t>
  </si>
  <si>
    <t>https://salesxceleration.com/private-equity-solutions/private-equity/</t>
  </si>
  <si>
    <t>Industry or Case Study page</t>
  </si>
  <si>
    <t>Page type default</t>
  </si>
  <si>
    <t>Button after key section</t>
  </si>
  <si>
    <t>/private-equity-solutions/portfolio-company/</t>
  </si>
  <si>
    <t>15.2s</t>
  </si>
  <si>
    <t>MID</t>
  </si>
  <si>
    <t>https://salesxceleration.com/private-equity-solutions/portfolio-company/</t>
  </si>
  <si>
    <t>Image clicks</t>
  </si>
  <si>
    <t>images</t>
  </si>
  <si>
    <t>Users expect interaction</t>
  </si>
  <si>
    <t>Button below image</t>
  </si>
  <si>
    <t>/industries/technology/</t>
  </si>
  <si>
    <t>Industry</t>
  </si>
  <si>
    <t>55.6s</t>
  </si>
  <si>
    <t>below-fold</t>
  </si>
  <si>
    <t>https://salesxceleration.com/industries/technology/</t>
  </si>
  <si>
    <t>No clear pattern</t>
  </si>
  <si>
    <t>none</t>
  </si>
  <si>
    <t>Need to create attention</t>
  </si>
  <si>
    <t>/sales-management/</t>
  </si>
  <si>
    <t>23.6s</t>
  </si>
  <si>
    <t>https://salesxceleration.com/sales-management/</t>
  </si>
  <si>
    <t>/private-equity-solutions/healthcare-managed-services-case-study/</t>
  </si>
  <si>
    <t>27.0s</t>
  </si>
  <si>
    <t>https://salesxceleration.com/private-equity-solutions/healthcare-managed-services-case-study/</t>
  </si>
  <si>
    <t>/industries/franchises/</t>
  </si>
  <si>
    <t>21.5s</t>
  </si>
  <si>
    <t>https://salesxceleration.com/industries/franchises/</t>
  </si>
  <si>
    <t>/industries/professional-services/</t>
  </si>
  <si>
    <t>26.7s</t>
  </si>
  <si>
    <t>https://salesxceleration.com/industries/professional-services/</t>
  </si>
  <si>
    <t>/industries/manufacturing/</t>
  </si>
  <si>
    <t>18.6s</t>
  </si>
  <si>
    <t>https://salesxceleration.com/industries/manufacturing/</t>
  </si>
  <si>
    <t>/industries/financial-services/</t>
  </si>
  <si>
    <t>14.1s</t>
  </si>
  <si>
    <t>https://salesxceleration.com/industries/financial-services/</t>
  </si>
  <si>
    <t>/industries/legal/</t>
  </si>
  <si>
    <t>4.3s</t>
  </si>
  <si>
    <t>https://salesxceleration.com/industries/legal/</t>
  </si>
  <si>
    <t>/industries/private-equity/</t>
  </si>
  <si>
    <t>5.0s</t>
  </si>
  <si>
    <t>https://salesxceleration.com/industries/private-equity/</t>
  </si>
  <si>
    <t>/case-study/electrical-manufacturing-sales-strategy-and-processes-provide-immediate-growth/</t>
  </si>
  <si>
    <t>13.3s</t>
  </si>
  <si>
    <t>https://salesxceleration.com/case-study/electrical-manufacturing-sales-strategy-and-processes-provide-immediate-growth/</t>
  </si>
  <si>
    <t>/ai-for-sales/</t>
  </si>
  <si>
    <t>https://salesxceleration.com/ai-for-sales/</t>
  </si>
  <si>
    <r>
      <rPr>
        <rFont val="Arial"/>
        <b/>
        <color theme="1"/>
      </rPr>
      <t>Weighted Score</t>
    </r>
    <r>
      <rPr>
        <rFont val="Arial"/>
        <color theme="1"/>
      </rPr>
      <t xml:space="preserve"> = "Does the page match sales challenges?" + "Does it get traffic?" + "Is it a service page?" + "Do visitors engage?"</t>
    </r>
  </si>
  <si>
    <t>Placement Decision (based on scroll depth)</t>
  </si>
  <si>
    <t>Why?</t>
  </si>
  <si>
    <t>&lt; 50%    →  HERO (must be in top 20%)</t>
  </si>
  <si>
    <t>More than half of users leave before scrolling. If the CTA isn't in the hero, most users will never see it. Maximize visibility for the majority.</t>
  </si>
  <si>
    <t>--- INTENT SCORING BASED ON H1/H2/H2-2 ---</t>
  </si>
  <si>
    <t/>
  </si>
  <si>
    <t>50-60%   →  UPPER-MID after intro paragraph (top 25-30% of page)  ← 55.8% falls here</t>
  </si>
  <si>
    <t>Users ARE scrolling past the intro, but 40-50% still drop off before mid-page. Place CTA just after the intro so engaged users see it early, while not wasting hero space.</t>
  </si>
  <si>
    <t>&gt; 60%    →  MID-PAGE OK (40-60% of page)</t>
  </si>
  <si>
    <t>Majority of users scroll deep on this page. Placing CTA mid-page catches users when they're most engaged with content—after they've read enough to be convinced.</t>
  </si>
  <si>
    <t>Intent Level</t>
  </si>
  <si>
    <t>Score</t>
  </si>
  <si>
    <t>H1/H2 Keywords Required</t>
  </si>
  <si>
    <t>HIGH</t>
  </si>
  <si>
    <t>35 pts</t>
  </si>
  <si>
    <t>Contains: Sales Strategy, Sales Management, Sales Leadership, Sales Infrastructure, Revenue Growth, Fractional Sales, Sales Challenges, Sales Success, Sales Performance, Private Equity Solutions</t>
  </si>
  <si>
    <t>MED</t>
  </si>
  <si>
    <t>20 pts</t>
  </si>
  <si>
    <t>Contains: AI for Sales, Sales Tips, Sales Tools, General Sales Topics</t>
  </si>
  <si>
    <t>LOW</t>
  </si>
  <si>
    <t>10 pts</t>
  </si>
  <si>
    <t>Contains: Non-sales topics, motivational content, general business</t>
  </si>
  <si>
    <t>--- SCORE COMPONENT DEFINITIONS ---</t>
  </si>
  <si>
    <t>Component</t>
  </si>
  <si>
    <t>Max Pts</t>
  </si>
  <si>
    <t>Calculation</t>
  </si>
  <si>
    <t>Based on H1, H2-1, H2-2 keyword analysis</t>
  </si>
  <si>
    <t>(Sessions ÷ 308) × 30 [rounded]</t>
  </si>
  <si>
    <t>Service=20 | Industry=18 | Case Study=15</t>
  </si>
  <si>
    <t>Excellent=15 (bounce&lt;35% + engage&gt;30s) | Good=12 (bounce&lt;50% + engage&gt;15s) | Medium=10 | Low=5</t>
  </si>
  <si>
    <t>Page path and screen class</t>
  </si>
  <si>
    <t>Character Count</t>
  </si>
  <si>
    <t>Key events</t>
  </si>
  <si>
    <t>Total users</t>
  </si>
  <si>
    <t>Bounce rate</t>
  </si>
  <si>
    <t>New users</t>
  </si>
  <si>
    <t>Engaged sessions</t>
  </si>
  <si>
    <t>Views</t>
  </si>
  <si>
    <t>Active users</t>
  </si>
  <si>
    <t>Average engagement time per active user</t>
  </si>
  <si>
    <t>H1</t>
  </si>
  <si>
    <t>H2-1</t>
  </si>
  <si>
    <t>H2-2</t>
  </si>
  <si>
    <t>/contact-us/</t>
  </si>
  <si>
    <t>/podcasts/</t>
  </si>
  <si>
    <t>/free-sales-resources/</t>
  </si>
  <si>
    <t>/case-studies/</t>
  </si>
  <si>
    <t>/frequently-asked-questions/</t>
  </si>
  <si>
    <t>/turn-chaos-into-clarity-building-sales-infrastructure-that-scales/</t>
  </si>
  <si>
    <t>/how-we-serve/</t>
  </si>
  <si>
    <t>/testimonials/</t>
  </si>
  <si>
    <t>/sales-impact-assessment</t>
  </si>
  <si>
    <t>/blog/</t>
  </si>
  <si>
    <t>/private-equity-solutions/contact/</t>
  </si>
  <si>
    <t>/private-equity-solutions/case-studies/</t>
  </si>
  <si>
    <t>/fractional-sales-leader/</t>
  </si>
  <si>
    <t>/answer-your-customers-three-whys-to-ensure-your-sales-process-is-perfectly-aligned/</t>
  </si>
  <si>
    <t>/sales-agility-assessment</t>
  </si>
  <si>
    <t>/ai-sales-tools-readiness-assessment/</t>
  </si>
  <si>
    <t>/ten-strategies-to-use-when-your-competitor-lowers-their-price/</t>
  </si>
  <si>
    <t>/the-power-of-data-how-to-drive-sales-growth-with-analytics/</t>
  </si>
  <si>
    <t>/important-benefits-and-pitfalls-of-ai-for-sales/</t>
  </si>
  <si>
    <t>/which-role-is-right-for-your-new-hire-account-manager-or-business-development-representative/</t>
  </si>
  <si>
    <t>/the-consequences-of-price-reductions/</t>
  </si>
  <si>
    <t>/four-essential-elements-to-include-in-your-sales-action-plan-to-increase-sales/</t>
  </si>
  <si>
    <t>/7-things-sales-managers-do-wrong/</t>
  </si>
  <si>
    <t>/case-study/revitalizing-sales-strategy-for-sustained-growth-human-resources-case-study/</t>
  </si>
  <si>
    <t>/how-clear-messaging-turns-noise-into-revenue-with-donald-miller/</t>
  </si>
  <si>
    <t>/youre-fired-why-you-might-have-to-let-your-top-salesperson-go/</t>
  </si>
  <si>
    <t>/the-private-equity-power-move-how-fractional-sales-leadership-drives-faster-value-creation/</t>
  </si>
  <si>
    <t>/industries/</t>
  </si>
  <si>
    <t>/sales-xcelerators-peer-group/</t>
  </si>
  <si>
    <t>/discounting-is-bad-for-businesses-especially-when-protecting-against-inflation/</t>
  </si>
  <si>
    <t>/ebooks/</t>
  </si>
  <si>
    <t>/sales-connection/thank-you/</t>
  </si>
  <si>
    <t>/the-biggest-industry-trends-impacting-the-sales-profession/</t>
  </si>
  <si>
    <t>/why-when-who-hiring-fractional-vp-sales/</t>
  </si>
  <si>
    <t>/7-best-practices-for-managing-indirect-sales-channels/</t>
  </si>
  <si>
    <t>/guide-to-use-fractional-executive/</t>
  </si>
  <si>
    <t>/mastering-ai-for-sales-prospecting/</t>
  </si>
  <si>
    <t>/overcoming-sales-objections-techniques-to-turn-a-no-into-a-yes/</t>
  </si>
  <si>
    <t>/active-listening-in-sales/</t>
  </si>
  <si>
    <t>/building-a-modern-sales-operating-system/</t>
  </si>
  <si>
    <t>/discount-selling-price/</t>
  </si>
  <si>
    <t>/privacy-policy/</t>
  </si>
  <si>
    <t>/treating-everyone-same-isnt-really-fair-treatment/</t>
  </si>
  <si>
    <t>/7-things-to-measure-to-evaluate-sales-representative-performance/</t>
  </si>
  <si>
    <t>/case-study/food-and-beverage-driving-25-higher-topline-revenue-for-a-compostable-packaging-company/</t>
  </si>
  <si>
    <t>/case-study/specialty-electrical-component-distributor/</t>
  </si>
  <si>
    <t>/whats-your-superpower-and-how-are-you-using-it-to-help-others/</t>
  </si>
  <si>
    <t>/four-painful-manufacturing-sales-challenges-and-the-cure-hiding-in-plain-sight/</t>
  </si>
  <si>
    <t>/infographics/</t>
  </si>
  <si>
    <t>/salesperson-reputations-bad-overcome-trap/</t>
  </si>
  <si>
    <t>/the-competitive-advantage-of-hiring-sales-talent-in-a-slow-economy/</t>
  </si>
  <si>
    <t>/the-rise-of-fractional-sales-leadership-a-growing-opportunity-for-sales-leaders/</t>
  </si>
  <si>
    <t>/the-rise-of-skills-based-hiring/</t>
  </si>
  <si>
    <t>/tool-virtual-onboarding-for-new-hires/</t>
  </si>
  <si>
    <t>/how-to-define-and-analyze-your-target-market-for-growth/</t>
  </si>
  <si>
    <t>/its-ok-if-your-sales-rep-makes-more-than-you/</t>
  </si>
  <si>
    <t>/the-secret-to-aligning-sales-and-operations-for-success/</t>
  </si>
  <si>
    <t>/case-study/commercial-and-residential-paving/</t>
  </si>
  <si>
    <t>/case-study/influencer-marketing-agency-building-a-future-proof-sales-infrastructure/</t>
  </si>
  <si>
    <t>/case-study/medical-equipment-healthcare-improving-sales-infrastructure-for-long-term-success/</t>
  </si>
  <si>
    <t>/case-study/technology/</t>
  </si>
  <si>
    <t>/html-sitemap/</t>
  </si>
  <si>
    <t>/sales-hiring-strategy-how-to-hire-top-sales-talent-2/</t>
  </si>
  <si>
    <t>/virtual-meeting-checklist/</t>
  </si>
  <si>
    <t>/whats-wallet-time-fund-sales-tool-kit/</t>
  </si>
  <si>
    <t>/why-outsourcing-leadership-roles-is-the-best-business-decision-you-can-make/</t>
  </si>
  <si>
    <t>/5-sales-compensation-plan-mistakes-that-damage-morale-and-ruin-revenue/</t>
  </si>
  <si>
    <t>/case-study/hand-crafted-brick-oven-manufacturer/</t>
  </si>
  <si>
    <t>/case-study/it-professional-services-building-a-sustainable-sales-strategy-for-accelerated-growth/</t>
  </si>
  <si>
    <t>/essential-sales-metrics-to-track-for-success/</t>
  </si>
  <si>
    <t>/firing-a-salesperson-poor-performance/</t>
  </si>
  <si>
    <t>/increase-selling-price/</t>
  </si>
  <si>
    <t>/when-one-door-closes-another-opens-and-leads-to-opportunity-if-you-let-it/</t>
  </si>
  <si>
    <t>/5-strategies-for-building-a-resilient-sales-team/</t>
  </si>
  <si>
    <t>/c/link/</t>
  </si>
  <si>
    <t>/straight-commission-sales-compensation-terrible-idea-8-reasons-why/</t>
  </si>
  <si>
    <t>/using-ride-along-better-sales-management-coaching/</t>
  </si>
  <si>
    <t>/7-tips-to-increase-sales-a-guide-for-success/</t>
  </si>
  <si>
    <t>/7-ways-change-sales-culture-increase-profits/</t>
  </si>
  <si>
    <t>/case-study/developing-a-strategy-for-ensured-success/</t>
  </si>
  <si>
    <t>/case-study/internet-service-provider-improving-close-rates-to-44-09/</t>
  </si>
  <si>
    <t>/case-study/lab-equipment-microbiology-technology-company/</t>
  </si>
  <si>
    <t>/future-proof-your-sales-4-essential-technologies-and-trends/</t>
  </si>
  <si>
    <t>/harness-the-power-of-artificial-intelligence-to-drive-sales/</t>
  </si>
  <si>
    <t>/how-do-you-keep-sales-human-in-an-ai-driven-world/</t>
  </si>
  <si>
    <t>/how-to-build-a-sales-contingency-plan-that-lasts/</t>
  </si>
  <si>
    <t>/set-right-expectations-lead-charge/</t>
  </si>
  <si>
    <t>/the-top-5-sales-mistakes/</t>
  </si>
  <si>
    <t>/time-to-turn-over-a-new-leaf-here-are-signs-you-should-watch-for/</t>
  </si>
  <si>
    <t>/whats-the-1-sales-challenge-for-smbs/</t>
  </si>
  <si>
    <t>/why-68-cant-trust-sales-forecasts-sales-xceleration/</t>
  </si>
  <si>
    <t>/5-areas-sales-teams-should-focus-on-for-results/</t>
  </si>
  <si>
    <t>/5-tips-to-boost-your-sales-performance/</t>
  </si>
  <si>
    <t>/achieving-sales-excellence-choosing-effective-sales-channels-for-b2b-companies-under-100m/</t>
  </si>
  <si>
    <t>/ai-statement/</t>
  </si>
  <si>
    <t>/hiring-a-sales-team-the-dos-and-donts-of-finding-the-right-candidates/</t>
  </si>
  <si>
    <t>/how-firing-your-top-salesperson-might-fire-up-overall-sales-performance/</t>
  </si>
  <si>
    <t>/how-to-use-ai-for-b2b-lead-generation-strategies-to-boost-sales/</t>
  </si>
  <si>
    <t>/leadership-question-1-treating-everyone-the-same/</t>
  </si>
  <si>
    <t>/maximizing-productivity-at-every-level-an-introduction-to-level-10-sales-meetings/</t>
  </si>
  <si>
    <t>/professionalism-in-virtual-meetings-how-it-impacts-the-remote-work-debate/</t>
  </si>
  <si>
    <t>/sales-connection/</t>
  </si>
  <si>
    <t>/sales-forecasting-the-future-how-ai-turns-sales-strategy-from-guesswork-into-growth/</t>
  </si>
  <si>
    <t>/sales-hiring-strategy-how-to-hire-top-sales-talent/</t>
  </si>
  <si>
    <t>/sales-impact-assessment/</t>
  </si>
  <si>
    <t>/sales-tips-and-strategies-for-business-facing-seasonal-fluctuations/</t>
  </si>
  <si>
    <t>/sales-xceleration-spotlight-why-many-small-businesses-dont-prepare-a-sales-forecast/</t>
  </si>
  <si>
    <t>/the-high-performance-traits-that-power-a-high-performance-sales-team/</t>
  </si>
  <si>
    <t>/trust-and-commitment-the-cornerstone-of-successful-international-distribution-sales/</t>
  </si>
  <si>
    <t>/what-it-really-takes-to-build-a-resilient-business/</t>
  </si>
  <si>
    <t>/3-ways-to-smooth-the-friction-between-sales-and-marketing/</t>
  </si>
  <si>
    <t>/4-sales-process-failures-threatening-your-sales-growth/</t>
  </si>
  <si>
    <t>/confronting-the-maturity-wall-a-critical-juncture-for-private-equity/</t>
  </si>
  <si>
    <t>/dont-prescribe-a-sales-solution-before-you-diagnose-the-problem/</t>
  </si>
  <si>
    <t>/how-to-improve-sales-team-performance-individual-salesperson-goals/</t>
  </si>
  <si>
    <t>/how-to-use-your-past-to-shape-a-more-purposeful-future/</t>
  </si>
  <si>
    <t>/how-top-salespeople-thrive-in-a-fast-paced-world/</t>
  </si>
  <si>
    <t>/selling-value-if-you-dont-have-a-value-proposition-your-sales-can-suffer/</t>
  </si>
  <si>
    <t>/smarter-sales-with-ai-without-the-security-risk/</t>
  </si>
  <si>
    <t>/the-leadership-traits-that-predict-breakout-success/</t>
  </si>
  <si>
    <t>/time-matters-how-you-can-help-your-sales-managers-be-more-efficient-and-effective/</t>
  </si>
  <si>
    <t>/what-you-need-to-know-about-hiring-during-a-recession/</t>
  </si>
  <si>
    <t>/why-organizations-need-to-align-sales-and-marketing-processes/</t>
  </si>
  <si>
    <t>/why-outsourced-sales-management-works-so-well-for-so-many-businesses/</t>
  </si>
  <si>
    <t>/wondering-how-to-overcome-sales-challenges-focus-on-these-3-areas/</t>
  </si>
  <si>
    <t>/12-ways-to-make-sure-your-vision-casting-makes-ripples/</t>
  </si>
  <si>
    <t>/5-keys-to-effective-networking-for-sales-organizations/</t>
  </si>
  <si>
    <t>/achieving-sales-excellence-a-strategic-roadmap-for-b2b-companies-with-revenues-below-100m/</t>
  </si>
  <si>
    <t>/build-a-better-mousetrap-but-will-they-come-why-manufacturing-needs-sales-marketing/</t>
  </si>
  <si>
    <t>/case-study/expanding-business-with-sales-playbook/</t>
  </si>
  <si>
    <t>/case-study/full-service-marketing-agency/</t>
  </si>
  <si>
    <t>/case-study/logistics/</t>
  </si>
  <si>
    <t>/creating-a-sales-process-that-meets-modern-buyer-needs/</t>
  </si>
  <si>
    <t>/crm-definition-and-tips-for-success/</t>
  </si>
  <si>
    <t>/five-steps-to-master-personalization-in-sales/</t>
  </si>
  <si>
    <t>/harnessing-ai-powered-sales-assistants-for-smb-success/</t>
  </si>
  <si>
    <t>/hiring-fractional-sales-leader/</t>
  </si>
  <si>
    <t>/hiring-smarter-the-importance-of-understanding-an-ideal-candidate-profile/</t>
  </si>
  <si>
    <t>/how-to-implement-a-crisis-sales-plan/</t>
  </si>
  <si>
    <t>/how-to-increase-sales-7-ways-to-enhance-sales-performance/</t>
  </si>
  <si>
    <t>/rapid-fire-questions-on-growing-your-business/</t>
  </si>
  <si>
    <t>/study-reveals-alarming-sales-compensation-plan-trends/</t>
  </si>
  <si>
    <t>/the-ai-advantage-how-sales-leaders-can-drive-growth-and-efficiency-in-the-new-year/</t>
  </si>
  <si>
    <t>/the-importance-of-building-a-top-performing-sales-team/</t>
  </si>
  <si>
    <t>/the-sales-strategy-shift-most-founders-miss/</t>
  </si>
  <si>
    <t>/thriving-with-outsourced-sales-leadership/</t>
  </si>
  <si>
    <t>/tie-a-bow-on-your-company/</t>
  </si>
  <si>
    <t>/update-sales-plan-strategy-now-future-sales-success/</t>
  </si>
  <si>
    <t>/using-the-3-cs-to-improve-sales-performance/</t>
  </si>
  <si>
    <t>/why-a-crm-is-essential-for-successful-sales-a-representatives-perspective/</t>
  </si>
  <si>
    <t>/3-strategies-for-enhanced-efficiency-and-consistent-revenue-generation/</t>
  </si>
  <si>
    <t>/5-hiring-strategies-you-cant-overlook-if-you-want-to-avoid-the-wrong-hire/</t>
  </si>
  <si>
    <t>/5-reasons-to-focus-on-increasing-sales-with-existing-customers/</t>
  </si>
  <si>
    <t>/5-reasons-your-business-needs-a-sales-process-gps/</t>
  </si>
  <si>
    <t>/a-beginners-guide-to-sales-forecasting/</t>
  </si>
  <si>
    <t>/boost-your-sales-game-top-10-sales-drivers-for-success/</t>
  </si>
  <si>
    <t>/cant-get-no-sales-satisfaction-sales-lessons-learned-rolling-stones-part-7-8-part-series/</t>
  </si>
  <si>
    <t>/cant-get-no-sales-satisfaction-sales-lessons/</t>
  </si>
  <si>
    <t>/case-study/aerospace-manufacturing-turning-a-10-decrease-in-sales-into-a-14-increase/</t>
  </si>
  <si>
    <t>/case-study/air-purification-systems-company/</t>
  </si>
  <si>
    <t>/case-study/food-agriculture-company/</t>
  </si>
  <si>
    <t>/case-study/information-security-services/</t>
  </si>
  <si>
    <t>/case-study/marketing-growth/</t>
  </si>
  <si>
    <t>/choose-your-path-and-make-a-difference/</t>
  </si>
  <si>
    <t>/compensation-plans-performance-management/</t>
  </si>
  <si>
    <t>/confessions-of-the-misunderstood-salesperson/</t>
  </si>
  <si>
    <t>/do-you-know-the-4-parts-of-a-successful-sales-compensation-plan/</t>
  </si>
  <si>
    <t>/five-keys-to-more-successful-sales-compensation-plans/</t>
  </si>
  <si>
    <t>/fractional-work-the-ultimate-smart-business-competitive-advantage/</t>
  </si>
  <si>
    <t>/halftime-is-prime-time-to-move-from-success-to-significance/</t>
  </si>
  <si>
    <t>/hiring-a-sales-professional-use-fresh-strategies-to-sell-your-organization-to-top-talent/</t>
  </si>
  <si>
    <t>/how-sales-teams-can-practice-proactive-rather-than-reactive-hiring/</t>
  </si>
  <si>
    <t>/how-smbs-should-address-inflation-in-5-key-steps/</t>
  </si>
  <si>
    <t>/how-to-develop-a-sales-compensation-plan/</t>
  </si>
  <si>
    <t>/how-to-unstick-a-stalled-deal-even-if-it-means-no-deal-at-all/</t>
  </si>
  <si>
    <t>/improving-sales-success-starts-with-your-sales-executive-hiring-process/</t>
  </si>
  <si>
    <t>/independence-way-finding-the-freedom-to-fulfill-your-purpose/</t>
  </si>
  <si>
    <t>/infographics/talent-accounts-for-29-of-the-difference-b-w-high-low-performing-organizations/</t>
  </si>
  <si>
    <t>/is-small-business-success-possible-during-a-period-of-inflation/</t>
  </si>
  <si>
    <t>/is-your-sales-manager-still-selling-big-mistake-heres-why/</t>
  </si>
  <si>
    <t>/kesti-entrepreneurs-guide-increasing-sales/</t>
  </si>
  <si>
    <t>/lost-order-dont-lose-connection/</t>
  </si>
  <si>
    <t>/mastering-virtual-selling-to-accelerate-growth/</t>
  </si>
  <si>
    <t>/next-level-sales-success-why-you-absolutely-must-assess-and-evaluate-your-sales-team-regularly/</t>
  </si>
  <si>
    <t>/now-sure-fire-way-sell/</t>
  </si>
  <si>
    <t>/redefining-your-sales-strategy-around-customer-needs/</t>
  </si>
  <si>
    <t>/revenue-growth/</t>
  </si>
  <si>
    <t>/sales-agility-excellence-the-sales-infrastructure-you-need-to-enable-success/</t>
  </si>
  <si>
    <t>/sales-agility-the-secret-to-successful-small-businesses/</t>
  </si>
  <si>
    <t>/talent-acquisition-trends-for-small-to-mid-sized-businesses/</t>
  </si>
  <si>
    <t>/the-growth-killing-mistake-overlooking-a-sales-contingency-plan/</t>
  </si>
  <si>
    <t>/the-people-and-process-mistakes-that-hold-sales-back/</t>
  </si>
  <si>
    <t>/the-power-of-serving-versus-selling/</t>
  </si>
  <si>
    <t>/the-surprising-data-behind-sales-team-effectiveness/</t>
  </si>
  <si>
    <t>/think-cant-get-away-use-defined-process-keep-sales-action-plan-motion/</t>
  </si>
  <si>
    <t>/top-4-disruptors-in-the-future-of-sales-are-you-ready/</t>
  </si>
  <si>
    <t>/turn-buyer-insights-into-sales-wins-the-power-of-b2b-analytics/</t>
  </si>
  <si>
    <t>/turn-turn-turn-making-the-pivot-to-a-new-season-in-your-professional-life/</t>
  </si>
  <si>
    <t>/what-are-sales-metrics-and-which-ones-are-essential-to-improving-sales-performance/</t>
  </si>
  <si>
    <t>/what-if-you-just-cant-afford-a-sales-superstar/</t>
  </si>
  <si>
    <t>/why-and-how-it-pays-to-become-a-certified-sales-leader/</t>
  </si>
  <si>
    <t>/why-do-businesses-struggle-with-key-performance-indicators/</t>
  </si>
  <si>
    <t>/why-sales-managers-must-be-coaches-so-salespeople-can-perform-when-it-counts/</t>
  </si>
  <si>
    <t>/youve-earned-respect-but-are-you-still-getting-it/</t>
  </si>
  <si>
    <t>/10000-hours-is-a-myth/</t>
  </si>
  <si>
    <t>/3-critical-traits-next-sales-hire-absolutely-must/</t>
  </si>
  <si>
    <t>/3-sales-strategies-test-month-part-1/</t>
  </si>
  <si>
    <t>/4-tips-for-succeeding-as-a-new-sales-manager/</t>
  </si>
  <si>
    <t>/5-keys-to-a-successful-sales-compensation-plan/</t>
  </si>
  <si>
    <t>/5-strategies-for-improving-sales-performance/</t>
  </si>
  <si>
    <t>/Q026yPPQ0</t>
  </si>
  <si>
    <t>/adjusting-to-the-new-normal/</t>
  </si>
  <si>
    <t>/are-you-losing-sales-due-to-your-biases-and-too-much-empathy/</t>
  </si>
  <si>
    <t>/as-the-days-and-years-wind-down-what-are-you-waiting-for/</t>
  </si>
  <si>
    <t>/build-solid-sales-infrastructure-sales-growth/</t>
  </si>
  <si>
    <t>/business-growth-during-covid-were-proof-it-can-be-done/</t>
  </si>
  <si>
    <t>/can-being-too-resilient-keep-you-from-realizing-opportunity/</t>
  </si>
  <si>
    <t>/cant-get-no-sales-satisfaction-sales-lessons-learned-rolling-stones-part-5-8-part-series/</t>
  </si>
  <si>
    <t>/cart/</t>
  </si>
  <si>
    <t>/case-study/construction-services/</t>
  </si>
  <si>
    <t>/case-study/construction/</t>
  </si>
  <si>
    <t>/case-study/developing-a-go-to-market-strategy-for-unparalleled-success/</t>
  </si>
  <si>
    <t>/case-study/finance/</t>
  </si>
  <si>
    <t>/case-study/hand-held-test-equipment-manufacturer/</t>
  </si>
  <si>
    <t>/case-study/health-benefits-company/</t>
  </si>
  <si>
    <t>/case-study/large-chain-convenience-store-products/</t>
  </si>
  <si>
    <t>/case-study/manufacturing/</t>
  </si>
  <si>
    <t>/case-study/plastic-manufacturing-22-sales-growth-achieved-with-expert-sales-leadership/</t>
  </si>
  <si>
    <t>/case-study/software-technology-company/</t>
  </si>
  <si>
    <t>/compensation-plan-errors-to-avoid/</t>
  </si>
  <si>
    <t>/courting-customers-master-these-5-relationship-stages-to-make-sales-and-win-the-lasting-affection-of-buyers/</t>
  </si>
  <si>
    <t>/customer-care-1-01-and-the-slurpy-method/</t>
  </si>
  <si>
    <t>/dreading-the-excessive-travel-of-business-as-usual-heres-an-alternative/</t>
  </si>
  <si>
    <t>/essential-rules-running-functional-family-business/</t>
  </si>
  <si>
    <t>/event/scmep-lunch-and-learn-building-a-sales-structure-for-superior-results-2/</t>
  </si>
  <si>
    <t>/feeling-trapped-wisdom-experience-can-set-free</t>
  </si>
  <si>
    <t>/five-free-content-marketing-tools/</t>
  </si>
  <si>
    <t>/five-things-top-sales-leaders-differently/</t>
  </si>
  <si>
    <t>/five-ways-social-media-can-elevate-your-sales-efforts/</t>
  </si>
  <si>
    <t>/focus-on-activity-management-doing-and-measuring-the-right-things-for-sales-success-2/</t>
  </si>
  <si>
    <t>/for-businesses-in-crisis-fractional-sales-leadership-can-make-a-difference/</t>
  </si>
  <si>
    <t>/give-yourself-the-gift-of-making-a-difference/</t>
  </si>
  <si>
    <t>/hiring-sales-reps-3-tips-for-better-faster-more-profitable-sales-hires/</t>
  </si>
  <si>
    <t>/hope-realized/</t>
  </si>
  <si>
    <t>/how-ai-can-act-as-the-perfect-complement-to-sales-teams/</t>
  </si>
  <si>
    <t>/how-leaders-create-sales-action-plans-to-improve-the-bottom-line/</t>
  </si>
  <si>
    <t>/how-to-establish-rapport-with-a-prospect-and-create-a-solid-sales-relationship/</t>
  </si>
  <si>
    <t>/how-to-leverage-smart-sales-hiring-strategies-in-uncertain-times/</t>
  </si>
  <si>
    <t>/how-to-make-sales-meetings-more-productive-and-profitable/</t>
  </si>
  <si>
    <t>/if-6-feet-tall/</t>
  </si>
  <si>
    <t>/introducing-sales-against-the-odds/</t>
  </si>
  <si>
    <t>/leadership-7-ways-better-lead-team/</t>
  </si>
  <si>
    <t>/leadership-just-sales-function-imperative-part-1/</t>
  </si>
  <si>
    <t>/leadership-just-sales-function-imperative-part-2/</t>
  </si>
  <si>
    <t>/lemonade-from-lemons-how-to-turn-a-lost-sale-into-a-positive-experience/</t>
  </si>
  <si>
    <t>/life-changes-propel-sales-outsourcing/</t>
  </si>
  <si>
    <t>/mastering-your-sales-pipeline/</t>
  </si>
  <si>
    <t>/meet-the-team</t>
  </si>
  <si>
    <t>/press-release-chief-outsiders-sales-xceleration-announce-interactive-sales-marketing-breakfast-workshop-ceos/</t>
  </si>
  <si>
    <t>/put-sales-pipeline-first-for-a-better-lead-nurturing-strategy/</t>
  </si>
  <si>
    <t>/reality-check-hiring-a-new-salesperson-is-not-enough-to-fix-your-sales-problem/</t>
  </si>
  <si>
    <t>/recession-proof-strategies-for-sales-leaders/</t>
  </si>
  <si>
    <t>/results-thats-all-that-matters-right/</t>
  </si>
  <si>
    <t>/retired-fired-or-fired-up-the-new-vp-of-sales-opportunity/</t>
  </si>
  <si>
    <t>/sales-management-tips-for-forecasting/</t>
  </si>
  <si>
    <t>/sales-planning-setting-goals-achieve-results/</t>
  </si>
  <si>
    <t>/sales-playbook-why-need/</t>
  </si>
  <si>
    <t>/sales-team-effectiveness-navigating-pitfalls-for-maximum-impact/</t>
  </si>
  <si>
    <t>/search/tom+morgan/tel:8448747253</t>
  </si>
  <si>
    <t>/set-that-sales-appointment-by-overcoming-resistance/</t>
  </si>
  <si>
    <t>/six-steps-to-execute-your-sales-plan/</t>
  </si>
  <si>
    <t>/startup-success-the-importance-of-sales-strategy-and-structure/</t>
  </si>
  <si>
    <t>/staying-ahead-of-the-fall-how-sales-teams-can-be-proactive-when-the-economy-tightens/</t>
  </si>
  <si>
    <t>/technology-is-creating-new-ways-to-sell-to-prospects-heres-how/</t>
  </si>
  <si>
    <t>/the-power-of-why-and-your-business/</t>
  </si>
  <si>
    <t>/the-real-benefits-of-better-sales-compensation-plans/</t>
  </si>
  <si>
    <t>/the-success-formula-for-your-next-chapter-as-a-sales-leadership-professional/</t>
  </si>
  <si>
    <t>/three-skills-for-sales-coaching/</t>
  </si>
  <si>
    <t>/top-4-sales-efficiency-challenges-and-solutions/</t>
  </si>
  <si>
    <t>/understanding-your-leadership-voice/</t>
  </si>
  <si>
    <t>/want-to-boost-sales-do-less-selling/</t>
  </si>
  <si>
    <t>/want-to-close-more-sales-stop-closing/</t>
  </si>
  <si>
    <t>/what-makes-a-sales-team-work-teamwork/</t>
  </si>
  <si>
    <t>/what-we-do/genesis-sales-plan/</t>
  </si>
  <si>
    <t>/whats-the-gig-idea-what-you-need-to-know-about-the-gig-economy/</t>
  </si>
  <si>
    <t>/why-bother-using-a-crm/</t>
  </si>
  <si>
    <t>/why-customers-dont-return-your-sales-calls/</t>
  </si>
  <si>
    <t>/why-focus-on-sales-if-they-are-already-thriving/</t>
  </si>
  <si>
    <t>/why-hiring-a-salesperson-from-inside-your-industry-can-destroy-sales/</t>
  </si>
  <si>
    <t>/why-promoting-your-top-sales-performer-to-sales-manager-could-backfire/</t>
  </si>
  <si>
    <t>/why-winning-negotiations-can-lose-you-revenue/</t>
  </si>
  <si>
    <t>/your-most-valuable-resource-the-right-people-in-the-right-positions/</t>
  </si>
  <si>
    <t>/14-techniques-for-onboarding-new-remote-employees/</t>
  </si>
  <si>
    <t>/20-20-foresight-how-to-boost-sales-looking-forward</t>
  </si>
  <si>
    <t>/20860-2/</t>
  </si>
  <si>
    <t>/4-key-investments-new-business-owners-should-make/</t>
  </si>
  <si>
    <t>/4-leadership-lessons-i-learned-from-a-mountain-climbing-crisis/</t>
  </si>
  <si>
    <t>/4-signs-it-might-be-time-to-outsource-sales-leadership/</t>
  </si>
  <si>
    <t>/4-tips-for-using-a-sales-process-to-improve-your-wins/</t>
  </si>
  <si>
    <t>/5-emerging-sales-strategies-and-how-to-use-them/</t>
  </si>
  <si>
    <t>/5-step-process-make-important-decisions-sales-leader/</t>
  </si>
  <si>
    <t>/a-salesperson-is-hardwired-to-do-only-two-things/</t>
  </si>
  <si>
    <t>/achieving-sales-excellence-defining-the-target-market-for-b2b-companies-under-100m/</t>
  </si>
  <si>
    <t>/adapting-leadership-styles-to-the-situation-sales-growth-vs-sales-recovery-part-two-sales-recovery/</t>
  </si>
  <si>
    <t>/add-years-to-your-life-in-sales/</t>
  </si>
  <si>
    <t>/are-you-leading-or-lagging-in-sales-why-your-metrics-should-berevolutionary/</t>
  </si>
  <si>
    <t>/are-your-profit-margins-missing-the-mark/</t>
  </si>
  <si>
    <t>/august-its-back-to-school-and-a-b-cs/</t>
  </si>
  <si>
    <t>/believing-in-the-sales-lifecycle-part-2-the-connection/</t>
  </si>
  <si>
    <t>/believing-in-the-sales-lifecycle-part-3-solutioning-overcoming-buying-reticence-and-after-gaining-the-buy/</t>
  </si>
  <si>
    <t>/best-practices-for-combatting-low-cost-competition/</t>
  </si>
  <si>
    <t>/business-life-cycle/</t>
  </si>
  <si>
    <t>/case-study/construction-manufacturing-2/</t>
  </si>
  <si>
    <t>/case-study/data-and-analytics-maintaining-sales-momentum-amidst-transition/</t>
  </si>
  <si>
    <t>/case-study/driving-sales-efficiency-through-strategic-transformation/</t>
  </si>
  <si>
    <t>/case-study/home-healthcare/</t>
  </si>
  <si>
    <t>/case-study/hvac/</t>
  </si>
  <si>
    <t>/case-study/intelligence-power-modules/</t>
  </si>
  <si>
    <t>/case-study/promotional-products-marketing/</t>
  </si>
  <si>
    <t>/case-study/residential-wall-manufacturer/</t>
  </si>
  <si>
    <t>/case-study/solving-gaps-in-sales-infrastructure-and-processes/</t>
  </si>
  <si>
    <t>/ceos-frustrated-by-poor-sales-results/</t>
  </si>
  <si>
    <t>/change-culture-sales-revenue-follows/</t>
  </si>
  <si>
    <t>/csl-class/</t>
  </si>
  <si>
    <t>/determine-if-your-new-sales-rep-is-going-to-succeedbefore-its-too-late/</t>
  </si>
  <si>
    <t>/developing-a-sales-culture-to-retain-reps-and-incent-excellence-pt-2/</t>
  </si>
  <si>
    <t>/discounting-is-bad-for-business/</t>
  </si>
  <si>
    <t>/dont-be-surprised-by-success-plan-for-growth-and-manage-it/</t>
  </si>
  <si>
    <t>/dont-stuck-price/</t>
  </si>
  <si>
    <t>/e03001d27eb74c6380b28dd5c3fce9308563010792286587791/S-1-8-990886357-2943381009-3591167775-986928363/reachcalendar.ics</t>
  </si>
  <si>
    <t>/ecbbfed77ff042b783e03ec7ceeb738f7229039489100702471/S-1-8-2760749417-1207516339-1091752063-143530330/reachcalendar.ics</t>
  </si>
  <si>
    <t>/ensuring-confidence-in-your-confidence-part-4-of-a-4-part-series/</t>
  </si>
  <si>
    <t>/entrepreneurs-should-never-stop-reimagining-the-buyers-journey/</t>
  </si>
  <si>
    <t>/every-enlightened-journey-and-every-meaningful-climb-begins-with-a-single-step/</t>
  </si>
  <si>
    <t>/find-retain-high-performing-salespeople/</t>
  </si>
  <si>
    <t>/finding-a-sales-star-player-using-ideal-candidate-profiles-to-help-you-build-the-best-team/</t>
  </si>
  <si>
    <t>/finding-your-target-market-and-target-customer/</t>
  </si>
  <si>
    <t>/franchise-prototype-dont-just-boss-build-legacy/</t>
  </si>
  <si>
    <t>/fresh-starts-new-beginnings-and-finding-your-professional-purpose/</t>
  </si>
  <si>
    <t>/fueling-sales-by-building-the-best-sales-engine-part-1/</t>
  </si>
  <si>
    <t>/fueling-sales-by-building-the-best-sales-engine-part-2/</t>
  </si>
  <si>
    <t>/high-level-strategies-for-identifying-and-attracting-top-tier-sales-professionals/</t>
  </si>
  <si>
    <t>/how-bold-moves-quickly-led-to-sales/</t>
  </si>
  <si>
    <t>/how-fractional-leadership-helps-businesses-pivot-to-a-new-normal/</t>
  </si>
  <si>
    <t>/how-interim-executives-can-be-a-surprising-benefit-to-your-company/</t>
  </si>
  <si>
    <t>/how-silence-can-help-you-sell-more/</t>
  </si>
  <si>
    <t>/how-to-build-a-strong-culture-while-managing-a-remote-sales-team/</t>
  </si>
  <si>
    <t>/how-to-enhance-sales-using-ai</t>
  </si>
  <si>
    <t>/how-to-leverage-a-competitor-sales-analysis-to-grow-your-business/</t>
  </si>
  <si>
    <t>/how-to-plan-for-a-vendor-change/</t>
  </si>
  <si>
    <t>/how-to-sell-more-by-selling-less/</t>
  </si>
  <si>
    <t>/how-to-start-your-second-half-of-significance-and-fulfilling-your-life-purpose/</t>
  </si>
  <si>
    <t>/how-to-use-onboarding-to-boost-sales-success/</t>
  </si>
  <si>
    <t>/how-well-do-small-to-mid-size-businesses-know-their-customers/</t>
  </si>
  <si>
    <t>/importance-sales-team-accountability/</t>
  </si>
  <si>
    <t>/inbound-vs-outbound-sales-knowing-the-difference-will-greatly-improve-your-success/</t>
  </si>
  <si>
    <t>/internet-mean-dont-need-a-salesperson/</t>
  </si>
  <si>
    <t>/is-your-sales-team-hitting-their-sales-goals/</t>
  </si>
  <si>
    <t>/kiss-ideas-crms-goodbye/</t>
  </si>
  <si>
    <t>/l6f1l1g</t>
  </si>
  <si>
    <t>/leading-with-heart-sales-marketing-and-servant-leadership/</t>
  </si>
  <si>
    <t>/leveraging-sales-agility-for-revenue-operations-success/</t>
  </si>
  <si>
    <t>/linkedin-optimization-tips-dont-let-your-profile-become-stale/</t>
  </si>
  <si>
    <t>/making-a-difference-how-sales-xceleration-helps-you-keep-business-owners-from-making-even-more-critical-hiring-mistakes/</t>
  </si>
  <si>
    <t>/maximize-sales-by-aligning-the-b2b-buyer-journey-to-the-sales-process/</t>
  </si>
  <si>
    <t>/maximizing-your-linkedin-presence-to-generate-leads/</t>
  </si>
  <si>
    <t>/no-time-like-the-present-to-give-yourself-the-present-of-time/</t>
  </si>
  <si>
    <t>/procrastinators-sales-team/</t>
  </si>
  <si>
    <t>/products-dont-sell-themselves/</t>
  </si>
  <si>
    <t>/prospecting-keep-simple/</t>
  </si>
  <si>
    <t>/prospecting-more-than-a-numbers-game/</t>
  </si>
  <si>
    <t>/putting-sales-center-strategy/</t>
  </si>
  <si>
    <t>/questions-ceos-ask-themselves-daily/</t>
  </si>
  <si>
    <t>/rewind-sales-organization-fast-forward-sales-performance/</t>
  </si>
  <si>
    <t>/roadmap-to-sales-success-6-actions-you-must-take-to-improve-your-sales-process/</t>
  </si>
  <si>
    <t>/sales-101-solving-a-problem-vs-making-a-sale/</t>
  </si>
  <si>
    <t>/sales-compensation-checklist-3/</t>
  </si>
  <si>
    <t>/sales-dos-donts-sales-team-successful/</t>
  </si>
  <si>
    <t>/sales-leadership-assessment/</t>
  </si>
  <si>
    <t>/sales-leadership-focus-smartest-person-room-stupid/</t>
  </si>
  <si>
    <t>/sales-leadership-vs-sales-management/</t>
  </si>
  <si>
    <t>/sales-lessons-learned-rolling-stones-part-3/</t>
  </si>
  <si>
    <t>/sales-organizations-sales-driven/</t>
  </si>
  <si>
    <t>/sales-performance-improves-adapt-sales-leadership-style/</t>
  </si>
  <si>
    <t>/sales-plan-checklist/</t>
  </si>
  <si>
    <t>/sales-process-improvement/</t>
  </si>
  <si>
    <t>/sales-reps-perform-like-olympic-athletes/</t>
  </si>
  <si>
    <t>/sales-tools/</t>
  </si>
  <si>
    <t>/sales-xceleration-story/</t>
  </si>
  <si>
    <t>/sales-xceleration-your-partner-for-sales-success/</t>
  </si>
  <si>
    <t>/should-i-fire-my-customer/</t>
  </si>
  <si>
    <t>/should-your-salesperson-be-in-the-game-on-the-bench-or-off-the-team/</t>
  </si>
  <si>
    <t>/simplest-way-get-essential-information-boost-sales/</t>
  </si>
  <si>
    <t>/strategy-structure-people/</t>
  </si>
  <si>
    <t>/taking-companys-sales-manager-role-cost-plenty/</t>
  </si>
  <si>
    <t>/teams-that-exceed-expectations-how-to-build-one/</t>
  </si>
  <si>
    <t>/the-benefits-of-outsourcing-your-sales-executive-function/</t>
  </si>
  <si>
    <t>/the-customer-is-not-always-right/</t>
  </si>
  <si>
    <t>/the-fundamentals-of-winning/</t>
  </si>
  <si>
    <t>/the-high-potential-myth-how-comfort-zones-hinder-hiring-progress/</t>
  </si>
  <si>
    <t>/the-skys-no-limit-if-you-put-your-dreams-in-motion/</t>
  </si>
  <si>
    <t>/the-value-competitive-analysis-can-have-on-driving-sales-growth/</t>
  </si>
  <si>
    <t>/three-keys-to-successfully-handling-difficult-conversations-with-employees/</t>
  </si>
  <si>
    <t>/three-sales-strategies-to-help-you-weather-an-economic-downtown/</t>
  </si>
  <si>
    <t>/top-advantages-and-disadvantages-of-outsourcing-your-sales-function/</t>
  </si>
  <si>
    <t>/true-success-is-yours-for-the-making/</t>
  </si>
  <si>
    <t>/want-better-sales-results-start-with-a-better-sales-plan/</t>
  </si>
  <si>
    <t>/watching-super-bowl-can-teach-salespeople-sales/</t>
  </si>
  <si>
    <t>/webinars</t>
  </si>
  <si>
    <t>/what-are-you-passionate-about-and-what-are-you-doing-about-it/</t>
  </si>
  <si>
    <t>/what-is-the-impact-of-covid-19-on-your-sales-process/</t>
  </si>
  <si>
    <t>/what-it-takes-to-succeed-in-building-a-sales-organization-2/</t>
  </si>
  <si>
    <t>/what-makes-a-great-sales-manager-these-12-skills-are-a-good-start/</t>
  </si>
  <si>
    <t>/when-and-why-the-sales-manager-should-simply-be-quiet/</t>
  </si>
  <si>
    <t>/why-variable-compensation-is-the-key-to-a-successful-sales-team-and-how-to-do-it-right/</t>
  </si>
  <si>
    <t>/you-can-make-your-professional-dreams-come-true-if-you-have-these-five-fundamentals/</t>
  </si>
  <si>
    <t>/,fs=116303519,fso=116303519,da=121579808,mc=10804,sc=6,hc=10798,sp=0,re=0,sd=0,hd=20</t>
  </si>
  <si>
    <t>/3-sales-strategies-test-month-part-2</t>
  </si>
  <si>
    <t>/4-easy-but-overlooked-sales-management-tactics-to-boost-salesperson-performance</t>
  </si>
  <si>
    <t>/4-easy-but-overlooked-sales-management-tactics-to-boost-salesperson-performance/</t>
  </si>
  <si>
    <t>/4-key-investments-new-business-owners-should-make</t>
  </si>
  <si>
    <t>/4-simple-ways-to-make-sure-your-emails-get-opened-read-and-acted-on-by-your-sales-prospects/</t>
  </si>
  <si>
    <t>/4-things-know-start-hiring-sales-team/</t>
  </si>
  <si>
    <t>/5-best-practices-for-maximizing-your-crm-capabilities/</t>
  </si>
  <si>
    <t>/5-sales-management-questions/</t>
  </si>
  <si>
    <t>/5-sales-mistakes-costing-your-business-revenue-and-how-to-fix-them/</t>
  </si>
  <si>
    <t>/5-tips-to-sales-leaders-to-kickstart-hiring/</t>
  </si>
  <si>
    <t>/5-ways-to-make-your-sales-infrastructure-more-attractive-to-investors/</t>
  </si>
  <si>
    <t>/7-essential-tips-for-interviewing-top-sales-talent/</t>
  </si>
  <si>
    <t>/90-day-onboarding-checklist/</t>
  </si>
  <si>
    <t>/=</t>
  </si>
  <si>
    <t>/a-new-beginning-after-all-these-years/</t>
  </si>
  <si>
    <t>/about-sales-xceleration</t>
  </si>
  <si>
    <t>/achieving-sales-excellence-competitive-positioning/</t>
  </si>
  <si>
    <t>/achieving-sales-excellence-developing-a-compelling-value-proposition/</t>
  </si>
  <si>
    <t>/adapting-leadership-styles-to-the-situation-sales-growth-vs-sales-recovery-part-one-sales-growth/</t>
  </si>
  <si>
    <t>/add-years-to-your-life-in-sales</t>
  </si>
  <si>
    <t>/addressing-sales-challenges/</t>
  </si>
  <si>
    <t>/after-the-pandemic-comes-the-new-business-as-usual-model</t>
  </si>
  <si>
    <t>/appreciating-and-retaining-millennial-employees/</t>
  </si>
  <si>
    <t>/as-a-sales-strategy-cold-calling-hasnt-worked-in-a-long-time/</t>
  </si>
  <si>
    <t>/as-the-days-and-years-wind-down-what-are-you-waiting-for</t>
  </si>
  <si>
    <t>/autopsy-of-lost-sales/</t>
  </si>
  <si>
    <t>/becoming-senior-entrepreneur-gain/</t>
  </si>
  <si>
    <t>/best-practices-to-strengthen-and-maximize-your-referral-network</t>
  </si>
  <si>
    <t>/best-practices-to-strengthen-and-maximize-your-referral-network/</t>
  </si>
  <si>
    <t>/business-owners-shouldnt-act-sales-manager/</t>
  </si>
  <si>
    <t>/cant-get-no-sales-satisfaction-sales-lessons-learned-rolling-stones-part-2/</t>
  </si>
  <si>
    <t>/cant-get-no-sales-satisfaction-sales-lessons-learned-rolling-stones-part-5-8-part-series</t>
  </si>
  <si>
    <t>/case-studies</t>
  </si>
  <si>
    <t>/case-study/air-gauge-station-manufacturer/</t>
  </si>
  <si>
    <t>/case-study/alarm-and-security/</t>
  </si>
  <si>
    <t>/case-study/calibration-manufacturing-company/</t>
  </si>
  <si>
    <t>/case-study/early-education-transforming-sales-success-with-18-year-over-year-revenue-growth/</t>
  </si>
  <si>
    <t>/case-study/food-industry</t>
  </si>
  <si>
    <t>/case-study/hand-crafted-brick-oven-manufacturer</t>
  </si>
  <si>
    <t>/case-study/honey-and-sweetener-distributor/</t>
  </si>
  <si>
    <t>/case-study/marketing/</t>
  </si>
  <si>
    <t>/case-study/peo-payroll/</t>
  </si>
  <si>
    <t>/case-study/public-relations/</t>
  </si>
  <si>
    <t>/case-study/storage-tank-manufacturer/</t>
  </si>
  <si>
    <t>/cmd_sco</t>
  </si>
  <si>
    <t>/comes-networking-jump-right-waters-fine/</t>
  </si>
  <si>
    <t>/contact-us-old</t>
  </si>
  <si>
    <t>/create-sales-plan-sets-sales-pros-success/</t>
  </si>
  <si>
    <t>/creating-and-maintaining-a-successful-sales-organization/</t>
  </si>
  <si>
    <t>/csl-certified-sales-leader/</t>
  </si>
  <si>
    <t>/customer-care-1-01-and-the-slurpy-method</t>
  </si>
  <si>
    <t>/demystify-sales-team-black-box</t>
  </si>
  <si>
    <t>/developing-a-sales-culture-to-retain-reps-and-incent-excellence-pt-1/</t>
  </si>
  <si>
    <t>/dhoeft</t>
  </si>
  <si>
    <t>/differentiation-using-prospect-perception/</t>
  </si>
  <si>
    <t>/discover/</t>
  </si>
  <si>
    <t>/do-chatbots-increase-sales-what-you-need-to-know-about-using-ai-chatbots-for-sales-success/</t>
  </si>
  <si>
    <t>/dont-let-a-merger-acquisition-derail-sales-results/</t>
  </si>
  <si>
    <t>/e03001d27eb74c6380b28dd5c3fce9308563010792286587791/S-1-8-990886357-2943381009-3591167775-986928363/cmVhY2hjYW</t>
  </si>
  <si>
    <t>/e03001d27eb74c6380b28dd5c3fce9308563010792286587791/S-1-8-990886357-2943381009-3591167775-986928363/reachcalendar.ics&amp;name=Dino+Skerlos</t>
  </si>
  <si>
    <t>/ecbbfed77ff042b783e03ec7ceeb738f7229039489100702471/S-1-8-2760749417-1207516339-1091752063-143530330/cmVhY2hjYW</t>
  </si>
  <si>
    <t>/elevator-pitches-fail-just-like-pick-lines/</t>
  </si>
  <si>
    <t>/epic-fail-6-ways-sales-managers-let-themselves-and-others-down/</t>
  </si>
  <si>
    <t>/even-more-confessions-of-the-misunderstood-salesperson/</t>
  </si>
  <si>
    <t>/every-enlightened-journey-and-every-meaningful-climb-begins-with-a-single-step</t>
  </si>
  <si>
    <t>/exit-planning-for-modern-leaders-how-to-determine-your-companys-worth/</t>
  </si>
  <si>
    <t>/feeling-trapped-wisdom-experience-can-set-free/</t>
  </si>
  <si>
    <t>/find-right-lid/</t>
  </si>
  <si>
    <t>/finding-the-right-people-for-your-sales-team/</t>
  </si>
  <si>
    <t>/focus-on-sales-growth-the-accountability-factor</t>
  </si>
  <si>
    <t>/fractional-sales-leadership/</t>
  </si>
  <si>
    <t>/from-pipeline-to-bottom-line-how-to-boost-your-sales-team-effectiveness/</t>
  </si>
  <si>
    <t>/fueling-sales-by-building-the-best-sales-engine-part-2</t>
  </si>
  <si>
    <t>/gaining-a-competitive-advantage-in-the-new-b2b-buyer-funnel/</t>
  </si>
  <si>
    <t>/goal-setting-top-last-year-work</t>
  </si>
  <si>
    <t>/goal-setting-top-last-year-work/</t>
  </si>
  <si>
    <t>/going-up-why-you-should-ditch-your-traditional-elevator-pitch/</t>
  </si>
  <si>
    <t>/goodell-no-tb-still-1/</t>
  </si>
  <si>
    <t>/great-sales-leadership-makes-great-sales-teams</t>
  </si>
  <si>
    <t>/great-sales-leadership-makes-great-sales-teams-sales-xceleration/</t>
  </si>
  <si>
    <t>/great-sales-organizations/</t>
  </si>
  <si>
    <t>/guide-to-use-fractional-executive</t>
  </si>
  <si>
    <t>/hire-great-salespeople-retain-them/</t>
  </si>
  <si>
    <t>/hire-now-why-a-hiring-freeze-is-the-wrong-move/</t>
  </si>
  <si>
    <t>/hire-outsourced-vp-sales-dan-harper/</t>
  </si>
  <si>
    <t>/hire-outsourced-vp-sales-kerry-cunnion/</t>
  </si>
  <si>
    <t>/hire-outsourced-vp-sales-scot-andrews/</t>
  </si>
  <si>
    <t>/hire-outsourced-vp-sales-scott-yelle/</t>
  </si>
  <si>
    <t>/how-can-leveraging-ai-improve-your-sales-organization/</t>
  </si>
  <si>
    <t>/how-honesty-can-help-maintain-customer-relationships/</t>
  </si>
  <si>
    <t>/how-onboarding-can-help-salespeople-get-and-stay-on-track-for-sales-success</t>
  </si>
  <si>
    <t>/how-strategic-sales-planning-can-keep-your-business-on-track-for-success/</t>
  </si>
  <si>
    <t>/how-to-achieve-your-business-goals-with-individual-salesperson-goals/</t>
  </si>
  <si>
    <t>/how-to-build-strong-business-relationships-a-guide-to-effective-sales/</t>
  </si>
  <si>
    <t>/how-to-enhance-sales-using-ai/</t>
  </si>
  <si>
    <t>/how-to-find-your-purpose-and-avoid-rocking-chair-regrets-before-its-too-late/</t>
  </si>
  <si>
    <t>/how-to-stop-circling-the-top-of-the-sales-funnel-and-make-that-sale/</t>
  </si>
  <si>
    <t>/how-to-use-onboarding-to-boost-sales-success</t>
  </si>
  <si>
    <t>/if-6-feet-tall</t>
  </si>
  <si>
    <t>/if-youre-not-looking-at-these-3-things-youre-not-optimizing-sales</t>
  </si>
  <si>
    <t>/if-youre-not-looking-at-these-3-things-youre-not-optimizing-sales/</t>
  </si>
  <si>
    <t>/in-case-they-ask-and-they-will/</t>
  </si>
  <si>
    <t>/inbound-vs-outbound-sales-knowing-the-difference-will-greatly-improve-your-success</t>
  </si>
  <si>
    <t>/industries/franchises</t>
  </si>
  <si>
    <t>/inflation-how-to-prepare-and-protect-your-business/</t>
  </si>
  <si>
    <t>/infographics/80-of-ceos-score-company-poor-at-defining-sales-metrics-57-of-sales-leaders-agree/</t>
  </si>
  <si>
    <t>/infographics/average-turnover-in-sales-is-34/</t>
  </si>
  <si>
    <t>/input-sales-team-pricing/</t>
  </si>
  <si>
    <t>/is-this-the-year-to-take-the-leap-of-faith/</t>
  </si>
  <si>
    <t>/is-your-sales-team-hitting-their-sales-goals</t>
  </si>
  <si>
    <t>/its-about-profit-not-sales</t>
  </si>
  <si>
    <t>/its-about-profit-not-sales/</t>
  </si>
  <si>
    <t>/joining-sales-enablement-and-revenue-enablement-for-strategic-growth</t>
  </si>
  <si>
    <t>/joining-sales-enablement-and-revenue-enablement-for-strategic-growth/</t>
  </si>
  <si>
    <t>/key-leadership-behaviors-improve-sales-force-performance/</t>
  </si>
  <si>
    <t>/leveraging-sales-agility-for-revenue-operations-success</t>
  </si>
  <si>
    <t>/looking-for-a-lifeline-maybe-you-are-the-lifeline-for-businesses-in-need/</t>
  </si>
  <si>
    <t>/managing-your-business-the-butler-way/</t>
  </si>
  <si>
    <t>/meet-exceed-sales-goals</t>
  </si>
  <si>
    <t>/meet-exceed-sales-goals/</t>
  </si>
  <si>
    <t>/metrics-accelerate-sales/</t>
  </si>
  <si>
    <t>/more-about-halftime-finding-your-purpose-as-you-prepare-for-a-second-half-of-significance/</t>
  </si>
  <si>
    <t>/move-forward-life-must-first-let-go/</t>
  </si>
  <si>
    <t>/networking-is-worthless-netweaving-is-priceless/</t>
  </si>
  <si>
    <t>/new-year-compensation-plan-reviews/</t>
  </si>
  <si>
    <t>/no-access/download-id/36876/</t>
  </si>
  <si>
    <t>/no-access/download-id/48716/</t>
  </si>
  <si>
    <t>/no-matter-the-crisis-success-calls-for-positive-thinking-and-confident-leadership/</t>
  </si>
  <si>
    <t>/no-time-like-the-present-to-give-yourself-the-present-of-time</t>
  </si>
  <si>
    <t>/now-sure-fire-way-sell</t>
  </si>
  <si>
    <t>/now-what-a-story-of-life-beyond-corporate-sales-success/</t>
  </si>
  <si>
    <t>/podcasts/&amp;sa=U&amp;ved=2ahUKEwiVxc3Li_eRAxVfJjQIHb8qAQUQFnoECAYQAg&amp;usg=AOvVaw2qiriZ3AlVQHQ_OqD_XgIG</t>
  </si>
  <si>
    <t>/prepared-to-lead-your-sales-team-this-year-heres-how-to-make-sure/</t>
  </si>
  <si>
    <t>/press-release-inc-magazine-unveils-its-annual-list-of-americas-fastest-growing-private-companies-the-inc-5000/</t>
  </si>
  <si>
    <t>/product/sales-xceleration-framework/</t>
  </si>
  <si>
    <t>/remaining-effective-as-a-salesperson-while-working-remotely/</t>
  </si>
  <si>
    <t>/resource-sitemap/</t>
  </si>
  <si>
    <t>/resources/</t>
  </si>
  <si>
    <t>/resources/state-of-sales/</t>
  </si>
  <si>
    <t>/retired-fired-or-fired-up-the-new-vp-of-sales-opportunity</t>
  </si>
  <si>
    <t>/revealed-the-surprising-identity-of-your-fiercest-competitor/</t>
  </si>
  <si>
    <t>/sales%</t>
  </si>
  <si>
    <t>/sales-101-solving-a-problem-vs-making-a-sale</t>
  </si>
  <si>
    <t>/sales-agility-assessment-1-0-jdauskurdas</t>
  </si>
  <si>
    <t>/sales-agility-assessment-1-0-kyenke/</t>
  </si>
  <si>
    <t>/sales-agility-assessment-1-0-mwills/</t>
  </si>
  <si>
    <t>/sales-agility-assessment-1-0-rstern</t>
  </si>
  <si>
    <t>/sales-agility-assessment-1-0-tcarrozza/</t>
  </si>
  <si>
    <t>/sales-agility-assessment-press-release/</t>
  </si>
  <si>
    <t>/sales-agility-assessment-sx/</t>
  </si>
  <si>
    <t>/sales-compensation</t>
  </si>
  <si>
    <t>/sales-compensation-checklist-3</t>
  </si>
  <si>
    <t>/sales-compensation-plan-life-support/</t>
  </si>
  <si>
    <t>/sales-compensation-plans-part-2-sales-comp-plan-look-like/</t>
  </si>
  <si>
    <t>/sales-goal-sabotage-the-5-most-deadly-sales-management-mistakes/</t>
  </si>
  <si>
    <t>/sales-growth-bottled-up-how-tech-company-leaders-can-break-free-and-find-renewed-success/</t>
  </si>
  <si>
    <t>/sales-growth-hiring-motivation-summertime/</t>
  </si>
  <si>
    <t>/sales-leaders-win-starts-team/</t>
  </si>
  <si>
    <t>/sales-leadership-assessment</t>
  </si>
  <si>
    <t>/sales-leadership-life-cycle/</t>
  </si>
  <si>
    <t>/sales-management-coaching/</t>
  </si>
  <si>
    <t>/sales-plan-checklist</t>
  </si>
  <si>
    <t>/sales-reps-perform-like-olympic-athletes</t>
  </si>
  <si>
    <t>/sales-strategy-checklist-2/</t>
  </si>
  <si>
    <t>/sales-strategy-checklist/</t>
  </si>
  <si>
    <t>/sales-success-every-buyer-really-wants/</t>
  </si>
  <si>
    <t>/sales-xceleration-expands-to-additional-markets</t>
  </si>
  <si>
    <t>/sales-xcelerators-peer-group</t>
  </si>
  <si>
    <t>/selling-in-a-2d-x-2s-world</t>
  </si>
  <si>
    <t>/selling-in-a-2d-x-2s-world/</t>
  </si>
  <si>
    <t>/selling-learn-shut-listen</t>
  </si>
  <si>
    <t>/selling-learn-shut-listen/</t>
  </si>
  <si>
    <t>/services/</t>
  </si>
  <si>
    <t>/should-your-salesperson-be-in-the-game-on-the-bench-or-off-the-team</t>
  </si>
  <si>
    <t>/simplify-sales-leadership/</t>
  </si>
  <si>
    <t>/sink-swim-not-effective-onboarding-plan-new-sales-representatives</t>
  </si>
  <si>
    <t>/sitemao</t>
  </si>
  <si>
    <t>/sitemap</t>
  </si>
  <si>
    <t>/sitemap-index.xml</t>
  </si>
  <si>
    <t>/sitemap.php</t>
  </si>
  <si>
    <t>/sitemap.txt</t>
  </si>
  <si>
    <t>/sitemap.xlm</t>
  </si>
  <si>
    <t>/sitemap.xml.gz</t>
  </si>
  <si>
    <t>/sitemap/</t>
  </si>
  <si>
    <t>/sitemap/index.xml</t>
  </si>
  <si>
    <t>/sitemap/sitemap.xml</t>
  </si>
  <si>
    <t>/sitemap1.xml</t>
  </si>
  <si>
    <t>/sitemapindex.xml</t>
  </si>
  <si>
    <t>/social-media-plan-checklist</t>
  </si>
  <si>
    <t>/social-media-roadmap-small-businesses/</t>
  </si>
  <si>
    <t>/streamlining-sales-processes-with-ai</t>
  </si>
  <si>
    <t>/streamlining-sales-processes-with-ai/</t>
  </si>
  <si>
    <t>/stupid-questions/</t>
  </si>
  <si>
    <t>/tactics-to-guarantee-your-team-will-dominate-the-new-year/</t>
  </si>
  <si>
    <t>/take-sales-agility-assessment/</t>
  </si>
  <si>
    <t>/talk-sales-competition-sales-win/</t>
  </si>
  <si>
    <t>/the-business-process-outsourcing-trend-how-bpo-benefits-businesses-of-all-sizes/</t>
  </si>
  <si>
    <t>/the-leadership-traits-that-predict-breakout-success</t>
  </si>
  <si>
    <t>/the-numbers-dont-lie-but-you-can-change-them/</t>
  </si>
  <si>
    <t>/the-power-of-data-how-to-drive-sales-growth-with-analytics</t>
  </si>
  <si>
    <t>/the-power-of-why-and-your-business</t>
  </si>
  <si>
    <t>/the-private-equity-power-move-how-fractional-sales-leadership-drives-faster-value-creation</t>
  </si>
  <si>
    <t>/the-seldom-used-secret-ingredient-for-sales-success/</t>
  </si>
  <si>
    <t>/thinking-of-hiring-a-family-member-for-your-sales-team-think-again/</t>
  </si>
  <si>
    <t>/three-key-elements-to-ensure-success-and-growth-for-your-startup/</t>
  </si>
  <si>
    <t>/three-questions-for-hiring-your-next-sales-leader/</t>
  </si>
  <si>
    <t>/time-to-turn-over-a-new-leaf-here-are-signs-you-should-watch-for</t>
  </si>
  <si>
    <t>/tired-of-losing-customers-to-your-competition</t>
  </si>
  <si>
    <t>/too-soon-the-premature-proposal-paradox/</t>
  </si>
  <si>
    <t>/top-10-action-items-to-help-you-hit-the-ground-running/</t>
  </si>
  <si>
    <t>/transforming-sales-for-growth/</t>
  </si>
  <si>
    <t>/treating-everyone-same-isnt-really-fair-treatment</t>
  </si>
  <si>
    <t>/tried-true-lessons-selling/</t>
  </si>
  <si>
    <t>/unexpected-rfp-worth-winning-even-responding-2/</t>
  </si>
  <si>
    <t>/want-better-sales-process-consider-buyers-process-first/</t>
  </si>
  <si>
    <t>/want-sell-increase-face-time/</t>
  </si>
  <si>
    <t>/what-if-you-knew-exactly-what-your-customers-wanted-next/</t>
  </si>
  <si>
    <t>/what-is-a-sales-strategy-and-how-can-you-build-an-effective-one/</t>
  </si>
  <si>
    <t>/what-is-in-your-sales-backpack/</t>
  </si>
  <si>
    <t>/what-makes-a-top-salesperson/</t>
  </si>
  <si>
    <t>/what-we-do/genesis-plus/</t>
  </si>
  <si>
    <t>/what-we-do/investment-sales-analysis/</t>
  </si>
  <si>
    <t>/what-we-do/on-site-sales/</t>
  </si>
  <si>
    <t>/whats-pipeline/</t>
  </si>
  <si>
    <t>/when-one-door-closes-another-opens-and-leads-to-opportunity-if-you-let-it</t>
  </si>
  <si>
    <t>/which-role-is-right-for-your-new-hire-account-manager-or-business-development-representative</t>
  </si>
  <si>
    <t>/why-a-failure-to-communicate-is-a-first-step-to-going-out-of-business/</t>
  </si>
  <si>
    <t>/why-crm-systems-fail-how-to-make-sure-they-dont/</t>
  </si>
  <si>
    <t>/why-great-leaders-nurture-the-idea-seed/</t>
  </si>
  <si>
    <t>/why-no-sales-satisfaction-sales-lessons-learned-rolling-stones/</t>
  </si>
  <si>
    <t>/why-sales-infrastructure-place-attracts-serious-buyers-commands-top-dollar</t>
  </si>
  <si>
    <t>/your-key-performance-indicators-kpis-are-established-now-what</t>
  </si>
  <si>
    <t>/youve-earned-respect-but-are-you-still-getting-it</t>
  </si>
  <si>
    <t>Address</t>
  </si>
  <si>
    <t>H1-1</t>
  </si>
  <si>
    <t>Content Type</t>
  </si>
  <si>
    <t>Status Code</t>
  </si>
  <si>
    <t>Indexability</t>
  </si>
  <si>
    <t>Indexability Status</t>
  </si>
  <si>
    <t>Title 1</t>
  </si>
  <si>
    <t>Title 1 Length</t>
  </si>
  <si>
    <t>Title 1 Pixel Width</t>
  </si>
  <si>
    <t>Title 2</t>
  </si>
  <si>
    <t>Title 2 Length</t>
  </si>
  <si>
    <t>Title 2 Pixel Width</t>
  </si>
  <si>
    <t>Meta Description 1</t>
  </si>
  <si>
    <t>Meta Description 1 Length</t>
  </si>
  <si>
    <t>Meta Description 1 Pixel Width</t>
  </si>
  <si>
    <t>Meta Keywords 1</t>
  </si>
  <si>
    <t>Meta Keywords 1 Length</t>
  </si>
  <si>
    <t>H1-1 Length</t>
  </si>
  <si>
    <t>H1-2</t>
  </si>
  <si>
    <t>H1-2 Length</t>
  </si>
  <si>
    <t>H2-1 Length</t>
  </si>
  <si>
    <t>H2-2 Length</t>
  </si>
  <si>
    <t>Meta Robots 1</t>
  </si>
  <si>
    <t>X-Robots-Tag 1</t>
  </si>
  <si>
    <t>Meta Refresh 1</t>
  </si>
  <si>
    <t>Canonical Link Element 1</t>
  </si>
  <si>
    <t>rel="next" 1</t>
  </si>
  <si>
    <t>rel="prev" 1</t>
  </si>
  <si>
    <t>HTTP rel="next" 1</t>
  </si>
  <si>
    <t>HTTP rel="prev" 1</t>
  </si>
  <si>
    <t>amphtml Link Element</t>
  </si>
  <si>
    <t>Size (bytes)</t>
  </si>
  <si>
    <t>Transferred (bytes)</t>
  </si>
  <si>
    <t>Total Transferred (bytes)</t>
  </si>
  <si>
    <t>CO2 (mg)</t>
  </si>
  <si>
    <t>Carbon Rating</t>
  </si>
  <si>
    <t>Word Count</t>
  </si>
  <si>
    <t>Sentence Count</t>
  </si>
  <si>
    <t>Average Words Per Sentence</t>
  </si>
  <si>
    <t>Flesch Reading Ease Score</t>
  </si>
  <si>
    <t>Readability</t>
  </si>
  <si>
    <t>Text Ratio</t>
  </si>
  <si>
    <t>Crawl Depth</t>
  </si>
  <si>
    <t>Folder Depth</t>
  </si>
  <si>
    <t>Link Score</t>
  </si>
  <si>
    <t>Inlinks</t>
  </si>
  <si>
    <t>Unique Inlinks</t>
  </si>
  <si>
    <t>Unique JS Inlinks</t>
  </si>
  <si>
    <t>% of Total</t>
  </si>
  <si>
    <t>Outlinks</t>
  </si>
  <si>
    <t>Unique Outlinks</t>
  </si>
  <si>
    <t>Unique JS Outlinks</t>
  </si>
  <si>
    <t>External Outlinks</t>
  </si>
  <si>
    <t>Unique External Outlinks</t>
  </si>
  <si>
    <t>Unique External JS Outlinks</t>
  </si>
  <si>
    <t>Closest Near Duplicate Match</t>
  </si>
  <si>
    <t>No. Near Duplicates</t>
  </si>
  <si>
    <t>Spelling Errors</t>
  </si>
  <si>
    <t>Grammar Errors</t>
  </si>
  <si>
    <t>Hash</t>
  </si>
  <si>
    <t>Response Time</t>
  </si>
  <si>
    <t>Last Modified</t>
  </si>
  <si>
    <t>Redirect URL</t>
  </si>
  <si>
    <t>Redirect Type</t>
  </si>
  <si>
    <t>Cookies</t>
  </si>
  <si>
    <t>Language</t>
  </si>
  <si>
    <t>HTTP Version</t>
  </si>
  <si>
    <t>Performance Score</t>
  </si>
  <si>
    <t>First Contentful Paint Time (ms)</t>
  </si>
  <si>
    <t>Speed Index Time (ms)</t>
  </si>
  <si>
    <t>Largest Contentful Paint Time (ms)</t>
  </si>
  <si>
    <t>Time to Interactive (ms)</t>
  </si>
  <si>
    <t>Total Blocking Time (ms)</t>
  </si>
  <si>
    <t>Cumulative Layout Shift</t>
  </si>
  <si>
    <t>Total Size Savings (Bytes)</t>
  </si>
  <si>
    <t>Total Time Savings (ms)</t>
  </si>
  <si>
    <t>Total Requests</t>
  </si>
  <si>
    <t>Total Page Size (Bytes)</t>
  </si>
  <si>
    <t>HTML Size (Bytes)</t>
  </si>
  <si>
    <t>HTML Count</t>
  </si>
  <si>
    <t>Image Size (Bytes)</t>
  </si>
  <si>
    <t>Image Count</t>
  </si>
  <si>
    <t>CSS Size (Bytes)</t>
  </si>
  <si>
    <t>CSS Count</t>
  </si>
  <si>
    <t>JavaScript Size (Bytes)</t>
  </si>
  <si>
    <t>JavaScript Count</t>
  </si>
  <si>
    <t>Font Size (Bytes)</t>
  </si>
  <si>
    <t>Font Count</t>
  </si>
  <si>
    <t>Media Size (Bytes)</t>
  </si>
  <si>
    <t>Media Count</t>
  </si>
  <si>
    <t>Other Size (Bytes)</t>
  </si>
  <si>
    <t>Other Count</t>
  </si>
  <si>
    <t>Third Party Size (Bytes)</t>
  </si>
  <si>
    <t>Third Party Count</t>
  </si>
  <si>
    <t>Core Web Vitals Assessment</t>
  </si>
  <si>
    <t>CrUX Largest Contentful Paint Time (ms)</t>
  </si>
  <si>
    <t>CrUX Interaction to Next Paint (ms)</t>
  </si>
  <si>
    <t>CrUX Cumulative Layout Shift</t>
  </si>
  <si>
    <t>CrUX First Contentful Paint Time (ms)</t>
  </si>
  <si>
    <t>Minify CSS Savings (ms)</t>
  </si>
  <si>
    <t>Minify CSS Savings (Bytes)</t>
  </si>
  <si>
    <t>Minify JavaScript Savings (ms)</t>
  </si>
  <si>
    <t>Minify JavaScript Savings (Bytes)</t>
  </si>
  <si>
    <t>Reduce Unused CSS Savings (ms)</t>
  </si>
  <si>
    <t>Reduce Unused CSS Savings (Bytes)</t>
  </si>
  <si>
    <t>Reduce Unused JavaScript Savings (ms)</t>
  </si>
  <si>
    <t>Reduce Unused JavaScript Savings (Bytes)</t>
  </si>
  <si>
    <t>JavaScript Execution Time (ms)</t>
  </si>
  <si>
    <t>JavaScript Execution Time Category</t>
  </si>
  <si>
    <t>Minimize Main-Thread Work (ms)</t>
  </si>
  <si>
    <t>Minimize Main-Thread Work Category</t>
  </si>
  <si>
    <t>Network Payload Size (Bytes)</t>
  </si>
  <si>
    <t>User Timing Marks and Measures</t>
  </si>
  <si>
    <t>Number of Redirects</t>
  </si>
  <si>
    <t>Server Responds Quickly</t>
  </si>
  <si>
    <t>Applies Text Compression</t>
  </si>
  <si>
    <t>LCP Request Discovery</t>
  </si>
  <si>
    <t>LCP Breakdown</t>
  </si>
  <si>
    <t>Render Blocking Requests Savings (ms)</t>
  </si>
  <si>
    <t>Preconnect Candidates Savings (ms)</t>
  </si>
  <si>
    <t>Maximum Critical Path Latency (ms)</t>
  </si>
  <si>
    <t>Use Efficient Cache Lifetimes Savings (Bytes)</t>
  </si>
  <si>
    <t>Layout Shift Culprits</t>
  </si>
  <si>
    <t>DOM Size</t>
  </si>
  <si>
    <t>Improve Image Delivery Savings (Bytes)</t>
  </si>
  <si>
    <t>Forced Reflow Savings (ms)</t>
  </si>
  <si>
    <t>Legacy JavaScript Savings (Bytes)</t>
  </si>
  <si>
    <t>Duplicated JavaScript (Bytes)</t>
  </si>
  <si>
    <t>Font Display Savings (ms)</t>
  </si>
  <si>
    <t>3rd Parties</t>
  </si>
  <si>
    <t>Target Size</t>
  </si>
  <si>
    <t>Content Width</t>
  </si>
  <si>
    <t>Font Display Size</t>
  </si>
  <si>
    <t>Viewport</t>
  </si>
  <si>
    <t>Mobile Alternate Link</t>
  </si>
  <si>
    <t>Closest Semantically Similar Address</t>
  </si>
  <si>
    <t>Semantic Similarity Score</t>
  </si>
  <si>
    <t>No. Semantically Similar</t>
  </si>
  <si>
    <t>Semantic Relevance Score</t>
  </si>
  <si>
    <t>URL Encoded Address</t>
  </si>
  <si>
    <t>Crawl Timestamp</t>
  </si>
  <si>
    <t>https://salesxceleration.com/</t>
  </si>
  <si>
    <t>Fractional Sales Leadership. Full-Time Results.</t>
  </si>
  <si>
    <t>Fractional Sales Leaders</t>
  </si>
  <si>
    <t>A Sales System That Works</t>
  </si>
  <si>
    <t>text/html; charset=UTF-8</t>
  </si>
  <si>
    <t>OK</t>
  </si>
  <si>
    <t>Indexable</t>
  </si>
  <si>
    <t>Sales Xceleration | Outsourced &amp; Fractional Sales Leadership</t>
  </si>
  <si>
    <t>Sales Xceleration offers expert sales outsourcing services. Our outsourced VPs of Sales implement custom strategies to drive growth and improve sales performance.</t>
  </si>
  <si>
    <t>Case Studies</t>
  </si>
  <si>
    <t>follow, index, max-snippet:-1, max-video-preview:-1, max-image-preview:large</t>
  </si>
  <si>
    <t>Fairly Hard</t>
  </si>
  <si>
    <t>527b62052cd29133fd46d9a8ac7da70c</t>
  </si>
  <si>
    <t>en-US</t>
  </si>
  <si>
    <t>Poor</t>
  </si>
  <si>
    <t>Avoids redirects</t>
  </si>
  <si>
    <t>Server responded slowly (observed 666 ms)</t>
  </si>
  <si>
    <t>Applies text compression</t>
  </si>
  <si>
    <t>1 issue found</t>
  </si>
  <si>
    <t>4 resources found</t>
  </si>
  <si>
    <t>1 resource found</t>
  </si>
  <si>
    <t>21 resources found</t>
  </si>
  <si>
    <t>https://salesxceleration.com/wp-includes/js/jquery/ui/core.min.js?ver=1.13.3</t>
  </si>
  <si>
    <t>application/javascript</t>
  </si>
  <si>
    <t>Mon, 30 Jun 2025 09:09:57 GMT</t>
  </si>
  <si>
    <t>https://salesxceleration.com/privacy-policy/</t>
  </si>
  <si>
    <t>Privacy Policy</t>
  </si>
  <si>
    <t>Privacy Policy | Sales Xceleration</t>
  </si>
  <si>
    <t>Sales Xceleration Privacy Policy</t>
  </si>
  <si>
    <t>Normal</t>
  </si>
  <si>
    <t>90fff5e7b8045ce60a195168030ee65</t>
  </si>
  <si>
    <t>Good</t>
  </si>
  <si>
    <t>Server responds quickly (observed 170 ms)</t>
  </si>
  <si>
    <t>2 resources found</t>
  </si>
  <si>
    <t>https://salesxceleration.com/blog/</t>
  </si>
  <si>
    <t>Expert Sales Tips and Insights from Sales Xceleration</t>
  </si>
  <si>
    <t>Not sure where to start? Here are our top picks:</t>
  </si>
  <si>
    <t>Complete Library</t>
  </si>
  <si>
    <t>Sales Expert Blog | Sales Tips &amp; Insights | Sales Xceleration</t>
  </si>
  <si>
    <t>Explore Sales Xceleration's expert blog for valuable sales tips &amp; insights. Stay ahead with expert advice from industry leaders.</t>
  </si>
  <si>
    <t>ce57e6117f2da7436d8c7e3fda3baf61</t>
  </si>
  <si>
    <t>Server responds quickly (observed 181 ms)</t>
  </si>
  <si>
    <t>https://salesxceleration.com/wp-content/uploads/2025/02/Fractional-Sales-Leader-1-1024x929.jpg</t>
  </si>
  <si>
    <t>image/jpeg</t>
  </si>
  <si>
    <t>Wed, 26 Feb 2025 14:31:07 GMT</t>
  </si>
  <si>
    <t>https://salesxceleration.com/wp-includes/js/dist/hooks.min.js?ver=dd5603f07f9220ed27f1</t>
  </si>
  <si>
    <t>Fri, 02 Jan 2026 17:49:24 GMT</t>
  </si>
  <si>
    <t>Tailored Sales Solutions for Your Business</t>
  </si>
  <si>
    <t>Fractional Sales Leader: Your Source for Sales Success</t>
  </si>
  <si>
    <t>Certified Sales Operating Management SystemTM</t>
  </si>
  <si>
    <t>Expert Sales Consulting &amp; Growth Strategies | Sales Xceleration</t>
  </si>
  <si>
    <t>Unlock business success with Sales Xceleration's expert sales consulting and proven sales growth strategies to build a high-performing team and drive revenue growth.</t>
  </si>
  <si>
    <t>7fb40fed596000750dd96c59c0d6edf2</t>
  </si>
  <si>
    <t>Server responds quickly (observed 171 ms)</t>
  </si>
  <si>
    <t>https://salesxceleration.com/wp-content/plugins/elementor/assets/css/frontend.min.css?ver=3.34.0</t>
  </si>
  <si>
    <t>text/css</t>
  </si>
  <si>
    <t>Fri, 02 Jan 2026 17:29:45 GMT</t>
  </si>
  <si>
    <t>Sales Team Development Services</t>
  </si>
  <si>
    <t>Your Foundation for Scalable and Efficient Growth</t>
  </si>
  <si>
    <t>Read Real Success Stories</t>
  </si>
  <si>
    <t>Sales Team Development | Build, Lead &amp; Train High-Performing Sales Teams</t>
  </si>
  <si>
    <t>Develop your sales team with Sales Xceleration’s proven recruiting, leadership, and training solutions from experienced fractional leaders. Get connected today.</t>
  </si>
  <si>
    <t>fc7092c005ccb140fcb0f92815f24b98</t>
  </si>
  <si>
    <t>Server responds quickly (observed 516 ms)</t>
  </si>
  <si>
    <t>2025 State of Sales | Small to Mid-Size Businesses</t>
  </si>
  <si>
    <t>The State of Sales: Crafting High-Performing Sales Organizations</t>
  </si>
  <si>
    <t>Sales Strategy</t>
  </si>
  <si>
    <t>State of Sales Report | Trends and Insights | Sales Xceleration</t>
  </si>
  <si>
    <t>Get the latest sales performance trends and insights with Sales Xceleration's State of Sales report. Enhance your sales strategy.</t>
  </si>
  <si>
    <t>cfe8f6e611a808b12a2a28ed209d7de0</t>
  </si>
  <si>
    <t>Server responds quickly (observed 324 ms)</t>
  </si>
  <si>
    <t>22 resources found</t>
  </si>
  <si>
    <t>Fractional Sales Leadership for Private Equity</t>
  </si>
  <si>
    <t>Key Sales Challenges in Private Equity</t>
  </si>
  <si>
    <t>Why Fractional Sales Leadership Fits Private Equity</t>
  </si>
  <si>
    <t>Fractional Sales Leadership for Private Equity | Sales Xceleration</t>
  </si>
  <si>
    <t>Accelerate portfolio company growth with fractional sales leadership. We drive revenue and maximize exit multiples. Schedule a Consultation.</t>
  </si>
  <si>
    <t>5cd596601cdc2f7e876c4bb3fef0d1ef</t>
  </si>
  <si>
    <t>Server responds quickly (observed 339 ms)</t>
  </si>
  <si>
    <t>https://salesxceleration.com/wp-content/plugins/elementor-pro/assets/js/webpack-pro.runtime.min.js?ver=3.34.0</t>
  </si>
  <si>
    <t>Fri, 02 Jan 2026 17:52:08 GMT</t>
  </si>
  <si>
    <t>https://salesxceleration.com/wp-content/uploads/2022/09/ciobulletin-50-best-companies-to-watch-2022-logo.jpg</t>
  </si>
  <si>
    <t>Thu, 22 Sep 2022 17:13:23 GMT</t>
  </si>
  <si>
    <t>https://salesxceleration.com/wp-content/themes/salesxceleratione/assets/js/jquery.mixitup.js?ver=2.1.11</t>
  </si>
  <si>
    <t>Fri, 12 Nov 2021 15:43:34 GMT</t>
  </si>
  <si>
    <t>https://salesxceleration.com/wp-content/uploads/2025/04/logo-eos-300x198-1.png</t>
  </si>
  <si>
    <t>image/png</t>
  </si>
  <si>
    <t>Wed, 16 Apr 2025 14:18:45 GMT</t>
  </si>
  <si>
    <t>Electrical Manufacturing: Sales Strategy and Processes Provide Immediate Growth</t>
  </si>
  <si>
    <t>Executive Summary</t>
  </si>
  <si>
    <t>The Big Win</t>
  </si>
  <si>
    <t>Case Study - Electrical Manufacturer Grows 65%+ with Sales Strategy</t>
  </si>
  <si>
    <t>With expert guidance from an Outsourced VP of Sales, an electrical manufacturer achieved 20% quarterly growth, setting the stage for 65% year-over-year gains.</t>
  </si>
  <si>
    <t>32d1911981741b746084633baa3673fa</t>
  </si>
  <si>
    <t>Server responds quickly (observed 169 ms)</t>
  </si>
  <si>
    <t>https://salesxceleration.com/wp-content/plugins/elementor/assets/css/widget-video.min.css?ver=3.34.0</t>
  </si>
  <si>
    <t>https://salesxceleration.com/wp-content/uploads/elementor/google-fonts/css/robotoslab.css?ver=1744026309</t>
  </si>
  <si>
    <t>Mon, 07 Apr 2025 11:45:09 GMT</t>
  </si>
  <si>
    <t>https://salesxceleration.com/case-study/healthcare-consulting-driving-growth-through-effective-strategy-execution-and-training/</t>
  </si>
  <si>
    <t>Healthcare Consulting: Driving Growth Through Effective Strategy, Execution, and Training</t>
  </si>
  <si>
    <t>Case Study - Healthcare Company Grows 45% with Sales Strategy</t>
  </si>
  <si>
    <t>See how a healthcare consulting company partnered with an Outsourced VP of Sales to improve strategy execution, train teams, and drive sustainable growth.</t>
  </si>
  <si>
    <t>69d96f70d37d737e457b09b1cd80ef2</t>
  </si>
  <si>
    <t>Server responds quickly (observed 173 ms)</t>
  </si>
  <si>
    <t>https://salesxceleration.com/wp-content/plugins/elementor/assets/js/webpack.runtime.min.js?ver=3.34.0</t>
  </si>
  <si>
    <t>https://salesxceleration.com/wp-content/uploads/2023/05/spring23.png</t>
  </si>
  <si>
    <t>Mon, 15 May 2023 14:07:42 GMT</t>
  </si>
  <si>
    <t>https://salesxceleration.com/wp-content/plugins/elementor/assets/lib/font-awesome/css/fontawesome.min.css?ver=5.15.3</t>
  </si>
  <si>
    <t>Fractional Sales Leadership for Professional Services</t>
  </si>
  <si>
    <t>Scale Revenue in Competitive Markets</t>
  </si>
  <si>
    <t>Key Sales Challenges in Professional Services</t>
  </si>
  <si>
    <t>Fractional Sales Leadership for Professional Services | Sales Xceleration</t>
  </si>
  <si>
    <t>Sales Xceleration Infographic</t>
  </si>
  <si>
    <t>Build a scalable growth engine for your professional services firm with Sales Xceleration. Reduce referral reliance, boost win rates, and forecast clarity.</t>
  </si>
  <si>
    <t>Hard</t>
  </si>
  <si>
    <t>f6bb664fc3313b13b83cd42e4b1ff7d8</t>
  </si>
  <si>
    <t>Server responds quickly (observed 332 ms)</t>
  </si>
  <si>
    <t>https://salesxceleration.com/wp-content/uploads/2025/04/australia.png</t>
  </si>
  <si>
    <t>Fri, 11 Apr 2025 19:54:18 GMT</t>
  </si>
  <si>
    <t>https://salesxceleration.com/ai-statement/</t>
  </si>
  <si>
    <t>AI Statement</t>
  </si>
  <si>
    <t>AI Statement | Sales Xceleration</t>
  </si>
  <si>
    <t>In a world where AI is transforming businesses globally, Sales Xceleration recognizes its responsibility to share how we are harnessing this technology in an</t>
  </si>
  <si>
    <t>261a75fa614f3cdeb6c4fbb8c31d558a</t>
  </si>
  <si>
    <t>Server responds quickly (observed 168 ms)</t>
  </si>
  <si>
    <t>https://salesxceleration.com/podcasts/</t>
  </si>
  <si>
    <t>Sales Against The Odds</t>
  </si>
  <si>
    <t>Latest Episode</t>
  </si>
  <si>
    <t>Episode Library</t>
  </si>
  <si>
    <t>Sales Against The Odds Podcast | Sales Xceleration</t>
  </si>
  <si>
    <t>Tune into Sales Against The Odds, the podcast for SMB leaders. Host Lee Brumbaugh and expert guests share proven sales strategies to help you grow, even when the odds are stacked against you.</t>
  </si>
  <si>
    <t>1f250ab77ababefcca6cb53f7689af3c</t>
  </si>
  <si>
    <t>3 issues found</t>
  </si>
  <si>
    <t>https://salesxceleration.com/careers/</t>
  </si>
  <si>
    <t>VP of Sales Career Opportunities at Sales Xceleration</t>
  </si>
  <si>
    <t>Candidates Must Have the Following Background:</t>
  </si>
  <si>
    <t>We are currently hiring in the following cities:</t>
  </si>
  <si>
    <t>VP of Sales Careers | Sales Leadership Opportunities | Sales Xceleration</t>
  </si>
  <si>
    <t>Discover VP of Sales careers at Sales Xceleration. Explore great leadership opportunities and join our team of sales experts.</t>
  </si>
  <si>
    <t>3b06b135b8384a49615bd0a482c6c6df</t>
  </si>
  <si>
    <t>https://salesxceleration.com/sales-recruiting/</t>
  </si>
  <si>
    <t>Expert Sales Recruiting Services</t>
  </si>
  <si>
    <t>Our 6-Month Guarantee</t>
  </si>
  <si>
    <t>Why Sales Xceleration Recruiting?</t>
  </si>
  <si>
    <t>Sales Recruiting Services | Sales Xceleration</t>
  </si>
  <si>
    <t>Find top talent and build a high-performing sales team with expert guidance from fractional sales leaders, guaranteed results in 6-months.</t>
  </si>
  <si>
    <t>289c90a1e708b59d42b5d24280234205</t>
  </si>
  <si>
    <t>Server responds quickly (observed 329 ms)</t>
  </si>
  <si>
    <t>https://salesxceleration.com/wp-content/plugins/elementor/assets/lib/animations/styles/slideInLeft.min.css?ver=3.34.0</t>
  </si>
  <si>
    <t>https://salesxceleration.com/sales-connection/</t>
  </si>
  <si>
    <t>Sales Connection</t>
  </si>
  <si>
    <t>Sales Connection | Sales Xceleration</t>
  </si>
  <si>
    <t>SalesXceleration offers expert sales leadership strategies to boost growth and performance. Practical advice to elevate your business success.</t>
  </si>
  <si>
    <t>65060063aacbe4c73eb5aeaddcb2d79e</t>
  </si>
  <si>
    <t>Server responds quickly (observed 167 ms)</t>
  </si>
  <si>
    <t>3 resources found</t>
  </si>
  <si>
    <t>https://salesxceleration.com/wp-content/themes/salesxceleratione/style.css?ver=6.9</t>
  </si>
  <si>
    <t>Mon, 21 Apr 2025 18:05:17 GMT</t>
  </si>
  <si>
    <t>https://salesxceleration.com/consultants/</t>
  </si>
  <si>
    <t>Meet Our Outsourced VP of Sales</t>
  </si>
  <si>
    <t>Expert Sales Consultants | Outsourced Sales Leadership | Sales Xceleration</t>
  </si>
  <si>
    <t>Find expert sales consultants at Sales Xceleration. Discover how our fractional VP of Sales can drive your sales strategy and leadership success.</t>
  </si>
  <si>
    <t>ce33f07d8141fd211e1f595e694fefbf</t>
  </si>
  <si>
    <t>Server responds quickly (observed 347 ms)</t>
  </si>
  <si>
    <t>https://salesxceleration.com/ai-sales-tools-readiness-assessment/</t>
  </si>
  <si>
    <t>AI Readiness Check: Is Your Sales Organization Ready to Transform?</t>
  </si>
  <si>
    <t>AI Readiness Check: Is Your Sales Organization Ready to Transform? | Sales Xceleration</t>
  </si>
  <si>
    <t>Is your sales team leveraging AI effectively to support your sales efforts? Take this quick 10-question assessment to get your readiness score and a list of AI tools designed to address common sales challenges and enhance your sales process to drive results.</t>
  </si>
  <si>
    <t>Easy</t>
  </si>
  <si>
    <t>cda7b5a68fc6c4fe98695b9cc94e690c</t>
  </si>
  <si>
    <t>https://salesxceleration.com/wp-content/themes/salesxceleratione/assets/js/jquery.fancybox.min.js?ver=3.5.7</t>
  </si>
  <si>
    <t>https://salesxceleration.com/wp-content/plugins/elementor-pro/assets/js/elements-handlers.min.js?ver=3.34.0</t>
  </si>
  <si>
    <t>https://salesxceleration.com/wp-content/plugins/advanced-iframe/js/ai.min.js?ver=502409</t>
  </si>
  <si>
    <t>Fri, 02 Jan 2026 17:29:26 GMT</t>
  </si>
  <si>
    <t>https://salesxceleration.com/become-a-consultant/</t>
  </si>
  <si>
    <t>Empowering You to Build Your Own Sales Consultancy Business</t>
  </si>
  <si>
    <t>Your Path to Success</t>
  </si>
  <si>
    <t>Wondering if Sales Xceleration Is the Right Fit?</t>
  </si>
  <si>
    <t>Become an Independent Sales Consultant | Sales Xceleration</t>
  </si>
  <si>
    <t>Ready to become a sales consultant? Join Sales Xceleration and leverage your expertise to help businesses grow with tailored sales strategies and leadership.</t>
  </si>
  <si>
    <t>4c8dc560c67d3ee09bdd1b2fb26ec0bc</t>
  </si>
  <si>
    <t>Server responds quickly (observed 191 ms)</t>
  </si>
  <si>
    <t>23 resources found</t>
  </si>
  <si>
    <t>https://salesxceleration.com/news-events/</t>
  </si>
  <si>
    <t>Sales Xceleration News and Upcoming Events</t>
  </si>
  <si>
    <t>Sales Xceleration Introduces Fractional Sales Leaders in Multiple Key Markets</t>
  </si>
  <si>
    <t>Top Sales Experts Join Sales Xceleration to Boost Small Business Success</t>
  </si>
  <si>
    <t>Latest News and Events in Sales | Sales Xceleration</t>
  </si>
  <si>
    <t>Stay updated with the latest sales news and events from Sales Xceleration. Learn about our webinars, conferences, and more.</t>
  </si>
  <si>
    <t>d17a82ea96d68ef1e1aef683bb2ffc7b</t>
  </si>
  <si>
    <t>Server responds quickly (observed 174 ms)</t>
  </si>
  <si>
    <t>https://salesxceleration.com/wp-content/uploads/2025/02/Regional-partner-24-North-America-bg.png</t>
  </si>
  <si>
    <t>Thu, 13 Feb 2025 19:47:31 GMT</t>
  </si>
  <si>
    <t>Accelerate Your Sales Success with Proven Expertise</t>
  </si>
  <si>
    <t>Maximizing Sales Growth</t>
  </si>
  <si>
    <t>Certified Sales Leadership</t>
  </si>
  <si>
    <t>Portfolio Company | Sales Xceleration</t>
  </si>
  <si>
    <t>Over 6,000 small to mid-sized privately held and portfolio companies have trusted us to enhance their sales operations and drive revenue growth.</t>
  </si>
  <si>
    <t>4c342d25a7565031715af76beba6d136</t>
  </si>
  <si>
    <t>https://salesxceleration.com/wp-content/plugins/cookie-law-info/legacy/public/css/cookie-law-info-public.css?ver=3.3.9.1</t>
  </si>
  <si>
    <t>Fri, 02 Jan 2026 17:29:34 GMT</t>
  </si>
  <si>
    <t>https://salesxceleration.com/wp-content/uploads/elementor/thumbs/Flag_of_Australia.svg-r4g46qz9ltlqws3p70qavt5l3jm99riysjikntibkm.png</t>
  </si>
  <si>
    <t>Wed, 16 Apr 2025 14:24:41 GMT</t>
  </si>
  <si>
    <t>https://salesxceleration.com/free-sales-resources/</t>
  </si>
  <si>
    <t>Free Sales Tools and Resources</t>
  </si>
  <si>
    <t>The AI Security Playbook: 6 Essentials Every Sales Organization Needs</t>
  </si>
  <si>
    <t>Free Sales Resources &amp; Tools | Sales Xceleration</t>
  </si>
  <si>
    <t>Access a wide range of free sales resources and tools to enhance your sales strategies and performance. Download guides, templates, and more.</t>
  </si>
  <si>
    <t>1c4392bfe9c334cf8b16774fca19541a</t>
  </si>
  <si>
    <t>Server responds quickly (observed 190 ms)</t>
  </si>
  <si>
    <t>https://salesxceleration.com/about-sales-xceleration/</t>
  </si>
  <si>
    <t>About Sales Xceleration</t>
  </si>
  <si>
    <t>Meet Our Leadership Team</t>
  </si>
  <si>
    <t>The Story of Sales Xceleration | Sales Xceleration</t>
  </si>
  <si>
    <t>Discover the history of Sales Xceleration, from its groundbreaking vision to becoming a leader in outsourced sales leadership. Learn about our journey and growth.</t>
  </si>
  <si>
    <t>fe8ee084992d3963ec9620f308ca1dc5</t>
  </si>
  <si>
    <t>https://salesxceleration.com/wp-content/plugins/elementor/assets/css/widget-social-icons.min.css?ver=3.34.0</t>
  </si>
  <si>
    <t>https://salesxceleration.com/sales-leadership-training/</t>
  </si>
  <si>
    <t>Sales Training Consultants</t>
  </si>
  <si>
    <t>Sales Training Programs</t>
  </si>
  <si>
    <t>Sales Rep Training and Application Coaching</t>
  </si>
  <si>
    <t>Sales Training Consultants - Sales Mentoring &amp; Coaching Programs</t>
  </si>
  <si>
    <t>SalesXceleration offers expert training programs to grow your sales teams and strengthen your leadership layer for profitability.</t>
  </si>
  <si>
    <t>c125920efa6cce5520079e35abe6770d</t>
  </si>
  <si>
    <t>Server responds quickly (observed 336 ms)</t>
  </si>
  <si>
    <t>https://salesxceleration.com/wp-content/plugins/elementor/assets/css/conditionals/apple-webkit.min.css?ver=3.34.0</t>
  </si>
  <si>
    <t>https://salesxceleration.com/html-sitemap/</t>
  </si>
  <si>
    <t>HTML Sitemap</t>
  </si>
  <si>
    <t>HTML Sitemap | Sales Xceleration</t>
  </si>
  <si>
    <t>Sales Xceleration Outsourced VP of Sales</t>
  </si>
  <si>
    <t>2529645dae6935d1cb580efaa37b0b11</t>
  </si>
  <si>
    <t>https://salesxceleration.com/wp-content/plugins/powerpack-elements/assets/lib/tooltipster/tooltipster.min.js?ver=2.12.15</t>
  </si>
  <si>
    <t>Fri, 02 Jan 2026 17:30:38 GMT</t>
  </si>
  <si>
    <t>https://salesxceleration.com/wp-content/uploads/elementor/css/post-40969.css?ver=1768845972</t>
  </si>
  <si>
    <t>Mon, 19 Jan 2026 18:06:12 GMT</t>
  </si>
  <si>
    <t>https://salesxceleration.com/wp-content/plugins/elementor/assets/css/widget-icon-list.min.css?ver=3.34.0</t>
  </si>
  <si>
    <t>https://salesxceleration.com/wp-content/plugins/elementor/assets/js/frontend-modules.min.js?ver=3.34.0</t>
  </si>
  <si>
    <t>Sales Management Consulting Services</t>
  </si>
  <si>
    <t>Transform Your Sales with Proven Expertise</t>
  </si>
  <si>
    <t>How We Build Your Sales Success</t>
  </si>
  <si>
    <t>Sales Management Consulting | Sales Xceleration</t>
  </si>
  <si>
    <t>Elevate your SMB with Sales Xceleration’s fractional sales management solutions. Our expert consultants drive performance, streamline processes, and deliver measurable growth. Request a free consultation today!</t>
  </si>
  <si>
    <t>69d6e0ac354569abcac4605849a0b4a7</t>
  </si>
  <si>
    <t>Server responds quickly (observed 514 ms)</t>
  </si>
  <si>
    <t>https://salesxceleration.com/ebooks/</t>
  </si>
  <si>
    <t>Sales eBooks for SMBs from Sales Xceleration</t>
  </si>
  <si>
    <t>Unlock Sales Growth with AI</t>
  </si>
  <si>
    <t>State of Sales: Small to Mid-Size Business</t>
  </si>
  <si>
    <t>Sales eBooks for SMBs | Sales Xceleration</t>
  </si>
  <si>
    <t>Download free sales eBooks from Sales Xceleration for SMBs. Improve sales strategies and performance with expert insights and training materials.</t>
  </si>
  <si>
    <t>e2a882c91091a35f4f3d4aab251d05c8</t>
  </si>
  <si>
    <t>Fractional Sales Leadership for Tech Companies</t>
  </si>
  <si>
    <t>Key Sales Challenges in the Tech Space</t>
  </si>
  <si>
    <t>Non-Indexable</t>
  </si>
  <si>
    <t>Canonicalised</t>
  </si>
  <si>
    <t>Fractional Sales Leadership for Tech Businesses | Sales Xceleration | Sales Xceleration</t>
  </si>
  <si>
    <t>Tailored systems designed to overcome the unique challenges in the tech industry, delivering measurable revenue growth and scalable systems.</t>
  </si>
  <si>
    <t>https://salesxceleration.com/technology/</t>
  </si>
  <si>
    <t>541e4100bff0435a3a752569c0c7a46e</t>
  </si>
  <si>
    <t>https://salesxceleration.com/wp-content/plugins/elementor/assets/js/frontend.min.js?ver=3.34.0</t>
  </si>
  <si>
    <t>https://salesxceleration.com/wp-content/uploads/2024/04/Revitalizing-Sales-Strategy-for-Sustained-Growth-Cover.jpg</t>
  </si>
  <si>
    <t>Wed, 08 May 2024 18:13:36 GMT</t>
  </si>
  <si>
    <t>https://salesxceleration.com/wp-content/plugins/elementor/assets/lib/animations/styles/fadeInUp.min.css?ver=3.34.0</t>
  </si>
  <si>
    <t>https://salesxceleration.com/wp-content/plugins/elementor/assets/css/widget-divider.min.css?ver=3.34.0</t>
  </si>
  <si>
    <t>Fractional Sales Leadership for Manufacturing Companies</t>
  </si>
  <si>
    <t>Key Sales Challenges in Manufacturing</t>
  </si>
  <si>
    <t>Fractional VP of Sales for Manufacturing | Sales Xceleration</t>
  </si>
  <si>
    <t>Tailored systems designed to overcome the unique challenges in the manufacturing industry, delivering measurable revenue growth and scalable systems.</t>
  </si>
  <si>
    <t>48e379aaabf01c717361394b310220fc</t>
  </si>
  <si>
    <t>Server responds quickly (observed 337 ms)</t>
  </si>
  <si>
    <t>https://salesxceleration.com/wp-content/themes/salesxceleratione/assets/js/slick-1.8.1.min.js?ver=1.8.1</t>
  </si>
  <si>
    <t>https://salesxceleration.com/wp-content/plugins/powerpack-elements/assets/css/min/extensions.min.css?ver=2.12.15</t>
  </si>
  <si>
    <t>https://salesxceleration.com/wp-content/uploads/2021/02/thumb-consulting-cs.jpg</t>
  </si>
  <si>
    <t>Mon, 03 Jan 2022 14:44:53 GMT</t>
  </si>
  <si>
    <t>https://salesxceleration.com/wp-content/uploads/elementor/css/post-68977.css?ver=1768845999</t>
  </si>
  <si>
    <t>Mon, 19 Jan 2026 18:06:39 GMT</t>
  </si>
  <si>
    <t>https://salesxceleration.com/wp-content/uploads/2021/06/logo-sales-xceleration-ko-1024x231.png</t>
  </si>
  <si>
    <t>Mon, 19 Jan 2026 16:38:16 GMT</t>
  </si>
  <si>
    <t>https://salesxceleration.com/wp-includes/js/dist/i18n.min.js?ver=c26c3dc7bed366793375</t>
  </si>
  <si>
    <t>Fractional Sales Leadership for Franchises</t>
  </si>
  <si>
    <t>Key Sales Challenges in Franchising</t>
  </si>
  <si>
    <t>Why Fractional Sales Leadership Fits Franchises</t>
  </si>
  <si>
    <t>Fractional Sales Leadership for Franchises | Sales Xceleration</t>
  </si>
  <si>
    <t>Scale your franchise network with proven sales leadership. We standardize franchisee recruitment, build repeatable sales playbooks, and drive unit-level revenue growth.</t>
  </si>
  <si>
    <t>84252576710167807ae2fae92523048c</t>
  </si>
  <si>
    <t>Server responds quickly (observed 333 ms)</t>
  </si>
  <si>
    <t>Creating Scalable, Profitable Revenue Growth</t>
  </si>
  <si>
    <t>Our Advisors have a proven track record of collaborating with PE Firms</t>
  </si>
  <si>
    <t>Maximize Your Return on Investment</t>
  </si>
  <si>
    <t>Improve Sales Performance &amp; Quality | Sales Xceleration</t>
  </si>
  <si>
    <t>Boost sales with Sales Xceleration's Quality of Sales program. Our strategies drive revenue growth and enterprise value for private equity and portfolio companies.</t>
  </si>
  <si>
    <t>5c5915357c222e3fe4dd0b49fb6b8aeb</t>
  </si>
  <si>
    <t>Artificial Intelligence (AI) for Sales</t>
  </si>
  <si>
    <t>Embrace AI to Enhance Sales Strategies</t>
  </si>
  <si>
    <t>AI for Sales | Sales Xceleration</t>
  </si>
  <si>
    <t>Discover how AI for sales can revolutionize your sales processes. Learn how AI-driven tools can enhance lead generation, forecasting, and team performance.</t>
  </si>
  <si>
    <t>25cf8f6e65e2dbd7ea16d2e42e8d37fc</t>
  </si>
  <si>
    <t>https://salesxceleration.com/how-we-serve/</t>
  </si>
  <si>
    <t>How We Serve</t>
  </si>
  <si>
    <t>“Integrity, character and ethics, lived out in service for others"</t>
  </si>
  <si>
    <t>Sales Xceleration Day of Giving</t>
  </si>
  <si>
    <t>Our Sales Consulting Services | Sales Xceleration</t>
  </si>
  <si>
    <t>Discover how Sales Xceleration provides expert sales consulting services, including strategy, leadership, and support to drive your business growth.</t>
  </si>
  <si>
    <t>Fairly Easy</t>
  </si>
  <si>
    <t>c9cf04a6fbb9364a2a2e1ebd9589d929</t>
  </si>
  <si>
    <t>Server responds quickly (observed 178 ms)</t>
  </si>
  <si>
    <t>https://salesxceleration.com/wp-content/uploads/2021/11/Canda-shadow.png</t>
  </si>
  <si>
    <t>Mon, 03 Jan 2022 14:07:50 GMT</t>
  </si>
  <si>
    <t>https://salesxceleration.com/wp-content/plugins/elementor/assets/css/widget-heading.min.css?ver=3.34.0</t>
  </si>
  <si>
    <t>https://salesxceleration.com/wp-content/uploads/2025/03/nomask-1024x578.jpg</t>
  </si>
  <si>
    <t>Mon, 17 Mar 2025 18:22:48 GMT</t>
  </si>
  <si>
    <t>https://salesxceleration.com/wp-content/uploads/2025/02/SX-2-1024x684.jpg</t>
  </si>
  <si>
    <t>Wed, 26 Feb 2025 14:22:07 GMT</t>
  </si>
  <si>
    <t>https://salesxceleration.com/frequently-asked-questions/</t>
  </si>
  <si>
    <t>Frequently Asked Questions</t>
  </si>
  <si>
    <t>General Questions</t>
  </si>
  <si>
    <t>Engagement &amp; Pricing</t>
  </si>
  <si>
    <t>Frequently Asked Questions | Sales Xceleration</t>
  </si>
  <si>
    <t>What does Sales Xceleration do?</t>
  </si>
  <si>
    <t>281a129dc721c9e412725769713995ef</t>
  </si>
  <si>
    <t>https://salesxceleration.com/wp-content/uploads/elementor/css/post-51707.css?ver=1768845927</t>
  </si>
  <si>
    <t>Mon, 19 Jan 2026 18:05:27 GMT</t>
  </si>
  <si>
    <t>https://salesxceleration.com/wp-content/plugins/powerpack-elements/assets/js/min/pp-bg-effects.min.js?ver=1.0.0</t>
  </si>
  <si>
    <t>https://salesxceleration.com/wp-content/plugins/elementor/assets/css/widget-image.min.css?ver=3.34.0</t>
  </si>
  <si>
    <t>https://salesxceleration.com/wp-content/uploads/2025/02/Untitled-design-13.png</t>
  </si>
  <si>
    <t>Wed, 26 Feb 2025 14:56:11 GMT</t>
  </si>
  <si>
    <t>https://salesxceleration.com/wp-content/uploads/2025/03/mask-1024x978.png</t>
  </si>
  <si>
    <t>Mon, 17 Mar 2025 18:22:11 GMT</t>
  </si>
  <si>
    <t>https://salesxceleration.com/wp-includes/js/jquery/jquery-migrate.min.js?ver=3.4.1</t>
  </si>
  <si>
    <t>Wed, 04 Oct 2023 20:05:04 GMT</t>
  </si>
  <si>
    <t>https://salesxceleration.com/wp-content/uploads/elementor/css/post-208.css?ver=1768845927</t>
  </si>
  <si>
    <t>Private Equity Growth with Expert Sales Strategies</t>
  </si>
  <si>
    <t>Accelerate Growth. Maximize Returns.</t>
  </si>
  <si>
    <t>Maximizing Organic Growth</t>
  </si>
  <si>
    <t>Private Equity Sales Solutions | Sales Xceleration</t>
  </si>
  <si>
    <t>Discover Sales Xceleration’s private equity solutions, designed to maximize sales potential, drive growth, and improve portfolio company value in any market.</t>
  </si>
  <si>
    <t>a7641d21b0d12ddde1ccc184e1c2b6a1</t>
  </si>
  <si>
    <t>Server responds quickly (observed 176 ms)</t>
  </si>
  <si>
    <t>https://salesxceleration.com/wp-content/plugins/wp-job-manager/assets/dist/css/job-listings.css?ver=598383a28ac5f9f156e4</t>
  </si>
  <si>
    <t>Mon, 04 Nov 2024 07:39:17 GMT</t>
  </si>
  <si>
    <t>https://salesxceleration.com/wp-content/plugins/elementor/assets/lib/font-awesome/css/solid.min.css?ver=5.15.3</t>
  </si>
  <si>
    <t>https://salesxceleration.com/wp-content/plugins/powerpack-elements/assets/css/min/tooltip.min.css?ver=2.12.15</t>
  </si>
  <si>
    <t>https://salesxceleration.com/case-studies</t>
  </si>
  <si>
    <t>Moved Permanently</t>
  </si>
  <si>
    <t>Redirected</t>
  </si>
  <si>
    <t>https://salesxceleration.com/case-studies/</t>
  </si>
  <si>
    <t>HTTP Redirect</t>
  </si>
  <si>
    <t>https://salesxceleration.com/wp-content/uploads/2023/05/2023-logo.png</t>
  </si>
  <si>
    <t>Wed, 17 May 2023 21:02:07 GMT</t>
  </si>
  <si>
    <t>Sales Infrastructure Consulting Services</t>
  </si>
  <si>
    <t>What is Sales Infrastructure?</t>
  </si>
  <si>
    <t>Sales Infrastructure Consulting Services | Sales Xceleration</t>
  </si>
  <si>
    <t>Build a foundation for growth with our sales infrastructure consulting services. Our fractional sales leaders design scalable systems to drive predictable revenue.</t>
  </si>
  <si>
    <t>e251459dede262c2dd912141b05087d0</t>
  </si>
  <si>
    <t>Server responds quickly (observed 518 ms)</t>
  </si>
  <si>
    <t>https://salesxceleration.com/wp-content/plugins/elementor-pro/assets/js/frontend.min.js?ver=3.34.0</t>
  </si>
  <si>
    <t>Sales Strategy Consulting Services</t>
  </si>
  <si>
    <t>Build Your Sales Strategy with Our Proven Framework</t>
  </si>
  <si>
    <t>Sales Strategy Consultants | Sales Xceleration</t>
  </si>
  <si>
    <t>Unlock up to 32% sales growth with SalesXceleration's tailored strategies from experienced fractional VPs.</t>
  </si>
  <si>
    <t>a689d1d05fabbee31fe683518d34812e</t>
  </si>
  <si>
    <t>Server responds quickly (observed 523 ms)</t>
  </si>
  <si>
    <t>https://salesxceleration.com/news-events/sales-xceleration-recognized-as-pipedrives-regional-partner-of-the-year-north-america-2024/</t>
  </si>
  <si>
    <t>Sales Xceleration Recognized as Pipedrive’s Regional Partner of the Year North America 2024</t>
  </si>
  <si>
    <t>About Pipedrive</t>
  </si>
  <si>
    <t>Sales Xceleration Recognized as Pipedrive’s Regional Partner of the Year North America 2024 | Sales Xceleration</t>
  </si>
  <si>
    <t>Indianapolis, 18 February 2025 - Sales Xceleration announced today it has been recognized as the Regional Partner of the Year North America 2024 of Pipedrive,</t>
  </si>
  <si>
    <t>4e9731afbebcbf7c35b10db3e49292e3</t>
  </si>
  <si>
    <t>https://salesxceleration.com/wp-content/uploads/2022/05/logo-acg.jpg</t>
  </si>
  <si>
    <t>Mon, 09 May 2022 19:36:41 GMT</t>
  </si>
  <si>
    <t>Fractional Sales Leadership for Financial Services</t>
  </si>
  <si>
    <t>Key Sales Challenges in Financial Services</t>
  </si>
  <si>
    <t>Fractional Sales Leadership for Financial Services | Sales Xceleration</t>
  </si>
  <si>
    <t>Drive growth in banking, wealth, or fintech. Sales Xceleration offers fractional sales leadership tailored to the challenges of the financial services industry.</t>
  </si>
  <si>
    <t>a7a8bfbe1f3db636e094c4897720e4c0</t>
  </si>
  <si>
    <t>https://salesxceleration.com/wp-content/uploads/2025/02/Untitled-design-11.png</t>
  </si>
  <si>
    <t>Wed, 26 Feb 2025 14:17:07 GMT</t>
  </si>
  <si>
    <t>https://salesxceleration.com/contact-us/</t>
  </si>
  <si>
    <t>Contact Us</t>
  </si>
  <si>
    <t>noindex</t>
  </si>
  <si>
    <t>Contact Us New | Sales Xceleration</t>
  </si>
  <si>
    <t>For vendor inquiries, please send a brief overview to info@salesxceleration.com. </t>
  </si>
  <si>
    <t>follow, noindex</t>
  </si>
  <si>
    <t>65bb113a9c7ae8b33523c613b2a97a27</t>
  </si>
  <si>
    <t>Server responds quickly (observed 175 ms)</t>
  </si>
  <si>
    <t>https://salesxceleration.com/wp-content/uploads/2022/06/50-Fastest-Companies-2022_Award-Logo.png</t>
  </si>
  <si>
    <t>Fri, 24 Jun 2022 16:01:18 GMT</t>
  </si>
  <si>
    <t>https://salesxceleration.com/wp-content/themes/salesxceleratione/assets/css/style.css?ver=1769123309</t>
  </si>
  <si>
    <t>Thu, 22 Jan 2026 23:08:52 GMT</t>
  </si>
  <si>
    <t>https://salesxceleration.com/wp-content/uploads/2025/02/2024-Bronze.png</t>
  </si>
  <si>
    <t>Tue, 04 Feb 2025 22:18:03 GMT</t>
  </si>
  <si>
    <t>https://salesxceleration.com/wp-includes/js/comment-reply.min.js?ver=6.9</t>
  </si>
  <si>
    <t>Mon, 09 Dec 2024 14:46:30 GMT</t>
  </si>
  <si>
    <t>https://salesxceleration.com/wp-content/plugins/elementor-pro/assets/css/widget-search-form.min.css?ver=3.34.0</t>
  </si>
  <si>
    <t>https://salesxceleration.com/wp-content/plugins/elementor/assets/lib/font-awesome/css/brands.min.css?ver=5.15.3</t>
  </si>
  <si>
    <t>https://salesxceleration.com/wp-content/uploads/2021/04/banner-Case-Study_Electrical-Manufacturing_SX-1.jpg</t>
  </si>
  <si>
    <t>Mon, 03 Jan 2022 14:37:38 GMT</t>
  </si>
  <si>
    <t>https://salesxceleration.com/wp-content/uploads/elementor/google-fonts/css/opensans.css?ver=1744026297</t>
  </si>
  <si>
    <t>Mon, 07 Apr 2025 11:44:57 GMT</t>
  </si>
  <si>
    <t>https://salesxceleration.com/wp-content/plugins/cookie-law-info/legacy/admin/modules/ccpa/assets/js/cookie-law-info-ccpa.js?ver=3.3.9.1</t>
  </si>
  <si>
    <t>https://salesxceleration.com/wp-content/uploads/elementor/thumbs/flag-ca-qsy48896ixcc9g1ro2b2sy1wwfemlnww1mrc4wg9hy.jpg</t>
  </si>
  <si>
    <t>Wed, 21 Aug 2024 18:19:06 GMT</t>
  </si>
  <si>
    <t>https://salesxceleration.com/wp-content/plugins/cookie-law-info/legacy/public/css/cookie-law-info-gdpr.css?ver=3.3.9.1</t>
  </si>
  <si>
    <t>https://salesxceleration.com/wp-content/uploads/elementor/thumbs/flag-usa-qsy48970prdml20eikppdftdht9ztd0mdretm6evbq.jpg</t>
  </si>
  <si>
    <t>Wed, 21 Aug 2024 18:19:13 GMT</t>
  </si>
  <si>
    <t>https://salesxceleration.com/wp-content/plugins/powerpack-elements/assets/js/min/frontend-tooltip.min.js?ver=2.12.15</t>
  </si>
  <si>
    <t>https://salesxceleration.com/wp-content/plugins/image-map-pro-wordpress/js/image-map-pro.min.js?ver=5.3.2</t>
  </si>
  <si>
    <t>Fri, 12 Nov 2021 15:44:31 GMT</t>
  </si>
  <si>
    <t>https://salesxceleration.com/wp-content/plugins/cookie-law-info/legacy/public/js/cookie-law-info-public.js?ver=3.3.9.1</t>
  </si>
  <si>
    <t>https://salesxceleration.com/private-equity-solutions/case-studies/</t>
  </si>
  <si>
    <t>Private Equity Case Studies</t>
  </si>
  <si>
    <t>Let’s build your path to profitability, together.</t>
  </si>
  <si>
    <t>Private Equity Sales Case Studies | Sales Xceleration</t>
  </si>
  <si>
    <t>Explore how Sales Xceleration helped private equity firms optimize sales strategies and achieve significant growth through targeted, results-driven case studies.</t>
  </si>
  <si>
    <t>3fd06c9cb68385ad4baebc1f19357d8b</t>
  </si>
  <si>
    <t>Server responds quickly (observed 189 ms)</t>
  </si>
  <si>
    <t>https://salesxceleration.com/wp-content/plugins/powerpack-elements/assets/css/min/widget-advanced-menu.min.css?ver=2.12.15</t>
  </si>
  <si>
    <t>https://salesxceleration.com/wp-content/plugins/download-monitor/assets/js/dlm-xhr.min.js?ver=5.1.6</t>
  </si>
  <si>
    <t>Fri, 02 Jan 2026 17:29:38 GMT</t>
  </si>
  <si>
    <t>https://salesxceleration.com/sales-agility-assessment/</t>
  </si>
  <si>
    <t>Evaluation of Sales Performance</t>
  </si>
  <si>
    <t>Sales Agility Assessment® | Evaluation of Sales Performance | Sales Xceleration</t>
  </si>
  <si>
    <t>Find out how your sales performance is doing with our Sales Agility Assessment® – Expert Evaluation for Optimal Results. Elevate Your Sales Strategy Today!</t>
  </si>
  <si>
    <t>c49b09e408c94a1e797f79cfd20473a4</t>
  </si>
  <si>
    <t>Server responds quickly (observed 331 ms)</t>
  </si>
  <si>
    <t>https://salesxceleration.com/wp-content/plugins/elementor-pro/assets/css/conditionals/popup.min.css?ver=3.34.0</t>
  </si>
  <si>
    <t>https://salesxceleration.com/wp-content/plugins/powerpack-elements/assets/js/smartmenus-keyboard.js?ver=1.0.0</t>
  </si>
  <si>
    <t>https://salesxceleration.com/wp-content/uploads/elementor/css/post-64135.css?ver=1768845972</t>
  </si>
  <si>
    <t>https://salesxceleration.com/wp-content/plugins/powerpack-elements/assets/css/min/widget-logo-grid.min.css?ver=2.12.15</t>
  </si>
  <si>
    <t>https://salesxceleration.com/wp-content/uploads/2021/07/award-3.svg</t>
  </si>
  <si>
    <t>image/svg+xml</t>
  </si>
  <si>
    <t>Fri, 12 Nov 2021 15:53:38 GMT</t>
  </si>
  <si>
    <t>https://salesxceleration.com/wp-content/plugins/ewww-image-optimizer/includes/lazysizes.min.js?ver=831</t>
  </si>
  <si>
    <t>Fri, 02 Jan 2026 17:30:04 GMT</t>
  </si>
  <si>
    <t>https://salesxceleration.com/wp-content/uploads/elementor/css/post-68900.css?ver=1768845927</t>
  </si>
  <si>
    <t>https://salesxceleration.com/testimonials/</t>
  </si>
  <si>
    <t>Client Testimonials and Success Stories from Sales Xceleration</t>
  </si>
  <si>
    <t>Client Testimonials and Success Stories | Sales Xceleration</t>
  </si>
  <si>
    <t>Read client testimonials and success stories showcasing how Sales Xceleration's expert consultants have driven sales growth and organizational improvements.</t>
  </si>
  <si>
    <t>2860ca50e010b6cf946ab6b41771344</t>
  </si>
  <si>
    <t>https://salesxceleration.com/wp-content/themes/salesxceleratione/assets/js/scripts.js</t>
  </si>
  <si>
    <t>Wed, 16 Aug 2023 11:30:40 GMT</t>
  </si>
  <si>
    <t>https://salesxceleration.com/wp-content/uploads/elementor/css/post-72016.css?ver=1768845927</t>
  </si>
  <si>
    <t>https://salesxceleration.com/wp-content/uploads/elementor/thumbs/flag-uk-qsy487bcc3b1xu34tjwg8gagb1j9dyt5pi3unmhno6.jpg</t>
  </si>
  <si>
    <t>Wed, 21 Aug 2024 18:18:47 GMT</t>
  </si>
  <si>
    <t>https://salesxceleration.com/wp-content/plugins/elementor/assets/css/widget-icon-box.min.css?ver=3.34.0</t>
  </si>
  <si>
    <t>Sales Success Stories and Case Studies</t>
  </si>
  <si>
    <t>Featured Case Studies</t>
  </si>
  <si>
    <t>Sales Success Stories | Case Studies | Sales Xceleration</t>
  </si>
  <si>
    <t>Explore sales success stories and case studies demonstrating how Sales Xceleration drives sales continuous growth and improve strategy.</t>
  </si>
  <si>
    <t>c52b7df6dbb9b8a14fe2a101723db413</t>
  </si>
  <si>
    <t>Server responds quickly (observed 180 ms)</t>
  </si>
  <si>
    <t>https://salesxceleration.com/wp-content/plugins/image-map-pro-wordpress/css/image-map-pro.min.css?ver=5.3.2</t>
  </si>
  <si>
    <t>Fri, 12 Nov 2021 15:44:29 GMT</t>
  </si>
  <si>
    <t>https://salesxceleration.com/case-study/revitalizing-sales-strategy-for-sustained-growth-human-resources-case-study/</t>
  </si>
  <si>
    <t>Payroll Human Resources: Revitalizing Sales Strategy for Sustained Growth</t>
  </si>
  <si>
    <t>Company Profile</t>
  </si>
  <si>
    <t>Sales Success Snapshot</t>
  </si>
  <si>
    <t>Case Study: HR Payroll Firm Revamps Sales Strategy, Grows by 13%</t>
  </si>
  <si>
    <t>Leveraging the expertise of an Outsourced VP of Sales was a game-changer, revamping sales strategies, recruiting pivotal sales personnel, and optimizing sales tools.</t>
  </si>
  <si>
    <t>4e90b0682b5ecbc2b1ce9a0fb332413e</t>
  </si>
  <si>
    <t>Server responds quickly (observed 192 ms)</t>
  </si>
  <si>
    <t>Fractional Sales Leadership for Legal Firms</t>
  </si>
  <si>
    <t>Key Sales Challenges in the Legal Industry</t>
  </si>
  <si>
    <t>Why Fractional Sales Leadership Fits Legal Firms</t>
  </si>
  <si>
    <t>Fractional Sales Leadership for Legal Firms | Sales Xceleration</t>
  </si>
  <si>
    <t>Our fractional sales leaders for legal firms build trust-based BD systems, increase client acquisition, and drive partner accountability. Schedule a Consultation.</t>
  </si>
  <si>
    <t>54a777d2509c2cd8132dad89b2e45cc5</t>
  </si>
  <si>
    <t>Server responds quickly (observed 377 ms)</t>
  </si>
  <si>
    <t>https://salesxceleration.com/wp-content/plugins/powerpack-elements/assets/lib/particles/particles.min.js?ver=2.0.0</t>
  </si>
  <si>
    <t>https://salesxceleration.com/industries/</t>
  </si>
  <si>
    <t>Industries We Serve</t>
  </si>
  <si>
    <t>Industry-Recognized for Driving Growth</t>
  </si>
  <si>
    <t>Proven Sales Leadership for Your Industry</t>
  </si>
  <si>
    <t>Sales Leadership for Diverse Industries | Sales Xceleration</t>
  </si>
  <si>
    <t>Explore how Sales Xceleration’s fractional sales VPs help businesses grow across industries like manufacturing, technology, and healthcare with tailored solutions.</t>
  </si>
  <si>
    <t>a506632608d914617e2d70de052a61e3</t>
  </si>
  <si>
    <t>Server responded slowly (observed 1540 ms)</t>
  </si>
  <si>
    <t>https://salesxceleration.com/wp-content/plugins/elementor/assets/lib/font-awesome/css/regular.min.css?ver=5.15.3</t>
  </si>
  <si>
    <t>https://salesxceleration.com/wp-content/plugins/elementor/assets/lib/eicons/css/elementor-icons.min.css?ver=5.45.0</t>
  </si>
  <si>
    <t>https://salesxceleration.com/cdn-cgi/scripts/5c5dd728/cloudflare-static/email-decode.min.js</t>
  </si>
  <si>
    <t>https://salesxceleration.com/wp-content/uploads/2021/07/award-5.svg</t>
  </si>
  <si>
    <t>Fri, 12 Nov 2021 15:53:37 GMT</t>
  </si>
  <si>
    <t>https://salesxceleration.com/wp-content/plugins/powerpack-elements/assets/js/min/frontend-advanced-menu.min.js?ver=2.12.15</t>
  </si>
  <si>
    <t>https://salesxceleration.com/wp-content/plugins/powerpack-elements/assets/lib/smartmenu/jquery.smartmenus.min.js?ver=1.1.1</t>
  </si>
  <si>
    <t>https://salesxceleration.com/wp-content/uploads/2021/11/uk-map-972x1024.png</t>
  </si>
  <si>
    <t>Mon, 03 Jan 2022 14:08:03 GMT</t>
  </si>
  <si>
    <t>https://salesxceleration.com/wp-includes/js/jquery/jquery.min.js?ver=3.7.1</t>
  </si>
  <si>
    <t>Tue, 02 Jan 2024 14:32:29 GMT</t>
  </si>
  <si>
    <t>https://salesxceleration.com/wp-content/uploads/2025/04/logo-etk-1024x595.png</t>
  </si>
  <si>
    <t>Wed, 16 Apr 2025 14:18:51 GMT</t>
  </si>
  <si>
    <t>https://salesxceleration.com/wp-content/uploads/2021/06/logo-sales-xceleration-300x68.png</t>
  </si>
  <si>
    <t>Mon, 19 Jan 2026 16:38:18 GMT</t>
  </si>
  <si>
    <t>https://salesxceleration.com/sales-xcelerators-peer-group/</t>
  </si>
  <si>
    <t>Sales Xcelerators Peer Group</t>
  </si>
  <si>
    <t>Sales Xcelerators Peer Group | Sales Xceleration</t>
  </si>
  <si>
    <t>If you are interested in starting or joining a Sales Peer Group please contact us.</t>
  </si>
  <si>
    <t>da1f0cc532d3754308f5bbdd2db9fc10</t>
  </si>
  <si>
    <t>https://salesxceleration.com/find-a-consultant/</t>
  </si>
  <si>
    <t>Fractional Sales Leader Directory</t>
  </si>
  <si>
    <t>Find a Sales Consultant | Sales Consultant Company | Sales Xceleration</t>
  </si>
  <si>
    <t>Discover Expert Sales Consultants at Sales Xceleration – Your Sales Consultant Company of Choice. Elevate Your Sales Strategy Today!</t>
  </si>
  <si>
    <t>b80f4d8e221bfda0c28ffb79b3091db0</t>
  </si>
  <si>
    <t>Server responds quickly (observed 172 ms)</t>
  </si>
  <si>
    <t>24 resources found</t>
  </si>
  <si>
    <t>https://salesxceleration.com/wp-content/themes/salesxceleratione/assets/css/style.css?ver=1769123313</t>
  </si>
  <si>
    <t>Thu, 22 Jan 2026 23:08:59 GMT</t>
  </si>
  <si>
    <t>https://salesxceleration.com/wp-content/uploads/2025/12/Comp-Plan-Error-1024x683.jpg</t>
  </si>
  <si>
    <t>Tue, 23 Dec 2025 09:01:20 GMT</t>
  </si>
  <si>
    <t>https://salesxceleration.com/wp-content/uploads/2025/12/Salespeople-in-Seats.jpg</t>
  </si>
  <si>
    <t>Tue, 23 Dec 2025 08:59:14 GMT</t>
  </si>
  <si>
    <t>https://salesxceleration.com/how-clear-messaging-turns-noise-into-revenue-with-donald-miller/</t>
  </si>
  <si>
    <t>How Clear Messaging Turns Noise Into Revenue with Donald Miller</t>
  </si>
  <si>
    <t>How Clear Messaging Turns Noise Into Revenue with Donald Miller | Sales Xceleration Blog</t>
  </si>
  <si>
    <t>Discover how Donald Miller's insights on clear, survival-focused messaging can transform marketing and drive sales success. Unlock the power of clarity today.</t>
  </si>
  <si>
    <t>996ffeae452796928427fe7a17b7f878</t>
  </si>
  <si>
    <t>https://salesxceleration.com/hiring-a-sales-team-the-dos-and-donts-of-finding-the-right-candidates/</t>
  </si>
  <si>
    <t>Hiring a Sales Team? The Dos and Don’ts of Finding the Right Candidates</t>
  </si>
  <si>
    <t>Hiring a Sales Team? The Dos and Don’ts of Finding the Right Candidates | Sales Xceleration Blog</t>
  </si>
  <si>
    <t>Discover the benefits of hiring sales talent from outside your industry. Break free from traditional recruiting to boost your sales performance.</t>
  </si>
  <si>
    <t>10530e444b0e5dd9514bca434471385f</t>
  </si>
  <si>
    <t>https://salesxceleration.com/wp-content/plugins/powerpack-elements/assets/lib/isotope/isotope.pkgd.min.js?ver=0.5.3</t>
  </si>
  <si>
    <t>https://salesxceleration.com/category/revenue-growth/</t>
  </si>
  <si>
    <t>Category: Revenue Growth</t>
  </si>
  <si>
    <t>Revenue Growth Archives | Sales Xceleration</t>
  </si>
  <si>
    <t>https://salesxceleration.com/category/revenue-growth/page/2/</t>
  </si>
  <si>
    <t>6c21f9dcf6baa28164daf260284b12eb</t>
  </si>
  <si>
    <t>https://salesxceleration.com/wp-includes/js/imagesloaded.min.js?ver=5.0.0</t>
  </si>
  <si>
    <t>https://salesxceleration.com/the-importance-of-building-a-top-performing-sales-team/</t>
  </si>
  <si>
    <t>The Importance of Building a Top-Performing Sales Team</t>
  </si>
  <si>
    <t>The Importance of Building a Top-Performing Sales Team | Sales Xceleration Blog</t>
  </si>
  <si>
    <t>A few underperformers can drag down revenue and push top reps out the door. Learn how to trade up, recruit better talent, and protect your A-players today.</t>
  </si>
  <si>
    <t>18e34c7cd72bdfdad68d62f09250e33b</t>
  </si>
  <si>
    <t>https://salesxceleration.com/wp-content/plugins/powerpack-elements/assets/js/min/frontend-posts.min.js?ver=2.12.15</t>
  </si>
  <si>
    <t>https://salesxceleration.com/what-if-you-knew-exactly-what-your-customers-wanted-next/</t>
  </si>
  <si>
    <t>What If You Knew Exactly What Your Customers Wanted Next?</t>
  </si>
  <si>
    <t>Why Predictive Sales Analytics Matters Now</t>
  </si>
  <si>
    <t>What Is Predictive Sales Analytics (and Why It’s Powerful)?</t>
  </si>
  <si>
    <t>What If You Knew Exactly What Your Customers Wanted Next? | Sales Xceleration Blog</t>
  </si>
  <si>
    <t>Predictive sales analytics helps teams anticipate needs, improve forecast accuracy, and respond to market shifts—so you win before competitors react.</t>
  </si>
  <si>
    <t>8012df66aa6b9766f274b838b63fca51</t>
  </si>
  <si>
    <t>https://salesxceleration.com/wp-content/plugins/powerpack-elements/assets/css/min/widget-posts.min.css?ver=2.12.15</t>
  </si>
  <si>
    <t>https://salesxceleration.com/wp-content/uploads/2025/12/Improving-Your-Sales-Recruitment-and-Hiring-Process-684x1024.jpg</t>
  </si>
  <si>
    <t>Tue, 23 Dec 2025 08:55:25 GMT</t>
  </si>
  <si>
    <t>https://salesxceleration.com/wp-content/uploads/2025/12/Sales-Team-Meeting-1024x358.jpg</t>
  </si>
  <si>
    <t>Tue, 23 Dec 2025 08:57:35 GMT</t>
  </si>
  <si>
    <t>https://salesxceleration.com/category/hiring-onboarding/</t>
  </si>
  <si>
    <t>Category: Hiring/Onboarding</t>
  </si>
  <si>
    <t>Hiring/Onboarding Archives | Sales Xceleration</t>
  </si>
  <si>
    <t>SalesXceleration offers expert insights on hiring and onboarding strategies to build strong sales teams and drive business success.</t>
  </si>
  <si>
    <t>https://salesxceleration.com/category/hiring-onboarding/page/2/</t>
  </si>
  <si>
    <t>625d3a9116fcb26b972cd1f7062b05ea</t>
  </si>
  <si>
    <t>https://salesxceleration.com/wp-content/uploads/2025/12/adasdaadada.jpg</t>
  </si>
  <si>
    <t>Mon, 01 Dec 2025 14:13:38 GMT</t>
  </si>
  <si>
    <t>https://salesxceleration.com/wp-content/plugins/powerpack-elements/assets/css/min/elementor-grid.min.css?ver=2.12.15</t>
  </si>
  <si>
    <t>https://salesxceleration.com/category/sales-recruiting/</t>
  </si>
  <si>
    <t>Category: Sales Recruiting</t>
  </si>
  <si>
    <t>Sales Recruiting Archives | Sales Xceleration</t>
  </si>
  <si>
    <t>Actionable guidance for SMB leaders on finding, hiring, and ramping top-performing sales talent—SDRs, AEs, and sales leaders. Expect proven frameworks for defining the right profile, interviewing and selecting confidently, building competitive comp plans, and onboarding for faster productivity (with insights from Sales Xceleration’s hands-on recruiting approach).</t>
  </si>
  <si>
    <t>https://salesxceleration.com/category/sales-recruiting/page/2/</t>
  </si>
  <si>
    <t>ef877acfda42fafee6e6637b4d960e6c</t>
  </si>
  <si>
    <t>https://salesxceleration.com/sales-forecasting-the-future-how-ai-turns-sales-strategy-from-guesswork-into-growth/</t>
  </si>
  <si>
    <t>Sales Forecasting the Future: How AI Turns Sales Strategy from Guesswork into Growth</t>
  </si>
  <si>
    <t>Traditional Forecasting Is Biased and Backward Looking</t>
  </si>
  <si>
    <t>Aligning Sales Strategy for Accurate Forecasting with AI</t>
  </si>
  <si>
    <t>Sales Forecasting the Future: How AI Turns Sales Strategy from Guesswork into Growth | Sales Xceleration Blog</t>
  </si>
  <si>
    <t>Discover how AI-powered forecasting transforms sales strategy from guesswork to growth by improving accuracy, aligning teams, and reducing risks.</t>
  </si>
  <si>
    <t>fe066925fc030d1bb429ce018bd7d55c</t>
  </si>
  <si>
    <t>https://salesxceleration.com/improving-your-sales-recruitment-and-hiring-process/</t>
  </si>
  <si>
    <t>Improving Your Sales Recruitment and Hiring Process</t>
  </si>
  <si>
    <t>Time, Time, Time</t>
  </si>
  <si>
    <t>The Network</t>
  </si>
  <si>
    <t>Improving Your Sales Recruitment and Hiring Process | Sales Xceleration Blog</t>
  </si>
  <si>
    <t>Improve your sales hiring process by widening your candidate pool, shortening time-to-fill, and hiring top performers. Learn how a sales recruiter helps.</t>
  </si>
  <si>
    <t>67fb15c2cdf9be4c0235fb60b046b006</t>
  </si>
  <si>
    <t>https://salesxceleration.com/wp-content/uploads/elementor/google-fonts/css/roboto.css?ver=1744026360</t>
  </si>
  <si>
    <t>Mon, 07 Apr 2025 11:46:00 GMT</t>
  </si>
  <si>
    <t>https://salesxceleration.com/wp-content/uploads/2026/01/SAO-YT-Thumbnail-Donald-Miller-1024x576.jpg</t>
  </si>
  <si>
    <t>Mon, 19 Jan 2026 20:22:24 GMT</t>
  </si>
  <si>
    <t>https://salesxceleration.com/your-most-valuable-resource-the-right-people-in-the-right-positions/</t>
  </si>
  <si>
    <t>Your Most Valuable Resource: The Right People in the Right Positions</t>
  </si>
  <si>
    <t>Your Most Valuable Resource: The Right People in the Right Positions | Sales Xceleration Blog</t>
  </si>
  <si>
    <t>Sales Xceleration helps you hire and coach the right sales “hunters” and “farmers” so your team fits your growth strategy and drives stronger revenue.</t>
  </si>
  <si>
    <t>da7b6c259b7ea43bba3b506dea2c8715</t>
  </si>
  <si>
    <t>https://salesxceleration.com/wp-content/uploads/elementor/css/post-7.css?ver=1768846382</t>
  </si>
  <si>
    <t>Mon, 19 Jan 2026 18:13:02 GMT</t>
  </si>
  <si>
    <t>https://salesxceleration.com/wp-content/uploads/2025/05/SX_Sales-Process-1024x245.png</t>
  </si>
  <si>
    <t>Thu, 01 May 2025 19:11:56 GMT</t>
  </si>
  <si>
    <t>https://salesxceleration.com/compensation-plan-errors-to-avoid/</t>
  </si>
  <si>
    <t>Compensation Plan Errors to Avoid</t>
  </si>
  <si>
    <t>Lack of Alignment Between Individual, Team, and Company Goals</t>
  </si>
  <si>
    <t>Inadequate Balance Between Base and Variable Compensation</t>
  </si>
  <si>
    <t>Compensation Plan Errors to Avoid | Sales Xceleration Blog</t>
  </si>
  <si>
    <t>Sales Xceleration helps you design simple, motivating sales compensation plans that align goals, boost performance, and drive predictable revenue growth.</t>
  </si>
  <si>
    <t>ca9833da647eb0ee4a21d054fa50b4b5</t>
  </si>
  <si>
    <t>Server responds quickly (observed 186 ms)</t>
  </si>
  <si>
    <t>https://salesxceleration.com/wp-content/themes/salesxceleratione/assets/css/style.css?ver=1769123314</t>
  </si>
  <si>
    <t>Thu, 22 Jan 2026 23:09:07 GMT</t>
  </si>
  <si>
    <t>https://salesxceleration.com/wp-content/uploads/elementor/thumbs/Sales-Xceleration-CSOMS-Sales-Strategy-qraxnymjvm92q6xti26tf53pijmszbe7zicp77teb8.png</t>
  </si>
  <si>
    <t>Thu, 18 Jul 2024 18:18:13 GMT</t>
  </si>
  <si>
    <t>https://salesxceleration.com/wp-content/plugins/powerpack-elements/assets/js/min/frontend-wrapper-link.min.js?ver=2.12.15</t>
  </si>
  <si>
    <t>https://salesxceleration.com/wp-content/uploads/2024/05/What-is-a-Fractional-Sales-Leader.jpg</t>
  </si>
  <si>
    <t>Tue, 28 May 2024 20:59:18 GMT</t>
  </si>
  <si>
    <t>https://salesxceleration.com/wp-content/uploads/elementor/thumbs/Sales-Xceleration-CSOMS-Sales-Management-qraxnwqvhy6i2z0jt1dka5ksbrw2jx6rb91q8nw6no.png</t>
  </si>
  <si>
    <t>Thu, 18 Jul 2024 18:24:37 GMT</t>
  </si>
  <si>
    <t>https://salesxceleration.com/wp-content/uploads/elementor/thumbs/SalesXceleration-CSOMS-Sales-Team-qraxnzke2gad1swgcklfzmv63xi670hybn06ohs050.png</t>
  </si>
  <si>
    <t>Thu, 18 Jul 2024 18:25:19 GMT</t>
  </si>
  <si>
    <t>https://salesxceleration.com/wp-content/uploads/elementor/css/post-46786.css?ver=1768845927</t>
  </si>
  <si>
    <t>https://salesxceleration.com/wp-content/uploads/2024/08/CSOMS-Website-Graphic-1024x353.png</t>
  </si>
  <si>
    <t>Mon, 26 Aug 2024 21:10:00 GMT</t>
  </si>
  <si>
    <t>https://salesxceleration.com/wp-content/uploads/elementor/thumbs/Sales-Xceleration-CSOMS-Sales-Infrastructure-qraxnuv74a3xfr3a40kb561v505c4izamzqra3yz04.png</t>
  </si>
  <si>
    <t>Thu, 18 Jul 2024 18:20:36 GMT</t>
  </si>
  <si>
    <t>https://salesxceleration.com/wp-content/plugins/elementor/assets/lib/swiper/v8/css/swiper.min.css?ver=8.4.5</t>
  </si>
  <si>
    <t>https://salesxceleration.com/wp-content/uploads/2025/07/footer.png-e1752526812396.webp</t>
  </si>
  <si>
    <t>image/webp</t>
  </si>
  <si>
    <t>Mon, 14 Jul 2025 21:00:13 GMT</t>
  </si>
  <si>
    <t>https://salesxceleration.com/wp-content/plugins/elementor/assets/lib/animations/styles/fadeInRight.min.css?ver=3.34.0</t>
  </si>
  <si>
    <t>https://salesxceleration.com/wp-content/uploads/2023/12/Boosting-Sales-Performance-1024x683.jpg</t>
  </si>
  <si>
    <t>Tue, 12 Dec 2023 22:02:52 GMT</t>
  </si>
  <si>
    <t>https://salesxceleration.com/wp-content/plugins/elementor/assets/lib/animations/styles/fadeIn.min.css?ver=3.34.0</t>
  </si>
  <si>
    <t>https://salesxceleration.com/wp-content/plugins/elementor/assets/lib/swiper/v8/swiper.min.js?ver=8.4.5</t>
  </si>
  <si>
    <t>https://salesxceleration.com/wp-content/uploads/elementor/css/post-47812.css?ver=1768857105</t>
  </si>
  <si>
    <t>Mon, 19 Jan 2026 21:11:45 GMT</t>
  </si>
  <si>
    <t>https://salesxceleration.com/wp-content/uploads/2025/08/AdobeStock_277547100.jpeg</t>
  </si>
  <si>
    <t>Fri, 01 Aug 2025 22:50:45 GMT</t>
  </si>
  <si>
    <t>https://salesxceleration.com/wp-content/plugins/elementor-pro/assets/css/widget-carousel-module-base.min.css?ver=3.34.0</t>
  </si>
  <si>
    <t>https://salesxceleration.com/wp-content/plugins/elementor/assets/css/widget-spacer.min.css?ver=3.34.0</t>
  </si>
  <si>
    <t>https://salesxceleration.com/wp-content/uploads/2023/04/Leadership-Styles-Sales-Recovery-1024x683.jpg</t>
  </si>
  <si>
    <t>Fri, 21 Apr 2023 17:01:45 GMT</t>
  </si>
  <si>
    <t>https://salesxceleration.com/wp-content/uploads/2025/08/AdobeStock_633442794.jpeg</t>
  </si>
  <si>
    <t>Fri, 01 Aug 2025 22:48:15 GMT</t>
  </si>
  <si>
    <t>https://salesxceleration.com/wp-content/plugins/elementor/assets/css/conditionals/e-swiper.min.css?ver=3.34.0</t>
  </si>
  <si>
    <t>https://salesxceleration.com/wp-content/plugins/elementor/assets/lib/animations/styles/fadeInLeft.min.css?ver=3.34.0</t>
  </si>
  <si>
    <t>https://salesxceleration.com/wp-content/themes/salesxceleratione/assets/css/style.css?ver=1769123315</t>
  </si>
  <si>
    <t>Thu, 22 Jan 2026 23:09:08 GMT</t>
  </si>
  <si>
    <t>https://salesxceleration.com/wp-content/uploads/2025/07/electronic-data-interchange-768x512-1.jpg</t>
  </si>
  <si>
    <t>Wed, 16 Jul 2025 18:07:42 GMT</t>
  </si>
  <si>
    <t>https://salesxceleration.com/wp-content/plugins/elementor/assets/css/conditionals/shapes.min.css?ver=3.34.0</t>
  </si>
  <si>
    <t>https://salesxceleration.com/wp-content/uploads/2025/08/AdobeStock_1403924835.jpeg</t>
  </si>
  <si>
    <t>Fri, 01 Aug 2025 22:53:48 GMT</t>
  </si>
  <si>
    <t>https://salesxceleration.com/wp-content/plugins/elementor-pro/assets/css/widget-testimonial-carousel.min.css?ver=3.34.0</t>
  </si>
  <si>
    <t>https://salesxceleration.com/wp-content/uploads/2023/07/Building-a-Modern-Sales-Operating-System-SOS-1024x598.jpg</t>
  </si>
  <si>
    <t>Tue, 18 Jul 2023 15:33:14 GMT</t>
  </si>
  <si>
    <t>https://salesxceleration.com/wp-content/uploads/2025/05/Sales-Organization-Category.png</t>
  </si>
  <si>
    <t>Tue, 06 May 2025 17:51:39 GMT</t>
  </si>
  <si>
    <t>https://salesxceleration.com/wp-content/plugins/elementor/assets/css/widget-menu-anchor.min.css?ver=3.34.0</t>
  </si>
  <si>
    <t>https://salesxceleration.com/wp-content/uploads/2025/04/Sales-Strategy-Icon.svg</t>
  </si>
  <si>
    <t>Mon, 28 Apr 2025 17:08:50 GMT</t>
  </si>
  <si>
    <t>https://salesxceleration.com/wp-content/uploads/elementor/css/post-27738.css?ver=1768845930</t>
  </si>
  <si>
    <t>Mon, 19 Jan 2026 18:05:30 GMT</t>
  </si>
  <si>
    <t>https://salesxceleration.com/case-study/internet-service-provider-improving-close-rates-to-44-09/</t>
  </si>
  <si>
    <t>Internet Service Provider: Improving Close Rates to 44.09%</t>
  </si>
  <si>
    <t>Sales Case Study: Internet Service Provider: Improving Close Rates to 44.09% | Sales Xceleration</t>
  </si>
  <si>
    <t>A regional internet service provider in business for 27 years faced significant challenges with declining revenue and high employee turnover in their sales</t>
  </si>
  <si>
    <t>65c9527d91c142e2a3cdab2d78f8d91d</t>
  </si>
  <si>
    <t>https://salesxceleration.com/wp-content/plugins/powerpack-elements/assets/css/min/widget-card-slider.min.css?ver=2.12.15</t>
  </si>
  <si>
    <t>https://salesxceleration.com/wp-content/uploads/2025/04/Sales-Xceleration-State-of-Sales-2025-AI2-1024x536.jpg</t>
  </si>
  <si>
    <t>Mon, 28 Apr 2025 18:00:02 GMT</t>
  </si>
  <si>
    <t>https://salesxceleration.com/wp-content/plugins/powerpack-elements/assets/js/min/frontend-gravity-forms.min.js?ver=2.12.15</t>
  </si>
  <si>
    <t>https://salesxceleration.com/case-study/aerospace-manufacturing-turning-a-10-decrease-in-sales-into-a-14-increase/</t>
  </si>
  <si>
    <t>Aerospace Manufacturing: Turning a 10% Decrease in Sales into a 14% Increase</t>
  </si>
  <si>
    <t>Case Study: Aerospace Manufacturing Increased Growth By 14%</t>
  </si>
  <si>
    <t>Learn how an aerospace manufacturer turned a 10% sales decline into 14% growth with expert sales leadership and a proven sales transformation strategy.</t>
  </si>
  <si>
    <t>b9b85921ea264a2fe976b9c20d096151</t>
  </si>
  <si>
    <t>https://salesxceleration.com/wp-content/uploads/2025/05/Sales-Organization.png</t>
  </si>
  <si>
    <t>Tue, 06 May 2025 19:26:15 GMT</t>
  </si>
  <si>
    <t>https://salesxceleration.com/wp-content/plugins/elementor/assets/css/widget-progress.min.css?ver=3.34.0</t>
  </si>
  <si>
    <t>https://salesxceleration.com/wp-content/uploads/2022/03/2022-state-of-sales-792x1024.jpg</t>
  </si>
  <si>
    <t>Tue, 15 Mar 2022 20:25:26 GMT</t>
  </si>
  <si>
    <t>https://salesxceleration.com/wp-content/plugins/gravityforms/assets/js/dist/vendor-theme.min.js?ver=8673c9a2ff188de55f9073009ba56f5e</t>
  </si>
  <si>
    <t>Fri, 26 Dec 2025 16:15:54 GMT</t>
  </si>
  <si>
    <t>https://salesxceleration.com/wp-content/plugins/gravityforms/js/jquery.json.min.js?ver=2.9.24</t>
  </si>
  <si>
    <t>https://salesxceleration.com/wp-content/uploads/2019/05/2023-State-of-Sales-Small-to-Mid-Size-Businesses-1-791x1024.jpg</t>
  </si>
  <si>
    <t>Tue, 11 Apr 2023 18:59:53 GMT</t>
  </si>
  <si>
    <t>https://salesxceleration.com/wp-content/uploads/2025/05/Hidden-Disconnect-Sabotaging-Sales-Growth-1024x576.png</t>
  </si>
  <si>
    <t>Tue, 06 May 2025 19:55:49 GMT</t>
  </si>
  <si>
    <t>https://salesxceleration.com/wp-content/uploads/2025/04/Sales-Xceleration-State-of-Sales-2025-Sales-Process-1024x542.png</t>
  </si>
  <si>
    <t>Mon, 28 Apr 2025 17:20:51 GMT</t>
  </si>
  <si>
    <t>https://salesxceleration.com/wp-content/uploads/2019/05/Sales-Xceleration-2025-State-of-Sales-Small-to-MidSize-Businesses-1-1024x640.jpg</t>
  </si>
  <si>
    <t>Wed, 23 Apr 2025 17:45:11 GMT</t>
  </si>
  <si>
    <t>https://salesxceleration.com/wp-content/plugins/powerpack-elements/assets/js/min/frontend-card-slider.min.js?ver=2.12.15</t>
  </si>
  <si>
    <t>https://salesxceleration.com/wp-content/plugins/gravityforms/assets/js/dist/scripts-theme.min.js?ver=1546762cd067873f438f559b1e819128</t>
  </si>
  <si>
    <t>https://salesxceleration.com/wp-content/plugins/elementor/assets/css/widget-image-box.min.css?ver=3.34.0</t>
  </si>
  <si>
    <t>https://salesxceleration.com/wp-content/plugins/gravityforms/assets/js/dist/utils.min.js?ver=48a3755090e76a154853db28fc254681</t>
  </si>
  <si>
    <t>https://salesxceleration.com/wp-content/uploads/2025/05/SalesX-Sales-Analysis.png</t>
  </si>
  <si>
    <t>Tue, 06 May 2025 19:26:07 GMT</t>
  </si>
  <si>
    <t>https://salesxceleration.com/wp-content/uploads/2025/05/Sales-Methodology-Category.png</t>
  </si>
  <si>
    <t>Tue, 06 May 2025 17:51:44 GMT</t>
  </si>
  <si>
    <t>https://salesxceleration.com/wp-content/plugins/powerpack-elements/assets/css/min/widget-gravity-forms.min.css?ver=2.12.15</t>
  </si>
  <si>
    <t>https://salesxceleration.com/wp-content/uploads/2025/04/Sales-Methodology-Icon.svg</t>
  </si>
  <si>
    <t>Mon, 28 Apr 2025 17:13:55 GMT</t>
  </si>
  <si>
    <t>https://salesxceleration.com/wp-content/uploads/2025/05/Sales-Strategy-Category.png</t>
  </si>
  <si>
    <t>Tue, 06 May 2025 17:51:47 GMT</t>
  </si>
  <si>
    <t>https://salesxceleration.com/wp-includes/js/dist/a11y.min.js?ver=cb460b4676c94bd228ed</t>
  </si>
  <si>
    <t>https://salesxceleration.com/wp-content/plugins/gravityforms/js/gravityforms.min.js?ver=2.9.24</t>
  </si>
  <si>
    <t>https://salesxceleration.com/wp-content/plugins/elementor/assets/css/widget-alert.min.css?ver=3.34.0</t>
  </si>
  <si>
    <t>https://salesxceleration.com/books/7th-edition-2025-state-of-sales/</t>
  </si>
  <si>
    <t>7th Edition: 2025 State of Sales</t>
  </si>
  <si>
    <t>Sales eBook: 7th Edition: 2025 State of Sales | Sales Xceleration</t>
  </si>
  <si>
    <t>The Truth About Sales Performance in 2025: We’ve uncovered what’s working—and what’s not.</t>
  </si>
  <si>
    <t>4e7b39c165c7e44301f65eb6ef30eec7</t>
  </si>
  <si>
    <t>https://salesxceleration.com/wp-content/uploads/2025/04/The-Sales-Struggle-is-Real-768x410.png</t>
  </si>
  <si>
    <t>Mon, 28 Apr 2025 17:03:41 GMT</t>
  </si>
  <si>
    <t>https://salesxceleration.com/wp-content/plugins/powerpack-elements/assets/css/min/pp-swiper.min.css?ver=2.12.15</t>
  </si>
  <si>
    <t>https://salesxceleration.com/wp-content/uploads/2025/05/Sales-Xceleration-State-of-Sales-2025-Flying-Blind-1024x536.png</t>
  </si>
  <si>
    <t>Mon, 05 May 2025 15:40:08 GMT</t>
  </si>
  <si>
    <t>https://salesxceleration.com/wp-content/uploads/2025/05/Sales-Analysis-Category.png</t>
  </si>
  <si>
    <t>Tue, 06 May 2025 17:51:41 GMT</t>
  </si>
  <si>
    <t>https://salesxceleration.com/wp-content/uploads/2025/05/Sales-Xceleration-State-of-Sales-2025-Meet-Weekly-1024x536.jpg</t>
  </si>
  <si>
    <t>Mon, 05 May 2025 15:55:55 GMT</t>
  </si>
  <si>
    <t>https://salesxceleration.com/wp-includes/js/dist/dom-ready.min.js?ver=f77871ff7694fffea381</t>
  </si>
  <si>
    <t>Mon, 01 Jul 2024 08:48:49 GMT</t>
  </si>
  <si>
    <t>https://salesxceleration.com/wp-content/uploads/2019/05/Sales-Xceleration-Sixth-Edition-2024_DRAFT-State-of-Sales-Small-to-Mid-Size-Businesses-1-791x1024.jpg</t>
  </si>
  <si>
    <t>Tue, 02 Apr 2024 20:38:01 GMT</t>
  </si>
  <si>
    <t>https://salesxceleration.com/wp-content/uploads/elementor/thumbs/Hiring-Sales-Talent-in-a-Slow-Economy-1024x683-1-rebopkih3p4bwb060zhyf6pih063uo1cawd79294gc.jpg</t>
  </si>
  <si>
    <t>Tue, 25 Nov 2025 21:53:19 GMT</t>
  </si>
  <si>
    <t>https://salesxceleration.com/wp-content/uploads/2025/04/Sales-Xceleration-State-of-Sales-2025-Playbook-1024x536.png</t>
  </si>
  <si>
    <t>Mon, 28 Apr 2025 17:18:57 GMT</t>
  </si>
  <si>
    <t>https://salesxceleration.com/wp-content/uploads/2025/11/pe.jpg</t>
  </si>
  <si>
    <t>Tue, 25 Nov 2025 21:48:03 GMT</t>
  </si>
  <si>
    <t>https://salesxceleration.com/wp-content/uploads/2025/07/technology.jpg</t>
  </si>
  <si>
    <t>Tue, 15 Jul 2025 14:41:39 GMT</t>
  </si>
  <si>
    <t>https://salesxceleration.com/wp-content/uploads/2025/07/Q6M3AYIRXNGMTNWNEGQPJPJMAQ.jpg</t>
  </si>
  <si>
    <t>Tue, 15 Jul 2025 14:53:46 GMT</t>
  </si>
  <si>
    <t>https://salesxceleration.com/wp-content/uploads/2025/07/Business-Executive-on-Manufaturing-Floor-1024x576.jpg.webp</t>
  </si>
  <si>
    <t>Mon, 14 Jul 2025 21:27:11 GMT</t>
  </si>
  <si>
    <t>https://salesxceleration.com/wp-content/uploads/elementor/css/post-72648.css?ver=1768846234</t>
  </si>
  <si>
    <t>Mon, 19 Jan 2026 18:10:34 GMT</t>
  </si>
  <si>
    <t>https://salesxceleration.com/wp-content/uploads/2025/02/Private-Equity-Healthcare-Managed-Services.jpg</t>
  </si>
  <si>
    <t>Thu, 27 Feb 2025 21:41:59 GMT</t>
  </si>
  <si>
    <t>https://salesxceleration.com/wp-content/plugins/powerpack-elements/assets/js/min/frontend-accordion.min.js?ver=2.12.15</t>
  </si>
  <si>
    <t>https://salesxceleration.com/wp-content/plugins/powerpack-elements/assets/css/min/widget-advanced-accordion.min.css?ver=2.12.15</t>
  </si>
  <si>
    <t>https://salesxceleration.com/wp-content/plugins/elementor-pro/assets/css/widget-post-info.min.css?ver=3.34.0</t>
  </si>
  <si>
    <t>https://salesxceleration.com/private-equity-solutions/contact/</t>
  </si>
  <si>
    <t>Contact Our PE Team</t>
  </si>
  <si>
    <t>Contact Our PE Team | Sales Xceleration</t>
  </si>
  <si>
    <t>Get in touch with our private equity sales leaders and advisors to increase your ROI and accelerate your firm's growth.</t>
  </si>
  <si>
    <t>12255ccb26552706503a444d7020b4de</t>
  </si>
  <si>
    <t>https://salesxceleration.com/wp-content/uploads/elementor/css/post-18729.css?ver=1768855617</t>
  </si>
  <si>
    <t>Mon, 19 Jan 2026 20:46:57 GMT</t>
  </si>
  <si>
    <t>https://salesxceleration.com/wp-content/uploads/2019/12/manu-case-thumb-2048x2048.jpg</t>
  </si>
  <si>
    <t>Fri, 28 Mar 2025 15:06:53 GMT</t>
  </si>
  <si>
    <t>https://salesxceleration.com/case-study/virtual-reality-training-solution-for-healthcare-workers/</t>
  </si>
  <si>
    <t>Virtual Reality Healthcare Training: Market Expansion Through Fractional Sales Leadership</t>
  </si>
  <si>
    <t>Sales Case Study: Virtual Reality Healthcare Training: Market Expansion Through Fractional Sales Leadership | Sales Xceleration</t>
  </si>
  <si>
    <t>In business for three years, a startup healthcare company realized an entire sales structure needed to be built to drive desired growth. The company, based in</t>
  </si>
  <si>
    <t>e9aa555bd235eb2078ade6065a9f0965</t>
  </si>
  <si>
    <t>https://salesxceleration.com/wp-content/uploads/2019/03/manufacturing-case-study1-2048x2048.jpg</t>
  </si>
  <si>
    <t>Fri, 28 Mar 2025 15:06:59 GMT</t>
  </si>
  <si>
    <t>https://salesxceleration.com/wp-content/uploads/elementor/css/post-25115.css?ver=1768848826</t>
  </si>
  <si>
    <t>Mon, 19 Jan 2026 18:53:46 GMT</t>
  </si>
  <si>
    <t>https://salesxceleration.com/case-study/information-security-services/</t>
  </si>
  <si>
    <t>Information Security: Accelerating Growth with CSL Training and Effective Tools and Processes</t>
  </si>
  <si>
    <t>Sales Case Study: Information Security: Accelerating Growth with CSL Training and Effective Tools and Processes | Sales Xceleration</t>
  </si>
  <si>
    <t>See how Sales Xceleration helped an information security services firm transform sales strategies and achieve remarkable growth with proven leadership.</t>
  </si>
  <si>
    <t>99d5da77f6048f2f337494eee12c60e9</t>
  </si>
  <si>
    <t>Server responds quickly (observed 195 ms)</t>
  </si>
  <si>
    <t>https://salesxceleration.com/wp-content/plugins/yet-another-related-posts-plugin/style/styles_thumbnails.css?ver=5.30.11</t>
  </si>
  <si>
    <t>Fri, 15 Nov 2024 16:18:54 GMT</t>
  </si>
  <si>
    <t>https://salesxceleration.com/wp-content/uploads/2019/10/food-thumb-2048x2048.jpg</t>
  </si>
  <si>
    <t>Fri, 28 Mar 2025 15:07:10 GMT</t>
  </si>
  <si>
    <t>https://salesxceleration.com/wp-content/uploads/2021/04/banner-Case-Study_Electrical-Manufacturing_SX-1-1024x587.jpg</t>
  </si>
  <si>
    <t>Mon, 03 Jan 2022 14:37:39 GMT</t>
  </si>
  <si>
    <t>https://salesxceleration.com/case-study/large-chain-convenience-store-products/</t>
  </si>
  <si>
    <t>Large Chain Convenience Store: Utilizing a Fractional Sales Leader to Build Processes, Mentor the Team, and Drive Growth</t>
  </si>
  <si>
    <t>Sales Case Study: Large Chain Convenience Store: Utilizing a Fractional Sales Leader to Build Processes, Mentor the Team, and Drive Growth | Sales Xceleration</t>
  </si>
  <si>
    <t>Sales began increasing in the first6 months. The organization becameprofitable again after just 10 months.</t>
  </si>
  <si>
    <t>e83dc5a80e5295f31d7a38256ab1c94c</t>
  </si>
  <si>
    <t>https://salesxceleration.com/wp-content/uploads/2021/09/Case-Study_Electrical-Manufacturing_SX.pdf</t>
  </si>
  <si>
    <t>application/pdf</t>
  </si>
  <si>
    <t>Fri, 12 Nov 2021 15:53:52 GMT</t>
  </si>
  <si>
    <t>https://salesxceleration.com/wp-content/themes/salesxceleratione/assets/css/style.css?ver=1769123317</t>
  </si>
  <si>
    <t>Thu, 22 Jan 2026 23:09:14 GMT</t>
  </si>
  <si>
    <t>https://salesxceleration.com/wp-content/uploads/2019/03/Case_Study_Manufacturing-thumb-2048x2048.jpg</t>
  </si>
  <si>
    <t>Fri, 28 Mar 2025 15:07:16 GMT</t>
  </si>
  <si>
    <t>https://salesxceleration.com/wp-content/uploads/elementor/css/post-18440.css?ver=1768855616</t>
  </si>
  <si>
    <t>Mon, 19 Jan 2026 20:46:56 GMT</t>
  </si>
  <si>
    <t>https://salesxceleration.com/case-study/manufacturing/</t>
  </si>
  <si>
    <t>Manufacturing: Creating the Structure to Boost Revenue &amp; Profit</t>
  </si>
  <si>
    <t>Sales Case Study: Manufacturing: Creating the Structure to Boost Revenue &amp; Profit | Sales Xceleration</t>
  </si>
  <si>
    <t>Find out how Sales Xceleration was able to create a highly effective sales team for one of our manufacturing clients. Read our manufacturing case study!</t>
  </si>
  <si>
    <t>21477ef68047277330ca4b989c14df5a</t>
  </si>
  <si>
    <t>Server responds quickly (observed 182 ms)</t>
  </si>
  <si>
    <t>https://salesxceleration.com/case-study/storage-tank-manufacturer/</t>
  </si>
  <si>
    <t>Storage Tank Manufacturing: From Declining Growth to 10% Increase in One Year</t>
  </si>
  <si>
    <t>Sales Case Study: Storage Tank Manufacturing: From Declining Growth to 10% Increase in One Year | Sales Xceleration</t>
  </si>
  <si>
    <t>Learn how hiring a sales consultant enabled this company to increase sales 10% in year one and 20% in year two.</t>
  </si>
  <si>
    <t>89be007538a44deb2c1f44d7d54f9366</t>
  </si>
  <si>
    <t>https://salesxceleration.com/wp-content/uploads/2022/03/Case-Study_Healthcare_SX-1-thumb-2048x2048.jpg</t>
  </si>
  <si>
    <t>Fri, 28 Mar 2025 15:54:42 GMT</t>
  </si>
  <si>
    <t>https://salesxceleration.com/wp-content/uploads/2019/11/healthcare-thumb-1-2048x2048.jpg</t>
  </si>
  <si>
    <t>Fri, 28 Mar 2025 15:54:48 GMT</t>
  </si>
  <si>
    <t>https://salesxceleration.com/wp-content/uploads/2021/02/Case-Study_Consulting_SX.pdf</t>
  </si>
  <si>
    <t>Fri, 12 Nov 2021 15:52:41 GMT</t>
  </si>
  <si>
    <t>https://salesxceleration.com/case-study/air-gauge-station-manufacturer/</t>
  </si>
  <si>
    <t>Air Gauge Manufacturing: From Flatlined Sales to High Revenue Growth</t>
  </si>
  <si>
    <t>Sales Case Study: Air Gauge Manufacturing: From Flatlined Sales to High Revenue Growth | Sales Xceleration</t>
  </si>
  <si>
    <t>Grew revenue by 30% for the year, which was a $7 million increase. On target for an additional $10 million in year two.</t>
  </si>
  <si>
    <t>a0f6a0ad0998a6b9c701dfe050564aa0</t>
  </si>
  <si>
    <t>https://salesxceleration.com/case-study/food-industry/</t>
  </si>
  <si>
    <t>Food Manufacturing: Preparing for Sale to Private Equity Firm</t>
  </si>
  <si>
    <t>Sales Case Study: Food Manufacturing: Preparing for Sale to Private Equity Firm | Sales Xceleration</t>
  </si>
  <si>
    <t>The company was sold for more than expected and has the sales infrastructure in place to continue growth.</t>
  </si>
  <si>
    <t>e07f8da460eb5fbd0cd2b4e86b1a01c5</t>
  </si>
  <si>
    <t>https://salesxceleration.com/wp-content/uploads/2019/11/healthcare-thumb-2048x2048.jpg</t>
  </si>
  <si>
    <t>Fri, 28 Mar 2025 16:49:58 GMT</t>
  </si>
  <si>
    <t>https://salesxceleration.com/wp-content/uploads/2023/03/thumb-Developing-a-Strategy-for-Ensured-Success-Healthcare.jpg</t>
  </si>
  <si>
    <t>Mon, 13 Mar 2023 18:40:51 GMT</t>
  </si>
  <si>
    <t>https://salesxceleration.com/wp-content/uploads/elementor/css/post-71323.css?ver=1768846230</t>
  </si>
  <si>
    <t>Mon, 19 Jan 2026 18:10:30 GMT</t>
  </si>
  <si>
    <t>https://salesxceleration.com/wp-content/uploads/2025/07/AdobeStock_1068130690.jpeg</t>
  </si>
  <si>
    <t>Wed, 30 Jul 2025 02:51:16 GMT</t>
  </si>
  <si>
    <t>https://salesxceleration.com/case-study/health-benefits-company/</t>
  </si>
  <si>
    <t>Healthcare Benefits: Properly Incentivizing to Acquire New Business</t>
  </si>
  <si>
    <t>Case Study: Healthcare | Sales Xceleration</t>
  </si>
  <si>
    <t>Two new clients were acquired within thefirst 90 days of the engagement, on a typicalsix-month sales cycle, and four million dollarsin new business revenue was generatedwithin the first year after coming off zero newbusiness the previous year.</t>
  </si>
  <si>
    <t>b473bbaf9d301791713bf22adec4e809</t>
  </si>
  <si>
    <t>https://salesxceleration.com/case-study/developing-a-strategy-for-ensured-success/</t>
  </si>
  <si>
    <t>Medical Device Healthcare: Developing a Strategy for Ensured Success</t>
  </si>
  <si>
    <t>Sales Case Study: Medical Device Healthcare: Developing a Strategy for Ensured Success | Sales Xceleration</t>
  </si>
  <si>
    <t>A biotech and medical device company, which had been in business for 10 years and employed a team of 30 people, had no sales manager or sales team. Their</t>
  </si>
  <si>
    <t>f8160aa57b711dda0bfde31c3f7521ba</t>
  </si>
  <si>
    <t>https://salesxceleration.com/wp-content/themes/salesxceleratione/assets/css/style.css?ver=1769123318</t>
  </si>
  <si>
    <t>Thu, 22 Jan 2026 23:08:39 GMT</t>
  </si>
  <si>
    <t>https://salesxceleration.com/wp-content/themes/salesxceleratione/assets/css/style.css?ver=1769123319</t>
  </si>
  <si>
    <t>https://salesxceleration.com/wp-content/uploads/2025/03/Leveraging-AI-to-Optimize-B2B-Lead-Generation.jpg</t>
  </si>
  <si>
    <t>Thu, 06 Mar 2025 21:39:27 GMT</t>
  </si>
  <si>
    <t>https://salesxceleration.com/sales-training/</t>
  </si>
  <si>
    <t>https://salesxceleration.com/sales-training-alone-wont-improve-businesss-revenue/</t>
  </si>
  <si>
    <t>https://salesxceleration.com/wp-content/uploads/2026/01/SAO-YT-Thumbnail-Tim-Van-Mieghem-1024x576.jpg</t>
  </si>
  <si>
    <t>Fri, 19 Dec 2025 20:08:23 GMT</t>
  </si>
  <si>
    <t>https://salesxceleration.com/case-study/home-healthcare/</t>
  </si>
  <si>
    <t>Non-Medical Home Healthcare: Creating Sales Processes to Grow Sales Revenue</t>
  </si>
  <si>
    <t>Sales Case Study: Non-Medical Home Healthcare: Creating Sales Processes to Grow Sales Revenue | Sales Xceleration</t>
  </si>
  <si>
    <t>Turned declining revenue around and accomplished a 20% increase in revenue in the first twelve months.</t>
  </si>
  <si>
    <t>acddea16999438d1893e4025424a6a1d</t>
  </si>
  <si>
    <t>https://salesxceleration.com/wp-content/plugins/elementor-pro/assets/css/widget-loop-common.min.css?ver=3.34.0</t>
  </si>
  <si>
    <t>https://salesxceleration.com/wp-content/uploads/2025/12/SAO-YT-Thumbnail-Bryan-Cressey-1024x576.jpg</t>
  </si>
  <si>
    <t>Thu, 11 Dec 2025 15:53:32 GMT</t>
  </si>
  <si>
    <t>https://salesxceleration.com/wp-content/uploads/elementor/thumbs/podcast-sales-against-the-odds-rekhkpdrqbnjmj3tc00y1xropdbkzyjcxhp2m8l11k.jpg</t>
  </si>
  <si>
    <t>Tue, 11 Nov 2025 22:18:06 GMT</t>
  </si>
  <si>
    <t>https://salesxceleration.com/wp-content/plugins/powerpack-elements/assets/css/min/widget-buttons.min.css?ver=2.12.15</t>
  </si>
  <si>
    <t>https://salesxceleration.com/rapid-fire-questions-on-growing-your-business/</t>
  </si>
  <si>
    <t>Rapid-Fire Questions on Growing Your Business</t>
  </si>
  <si>
    <t>Rapid-Fire Questions on Growing Your Business | Sales Xceleration Blog</t>
  </si>
  <si>
    <t>Learn how SMBs can scale smarter with AI, repeatable sales processes, and effective coaching to build predictability, growth, and success.</t>
  </si>
  <si>
    <t>396e27219baab79aa110bd329d550a6f</t>
  </si>
  <si>
    <t>https://salesxceleration.com/what-it-really-takes-to-build-a-resilient-business/</t>
  </si>
  <si>
    <t>What It Really Takes To Build A Resilient Business</t>
  </si>
  <si>
    <t>What It Really Takes To Build A Resilient Business | Sales Xceleration Blog</t>
  </si>
  <si>
    <t>Discover how grit, culture, and resilience turned a side hustle into a $300M brand. Practical lessons for founders, leaders, and sales professionals.</t>
  </si>
  <si>
    <t>48d33d535bfe969b0c59b8df46757ffd</t>
  </si>
  <si>
    <t>https://salesxceleration.com/wp-content/uploads/elementor/css/post-71921.css?ver=1768847238</t>
  </si>
  <si>
    <t>Mon, 19 Jan 2026 18:27:18 GMT</t>
  </si>
  <si>
    <t>https://salesxceleration.com/wp-content/uploads/2025/11/SAO-YT-Thumbnail-Tom-Gardner-1024x576.jpg</t>
  </si>
  <si>
    <t>Fri, 21 Nov 2025 17:51:23 GMT</t>
  </si>
  <si>
    <t>https://salesxceleration.com/wp-content/uploads/2025/11/SAO-YT-Thumbnail-Nick-Friedman-1024x576.jpg</t>
  </si>
  <si>
    <t>Fri, 21 Nov 2025 17:43:47 GMT</t>
  </si>
  <si>
    <t>https://salesxceleration.com/wp-content/plugins/elementor-pro/assets/css/widget-loop-grid.min.css?ver=3.34.0</t>
  </si>
  <si>
    <t>https://salesxceleration.com/wp-content/uploads/2025/12/SAO-YT-Thumbnail-Kurt-Schneiber-1024x576.jpg</t>
  </si>
  <si>
    <t>Tue, 02 Dec 2025 19:41:55 GMT</t>
  </si>
  <si>
    <t>https://salesxceleration.com/the-leadership-traits-that-predict-breakout-success/</t>
  </si>
  <si>
    <t>The Leadership Traits That Predict Breakout Success</t>
  </si>
  <si>
    <t>The Leadership Traits That Predict Breakout Success | Sales Xceleration Blog</t>
  </si>
  <si>
    <t>Discover the traits of great CEOs with Bryan Cressey: creativity, customer engagement, and bold leadership to scale businesses and drive success.</t>
  </si>
  <si>
    <t>fcbe7bde90553042941154713f4a217f</t>
  </si>
  <si>
    <t>Server responds quickly (observed 372 ms)</t>
  </si>
  <si>
    <t>https://salesxceleration.com/the-people-and-process-mistakes-that-hold-sales-back/</t>
  </si>
  <si>
    <t>The People and Process Mistakes That Hold Sales Back</t>
  </si>
  <si>
    <t>The People and Process Mistakes That Hold Sales Back | Sales Xceleration Blog</t>
  </si>
  <si>
    <t>Discover how to overcome stalled growth with Kurt Schneiber's expert tips on sales leadership, coaching, and building a repeatable sales process.</t>
  </si>
  <si>
    <t>5a4dd5c579b69d72d2ce45c26fee36a2</t>
  </si>
  <si>
    <t>Server responds quickly (observed 338 ms)</t>
  </si>
  <si>
    <t>https://salesxceleration.com/wp-content/plugins/powerpack-elements/assets/js/min/frontend-buttons.min.js?ver=2.12.15</t>
  </si>
  <si>
    <t>https://salesxceleration.com/the-secret-to-aligning-sales-and-operations-for-success/</t>
  </si>
  <si>
    <t>The Secret to Aligning Sales and Operations for Success</t>
  </si>
  <si>
    <t>The Secret to Aligning Sales and Operations for Success | Sales Xceleration Blog</t>
  </si>
  <si>
    <t>Discover how curiosity and operational efficiency uncover hidden profits. Tim Van Mieghem shares strategies for sustainable growth and transforming businesses.</t>
  </si>
  <si>
    <t>5f0ec3e61a0fd5637a987d0d492b203e</t>
  </si>
  <si>
    <t>Server responds quickly (observed 368 ms)</t>
  </si>
  <si>
    <t>https://salesxceleration.com/wp-content/uploads/2021/09/shutterstock_469083911-scaled.jpg</t>
  </si>
  <si>
    <t>Mon, 03 Jan 2022 14:12:10 GMT</t>
  </si>
  <si>
    <t>https://salesxceleration.com/wp-content/plugins/wp-job-manager/assets/lib/select2/select2.min.css?ver=4.0.10</t>
  </si>
  <si>
    <t>https://salesxceleration.com/job/vp-of-sales-revenue-opportunity-300k-columbus-ohio/</t>
  </si>
  <si>
    <t>VP of Sales - Revenue Opportunity $300K Charleston, SC | Sales Xceleration</t>
  </si>
  <si>
    <t>Advisor candidates must have the following background:</t>
  </si>
  <si>
    <t>b9cc029855d5983cd7198ed985347b30</t>
  </si>
  <si>
    <t>Server responds quickly (observed 193 ms)</t>
  </si>
  <si>
    <t>https://salesxceleration.com/job/vp-of-sales-revenue-opportunity-300k-kansas-city-mo/</t>
  </si>
  <si>
    <t>VP of Sales - Revenue Opportunity $300K | Sales Xceleration</t>
  </si>
  <si>
    <t>Sales Xceleration is looking for experienced sales executives with a proven track record in building and leading sales organizations. You must have held the</t>
  </si>
  <si>
    <t>47d904e940ec10f784c3d1cd0693f2a4</t>
  </si>
  <si>
    <t>https://salesxceleration.com/job/vice-president-of-sales-winnipeg-canada/</t>
  </si>
  <si>
    <t>VP of Sales - Revenue Opportunity $300K United States | Sales Xceleration</t>
  </si>
  <si>
    <t>7ce91ed17e57db19db7af5cfdfc6c9f8</t>
  </si>
  <si>
    <t>https://salesxceleration.com/job/vp-of-sales-revenue-opportunity-300k-detroit-mi/</t>
  </si>
  <si>
    <t>57c558525b93b2769b3768a23e324c12</t>
  </si>
  <si>
    <t>https://salesxceleration.com/job/vp-of-sales-revenue-opportunity-300k-greensboro-nc/</t>
  </si>
  <si>
    <t>Drive growth as a Fractional VP of Sales. Leverage our certified platform to lead SMBs to success. Apply now.</t>
  </si>
  <si>
    <t>69ab011e9c423da0afd1f900dedae823</t>
  </si>
  <si>
    <t>https://salesxceleration.com/wp-content/plugins/wp-job-manager/assets/images/company.png</t>
  </si>
  <si>
    <t>https://salesxceleration.com/job/vice-president-of-sales-london-uk/</t>
  </si>
  <si>
    <t>Vice President of Sales | Sales Xceleration</t>
  </si>
  <si>
    <t>98e2eb15aa94d6a4b789d45195acb11c</t>
  </si>
  <si>
    <t>https://salesxceleration.com/wp-content/plugins/wp-job-manager/assets/dist/css/frontend.css?ver=dfd3b8d2ce68f47df57d</t>
  </si>
  <si>
    <t>https://salesxceleration.com/wp-content/uploads/elementor/css/post-22358.css?ver=1768847635</t>
  </si>
  <si>
    <t>Mon, 19 Jan 2026 18:33:55 GMT</t>
  </si>
  <si>
    <t>https://salesxceleration.com/wp-content/plugins/powerpack-elements/assets/lib/tablesaw/tablesaw.jquery.js?ver=3.0.3</t>
  </si>
  <si>
    <t>https://salesxceleration.com/wp-content/themes/salesxceleratione/assets/css/style.css?ver=1769123320</t>
  </si>
  <si>
    <t>Thu, 22 Jan 2026 23:08:41 GMT</t>
  </si>
  <si>
    <t>https://salesxceleration.com/wp-content/plugins/powerpack-elements/assets/js/min/frontend-table.min.js?ver=2.12.15</t>
  </si>
  <si>
    <t>https://salesxceleration.com/wp-content/plugins/elementor/assets/css/widget-tabs.min.css?ver=3.34.0</t>
  </si>
  <si>
    <t>https://salesxceleration.com/wp-content/uploads/elementor/css/post-26370.css?ver=1768847835</t>
  </si>
  <si>
    <t>Mon, 19 Jan 2026 18:37:15 GMT</t>
  </si>
  <si>
    <t>https://salesxceleration.com/wp-content/uploads/2025/10/AR-Guarantee_No-Logo-1-1024x1003.png</t>
  </si>
  <si>
    <t>Fri, 10 Oct 2025 20:51:37 GMT</t>
  </si>
  <si>
    <t>https://salesxceleration.com/job/vice-president-of-sales-brisbane-australia/</t>
  </si>
  <si>
    <t>27a92d28954565371cfb01d394841bab</t>
  </si>
  <si>
    <t>https://salesxceleration.com/wp-content/plugins/powerpack-elements/assets/css/min/widget-table.min.css?ver=2.12.15</t>
  </si>
  <si>
    <t>https://salesxceleration.com/wp-content/plugins/powerpack-elements/assets/lib/tablesaw/tablesaw.css?ver=2.12.15</t>
  </si>
  <si>
    <t>https://salesxceleration.com/wp-content/themes/salesxceleratione/assets/css/style.css?ver=1769123321</t>
  </si>
  <si>
    <t>Thu, 22 Jan 2026 23:09:23 GMT</t>
  </si>
  <si>
    <t>https://salesxceleration.com/wp-content/uploads/2024/08/Schamp_Bill-225x225.jpg</t>
  </si>
  <si>
    <t>Fri, 16 Aug 2024 20:34:26 GMT</t>
  </si>
  <si>
    <t>https://salesxceleration.com/job/vp-of-sales-revenue-opportunity-300k-chicago-il/</t>
  </si>
  <si>
    <t>276a1b05ece106db581f84fb84cdc7ea</t>
  </si>
  <si>
    <t>https://salesxceleration.com/wp-content/uploads/2024/02/Jim-Tates-225x225.jpeg</t>
  </si>
  <si>
    <t>Wed, 31 Dec 2025 17:46:35 GMT</t>
  </si>
  <si>
    <t>https://salesxceleration.com/sales-recruiting/contact/</t>
  </si>
  <si>
    <t>Connect With Recruiters</t>
  </si>
  <si>
    <t>Sales Recruiting contact | Sales Xceleration</t>
  </si>
  <si>
    <t>For other sales consulting services, please connect with our team via this form.</t>
  </si>
  <si>
    <t>2c6dc3e338a2f328c6532e8e6af27142</t>
  </si>
  <si>
    <t>https://salesxceleration.com/wp-content/uploads/2024/12/Nwachukwu-Baker-Doris-225x225.jpg</t>
  </si>
  <si>
    <t>Wed, 11 Dec 2024 16:35:04 GMT</t>
  </si>
  <si>
    <t>https://salesxceleration.com/wp-content/uploads/2024/02/Boisclair_Matt-225x225.jpg</t>
  </si>
  <si>
    <t>Wed, 14 Feb 2024 20:55:26 GMT</t>
  </si>
  <si>
    <t>https://salesxceleration.com/wp-content/uploads/2022/04/Kaigh-Jim-275x275-1-225x225.jpg</t>
  </si>
  <si>
    <t>Tue, 05 Apr 2022 14:38:50 GMT</t>
  </si>
  <si>
    <t>https://salesxceleration.com/wp-content/uploads/2017/01/Lawson-Kevin-225x225.jpg</t>
  </si>
  <si>
    <t>Thu, 01 Feb 2024 19:15:23 GMT</t>
  </si>
  <si>
    <t>https://salesxceleration.com/wp-content/uploads/2023/04/Brock_Marck-225x225.jpg</t>
  </si>
  <si>
    <t>Tue, 11 Apr 2023 19:07:41 GMT</t>
  </si>
  <si>
    <t>https://salesxceleration.com/wp-content/uploads/2024/12/Wersel_Andy-225x225.jpg</t>
  </si>
  <si>
    <t>Tue, 03 Dec 2024 20:42:31 GMT</t>
  </si>
  <si>
    <t>https://salesxceleration.com/wp-content/uploads/2022/04/Trotta-Vince-275x275-1-225x225.jpg</t>
  </si>
  <si>
    <t>Tue, 05 Apr 2022 14:46:50 GMT</t>
  </si>
  <si>
    <t>https://salesxceleration.com/wp-content/uploads/2022/04/Larcade-Chris-275x275-1-225x225.jpg</t>
  </si>
  <si>
    <t>Tue, 05 Apr 2022 14:42:35 GMT</t>
  </si>
  <si>
    <t>https://salesxceleration.com/wp-content/uploads/2024/09/Gallop_Jeff-225x225.jpg</t>
  </si>
  <si>
    <t>Fri, 27 Sep 2024 11:08:00 GMT</t>
  </si>
  <si>
    <t>https://salesxceleration.com/wp-content/uploads/2022/04/Maanum-Mike-275x275-1-225x225.jpg</t>
  </si>
  <si>
    <t>Tue, 05 Apr 2022 14:44:42 GMT</t>
  </si>
  <si>
    <t>https://salesxceleration.com/wp-content/uploads/2025/01/Purto_Donnie-225x225.jpg</t>
  </si>
  <si>
    <t>Wed, 29 Jan 2025 13:51:11 GMT</t>
  </si>
  <si>
    <t>https://salesxceleration.com/wp-content/uploads/2022/04/Harvill-Matt-275x275-1-225x225.jpg</t>
  </si>
  <si>
    <t>Tue, 05 Apr 2022 14:35:32 GMT</t>
  </si>
  <si>
    <t>https://salesxceleration.com/wp-content/uploads/2025/06/Triggs_Evan-225x225.jpg</t>
  </si>
  <si>
    <t>Mon, 02 Jun 2025 11:33:59 GMT</t>
  </si>
  <si>
    <t>https://salesxceleration.com/advisors/john-stephens/</t>
  </si>
  <si>
    <t>John Stephens, CSL</t>
  </si>
  <si>
    <t>John Stephens | Certified Sales Leader Cleveland, Ohio | Sales Xceleration</t>
  </si>
  <si>
    <t>John’s 2+ decades of sales leadership expertise, combined with his energetic and collaborative focus, deliver top revenue results for his clients in Cleveland, Ohio.</t>
  </si>
  <si>
    <t>c1b8ac90c9da9a4cb9d4f17df0d6f9b7</t>
  </si>
  <si>
    <t>https://salesxceleration.com/wp-content/uploads/2023/08/Twete_Todd-Updated-Headshot-225x225.jpg</t>
  </si>
  <si>
    <t>Tue, 05 Sep 2023 20:41:29 GMT</t>
  </si>
  <si>
    <t>https://salesxceleration.com/wp-content/uploads/2024/10/Rohde_Kevin-225x225.jpg</t>
  </si>
  <si>
    <t>Fri, 04 Oct 2024 11:43:40 GMT</t>
  </si>
  <si>
    <t>https://salesxceleration.com/wp-content/uploads/2017/01/Jeff_Parris_9567_WEBSIZE-1-225x225.jpg</t>
  </si>
  <si>
    <t>Mon, 12 Aug 2024 15:52:43 GMT</t>
  </si>
  <si>
    <t>https://salesxceleration.com/wp-content/uploads/2023/10/David-Buonfiglio-225x225.jpg</t>
  </si>
  <si>
    <t>Tue, 31 Oct 2023 20:48:36 GMT</t>
  </si>
  <si>
    <t>https://salesxceleration.com/wp-content/uploads/2022/04/Yardemian-Raffi-275x275-1-225x225.jpg</t>
  </si>
  <si>
    <t>Tue, 05 Apr 2022 14:47:12 GMT</t>
  </si>
  <si>
    <t>https://salesxceleration.com/wp-content/uploads/2024/07/Crompton_Mark-225x225.jpg</t>
  </si>
  <si>
    <t>Wed, 24 Jul 2024 17:29:27 GMT</t>
  </si>
  <si>
    <t>https://salesxceleration.com/wp-content/uploads/2022/04/Campbell-Rhett-225x225.jpg</t>
  </si>
  <si>
    <t>Tue, 05 Apr 2022 14:27:00 GMT</t>
  </si>
  <si>
    <t>https://salesxceleration.com/wp-content/uploads/2022/03/Kostiuk_Greg-225x225.jpg</t>
  </si>
  <si>
    <t>Wed, 30 Mar 2022 13:42:14 GMT</t>
  </si>
  <si>
    <t>https://salesxceleration.com/wp-content/uploads/2023/06/Meier_Michael-225x225.jpg</t>
  </si>
  <si>
    <t>Mon, 12 Jun 2023 20:55:25 GMT</t>
  </si>
  <si>
    <t>https://salesxceleration.com/wp-content/uploads/2022/09/KyleAncelin-225x225.jpeg</t>
  </si>
  <si>
    <t>Mon, 03 Oct 2022 18:12:49 GMT</t>
  </si>
  <si>
    <t>https://salesxceleration.com/wp-content/uploads/2023/02/Wehrly_Paul-1-225x225.jpg</t>
  </si>
  <si>
    <t>Mon, 06 Feb 2023 12:35:30 GMT</t>
  </si>
  <si>
    <t>https://salesxceleration.com/wp-content/uploads/2017/01/Goade-Chris-1-225x225.jpg</t>
  </si>
  <si>
    <t>Fri, 15 Apr 2022 13:40:24 GMT</t>
  </si>
  <si>
    <t>https://salesxceleration.com/wp-content/uploads/2022/04/Cantrell-Susan-275x275-1-225x225.jpg</t>
  </si>
  <si>
    <t>Tue, 05 Apr 2022 14:27:13 GMT</t>
  </si>
  <si>
    <t>https://salesxceleration.com/wp-content/uploads/2022/04/Morgan-Tom-225x225.jpg</t>
  </si>
  <si>
    <t>Tue, 05 Apr 2022 14:45:12 GMT</t>
  </si>
  <si>
    <t>https://salesxceleration.com/wp-content/uploads/2023/12/Theobald_Tom-225x225.jpg</t>
  </si>
  <si>
    <t>Mon, 11 Dec 2023 21:42:04 GMT</t>
  </si>
  <si>
    <t>https://salesxceleration.com/wp-content/uploads/2025/08/Vorkapic_Nicole-225x225.jpg</t>
  </si>
  <si>
    <t>Mon, 04 Aug 2025 20:03:19 GMT</t>
  </si>
  <si>
    <t>https://salesxceleration.com/wp-content/uploads/2025/03/Stokes_Patrick-225x225.jpg</t>
  </si>
  <si>
    <t>Thu, 20 Mar 2025 19:05:12 GMT</t>
  </si>
  <si>
    <t>https://salesxceleration.com/wp-content/uploads/2022/04/Dwyer-Terry-225x225.jpg</t>
  </si>
  <si>
    <t>Tue, 05 Apr 2022 14:30:12 GMT</t>
  </si>
  <si>
    <t>https://salesxceleration.com/wp-content/uploads/2022/04/Boyle-Dennis-225x225.jpg</t>
  </si>
  <si>
    <t>Tue, 05 Apr 2022 14:26:08 GMT</t>
  </si>
  <si>
    <t>https://salesxceleration.com/wp-content/uploads/2022/04/Byrd-Caprice-275x275-1-225x225.jpg</t>
  </si>
  <si>
    <t>Tue, 05 Apr 2022 14:26:39 GMT</t>
  </si>
  <si>
    <t>https://salesxceleration.com/wp-content/uploads/2025/12/Buckner_John-225x225.jpeg</t>
  </si>
  <si>
    <t>Wed, 17 Dec 2025 12:13:06 GMT</t>
  </si>
  <si>
    <t>https://salesxceleration.com/wp-content/uploads/2022/07/Bernstein_Gary-225x225.jpg</t>
  </si>
  <si>
    <t>Tue, 26 Jul 2022 13:15:18 GMT</t>
  </si>
  <si>
    <t>https://salesxceleration.com/wp-content/uploads/2024/04/Schulert_Mark-Updated-Headshot-225x225.jpg</t>
  </si>
  <si>
    <t>Tue, 27 Aug 2024 20:46:17 GMT</t>
  </si>
  <si>
    <t>https://salesxceleration.com/wp-content/uploads/2022/04/Noonan-John-275x275-1-225x225.jpg</t>
  </si>
  <si>
    <t>Tue, 05 Apr 2022 14:45:24 GMT</t>
  </si>
  <si>
    <t>https://salesxceleration.com/wp-content/uploads/2022/04/Nolan-Michael-225x225.jpg</t>
  </si>
  <si>
    <t>Tue, 05 Apr 2022 14:45:22 GMT</t>
  </si>
  <si>
    <t>https://salesxceleration.com/wp-content/uploads/2017/01/1732070552083-225x225.jpg</t>
  </si>
  <si>
    <t>Mon, 14 Apr 2025 12:28:11 GMT</t>
  </si>
  <si>
    <t>https://salesxceleration.com/wp-content/uploads/2025/08/Hindman_Daniel-225x225.jpg</t>
  </si>
  <si>
    <t>Thu, 07 Aug 2025 18:27:47 GMT</t>
  </si>
  <si>
    <t>https://salesxceleration.com/wp-content/uploads/2025/04/LaGanke_Ryan-225x225.jpg</t>
  </si>
  <si>
    <t>Thu, 03 Apr 2025 19:38:21 GMT</t>
  </si>
  <si>
    <t>https://salesxceleration.com/wp-content/uploads/2022/04/Pila-Jay-225x225.jpg</t>
  </si>
  <si>
    <t>Tue, 05 Apr 2022 14:45:41 GMT</t>
  </si>
  <si>
    <t>https://salesxceleration.com/wp-content/uploads/2022/04/Donovan-Kevin-275x275-1-225x225.jpg</t>
  </si>
  <si>
    <t>Tue, 05 Apr 2022 14:48:28 GMT</t>
  </si>
  <si>
    <t>https://salesxceleration.com/wp-content/uploads/2022/04/Schottenfeld-Harry-225x225.jpg</t>
  </si>
  <si>
    <t>Tue, 05 Apr 2022 14:46:12 GMT</t>
  </si>
  <si>
    <t>https://salesxceleration.com/wp-content/uploads/2024/06/Zuckman_Bobby-225x225.jpg</t>
  </si>
  <si>
    <t>Mon, 02 Jun 2025 20:54:28 GMT</t>
  </si>
  <si>
    <t>https://salesxceleration.com/wp-content/uploads/2022/04/Halasz-Susie-275x275-1-225x225.jpg</t>
  </si>
  <si>
    <t>Tue, 05 Apr 2022 14:49:01 GMT</t>
  </si>
  <si>
    <t>https://salesxceleration.com/wp-content/uploads/2024/10/Gill_John-225x225.jpg</t>
  </si>
  <si>
    <t>Fri, 04 Oct 2024 18:37:04 GMT</t>
  </si>
  <si>
    <t>https://salesxceleration.com/wp-content/uploads/2024/02/Lopes-Chris-225x225.jpg</t>
  </si>
  <si>
    <t>Wed, 14 Feb 2024 11:52:42 GMT</t>
  </si>
  <si>
    <t>https://salesxceleration.com/wp-content/uploads/2017/01/Joe-Jackson-1-225x225.jpg</t>
  </si>
  <si>
    <t>Wed, 13 Apr 2022 12:10:38 GMT</t>
  </si>
  <si>
    <t>https://salesxceleration.com/wp-content/uploads/2025/03/Gagnon-Gary-225x225.jpg</t>
  </si>
  <si>
    <t>Thu, 27 Mar 2025 17:21:58 GMT</t>
  </si>
  <si>
    <t>https://salesxceleration.com/wp-content/uploads/2025/06/Richie_Bryant-225x225.jpg</t>
  </si>
  <si>
    <t>Wed, 11 Jun 2025 11:22:03 GMT</t>
  </si>
  <si>
    <t>https://salesxceleration.com/wp-content/uploads/2025/10/Uberoy_Vikas-225x225.jpg</t>
  </si>
  <si>
    <t>Thu, 02 Oct 2025 21:03:19 GMT</t>
  </si>
  <si>
    <t>https://salesxceleration.com/wp-content/uploads/2022/04/Callen-Todd-275x275-1-225x225.jpg</t>
  </si>
  <si>
    <t>Tue, 05 Apr 2022 14:47:58 GMT</t>
  </si>
  <si>
    <t>https://salesxceleration.com/wp-content/uploads/2022/04/Jaques-225x225.jpg</t>
  </si>
  <si>
    <t>Mon, 11 Apr 2022 14:53:42 GMT</t>
  </si>
  <si>
    <t>https://salesxceleration.com/wp-content/uploads/2024/08/Murphy_Chris-225x225.jpg</t>
  </si>
  <si>
    <t>Thu, 01 Aug 2024 20:25:05 GMT</t>
  </si>
  <si>
    <t>https://salesxceleration.com/wp-content/uploads/2022/04/Green-Peter-275x275-1-225x225.jpg</t>
  </si>
  <si>
    <t>Tue, 05 Apr 2022 14:32:46 GMT</t>
  </si>
  <si>
    <t>https://salesxceleration.com/wp-content/uploads/2025/05/Gerard_Phil-225x225.jpg</t>
  </si>
  <si>
    <t>Thu, 21 Aug 2025 13:52:03 GMT</t>
  </si>
  <si>
    <t>https://salesxceleration.com/wp-content/uploads/2024/10/Klodnicki_John_Color-1-225x225.jpg</t>
  </si>
  <si>
    <t>Mon, 07 Oct 2024 16:48:44 GMT</t>
  </si>
  <si>
    <t>https://salesxceleration.com/wp-content/uploads/2025/10/Mulyk_Lisa-225x225.jpg</t>
  </si>
  <si>
    <t>Fri, 24 Oct 2025 18:21:38 GMT</t>
  </si>
  <si>
    <t>https://salesxceleration.com/wp-content/uploads/2022/04/Dickinson-TM-275x275-1-225x225.jpg</t>
  </si>
  <si>
    <t>Tue, 05 Apr 2022 14:29:28 GMT</t>
  </si>
  <si>
    <t>https://salesxceleration.com/wp-content/uploads/2024/12/Johnson_John-1-225x225.jpg</t>
  </si>
  <si>
    <t>Mon, 27 Oct 2025 17:38:43 GMT</t>
  </si>
  <si>
    <t>https://salesxceleration.com/wp-content/uploads/2023/02/Burkhalter_Bill-225x225.jpg</t>
  </si>
  <si>
    <t>Wed, 01 Feb 2023 12:49:46 GMT</t>
  </si>
  <si>
    <t>https://salesxceleration.com/wp-content/uploads/2022/04/Dowhan-Mike-275x275-1-225x225.jpg</t>
  </si>
  <si>
    <t>Tue, 05 Apr 2022 14:29:54 GMT</t>
  </si>
  <si>
    <t>https://salesxceleration.com/wp-content/uploads/2023/06/Openshaw_Rob-225x225.jpg</t>
  </si>
  <si>
    <t>Sun, 25 Jun 2023 14:02:33 GMT</t>
  </si>
  <si>
    <t>https://salesxceleration.com/wp-content/uploads/2025/12/Winings_Tim-225x225.jpeg</t>
  </si>
  <si>
    <t>Mon, 01 Dec 2025 21:33:59 GMT</t>
  </si>
  <si>
    <t>https://salesxceleration.com/wp-content/uploads/2022/03/prive_michael-225x225.jpg</t>
  </si>
  <si>
    <t>Wed, 30 Mar 2022 13:30:29 GMT</t>
  </si>
  <si>
    <t>https://salesxceleration.com/wp-content/uploads/2024/12/ORourke_Megan-225x225.jpg</t>
  </si>
  <si>
    <t>Wed, 11 Dec 2024 16:35:06 GMT</t>
  </si>
  <si>
    <t>https://salesxceleration.com/wp-content/uploads/2022/04/Harper-Dan-225x225.jpg</t>
  </si>
  <si>
    <t>Tue, 05 Apr 2022 14:34:34 GMT</t>
  </si>
  <si>
    <t>https://salesxceleration.com/wp-content/uploads/2025/08/Wiemeyer_Susan-225x225.jpg</t>
  </si>
  <si>
    <t>Tue, 05 Aug 2025 19:24:37 GMT</t>
  </si>
  <si>
    <t>https://salesxceleration.com/wp-content/uploads/2022/04/Y-John-275x275-1-225x225.jpg</t>
  </si>
  <si>
    <t>Tue, 05 Apr 2022 14:47:17 GMT</t>
  </si>
  <si>
    <t>https://salesxceleration.com/wp-content/uploads/2024/04/Parodi-Eduardo-225x225.jpg</t>
  </si>
  <si>
    <t>Mon, 08 Apr 2024 20:12:00 GMT</t>
  </si>
  <si>
    <t>https://salesxceleration.com/wp-content/uploads/2017/01/Kurtz-Glenn-225x225.jpg</t>
  </si>
  <si>
    <t>Wed, 13 Apr 2022 12:10:39 GMT</t>
  </si>
  <si>
    <t>https://salesxceleration.com/wp-content/uploads/2022/06/Pilay_Jorge-225x225.jpg</t>
  </si>
  <si>
    <t>Wed, 01 Jun 2022 14:18:41 GMT</t>
  </si>
  <si>
    <t>https://salesxceleration.com/wp-content/uploads/2022/04/OShaughnessey-Sean-275x275-1-225x225.jpg</t>
  </si>
  <si>
    <t>Tue, 05 Apr 2022 14:45:31 GMT</t>
  </si>
  <si>
    <t>https://salesxceleration.com/wp-content/uploads/2025/09/Casey_Bill-225x225.jpg</t>
  </si>
  <si>
    <t>Wed, 24 Sep 2025 21:10:25 GMT</t>
  </si>
  <si>
    <t>https://salesxceleration.com/wp-content/uploads/2022/03/griffith_steve-225x225.jpg</t>
  </si>
  <si>
    <t>Wed, 30 Mar 2022 13:40:21 GMT</t>
  </si>
  <si>
    <t>https://salesxceleration.com/wp-content/uploads/2024/08/Legault_Darren-225x225.jpg</t>
  </si>
  <si>
    <t>Mon, 05 Aug 2024 20:51:21 GMT</t>
  </si>
  <si>
    <t>https://salesxceleration.com/wp-content/uploads/2022/04/Hoelderle-Tom-275x275-1-225x225.jpg</t>
  </si>
  <si>
    <t>Tue, 05 Apr 2022 14:36:43 GMT</t>
  </si>
  <si>
    <t>https://salesxceleration.com/wp-content/uploads/2024/03/Yahnite_Jill-225x225.jpg</t>
  </si>
  <si>
    <t>Mon, 15 Apr 2024 17:26:54 GMT</t>
  </si>
  <si>
    <t>https://salesxceleration.com/wp-content/uploads/2022/04/Ryder-Harrison-275x275-1-225x225.jpg</t>
  </si>
  <si>
    <t>Tue, 05 Apr 2022 14:46:08 GMT</t>
  </si>
  <si>
    <t>https://salesxceleration.com/wp-content/uploads/2024/08/Thompson_Daniel-225x225.jpg</t>
  </si>
  <si>
    <t>Tue, 06 Aug 2024 12:33:19 GMT</t>
  </si>
  <si>
    <t>https://salesxceleration.com/wp-content/uploads/2025/04/Parsonson_Dominic-225x225.jpg</t>
  </si>
  <si>
    <t>Fri, 11 Apr 2025 15:42:20 GMT</t>
  </si>
  <si>
    <t>https://salesxceleration.com/wp-content/uploads/2022/04/Wilson-Scott-275x275-1-225x225.jpg</t>
  </si>
  <si>
    <t>Tue, 05 Apr 2022 14:47:06 GMT</t>
  </si>
  <si>
    <t>https://salesxceleration.com/cdn-cgi/l/email-protection</t>
  </si>
  <si>
    <t>text/html</t>
  </si>
  <si>
    <t>Not Found</t>
  </si>
  <si>
    <t>Client Error</t>
  </si>
  <si>
    <t>https://salesxceleration.com/wp-content/uploads/2022/04/McIntyre-Pat-275x275-1-225x225.jpg</t>
  </si>
  <si>
    <t>Tue, 05 Apr 2022 14:44:53 GMT</t>
  </si>
  <si>
    <t>https://salesxceleration.com/wp-content/uploads/2025/08/Delahoz_Luis-225x225.jpg</t>
  </si>
  <si>
    <t>Thu, 07 Aug 2025 14:21:43 GMT</t>
  </si>
  <si>
    <t>https://salesxceleration.com/wp-content/uploads/2024/04/Harvey_Bob-225x225.jpg</t>
  </si>
  <si>
    <t>Fri, 19 Apr 2024 19:43:10 GMT</t>
  </si>
  <si>
    <t>https://salesxceleration.com/wp-content/uploads/2024/08/Lubic_Dan-225x225.jpg</t>
  </si>
  <si>
    <t>Tue, 20 Aug 2024 19:49:44 GMT</t>
  </si>
  <si>
    <t>https://salesxceleration.com/wp-content/uploads/2022/04/Brumbaugh-Lee-225x225.jpg</t>
  </si>
  <si>
    <t>Tue, 05 Apr 2022 14:26:28 GMT</t>
  </si>
  <si>
    <t>https://salesxceleration.com/wp-content/uploads/2022/04/Cariglia-Bob-275x275-1-225x225.jpg</t>
  </si>
  <si>
    <t>Tue, 05 Apr 2022 14:27:23 GMT</t>
  </si>
  <si>
    <t>https://salesxceleration.com/wp-content/uploads/2022/04/LaBudde-Dave-225x225.jpg</t>
  </si>
  <si>
    <t>Tue, 05 Apr 2022 14:39:55 GMT</t>
  </si>
  <si>
    <t>https://salesxceleration.com/wp-content/uploads/2017/01/Gardner_Tom2-225x225.jpg</t>
  </si>
  <si>
    <t>Fri, 30 May 2025 19:56:15 GMT</t>
  </si>
  <si>
    <t>https://salesxceleration.com/wp-content/uploads/2024/12/Besse_Bob-225x225.jpg</t>
  </si>
  <si>
    <t>Wed, 04 Dec 2024 17:38:19 GMT</t>
  </si>
  <si>
    <t>https://salesxceleration.com/wp-content/uploads/2022/04/Clair-Jeff-275x275-1-225x225.jpg</t>
  </si>
  <si>
    <t>Tue, 05 Apr 2022 14:27:38 GMT</t>
  </si>
  <si>
    <t>https://salesxceleration.com/wp-content/uploads/2022/04/LaHonta-Keith-275x275-1-225x225.jpg</t>
  </si>
  <si>
    <t>Tue, 05 Apr 2022 14:40:23 GMT</t>
  </si>
  <si>
    <t>https://salesxceleration.com/wp-content/uploads/2022/04/West-Gary-275x275-1-225x225.jpg</t>
  </si>
  <si>
    <t>Tue, 05 Apr 2022 14:47:03 GMT</t>
  </si>
  <si>
    <t>https://salesxceleration.com/wp-content/uploads/2024/10/Westbrooke_Steve-225x225.jpg</t>
  </si>
  <si>
    <t>Fri, 04 Oct 2024 12:45:18 GMT</t>
  </si>
  <si>
    <t>https://salesxceleration.com/wp-content/uploads/2023/09/Neilan_Tim-225x225.jpg</t>
  </si>
  <si>
    <t>Wed, 27 Sep 2023 21:45:08 GMT</t>
  </si>
  <si>
    <t>https://salesxceleration.com/wp-content/uploads/2022/04/Skerlos-Dino-275x275-1-225x225.jpg</t>
  </si>
  <si>
    <t>Tue, 05 Apr 2022 14:46:22 GMT</t>
  </si>
  <si>
    <t>https://salesxceleration.com/wp-content/uploads/2024/08/Bidwell_Dan-225x225.jpg</t>
  </si>
  <si>
    <t>Fri, 16 Aug 2024 19:08:24 GMT</t>
  </si>
  <si>
    <t>https://salesxceleration.com/wp-content/uploads/2023/12/Knotts_Joe-225x225.jpg</t>
  </si>
  <si>
    <t>Wed, 13 Dec 2023 22:14:38 GMT</t>
  </si>
  <si>
    <t>https://salesxceleration.com/wp-content/uploads/2025/08/Quinque_Ernie-225x225.jpg</t>
  </si>
  <si>
    <t>Wed, 06 Aug 2025 21:11:49 GMT</t>
  </si>
  <si>
    <t>https://salesxceleration.com/wp-content/uploads/2023/06/Fisher_Howard-225x225.jpg</t>
  </si>
  <si>
    <t>Tue, 13 Jun 2023 17:02:10 GMT</t>
  </si>
  <si>
    <t>https://salesxceleration.com/wp-content/uploads/2017/01/Rafferty-Paul-275x275-1-225x225.jpg</t>
  </si>
  <si>
    <t>Tue, 08 Mar 2022 15:49:50 GMT</t>
  </si>
  <si>
    <t>https://salesxceleration.com/wp-content/uploads/2025/02/Ted-Caulkins-225x225.jpg</t>
  </si>
  <si>
    <t>Wed, 12 Feb 2025 12:19:13 GMT</t>
  </si>
  <si>
    <t>https://salesxceleration.com/wp-content/uploads/2024/03/Rosser_Troy-225x225.jpg</t>
  </si>
  <si>
    <t>Thu, 28 Mar 2024 20:58:00 GMT</t>
  </si>
  <si>
    <t>https://salesxceleration.com/wp-content/uploads/2022/04/Marchetti-Jerry-275x275-1-225x225.jpg</t>
  </si>
  <si>
    <t>Tue, 05 Apr 2022 14:44:47 GMT</t>
  </si>
  <si>
    <t>https://salesxceleration.com/wp-content/uploads/2024/04/Maloof-Nick-225x225.jpg</t>
  </si>
  <si>
    <t>Mon, 08 Apr 2024 20:33:30 GMT</t>
  </si>
  <si>
    <t>https://salesxceleration.com/wp-content/uploads/2025/04/Buel_Rudy-225x225.jpg</t>
  </si>
  <si>
    <t>Thu, 17 Apr 2025 20:57:19 GMT</t>
  </si>
  <si>
    <t>https://salesxceleration.com/wp-content/uploads/2022/04/McMahan-Don-225x225.jpg</t>
  </si>
  <si>
    <t>Tue, 05 Apr 2022 14:45:00 GMT</t>
  </si>
  <si>
    <t>https://salesxceleration.com/wp-content/uploads/2024/08/Schaal_Steve-225x225.jpg</t>
  </si>
  <si>
    <t>Tue, 20 Aug 2024 19:48:22 GMT</t>
  </si>
  <si>
    <t>https://salesxceleration.com/wp-content/uploads/2022/07/Porro_Michael-2-225x225.jpg</t>
  </si>
  <si>
    <t>Tue, 13 Sep 2022 11:17:21 GMT</t>
  </si>
  <si>
    <t>https://salesxceleration.com/wp-content/uploads/2023/04/Jeane-225x225.jpg</t>
  </si>
  <si>
    <t>Wed, 12 Apr 2023 17:53:05 GMT</t>
  </si>
  <si>
    <t>https://salesxceleration.com/wp-content/uploads/2023/10/jaclyn-beatty-225x225.jpg</t>
  </si>
  <si>
    <t>Thu, 12 Oct 2023 18:41:59 GMT</t>
  </si>
  <si>
    <t>https://salesxceleration.com/wp-content/uploads/2022/04/Rakis-Angela-225x225.jpg</t>
  </si>
  <si>
    <t>Tue, 05 Apr 2022 14:45:54 GMT</t>
  </si>
  <si>
    <t>https://salesxceleration.com/wp-content/uploads/2022/04/McKnight-Matt-225x225.jpg</t>
  </si>
  <si>
    <t>Tue, 05 Apr 2022 14:44:55 GMT</t>
  </si>
  <si>
    <t>https://salesxceleration.com/wp-content/uploads/2025/10/Gumbiner_Ken-225x225.jpg</t>
  </si>
  <si>
    <t>Fri, 17 Oct 2025 17:33:41 GMT</t>
  </si>
  <si>
    <t>https://salesxceleration.com/wp-content/uploads/2022/04/English-Joe-275x275-1-225x225.jpg</t>
  </si>
  <si>
    <t>Tue, 05 Apr 2022 14:30:40 GMT</t>
  </si>
  <si>
    <t>https://salesxceleration.com/wp-content/uploads/2022/04/Mann-Susan-225x225.jpg</t>
  </si>
  <si>
    <t>Tue, 05 Apr 2022 14:44:45 GMT</t>
  </si>
  <si>
    <t>https://salesxceleration.com/wp-content/uploads/2025/07/DeMint_Timothy-225x225.jpg</t>
  </si>
  <si>
    <t>Mon, 14 Jul 2025 20:30:47 GMT</t>
  </si>
  <si>
    <t>https://salesxceleration.com/wp-content/uploads/2025/08/Hayden_Shirley2-225x225.jpg</t>
  </si>
  <si>
    <t>Fri, 05 Sep 2025 13:44:03 GMT</t>
  </si>
  <si>
    <t>https://salesxceleration.com/wp-content/uploads/2022/04/Hockins-Rich-275x275-1-225x225.jpg</t>
  </si>
  <si>
    <t>Tue, 05 Apr 2022 14:36:21 GMT</t>
  </si>
  <si>
    <t>https://salesxceleration.com/wp-content/uploads/2022/07/Sutter-Mark-225x225.jpeg</t>
  </si>
  <si>
    <t>Fri, 22 Jul 2022 16:50:13 GMT</t>
  </si>
  <si>
    <t>https://salesxceleration.com/wp-content/uploads/2023/10/Pollard_Kael-225x225.jpg</t>
  </si>
  <si>
    <t>Thu, 05 Oct 2023 20:56:57 GMT</t>
  </si>
  <si>
    <t>https://salesxceleration.com/wp-content/uploads/2022/04/Wittal-Steve-225x225.jpg</t>
  </si>
  <si>
    <t>Tue, 05 Apr 2022 14:47:08 GMT</t>
  </si>
  <si>
    <t>https://salesxceleration.com/wp-content/uploads/2025/06/Enters_Menno-225x225.jpg</t>
  </si>
  <si>
    <t>Fri, 13 Jun 2025 14:28:32 GMT</t>
  </si>
  <si>
    <t>https://salesxceleration.com/wp-content/uploads/2022/04/Spafford-Chris-275x275-1-225x225.jpg</t>
  </si>
  <si>
    <t>Tue, 05 Apr 2022 14:46:30 GMT</t>
  </si>
  <si>
    <t>https://salesxceleration.com/wp-content/uploads/2025/05/McKean_Steve-225x225.jpg</t>
  </si>
  <si>
    <t>Thu, 21 Aug 2025 13:52:02 GMT</t>
  </si>
  <si>
    <t>https://salesxceleration.com/wp-content/uploads/2025/06/Durkee_Jeff-225x225.jpg</t>
  </si>
  <si>
    <t>Mon, 09 Jun 2025 21:02:48 GMT</t>
  </si>
  <si>
    <t>https://salesxceleration.com/wp-content/uploads/2024/06/Garner-Chris-225x225.jpg</t>
  </si>
  <si>
    <t>Mon, 03 Jun 2024 11:53:25 GMT</t>
  </si>
  <si>
    <t>https://salesxceleration.com/wp-content/uploads/2017/01/John-Lee-225x225.jpeg</t>
  </si>
  <si>
    <t>Tue, 21 May 2024 18:44:28 GMT</t>
  </si>
  <si>
    <t>https://salesxceleration.com/advisors/jeffrey-soares/</t>
  </si>
  <si>
    <t>Jeffrey Soares</t>
  </si>
  <si>
    <t>Jeffrey Soares | Sales Expert Sacramento, California | Sales Xceleration</t>
  </si>
  <si>
    <t>Jeff helps business owners in Sacramento, CA to achieve elevated sales performance by delivering highly effective strategies, processes, &amp; execution plans to enable rapid growth.</t>
  </si>
  <si>
    <t>f9534cfc724970f029cbfcc2054fe73d</t>
  </si>
  <si>
    <t>https://salesxceleration.com/wp-content/uploads/2025/09/Burton_Chris-225x225.jpg</t>
  </si>
  <si>
    <t>Fri, 26 Sep 2025 16:59:54 GMT</t>
  </si>
  <si>
    <t>https://salesxceleration.com/wp-content/uploads/2022/04/Soares-Jeff-275x275-1-225x225.jpg</t>
  </si>
  <si>
    <t>Tue, 05 Apr 2022 14:46:26 GMT</t>
  </si>
  <si>
    <t>https://salesxceleration.com/wp-content/uploads/2025/06/Todd_Kristopher-225x225.jpg</t>
  </si>
  <si>
    <t>Wed, 25 Jun 2025 14:51:53 GMT</t>
  </si>
  <si>
    <t>https://salesxceleration.com/wp-content/uploads/2023/05/Miller_Doug-225x225.jpg</t>
  </si>
  <si>
    <t>Tue, 30 May 2023 11:48:50 GMT</t>
  </si>
  <si>
    <t>https://salesxceleration.com/wp-content/uploads/2024/12/Coyne_Greg-225x225.jpg</t>
  </si>
  <si>
    <t>Mon, 16 Dec 2024 18:47:34 GMT</t>
  </si>
  <si>
    <t>https://salesxceleration.com/wp-content/uploads/2024/03/Lee-Scott-225x225.jpg</t>
  </si>
  <si>
    <t>Thu, 21 Mar 2024 20:45:15 GMT</t>
  </si>
  <si>
    <t>https://salesxceleration.com/wp-content/uploads/2024/11/Devlin_Andrew-225x225.jpg</t>
  </si>
  <si>
    <t>Fri, 08 Nov 2024 12:33:07 GMT</t>
  </si>
  <si>
    <t>https://salesxceleration.com/wp-content/uploads/2022/04/Mitchell-Paul-225x225.jpg</t>
  </si>
  <si>
    <t>Tue, 05 Apr 2022 14:45:08 GMT</t>
  </si>
  <si>
    <t>https://salesxceleration.com/wp-content/uploads/2022/04/Yenke-Kathy-225x225.jpg</t>
  </si>
  <si>
    <t>Tue, 05 Apr 2022 14:47:14 GMT</t>
  </si>
  <si>
    <t>https://salesxceleration.com/wp-content/uploads/2025/10/Haas_Rebecca-225x225.jpg</t>
  </si>
  <si>
    <t>Wed, 08 Oct 2025 10:56:44 GMT</t>
  </si>
  <si>
    <t>https://salesxceleration.com/wp-content/uploads/2022/04/Torr-John-225x225.jpg</t>
  </si>
  <si>
    <t>Tue, 05 Apr 2022 14:46:46 GMT</t>
  </si>
  <si>
    <t>https://salesxceleration.com/wp-content/uploads/2022/04/Jones-David-275x275-1-225x225.jpg</t>
  </si>
  <si>
    <t>Tue, 05 Apr 2022 14:38:25 GMT</t>
  </si>
  <si>
    <t>https://salesxceleration.com/wp-content/uploads/2025/03/Phillips_Brent-225x225.jpg</t>
  </si>
  <si>
    <t>Thu, 27 Mar 2025 18:43:59 GMT</t>
  </si>
  <si>
    <t>https://salesxceleration.com/wp-content/uploads/2023/07/Hubbard_Kenneth-225x225.jpg</t>
  </si>
  <si>
    <t>Tue, 01 Aug 2023 18:47:27 GMT</t>
  </si>
  <si>
    <t>https://salesxceleration.com/wp-content/uploads/2017/01/Stephens-John-275x275-1-225x225.jpg</t>
  </si>
  <si>
    <t>Tue, 08 Mar 2022 15:29:22 GMT</t>
  </si>
  <si>
    <t>https://salesxceleration.com/wp-content/uploads/2023/04/Beall_Bishop-225x225.jpg</t>
  </si>
  <si>
    <t>Tue, 11 Apr 2023 18:56:47 GMT</t>
  </si>
  <si>
    <t>https://salesxceleration.com/wp-content/uploads/2017/01/Cocca_Chris-225x225.jpg</t>
  </si>
  <si>
    <t>Fri, 11 Jul 2025 20:09:36 GMT</t>
  </si>
  <si>
    <t>https://salesxceleration.com/wp-content/uploads/2022/04/Tkaczyk-Rick-275x275-1-225x225.jpg</t>
  </si>
  <si>
    <t>Tue, 05 Apr 2022 14:46:45 GMT</t>
  </si>
  <si>
    <t>https://salesxceleration.com/wp-content/uploads/2022/04/Oser-Gregg-275x275-1-225x225.jpg</t>
  </si>
  <si>
    <t>Tue, 05 Apr 2022 14:45:29 GMT</t>
  </si>
  <si>
    <t>https://salesxceleration.com/wp-content/uploads/2022/04/Byrd-Tim-225x225.jpg</t>
  </si>
  <si>
    <t>Tue, 05 Apr 2022 14:26:49 GMT</t>
  </si>
  <si>
    <t>https://salesxceleration.com/wp-content/uploads/2024/02/Margerin-Steve-225x225.jpg</t>
  </si>
  <si>
    <t>Mon, 05 Feb 2024 22:11:42 GMT</t>
  </si>
  <si>
    <t>https://salesxceleration.com/wp-content/uploads/2024/06/Hobbs_Nicky_2-225x225.jpg</t>
  </si>
  <si>
    <t>Wed, 19 Jun 2024 14:23:41 GMT</t>
  </si>
  <si>
    <t>https://salesxceleration.com/wp-content/uploads/2017/01/Mahony_Dan-225x225.jpg</t>
  </si>
  <si>
    <t>Fri, 20 Sep 2024 20:28:04 GMT</t>
  </si>
  <si>
    <t>https://salesxceleration.com/wp-content/uploads/2025/11/Rooney_John-225x225.jpg</t>
  </si>
  <si>
    <t>Tue, 11 Nov 2025 18:37:46 GMT</t>
  </si>
  <si>
    <t>https://salesxceleration.com/wp-content/uploads/2025/04/Carlson_Daniel-225x225.jpg</t>
  </si>
  <si>
    <t>Thu, 03 Apr 2025 19:36:32 GMT</t>
  </si>
  <si>
    <t>https://salesxceleration.com/wp-content/uploads/2024/07/Brooks_Joan-225x225.jpg</t>
  </si>
  <si>
    <t>Tue, 23 Jul 2024 20:24:22 GMT</t>
  </si>
  <si>
    <t>https://salesxceleration.com/wp-content/uploads/2024/04/Kessler_Chad-225x225.jpg</t>
  </si>
  <si>
    <t>Fri, 05 Apr 2024 20:09:15 GMT</t>
  </si>
  <si>
    <t>https://salesxceleration.com/wp-content/uploads/2022/10/John-Jankowski-225x225.jpeg</t>
  </si>
  <si>
    <t>Mon, 03 Oct 2022 19:41:29 GMT</t>
  </si>
  <si>
    <t>https://salesxceleration.com/wp-content/uploads/2024/08/Wilson_Andy-225x225.jpg</t>
  </si>
  <si>
    <t>Thu, 01 Aug 2024 11:13:49 GMT</t>
  </si>
  <si>
    <t>https://salesxceleration.com/wp-content/uploads/2022/04/Harrigan-Greg-275x275-1-225x225.jpg</t>
  </si>
  <si>
    <t>Tue, 05 Apr 2022 14:43:42 GMT</t>
  </si>
  <si>
    <t>https://salesxceleration.com/wp-content/uploads/2024/06/Muskus_Joe-225x225.jpg</t>
  </si>
  <si>
    <t>Tue, 11 Jun 2024 16:05:00 GMT</t>
  </si>
  <si>
    <t>https://salesxceleration.com/wp-content/uploads/2023/06/Filipski_Jeff-225x225.jpg</t>
  </si>
  <si>
    <t>Mon, 12 Jun 2023 21:06:39 GMT</t>
  </si>
  <si>
    <t>https://salesxceleration.com/wp-content/uploads/2022/04/Ziemke-Matthew-275x275-1-225x225.jpg</t>
  </si>
  <si>
    <t>Tue, 05 Apr 2022 14:47:21 GMT</t>
  </si>
  <si>
    <t>https://salesxceleration.com/wp-content/uploads/2024/10/Toomer_David-225x225.jpg</t>
  </si>
  <si>
    <t>Fri, 04 Oct 2024 12:45:20 GMT</t>
  </si>
  <si>
    <t>https://salesxceleration.com/wp-content/uploads/2024/07/Kummer_Mark-225x225.jpg</t>
  </si>
  <si>
    <t>Mon, 29 Jul 2024 20:31:27 GMT</t>
  </si>
  <si>
    <t>https://salesxceleration.com/wp-content/uploads/2022/10/Essex_Pete-225x225.jpg</t>
  </si>
  <si>
    <t>Thu, 20 Oct 2022 20:32:05 GMT</t>
  </si>
  <si>
    <t>https://salesxceleration.com/wp-content/uploads/2017/01/Crandall_Kelly-225x225.jpg</t>
  </si>
  <si>
    <t>Fri, 20 Sep 2024 20:14:08 GMT</t>
  </si>
  <si>
    <t>https://salesxceleration.com/wp-content/uploads/2022/04/Daly-Tom-1-275x275-1-225x225.jpg</t>
  </si>
  <si>
    <t>Tue, 05 Apr 2022 15:13:30 GMT</t>
  </si>
  <si>
    <t>https://salesxceleration.com/wp-content/uploads/2017/01/Moore_Sean-225x225.jpg</t>
  </si>
  <si>
    <t>Mon, 04 Aug 2025 19:03:59 GMT</t>
  </si>
  <si>
    <t>https://salesxceleration.com/wp-content/uploads/2023/07/Susie-225x225.jpg</t>
  </si>
  <si>
    <t>Wed, 05 Jul 2023 11:32:23 GMT</t>
  </si>
  <si>
    <t>https://salesxceleration.com/wp-content/uploads/2022/04/Wills-Michael-225x225.jpg</t>
  </si>
  <si>
    <t>Tue, 05 Apr 2022 14:47:04 GMT</t>
  </si>
  <si>
    <t>https://salesxceleration.com/wp-content/uploads/2024/12/Donlon_Michael-225x225.jpg</t>
  </si>
  <si>
    <t>Thu, 05 Dec 2024 19:06:32 GMT</t>
  </si>
  <si>
    <t>https://salesxceleration.com/wp-content/uploads/2024/12/Eggleston_Larry-225x225.jpg</t>
  </si>
  <si>
    <t>Mon, 16 Dec 2024 21:47:36 GMT</t>
  </si>
  <si>
    <t>https://salesxceleration.com/wp-content/uploads/2022/04/Costello-Jim-275x275-1-225x225.jpg</t>
  </si>
  <si>
    <t>Tue, 05 Apr 2022 14:28:36 GMT</t>
  </si>
  <si>
    <t>https://salesxceleration.com/wp-content/uploads/2017/01/Shaughnessy_Kevin-225x225.jpg</t>
  </si>
  <si>
    <t>Tue, 14 Jan 2025 02:28:57 GMT</t>
  </si>
  <si>
    <t>https://salesxceleration.com/wp-content/uploads/2025/06/Wong_Rick-225x225.jpg</t>
  </si>
  <si>
    <t>Tue, 17 Jun 2025 19:49:12 GMT</t>
  </si>
  <si>
    <t>https://salesxceleration.com/wp-content/uploads/2024/03/Adams-Mike-225x225.jpg</t>
  </si>
  <si>
    <t>Thu, 21 Mar 2024 11:14:14 GMT</t>
  </si>
  <si>
    <t>https://salesxceleration.com/wp-content/uploads/2022/06/Balis_Eric-225x225.jpg</t>
  </si>
  <si>
    <t>Fri, 03 Jun 2022 11:39:47 GMT</t>
  </si>
  <si>
    <t>https://salesxceleration.com/wp-content/uploads/2022/04/Diemer-Michael-275x275-1-225x225.jpg</t>
  </si>
  <si>
    <t>Tue, 05 Apr 2022 14:48:24 GMT</t>
  </si>
  <si>
    <t>https://salesxceleration.com/wp-content/uploads/2023/06/Beck_Norm-225x225.jpg</t>
  </si>
  <si>
    <t>Tue, 20 Jun 2023 17:11:50 GMT</t>
  </si>
  <si>
    <t>https://salesxceleration.com/wp-content/uploads/2024/06/Lock-Robert-225x225.jpg</t>
  </si>
  <si>
    <t>Mon, 03 Jun 2024 11:53:24 GMT</t>
  </si>
  <si>
    <t>https://salesxceleration.com/wp-content/uploads/2022/04/Lindert-Mike-275x275-1-225x225.jpg</t>
  </si>
  <si>
    <t>Tue, 05 Apr 2022 14:44:37 GMT</t>
  </si>
  <si>
    <t>https://salesxceleration.com/wp-content/uploads/2023/01/VanTassel_Alan-225x225.jpg</t>
  </si>
  <si>
    <t>Tue, 07 Feb 2023 15:28:08 GMT</t>
  </si>
  <si>
    <t>https://salesxceleration.com/wp-content/uploads/2017/01/McLeod_John-225x225.jpg</t>
  </si>
  <si>
    <t>Mon, 28 Oct 2024 14:48:51 GMT</t>
  </si>
  <si>
    <t>https://salesxceleration.com/wp-content/uploads/2022/04/Muniz-Shannon-275x275-1-225x225.jpg</t>
  </si>
  <si>
    <t>Tue, 05 Apr 2022 14:45:16 GMT</t>
  </si>
  <si>
    <t>https://salesxceleration.com/wp-content/uploads/2022/06/Wagener_John2-225x225.jpg</t>
  </si>
  <si>
    <t>Tue, 21 Jun 2022 18:56:13 GMT</t>
  </si>
  <si>
    <t>https://salesxceleration.com/wp-content/uploads/2024/06/Shannon_Sean-225x225.jpg</t>
  </si>
  <si>
    <t>Tue, 18 Jun 2024 19:03:52 GMT</t>
  </si>
  <si>
    <t>https://salesxceleration.com/wp-content/uploads/2022/04/Allen-Lee-225x225.jpg</t>
  </si>
  <si>
    <t>Tue, 05 Apr 2022 14:21:48 GMT</t>
  </si>
  <si>
    <t>https://salesxceleration.com/wp-content/uploads/2022/04/Tappan-Scott-275x275-1-225x225.jpg</t>
  </si>
  <si>
    <t>Tue, 05 Apr 2022 14:46:42 GMT</t>
  </si>
  <si>
    <t>https://salesxceleration.com/wp-content/uploads/2024/06/Hirsh-John-225x225.jpg</t>
  </si>
  <si>
    <t>Tue, 11 Jun 2024 21:34:58 GMT</t>
  </si>
  <si>
    <t>https://salesxceleration.com/wp-content/uploads/2026/01/Brian-Dolan-225x225.jpeg</t>
  </si>
  <si>
    <t>Tue, 06 Jan 2026 12:12:18 GMT</t>
  </si>
  <si>
    <t>https://salesxceleration.com/wp-content/uploads/2017/01/Landrum_Steve-225x225.jpg</t>
  </si>
  <si>
    <t>Mon, 16 Sep 2024 19:48:42 GMT</t>
  </si>
  <si>
    <t>https://salesxceleration.com/wp-content/uploads/2022/04/Watson-Tony-225x225.jpg</t>
  </si>
  <si>
    <t>Tue, 05 Apr 2022 14:46:57 GMT</t>
  </si>
  <si>
    <t>https://salesxceleration.com/wp-content/uploads/2025/10/Percy_Mel-225x225.jpg</t>
  </si>
  <si>
    <t>Tue, 21 Oct 2025 19:25:41 GMT</t>
  </si>
  <si>
    <t>https://salesxceleration.com/wp-content/uploads/2022/04/Strouse-David-275x275-1-225x225.jpg</t>
  </si>
  <si>
    <t>Tue, 05 Apr 2022 14:46:38 GMT</t>
  </si>
  <si>
    <t>https://salesxceleration.com/wp-content/uploads/2024/01/Nolley_Dean-225x225.jpg</t>
  </si>
  <si>
    <t>Wed, 31 Jan 2024 12:38:56 GMT</t>
  </si>
  <si>
    <t>https://salesxceleration.com/wp-content/uploads/2025/04/Schradle_Lindsey-225x225.jpg</t>
  </si>
  <si>
    <t>Thu, 17 Apr 2025 20:58:45 GMT</t>
  </si>
  <si>
    <t>https://salesxceleration.com/wp-content/uploads/2022/04/Reiff-Duane-275x275-1-225x225.jpg</t>
  </si>
  <si>
    <t>Tue, 05 Apr 2022 14:45:58 GMT</t>
  </si>
  <si>
    <t>https://salesxceleration.com/wp-content/uploads/2022/04/Phil-225x225.jpg</t>
  </si>
  <si>
    <t>Tue, 12 Apr 2022 15:33:38 GMT</t>
  </si>
  <si>
    <t>https://salesxceleration.com/wp-content/uploads/2017/01/Tourville_Susan-225x225.jpg</t>
  </si>
  <si>
    <t>Thu, 02 Jan 2025 18:48:36 GMT</t>
  </si>
  <si>
    <t>https://salesxceleration.com/wp-content/uploads/elementor/css/post-19673.css?ver=1768846363</t>
  </si>
  <si>
    <t>Mon, 19 Jan 2026 18:12:43 GMT</t>
  </si>
  <si>
    <t>https://salesxceleration.com/wp-content/uploads/2024/06/Dillon-Mike-225x225.jpg</t>
  </si>
  <si>
    <t>Mon, 10 Jun 2024 12:01:58 GMT</t>
  </si>
  <si>
    <t>https://salesxceleration.com/wp-content/uploads/2022/04/Jenn-Patrick-275x275-1-225x225.jpg</t>
  </si>
  <si>
    <t>Tue, 05 Apr 2022 14:44:05 GMT</t>
  </si>
  <si>
    <t>https://salesxceleration.com/wp-content/uploads/2017/01/ODonnell_Patrick-225x225.jpg</t>
  </si>
  <si>
    <t>Fri, 31 Jan 2025 21:44:29 GMT</t>
  </si>
  <si>
    <t>https://salesxceleration.com/wp-content/uploads/2017/01/Steyn_Daniel-225x225.jpg</t>
  </si>
  <si>
    <t>Fri, 20 Sep 2024 20:25:55 GMT</t>
  </si>
  <si>
    <t>https://salesxceleration.com/wp-content/uploads/2022/09/Gallo-Justin-225x225.jpeg</t>
  </si>
  <si>
    <t>Wed, 28 Sep 2022 21:59:27 GMT</t>
  </si>
  <si>
    <t>https://salesxceleration.com/wp-content/uploads/2022/04/Parodi-Enrico-225x225.jpg</t>
  </si>
  <si>
    <t>Tue, 05 Apr 2022 14:45:33 GMT</t>
  </si>
  <si>
    <t>https://salesxceleration.com/wp-content/uploads/2024/10/Carrel_Charles-225x225.jpg</t>
  </si>
  <si>
    <t>Fri, 04 Oct 2024 18:37:03 GMT</t>
  </si>
  <si>
    <t>https://salesxceleration.com/wp-content/uploads/2022/04/Hardwick-Jim-275x275-1-225x225.jpg</t>
  </si>
  <si>
    <t>Tue, 05 Apr 2022 14:33:21 GMT</t>
  </si>
  <si>
    <t>https://salesxceleration.com/wp-content/uploads/2026/01/Dan-McCoy-225x225.jpeg</t>
  </si>
  <si>
    <t>Tue, 13 Jan 2026 20:24:20 GMT</t>
  </si>
  <si>
    <t>https://salesxceleration.com/wp-content/uploads/2023/02/Reed_John-225x225.jpg</t>
  </si>
  <si>
    <t>Tue, 21 Feb 2023 21:35:56 GMT</t>
  </si>
  <si>
    <t>https://salesxceleration.com/wp-content/uploads/2022/04/Nixon-Glenn-225x225.jpg</t>
  </si>
  <si>
    <t>Tue, 05 Apr 2022 14:45:20 GMT</t>
  </si>
  <si>
    <t>https://salesxceleration.com/wp-content/uploads/2025/01/Towsey_Russell-225x225.jpg</t>
  </si>
  <si>
    <t>Wed, 29 Jan 2025 13:51:09 GMT</t>
  </si>
  <si>
    <t>https://salesxceleration.com/wp-content/uploads/2025/10/Norton_Jim-225x225.jpg</t>
  </si>
  <si>
    <t>Mon, 06 Oct 2025 20:56:22 GMT</t>
  </si>
  <si>
    <t>https://salesxceleration.com/advisors/jeff-clair/</t>
  </si>
  <si>
    <t>Jeff Clair</t>
  </si>
  <si>
    <t>Jeff Clair | Sales Xceleration</t>
  </si>
  <si>
    <t>New York City Metro AreaJeff develops high-performing sales teams by first evaluating an organization, then providing needed structure, strategy and process to grow sales.</t>
  </si>
  <si>
    <t>4c24aa85a2eb2b7fcbd5cfeb71cab115</t>
  </si>
  <si>
    <t>https://salesxceleration.com/wp-content/uploads/2025/04/Franklin_Tony-225x225.jpg</t>
  </si>
  <si>
    <t>Tue, 08 Apr 2025 20:44:06 GMT</t>
  </si>
  <si>
    <t>https://salesxceleration.com/wp-content/uploads/2025/06/Scherzinger_John-225x225.jpg</t>
  </si>
  <si>
    <t>Mon, 02 Jun 2025 20:19:05 GMT</t>
  </si>
  <si>
    <t>https://salesxceleration.com/advisors/t-m-dickinson/</t>
  </si>
  <si>
    <t>T.M. Dickinson</t>
  </si>
  <si>
    <t>T.M. Dickinson | Sales Xceleration</t>
  </si>
  <si>
    <t>Charlottesville, VAT.M. works with small to medium size businesses to develop and manage sales teams and implements processes and strategies to realize revenue growth.</t>
  </si>
  <si>
    <t>b4180b13c42e44ff20d581082fbf1e4f</t>
  </si>
  <si>
    <t>https://salesxceleration.com/wp-content/plugins/gravityforms/js/jquery.maskedinput.min.js?ver=2.9.24</t>
  </si>
  <si>
    <t>https://salesxceleration.com/wp-content/plugins/gravityforms/legacy/css/formsmain.min.css?ver=2.9.24</t>
  </si>
  <si>
    <t>https://salesxceleration.com/wp-content/plugins/gravityforms/legacy/css/browsers.min.css?ver=2.9.24</t>
  </si>
  <si>
    <t>https://salesxceleration.com/wp-content/uploads/elementor/css/post-56386.css?ver=1768846886</t>
  </si>
  <si>
    <t>Mon, 19 Jan 2026 18:21:26 GMT</t>
  </si>
  <si>
    <t>https://salesxceleration.com/wp-content/plugins/gravityforms/legacy/css/formreset.min.css?ver=2.9.24</t>
  </si>
  <si>
    <t>https://salesxceleration.com/wp-content/plugins/wp-job-manager/assets/lib/jquery-chosen/chosen.jquery.min.js?ver=1.1.0</t>
  </si>
  <si>
    <t>https://salesxceleration.com/wp-content/plugins/gravityforms/js/placeholders.jquery.min.js?ver=2.9.24</t>
  </si>
  <si>
    <t>https://salesxceleration.com/wp-content/plugins/gravity-forms-personality-quiz-add-on/assets/quiz.js?ver=1.1.0</t>
  </si>
  <si>
    <t>Mon, 29 Nov 2021 18:33:57 GMT</t>
  </si>
  <si>
    <t>https://salesxceleration.com/wp-content/plugins/gravityforms/legacy/css/readyclass.min.css?ver=2.9.24</t>
  </si>
  <si>
    <t>https://salesxceleration.com/wp-content/plugins/gravity-forms-personality-quiz-add-on/assets/quiz_styles.css?ver=1.1.0</t>
  </si>
  <si>
    <t>https://salesxceleration.com/wp-content/plugins/gravityforms/js/conditional_logic.min.js?ver=2.9.24</t>
  </si>
  <si>
    <t>https://salesxceleration.com/wp-content/uploads/elementor/css/post-20937.css?ver=1768847260</t>
  </si>
  <si>
    <t>Mon, 19 Jan 2026 18:27:40 GMT</t>
  </si>
  <si>
    <t>https://salesxceleration.com/wp-content/uploads/2023/10/The-Power-of-Serving-Versus-Selling-1024x683.jpg</t>
  </si>
  <si>
    <t>Mon, 23 Oct 2023 20:23:31 GMT</t>
  </si>
  <si>
    <t>https://salesxceleration.com/wp-content/uploads/2025/07/poster-kelly.jpg</t>
  </si>
  <si>
    <t>Fri, 25 Jul 2025 19:21:36 GMT</t>
  </si>
  <si>
    <t>https://salesxceleration.com/wp-content/uploads/2023/12/video2.jpeg</t>
  </si>
  <si>
    <t>Tue, 19 Dec 2023 15:52:42 GMT</t>
  </si>
  <si>
    <t>https://salesxceleration.com/wp-content/plugins/powerpack-elements/assets/css/min/widget-video.min.css?ver=2.12.15</t>
  </si>
  <si>
    <t>https://salesxceleration.com/wp-content/themes/salesxceleratione/assets/css/style.css?ver=1769123322</t>
  </si>
  <si>
    <t>Thu, 22 Jan 2026 23:08:43 GMT</t>
  </si>
  <si>
    <t>https://salesxceleration.com/wp-content/uploads/2024/02/Outsourced-Leaders-The-Secret-Weapon-for-Small-Business-Growth-and-Efficiency-1-1024x576.jpg</t>
  </si>
  <si>
    <t>Fri, 23 Feb 2024 21:15:34 GMT</t>
  </si>
  <si>
    <t>https://salesxceleration.com/wp-content/plugins/powerpack-elements/assets/js/min/frontend-video.min.js?ver=2.12.15</t>
  </si>
  <si>
    <t>https://salesxceleration.com/wp-content/uploads/elementor/css/post-29331.css?ver=1768847260</t>
  </si>
  <si>
    <t>https://salesxceleration.com/wp-content/uploads/elementor/css/post-22234.css?ver=1768846103</t>
  </si>
  <si>
    <t>Mon, 19 Jan 2026 18:08:23 GMT</t>
  </si>
  <si>
    <t>https://salesxceleration.com/wp-content/uploads/2025/07/Sales-Xceleration_Build-Your-Own-Sales-Consultancy.pdf</t>
  </si>
  <si>
    <t>Mon, 28 Jul 2025 14:13:29 GMT</t>
  </si>
  <si>
    <t>https://salesxceleration.com/become-a-consultant/contact-us/</t>
  </si>
  <si>
    <t>Contact us</t>
  </si>
  <si>
    <t>Contact Us to Become A Sales Consultant</t>
  </si>
  <si>
    <t>a234efe09b9704266f9cc7635760b16e</t>
  </si>
  <si>
    <t>5 resources found</t>
  </si>
  <si>
    <t>https://salesxceleration.com/category/sales-consulting/</t>
  </si>
  <si>
    <t>Category: Sales Consulting</t>
  </si>
  <si>
    <t>Sales Consulting Archives | Sales Xceleration</t>
  </si>
  <si>
    <t>SalesXceleration delivers expert sales consulting strategies to drive growth, optimize processes, and achieve sustainable business success.</t>
  </si>
  <si>
    <t>https://salesxceleration.com/category/sales-consulting/page/2/</t>
  </si>
  <si>
    <t>6e372702679dd43b988a7e8040f61b0a</t>
  </si>
  <si>
    <t>https://salesxceleration.com/news-events/sales-xceleration-welcomes-top-fractional-sales-leaders-to-drive-business-growth/</t>
  </si>
  <si>
    <t>Sales Xceleration Welcomes Top Fractional Sales Leaders to Drive Business Growth</t>
  </si>
  <si>
    <t>Sales Xceleration Welcomes Top Fractional Sales Leaders to Drive Business Growth | Sales Xceleration</t>
  </si>
  <si>
    <t>INDIANAPOLIS, IN – July 18th, 2023 – Sales Xceleration®, renowned provider of outsourced sales leadership, proudly announces the growth of its team by</t>
  </si>
  <si>
    <t>6c0d8c600bccdb00197fd69347eacbce</t>
  </si>
  <si>
    <t>https://salesxceleration.com/news-events/sales-xceleration-advisor-michael-wills-presents-florida-atlantic-university/</t>
  </si>
  <si>
    <t>Sales Xceleration Advisor Michael Wills Presents at Florida Atlantic University</t>
  </si>
  <si>
    <t>Sales Xceleration Advisor Michael Wills Presents at Florida Atlantic University | Sales Xceleration</t>
  </si>
  <si>
    <t>Sales Xceleration Advisor Michael Wills recently presented to over 85 Executive MBA students at Florida Atlantic University in Boca Raton, Florida. Michael’s presentation was entitled, “Building Great Sales Organizations,” and highlighted the essential components of building and effectively</t>
  </si>
  <si>
    <t>510192b241e12b066e05ac7aa18aabf5</t>
  </si>
  <si>
    <t>https://salesxceleration.com/news-events/raising-bar-higher-sales-xceleration-2018-annual-conference-recap/</t>
  </si>
  <si>
    <t>Raising the Bar Higher – Sales Xceleration 2018 Annual Conference Recap!</t>
  </si>
  <si>
    <t>Raising the Bar Higher – Sales Xceleration 2018 Annual Conference Recap! | Sales Xceleration</t>
  </si>
  <si>
    <t>Raising the Bar Higher was the theme of this year’s Conference – and we did just that!  Our Advisors are the best and brightest sales leaders in the country!</t>
  </si>
  <si>
    <t>6d9ea11d5666c35793b29d30b9e60012</t>
  </si>
  <si>
    <t>https://salesxceleration.com/news-events/sales-xceleration-welcomes-fractional-sales-leaders-across-key-markets/</t>
  </si>
  <si>
    <t>Sales Xceleration Welcomes Fractional Sales Leaders Across Key Markets</t>
  </si>
  <si>
    <t>Sales Xceleration Welcomes Fractional Sales Leaders Across Key Markets | Sales Xceleration</t>
  </si>
  <si>
    <t>Indianapolis, IN – July 1, 2025 – Sales Xceleration® is pleased to announce their newest Fractional Sales Leaders. These seasoned sales leaders bring decades</t>
  </si>
  <si>
    <t>ad3eab7c06a479fa3a421dbd84e5433</t>
  </si>
  <si>
    <t>https://salesxceleration.com/news-events/sales-xceleration-achieves-4th-year-on-inc-5000-list-of-fastest-growing-companies/</t>
  </si>
  <si>
    <t>Sales Xceleration® Achieves 4th Year on Inc. 5000 List of Fastest Growing Companies!</t>
  </si>
  <si>
    <t>Sales Xceleration® Achieves 4th Year on Inc. 5000 List of Fastest Growing Companies! | Sales Xceleration</t>
  </si>
  <si>
    <t>INDIANAPOLIS, August 23, 2022 – Inc. magazine revealed that Sales Xceleration® is a 2022 Inc. 5000 honoree. Inc. 5000 is the most prestigious ranking of the</t>
  </si>
  <si>
    <t>4e2bd5dd2b12bc6d496aa4cddba188ac</t>
  </si>
  <si>
    <t>Server responds quickly (observed 188 ms)</t>
  </si>
  <si>
    <t>https://salesxceleration.com/news-events/sales-xceleration-and-objective-management-group-partner-to-optimize-your-sales-team/</t>
  </si>
  <si>
    <t>Sales Xceleration and Objective Management Group Partner to Optimize Your Sales Team</t>
  </si>
  <si>
    <t>Sales Xceleration and Objective Management Group Partner to Optimize Your Sales Team | Sales Xceleration</t>
  </si>
  <si>
    <t>Sales Xceleration®, the pioneer Outsourced Sales Leadership Company, is proud to announce a partnership with Objective Management Group (OMG).</t>
  </si>
  <si>
    <t>b57e33c702a5f0e41b791e2e8b0ca347</t>
  </si>
  <si>
    <t>https://salesxceleration.com/news-events/sales-xceleration-and-knowledgenet-ai-unveil-salesplaybookxpert-ai-the-ultimate-ai-assistant-for-sales-teams/</t>
  </si>
  <si>
    <t>Sales Xceleration and KnowledgeNet.ai Unveil SalesPlaybookXpert AI: The Ultimate AI Assistant for Sales Teams</t>
  </si>
  <si>
    <t>Sales Xceleration and KnowledgeNet.ai Unveil SalesPlaybookXpert AI: The Ultimate AI Assistant for Sales Teams | Sales Xceleration</t>
  </si>
  <si>
    <t>Frederick, Maryland – Sales Xceleration, a leader in providing fractional sales leadership to small and mid-sized businesses, is excited to announce the</t>
  </si>
  <si>
    <t>708002f29f1c677dbcf6e26faaacd4e8</t>
  </si>
  <si>
    <t>https://salesxceleration.com/news-events/press-release-inc-magazine-unveils-its-annual-list-of-americas-fastest-growing-private-companies-the-inc-5000/</t>
  </si>
  <si>
    <t>Inc. Magazine Unveils Its Annual List of America’s Fastest-Growing Private Companies—the Inc. 5000</t>
  </si>
  <si>
    <t>Inc. Magazine Unveils Its Annual List of America’s Fastest-Growing Private Companies—the Inc. 5000 | Sales Xceleration</t>
  </si>
  <si>
    <t>Inc 5000 unveils their annual list of fastest-growing private companies</t>
  </si>
  <si>
    <t>1c9325cfbc76eccefc88c949504dbe99</t>
  </si>
  <si>
    <t>https://salesxceleration.com/news-events/easy-online-sales-tool-helps-business-owners-assess-sales-deficiencies/</t>
  </si>
  <si>
    <t>Easy Online Sales Tool Helps Business Owners Assess Sales Deficiencies</t>
  </si>
  <si>
    <t>Easy Online Sales Tool Helps Business Owners Assess Sales Deficiencies | Sales Xceleration</t>
  </si>
  <si>
    <t>The new Sales Agility AssessmentSM, an online sales tool recently released by Sales Xceleration, is already helping owners of small- to medium-sized</t>
  </si>
  <si>
    <t>2050e0d1a3ba017f383df17b6f3a2f02</t>
  </si>
  <si>
    <t>https://salesxceleration.com/news-events/sales-xceleration-advisors-dean-ash-chris-goade-team-dumas-capital-partners-present-sales-growth-series-8-drivers-company-value/</t>
  </si>
  <si>
    <t>Sales Xceleration Advisor Teams Up With Dumas Capital Partners to Present Sales Growth Series – 8 Drivers of Company Value</t>
  </si>
  <si>
    <t>Sales Xceleration Advisor Teams Up With Dumas Capital Partners to Present Sales Growth Series – 8 Drivers of Company Value | Sales Xceleration</t>
  </si>
  <si>
    <t>Sales Xceleration Advisor Chris Goade (360 Consulting) recently teamed up with Jack Kearney of Dumas Capital Partners at a September 20th event held at the La</t>
  </si>
  <si>
    <t>1547301277759187daa7c69c59d0e523</t>
  </si>
  <si>
    <t>https://salesxceleration.com/news-events/sales-xceleration-responds-to-market-demand-with-new-advisors/</t>
  </si>
  <si>
    <t>Sales Xceleration Responds to Market Demand with New Advisors</t>
  </si>
  <si>
    <t>Sales Xceleration Responds to Market Demand with New Advisors | Sales Xceleration</t>
  </si>
  <si>
    <t>Sales Xceleration, focused on driving revenue for small and mid-sized businesses, has added more talent to their Sales Consultant team. These Consultants bring their vast sales leadership experience as well as the Sales Xceleration tools and processes to spur increased sales for their clients.</t>
  </si>
  <si>
    <t>49bf2c9822f6190fcd21b4134ff6fe3b</t>
  </si>
  <si>
    <t>https://salesxceleration.com/news-events/expansion-brings-time-tested-fractional-sales-leadership-to-australian-businesses-seeking-scalable-growth-solutions/</t>
  </si>
  <si>
    <t>Expansion Brings Time-Tested Fractional Sales Leadership to Australian Businesses Seeking Scalable Growth Solutions</t>
  </si>
  <si>
    <t>Expansion Brings Time-Tested Fractional Sales Leadership to Australian Businesses Seeking Scalable Growth Solutions | Sales Xceleration</t>
  </si>
  <si>
    <t>INDIANAPOLIS, IN – MAY 20, 2025 – Sales Xceleration, the leading provider of Fractional Sales Leadership, is expanding into Australia, marking a major</t>
  </si>
  <si>
    <t>f6b986a5dbe17b0571e109e58a699cc</t>
  </si>
  <si>
    <t>https://salesxceleration.com/news-events/kevin-shaughnessy-san-antonio-entrepreneurs/</t>
  </si>
  <si>
    <t>Sales Xceleration Advisor Kevin Shaughnessy – Giving Back to San Antonio Entrepreneurs</t>
  </si>
  <si>
    <t>Sales Xceleration Advisor Kevin Shaughnessy – Giving Back to San Antonio Entrepreneurs | Sales Xceleration</t>
  </si>
  <si>
    <t>Sales Xceleration Advisor Kevin Shaughnessy recently presented to LiftFund's Women's Business Accelerator program in San Antonio, TX.</t>
  </si>
  <si>
    <t>ed5e4c475148079d89225be316cbc890</t>
  </si>
  <si>
    <t>https://salesxceleration.com/news-events/sales-xceleration-launches-sales-leadership-training-certification-program-genesis℠/</t>
  </si>
  <si>
    <t>Sales Xceleration® Launches Sales Leadership Training and Certification Program “Genesis+℠”</t>
  </si>
  <si>
    <t>Rounding Out Full Fractional Sales Offerings for Small to Mid-Size Business Owners</t>
  </si>
  <si>
    <t>Sales Xceleration® Launches Sales Leadership Training and Certification Program "Genesis+℠" | Sales Xceleration</t>
  </si>
  <si>
    <t>Sales Xceleration is pleased to announce Genesis+, a service that builds a sales infrastructure and equips internal sales leaders with the needed tools.</t>
  </si>
  <si>
    <t>6c8808f458bfb0d80063ae8a89e135fe</t>
  </si>
  <si>
    <t>https://salesxceleration.com/news-events/sales-xceleration-launches-sales-leadership-training-certification-program-genesis%E2%84%A0/</t>
  </si>
  <si>
    <t>https://salesxceleration.com/news-events/the-firefly-group-invests-in-sales-xceleration-2/</t>
  </si>
  <si>
    <t>The Firefly Group Invests in Sales Xceleration</t>
  </si>
  <si>
    <t>The Firefly Group Invests in Sales Xceleration | Sales Xceleration</t>
  </si>
  <si>
    <t>INDIANAPOLIS, IN – October 12, 2021 – The Firefly Group (Firefly), an investment firm with a mission of helping people and companies reach their full</t>
  </si>
  <si>
    <t>144403203ed1e971e18262e443d2ed4f</t>
  </si>
  <si>
    <t>https://salesxceleration.com/news-events/eight-experienced-sales-leaders-join-sales-xceleration/</t>
  </si>
  <si>
    <t>Experienced Sales Leaders Join Sales Xceleration</t>
  </si>
  <si>
    <t>Experienced Sales Leaders Join Sales Xceleration | Sales Xceleration</t>
  </si>
  <si>
    <t>Sales Xceleration expands with eight new experienced sales leaders, enhancing our ability to support businesses with expert sales strategies and leadership.</t>
  </si>
  <si>
    <t>e455b540da5eb2155c43848051d8ebed</t>
  </si>
  <si>
    <t>https://salesxceleration.com/news-events/business-owners-continue-to-adopt-the-fractional-sales-model/</t>
  </si>
  <si>
    <t>Business Owners Continue to Adopt the Fractional Sales Model</t>
  </si>
  <si>
    <t>Business Owners Continue to Adopt the Fractional Sales Model | Sales Xceleration</t>
  </si>
  <si>
    <t>INDIANAPOLIS, IN – February 7, 2023 – Sales Xceleration® unites experienced fractional sales leaders with the proven sales process and platform to establish</t>
  </si>
  <si>
    <t>a17fe5de348cb010607f4e450b77f33e</t>
  </si>
  <si>
    <t>https://salesxceleration.com/news-events/new-outsourced-vps-of-sales-are-ready-to-build-a-path-to-more-sales/</t>
  </si>
  <si>
    <t>New Outsourced VPs of Sales Are Ready to Build a Path to More Sales</t>
  </si>
  <si>
    <t>New Outsourced VPs of Sales Are Ready to Build a Path to More Sales | Sales Xceleration</t>
  </si>
  <si>
    <t>INDIANAPOLIS, IN – June 29, 2022 – Sales Xceleration® selects the best sales leaders who are looking to positively impact small and mid-size businesses and</t>
  </si>
  <si>
    <t>58c06eb128e7abaa33c399eb68bf75d3</t>
  </si>
  <si>
    <t>https://salesxceleration.com/news-events/marks-new-book-hope-realized-available-now/</t>
  </si>
  <si>
    <t>Mark’s New Book, Hope Realized, Available Now!</t>
  </si>
  <si>
    <t>Hope Realized</t>
  </si>
  <si>
    <t>Mark’s New Book, Hope Realized, Available Now! | Sales Xceleration</t>
  </si>
  <si>
    <t>I often get asked how Sales Xceleration transforms the lives of Business Owners. I felt the best way to answer that question was to write a book to illustrate</t>
  </si>
  <si>
    <t>dadb717645183b82d658dc9cb2a4b25d</t>
  </si>
  <si>
    <t>https://salesxceleration.com/news-events/transform-your-sales-performance-with-rain-group-and-sales-xceleration/</t>
  </si>
  <si>
    <t>Transform Your Sales Performance with RAIN Group and Sales Xceleration®</t>
  </si>
  <si>
    <t>About RAIN Group</t>
  </si>
  <si>
    <t>Transform Your Sales Performance with RAIN Group and Sales Xceleration® | Sales Xceleration</t>
  </si>
  <si>
    <t>Indianapolis, IN – June 6th, 2023 — Sales Xceleration® and RAIN Group have teamed up to deliver effective sales training programs that combine expert training</t>
  </si>
  <si>
    <t>95da434e040079feae79e4420bea02d5</t>
  </si>
  <si>
    <t>https://salesxceleration.com/news-events/sales-xceleration-continues-to-expand-footprint-adds-six-new-sales-consultants/</t>
  </si>
  <si>
    <t>Sales Xceleration Continues to Expand Footprint – Adds Six New Sales Consultants</t>
  </si>
  <si>
    <t>Sales Xceleration Continues to Expand Footprint - Adds Six New Sales Consultants | Sales Xceleration</t>
  </si>
  <si>
    <t>“Our Sales Consultants want to use their sales expertise and leadership skills to help small businesses. And we are amazed by the talent that we continue to</t>
  </si>
  <si>
    <t>415601f51faf618f1c06e55ddee8ca0e</t>
  </si>
  <si>
    <t>https://salesxceleration.com/news-events/sales-xceleration-named-one-of-silicon-reviews-50-fastest-growing-companies-of-2022/</t>
  </si>
  <si>
    <t>Sales Xceleration Named One of Silicon Review’s 50 Fastest Growing Companies of 2022</t>
  </si>
  <si>
    <t>Sales Xceleration Named One of Silicon Review’s 50 Fastest Growing Companies of 2022 | Sales Xceleration</t>
  </si>
  <si>
    <t>INDIANAPOLIS, IN – July 13, 2022 – Sales Xceleration, a pioneer in outsourced sales leadership, is pleased to announce that it has been named one of 2022’s 50</t>
  </si>
  <si>
    <t>be90a67564b3e47405b61d0b5219ed84</t>
  </si>
  <si>
    <t>https://salesxceleration.com/news-events/14-critical-features-to-include-for-an-effective-sales-page/</t>
  </si>
  <si>
    <t>Press Mention – 14 Critical Features To Include For An Effective Sales Page</t>
  </si>
  <si>
    <t>Press Mention - 14 Critical Features To Include For An Effective Sales Page | Sales Xceleration</t>
  </si>
  <si>
    <t>In the digital age, a sales page that effortlessly draws in customers is a necessity. Customers are no longer relying solely on salespeople for information on</t>
  </si>
  <si>
    <t>dd4366039042f633e5efe86d72e046fe</t>
  </si>
  <si>
    <t>https://salesxceleration.com/news-events/sales-xceleration-announces-presidents-club-and-presidents-circle-winners/</t>
  </si>
  <si>
    <t>Sales Xceleration® Announces President’s Club and President’s Circle Winners</t>
  </si>
  <si>
    <t>Sales Xceleration® Announces President's Club and President’s Circle Winners | Sales Xceleration</t>
  </si>
  <si>
    <t>INDIANAPOLIS, IN – February 11th, 2024 — Sales Xceleration®, the pioneer in fractional sales leadership, proudly honors the winners of the President’s Club</t>
  </si>
  <si>
    <t>13901ec21e4a1b558c31c83859253e35</t>
  </si>
  <si>
    <t>https://salesxceleration.com/news-events/fourteen-new-outsourced-sales-leaders-focused-on-helping-smb-owners-maximize-revenue/</t>
  </si>
  <si>
    <t>Fourteen New Outsourced Sales Leaders Focused on Helping SMB Owners Maximize Revenue</t>
  </si>
  <si>
    <t>Fourteen New Outsourced Sales Leaders Focused on Helping SMB Owners Maximize Revenue | Sales Xceleration</t>
  </si>
  <si>
    <t>INDIANAPOLIS, IN – December 21, 2021 – Sales Xceleration® merges the proven tools and platform with accomplished sales leadership consultants, providing small</t>
  </si>
  <si>
    <t>9bdc234a2355a84e5b9583000ef1407f</t>
  </si>
  <si>
    <t>https://salesxceleration.com/news-events/sales-xceleration-kevin-shaughnessy-answers-smb-owners-question/</t>
  </si>
  <si>
    <t>Sales Xceleration Advisor Kevin Shaughnessy Answers SMB Owners #1 Question</t>
  </si>
  <si>
    <t>Kevin Shaughnessy Answers SMB Owners #1 Question | SalesX News</t>
  </si>
  <si>
    <t>Sales Xceleration Advisor Kevin Shaughnessy answers SMB owners #1 question - "What does it take to achieve superior sales results?"</t>
  </si>
  <si>
    <t>fb2a168d12a6233e14db2d61c2c2367f</t>
  </si>
  <si>
    <t>https://salesxceleration.com/news-events/sales-xceleration-and-authentic-brand-join-in-national-partnership/</t>
  </si>
  <si>
    <t>Sales Xceleration and Authentic Join in National Partnership</t>
  </si>
  <si>
    <t>ABOUT SALES XCELERATION</t>
  </si>
  <si>
    <t>ABOUT AUTHENTIC</t>
  </si>
  <si>
    <t>Sales Xceleration and Authentic Join in National Partnership | Sales Xceleration</t>
  </si>
  <si>
    <t>Indianapolis, IN, July 25, 2023 – Authentic, a fast-growing national fractional CMO (chief mar­­­keting officer) firm and Sales Xceleration, the pioneer in</t>
  </si>
  <si>
    <t>8ffce51f988be2ccd08cb27b09e01502</t>
  </si>
  <si>
    <t>https://salesxceleration.com/news-events/advisor-kelly-crandall-makes-presentations-tampa-bay-area-business-owners-executives/</t>
  </si>
  <si>
    <t>Advisor Kelly Crandall Makes Presentations to Tampa Bay Area Business Owners and Executives</t>
  </si>
  <si>
    <t>Advisor Kelly Crandall Makes Presentations to Tampa Bay Area Business Owners and Executives | Sales Xceleration</t>
  </si>
  <si>
    <t>Sales Xceleration Advisor Kelly Crandall recently presented to Business Owners and Company Presidents at the YMCA in Clearwater, FL.</t>
  </si>
  <si>
    <t>16f8a13f81bc97417afbbd9b50e4329</t>
  </si>
  <si>
    <t>https://salesxceleration.com/news-events/press-release-sales-xceleration-launches-first-ever-due-diligence-process-for-private-equity/</t>
  </si>
  <si>
    <t>PRESS RELEASE: Sales Xceleration Launches First Ever Due Diligence Process for Private Equity</t>
  </si>
  <si>
    <t>PRESS RELEASE: Sales Xceleration Launches First Ever Due Diligence Process for Private Equity | Sales Xceleration</t>
  </si>
  <si>
    <t>Indianapolis, IN – Sales Xceleration, pioneer in outsourced sales leadership, is pleased to announce its Investment Sales Analysis℠ service for Private</t>
  </si>
  <si>
    <t>dc8fbbeccb5e5202fa90fc326f582669</t>
  </si>
  <si>
    <t>Server responds quickly (observed 177 ms)</t>
  </si>
  <si>
    <t>https://salesxceleration.com/news-events/stagnant-sales-sales-xceleration-enters-new-markets-offers-solutions-business-owners/</t>
  </si>
  <si>
    <t>Stagnant Sales? Sales Xceleration Enters New Markets – Offers Solutions to Business Owners</t>
  </si>
  <si>
    <t>Stagnant Sales? Sales Xceleration Enters New Markets – Offers Solutions to Business Owners | Sales Xceleration</t>
  </si>
  <si>
    <t>Sales Xceleration continues to expand its national footprint in response to the needs of local business owners across the country. Meet our newest team members:</t>
  </si>
  <si>
    <t>20eec3996408ad8e9fb11c564940d2d</t>
  </si>
  <si>
    <t>https://salesxceleration.com/news-events/working-well-maura-kautsky-of-sales-xceleration-on-how-companies-are-creating-cultures-that-support-sustain-mental-emotional-social-physical-financial-wellness/</t>
  </si>
  <si>
    <t>Press Mention: Working Well: Maura Kautsky Of Sales Xceleration On How Companies Are Creating Cultures That Support &amp; Sustain Mental, Emotional, Social, Physical &amp; Financial Wellness</t>
  </si>
  <si>
    <t>Press Mention: Working Well: Maura Kautsky Of Sales Xceleration On How Companies Are Creating Cultures That Support &amp; Sustain Mental, Emotional, Social, Physical &amp; Financial Wellness | Sales Xceleration</t>
  </si>
  <si>
    <t>Keeping women leaders in leadership roles. We have seen a rise in women getting promoted to leadership roles, but just as fast as this is increasing, many are</t>
  </si>
  <si>
    <t>f00400af53a57533e384ac040682408</t>
  </si>
  <si>
    <t>Server responds quickly (observed 187 ms)</t>
  </si>
  <si>
    <t>https://salesxceleration.com/news-events/kathy-yenke-presents-make-great-sales-organization-ceo-growth-workshop/</t>
  </si>
  <si>
    <t>Kathy Yenke Presents “How to Make a Great Sales Organization” at CEO Growth Workshop</t>
  </si>
  <si>
    <t>Kathy Yenke Presents “How to Make a Great Sales Organization” at CEO Growth Workshop | Sales Xceleration</t>
  </si>
  <si>
    <t>Sales Xceleration Advisor Kathy Yenke recently partnered with Lisa Manning of EOS and Vistage Chair Craig James, to sponsor a CEO and Business Owner breakfast workshop and networking event at Insperity’s Waltham, MA office.</t>
  </si>
  <si>
    <t>6a8e0c0a3e2bc7250dd279516bfdb606</t>
  </si>
  <si>
    <t>https://salesxceleration.com/news-events/sales-xceleration-adds-eight-new-sales-consultants-to-help-small-to-mid-size-businesses-grow-revenue/</t>
  </si>
  <si>
    <t>Sales Xceleration Adds Eight New Sales Consultants to Help Small to Mid-Size Businesses Grow Revenue</t>
  </si>
  <si>
    <t>Sales Xceleration Adds Eight New Sales Consultants to Help Small to Mid-Size Businesses Grow Revenue | Sales Xceleration</t>
  </si>
  <si>
    <t>INDIANAPOLIS, IN – October 18, 2018 – Sales Xceleration, the pioneer in providing outsourced sales leadership to small to mid-size businesses, has added eight</t>
  </si>
  <si>
    <t>513bbd97ecea60b023cb29db75d9c873</t>
  </si>
  <si>
    <t>https://salesxceleration.com/news-events/smb-demand-continues-for-sales-infrastructure-leadership-skills/</t>
  </si>
  <si>
    <t>SMB Demand Continues for Sales Infrastructure &amp; Leadership Skills</t>
  </si>
  <si>
    <t>SMB Demand Continues for Sales Infrastructure &amp; Leadership Skills | Sales Xceleration</t>
  </si>
  <si>
    <t>Sales Xceleration Inc. provides the tools and a platform to enable experienced Sales Management Leaders to create a fractional business that serves small to mid-size organizations by designing and building a sales infrastructure to spur revenue growth. These businesses often do not have the budget to support a highly skilled sales leader, but by offering a fractional model, Sales Xceleration Consultants are able to provide their services in an affordable way.</t>
  </si>
  <si>
    <t>5c3e4b7c8546333b2ad04e080fea561</t>
  </si>
  <si>
    <t>https://salesxceleration.com/news-events/sales-xceleration-acquires-indiana-based-staffing-provider/</t>
  </si>
  <si>
    <t>Sales Xceleration Acquires Indiana-Based Staffing Provider</t>
  </si>
  <si>
    <t>Sales Xceleration Acquires Indiana-Based Staffing Provider | Sales Xceleration</t>
  </si>
  <si>
    <t>Sales Xceleration, a provider of outsourced sales, acquired Quintegra Resourcing Inc., a staffing provider based in Indianapolis.</t>
  </si>
  <si>
    <t>da9671babd2c87334798e5d6ddc56316</t>
  </si>
  <si>
    <t>https://salesxceleration.com/news-events/meet-sales-xcelerations-newest-fractional-sales-leaders-ready-to-transform-your-business/</t>
  </si>
  <si>
    <t>Meet Sales Xceleration’s Newest Fractional Sales Leaders Ready to Transform Your Business</t>
  </si>
  <si>
    <t>Meet Sales Xceleration’s Newest Fractional Sales Leaders Ready to Transform Your Business | Sales Xceleration</t>
  </si>
  <si>
    <t>INDIANAPOLIS, IN – April 23rd, 2024 – Sales Xceleration®, the leading expert in Fractional Sales Leadership, is thrilled to unveil the expansion of its team</t>
  </si>
  <si>
    <t>49a941f74f881522607173b5d09c1c5a</t>
  </si>
  <si>
    <t>https://salesxceleration.com/news-events/sales-xceleration-receives-honorable-mention-on-selling-powers-top-sales-training-companies-list-for-csl-training/</t>
  </si>
  <si>
    <t>Sales Xceleration® Receives Honorable Mention on Selling Power’s Top Sales Training Companies List for CSL Training</t>
  </si>
  <si>
    <t>About Selling Power</t>
  </si>
  <si>
    <t>Sales Xceleration® Receives Honorable Mention on Selling Power’s Top Sales Training Companies List for CSL Training | Sales Xceleration</t>
  </si>
  <si>
    <t>INDIANAPOLIS, IN — May 19, 2022 - Sales Xceleration is pleased to announce it has been included as an Honorable Mention company on Selling Power’s Top 25</t>
  </si>
  <si>
    <t>65913be515ae07cf7339c3170438bdb4</t>
  </si>
  <si>
    <t>https://salesxceleration.com/news-events/sales-xceleration-hits-important-milestone-50-advisors/</t>
  </si>
  <si>
    <t>Sales Xceleration Hits Important Milestone – 50+ Advisors!</t>
  </si>
  <si>
    <t>Sales Xceleration Hits Important Milestone – 50+ Advisors! | Sales Xceleration</t>
  </si>
  <si>
    <t>Sometimes a great idea meets a noble purpose – and magic happens. At Sales Xceleration, we are humbled and honored to announce that we recently surpassed 50</t>
  </si>
  <si>
    <t>491721bb47cab4888d9d68e5d328bd2b</t>
  </si>
  <si>
    <t>https://salesxceleration.com/news-events/demand-for-fractional-sales-leadership-continues-to-increase-in-north-america/</t>
  </si>
  <si>
    <t>Demand for Fractional Sales Leadership Continues to Increase in North America</t>
  </si>
  <si>
    <t>Demand for Fractional Sales Leadership Continues to Increase in North America | Sales Xceleration</t>
  </si>
  <si>
    <t>INDIANAPOLIS, IN – February 15, 2022 – Companies around the globe are embracing the concept of interim executives and realizing the vast benefits of having an</t>
  </si>
  <si>
    <t>2aacf8974f4d9b3d6d820bfc02ddf1c</t>
  </si>
  <si>
    <t>https://salesxceleration.com/news-events/meet-the-newest-sales-advisors-to-our-team/</t>
  </si>
  <si>
    <t>Meet The Newest Sales Advisors to Our Team</t>
  </si>
  <si>
    <t>Meet The Newest Sales Advisors to Our Team | Sales Xceleration</t>
  </si>
  <si>
    <t>Meet the newest sales advisors joining Sales Xceleration, bringing fresh expertise and strategies to help businesses optimize their sales performance.</t>
  </si>
  <si>
    <t>3aa4dd94be84b320b420bffa1c26b2eb</t>
  </si>
  <si>
    <t>https://salesxceleration.com/news-events/sales-xceleration-inc-ranks-no-2353-on-the-2019-inc-5000/</t>
  </si>
  <si>
    <t>Sales Xceleration Inc. Ranks No. 2353 on the 2019 Inc. 5000</t>
  </si>
  <si>
    <t>Sales Xceleration Inc. Ranks No. 2353 on the 2019 Inc. 5000 | Sales Xceleration</t>
  </si>
  <si>
    <t>Sales Xceleration ranks No. 2353 on the 2019 Inc. 5000 list, showcasing our growth and success in helping businesses optimize their sales strategies.</t>
  </si>
  <si>
    <t>5c94bf2cca67f640df888f9a8d93b440</t>
  </si>
  <si>
    <t>https://salesxceleration.com/news-events/two-of-rise-sports-advisors-clients-invest-in-sales-xceleration/</t>
  </si>
  <si>
    <t>Two of RISE Sports Advisors Clients Invest in Sales Xceleration®</t>
  </si>
  <si>
    <t>Two of RISE Sports Advisors Clients Invest in Sales Xceleration® | Sales Xceleration</t>
  </si>
  <si>
    <t>February 23, 2022 – The multi-family office, RISE Sports Advisors, lands their clients, D'Wayne Eskridge and Jaylon Smith, an investment opportunity with</t>
  </si>
  <si>
    <t>cfd3387f4a20ae4dd83a2ef3087c77b7</t>
  </si>
  <si>
    <t>https://salesxceleration.com/news-events/the-national-footprint-expansion-continues/</t>
  </si>
  <si>
    <t>The National Footprint Expansion Continues</t>
  </si>
  <si>
    <t>The National Footprint Expansion Continues | Sales Xceleration</t>
  </si>
  <si>
    <t>Sales Xceleration continues its national footprint expansion, providing businesses across the country with top-tier sales leadership and strategies.</t>
  </si>
  <si>
    <t>612b990654a81d2d29005804c2fd2037</t>
  </si>
  <si>
    <t>https://salesxceleration.com/news-events/top-sales-experts-join-sales-xceleration-to-boost-small-business-success/</t>
  </si>
  <si>
    <t>Top Sales Experts Join Sales Xceleration to Boost Small Business Success | Sales Xceleration</t>
  </si>
  <si>
    <t>Indianapolis, IN – November 4th, 2025 – Sales Xceleration®, the trailblazer in Fractional Sales Leadership, announces an exciting expansion to its team of</t>
  </si>
  <si>
    <t>91604b17cef6165dcd2954e5e66c5683</t>
  </si>
  <si>
    <t>https://salesxceleration.com/news-events/sales-xceleration-spotlight-october-2013/</t>
  </si>
  <si>
    <t>Sales Xceleration Spotlight — October 2013</t>
  </si>
  <si>
    <t>Sales Xceleration Spotlight — October 2013 | Sales Xceleration</t>
  </si>
  <si>
    <t>Wouldn’t it be great if, in addition to catching your own fish, someone threw fish into your boat?  It sounds pretty good, doesn’t it?  That is essentially</t>
  </si>
  <si>
    <t>5e283a6ce7518ab748af26ba4a1c698e</t>
  </si>
  <si>
    <t>https://salesxceleration.com/news-events/advisor-michael-wills-addresses-business-growth-challenges-ceo-luncheon/</t>
  </si>
  <si>
    <t>Advisor Michael Wills Addresses Business Growth Challenges at CEO Luncheon</t>
  </si>
  <si>
    <t>Advisor Michael Wills Addresses Business Growth Challenges at CEO Luncheon | Sales Xceleration</t>
  </si>
  <si>
    <t>Michael Wills, our Sales Xceleration Advisor in South Florida, joined with Trusted Advisors (Pete Caltabiano/CFO Center, Dennis Custage/Liquid Capital and Rick Abedon/Supporting Strategies) to host a G4 CEO-only lunch in Fort Lauderdale focused on overcoming the challenges associated with growth.</t>
  </si>
  <si>
    <t>81cc287f85530dbe83585a31383ffb66</t>
  </si>
  <si>
    <t>https://salesxceleration.com/news-events/sales-xceleration-gains-eighteen-fractional-vps-of-sales/</t>
  </si>
  <si>
    <t>Sales Xceleration Gains New Fractional VPs of Sales</t>
  </si>
  <si>
    <t>Sales Xceleration Gains New Fractional VPs of Sales | Sales Xceleration</t>
  </si>
  <si>
    <t>INDIANAPOLIS, IN – June 15, 2021 – Fractional leadership is one of the fastest growing services to support small to mid-size businesses. With this growth, we</t>
  </si>
  <si>
    <t>8809de51dcff18dfff8288ca41e7a1b2</t>
  </si>
  <si>
    <t>Server responds quickly (observed 185 ms)</t>
  </si>
  <si>
    <t>https://salesxceleration.com/news-events/press-release-sales-xceleration-welcomes-four-new-vp-of-sales-experts/</t>
  </si>
  <si>
    <t>PRESS RELEASE: Sales Xceleration Welcomes Four New VP of Sales Experts</t>
  </si>
  <si>
    <t>PRESS RELEASE: Sales Xceleration Welcomes Four New VP of Sales Experts | Sales Xceleration</t>
  </si>
  <si>
    <t>July 13, Indianapolis, IN – Sales Xceleration, pioneer in outsourced sales leadership and owner of the Outsourced VP of Sales© service, announces three new</t>
  </si>
  <si>
    <t>1411aec466617e156ddc4cbcafa0673f</t>
  </si>
  <si>
    <t>https://salesxceleration.com/news-events/sales-xceleration-and-procfo-partners-announce-strategic-alliance-complementary-services-for-enhanced-sales-and-financial-strategies/</t>
  </si>
  <si>
    <t>Sales Xceleration and ProCFO Partners Announce Strategic Alliance: Complementary Services for Enhanced Sales and Financial Strategies</t>
  </si>
  <si>
    <t>About ProCFO Partners</t>
  </si>
  <si>
    <t>Sales Xceleration and ProCFO Partners Announce Strategic Alliance: Complementary Services for Enhanced Sales and Financial Strategies | Sales Xceleration</t>
  </si>
  <si>
    <t>Indianapolis, IN — December 3, 2024 — Sales Xceleration, a leader in fractional sales leadership solutions, is pleased to announce a strategic alliance with</t>
  </si>
  <si>
    <t>73ba1554e3eab36815b9fcf8bc492f4e</t>
  </si>
  <si>
    <t>https://salesxceleration.com/news-events/4-strategies-to-find-growth-that-lasts/</t>
  </si>
  <si>
    <t>CEO World Magazine – 4 Strategies to Find Growth That Lasts</t>
  </si>
  <si>
    <t>CEO World Magazine - 4 Strategies to Find Growth That Lasts | Sales Xceleration</t>
  </si>
  <si>
    <t>Small businesses everywhere are bouncing back from the pandemic after a year of challenges. While they are not quite back to where they were pre-pandemic,</t>
  </si>
  <si>
    <t>45062b610c2b5e463eb3702844bb09ae</t>
  </si>
  <si>
    <t>https://salesxceleration.com/news-events/lee-brumbaugh-steps-into-leadership-role-as-ceo-visionary-of-sales-xceleration/</t>
  </si>
  <si>
    <t>Lee Brumbaugh Steps into Leadership Role as CEO/Visionary of Sales Xceleration®</t>
  </si>
  <si>
    <t>Lee Brumbaugh Steps into Leadership Role as CEO/Visionary of Sales Xceleration® | Sales Xceleration</t>
  </si>
  <si>
    <t>INDIANAPOLIS, IN – JULY 8th, 2025 – Sales Xceleration® is thrilled to announce the appointment of Lee Brumbaugh as their new CEO/Visionary. A distinguished</t>
  </si>
  <si>
    <t>1b9f41b9368002174866bf0ab17b0707</t>
  </si>
  <si>
    <t>https://salesxceleration.com/news-events/sales-xceleration-broadens-reach-welcoming-6-fractional-sales-leaders/</t>
  </si>
  <si>
    <t>Sales Xceleration Broadens Reach, Welcoming 6 Fractional Sales Leaders</t>
  </si>
  <si>
    <t>Sales Xceleration Broadens Reach, Welcoming 6 Fractional Sales Leaders | Sales Xceleration</t>
  </si>
  <si>
    <t>INDIANAPOLIS, IN – February 27th, 2024 – Sales Xceleration®, the foremost authority in Fractional Sales Leadership, proudly announces the expansion of its</t>
  </si>
  <si>
    <t>cc20e94c9591d9f85ea92d89eb906406</t>
  </si>
  <si>
    <t>https://salesxceleration.com/news-events/sales-xceleration-expands-with-3-new-fractional-sales-leaders/</t>
  </si>
  <si>
    <t>Sales Xceleration Expands with 3 New Fractional Sales Leaders</t>
  </si>
  <si>
    <t>Sales Xceleration Expands with 3 New Fractional Sales Leaders | Sales Xceleration</t>
  </si>
  <si>
    <t>Sales Xceleration Expands, and Welcomes 3 New Fractional Sales Leaders</t>
  </si>
  <si>
    <t>e2e77f1da566cdf8fc8ae4d2ea8d016c</t>
  </si>
  <si>
    <t>https://salesxceleration.com/news-events/sales-xceleration-welcomes-4-new-fractional-sales-leaders/</t>
  </si>
  <si>
    <t>Sales Xceleration Welcomes 4 New Fractional Sales Leaders</t>
  </si>
  <si>
    <t>Sales Xceleration Welcomes 4 New Fractional Sales Leaders | Sales Xceleration</t>
  </si>
  <si>
    <t>INDIANAPOLIS, IN – October 17th, 2023 – Sales Xceleration®, a leading provider of fractional sales leadership, is proud to welcome four new Outsourced VPs of</t>
  </si>
  <si>
    <t>b038623ae0ad91e41bebdcd54d0f9281</t>
  </si>
  <si>
    <t>https://salesxceleration.com/news-events/sales-xceleration-grows-with-strategic-acquisition-of-quintegra-resourcing/</t>
  </si>
  <si>
    <t>Sales Xceleration Grows with Strategic Acquisition of Quintegra Resourcing</t>
  </si>
  <si>
    <t>About Amplify Sales Recruiting</t>
  </si>
  <si>
    <t>Sales Xceleration Grows with Strategic Acquisition of Quintegra Resourcing | Sales Xceleration</t>
  </si>
  <si>
    <t>INDIANAPOLIS, IN – June 13, 2022 – Sales Xceleration, the leader in fractional sales leadership, announces the acquisition of Quintegra Resourcing, Inc.  This</t>
  </si>
  <si>
    <t>f9d6cd9d4ac4369e81f73cb7b5f6c3e6</t>
  </si>
  <si>
    <t>https://salesxceleration.com/news-events/sales-xcelerations-outsourced-vps-of-sales-ready-to-impact-small-to-mid-size-businesses/</t>
  </si>
  <si>
    <t>Sales Xceleration’s Outsourced VPs of Sales Ready to Impact Small to Mid-Size Businesses</t>
  </si>
  <si>
    <t>Sales Xceleration’s Outsourced VPs of Sales Ready to Impact Small to Mid-Size Businesses | Sales Xceleration</t>
  </si>
  <si>
    <t>INDIANAPOLIS, IN – June 25th, 2024 – Sales Xceleration®, the leader in providing expert sales leadership to small and mid-sized businesses, proudly announces</t>
  </si>
  <si>
    <t>73e991b40b834eafcb26bacd1df2cb66</t>
  </si>
  <si>
    <t>https://salesxceleration.com/news-events/sales-xceleration-welcomes-new-fractional-sales-leaders/</t>
  </si>
  <si>
    <t>Sales Xceleration Welcomes New Fractional Sales Leaders</t>
  </si>
  <si>
    <t>Sales Xceleration Welcomes New Fractional Sales Leaders | Sales Xceleration</t>
  </si>
  <si>
    <t>INDIANAPOLIS, IN – April 18th, 2023 – Sales Xceleration® a leading provider of outsourced sales leadership, is excited to announce the expansion of its team</t>
  </si>
  <si>
    <t>f277de7894460855069a934d3ab21637</t>
  </si>
  <si>
    <t>https://salesxceleration.com/news-events/survey-reveals-small-to-mid-sized-businesses-are-struggling-and-need-a-plan-for-re-entry-after-covid-19/</t>
  </si>
  <si>
    <t>Survey Reveals Small to Mid-Sized Businesses Are Struggling and Need a Plan for Re-Entry After COVID-19</t>
  </si>
  <si>
    <t>Survey Reveals Small to Mid-Sized Businesses Are Struggling and Need a Plan for Re-Entry After COVID-19 | Sales Xceleration</t>
  </si>
  <si>
    <t>INDIANAPOLIS, IN – May 5, 2020 – Sales Xceleration Inc. conducted a Quick Pulse Survey to Sales Leaders to see how their sales organizations are functioning</t>
  </si>
  <si>
    <t>4d0fd9cd1b20b601246346140fafe202</t>
  </si>
  <si>
    <t>https://salesxceleration.com/news-events/sales-xceleration-introduces-newest-fractional-vps-of-sales-to-propel-business-growth/</t>
  </si>
  <si>
    <t>Sales Xceleration Introduces Newest Fractional VPs of Sales to Propel Business Growth</t>
  </si>
  <si>
    <t>About Sales Xceleration®</t>
  </si>
  <si>
    <t>Sales Xceleration Introduces Newest Fractional VPs of Sales to Propel Business Growth | Sales Xceleration</t>
  </si>
  <si>
    <t>INDIANAPOLIS, IN – August 27th, 2024 – Sales Xceleration® is thrilled to introduce its newest Fractional VPs of Sales, individuals who bring unparalleled</t>
  </si>
  <si>
    <t>4f80a08844c0538ebadff906b770faae</t>
  </si>
  <si>
    <t>https://salesxceleration.com/news-events/sales-xceleration-we-are-more-than-a-consulting-company-we-become-a-part-of-your-team-working-to-build-a-sustainable-sales-program-that-drives-revenue/</t>
  </si>
  <si>
    <t>Sales Xceleration— We are more than a consulting company; we become a part of your team, working to build a sustainable sales program that drives revenue</t>
  </si>
  <si>
    <t>Sales Xceleration— We are more than a consulting company; we become a part of your team, working to build a sustainable sales program that drives revenue | Sales Xceleration</t>
  </si>
  <si>
    <t>Leadership is integral to building successful outsourced sales models. As a business owner, you’ll require a team of sales leaders whom you can trust,</t>
  </si>
  <si>
    <t>5bceafca2fe663fb577f4aa26eb0fc9b</t>
  </si>
  <si>
    <t>https://salesxceleration.com/news-events/five-join-sales-xceleration-in-october/</t>
  </si>
  <si>
    <t>Sales Leaders Join Sales Xceleration in October</t>
  </si>
  <si>
    <t>Sales Leaders Join Sales Xceleration in October | Sales Xceleration</t>
  </si>
  <si>
    <t>INDIANAPOLIS, IN – October 18, 2022 – Sales Xceleration® uses proven sales processes and tools to deliver freedom and success for small to mid-size businesses</t>
  </si>
  <si>
    <t>324983593727c3f19792ba4e5578943a</t>
  </si>
  <si>
    <t>https://salesxceleration.com/news-events/sales-xceleration-is-named-to-the-inc-5000-list-for-the-3rd-year-in-a-row/</t>
  </si>
  <si>
    <t>Sales Xceleration is Named to the Inc. 5000 List for the 3rd Year in a Row!</t>
  </si>
  <si>
    <t>Sales Xceleration is Named to the Inc. 5000 List for the 3rd Year in a Row! | Sales Xceleration</t>
  </si>
  <si>
    <t>NEW YORK, August 17, 2021 – Inc. magazine revealed today that Sales Xceleration® Inc. is No. 2613 on its annual Inc. 5000 list, the most prestigious ranking</t>
  </si>
  <si>
    <t>15f71f16d90afe3408547fb9e1f8e6d5</t>
  </si>
  <si>
    <t>https://salesxceleration.com/news-events/new-fractional-sales-leaders-join-sales-xceleration-to-drive-sales-success/</t>
  </si>
  <si>
    <t>New Fractional Sales Leaders Join Sales Xceleration to Drive Sales Success</t>
  </si>
  <si>
    <t>New Fractional Sales Leaders Join Sales Xceleration to Drive Sales Success | Sales Xceleration</t>
  </si>
  <si>
    <t>INDIANAPOLIS, IN – October 15th, 2024 – Sales Xceleration® is thrilled to announce the addition of a dynamic team of Fractional VPs of Sales, dedicated to</t>
  </si>
  <si>
    <t>eeab6ab978844cfdb1ffab1173f79a4d</t>
  </si>
  <si>
    <t>https://salesxceleration.com/news-events/five-sales-leaders-join-sales-xceleration-to-build-a-path-to-more-sales/</t>
  </si>
  <si>
    <t>Five Sales Leaders Join Sales Xceleration to Build a Path to More Sales</t>
  </si>
  <si>
    <t>Five Sales Leaders Join Sales Xceleration to Build a Path to More Sales | Sales Xceleration</t>
  </si>
  <si>
    <t>INDIANAPOLIS, IN – May 12, 2020 – Sales Xceleration Inc. continues to expand its footprint of Sales Management Leaders who leverage their proven tools and</t>
  </si>
  <si>
    <t>3b63f4a5cfd0c9c02a07997c43417ae9</t>
  </si>
  <si>
    <t>https://salesxceleration.com/news-events/using-metrics-to-accelerate-sales/</t>
  </si>
  <si>
    <t>Using Metrics to Accelerate Sales</t>
  </si>
  <si>
    <t>Using Metrics to Accelerate Sales | Sales Xceleration</t>
  </si>
  <si>
    <t>Today’s marketplace is highly competitive; and as a business owner, you obviously want your company to succeed. In order to gain the upper hand on your</t>
  </si>
  <si>
    <t>c2dfe30b856bbf28fb83ba945e8cf368</t>
  </si>
  <si>
    <t>https://salesxceleration.com/news-events/hope-realized-book-honored-as-silver-stevie-award-winner-in-2021-american-business-awards/</t>
  </si>
  <si>
    <t>Hope Realized Book Honored as Silver Stevie® Award Winner in 2021 American Business Awards®</t>
  </si>
  <si>
    <t>Hope Realized Book Honored as Silver Stevie® Award Winner in 2021 American Business Awards® | Sales Xceleration</t>
  </si>
  <si>
    <t>INDIANAPOLIS, IN – April 30, 2021 – Sales Xceleration was named the winner of a Silver Stevie® Award in the Best Business Book category. Hope Realized:</t>
  </si>
  <si>
    <t>65926bcee6b6a31fbb57a8b56f4a335a</t>
  </si>
  <si>
    <t>https://salesxceleration.com/news-events/eight-sales-pros-join-sales-xceleration/</t>
  </si>
  <si>
    <t>Eight Sales Pros Join Sales Xceleration</t>
  </si>
  <si>
    <t>Eight Sales Pros Join Sales Xceleration | Sales Xceleration</t>
  </si>
  <si>
    <t>Sales Xceleration adds eight skilled sales professionals to the team, strengthening our commitment to helping businesses grow with expert sales leadership.</t>
  </si>
  <si>
    <t>b8182c6b8406eabfc2fac70258196121</t>
  </si>
  <si>
    <t>https://salesxceleration.com/news-events/sales-xceleration-advisor-john-lee-brings-sales-insights-attendees-ima-april-cpe-dinner/</t>
  </si>
  <si>
    <t>Sales Xceleration Advisor John Lee Brings Sales Insights to Attendees at IMA April CPE Dinner</t>
  </si>
  <si>
    <t>Sales Xceleration Advisor John Lee Brings Sales Insights to Attendees at IMA April CPE Dinner | Sales Xceleration</t>
  </si>
  <si>
    <t>Sales Xceleration Advisor John Lee Jr. was a featured speaker at the Institute of Management Accountants’ April 18, 2017 CPE Dinner on the topic of “Building a Sales Structure for Superior Results.” The sold-out evening event was held at Multnomah University in Portland.</t>
  </si>
  <si>
    <t>b072dd74f1399f52402183fe34cc0742</t>
  </si>
  <si>
    <t>https://salesxceleration.com/news-events/game-changing-sales-leaders-join-sales-xceleration-to-increase-smb-revenue/</t>
  </si>
  <si>
    <t>Game-Changing Sales Leaders Join Sales Xceleration to Increase SMB Revenue</t>
  </si>
  <si>
    <t>Game-Changing Sales Leaders Join Sales Xceleration to Increase SMB Revenue | Sales Xceleration</t>
  </si>
  <si>
    <t>Indianapolis, IN – September 16th, 2025 – Sales Xceleration® welcomes new Fractional Sales Leaders to their team. These seasoned professionals bring deep</t>
  </si>
  <si>
    <t>86a64e5c8cf2f2fa59d0515fc28adede</t>
  </si>
  <si>
    <t>https://salesxceleration.com/news-events/sales-xceleration-gains-five-new-sales-advisors/</t>
  </si>
  <si>
    <t>Sales Xceleration Gains Five New Sales Advisors</t>
  </si>
  <si>
    <t>Sales Xceleration Gains Five New Sales Advisors | Sales Xceleration</t>
  </si>
  <si>
    <t>Sales Xceleration expands with five new sales advisors to bring even more expertise to businesses looking to optimize their sales processes and strategies.</t>
  </si>
  <si>
    <t>e62f556b800dcdb1181a74f02ed9964f</t>
  </si>
  <si>
    <t>https://salesxceleration.com/news-events/small-and-medium-size-businesses-embrace-benefits-of-utilizing-fractional-sales-leaders/</t>
  </si>
  <si>
    <t>Small and Medium Size Businesses Embrace Benefits of Utilizing Fractional Sales Leaders</t>
  </si>
  <si>
    <t>Small and Medium Size Businesses Embrace Benefits of Utilizing Fractional Sales Leaders | Sales Xceleration</t>
  </si>
  <si>
    <t>INDIANAPOLIS, IN – August 19, 2021 – Sales Xceleration brings together sales leaders with a track record of sales success by providing them with the tools and</t>
  </si>
  <si>
    <t>f45656126b6cf0510f8f7bd4682c70b6</t>
  </si>
  <si>
    <t>https://salesxceleration.com/news-events/great-sales-organizations/</t>
  </si>
  <si>
    <t>Great Sales Organizations Are Built</t>
  </si>
  <si>
    <t>Great Sales Organizations Are Built | Sales Xceleration</t>
  </si>
  <si>
    <t>Michael’s presentation, entitled “Great Sales Organizations Are Built,” was very well received by business owners in attendance.</t>
  </si>
  <si>
    <t>a2ecd7d474da4b3d8dba251e70027685</t>
  </si>
  <si>
    <t>https://salesxceleration.com/news-events/mike-dugan-presents-hampton-roads-va-business-leaders/</t>
  </si>
  <si>
    <t>Mike Dugan Presents to Hampton Roads, VA Business Leaders</t>
  </si>
  <si>
    <t>On Tuesday, October 17th, Mike Dugan presented a 60-minute seminar to small business leaders in the Hampton Roads, Virginia area.</t>
  </si>
  <si>
    <t>20a224271cd4207beb6fbae3f911c49</t>
  </si>
  <si>
    <t>https://salesxceleration.com/news-events/great-sales-organizations-made-learn-sales-driven/</t>
  </si>
  <si>
    <t>Great Sales Organizations Are Made – Learn to be Sales Driven</t>
  </si>
  <si>
    <t>Sales Seminar: Learn to Be Sales Driven | Sales Xceleration</t>
  </si>
  <si>
    <t>Advisor Michael Wills recently presented an educational seminar to business owners in the Fort Lauderdale area on the topic of sales management.</t>
  </si>
  <si>
    <t>115f6a91e0bc789663e2f51fef979c15</t>
  </si>
  <si>
    <t>https://salesxceleration.com/news-events/sales-xceleration-expands-their-national-presence-into-eight-new-markets/</t>
  </si>
  <si>
    <t>Sales Xceleration Expands Their National Presence into Eight New Markets</t>
  </si>
  <si>
    <t>Sales Xceleration Expands Their National Presence into Eight New Markets | Sales Xceleration</t>
  </si>
  <si>
    <t>Read more about the expansion to include Austin, TX; Los Gatos, CA (Silicon Valley); Cincinnati, OH; Atlanta, GA; Raleigh, NC; San Antonio, TX, Boston, MA;</t>
  </si>
  <si>
    <t>b5a1a2e93fe4c78157d0f12968ffdece</t>
  </si>
  <si>
    <t>https://salesxceleration.com/news-events/three-new-sales-leaders-providing-sales-expertise-at-a-fraction-of-the-cost/</t>
  </si>
  <si>
    <t>Three New Sales Leaders Providing Sales Expertise, at a Fraction of the Cost</t>
  </si>
  <si>
    <t>Three New Sales Leaders Providing Sales Expertise, at a Fraction of the Cost | Sales Xceleration</t>
  </si>
  <si>
    <t>INDIANAPOLIS, IN – February 21, 2023 – Sales Xceleration® unites experienced fractional sales leaders with the proven tools and resources to help small and</t>
  </si>
  <si>
    <t>dc8722072331d8f8345433990bffd284</t>
  </si>
  <si>
    <t>https://salesxceleration.com/news-events/sales-xceleration-announces-a-partnership-with-claritysoft/</t>
  </si>
  <si>
    <t>Sales Xceleration Announces a Partnership with Claritysoft</t>
  </si>
  <si>
    <t>Sales Xceleration Announces a Partnership with Claritysoft | Sales Xceleration</t>
  </si>
  <si>
    <t>INDIANAPOLIS, IN – September 28, 2021 – Sales Xceleration® is proud to announce a new partnership with Claritysoft offering a co-branded Customer Relationship</t>
  </si>
  <si>
    <t>40b1af94dfee0cdd4e84f5f237787834</t>
  </si>
  <si>
    <t>https://salesxceleration.com/news-events/sales-xceleration-announces-presidents-club-and-first-annual-presidents-circle-winners/</t>
  </si>
  <si>
    <t>Sales Xceleration® Announces President’s Club and First Annual President’s Circle Winners</t>
  </si>
  <si>
    <t>Sales Xceleration® Announces President's Club and First Annual President’s Circle Winners | Sales Xceleration</t>
  </si>
  <si>
    <t>INDIANAPOLIS, IN – April 9th, 2024 — Sales Xceleration®, the pioneer in fractional sales leadership, proudly showcases the winners of the President’s Club and</t>
  </si>
  <si>
    <t>b95a1f684fb07d1e7ecddbe8471da891</t>
  </si>
  <si>
    <t>https://salesxceleration.com/news-events/sales-xceleration-expands-adding-eleven-sales-leadership-consultants/</t>
  </si>
  <si>
    <t>Sales Xceleration Expands, Adding Eleven Sales Leadership Consultants</t>
  </si>
  <si>
    <t>Sales Xceleration Expands, Adding Eleven Sales Leadership Consultants | Sales Xceleration</t>
  </si>
  <si>
    <t>INDIANAPOLIS, IN – August 18, 2020 – Sales Xceleration Consultants serve small to mid-sized businesses by combining our proven tools and platform with their</t>
  </si>
  <si>
    <t>1484341fcecb7b4927cddf4f4d88dd54</t>
  </si>
  <si>
    <t>https://salesxceleration.com/news-events/sales-xceleration-expands-expertise-with-the-introduction-of-dynamic-sales-growth-leaders/</t>
  </si>
  <si>
    <t>Sales Xceleration Expands Expertise with the Introduction of Dynamic Sales Growth Leaders</t>
  </si>
  <si>
    <t>Sales Xceleration Expands Expertise with the Introduction of Dynamic Sales Growth Leaders | Sales Xceleration</t>
  </si>
  <si>
    <t>INDIANAPOLIS, IN – March 3rd, 2025 – Sales Xceleration® is proud to showcase their newest team of expert Fractional VPs of Sales, dedicated to driving sales</t>
  </si>
  <si>
    <t>a06f84f31f09944180e9d04b3a2c64bc</t>
  </si>
  <si>
    <t>Server responds quickly (observed 341 ms)</t>
  </si>
  <si>
    <t>https://salesxceleration.com/news-events/sales-xceleration-reaches-milestone-of-100-consultants-and-launches-hero100-campaign/</t>
  </si>
  <si>
    <t>Sales Xceleration Reaches Milestone of 100 Consultants and Launches #Hero100 Campaign</t>
  </si>
  <si>
    <t>Sales Xceleration Reaches Milestone of 100 Consultants and Launches #Hero100 Campaign | Sales Xceleration</t>
  </si>
  <si>
    <t>Sales Xceleration celebrates reaching 100 consultants and launches the Hero100 campaign to empower businesses with expert sales leadership and strategies.</t>
  </si>
  <si>
    <t>b908283e944631561f4cf34b963554cb</t>
  </si>
  <si>
    <t>https://salesxceleration.com/news-events/book-launch-beyond-the-mountaintop/</t>
  </si>
  <si>
    <t>Book Launch: Beyond The Mountaintop</t>
  </si>
  <si>
    <t>Book Launch: Beyond The Mountaintop | Sales Xceleration</t>
  </si>
  <si>
    <t>In each life there are mountains to be climbed, obstacles to overcome, lessons to be learned. For noted sales and leadership consultant Mark Thacker, taking</t>
  </si>
  <si>
    <t>54cf658f5f246dc4ba48bc2c8afb12f6</t>
  </si>
  <si>
    <t>https://salesxceleration.com/news-events/sales-xceleration-adds-seven-new-sales-consultants-grows-to-75-outsourced-vps-of-sales/</t>
  </si>
  <si>
    <t>Sales Xceleration Adds Seven New Sales Consultants Grows to 75 Outsourced VPs of Sales</t>
  </si>
  <si>
    <t>Sales Xceleration Adds Seven New Sales Consultants Grows to 75 Outsourced VPs of Sales | Sales Xceleration</t>
  </si>
  <si>
    <t>Sales Xceleration, the pioneer in outsourced/fractional sales leadership, has added seven new Advisors throughout the U.S.  This brings the total to 75 Sales Consultants supporting small to mid-size businesses by helping them get their sales infrastructure back on track and driving growth. </t>
  </si>
  <si>
    <t>efdccf8d68ed4f50651177ec95babff8</t>
  </si>
  <si>
    <t>https://salesxceleration.com/news-events/yorcmo-and-sales-xceleration-forge-strategic-partnership/</t>
  </si>
  <si>
    <t>yorCMO and Sales Xceleration® Forge Strategic Partnership</t>
  </si>
  <si>
    <t>About yorCMO</t>
  </si>
  <si>
    <t>yorCMO and Sales Xceleration® Forge Strategic Partnership | Sales Xceleration</t>
  </si>
  <si>
    <t>Indianapolis, IN – July 17th, 2023 — Sales Xceleration®, pioneer in fractional sales leadership, is excited to announce our strategic partnership with yorCMO,</t>
  </si>
  <si>
    <t>95afa116cf9e7f293ee60228406f0043</t>
  </si>
  <si>
    <t>https://salesxceleration.com/news-events/fifteen-new-outsourced-sales-vps-join-sales-xceleration-as-the-need-for-fractional-sales-leaders-sees-a-big-increase/</t>
  </si>
  <si>
    <t>New Outsourced Sales VPs Join Sales Xceleration as the Need for Fractional Sales Leaders Sees A Big Increase</t>
  </si>
  <si>
    <t>New Outsourced Sales VPs Join Sales Xceleration as the Need for Fractional Sales Leaders Sees A Big Increase | Sales Xceleration</t>
  </si>
  <si>
    <t>INDIANAPOLIS, IN – October 20, 2020 – Sales Xceleration Consultants continue to see demand for their fractional sales leadership skills to drive revenue</t>
  </si>
  <si>
    <t>18c20058ada9e9f14d10fc01faa5f807</t>
  </si>
  <si>
    <t>https://salesxceleration.com/news-events/4-tips-for-increasing-employee-engagement-in-2023/</t>
  </si>
  <si>
    <t>Press Mention: 4 Tips For Increasing Employee Engagement In 2023</t>
  </si>
  <si>
    <t>Press Mention: 4 Tips For Increasing Employee Engagement In 2023 | Sales Xceleration</t>
  </si>
  <si>
    <t>Few people anticipated the long-term impact of COVID-19 on employee satisfaction. It certainly set in motion the Great Resignation, which is still going</t>
  </si>
  <si>
    <t>7c5549c69c994641c5de4635ea0bb672</t>
  </si>
  <si>
    <t>https://salesxceleration.com/news-events/addressing-sales-challenges/</t>
  </si>
  <si>
    <t>Addressing Sales Challenges</t>
  </si>
  <si>
    <t>Addressing Sales Challenges | Sales Xceleration</t>
  </si>
  <si>
    <t>Michael Wills held a sold-out educational seminar specifically designed to address the sales challenges many small and mid-size companies face.</t>
  </si>
  <si>
    <t>c0b539c9e14954090a0644486b8367b</t>
  </si>
  <si>
    <t>https://salesxceleration.com/news-events/sales-xceleration-consultants-grow-in-the-u-s-and-expand-into-the-u-k/</t>
  </si>
  <si>
    <t>Sales Xceleration Consultants Grow in the U.S. and Expand into the U.K.</t>
  </si>
  <si>
    <t>Sales Xceleration Consultants Grow in the U.S. and Expand into the U.K. | Sales Xceleration</t>
  </si>
  <si>
    <t>INDIANAPOLIS, IN – October 19, 2021 – Sales Xceleration® combines sales leadership experts with the proven tools and platform to build and execute a</t>
  </si>
  <si>
    <t>402da2cba44dfc1b32522b2c349d882c</t>
  </si>
  <si>
    <t>https://salesxceleration.com/news-events/seven-new-outsourced-vps-of-sales-are-ready-to-build-a-path-to-more-sales/</t>
  </si>
  <si>
    <t>Seven New Outsourced VPs of Sales Are Ready to Build a Path to More Sales</t>
  </si>
  <si>
    <t>Seven New Outsourced VPs of Sales Are Ready to Build a Path to More Sales | Sales Xceleration</t>
  </si>
  <si>
    <t>INDIANAPOLIS, IN – April 19, 2022 – Sales Xceleration® selects the best sales leaders who are looking to positively impact small and mid-size businesses and</t>
  </si>
  <si>
    <t>f7c2df21b269181ef879995abee649aa</t>
  </si>
  <si>
    <t>https://salesxceleration.com/news-events/author-mark-thacker-releases-new-book-hope-realized/</t>
  </si>
  <si>
    <t>Outsourced Sales Management Pioneer and Sales Leadership Author Mark Thacker Releases New Book Hope Realized</t>
  </si>
  <si>
    <t>Outsourced Sales Management Pioneer and Sales Leadership Author Mark Thacker Releases New Book Hope Realized | Sales Xceleration</t>
  </si>
  <si>
    <t>Author Mark Thacker releases "Hope Realized," a book offering insights and strategies for transforming sales challenges into growth opportunities.</t>
  </si>
  <si>
    <t>adbd42b754da1dfd38c356dfb67b0f1b</t>
  </si>
  <si>
    <t>https://salesxceleration.com/news-events/sales-consultants-foster-smb-growth-in-the-gig-economy/</t>
  </si>
  <si>
    <t>Sales Consultants Foster SMB Growth in the Gig Economy</t>
  </si>
  <si>
    <t>Sales Consultants Foster SMB Growth in the Gig Economy | Sales Xceleration</t>
  </si>
  <si>
    <t>Sales Xceleration provides skilled, experienced Sales Consultants that put the processes and people in place to drive revenue for small and mid-sized businesses on a fractional basis. Their clients get to leverage the extensive sales leadership experience of the Advisor and the Sales Xceleration tools and platform in a way that they can afford.</t>
  </si>
  <si>
    <t>91feb4d4944634e71b3f3dcaa8b775cc</t>
  </si>
  <si>
    <t>https://salesxceleration.com/news-events/one-new-sales-pro-joins-the-sales-xceleration-team/</t>
  </si>
  <si>
    <t>One New Sales Pro Joins the Sales Xceleration® Team</t>
  </si>
  <si>
    <t>One New Sales Pro Joins the Sales Xceleration® Team | Sales Xceleration</t>
  </si>
  <si>
    <t>INDIANAPOLIS, IN – August 16, 2022 – At our core, Sales Xceleration is a company that connects highly qualified, entrepreneurially minded sales leaders with</t>
  </si>
  <si>
    <t>23a448dd1f9decb892b9c926bb2ad2e6</t>
  </si>
  <si>
    <t>https://salesxceleration.com/news-events/sales-agility-assessment/</t>
  </si>
  <si>
    <t>PRESS RELEASE: Outsourced Sales Management Company Offers New Sales Agility Assessment ℠ Online, to Evaluate Sales Effectiveness in Small-to-Medium Companies</t>
  </si>
  <si>
    <t>PRESS RELEASE: Outsourced Sales Management Company Offers New Sales Agility Assessment ℠ Online, to Evaluate Sales Effectiveness in Small-to-Medium Companies | Sales Xceleration</t>
  </si>
  <si>
    <t>INDIANAPOLIS (June 1, 2016) – Sales Xceleration, the pioneer in outsourced sales leadership and owner of the Outsourced VP of Sales© service, announces a new,</t>
  </si>
  <si>
    <t>46a3e49a0aa31fc90591a2258fe71636</t>
  </si>
  <si>
    <t>https://salesxceleration.com/news-events/sales-xceleration-introduces-fractional-sales-leaders-in-multiple-key-markets/</t>
  </si>
  <si>
    <t>Sales Xceleration Introduces Fractional Sales Leaders in Multiple Key Markets | Sales Xceleration</t>
  </si>
  <si>
    <t>Indianapolis, IN — January 6, 2026 — Sales Xceleration®, the leading provider of Fractional Sales Leadership, announces an expansion to its team of Outsourced</t>
  </si>
  <si>
    <t>a75ac3aee2a4f48979c3bd64e5662be6</t>
  </si>
  <si>
    <t>https://salesxceleration.com/news-events/businesses-realize-benefit-of-utilizing-fractional-sales-vps/</t>
  </si>
  <si>
    <t>Businesses Realize Benefit of Utilizing Fractional Sales VPs</t>
  </si>
  <si>
    <t>Businesses Realize Benefit of Utilizing Fractional Sales VPs | Sales Xceleration</t>
  </si>
  <si>
    <t>INDIANAPOLIS, IN – December 15, 2020 – Now more than ever, small to mid-sized businesses are realizing the value of hiring an experienced fractional sales</t>
  </si>
  <si>
    <t>e0935e047306edbaa7e2c5e6b65f5a08</t>
  </si>
  <si>
    <t>https://salesxceleration.com/news-events/sales-xceleration-2017-annual-conference-a-huge-success/</t>
  </si>
  <si>
    <t>Sales Xceleration 2017 Annual Conference = A Huge Success!</t>
  </si>
  <si>
    <t>Sales Xceleration 2017 Annual Conference = A Huge Success! | Sales Xceleration</t>
  </si>
  <si>
    <t>Sales Xceleration Advisors recently gathered in sunny Naples, Florida to attend the 2017 Annual Conference. The Inn on Fifth in Old Naples was the ideal venue</t>
  </si>
  <si>
    <t>8e33dc508f2eb93fcf9e67156c5e86e</t>
  </si>
  <si>
    <t>Server responds quickly (observed 344 ms)</t>
  </si>
  <si>
    <t>https://salesxceleration.com/news-events/empowering-growth-sales-xceleration-welcomes-experienced-fractional-sales-experts/</t>
  </si>
  <si>
    <t>Empowering Growth: Sales Xceleration Welcomes Experienced Fractional Sales Experts</t>
  </si>
  <si>
    <t>Empowering Growth: Sales Xceleration Welcomes Experienced Fractional Sales Experts | Sales Xceleration</t>
  </si>
  <si>
    <t>INDIANAPOLIS, IN – May 6th, 2025 – Sales Xceleration® proudly welcomes their newest Fractional Sales Leaders, committed to driving sales growth for small and</t>
  </si>
  <si>
    <t>376dd6bde38133b18aac2cea78134777</t>
  </si>
  <si>
    <t>https://salesxceleration.com/news-events/sales-xceleration-holds-1st-annual-conference/</t>
  </si>
  <si>
    <t>Sales Xceleration Holds 1st Annual Conference</t>
  </si>
  <si>
    <t>Sales Xceleration Holds 1st Annual Conference | Sales Xceleration</t>
  </si>
  <si>
    <t>Over 25 Advisors from all over the United States traveled to Indianapolis recently for Sales Xceleration’s first Annual Conference.</t>
  </si>
  <si>
    <t>cf9cc5e6e41ce55734dac57ccb7cf5e</t>
  </si>
  <si>
    <t>https://salesxceleration.com/news-events/outsourced-vps-of-sales-provide-additional-sales-expertise-in-two-markets/</t>
  </si>
  <si>
    <t>Outsourced VPs of Sales Provide Additional Sales Expertise in Two Markets</t>
  </si>
  <si>
    <t>Outsourced VPs of Sales Provide Additional Sales Expertise in Two Markets | Sales Xceleration</t>
  </si>
  <si>
    <t>INDIANAPOLIS, IN – April 20, 2021 – Sales Xceleration Advisors offer sales leadership to small and mid-sized businesses, utilizing their experiences gained</t>
  </si>
  <si>
    <t>c2fd2b16a2c1cf1232b40267b49ba179</t>
  </si>
  <si>
    <t>https://salesxceleration.com/news-events/new-fractional-sales-vps-providing-value-to-small-and-mid-sized-businesses/</t>
  </si>
  <si>
    <t>New Fractional Sales VPs Providing Value to Small and Mid-Sized Businesses</t>
  </si>
  <si>
    <t>New Fractional Sales VPs Providing Value to Small and Mid-Sized Businesses | Sales Xceleration</t>
  </si>
  <si>
    <t>INDIANAPOLIS, IN – June 16, 2020 – Sales Xceleration Inc. remains committed to leveraging the expertise of experienced Sales Management Leaders to serve small</t>
  </si>
  <si>
    <t>69b322ca09c35b66c7b74f1b9e20bdf</t>
  </si>
  <si>
    <t>https://salesxceleration.com/news-events/sales-xceleration-launches-new-certified-sales-leader-training-program-that-is-guaranteed-to-pay-for-itself/</t>
  </si>
  <si>
    <t>Sales Xceleration Launches New Certified Sales Leader Training Program That is Guaranteed to Pay for Itself!</t>
  </si>
  <si>
    <t>Sales Xceleration Launches New Certified Sales Leader Training Program That is Guaranteed to Pay for Itself! | Sales Xceleration</t>
  </si>
  <si>
    <t>Sales Xceleration Launches New Certified Sales Leader Training Program</t>
  </si>
  <si>
    <t>b132fb6e8eb67682a6c4b1d586eced9d</t>
  </si>
  <si>
    <t>https://salesxceleration.com/news-events/sales-xceleration-named-to-selling-power-magazines-top-sales-training-companies-2023-list-for-csl-training/</t>
  </si>
  <si>
    <t>Sales Xceleration Named to Selling Power Magazine’s Top Sales Training Companies 2023 List for CSL Training</t>
  </si>
  <si>
    <t>Sales Xceleration Named to Selling Power Magazine’s Top Sales Training Companies 2023 List for CSL Training | Sales Xceleration</t>
  </si>
  <si>
    <t>Indianapolis, IN – May 18th, 2023 — Sales Xceleration® is pleased to announce it has been included on Selling Power’s Top Sales Training Companies 2023 list</t>
  </si>
  <si>
    <t>389b4b997ff6a990b5512dbd43077674</t>
  </si>
  <si>
    <t>https://salesxceleration.com/news-events/sales-growth-planning-non-sales-executive-workshop-delivered-advisor-susan-tourville/</t>
  </si>
  <si>
    <t>“Sales Growth Planning for the Non-Sales Executive” Workshop Delivered by Advisor Susan Tourville</t>
  </si>
  <si>
    <t>“Sales Growth Planning for the Non-Sales Executive” Workshop Delivered by Advisor Susan Tourville | Sales Xceleration</t>
  </si>
  <si>
    <t>Sales Xceleration Advisor Susan Tourville recently partnered with Foxwood Associates to co-facilitate “Sales Growth Planning for the Non-Sales Executive”, hosted at Wipfli LLP in Green Bay WI.</t>
  </si>
  <si>
    <t>7c361578a5d8ad902352169df9487f77</t>
  </si>
  <si>
    <t>https://salesxceleration.com/news-events/press-mention-4-ways-social-media-marketing-drives-digital-connections-in-2022/</t>
  </si>
  <si>
    <t>Press Mention: 4 Ways Social Media Marketing Drives Digital Connections in 2022</t>
  </si>
  <si>
    <t>Press Mention: 4 Ways Social Media Marketing Drives Digital Connections in 2022 | Sales Xceleration</t>
  </si>
  <si>
    <t>It’s hard to imagine what the past two years would have been like without social media. As Pew research shows, nearly one-third of adults admit to being</t>
  </si>
  <si>
    <t>3bea01cb5c358131129f239d169e685c</t>
  </si>
  <si>
    <t>https://salesxceleration.com/wp-content/plugins/powerpack-elements/assets/css/min/widget-tiled-posts.min.css?ver=2.12.15</t>
  </si>
  <si>
    <t>https://salesxceleration.com/wp-content/plugins/elementor-pro/assets/css/widget-call-to-action.min.css?ver=3.34.0</t>
  </si>
  <si>
    <t>https://salesxceleration.com/hiring-skills-assessment/</t>
  </si>
  <si>
    <t>text/html; charset=iso-8859-1</t>
  </si>
  <si>
    <t>https://www.amplifyrecruiting.com/hiring-skills-assessment/</t>
  </si>
  <si>
    <t>https://salesxceleration.com/wp-content/plugins/elementor-pro/assets/css/conditionals/transitions.min.css?ver=3.34.0</t>
  </si>
  <si>
    <t>https://salesxceleration.com/news-events/accelerating-success-with-sales-xcelerations-two-new-fractional-sales-leaders/</t>
  </si>
  <si>
    <t>Accelerating Success with Sales Xceleration’s Two New Fractional Sales Leaders</t>
  </si>
  <si>
    <t>Accelerating Success with Sales Xceleration’s Two New Fractional Sales Leaders | Sales Xceleration</t>
  </si>
  <si>
    <t>INDIANAPOLIS, IN – August 15th, 2023 – Sales Xceleration®, a leading provider of fractional sales leadership, is proud to announce the addition of two new</t>
  </si>
  <si>
    <t>23b02eae08daf15e7cf1eeb5b9a3aa3a</t>
  </si>
  <si>
    <t>https://salesxceleration.com/wp-content/uploads/elementor/css/post-40429.css?ver=1768847962</t>
  </si>
  <si>
    <t>Mon, 19 Jan 2026 18:39:22 GMT</t>
  </si>
  <si>
    <t>https://salesxceleration.com/news-events/sales-xceleration-welcomes-expert-sales-growth-leaders/</t>
  </si>
  <si>
    <t>Sales Xceleration Welcomes Expert Sales Growth Leaders</t>
  </si>
  <si>
    <t>Sales Xceleration Welcomes Expert Sales Growth Leaders | Sales Xceleration</t>
  </si>
  <si>
    <t>INDIANAPOLIS, IN – December 17th, 2024 – Sales Xceleration® is proud to introduce a talented team of Fractional VPs of Sales, specializing in outsourced sales</t>
  </si>
  <si>
    <t>ff72b2da41497a018e37740dda7168d</t>
  </si>
  <si>
    <t>Server responds quickly (observed 390 ms)</t>
  </si>
  <si>
    <t>https://salesxceleration.com/news-events/outsourcing-sales-leadership-provides-focus-and-results-for-business-owners/</t>
  </si>
  <si>
    <t>Outsourcing Sales Leadership Provides Focus and Results for Business Owners</t>
  </si>
  <si>
    <t>Outsourcing Sales Leadership Provides Focus and Results for Business Owners | Sales Xceleration</t>
  </si>
  <si>
    <t>INDIANAPOLIS, IN – February 16, 2021 – In small to mid-sized businesses, often the owner, President, or CEO has the responsibility of running sales</t>
  </si>
  <si>
    <t>bf0c3202be3a349a463dd69bc1ac6535</t>
  </si>
  <si>
    <t>https://salesxceleration.com/wp-content/plugins/elementor-pro/assets/lib/smartmenus/jquery.smartmenus.min.js?ver=1.2.1</t>
  </si>
  <si>
    <t>https://salesxceleration.com/wp-content/uploads/elementor/css/post-46867.css?ver=1768850931</t>
  </si>
  <si>
    <t>Mon, 19 Jan 2026 19:28:51 GMT</t>
  </si>
  <si>
    <t>https://salesxceleration.com/wp-content/uploads/2024/05/logo-sx.png.webp</t>
  </si>
  <si>
    <t>Fri, 16 Aug 2024 20:53:54 GMT</t>
  </si>
  <si>
    <t>https://salesxceleration.com/case-study/it-professional-services-building-a-sustainable-sales-strategy-for-accelerated-growth/</t>
  </si>
  <si>
    <t>IT Professional Services: Building a Sustainable Sales Strategy for Accelerated Growth</t>
  </si>
  <si>
    <t>Sales Case Study: IT Professional Services: Building a Sustainable Sales Strategy for Accelerated Growth | Sales Xceleration</t>
  </si>
  <si>
    <t>An IT Professional Services and Software Resell company was growing rapidly, but was having trouble hiring and retaining sales personnel. The CEO knew he</t>
  </si>
  <si>
    <t>83caaff0ede1ecc63fb085e913c7befb</t>
  </si>
  <si>
    <t>https://salesxceleration.com/wp-content/uploads/elementor/css/post-34460.css?ver=1768847962</t>
  </si>
  <si>
    <t>https://salesxceleration.com/wp-content/themes/salesxceleratione/assets/css/style.css?ver=1769123323</t>
  </si>
  <si>
    <t>Thu, 22 Jan 2026 23:08:44 GMT</t>
  </si>
  <si>
    <t>https://salesxceleration.com/wp-content/plugins/elementor-pro/assets/css/widget-nav-menu.min.css?ver=3.34.0</t>
  </si>
  <si>
    <t>https://salesxceleration.com/wp-content/uploads/2024/07/Sales-Team-Effectiveness-1024x683.jpg</t>
  </si>
  <si>
    <t>Mon, 01 Jul 2024 20:33:08 GMT</t>
  </si>
  <si>
    <t>https://salesxceleration.com/wp-content/uploads/2024/07/Sales-Transformation-1024x683.jpg</t>
  </si>
  <si>
    <t>Tue, 02 Jul 2024 18:18:10 GMT</t>
  </si>
  <si>
    <t>https://salesxceleration.com/wp-content/plugins/powerpack-elements/assets/css/min/widget-info-box.min.css?ver=2.12.15</t>
  </si>
  <si>
    <t>https://salesxceleration.com/wp-content/uploads/2025/08/The-AI-Security-Playbook-1-768x1062.jpg</t>
  </si>
  <si>
    <t>Fri, 08 Aug 2025 19:17:07 GMT</t>
  </si>
  <si>
    <t>https://salesxceleration.com/wp-content/uploads/2024/05/Building-a-Sales-Pipeline-with-AI-768x994.jpg</t>
  </si>
  <si>
    <t>Wed, 12 Nov 2025 15:57:46 GMT</t>
  </si>
  <si>
    <t>https://salesxceleration.com/case-study/data-and-analytics-maintaining-sales-momentum-amidst-transition/</t>
  </si>
  <si>
    <t>Data and Analytics: Maintaining Sales Momentum Amidst Transition</t>
  </si>
  <si>
    <t>Case Study: How a Data and Analytics Company Achieved 88% Growth</t>
  </si>
  <si>
    <t>See how a data and analytics company partnered with an Outsourced VP of Sales to navigate leadership changes, build momentum, and achieve record-breaking results.</t>
  </si>
  <si>
    <t>57c2e583211185997b1aff8dae3779e8</t>
  </si>
  <si>
    <t>https://salesxceleration.com/infographics-cat/marketing/</t>
  </si>
  <si>
    <t>Found</t>
  </si>
  <si>
    <t>https://salesxceleration.com/?download=66961</t>
  </si>
  <si>
    <t>https://salesxceleration.com/infographics/how-to-leverage-ai-to-optimize-b2b-lead-generation/</t>
  </si>
  <si>
    <t>https://salesxceleration.com/infographics/implementing-a-sales-data-analytics-strategy/</t>
  </si>
  <si>
    <t>https://salesxceleration.com/?download=63802</t>
  </si>
  <si>
    <t>https://salesxceleration.com/infographics-cat/sales-strategy/</t>
  </si>
  <si>
    <t>https://salesxceleration.com/?download=36876</t>
  </si>
  <si>
    <t>https://salesxceleration.com/wp-content/uploads/2025/03/Top-Sales-Drivers-to-Implement-for-Sales-Success-1-768x976.jpg</t>
  </si>
  <si>
    <t>Wed, 19 Mar 2025 19:09:33 GMT</t>
  </si>
  <si>
    <t>https://salesxceleration.com/wp-content/uploads/2025/04/Sales-SWOT-Worksheet-768x994.jpg</t>
  </si>
  <si>
    <t>Wed, 09 Apr 2025 11:46:41 GMT</t>
  </si>
  <si>
    <t>https://salesxceleration.com/wp-content/uploads/elementor/css/post-27658.css?ver=1768846883</t>
  </si>
  <si>
    <t>Mon, 19 Jan 2026 18:21:23 GMT</t>
  </si>
  <si>
    <t>https://salesxceleration.com/infographics/top-sales-drivers-to-implement-for-sales-success/</t>
  </si>
  <si>
    <t>https://salesxceleration.com/?download=68073</t>
  </si>
  <si>
    <t>https://salesxceleration.com/wp-content/uploads/2025/02/Implementing-a-Sales-Data-Analytics-Strategy-1-768x994.jpg</t>
  </si>
  <si>
    <t>Mon, 10 Feb 2025 22:14:32 GMT</t>
  </si>
  <si>
    <t>https://salesxceleration.com/infographics/building-a-sales-pipeline-with-ai/</t>
  </si>
  <si>
    <t>https://salesxceleration.com/wp-content/uploads/2025/03/How-to-Leverage-AI-to-Optimize-B2B-Lead-Generation-1-768x994.jpg</t>
  </si>
  <si>
    <t>Wed, 05 Mar 2025 21:25:27 GMT</t>
  </si>
  <si>
    <t>https://salesxceleration.com/infographics/the-ai-security-playbook-6-essentials-every-sales-organization-needs/</t>
  </si>
  <si>
    <t>https://salesxceleration.com/?download=70147</t>
  </si>
  <si>
    <t>https://salesxceleration.com/infographics/sales-swot-worksheet/</t>
  </si>
  <si>
    <t>https://salesxceleration.com/?download=68883</t>
  </si>
  <si>
    <t>https://salesxceleration.com/wp-content/uploads/2024/09/Maura-Kautsky.jpg</t>
  </si>
  <si>
    <t>Mon, 16 Sep 2024 12:41:38 GMT</t>
  </si>
  <si>
    <t>https://salesxceleration.com/wp-content/uploads/2024/09/Daniel-Steyn.jpg</t>
  </si>
  <si>
    <t>Mon, 16 Sep 2024 12:41:19 GMT</t>
  </si>
  <si>
    <t>https://salesxceleration.com/wp-content/uploads/elementor/css/post-19907.css?ver=1768848344</t>
  </si>
  <si>
    <t>Mon, 19 Jan 2026 18:45:44 GMT</t>
  </si>
  <si>
    <t>https://salesxceleration.com/wp-content/uploads/2024/09/Kendall.jpeg</t>
  </si>
  <si>
    <t>Mon, 16 Sep 2024 12:41:36 GMT</t>
  </si>
  <si>
    <t>https://salesxceleration.com/wp-content/uploads/2024/09/Michael-Nolan.jpg</t>
  </si>
  <si>
    <t>Thu, 26 Sep 2024 19:51:09 GMT</t>
  </si>
  <si>
    <t>https://salesxceleration.com/wp-content/uploads/2025/06/lee-brumbaugh.jpg</t>
  </si>
  <si>
    <t>Mon, 30 Jun 2025 11:09:40 GMT</t>
  </si>
  <si>
    <t>https://salesxceleration.com/wp-content/uploads/2024/09/Alison-Palmer.jpg</t>
  </si>
  <si>
    <t>Mon, 16 Sep 2024 12:41:09 GMT</t>
  </si>
  <si>
    <t>https://salesxceleration.com/wp-content/uploads/2024/09/Curt-Wible.jpg</t>
  </si>
  <si>
    <t>Mon, 16 Sep 2024 12:41:18 GMT</t>
  </si>
  <si>
    <t>https://salesxceleration.com/wp-content/uploads/2021/11/1343118326.jpg</t>
  </si>
  <si>
    <t>Mon, 03 Jan 2022 14:09:37 GMT</t>
  </si>
  <si>
    <t>https://salesxceleration.com/wp-content/uploads/elementor/thumbs/Tom-Gardner-e1748540699702-r6j7gq8ctkq8owymb64s55bsmb5dkk0jb38mk96ql0.jpg</t>
  </si>
  <si>
    <t>Thu, 29 May 2025 17:45:59 GMT</t>
  </si>
  <si>
    <t>https://salesxceleration.com/wp-content/uploads/2024/09/Brandi-Johnson.jpg</t>
  </si>
  <si>
    <t>Mon, 16 Sep 2024 12:41:14 GMT</t>
  </si>
  <si>
    <t>https://salesxceleration.com/wp-content/uploads/2025/07/salesx_certified_sales_leader_logo-300x125.png.webp</t>
  </si>
  <si>
    <t>Tue, 15 Jul 2025 17:52:09 GMT</t>
  </si>
  <si>
    <t>https://salesxceleration.com/wp-content/uploads/elementor/css/post-19774.css?ver=1768857108</t>
  </si>
  <si>
    <t>Mon, 19 Jan 2026 21:11:48 GMT</t>
  </si>
  <si>
    <t>https://salesxceleration.com/wp-content/uploads/2025/07/Infrastructure_Header-2-e1752526593732.jpg</t>
  </si>
  <si>
    <t>Mon, 14 Jul 2025 20:56:33 GMT</t>
  </si>
  <si>
    <t>https://salesxceleration.com/wp-content/uploads/2025/07/presentation-meeting-planning-with-senior-business-man-talking-his-strategy-team-boardroom-work-training-workshop-seminar-with-professional-corporate-colleagues_590464-78692-e1752591969302.avif</t>
  </si>
  <si>
    <t>7a7e258f680b09981bc83dfab9fba8c5</t>
  </si>
  <si>
    <t>Tue, 15 Jul 2025 15:06:09 GMT</t>
  </si>
  <si>
    <t>https://salesxceleration.com/wp-content/uploads/2025/07/shutterstock_633365168-scaled-1-1-e1752526054729.jpg</t>
  </si>
  <si>
    <t>Mon, 14 Jul 2025 20:47:35 GMT</t>
  </si>
  <si>
    <t>https://salesxceleration.com/wp-content/themes/salesxceleratione/assets/css/style.css?ver=1769123324</t>
  </si>
  <si>
    <t>Thu, 22 Jan 2026 23:08:45 GMT</t>
  </si>
  <si>
    <t>https://salesxceleration.com/resources/state-of-sales/</t>
  </si>
  <si>
    <t>https://salesxceleration.com/amplify-recruiting/</t>
  </si>
  <si>
    <t>https://salesxceleration.com/wp-content/uploads/elementor/css/post-47725.css?ver=1768856114</t>
  </si>
  <si>
    <t>Mon, 19 Jan 2026 20:55:14 GMT</t>
  </si>
  <si>
    <t>https://salesxceleration.com/resource-sitemap/</t>
  </si>
  <si>
    <t>Resource Sitemap</t>
  </si>
  <si>
    <t>Resource Sitemap | Sales Xceleration</t>
  </si>
  <si>
    <t>https://medium.com/@matthewsniff/what-is-a-sales-crm-and-how-do-you-utilize-it-for-your-business-7a34f0ac5aa2</t>
  </si>
  <si>
    <t>Very Hard</t>
  </si>
  <si>
    <t>f4343e1b45aaf754ccec7623d6cd6156</t>
  </si>
  <si>
    <t>https://salesxceleration.com/wp-content/uploads/2025/07/AdobeStock_1581977588.jpeg</t>
  </si>
  <si>
    <t>Wed, 30 Jul 2025 00:28:54 GMT</t>
  </si>
  <si>
    <t>https://salesxceleration.com/client-solutions</t>
  </si>
  <si>
    <t>https://salesxceleration.com/wp-content/uploads/2025/07/AdobeStock_278047235.jpeg</t>
  </si>
  <si>
    <t>Wed, 30 Jul 2025 00:34:22 GMT</t>
  </si>
  <si>
    <t>https://salesxceleration.com/wp-content/uploads/2025/07/AdobeStock_1544365320.jpeg</t>
  </si>
  <si>
    <t>Wed, 30 Jul 2025 00:40:05 GMT</t>
  </si>
  <si>
    <t>https://salesxceleration.com/case-study/food-and-beverage-driving-25-higher-topline-revenue-for-a-compostable-packaging-company/</t>
  </si>
  <si>
    <t>Food and Beverage: Driving 25% Higher Topline Revenue for a Compostable Packaging Company</t>
  </si>
  <si>
    <t>Sales Case Study: Food and Beverage: Driving 25% Higher Topline Revenue for a Compostable Packaging Company | Sales Xceleration</t>
  </si>
  <si>
    <t>A 15-year-old leader in the compostable packaging industry has built a strong reputation for high-quality, eco-friendly solutions. They faced challenges with</t>
  </si>
  <si>
    <t>f8142a7b90fcb1f20ecbf82bb85c8c80</t>
  </si>
  <si>
    <t>https://salesxceleration.com/case-study/plastic-manufacturing-22-sales-growth-achieved-with-expert-sales-leadership/</t>
  </si>
  <si>
    <t>Plastic Manufacturing: 22% Sales Growth Achieved with Expert Sales Leadership</t>
  </si>
  <si>
    <t>Sales Case Study: Plastic Manufacturing: 22% Sales Growth Achieved with Expert Sales Leadership | Sales Xceleration</t>
  </si>
  <si>
    <t>In business for 25 years, this manufacturing company specializes in custom extruded plastic products. They had maintained a steady presence but were</t>
  </si>
  <si>
    <t>876ccb51b7ef88b1e167275648b51bfb</t>
  </si>
  <si>
    <t>https://salesxceleration.com/wp-content/uploads/2024/04/Getting-Started-with-Social-Media-eBook-791x1024.jpg</t>
  </si>
  <si>
    <t>Wed, 24 Apr 2024 20:57:19 GMT</t>
  </si>
  <si>
    <t>https://salesxceleration.com/case-study/solving-gaps-in-sales-infrastructure-and-processes/</t>
  </si>
  <si>
    <t>Technology Grants: Solving Gaps in Sales Infrastructure and Processes</t>
  </si>
  <si>
    <t>Sales Case Study: Technology Grants: Solving Gaps in Sales Infrastructure and Processes | Sales Xceleration</t>
  </si>
  <si>
    <t>A technology company specializing in New Technology Grants with the U.S. Government had been struggling to reach their sales goals and lacked the necessary</t>
  </si>
  <si>
    <t>a093c8e891fc638e4db0650c0127eb8b</t>
  </si>
  <si>
    <t>https://salesxceleration.com/wp-content/uploads/2022/08/Amplify-Recruiting-eBook_Page_01.jpg</t>
  </si>
  <si>
    <t>Thu, 25 Aug 2022 17:59:03 GMT</t>
  </si>
  <si>
    <t>https://salesxceleration.com/wp-content/uploads/2011/03/Highly-Effective-Sales-Structure-Cover-scaled-1-791x1024.jpg</t>
  </si>
  <si>
    <t>Mon, 03 Jan 2022 14:42:55 GMT</t>
  </si>
  <si>
    <t>https://salesxceleration.com/books/four-painful-manufacturing-sales-challenges/</t>
  </si>
  <si>
    <t>Four Painful Manufacturing Sales Challenges</t>
  </si>
  <si>
    <t>Sales eBook: Four Painful Manufacturing Sales Challenges | Sales Xceleration</t>
  </si>
  <si>
    <t>SalesXceleration explores four key manufacturing sales challenges and offers proven strategies to overcome them and drive revenue growth.</t>
  </si>
  <si>
    <t>872036cc3a52bfaa3759fcec2e40604e</t>
  </si>
  <si>
    <t>https://salesxceleration.com/wp-content/uploads/elementor/css/post-19807.css?ver=1768847459</t>
  </si>
  <si>
    <t>Mon, 19 Jan 2026 18:30:59 GMT</t>
  </si>
  <si>
    <t>https://salesxceleration.com/books/how-our-proven-process-improved-sales-for-a-promotional-products-company/</t>
  </si>
  <si>
    <t>How Our Proven Process Improved Sales for a Promotional Products Company</t>
  </si>
  <si>
    <t>Sales eBook: How Our Proven Process Improved Sales for a Promotional Products Company | Sales Xceleration</t>
  </si>
  <si>
    <t>SalesXceleration shares how a proven process transformed sales for a promotional products company, driving growth and success.</t>
  </si>
  <si>
    <t>86679b807f925f6e5e87cfaf969a3ee1</t>
  </si>
  <si>
    <t>https://salesxceleration.com/wp-content/uploads/2025/09/AI-Sales-Integration_A-Practical-Guide-for-Sales-Growth-1-819x1024.jpg</t>
  </si>
  <si>
    <t>Mon, 15 Sep 2025 16:46:51 GMT</t>
  </si>
  <si>
    <t>https://salesxceleration.com/wp-content/uploads/2020/02/immediate-impact.jpg</t>
  </si>
  <si>
    <t>Mon, 03 Jan 2022 14:54:44 GMT</t>
  </si>
  <si>
    <t>https://salesxceleration.com/books/ai-sales-integration</t>
  </si>
  <si>
    <t>https://salesxceleration.com/books/ai-sales-integration/</t>
  </si>
  <si>
    <t>https://salesxceleration.com/wp-content/uploads/2022/07/2022-SX-eBook-Before-and-After-1-791x1024.jpg</t>
  </si>
  <si>
    <t>Mon, 11 Jul 2022 12:51:41 GMT</t>
  </si>
  <si>
    <t>https://salesxceleration.com/books/intelligent-sales-pipeline/</t>
  </si>
  <si>
    <t>Improving Your Lead Generation and Qualifications Processes</t>
  </si>
  <si>
    <t>Sales eBook: Improving Your Lead Generation and Qualifications Processes | Sales Xceleration</t>
  </si>
  <si>
    <t>Improve your lead generation and qualification process by using the Intelligent Sales Pipeline for your company's sales prospects. Download this PDF eBook!</t>
  </si>
  <si>
    <t>7890a814a591ce6ec75412753f8f2518</t>
  </si>
  <si>
    <t>https://salesxceleration.com/wp-content/uploads/2022/05/Manufacturing-Sales-Challenges-791x1024.jpg</t>
  </si>
  <si>
    <t>Mon, 23 May 2022 18:03:35 GMT</t>
  </si>
  <si>
    <t>https://salesxceleration.com/books/how-to-build-a-highly-efficient-sales-structure/</t>
  </si>
  <si>
    <t>How to Build a Highly Efficient Sales Structure</t>
  </si>
  <si>
    <t>Sales eBook: How to Build a Highly Efficient Sales Structure | Sales Xceleration</t>
  </si>
  <si>
    <t>Learn how to design a highly efficient sales structure that drives consistent performance, fosters team collaboration, and scales as your business grows.</t>
  </si>
  <si>
    <t>e4e0874a6bd5f26a43f00bf517a86d36</t>
  </si>
  <si>
    <t>https://salesxceleration.com/wp-content/uploads/2019/05/2019-05-28_152123-2.jpg</t>
  </si>
  <si>
    <t>Fri, 12 Nov 2021 16:02:59 GMT</t>
  </si>
  <si>
    <t>https://salesxceleration.com/wp-content/themes/salesxceleratione/assets/css/style.css?ver=1769123325</t>
  </si>
  <si>
    <t>Thu, 22 Jan 2026 23:10:54 GMT</t>
  </si>
  <si>
    <t>https://salesxceleration.com/wp-content/uploads/2024/12/From-Stagnant-Growth-to-Doubling-Revenue_Sales-Xceleration-807x1024.jpg</t>
  </si>
  <si>
    <t>Tue, 17 Dec 2024 12:21:00 GMT</t>
  </si>
  <si>
    <t>https://salesxceleration.com/books/how-a-sales-consultant-made-an-immediate-impact-on-a-beverage-companys-sales-organization-in-only-three-months/</t>
  </si>
  <si>
    <t>How a Sales Consultant Made an Immediate Impact on a Company’s Sales Organization in Only Three Months</t>
  </si>
  <si>
    <t>Sales eBook: How a Sales Consultant Made an Immediate Impact on a Company’s Sales Organization in Only Three Months | Sales Xceleration</t>
  </si>
  <si>
    <t>See how a sales consultant transformed a beverage company’s sales performance in just three months by implementing effective strategies and proven processes.</t>
  </si>
  <si>
    <t>d1ec0dc2de6615af6f5fe397b1ffdeef</t>
  </si>
  <si>
    <t>https://salesxceleration.com/case-study/technology/</t>
  </si>
  <si>
    <t>https://salesxceleration.com/wp-content/uploads/elementor/css/post-70745.css?ver=1768857128</t>
  </si>
  <si>
    <t>Mon, 19 Jan 2026 21:12:08 GMT</t>
  </si>
  <si>
    <t>https://salesxceleration.com/books/how-to-recruit-hire-and-onboard-top-sales-performers/</t>
  </si>
  <si>
    <t>How to Recruit, Hire, and Onboard Top Sales Performers</t>
  </si>
  <si>
    <t>Sales eBook: How to Recruit, Hire, and Onboard Top Sales Performers | Sales Xceleration</t>
  </si>
  <si>
    <t>Discover proven strategies for recruiting, hiring, and onboarding top sales talent, ensuring your team is ready to exceed sales targets and deliver results.</t>
  </si>
  <si>
    <t>fb2413fdedaee0f767d5f435304a8b9f</t>
  </si>
  <si>
    <t>https://salesxceleration.com/wp-content/uploads/2025/10/manufacturing-case-study.jpg</t>
  </si>
  <si>
    <t>Thu, 09 Oct 2025 11:59:35 GMT</t>
  </si>
  <si>
    <t>https://salesxceleration.com/wp-content/uploads/2025/10/manufacturing-case-study-featured-photo.jpg</t>
  </si>
  <si>
    <t>Thu, 09 Oct 2025 12:02:09 GMT</t>
  </si>
  <si>
    <t>https://salesxceleration.com/books/getting-started-with-social-media/</t>
  </si>
  <si>
    <t>Getting Started with Social Media</t>
  </si>
  <si>
    <t>Sales eBook: Getting Started with Social Media | Sales Xceleration</t>
  </si>
  <si>
    <t>Learn how to leverage social media for business growth with SalesXceleration’s practical tips and proven strategies for success.</t>
  </si>
  <si>
    <t>ddcd0bd14a24b44939de33a74511313e</t>
  </si>
  <si>
    <t>https://salesxceleration.com/wp-content/themes/salesxceleratione/assets/css/style.css?ver=1769123326</t>
  </si>
  <si>
    <t>Thu, 22 Jan 2026 23:08:46 GMT</t>
  </si>
  <si>
    <t>https://salesxceleration.com/books/from-stagnant-growth-to-doubling-revenue-in-12-months/</t>
  </si>
  <si>
    <t>From Stagnant Growth to Doubling Revenue in 12 Months</t>
  </si>
  <si>
    <t>Sales eBook: From Stagnant Growth to Doubling Revenue in 12 Months | Sales Xceleration</t>
  </si>
  <si>
    <t>55ccec3871ea78b5e979f6036effa810</t>
  </si>
  <si>
    <t>https://salesxceleration.com/wp-content/uploads/2025/07/3.jpg</t>
  </si>
  <si>
    <t>Wed, 16 Jul 2025 18:45:41 GMT</t>
  </si>
  <si>
    <t>https://salesxceleration.com/wp-content/uploads/elementor/css/post-71208.css?ver=1768847707</t>
  </si>
  <si>
    <t>Mon, 19 Jan 2026 18:35:07 GMT</t>
  </si>
  <si>
    <t>https://salesxceleration.com/wp-content/uploads/elementor/css/post-72647.css?ver=1768847256</t>
  </si>
  <si>
    <t>Mon, 19 Jan 2026 18:27:36 GMT</t>
  </si>
  <si>
    <t>https://salesxceleration.com/wp-content/uploads/2025/11/early-education-min.jpg</t>
  </si>
  <si>
    <t>Tue, 25 Nov 2025 23:43:32 GMT</t>
  </si>
  <si>
    <t>https://salesxceleration.com/wp-content/uploads/elementor/thumbs/Mistakes-Costing-Your-Business-rd0lo56kwtdzlm13an06y8avhh0dne7fmvskkhbvf0.jpg</t>
  </si>
  <si>
    <t>Wed, 26 Nov 2025 00:01:33 GMT</t>
  </si>
  <si>
    <t>https://salesxceleration.com/wp-content/uploads/2024/04/K1-300x119.jpg</t>
  </si>
  <si>
    <t>Fri, 19 Apr 2024 06:17:38 GMT</t>
  </si>
  <si>
    <t>https://salesxceleration.com/wp-content/uploads/2024/04/Shore.png</t>
  </si>
  <si>
    <t>Fri, 19 Apr 2024 06:17:57 GMT</t>
  </si>
  <si>
    <t>https://salesxceleration.com/wp-content/uploads/2024/04/apollo-logo-black.svg</t>
  </si>
  <si>
    <t>Fri, 19 Apr 2024 06:17:27 GMT</t>
  </si>
  <si>
    <t>https://salesxceleration.com/wp-content/uploads/2024/04/MDP-300x156.png</t>
  </si>
  <si>
    <t>Fri, 19 Apr 2024 06:17:48 GMT</t>
  </si>
  <si>
    <t>https://salesxceleration.com/wp-content/uploads/2024/04/Blackstone-300x156.png</t>
  </si>
  <si>
    <t>Fri, 19 Apr 2024 06:17:33 GMT</t>
  </si>
  <si>
    <t>https://salesxceleration.com/wp-content/uploads/2024/04/H.I.G-300x300.png</t>
  </si>
  <si>
    <t>Tue, 07 May 2024 07:00:25 GMT</t>
  </si>
  <si>
    <t>https://salesxceleration.com/wp-content/plugins/elementor/assets/css/widget-image-carousel.min.css?ver=3.34.0</t>
  </si>
  <si>
    <t>https://salesxceleration.com/wp-content/uploads/2022/09/Technology-Case-Study-Thumbnail.jpg</t>
  </si>
  <si>
    <t>Tue, 13 Sep 2022 10:57:05 GMT</t>
  </si>
  <si>
    <t>https://salesxceleration.com/wp-content/uploads/2022/11/Maintaining-Sales-Momentum-Amidst-Transition-cover-1.jpg</t>
  </si>
  <si>
    <t>Mon, 20 May 2024 18:44:34 GMT</t>
  </si>
  <si>
    <t>https://salesxceleration.com/wp-content/themes/salesxceleratione/assets/css/style.css?ver=1769123327</t>
  </si>
  <si>
    <t>Thu, 22 Jan 2026 23:10:55 GMT</t>
  </si>
  <si>
    <t>https://salesxceleration.com/wp-content/plugins/powerpack-elements/assets/lib/slick/slick.min.js?ver=2.12.15</t>
  </si>
  <si>
    <t>https://salesxceleration.com/wp-content/uploads/2024/04/Acacia-300x58.png</t>
  </si>
  <si>
    <t>Fri, 19 Apr 2024 06:17:22 GMT</t>
  </si>
  <si>
    <t>https://salesxceleration.com/wp-content/plugins/powerpack-elements/assets/lib/jquery-resize/jquery.resize.min.js?ver=0.5.3</t>
  </si>
  <si>
    <t>https://salesxceleration.com/wp-content/uploads/2024/04/Talich-300x67.png</t>
  </si>
  <si>
    <t>Fri, 19 Apr 2024 06:18:00 GMT</t>
  </si>
  <si>
    <t>https://salesxceleration.com/wp-content/uploads/2024/04/AKKR-300x113.png</t>
  </si>
  <si>
    <t>Fri, 19 Apr 2024 06:17:25 GMT</t>
  </si>
  <si>
    <t>https://salesxceleration.com/wp-content/uploads/2024/05/Borgman-Logo-300x74.png</t>
  </si>
  <si>
    <t>Sat, 18 May 2024 05:36:07 GMT</t>
  </si>
  <si>
    <t>https://salesxceleration.com/wp-content/plugins/powerpack-elements/assets/css/min/widget-testimonials.min.css?ver=2.12.15</t>
  </si>
  <si>
    <t>https://salesxceleration.com/wp-content/uploads/elementor/css/post-39238.css?ver=1768857127</t>
  </si>
  <si>
    <t>Mon, 19 Jan 2026 21:12:07 GMT</t>
  </si>
  <si>
    <t>https://salesxceleration.com/wp-content/uploads/2024/04/LBC_Credit_Partners_Logo-300x157.jpg</t>
  </si>
  <si>
    <t>Fri, 19 Apr 2024 06:17:44 GMT</t>
  </si>
  <si>
    <t>https://salesxceleration.com/wp-content/uploads/2024/04/WAVE-Logo-300x81.png</t>
  </si>
  <si>
    <t>Fri, 19 Apr 2024 06:18:06 GMT</t>
  </si>
  <si>
    <t>https://salesxceleration.com/wp-content/uploads/2024/03/Strategies-for-Enhanced-Efficiency-and-Consistent-Revenue-Generation-1024x640.jpg</t>
  </si>
  <si>
    <t>Thu, 14 Mar 2024 21:35:12 GMT</t>
  </si>
  <si>
    <t>https://salesxceleration.com/wp-content/uploads/2024/04/PAI.png</t>
  </si>
  <si>
    <t>Fri, 19 Apr 2024 06:17:53 GMT</t>
  </si>
  <si>
    <t>https://salesxceleration.com/wp-content/uploads/2024/04/Vista-300x140.png</t>
  </si>
  <si>
    <t>Fri, 19 Apr 2024 06:18:03 GMT</t>
  </si>
  <si>
    <t>https://salesxceleration.com/wp-content/uploads/2024/02/Outsourced-Sales-Leadership-1024x683.jpg</t>
  </si>
  <si>
    <t>Thu, 08 Feb 2024 19:20:51 GMT</t>
  </si>
  <si>
    <t>https://salesxceleration.com/wp-content/uploads/2024/04/NextGen.svg</t>
  </si>
  <si>
    <t>Fri, 19 Apr 2024 06:17:50 GMT</t>
  </si>
  <si>
    <t>https://salesxceleration.com/wp-content/uploads/2024/12/Ways-AI-Tools-Can-Support-Sales-1024x576.jpg</t>
  </si>
  <si>
    <t>Mon, 09 Dec 2024 16:50:40 GMT</t>
  </si>
  <si>
    <t>https://salesxceleration.com/wp-content/plugins/powerpack-elements/assets/js/min/frontend-testimonials.min.js?ver=2.12.15</t>
  </si>
  <si>
    <t>https://salesxceleration.com/wp-content/uploads/2025/03/How-to-Leverage-AI-to-Optimize-B2B-Lead-Generation-1-791x1024.jpg</t>
  </si>
  <si>
    <t>Wed, 05 Mar 2025 21:25:26 GMT</t>
  </si>
  <si>
    <t>https://salesxceleration.com/wp-content/uploads/2024/04/Arsenal-300x49.png</t>
  </si>
  <si>
    <t>Fri, 19 Apr 2024 06:17:30 GMT</t>
  </si>
  <si>
    <t>https://salesxceleration.com/wp-content/plugins/elementor-pro/assets/css/widget-posts.min.css?ver=3.34.0</t>
  </si>
  <si>
    <t>https://salesxceleration.com/wp-content/uploads/elementor/css/post-27271.css?ver=1768855401</t>
  </si>
  <si>
    <t>Mon, 19 Jan 2026 20:43:21 GMT</t>
  </si>
  <si>
    <t>https://salesxceleration.com/wp-content/uploads/2024/12/Proposal-Creation-909x1024.jpg</t>
  </si>
  <si>
    <t>Mon, 09 Dec 2024 22:03:13 GMT</t>
  </si>
  <si>
    <t>https://salesxceleration.com/wp-content/uploads/elementor/css/post-59861.css?ver=1768855401</t>
  </si>
  <si>
    <t>https://salesxceleration.com/smarter-sales-with-ai-without-the-security-risk/</t>
  </si>
  <si>
    <t>Smarter Sales with AI—Without the Security Risk</t>
  </si>
  <si>
    <t>Securing Success: AI Safety and Data Protocols Every SMB Sales Teams</t>
  </si>
  <si>
    <t>Why AI Security Matters More Than Ever</t>
  </si>
  <si>
    <t>Smarter Sales with AI—Without the Security Risk | Sales Xceleration Blog</t>
  </si>
  <si>
    <t>Discover essential AI safety protocols every SMB sales organization must follow to protect sensitive data and leverage AI for smarter decisions. Learn best practices for AI security, team training, and data protection.</t>
  </si>
  <si>
    <t>1f30422edb96a4470b7c41653304befe</t>
  </si>
  <si>
    <t>https://salesxceleration.com/wp-content/uploads/2024/12/Lead-Qualification-909x1024.jpg</t>
  </si>
  <si>
    <t>Mon, 09 Dec 2024 22:00:23 GMT</t>
  </si>
  <si>
    <t>https://salesxceleration.com/wp-content/uploads/2025/03/Leveraging-AI-to-Optimize-B2B-Lead-Generation-300x124.jpg</t>
  </si>
  <si>
    <t>Thu, 06 Mar 2025 21:39:28 GMT</t>
  </si>
  <si>
    <t>https://salesxceleration.com/wp-content/uploads/2024/02/Expanding-Business-with-Sales-Playbook_Cover.jpg</t>
  </si>
  <si>
    <t>Thu, 29 Feb 2024 12:54:36 GMT</t>
  </si>
  <si>
    <t>https://salesxceleration.com/wp-content/uploads/2025/08/The-AI-Security-Playbook-1-741x1024.jpg</t>
  </si>
  <si>
    <t>https://salesxceleration.com/wp-content/uploads/2024/12/Lead-Qualification.jpg</t>
  </si>
  <si>
    <t>https://salesxceleration.com/wp-content/uploads/2025/07/AI-for-Sales-Without-Security-Risk-300x200.jpg</t>
  </si>
  <si>
    <t>Mon, 21 Jul 2025 17:00:14 GMT</t>
  </si>
  <si>
    <t>https://salesxceleration.com/category/ai-for-sales/</t>
  </si>
  <si>
    <t>Category: AI for Sales</t>
  </si>
  <si>
    <t>AI for Sales Archives | Sales Xceleration</t>
  </si>
  <si>
    <t>SalesXceleration explores how AI transforms sales. Discover strategies and tools to enhance performance and drive business growth.</t>
  </si>
  <si>
    <t>https://salesxceleration.com/category/ai-for-sales/page/2/</t>
  </si>
  <si>
    <t>79ece29fb1a0647ed5af98f4c5fbad5e</t>
  </si>
  <si>
    <t>https://salesxceleration.com/wp-content/plugins/elementor/assets/css/widget-toggle.min.css?ver=3.34.0</t>
  </si>
  <si>
    <t>https://salesxceleration.com/how-to-use-ai-for-b2b-lead-generation-strategies-to-boost-sales/</t>
  </si>
  <si>
    <t>How to Use AI for B2B Lead Generation: Strategies to Boost Sales</t>
  </si>
  <si>
    <t>B2B Lead Generation Challenges</t>
  </si>
  <si>
    <t>Best AI Tools for B2B Lead Generation:</t>
  </si>
  <si>
    <t>How to Use AI for B2B Lead Generation: Strategies to Boost Sales | Sales Xceleration Blog</t>
  </si>
  <si>
    <t>Discover how AI can transform B2B lead generation by automating outreach, improving lead scoring, and shortening sales cycles. Learn actionable strategies and AI tools to boost conversions today.</t>
  </si>
  <si>
    <t>e5da43a3e1bb9c6fb4fed7a0c0d8ee7b</t>
  </si>
  <si>
    <t>https://salesxceleration.com/case-study/expanding-business-with-sales-playbook/</t>
  </si>
  <si>
    <t>Construction Technology: Expanding Business with Sales Playbook</t>
  </si>
  <si>
    <t>Sales Case Study: Construction Technology: Expanding Business with Sales Playbook | Sales Xceleration</t>
  </si>
  <si>
    <t>A rapidly growing Construction Technology company working to create a strong sales foundation engaged an Outsourced VP of Sales to help. This foundational</t>
  </si>
  <si>
    <t>ed70c3071b8aadb9d1c0768f13063f30</t>
  </si>
  <si>
    <t>https://salesxceleration.com/wp-content/uploads/2024/12/Competitor-Analysis.jpg</t>
  </si>
  <si>
    <t>Mon, 09 Dec 2024 22:03:07 GMT</t>
  </si>
  <si>
    <t>https://salesxceleration.com/wp-content/uploads/2024/12/Competitor-Analysis-909x1024.jpg</t>
  </si>
  <si>
    <t>Mon, 09 Dec 2024 22:03:08 GMT</t>
  </si>
  <si>
    <t>https://salesxceleration.com/wp-content/uploads/2024/12/Sales-Onboarding.jpg</t>
  </si>
  <si>
    <t>Mon, 09 Dec 2024 22:03:17 GMT</t>
  </si>
  <si>
    <t>https://salesxceleration.com/wp-content/uploads/2025/09/AI-in-Sales-Forecasting-300x300.jpg</t>
  </si>
  <si>
    <t>Mon, 08 Sep 2025 17:15:51 GMT</t>
  </si>
  <si>
    <t>https://salesxceleration.com/wp-content/uploads/2024/12/AI-Challenges_RAIN.png</t>
  </si>
  <si>
    <t>Mon, 09 Dec 2024 16:38:35 GMT</t>
  </si>
  <si>
    <t>https://salesxceleration.com/wp-content/uploads/2024/12/Ways-AI-Tools-Can-Support-Sales.jpg</t>
  </si>
  <si>
    <t>Mon, 09 Dec 2024 16:50:39 GMT</t>
  </si>
  <si>
    <t>https://salesxceleration.com/contact-us-ai/</t>
  </si>
  <si>
    <t>Contact Us | Sales Xceleration</t>
  </si>
  <si>
    <t>8bf26956a40f3c6e4e1a336ee02ffe5</t>
  </si>
  <si>
    <t>https://salesxceleration.com/wp-content/uploads/2024/12/Proposal-Creation.jpg</t>
  </si>
  <si>
    <t>Mon, 09 Dec 2024 22:03:12 GMT</t>
  </si>
  <si>
    <t>https://salesxceleration.com/wp-content/uploads/2024/12/Sales-Onboarding-909x1024.jpg</t>
  </si>
  <si>
    <t>https://salesxceleration.com/wp-content/uploads/2022/04/558d6857-33d4-46f1-9239-c2862b95f7d0.jpg</t>
  </si>
  <si>
    <t>Wed, 13 Apr 2022 13:16:54 GMT</t>
  </si>
  <si>
    <t>https://salesxceleration.com/wp-content/uploads/elementor/css/post-25481.css?ver=1768854954</t>
  </si>
  <si>
    <t>Mon, 19 Jan 2026 20:35:54 GMT</t>
  </si>
  <si>
    <t>https://salesxceleration.com/wp-content/uploads/2022/04/JL-300x225.jpg</t>
  </si>
  <si>
    <t>Mon, 11 Apr 2022 17:43:34 GMT</t>
  </si>
  <si>
    <t>https://salesxceleration.com/wp-content/uploads/2022/04/IMG_5867.jpg</t>
  </si>
  <si>
    <t>Wed, 06 Apr 2022 18:17:54 GMT</t>
  </si>
  <si>
    <t>https://salesxceleration.com/wp-content/uploads/2022/04/JL.jpg</t>
  </si>
  <si>
    <t>Mon, 11 Apr 2022 17:43:32 GMT</t>
  </si>
  <si>
    <t>https://salesxceleration.com/wp-content/uploads/2022/04/image000000-2-214x300.jpg</t>
  </si>
  <si>
    <t>Wed, 13 Apr 2022 13:27:59 GMT</t>
  </si>
  <si>
    <t>https://salesxceleration.com/wp-content/uploads/2022/04/Day-of-Giving-Solve-Kaigh-2.jpg</t>
  </si>
  <si>
    <t>Wed, 13 Apr 2022 13:17:10 GMT</t>
  </si>
  <si>
    <t>https://salesxceleration.com/wp-content/uploads/2022/04/Unknown-1-300x225.jpeg</t>
  </si>
  <si>
    <t>Mon, 11 Apr 2022 17:18:47 GMT</t>
  </si>
  <si>
    <t>https://salesxceleration.com/wp-content/uploads/2022/04/IMG_5867-225x300.jpg</t>
  </si>
  <si>
    <t>https://salesxceleration.com/wp-content/uploads/2022/04/Unknown-copy-300x216.jpg</t>
  </si>
  <si>
    <t>Wed, 13 Apr 2022 14:00:12 GMT</t>
  </si>
  <si>
    <t>https://salesxceleration.com/wp-content/uploads/2022/04/image000000-2.jpg</t>
  </si>
  <si>
    <t>Wed, 13 Apr 2022 13:27:58 GMT</t>
  </si>
  <si>
    <t>https://salesxceleration.com/wp-content/uploads/2024/06/IMG_2991-e1718821808388.jpg</t>
  </si>
  <si>
    <t>Wed, 19 Jun 2024 18:30:08 GMT</t>
  </si>
  <si>
    <t>https://salesxceleration.com/wp-content/plugins/elementor/assets/lib/jquery-numerator/jquery-numerator.min.js?ver=0.2.1</t>
  </si>
  <si>
    <t>https://salesxceleration.com/wp-content/uploads/2022/04/IMG_1030-300x225.jpg</t>
  </si>
  <si>
    <t>Mon, 11 Apr 2022 17:42:22 GMT</t>
  </si>
  <si>
    <t>https://salesxceleration.com/wp-content/plugins/elementor/assets/css/widget-counter.min.css?ver=3.34.0</t>
  </si>
  <si>
    <t>https://salesxceleration.com/wp-content/plugins/elementor-pro/assets/css/widget-slides.min.css?ver=3.34.0</t>
  </si>
  <si>
    <t>https://salesxceleration.com/wp-content/uploads/2022/04/Day-of-Giving-Solve-Kaigh-2-249x300.jpg</t>
  </si>
  <si>
    <t>Wed, 13 Apr 2022 13:17:12 GMT</t>
  </si>
  <si>
    <t>https://salesxceleration.com/wp-content/themes/salesxceleratione/assets/css/style.css?ver=1769123328</t>
  </si>
  <si>
    <t>Thu, 22 Jan 2026 23:08:48 GMT</t>
  </si>
  <si>
    <t>https://salesxceleration.com/wp-content/plugins/elementor/assets/css/widget-image-gallery.min.css?ver=3.34.0</t>
  </si>
  <si>
    <t>https://salesxceleration.com/wp-content/uploads/2022/04/558d6857-33d4-46f1-9239-c2862b95f7d0-225x300.jpg</t>
  </si>
  <si>
    <t>https://salesxceleration.com/wp-content/uploads/2022/04/Unknown-1.jpeg</t>
  </si>
  <si>
    <t>Mon, 11 Apr 2022 17:18:46 GMT</t>
  </si>
  <si>
    <t>https://salesxceleration.com/wp-content/uploads/2022/04/20220419_115334-1024x545.jpg</t>
  </si>
  <si>
    <t>Tue, 19 Apr 2022 20:57:17 GMT</t>
  </si>
  <si>
    <t>https://salesxceleration.com/wp-content/uploads/2022/04/IMG_1030.jpg</t>
  </si>
  <si>
    <t>Mon, 11 Apr 2022 17:42:21 GMT</t>
  </si>
  <si>
    <t>https://salesxceleration.com/wp-content/uploads/2022/04/Unknown-copy.jpg</t>
  </si>
  <si>
    <t>Wed, 13 Apr 2022 14:00:11 GMT</t>
  </si>
  <si>
    <t>https://salesxceleration.com/wp-content/uploads/elementor/css/post-69203.css?ver=1768846234</t>
  </si>
  <si>
    <t>https://salesxceleration.com/wp-content/uploads/elementor/css/post-39256.css?ver=1768857165</t>
  </si>
  <si>
    <t>Mon, 19 Jan 2026 21:12:45 GMT</t>
  </si>
  <si>
    <t>https://salesxceleration.com/wp-content/themes/salesxceleratione/assets/css/style.css?ver=1769123329</t>
  </si>
  <si>
    <t>Thu, 22 Jan 2026 23:08:50 GMT</t>
  </si>
  <si>
    <t>https://salesxceleration.com/wp-content/themes/salesxceleratione/assets/css/style.css?ver=1769123330</t>
  </si>
  <si>
    <t>Thu, 22 Jan 2026 23:11:23 GMT</t>
  </si>
  <si>
    <t>https://salesxceleration.com/wp-content/uploads/2025/07/AdobeStock_803483080.jpeg</t>
  </si>
  <si>
    <t>Wed, 30 Jul 2025 02:55:45 GMT</t>
  </si>
  <si>
    <t>https://salesxceleration.com/wp-content/uploads/elementor/css/post-47302.css?ver=1768857154</t>
  </si>
  <si>
    <t>Mon, 19 Jan 2026 21:12:34 GMT</t>
  </si>
  <si>
    <t>https://salesxceleration.com/wp-content/uploads/2025/07/2.jpg</t>
  </si>
  <si>
    <t>Wed, 16 Jul 2025 18:45:34 GMT</t>
  </si>
  <si>
    <t>https://salesxceleration.com/wp-content/uploads/elementor/css/post-47764.css?ver=1768847914</t>
  </si>
  <si>
    <t>Mon, 19 Jan 2026 18:38:34 GMT</t>
  </si>
  <si>
    <t>https://salesxceleration.com/wp-content/uploads/2025/07/1.jpg</t>
  </si>
  <si>
    <t>Wed, 16 Jul 2025 18:45:29 GMT</t>
  </si>
  <si>
    <t>https://salesxceleration.com/case-study/medical-equipment-healthcare-improving-sales-infrastructure-for-long-term-success/</t>
  </si>
  <si>
    <t>Medical Equipment Healthcare: Improving Sales Infrastructure for Long-Term Success</t>
  </si>
  <si>
    <t>Case Study - Medical Equipment Co. Overhauls Sales Infrastructure</t>
  </si>
  <si>
    <t>Endocorp partnered with an Outsourced VP of Sales to develop sales infrastructure, recruit leadership, and drive long-term growth in the healthcare sector.</t>
  </si>
  <si>
    <t>e21994c903653eb165b7fd0fa66e9540</t>
  </si>
  <si>
    <t>https://salesxceleration.com/case-study/influencer-marketing-agency-building-a-future-proof-sales-infrastructure/</t>
  </si>
  <si>
    <t>Influencer Marketing Agency: Building a Future-Proof Sales Infrastructure</t>
  </si>
  <si>
    <t>Sales Case Study: Influencer Marketing Agency: Building a Future-Proof Sales Infrastructure | Sales Xceleration</t>
  </si>
  <si>
    <t>The Motherhood is a boutique Influencer Marketing Agency with a long history of connecting brands with influential voices.  They operate in a challenging</t>
  </si>
  <si>
    <t>cb38d5544baf7ab8ea58e9799112d405</t>
  </si>
  <si>
    <t>https://salesxceleration.com/wp-content/themes/salesxceleratione/assets/css/style.css?ver=1769123331</t>
  </si>
  <si>
    <t>https://salesxceleration.com/wp-content/uploads/elementor/css/post-7025.css?ver=1768845951</t>
  </si>
  <si>
    <t>Mon, 19 Jan 2026 18:05:51 GMT</t>
  </si>
  <si>
    <t>https://salesxceleration.com/author/salesxceleration/</t>
  </si>
  <si>
    <t>Sales Xceleration Team</t>
  </si>
  <si>
    <t>Sales Xceleration Team, Author at Sales Xceleration</t>
  </si>
  <si>
    <t>https://salesxceleration.com/author/salesxceleration/page/2/</t>
  </si>
  <si>
    <t>c63beb7fd98c835b95bbea88ace60e12</t>
  </si>
  <si>
    <t>Server responds quickly (observed 393 ms)</t>
  </si>
  <si>
    <t>https://salesxceleration.com/wp-content/uploads/elementor/css/post-71610.css?ver=1768846233</t>
  </si>
  <si>
    <t>Mon, 19 Jan 2026 18:10:33 GMT</t>
  </si>
  <si>
    <t>https://salesxceleration.com/wp-content/uploads/elementor/thumbs/Team_Main-Header-2-qsxzye0cqu1dtlgk2k7eho18f5iyjfwy15n1ejydos.jpg</t>
  </si>
  <si>
    <t>Tue, 28 Oct 2025 18:42:17 GMT</t>
  </si>
  <si>
    <t>https://salesxceleration.com/wp-content/uploads/2014/12/two-things-you-must-do-after-your-prospect-agrees-to-meet-with-you-11.jpg</t>
  </si>
  <si>
    <t>Mon, 03 Jan 2022 15:27:56 GMT</t>
  </si>
  <si>
    <t>https://salesxceleration.com/wp-content/themes/salesxceleratione/assets/css/style.css?ver=1769123332</t>
  </si>
  <si>
    <t>Thu, 22 Jan 2026 23:11:30 GMT</t>
  </si>
  <si>
    <t>https://salesxceleration.com/wp-content/uploads/elementor/css/post-70364.css?ver=1768846661</t>
  </si>
  <si>
    <t>Mon, 19 Jan 2026 18:17:41 GMT</t>
  </si>
  <si>
    <t>https://salesxceleration.com/wp-content/uploads/2025/03/Case-Study_5-Million-Dollar-Turnaround.jpg</t>
  </si>
  <si>
    <t>Wed, 12 Mar 2025 11:34:46 GMT</t>
  </si>
  <si>
    <t>https://salesxceleration.com/wp-content/themes/salesxceleratione/assets/css/style.css?ver=1769123334</t>
  </si>
  <si>
    <t>https://salesxceleration.com/wp-content/uploads/2025/03/Case-Study_25x-Return-On-Investment-In-One-Year.jpg</t>
  </si>
  <si>
    <t>Wed, 12 Mar 2025 11:34:50 GMT</t>
  </si>
  <si>
    <t>https://salesxceleration.com/wp-content/uploads/elementor/css/post-67701.css?ver=1768848925</t>
  </si>
  <si>
    <t>Mon, 19 Jan 2026 18:55:25 GMT</t>
  </si>
  <si>
    <t>https://salesxceleration.com/wp-content/uploads/elementor/css/post-21226.css?ver=1768846518</t>
  </si>
  <si>
    <t>Mon, 19 Jan 2026 18:15:18 GMT</t>
  </si>
  <si>
    <t>https://salesxceleration.com/wp-content/uploads/elementor/css/post-21058.css?ver=1768847224</t>
  </si>
  <si>
    <t>Mon, 19 Jan 2026 18:27:04 GMT</t>
  </si>
  <si>
    <t>https://salesxceleration.com/wp-content/themes/salesxceleratione/assets/css/style.css?ver=1769123336</t>
  </si>
  <si>
    <t>Thu, 22 Jan 2026 23:11:33 GMT</t>
  </si>
  <si>
    <t>https://salesxceleration.com/wp-content/uploads/2023/02/Solving-Gaps-in-Sales-Infrastructure-and-Processes.jpg</t>
  </si>
  <si>
    <t>Tue, 28 Feb 2023 21:04:19 GMT</t>
  </si>
  <si>
    <t>Investment Profile and Challenges</t>
  </si>
  <si>
    <t>$5M Turnaround: Inside Sales Xceleration's Sales Growth Strategy</t>
  </si>
  <si>
    <t>Portfolio Company Challenges</t>
  </si>
  <si>
    <t>Technology Manufacturing: $5M Turnaround: Inside Sales Xceleration's Sales Growth Strategy | Sales Xceleration</t>
  </si>
  <si>
    <t>MANUFACTURING TECHNOLOGY CASE STUDY </t>
  </si>
  <si>
    <t>1a24f4d46cf72c9d74818291dcbbd6f</t>
  </si>
  <si>
    <t>Company Profile and Challenges</t>
  </si>
  <si>
    <t>25x Return On Investment In One Year: How Sales Xceleration Increased Value</t>
  </si>
  <si>
    <t>Platform/Portfolio Company Challenges</t>
  </si>
  <si>
    <t>Healthcare-Managed Services: 25x Return On Investment In One Year: How Sales Xceleration Increased Value | Sales Xceleration</t>
  </si>
  <si>
    <t>Healthcare-Managed Services Case Study</t>
  </si>
  <si>
    <t>647e33090b12bd941134478f44975cea</t>
  </si>
  <si>
    <t>https://salesxceleration.com/wp-content/uploads/2019/11/construction-thumb.jpg</t>
  </si>
  <si>
    <t>Mon, 03 Jan 2022 14:56:22 GMT</t>
  </si>
  <si>
    <t>https://salesxceleration.com/case-study/recruiting/</t>
  </si>
  <si>
    <t>Recruiting Staffing Services: Focusing on Sales to Diversify Client Base</t>
  </si>
  <si>
    <t>Case Study: Recruiting Company Lands $1.5M Client with 3-Year Contract</t>
  </si>
  <si>
    <t>With only 4% growth, disorganized operations, and limited marketing, a recruiting company partnered with an Outsourced VP of Sales to secure a major three-year contract.</t>
  </si>
  <si>
    <t>8c6dd51a7180778ecb1c09059ca260</t>
  </si>
  <si>
    <t>https://salesxceleration.com/case-study/hand-held-test-equipment-manufacturer/</t>
  </si>
  <si>
    <t>Equipment Manufacturing: Streamlining Processes to Accomplish Forecast Accuracy</t>
  </si>
  <si>
    <t>Sales Case Study: Equipment Manufacturing: Streamlining Processes to Accomplish Forecast Accuracy | Sales Xceleration</t>
  </si>
  <si>
    <t>$2 million increase in revenue and hitthe sales forecast for the first time in over two years.</t>
  </si>
  <si>
    <t>4f8a7b106c5aee031e24b8343ee58d10</t>
  </si>
  <si>
    <t>https://salesxceleration.com/case-study/hvac/</t>
  </si>
  <si>
    <t>Heating and Cooling: Increased Growth &amp; Reducing the Sales Cycle to Improve Performance</t>
  </si>
  <si>
    <t>Sales Case Study: Heating and Cooling: Increased Growth &amp; Reducing the Sales Cycle to Improve Performance | Sales Xceleration</t>
  </si>
  <si>
    <t>Experienced a 6% increase in revenue growth over the course of the year, which is double the industry average.</t>
  </si>
  <si>
    <t>8d188371ff96c6a8f4be398f4c8d1af5</t>
  </si>
  <si>
    <t>https://salesxceleration.com/wp-content/uploads/2019/11/payroll-thumb.jpg</t>
  </si>
  <si>
    <t>Mon, 03 Jan 2022 14:55:33 GMT</t>
  </si>
  <si>
    <t>https://salesxceleration.com/wp-content/uploads/2024/06/Improving-Sales-Infrastructure-for-Long-Term-Success.jpg</t>
  </si>
  <si>
    <t>Tue, 11 Jun 2024 11:40:50 GMT</t>
  </si>
  <si>
    <t>https://salesxceleration.com/case-study/air-purification-systems-company/</t>
  </si>
  <si>
    <t>Air Purification Systems: Building Sales Infrastructure to Expand into a New Channel</t>
  </si>
  <si>
    <t>Sales Case Study: Air Purification Systems: Building Sales Infrastructure to Expand into a New Channel | Sales Xceleration</t>
  </si>
  <si>
    <t>See how Sales Xceleration helped an air purification systems company enhance sales strategies, streamline processes, and achieve business growth.</t>
  </si>
  <si>
    <t>efed92e79815b13e9686b10013ce7058</t>
  </si>
  <si>
    <t>https://salesxceleration.com/wp-content/uploads/2022/03/Case-Study_Professional-Services_JL_SX-1-thumb.jpg</t>
  </si>
  <si>
    <t>Wed, 09 Mar 2022 18:22:01 GMT</t>
  </si>
  <si>
    <t>https://salesxceleration.com/wp-content/uploads/2019/11/healthcare-thumb.jpg</t>
  </si>
  <si>
    <t>Mon, 03 Jan 2022 14:55:38 GMT</t>
  </si>
  <si>
    <t>https://salesxceleration.com/wp-content/uploads/2023/08/Driving-Sales-Efficiency-Through-Strategic-Transformation-Manufacturing-Case-Study_Cover-Image.jpg</t>
  </si>
  <si>
    <t>Mon, 28 Aug 2023 20:52:03 GMT</t>
  </si>
  <si>
    <t>https://salesxceleration.com/case-study/food-agriculture-company/</t>
  </si>
  <si>
    <t>Food &amp; Agriculture: From Declining Sales to Exceeding Revenue Growth</t>
  </si>
  <si>
    <t>Sales Case Study: Food &amp; Agriculture: From Declining Sales to Exceeding Revenue Growth | Sales Xceleration</t>
  </si>
  <si>
    <t>See how Sales Xceleration helped a food and agriculture company optimize sales strategies, driving significant growth and overcoming industry challenges.</t>
  </si>
  <si>
    <t>26ea259bd14d8894ae4d461962f66165</t>
  </si>
  <si>
    <t>https://salesxceleration.com/wp-content/uploads/2019/03/tech-case-study1.jpg</t>
  </si>
  <si>
    <t>Fri, 12 Nov 2021 16:02:46 GMT</t>
  </si>
  <si>
    <t>https://salesxceleration.com/wp-content/uploads/2025/07/Driving-25-Higher-Topline-Revenue-for-a-Compostable-Packaging-Company-300x172.jpg</t>
  </si>
  <si>
    <t>Fri, 11 Jul 2025 14:05:19 GMT</t>
  </si>
  <si>
    <t>https://salesxceleration.com/wp-content/uploads/2019/10/food-thumb.jpg</t>
  </si>
  <si>
    <t>Mon, 03 Jan 2022 14:54:51 GMT</t>
  </si>
  <si>
    <t>https://salesxceleration.com/wp-content/uploads/2021/02/case-study-jp-thumb.jpg</t>
  </si>
  <si>
    <t>Fri, 12 Nov 2021 15:52:48 GMT</t>
  </si>
  <si>
    <t>https://salesxceleration.com/wp-content/uploads/2019/10/thumb-recruiting-cs.jpg</t>
  </si>
  <si>
    <t>Mon, 03 Jan 2022 14:44:55 GMT</t>
  </si>
  <si>
    <t>https://salesxceleration.com/case-study/medical-interpretation-and-language-translation-company/</t>
  </si>
  <si>
    <t>Medical Interpretation and Language Translation: Utilizing a Fractional VP of Sales to Establish Sales Best Practices</t>
  </si>
  <si>
    <t>Sales Case Study: Medical Interpretation and Language Translation: Utilizing a Fractional VP of Sales to Establish Sales Best Practices | Sales Xceleration</t>
  </si>
  <si>
    <t>Linguava, a medical interpretation and language translation company in business for 11 years with 27 employees in addition to interpreters (1099), had an</t>
  </si>
  <si>
    <t>b698a9183eea3b56e491bff98d0969c4</t>
  </si>
  <si>
    <t>Server responds quickly (observed 194 ms)</t>
  </si>
  <si>
    <t>https://salesxceleration.com/wp-content/uploads/2022/05/thumb-Case-Study_Construction-Paving_SX-1.jpg</t>
  </si>
  <si>
    <t>Mon, 09 May 2022 19:22:48 GMT</t>
  </si>
  <si>
    <t>https://salesxceleration.com/case-study/marketing/</t>
  </si>
  <si>
    <t>Corporate Promotions Marketing: Generating New Revenue</t>
  </si>
  <si>
    <t>Sales Case Study: Corporate Promotions Marketing: Generating New Revenue | Sales Xceleration</t>
  </si>
  <si>
    <t>Find out how Sales Xceleration helped a marketing client build a $2.2M pipeline and over 150 new sales opportunities.</t>
  </si>
  <si>
    <t>10925100f26ccc33e6ffd93b151106fd</t>
  </si>
  <si>
    <t>https://salesxceleration.com/wp-content/uploads/2019/10/pr-case-study-thumb.jpg</t>
  </si>
  <si>
    <t>Mon, 03 Jan 2022 14:56:39 GMT</t>
  </si>
  <si>
    <t>https://salesxceleration.com/wp-content/uploads/2021/10/Calibration_Manufacturing.jpg</t>
  </si>
  <si>
    <t>Mon, 03 Jan 2022 14:10:32 GMT</t>
  </si>
  <si>
    <t>https://salesxceleration.com/wp-content/uploads/2024/11/Internet-Service-Provider-Improving-Close-Rates-to-44.jpg</t>
  </si>
  <si>
    <t>Tue, 12 Nov 2024 21:10:07 GMT</t>
  </si>
  <si>
    <t>https://salesxceleration.com/wp-content/uploads/2020/09/cs-hvac-full-1.jpg</t>
  </si>
  <si>
    <t>Fri, 12 Nov 2021 16:05:20 GMT</t>
  </si>
  <si>
    <t>https://salesxceleration.com/case-study/commercial-and-residential-paving/</t>
  </si>
  <si>
    <t>Commercial and Residential Paving: Driving Growth With a Disciplined Sales Process</t>
  </si>
  <si>
    <t>Sales Case Study: Commercial and Residential Paving: Driving Growth With a Disciplined Sales Process | Sales Xceleration</t>
  </si>
  <si>
    <t>In business for 38 years, a commercial and residential paving company with 32 employees had been operating on EOS, the Entrepreneurial Operating System® for a</t>
  </si>
  <si>
    <t>7bbd3d460afe6fc2075aac52032ba0ec</t>
  </si>
  <si>
    <t>https://salesxceleration.com/wp-content/uploads/2025/07/Early-Education-Thumbnail-300x172.jpg</t>
  </si>
  <si>
    <t>Mon, 28 Jul 2025 19:54:20 GMT</t>
  </si>
  <si>
    <t>https://salesxceleration.com/case-study/calibration-manufacturing-company/</t>
  </si>
  <si>
    <t>Calibration Manufacturing: Establishing Sales Processes to Turn a Company Around</t>
  </si>
  <si>
    <t>Sales Case Study: Calibration Manufacturing: Establishing Sales Processes to Turn a Company Around | Sales Xceleration</t>
  </si>
  <si>
    <t>A $1.8 million calibration company, in business for twelve years, had declined from a $3.4 million revenue company a few years prior. The owner recognized he</t>
  </si>
  <si>
    <t>b2537ea0646ae4f318eae02960646ec3</t>
  </si>
  <si>
    <t>https://salesxceleration.com/wp-content/uploads/2019/03/manufacturing-case-study1.jpg</t>
  </si>
  <si>
    <t>Mon, 03 Jan 2022 15:03:28 GMT</t>
  </si>
  <si>
    <t>https://salesxceleration.com/wp-content/uploads/2019/07/cs-finance.jpg</t>
  </si>
  <si>
    <t>Fri, 12 Nov 2021 16:03:17 GMT</t>
  </si>
  <si>
    <t>https://salesxceleration.com/case-study/residential-wall-manufacturer/</t>
  </si>
  <si>
    <t>Residential Wall Manufacturer: Identifying Ideal Client Profile Leads to Major Deal</t>
  </si>
  <si>
    <t>Sales Case Study: Residential Wall Manufacturer: Identifying Ideal Client Profile Leads to Major Deal | Sales Xceleration</t>
  </si>
  <si>
    <t>Guided company through identification and negotiations with a significant client that ended with a multi-year contract worth $7-10M per year.</t>
  </si>
  <si>
    <t>845c575209823a9cefc599379c3a841e</t>
  </si>
  <si>
    <t>https://salesxceleration.com/wp-content/uploads/elementor/css/post-19072.css?ver=1768856938</t>
  </si>
  <si>
    <t>Mon, 19 Jan 2026 21:08:58 GMT</t>
  </si>
  <si>
    <t>https://salesxceleration.com/wp-content/uploads/2019/12/streamline-manu-thumb.jpg</t>
  </si>
  <si>
    <t>Mon, 03 Jan 2022 14:54:55 GMT</t>
  </si>
  <si>
    <t>https://salesxceleration.com/case-study/hand-crafted-brick-oven-manufacturer/</t>
  </si>
  <si>
    <t>Brick Oven Manufacturer: Record-Breaking Revenue Achieved by Strengthening Sales Processes</t>
  </si>
  <si>
    <t>Sales Case Study: Brick Oven Manufacturer: Record-Breaking Revenue Achieved by Strengthening Sales Processes | Sales Xceleration</t>
  </si>
  <si>
    <t>Explore how Sales Xceleration helped a brick oven manufacturer streamline sales, optimize processes, and drive revenue growth with expert leadership.</t>
  </si>
  <si>
    <t>28ca8610bc5cb4e470c122bf22864bb5</t>
  </si>
  <si>
    <t>https://salesxceleration.com/wp-content/uploads/2019/10/hvac-thumbnail.jpg</t>
  </si>
  <si>
    <t>Mon, 03 Jan 2022 14:56:36 GMT</t>
  </si>
  <si>
    <t>https://salesxceleration.com/wp-content/uploads/2021/10/Metal-Fab.jpg</t>
  </si>
  <si>
    <t>Mon, 03 Jan 2022 14:10:31 GMT</t>
  </si>
  <si>
    <t>https://salesxceleration.com/case-study/peo-payroll/</t>
  </si>
  <si>
    <t>PEO/Payroll: Building the Right Sales Team to Drive Results</t>
  </si>
  <si>
    <t>Case Study: PEO/Payroll Company Boosts Revenue by 37% with New Sales Team</t>
  </si>
  <si>
    <t>Facing a nonexistent sales process and recent turnover, a payroll company partnered with an Outsourced VP of Sales to build a team, growing the sales funnel by 22% and increasing gross revenue by 37%.</t>
  </si>
  <si>
    <t>e1368316b9092df13f430528d57f5011</t>
  </si>
  <si>
    <t>https://salesxceleration.com/case-study/promotional-products-marketing/</t>
  </si>
  <si>
    <t>Promotional Product Marketing: Improving Profitability &amp; Forecasted Revenue Accuracy</t>
  </si>
  <si>
    <t>Sales Case Study: Promotional Product Marketing: Improving Profitability &amp; Forecasted Revenue Accuracy | Sales Xceleration</t>
  </si>
  <si>
    <t>Sales profitability improved by 8%and total forecasted revenue increasedby 30%</t>
  </si>
  <si>
    <t>e7a122b7105364f21e9371aa19357cf8</t>
  </si>
  <si>
    <t>https://salesxceleration.com/wp-content/uploads/2019/12/manu-case-thumb.jpg</t>
  </si>
  <si>
    <t>Mon, 03 Jan 2022 14:55:02 GMT</t>
  </si>
  <si>
    <t>https://salesxceleration.com/wp-content/uploads/2019/11/healthcare-thumb-1.jpg</t>
  </si>
  <si>
    <t>Mon, 03 Jan 2022 14:55:28 GMT</t>
  </si>
  <si>
    <t>Technology: Learning to Build a True Sales Organization</t>
  </si>
  <si>
    <t>Sales Case Study: Technology: Learning to Build a True Sales Organization | Sales Xceleration</t>
  </si>
  <si>
    <t>Find out how Sales Xceleration was able to help one of our technology clients grow sales by 50% year-over-year in 12 months.</t>
  </si>
  <si>
    <t>fa372994c2b16e9b27ea1d7c14cd5bd0</t>
  </si>
  <si>
    <t>https://salesxceleration.com/case-study/finance/</t>
  </si>
  <si>
    <t>Finance: Creating a Positive Work Environment Through Refined Sales Processes</t>
  </si>
  <si>
    <t>Sales Case Study: Finance: Creating a Positive Work Environment Through Refined Sales Processes | Sales Xceleration</t>
  </si>
  <si>
    <t>Learn how a Sales Xceleration Consultant was able to increase revenue by 20% and create a positive work environment for a company in the banking industry.</t>
  </si>
  <si>
    <t>c300f743a76c2b05cdcd36e19f2399c</t>
  </si>
  <si>
    <t>https://salesxceleration.com/case-study/specialty-electrical-component-distributor/</t>
  </si>
  <si>
    <t>Specialty Electrical Component Distributor: Aligning Management with Sales to Reduce Costs</t>
  </si>
  <si>
    <t>Sales Case Study: Specialty Electrical Component Distributor: Aligning Management with Sales to Reduce Costs | Sales Xceleration</t>
  </si>
  <si>
    <t>Learn how Sales Xceleration helped a specialty electrical component distributor improve sales processes, boost efficiency, and achieve measurable growth.</t>
  </si>
  <si>
    <t>8982a3c3490e273fe5205b74b97309b9</t>
  </si>
  <si>
    <t>Server responds quickly (observed 307 ms)</t>
  </si>
  <si>
    <t>https://salesxceleration.com/wp-content/uploads/2022/08/Developing-a-Go-to-Market-Strategy-for-Unparalleled-Success-Manufacturing-Case-Study-Thumbnail.jpg</t>
  </si>
  <si>
    <t>Fri, 02 Sep 2022 14:29:29 GMT</t>
  </si>
  <si>
    <t>https://salesxceleration.com/wp-content/uploads/2024/09/Plastic-Manufacturing-22-Sales-Growth-Achieved-with-Expert-Sales-Leadership-Cover.jpg</t>
  </si>
  <si>
    <t>Tue, 03 Sep 2024 21:10:11 GMT</t>
  </si>
  <si>
    <t>https://salesxceleration.com/case-study/marketing-growth/</t>
  </si>
  <si>
    <t>Marketing Consultancy: A Sales Plateau Converted to $4 Million in Growth</t>
  </si>
  <si>
    <t>Sales Case Study: Marketing Consultancy: A Sales Plateau Converted to $4 Million in Growth | Sales Xceleration</t>
  </si>
  <si>
    <t>Built an achievable sales plan that outlined how to grow sales by $4M.</t>
  </si>
  <si>
    <t>82f13d92ee3cf1904180986f48d73c7c</t>
  </si>
  <si>
    <t>https://salesxceleration.com/wp-content/uploads/2020/09/cs-distrib-full-1.jpg</t>
  </si>
  <si>
    <t>Mon, 03 Jan 2022 14:48:39 GMT</t>
  </si>
  <si>
    <t>https://salesxceleration.com/case-study/full-service-marketing-agency/</t>
  </si>
  <si>
    <t>Full-Service Marketing Agency: Developing a Sales Management Cadence that Grows Revenue</t>
  </si>
  <si>
    <t>Sales Case Study: Full-Service Marketing Agency: Developing a Sales Management Cadence that Grows Revenue | Sales Xceleration</t>
  </si>
  <si>
    <t>Grew revenue more than 100% in the first year.</t>
  </si>
  <si>
    <t>8b2a9b11d5faf295afa0cd8412ab1683</t>
  </si>
  <si>
    <t>https://salesxceleration.com/wp-content/uploads/2021/02/thumb-mfg-cs.jpg</t>
  </si>
  <si>
    <t>Mon, 03 Jan 2022 14:44:54 GMT</t>
  </si>
  <si>
    <t>https://salesxceleration.com/case-study/alarm-and-security/</t>
  </si>
  <si>
    <t>Alarm and Security: Generating Growth with a Defined Sales Process</t>
  </si>
  <si>
    <t>Sales Case Study: Alarm and Security: Generating Growth with a Defined Sales Process | Sales Xceleration</t>
  </si>
  <si>
    <t>A nine employee, third-generation family-owned safety and security company, had become stagnant and lacked a clear sales process. New family leadership sought</t>
  </si>
  <si>
    <t>6cb4255b7ad361e26eb0a1c3e9ea9eae</t>
  </si>
  <si>
    <t>https://salesxceleration.com/wp-content/uploads/2020/02/foodagthumb.jpg</t>
  </si>
  <si>
    <t>Mon, 03 Jan 2022 14:54:07 GMT</t>
  </si>
  <si>
    <t>https://salesxceleration.com/case-study/logistics/</t>
  </si>
  <si>
    <t>Logistics: Defining a Sales Story to Help Drive Revenue Results</t>
  </si>
  <si>
    <t>Case Study: Logistics Service Company Secures 9 New Accounts in 3 Months</t>
  </si>
  <si>
    <t>With no defined sales story, unskilled GMs leading sales, and underutilized CRM tools, a logistics service company transformed operations to secure rapid growth.</t>
  </si>
  <si>
    <t>e73f9e3bde0fe012417295dd45b69949</t>
  </si>
  <si>
    <t>https://salesxceleration.com/wp-content/uploads/2022/06/thumb-Case-Study_Security_SX-1.jpg</t>
  </si>
  <si>
    <t>Tue, 07 Jun 2022 20:23:06 GMT</t>
  </si>
  <si>
    <t>https://salesxceleration.com/wp-content/uploads/2020/01/tech-thumb.jpg</t>
  </si>
  <si>
    <t>Mon, 03 Jan 2022 14:54:54 GMT</t>
  </si>
  <si>
    <t>https://salesxceleration.com/wp-content/uploads/2019/03/marketing-case-study1.jpg</t>
  </si>
  <si>
    <t>Mon, 03 Jan 2022 15:03:29 GMT</t>
  </si>
  <si>
    <t>https://salesxceleration.com/case-study/driving-sales-efficiency-through-strategic-transformation/</t>
  </si>
  <si>
    <t>Equipment Manufacturing: Driving Sales Efficiency Through Strategic Transformation</t>
  </si>
  <si>
    <t>Sales Case Study: Equipment Manufacturing: Driving Sales Efficiency Through Strategic Transformation | Sales Xceleration</t>
  </si>
  <si>
    <t>A seven-year-old Cannabis Extraction Equipment company in the manufacturing industry enlisted the help of an Outsourced VP of Sales (OVPS) to address</t>
  </si>
  <si>
    <t>34ac26fc7ef99cdec1d141afb689b560</t>
  </si>
  <si>
    <t>https://salesxceleration.com/wp-content/uploads/2022/05/thumb-Case-Study_Food-Industry_SX-1.jpg</t>
  </si>
  <si>
    <t>Mon, 02 May 2022 18:24:22 GMT</t>
  </si>
  <si>
    <t>https://salesxceleration.com/wp-content/uploads/2021/04/Case-Study_Manufacturing_SX_041221-1.jpg</t>
  </si>
  <si>
    <t>Mon, 03 Jan 2022 14:39:11 GMT</t>
  </si>
  <si>
    <t>https://salesxceleration.com/wp-content/uploads/2021/02/case-study-sx1-thumb.jpg</t>
  </si>
  <si>
    <t>Fri, 12 Nov 2021 15:52:47 GMT</t>
  </si>
  <si>
    <t>https://salesxceleration.com/case-study/public-relations/</t>
  </si>
  <si>
    <t>Public Affairs: Building a Pipeline to Drive Growth</t>
  </si>
  <si>
    <t>Sales Case Study: Public Affairs: Building a Pipeline to Drive Growth | Sales Xceleration</t>
  </si>
  <si>
    <t>The previous year’s total revenue wasattained by the end of the second quarter.</t>
  </si>
  <si>
    <t>41f78c1fcc6d8e4282d7a6e08693b1bf</t>
  </si>
  <si>
    <t>https://salesxceleration.com/case-study/construction-manufacturing-2/</t>
  </si>
  <si>
    <t>Construction Manufacturing: Turning Flat/Declining Sales Profitable</t>
  </si>
  <si>
    <t>Case Study: Manufacturing | Sales Xceleration</t>
  </si>
  <si>
    <t>Revenue growth of 6.2% YOY in a mature category</t>
  </si>
  <si>
    <t>93220bac868d271e2fa7f39786d1ec99</t>
  </si>
  <si>
    <t>https://salesxceleration.com/case-study/construction/</t>
  </si>
  <si>
    <t>Construction: Setting Sales Records by Creating a Defined Sales Structure</t>
  </si>
  <si>
    <t>Sales Case Study: Construction: Setting Sales Records by Creating a Defined Sales Structure | Sales Xceleration</t>
  </si>
  <si>
    <t>The company set a sales record in its first full quarter of implementation. Projected $3 million dollar increase over the next three years.</t>
  </si>
  <si>
    <t>bde3dfd75d336e7858cb5bcb91c6ab92</t>
  </si>
  <si>
    <t>https://salesxceleration.com/case-study/early-education-transforming-sales-success-with-18-year-over-year-revenue-growth/</t>
  </si>
  <si>
    <t>Early Education: Transforming Sales Success with 18% Year-Over-Year Revenue Growth</t>
  </si>
  <si>
    <t>Sales Case Study: Early Education: Transforming Sales Success with 18% Year-Over-Year Revenue Growth | Sales Xceleration</t>
  </si>
  <si>
    <t>A leading preschool network with over 20 years of experience faced significant hurdles in their sales operations. Despite their robust reputation and strong</t>
  </si>
  <si>
    <t>17055acaba38c85ab98c2a97a3be5069</t>
  </si>
  <si>
    <t>https://salesxceleration.com/case-study/developing-a-go-to-market-strategy-for-unparalleled-success/</t>
  </si>
  <si>
    <t>Consumer Packaged Goods: Developing a Go-to-Market Strategy for Unparalleled Success</t>
  </si>
  <si>
    <t>Case Study: Contract Manufacturer Builds CPG Sales Strategy for $1.5M</t>
  </si>
  <si>
    <t>Learn how a contract manufacturer partnered with an Outsourced VP of Sales to launch a CPG product line, generating $1.5M revenue and a $4M backlog in year one.</t>
  </si>
  <si>
    <t>ccacac3b940ca22d389690effb4212d0</t>
  </si>
  <si>
    <t>https://salesxceleration.com/case-study/intelligence-power-modules/</t>
  </si>
  <si>
    <t>Intelligence Power Modules: Building Infrastructure to Improve Sales Funnel Conversion</t>
  </si>
  <si>
    <t>Sales Case Study: Intelligence Power Modules: Building Infrastructure to Improve Sales Funnel Conversion | Sales Xceleration</t>
  </si>
  <si>
    <t>A new 1.5 Million client was closed with a three-year contract.</t>
  </si>
  <si>
    <t>a764c1726fb6a55645962562ec2bd011</t>
  </si>
  <si>
    <t>https://salesxceleration.com/wp-content/uploads/2021/01/thumb-tech-case-study.jpg</t>
  </si>
  <si>
    <t>Mon, 03 Jan 2022 14:45:24 GMT</t>
  </si>
  <si>
    <t>https://salesxceleration.com/case-study/software-technology-company/</t>
  </si>
  <si>
    <t>Software Technology: Revamping a Sales Structure to Grow Revenue</t>
  </si>
  <si>
    <t>Sales Case Study: Software Technology: Revamping a Sales Structure to Grow Revenue | Sales Xceleration</t>
  </si>
  <si>
    <t>Learn how Sales Xceleration helped a software technology firm scale by optimizing sales processes and implementing tailored strategies for business growth.</t>
  </si>
  <si>
    <t>4544e726853111522a7c58211c15ca01</t>
  </si>
  <si>
    <t>https://salesxceleration.com/case-study/office-supply-furniture-company/</t>
  </si>
  <si>
    <t>Office Supply/Furniture: Creating a Sales Infrastructure Leading to Increased Revenue</t>
  </si>
  <si>
    <t>Sales Case Study: Office Supply/Furniture: Creating a Sales Infrastructure Leading to Increased Revenue | Sales Xceleration</t>
  </si>
  <si>
    <t>Increased sales by 31% over the previous year &amp; decreased spending by 19% over the previous year.</t>
  </si>
  <si>
    <t>4a94a56157474d18b8038b477d5c9ea3</t>
  </si>
  <si>
    <t>https://salesxceleration.com/case-study/honey-and-sweetener-distributor/</t>
  </si>
  <si>
    <t>Honey and Sweetener Distributor: Reducing and Reorganizing Sales Staff for Significant Cost Reduction</t>
  </si>
  <si>
    <t>Sales Case Study: Honey and Sweetener Distributor: Reducing and Reorganizing Sales Staff for Significant Cost Reduction | Sales Xceleration</t>
  </si>
  <si>
    <t>Complete reorganization of sales staff, resulting in a necessary 30% reduction in staff and significant cost  reduction for the business.</t>
  </si>
  <si>
    <t>d0493cb11c40fe039bd9b261c2effa58</t>
  </si>
  <si>
    <t>https://salesxceleration.com/wp-content/uploads/2024/07/Aerospace-Manufacturing-Thumbnail.jpg</t>
  </si>
  <si>
    <t>Mon, 22 Jul 2024 15:17:25 GMT</t>
  </si>
  <si>
    <t>https://salesxceleration.com/wp-content/uploads/2021/07/thumb-Case-Study_Manufacturing_Grew-6.jpg</t>
  </si>
  <si>
    <t>Mon, 03 Jan 2022 14:35:45 GMT</t>
  </si>
  <si>
    <t>https://salesxceleration.com/wp-content/uploads/2019/03/Case_Study_Manufacturing-thumb.jpg</t>
  </si>
  <si>
    <t>Mon, 03 Jan 2022 14:55:09 GMT</t>
  </si>
  <si>
    <t>https://salesxceleration.com/case-study/lab-equipment-microbiology-technology-company/</t>
  </si>
  <si>
    <t>Lab Equipment/Microbiology: Building a Field Sales Strategy to Attain Growth</t>
  </si>
  <si>
    <t>Sales Case Study: Lab Equipment/Microbiology: Building a Field Sales Strategy to Attain Growth | Sales Xceleration</t>
  </si>
  <si>
    <t>See how Sales Xceleration supported a microbiology tech company in scaling sales through tailored strategies, improved processes, and expert sales leadership.</t>
  </si>
  <si>
    <t>c0678673becb89b1860bd603064f06d1</t>
  </si>
  <si>
    <t>https://salesxceleration.com/case-study/construction-services/</t>
  </si>
  <si>
    <t>Construction Services: From Sales Uncertainty to Revenue Growth &amp; Increased Team Morale</t>
  </si>
  <si>
    <t>Client Overview</t>
  </si>
  <si>
    <t>Sales Case Study: Construction Services: From Sales Uncertainty to Revenue Growth &amp; Increased Team Morale | Sales Xceleration</t>
  </si>
  <si>
    <t>Increased revenue by $2.5 million.Sales team members expressed anincreased morale changing theirratings from Poor to Excellent.</t>
  </si>
  <si>
    <t>ca25a50e5ac446e7a6993b7453de2e53</t>
  </si>
  <si>
    <t>https://salesxceleration.com/wp-content/uploads/2019/11/retail-thumb.jpg</t>
  </si>
  <si>
    <t>Fri, 12 Nov 2021 16:04:01 GMT</t>
  </si>
  <si>
    <t>https://salesxceleration.com/wp-content/uploads/2019/05/case-study-thumb.jpg</t>
  </si>
  <si>
    <t>Mon, 03 Jan 2022 14:56:10 GMT</t>
  </si>
  <si>
    <t>https://salesxceleration.com/wp-content/uploads/2020/01/turning-flat-thumb.jpg</t>
  </si>
  <si>
    <t>Mon, 03 Jan 2022 14:54:50 GMT</t>
  </si>
  <si>
    <t>https://salesxceleration.com/wp-content/uploads/2022/03/Case-Study_Healthcare_SX-1-thumb.jpg</t>
  </si>
  <si>
    <t>Wed, 09 Mar 2022 18:21:57 GMT</t>
  </si>
  <si>
    <t>https://salesxceleration.com/wp-content/uploads/2024/06/Building-a-Future-Proof-Sales-Infrastructure-Thumbnail.jpg</t>
  </si>
  <si>
    <t>Thu, 27 Jun 2024 11:17:28 GMT</t>
  </si>
  <si>
    <t>https://salesxceleration.com/wp-content/uploads/2020/01/manu_thumbnail.jpg</t>
  </si>
  <si>
    <t>Fri, 12 Nov 2021 16:04:29 GMT</t>
  </si>
  <si>
    <t>https://salesxceleration.com/case-study/metal-fabrication-manufacturing/</t>
  </si>
  <si>
    <t>Metal Fabrication: Implementing Processes to Increase the Pipeline and Quickly Grow Revenue</t>
  </si>
  <si>
    <t>Sales Case Study: Metal Fabrication: Implementing Processes to Increase the Pipeline and Quickly Grow Revenue | Sales Xceleration</t>
  </si>
  <si>
    <t>A $6 million metal fabrication company, in business for 23 years, had static revenue generation for the past several years with a small percentage of</t>
  </si>
  <si>
    <t>e081be748b94aa77e834f2b0b27827c5</t>
  </si>
  <si>
    <t>https://salesxceleration.com/wp-content/uploads/2019/11/marketing-thumb.jpg</t>
  </si>
  <si>
    <t>Mon, 03 Jan 2022 14:55:43 GMT</t>
  </si>
  <si>
    <t>https://salesxceleration.com/wp-content/uploads/2022/05/thumb-Case-Study_Construction_SX-1.jpg</t>
  </si>
  <si>
    <t>Wed, 04 May 2022 20:24:51 GMT</t>
  </si>
  <si>
    <t>https://salesxceleration.com/wp-content/uploads/2019/07/2019-07-18_161018.jpg</t>
  </si>
  <si>
    <t>Mon, 03 Jan 2022 14:59:22 GMT</t>
  </si>
  <si>
    <t>https://salesxceleration.com/wp-content/uploads/2019/11/payroll-thumb-2048x2048.jpg</t>
  </si>
  <si>
    <t>Fri, 28 Mar 2025 20:17:56 GMT</t>
  </si>
  <si>
    <t>https://salesxceleration.com/wp-content/uploads/2024/04/Puzzle.svg</t>
  </si>
  <si>
    <t>Thu, 02 May 2024 13:08:27 GMT</t>
  </si>
  <si>
    <t>https://salesxceleration.com/wp-content/uploads/2024/04/Mag-Glass.svg</t>
  </si>
  <si>
    <t>Thu, 02 May 2024 13:08:26 GMT</t>
  </si>
  <si>
    <t>https://salesxceleration.com/wp-content/uploads/2024/04/Revitalizing-Sales-Strategy-for-Sustained-Growth-Human-Resources-Case-Study.pdf</t>
  </si>
  <si>
    <t>Revitalizing Sales Strategy for Sustained Growth: Human Resources Case Study (Jeff Clair)</t>
  </si>
  <si>
    <t>DAGB8Fq2g-k,BAC_OTujW9M</t>
  </si>
  <si>
    <t>Fri, 19 Apr 2024 19:48:18 GMT</t>
  </si>
  <si>
    <t>https://salesxceleration.com/wp-content/themes/salesxceleratione/assets/css/style.css?ver=1769123338</t>
  </si>
  <si>
    <t>Thu, 22 Jan 2026 23:11:45 GMT</t>
  </si>
  <si>
    <t>https://salesxceleration.com/wp-content/uploads/2024/04/Light-Bulb.svg</t>
  </si>
  <si>
    <t>Thu, 02 May 2024 13:08:28 GMT</t>
  </si>
  <si>
    <t>https://salesxceleration.com/wp-content/uploads/elementor/css/post-35036.css?ver=1768872586</t>
  </si>
  <si>
    <t>Tue, 20 Jan 2026 01:29:46 GMT</t>
  </si>
  <si>
    <t>https://salesxceleration.com/wp-content/uploads/2019/10/thumb-recruiting-cs-2048x2048.jpg</t>
  </si>
  <si>
    <t>Fri, 28 Mar 2025 20:18:07 GMT</t>
  </si>
  <si>
    <t>https://salesxceleration.com/wp-content/uploads/elementor/thumbs/Skills-Based-Hiring-rebnjrmv5xw9klq34f0918gjf47gj932vzwtx28f64.jpg</t>
  </si>
  <si>
    <t>Fri, 07 Nov 2025 22:37:46 GMT</t>
  </si>
  <si>
    <t>https://salesxceleration.com/wp-content/uploads/elementor/css/post-72247.css?ver=1768857149</t>
  </si>
  <si>
    <t>Mon, 19 Jan 2026 21:12:29 GMT</t>
  </si>
  <si>
    <t>https://salesxceleration.com/wp-content/uploads/2025/02/goal-digital-marketing-strategy-service-through-digital-channel-search-engine-data-sci.jpg</t>
  </si>
  <si>
    <t>Wed, 26 Feb 2025 14:27:10 GMT</t>
  </si>
  <si>
    <t>https://salesxceleration.com/wp-content/themes/salesxceleratione/assets/css/style.css?ver=1769123333</t>
  </si>
  <si>
    <t>https://salesxceleration.com/wp-content/uploads/2025/10/Industry-Hub-Page-Sales-Xceleration-2.png</t>
  </si>
  <si>
    <t>Wed, 01 Oct 2025 22:23:57 GMT</t>
  </si>
  <si>
    <t>https://salesxceleration.com/wp-content/uploads/elementor/css/post-70935.css?ver=1768847334</t>
  </si>
  <si>
    <t>Mon, 19 Jan 2026 18:28:54 GMT</t>
  </si>
  <si>
    <t>https://salesxceleration.com/wp-content/uploads/2025/08/Sales-Xcelerators-Peer-Group-1-1-300x85.png</t>
  </si>
  <si>
    <t>Thu, 14 Aug 2025 18:21:35 GMT</t>
  </si>
  <si>
    <t>https://salesxceleration.com/wp-content/themes/salesxceleratione/assets/css/style.css?ver=1769123339</t>
  </si>
  <si>
    <t>https://salesxceleration.com/wp-content/uploads/elementor/css/post-70160.css?ver=1768857132</t>
  </si>
  <si>
    <t>Mon, 19 Jan 2026 21:12:12 GMT</t>
  </si>
  <si>
    <t>https://salesxceleration.com/wp-content/uploads/elementor/css/post-21538.css?ver=1768851689</t>
  </si>
  <si>
    <t>Mon, 19 Jan 2026 19:41:29 GMT</t>
  </si>
  <si>
    <t>https://salesxceleration.com/wp-content/uploads/2014/12/That-was-then-2048x2048.jpg</t>
  </si>
  <si>
    <t>Fri, 28 Mar 2025 16:00:56 GMT</t>
  </si>
  <si>
    <t>https://salesxceleration.com/wp-content/uploads/elementor/css/post-73461.css?ver=1769100420</t>
  </si>
  <si>
    <t>Thu, 22 Jan 2026 16:47:00 GMT</t>
  </si>
  <si>
    <t>https://salesxceleration.com/wp-content/uploads/2026/01/SAO-YT-Thumbnail-Donald-Miller.jpg</t>
  </si>
  <si>
    <t>Mon, 19 Jan 2026 20:22:23 GMT</t>
  </si>
  <si>
    <t>https://salesxceleration.com/now-sure-fire-way-sell/</t>
  </si>
  <si>
    <t>That Was Then, This Is Now: The Sure-Fire Way to Sell More</t>
  </si>
  <si>
    <t>That Was Then, This Is Now: The Sure-Fire Way to Sell More | Sales Xceleration Blog</t>
  </si>
  <si>
    <t>Everyone sells. Even if we don't have the official title or corporate role of Salesperson, we must interact with others – superiors, staff, clients,</t>
  </si>
  <si>
    <t>c8b643f2248d6369fdb39ed876bbb0bb</t>
  </si>
  <si>
    <t>https://salesxceleration.com/sales-xceleration-spotlight-why-many-small-businesses-dont-prepare-a-sales-forecast/</t>
  </si>
  <si>
    <t>Sales Xceleration Spotlight: Why Many Small Businesses Don’t Prepare a Sales Forecast</t>
  </si>
  <si>
    <t>Why Small Businesses Don't Prepare a Sales Forecast</t>
  </si>
  <si>
    <t>Can you imagine having no idea how much revenue your company will generate? Big companies have a sales forecasting process. Smaller companies don't. Why?</t>
  </si>
  <si>
    <t>f001f4a06b1bd8cd1b32dac15bbedc65</t>
  </si>
  <si>
    <t>https://salesxceleration.com/wp-content/themes/salesxceleratione/assets/css/style.css?ver=1769123341</t>
  </si>
  <si>
    <t>Thu, 22 Jan 2026 23:11:49 GMT</t>
  </si>
  <si>
    <t>https://salesxceleration.com/wp-content/uploads/2014/11/20151-2048x2048.png</t>
  </si>
  <si>
    <t>Fri, 28 Mar 2025 14:56:46 GMT</t>
  </si>
  <si>
    <t>https://salesxceleration.com/wp-content/uploads/2013/11/small-businesses-sales-forecast-2048x2048.jpg</t>
  </si>
  <si>
    <t>Fri, 28 Mar 2025 15:41:14 GMT</t>
  </si>
  <si>
    <t>https://salesxceleration.com/wp-content/uploads/2014/02/onboarding-2048x2048.jpg</t>
  </si>
  <si>
    <t>Fri, 28 Mar 2025 14:49:21 GMT</t>
  </si>
  <si>
    <t>https://salesxceleration.com/wp-content/uploads/2014/05/Consulting-Ease-Into-Retirement-2048x2048.jpg</t>
  </si>
  <si>
    <t>Fri, 28 Mar 2025 15:34:05 GMT</t>
  </si>
  <si>
    <t>https://salesxceleration.com/wp-content/uploads/2014/01/Write-better-advertisements-2048x2048.jpg</t>
  </si>
  <si>
    <t>Fri, 28 Mar 2025 20:21:26 GMT</t>
  </si>
  <si>
    <t>https://salesxceleration.com/2015-outlook-bigger-growth-smaller-businesses/</t>
  </si>
  <si>
    <t>2015 Outlook: Bigger Growth for Smaller Businesses</t>
  </si>
  <si>
    <t>2015 Outlook: Bigger Growth for Smaller Businesses | Sales Xceleration Blog</t>
  </si>
  <si>
    <t>In the ever-changing economic landscape, corporate America gets most of the attention. Big companies announce their earnings or losses and markets and the</t>
  </si>
  <si>
    <t>d960199860288baaffa6fbbb7615b34b</t>
  </si>
  <si>
    <t>https://salesxceleration.com/how-onboarding-can-help-salespeople-get-and-stay-on-track-for-sales-success/</t>
  </si>
  <si>
    <t>How Onboarding Can Help Salespeople Get and Stay on Track for Sales Success</t>
  </si>
  <si>
    <t>How Onboarding Creates Sales Success | Sales Xceleration Blog</t>
  </si>
  <si>
    <t>What IS onboarding? How can it benefit the organization and the salesperson? And how is a successful onboarding program implemented?</t>
  </si>
  <si>
    <t>dfbde3776ec41e8f9fd0b3b4096167e7</t>
  </si>
  <si>
    <t>https://salesxceleration.com/wp-content/uploads/2014/01/Job-candidate-search-2048x2048.jpg</t>
  </si>
  <si>
    <t>Fri, 28 Mar 2025 20:19:56 GMT</t>
  </si>
  <si>
    <t>https://salesxceleration.com/wp-content/uploads/2023/08/Businessman-Selling-Virtually-300x200.jpg</t>
  </si>
  <si>
    <t>Tue, 08 Aug 2023 21:05:54 GMT</t>
  </si>
  <si>
    <t>https://salesxceleration.com/how-consulting-can-help-you-ease-into-retirement/</t>
  </si>
  <si>
    <t>How Consulting Can Help You Ease Into Retirement</t>
  </si>
  <si>
    <t>How Consulting Can Help Ease You Into Retirement | Sales Xceleration</t>
  </si>
  <si>
    <t>You choose what retirement looks like; and for sales leaders who have led highly-effective sales teams, retirement doesn’t have to mean being inactive.</t>
  </si>
  <si>
    <t>3eff6e2ab02f7eb77de1c1bdb0712e79</t>
  </si>
  <si>
    <t>https://salesxceleration.com/turn-your-job-candidate-search-inside-out-by-looking-beyond-your-industry/</t>
  </si>
  <si>
    <t>Turn Your Job Candidate Search Inside Out by Looking Beyond Your Industry</t>
  </si>
  <si>
    <t>Look Beyond your Industry for Job Candidates</t>
  </si>
  <si>
    <t>Job seekers often feel like they are on the outside looking in. Those with jobs to fill, however, too often fail to look outside their industry to find fresh,</t>
  </si>
  <si>
    <t>ac85e790f91be7bf3b0eb963bc35de37</t>
  </si>
  <si>
    <t>https://salesxceleration.com/7-ways-to-write-a-better-sales-job-advertisement/</t>
  </si>
  <si>
    <t>7 Ways to Write a Better Sales Job Advertisement</t>
  </si>
  <si>
    <t>7 Ways to Write a Better Sales Job Advertisement | Sales Xceleration Blog</t>
  </si>
  <si>
    <t>You post a sales job advertisement for a position you need to fill. Then you are inundated with applications from completely UNqualified job seekers ...</t>
  </si>
  <si>
    <t>c2fb07f74b09c817c0fcab96485a366a</t>
  </si>
  <si>
    <t>https://salesxceleration.com/wp-content/uploads/elementor/css/post-20795.css?ver=1768846660</t>
  </si>
  <si>
    <t>Mon, 19 Jan 2026 18:17:40 GMT</t>
  </si>
  <si>
    <t>https://salesxceleration.com/wp-content/uploads/2022/07/Sales-Automation-300x300.jpg</t>
  </si>
  <si>
    <t>Fri, 28 Mar 2025 15:54:27 GMT</t>
  </si>
  <si>
    <t>https://salesxceleration.com/is-small-business-success-possible-during-a-period-of-inflation/</t>
  </si>
  <si>
    <t>Is Small Business Success Possible During a Period of Inflation?</t>
  </si>
  <si>
    <t>The Impact of Inflation on Small Business</t>
  </si>
  <si>
    <t>5 Strategies to Combat Inflation</t>
  </si>
  <si>
    <t>Is Small Business Success Possible During a Period of Inflation? | Sales Xceleration Blog</t>
  </si>
  <si>
    <t>When dealing with inflation, it’s important to meet the challenge head-on by doubling down on what you do best.</t>
  </si>
  <si>
    <t>9d57135c1311bad087da04099ca44d3b</t>
  </si>
  <si>
    <t>https://salesxceleration.com/adapting-leadership-styles-to-the-situation-sales-growth-vs-sales-recovery-part-one-sales-growth/</t>
  </si>
  <si>
    <t>Adapting Leadership Styles to the Situation: Sales Growth vs. Sales Recovery Part One: Sales Growth</t>
  </si>
  <si>
    <t>Growth-Focused Leadership</t>
  </si>
  <si>
    <t>Growth-Focused Action Items</t>
  </si>
  <si>
    <t>Adapting Leadership Styles to the Situation: Sales Growth vs. Sales Recovery Part One: Sales Growth | Sales Xceleration Blog</t>
  </si>
  <si>
    <t>Good sales leaders find a way to achieve the annual goal; great sales leaders find ways to achieve the goal and systemize the process.</t>
  </si>
  <si>
    <t>88c740a702409a95d413cce12a1a0d17</t>
  </si>
  <si>
    <t>https://salesxceleration.com/the-consequences-of-price-reductions/</t>
  </si>
  <si>
    <t>The Consequences of Price Reductions</t>
  </si>
  <si>
    <t>Think Twice Before You Discount</t>
  </si>
  <si>
    <t>When should you offer discounts?</t>
  </si>
  <si>
    <t>The Consequences of Price Reductions | Sales Xceleration Blog</t>
  </si>
  <si>
    <t>Offering discounts on products might seem like a legitimate option for small to medium-sized business owners, but is it?</t>
  </si>
  <si>
    <t>bfee17bd3602724ae2a352a621695678</t>
  </si>
  <si>
    <t>https://salesxceleration.com/wp-content/uploads/2022/03/117623-2018-09-InSight-Sales-ORG-300x300.jpg</t>
  </si>
  <si>
    <t>Fri, 28 Mar 2025 20:14:37 GMT</t>
  </si>
  <si>
    <t>https://salesxceleration.com/wp-content/uploads/2023/08/Enhance-Sales-Using-AI-300x182.jpg</t>
  </si>
  <si>
    <t>Tue, 22 Aug 2023 17:07:01 GMT</t>
  </si>
  <si>
    <t>https://salesxceleration.com/why-focus-on-sales-if-they-are-already-thriving/</t>
  </si>
  <si>
    <t>Why Focus on Sales if They are Already Thriving?</t>
  </si>
  <si>
    <t>Customer Review</t>
  </si>
  <si>
    <t>Sales Team</t>
  </si>
  <si>
    <t>Why Focus on Sales if They are Already Thriving? | Sales Xceleration Blog</t>
  </si>
  <si>
    <t>Why should you focus on sales if you have more business than you can produce? This situation offers some rare opportunities.</t>
  </si>
  <si>
    <t>5924d4d859965f494622aa74489f7b63</t>
  </si>
  <si>
    <t>https://salesxceleration.com/category/revenue-growth/page/4/</t>
  </si>
  <si>
    <t>Revenue Growth Archives | Page 4 of 10 | Sales Xceleration</t>
  </si>
  <si>
    <t>https://salesxceleration.com/category/revenue-growth/page/5/</t>
  </si>
  <si>
    <t>https://salesxceleration.com/category/revenue-growth/page/3/</t>
  </si>
  <si>
    <t>6af46cd88824f3b2caaa2afcb6e3695</t>
  </si>
  <si>
    <t>https://salesxceleration.com/wp-content/uploads/2023/04/Leadership-Styles-Sales-Recovery-300x200.jpg</t>
  </si>
  <si>
    <t>https://salesxceleration.com/wp-content/uploads/2023/04/Leadership-Styles-Sales-Growth-1-300x200.jpg</t>
  </si>
  <si>
    <t>Thu, 20 Apr 2023 21:20:31 GMT</t>
  </si>
  <si>
    <t>https://salesxceleration.com/wp-content/uploads/2022/05/Discount-300x300.jpg</t>
  </si>
  <si>
    <t>Fri, 28 Mar 2025 23:47:49 GMT</t>
  </si>
  <si>
    <t>Revenue Growth Archives | Page 2 of 10 | Sales Xceleration</t>
  </si>
  <si>
    <t>fe6097226918b2e32ac41a1057f20b4f</t>
  </si>
  <si>
    <t>https://salesxceleration.com/wp-content/uploads/2022/12/Recession-300x200.jpg</t>
  </si>
  <si>
    <t>Fri, 23 Dec 2022 21:06:26 GMT</t>
  </si>
  <si>
    <t>https://salesxceleration.com/5-reasons-to-focus-on-increasing-sales-with-existing-customers/</t>
  </si>
  <si>
    <t>5 Reasons to Focus on Increasing Sales with Existing Customers</t>
  </si>
  <si>
    <t>Reason #1: To Strengthen Your Existing Customer Relationships – For Their Benefit and Yours</t>
  </si>
  <si>
    <t>Reason #2: To Boost the ROI of Your Sales Efforts</t>
  </si>
  <si>
    <t>5 Reasons to Focus on Increasing Sales with Existing Customers | Sales Xceleration Blog</t>
  </si>
  <si>
    <t>While new customer acquisition is essential to driving sales growth, many sales teams ignore strategies to increase sales with existing customers.</t>
  </si>
  <si>
    <t>2c96f546980b209e47536d7923062e8</t>
  </si>
  <si>
    <t>https://salesxceleration.com/mastering-virtual-selling-to-accelerate-growth/</t>
  </si>
  <si>
    <t>Mastering Virtual Selling to Accelerate Growth</t>
  </si>
  <si>
    <t>What Is Virtual Selling?</t>
  </si>
  <si>
    <t>What Are Some Benefits of Virtual Selling?</t>
  </si>
  <si>
    <t>Mastering Virtual Selling to Accelerate Growth | Sales Xceleration Blog</t>
  </si>
  <si>
    <t>Sales is no longer defined by physical meetings. Rather, virtual sales tools include social media, webinars, video conferences, and email communication.</t>
  </si>
  <si>
    <t>b4ba4697c43bfb4e9db933d28efe23ef</t>
  </si>
  <si>
    <t>https://salesxceleration.com/how-to-enhance-sales-using-ai/</t>
  </si>
  <si>
    <t>How to Enhance Sales Using AI</t>
  </si>
  <si>
    <t>What Is AI?</t>
  </si>
  <si>
    <t>What are Some Benefits of AI for Sales?</t>
  </si>
  <si>
    <t>How to Enhance Sales Using AI | Sales Xceleration Blog</t>
  </si>
  <si>
    <t>When used strategically, AI can empower sales organizations to gain a competitive advantage. How can it enhance sales efforts and optimize results?</t>
  </si>
  <si>
    <t>c4d224b9162f11dd769118eb62b5f818</t>
  </si>
  <si>
    <t>https://salesxceleration.com/wp-content/uploads/2022/07/hannah-carr-I079C4gOe8s-unsplash-241x300.jpg</t>
  </si>
  <si>
    <t>Mon, 18 Jul 2022 11:20:58 GMT</t>
  </si>
  <si>
    <t>https://salesxceleration.com/wp-content/uploads/2026/01/SAO-YT-Thumbnail-Donald-Miller-300x169.jpg</t>
  </si>
  <si>
    <t>https://salesxceleration.com/why-do-businesses-struggle-with-key-performance-indicators/</t>
  </si>
  <si>
    <t>Why do Businesses Struggle with Key Performance Indicators?</t>
  </si>
  <si>
    <t>KPIs to consider:</t>
  </si>
  <si>
    <t>Why do Businesses Struggle with Key Performance Indicators? | Sales Xceleration Blog</t>
  </si>
  <si>
    <t>One of the great benefits of going out for a long bike ride is it gives me a great uninterrupted time to think and process. The phone is not ringing, email</t>
  </si>
  <si>
    <t>7fd98c27689900aee32ccf10565e5f2</t>
  </si>
  <si>
    <t>Revenue Growth Archives | Page 3 of 10 | Sales Xceleration</t>
  </si>
  <si>
    <t>ee38faea3dfa6bda049122fc7325b541</t>
  </si>
  <si>
    <t>https://salesxceleration.com/wp-content/uploads/2023/04/Increasing-Sales-with-Existing-Customers-300x228.jpg</t>
  </si>
  <si>
    <t>Thu, 13 Apr 2023 20:54:54 GMT</t>
  </si>
  <si>
    <t>Revenue Growth Archives | Page 5 of 10 | Sales Xceleration</t>
  </si>
  <si>
    <t>https://salesxceleration.com/category/revenue-growth/page/6/</t>
  </si>
  <si>
    <t>4852c633258a3069b4ba6acdb491aa2f</t>
  </si>
  <si>
    <t>https://salesxceleration.com/wp-content/uploads/2022/11/Why-Focus-on-Sales-300x176.jpg</t>
  </si>
  <si>
    <t>Wed, 16 Nov 2022 21:59:06 GMT</t>
  </si>
  <si>
    <t>https://salesxceleration.com/afraid-of-sales-automation-heres-how-to-use-it-to-your-competitive-advantage/</t>
  </si>
  <si>
    <t>Afraid of Sales Automation? Here’s How to Use it to Your (Competitive) Advantage</t>
  </si>
  <si>
    <t>What Sales Automation IS</t>
  </si>
  <si>
    <t>What Sales Automation IS NOT</t>
  </si>
  <si>
    <t>Afraid of Sales Automation? Here’s How to Use it to Your (Competitive) Advantage | Sales Xceleration Blog</t>
  </si>
  <si>
    <t>Automation in sales and marketing can dramatically enhance the sales process</t>
  </si>
  <si>
    <t>1e719a01104f5f70c0ace9b21f8d88cf</t>
  </si>
  <si>
    <t>https://salesxceleration.com/4-tips-for-using-a-sales-process-to-improve-your-wins/</t>
  </si>
  <si>
    <t>4 Tips for Using a Sales Process to Improve Your Wins</t>
  </si>
  <si>
    <t>4 Tips for Using a Sales Process to Improve Your Wins | Sales Xceleration Blog</t>
  </si>
  <si>
    <t>Structure a sales process that nets you more wins by figuring out what works and repeating the process.</t>
  </si>
  <si>
    <t>fa459140fe3c8c5ba6d9c99de9464bef</t>
  </si>
  <si>
    <t>https://salesxceleration.com/wp-content/uploads/2025/11/Hiring-Trends-Forecast-for-2025-1024x576-1.jpg</t>
  </si>
  <si>
    <t>Thu, 06 Nov 2025 20:32:46 GMT</t>
  </si>
  <si>
    <t>https://salesxceleration.com/wp-content/themes/salesxceleratione/assets/css/style.css?ver=1769123342</t>
  </si>
  <si>
    <t>Thu, 22 Jan 2026 23:11:56 GMT</t>
  </si>
  <si>
    <t>https://salesxceleration.com/wp-content/uploads/2025/11/Skills-Based-Hiring.jpg</t>
  </si>
  <si>
    <t>Thu, 06 Nov 2025 20:29:41 GMT</t>
  </si>
  <si>
    <t>https://salesxceleration.com/wp-content/uploads/2025/11/Hiring-Sales-Talent-in-a-Slow-Economy-1024x683-1.jpg</t>
  </si>
  <si>
    <t>Thu, 06 Nov 2025 20:56:22 GMT</t>
  </si>
  <si>
    <t>https://salesxceleration.com/wp-content/uploads/2025/12/Sales-Team-Meeting.jpg</t>
  </si>
  <si>
    <t>https://salesxceleration.com/adapting-leadership-styles-to-the-situation-sales-growth-vs-sales-recovery-part-two-sales-recovery/</t>
  </si>
  <si>
    <t>Adapting Leadership Styles to the Situation: Sales Growth vs. Sales Recovery Part Two: Sales Recovery</t>
  </si>
  <si>
    <t>Recovery Leadership Action Items</t>
  </si>
  <si>
    <t>Adapting Leadership Styles to the Situation: Sales Growth vs. Sales Recovery Part Two: Sales Recovery | Sales Xceleration Blog</t>
  </si>
  <si>
    <t>To effectively navigate a dynamic sales landscape, sales leadership styles must pivot, depending on the existing team charged to accomplish the goal.</t>
  </si>
  <si>
    <t>af4a280f11c8f111e7ef080b269d2c0b</t>
  </si>
  <si>
    <t>https://salesxceleration.com/wp-content/uploads/2025/11/The-Power-of-SMART-Goals-in-Recruiting-1024x683-1.jpg</t>
  </si>
  <si>
    <t>Thu, 06 Nov 2025 20:34:43 GMT</t>
  </si>
  <si>
    <t>https://salesxceleration.com/hiring-trends-forecast-for-2025/</t>
  </si>
  <si>
    <t>Hiring Trends Forecast for 2025</t>
  </si>
  <si>
    <t>Key Takeaways</t>
  </si>
  <si>
    <t>Hiring Trends Forecast for 2025 | Sales Xceleration Blog</t>
  </si>
  <si>
    <t>In 2025, new technologies are reshaping industries, workforce expectations are evolving, and economic shifts are driving innovation in the way we hire.</t>
  </si>
  <si>
    <t>2cc0a3c79b7cdd3fa3a641489d56d5ec</t>
  </si>
  <si>
    <t>https://salesxceleration.com/the-rise-of-skills-based-hiring/</t>
  </si>
  <si>
    <t>The Rise of Skills-Based Hiring</t>
  </si>
  <si>
    <t>What is Skills-Based Hiring?</t>
  </si>
  <si>
    <t>Why is This Shift Happening Now?</t>
  </si>
  <si>
    <t>The Rise of Skills-Based Hiring | Sales Xceleration Blog</t>
  </si>
  <si>
    <t>Discover why employers are shifting from degrees to skills. Learn how skills-based hiring can expand your talent pool and improve hiring accuracy.</t>
  </si>
  <si>
    <t>a3336879af731a2171094fbfb6679e5b</t>
  </si>
  <si>
    <t>https://salesxceleration.com/the-power-of-smart-goals-in-recruiting/</t>
  </si>
  <si>
    <t>The Power of SMART Goals in Recruiting</t>
  </si>
  <si>
    <t>Why SMART Goals Matter in Recruiting</t>
  </si>
  <si>
    <t>Applying SMART Goals to Hiring</t>
  </si>
  <si>
    <t>The Power of SMART Goals in Recruiting | Sales Xceleration Blog</t>
  </si>
  <si>
    <t>Goal setting is essential in recruiting and talent acquisition. Whether you’re sourcing top talent or refining hiring processes, SMART goals create structure and drive results.</t>
  </si>
  <si>
    <t>4941a0dce25859b99dbbb40a1e307a6a</t>
  </si>
  <si>
    <t>https://salesxceleration.com/the-competitive-advantage-of-hiring-sales-talent-in-a-slow-economy/</t>
  </si>
  <si>
    <t>The Competitive Advantage of Hiring Sales Talent in a Slow Economy</t>
  </si>
  <si>
    <t>Great Sales Talent Is More Accessible in a Down Market</t>
  </si>
  <si>
    <t>Hire Now, Train While It’s Quiet</t>
  </si>
  <si>
    <t>The Competitive Advantage of Hiring Sales Talent in a Slow Economy | Sales Xceleration Blog</t>
  </si>
  <si>
    <t>When the economy slows, smart companies hire sales talent instead of cutting back turning downturns into opportunities for growth and success.</t>
  </si>
  <si>
    <t>35242861a81953d67d4b5195a83e2f79</t>
  </si>
  <si>
    <t>https://salesxceleration.com/wp-content/uploads/2025/10/Predictive-Sales-Analytics.jpg</t>
  </si>
  <si>
    <t>Mon, 06 Oct 2025 19:37:23 GMT</t>
  </si>
  <si>
    <t>https://salesxceleration.com/wp-content/uploads/2014/07/Focus-Activity-Management-Copy-2048x2048.jpg</t>
  </si>
  <si>
    <t>Fri, 28 Mar 2025 14:49:06 GMT</t>
  </si>
  <si>
    <t>https://salesxceleration.com/one-less-hat-to-wear-how-business-owners-can-achieve-more-growth-and-success/</t>
  </si>
  <si>
    <t>One Less Hat to Wear: How Business Owners Can Achieve More Growth and Success</t>
  </si>
  <si>
    <t>How to Achieve More Sales Growth</t>
  </si>
  <si>
    <t>In the world of small and medium-sized businesses, the business owner is a rare breed. Typically, the business began as a vision springing forth from the</t>
  </si>
  <si>
    <t>6bd9e997ee292047da5381ecf3db3b02</t>
  </si>
  <si>
    <t>https://salesxceleration.com/making-a-difference-how-sales-xceleration-helps-you-keep-business-owners-from-making-even-more-critical-hiring-mistakes/</t>
  </si>
  <si>
    <t>Making a Difference: How Sales Xceleration Helps You Keep Business Owners From Making Even More Critical Hiring Mistakes</t>
  </si>
  <si>
    <t>Sales Xceleration Will Help You Avoid Hiring Mistakes</t>
  </si>
  <si>
    <t>At Sales Xceleration, we understand that the challenges faced by small and medium-sized businesses in America can be very different from those in larger scale</t>
  </si>
  <si>
    <t>285101a694fe22b624cd1170c7e98845</t>
  </si>
  <si>
    <t>https://salesxceleration.com/wp-content/uploads/2025/10/How-Does-Predictive-Analytics-Work.jpg</t>
  </si>
  <si>
    <t>Mon, 06 Oct 2025 19:37:14 GMT</t>
  </si>
  <si>
    <t>https://salesxceleration.com/wp-content/uploads/2014/07/many-hats-2048x2048.jpg</t>
  </si>
  <si>
    <t>Fri, 28 Mar 2025 14:49:12 GMT</t>
  </si>
  <si>
    <t>https://salesxceleration.com/wp-content/uploads/2013/12/Hiring-mistakes-2048x2048.jpg</t>
  </si>
  <si>
    <t>Fri, 28 Mar 2025 14:35:05 GMT</t>
  </si>
  <si>
    <t>https://salesxceleration.com/wp-content/uploads/2025/12/2025-Recruiting-Trends-300x173.jpg</t>
  </si>
  <si>
    <t>Mon, 22 Dec 2025 16:35:32 GMT</t>
  </si>
  <si>
    <t>https://salesxceleration.com/a-beginners-guide-to-sales-forecasting/</t>
  </si>
  <si>
    <t>A Beginner’s Guide to Sales Forecasting</t>
  </si>
  <si>
    <t>Why Does Sales Forecasting Matter?</t>
  </si>
  <si>
    <t>Sales Forecasting Examples</t>
  </si>
  <si>
    <t>A Beginner’s Guide to Sales Forecasting | Sales Xceleration Blog</t>
  </si>
  <si>
    <t>Accurate sales forecasting can empower sales organizations to capitalize on opportunities before competitors do.</t>
  </si>
  <si>
    <t>e69e9f8f0a960b2575981469d75bd7c3</t>
  </si>
  <si>
    <t>https://salesxceleration.com/wp-content/uploads/2025/12/Comp-Plan-Error-300x200.jpg</t>
  </si>
  <si>
    <t>https://salesxceleration.com/wp-content/themes/salesxceleratione/assets/css/style.css?ver=1769123343</t>
  </si>
  <si>
    <t>Thu, 22 Jan 2026 23:11:59 GMT</t>
  </si>
  <si>
    <t>https://salesxceleration.com/focus-on-activity-management-doing-and-measuring-the-right-things-for-sales-success-2/</t>
  </si>
  <si>
    <t>Focus on Activity Management: Doing (and Measuring) the Right Things for Sales Success</t>
  </si>
  <si>
    <t>Focus on Activity Management: Doing the Right Things for Sales Success</t>
  </si>
  <si>
    <t>Activity Management is, essentially, the principle of working hard on the right things. It is a strategy for how to build success in sales.</t>
  </si>
  <si>
    <t>28d3fd3b15f56fa02eb767239db355ed</t>
  </si>
  <si>
    <t>https://salesxceleration.com/which-role-is-right-for-your-new-hire-account-manager-or-business-development-representative/</t>
  </si>
  <si>
    <t>Which Role is Right for Your New Hire: Account Manager or Business Development Representative?</t>
  </si>
  <si>
    <t>Account Manager (AM)</t>
  </si>
  <si>
    <t>Business Development Representative (BDR)</t>
  </si>
  <si>
    <t>Which Role is Right for Your New Hire: Account Manager or Business Development Representative? | Sales Xceleration Blog</t>
  </si>
  <si>
    <t>The choice between Account Manager and Business Development Representative can be difficult - both offer unique challenges and require a similar skill set.</t>
  </si>
  <si>
    <t>a9656799db8def30edf45519a80e73ed</t>
  </si>
  <si>
    <t>https://salesxceleration.com/wp-content/uploads/2025/12/Salespeople-in-Seats-300x171.jpg</t>
  </si>
  <si>
    <t>https://salesxceleration.com/2025-in-review-key-recruiting-trends-that-shaped-the-year/</t>
  </si>
  <si>
    <t>2025 in Review: Key Recruiting Trends That Shaped the Year</t>
  </si>
  <si>
    <t>The Shift Toward Strategic Sales Team Assessment</t>
  </si>
  <si>
    <t>Hiring Earlier to Stay Ahead of the Market</t>
  </si>
  <si>
    <t>2025 in Review: Key Recruiting Trends That Shaped the Year | Sales Xceleration Blog</t>
  </si>
  <si>
    <t>A 2025 review of key sales recruiting trends, from early hiring to deeper assessments, and what organizations should carry forward into 2026.</t>
  </si>
  <si>
    <t>1b36fdf682e12bb9c32a78d30a6b1ecd</t>
  </si>
  <si>
    <t>https://salesxceleration.com/category/hiring-onboarding/page/3/</t>
  </si>
  <si>
    <t>Hiring/Onboarding Archives | Page 3 of 15 | Sales Xceleration</t>
  </si>
  <si>
    <t>https://salesxceleration.com/category/hiring-onboarding/page/4/</t>
  </si>
  <si>
    <t>e2ee75c1199ad01ff6c8bc7953554178</t>
  </si>
  <si>
    <t>https://salesxceleration.com/finding-a-sales-star-player-using-ideal-candidate-profiles-to-help-you-build-the-best-team/</t>
  </si>
  <si>
    <t>Finding a Sales Star Player: Using Ideal Candidate Profiles to Help You Build the Best Team</t>
  </si>
  <si>
    <t>Determine The Required Skills</t>
  </si>
  <si>
    <t>What Personal Characteristics Would Make a Cultural Fit</t>
  </si>
  <si>
    <t>Finding a Sales Star Player: Using Ideal Candidate Profiles to Help You Build the Best Team | Sales Xceleration Blog</t>
  </si>
  <si>
    <t>Like a winning football team, a successful sales team must have an effective strategy, smart and engaged leadership, and utilize repeatable processes.</t>
  </si>
  <si>
    <t>ea727d78f24b2a47054426c8fd4be9d6</t>
  </si>
  <si>
    <t>https://salesxceleration.com/wp-content/uploads/2024/02/Finding-a-Sales-Star-Player-300x200.jpg</t>
  </si>
  <si>
    <t>Thu, 22 Feb 2024 21:36:37 GMT</t>
  </si>
  <si>
    <t>https://salesxceleration.com/category/hiring-onboarding/page/5/</t>
  </si>
  <si>
    <t>Hiring/Onboarding Archives | Page 5 of 15 | Sales Xceleration</t>
  </si>
  <si>
    <t>https://salesxceleration.com/category/hiring-onboarding/page/6/</t>
  </si>
  <si>
    <t>c7b08db64b281d2fa75292d8b898050b</t>
  </si>
  <si>
    <t>https://salesxceleration.com/wp-content/uploads/2025/11/Attracting-Top-Tier-Sales-Professionals-300x200.jpg</t>
  </si>
  <si>
    <t>Wed, 12 Nov 2025 13:18:41 GMT</t>
  </si>
  <si>
    <t>https://salesxceleration.com/wp-content/uploads/2024/09/Interviewing-Top-Sales-Talent-300x200.jpg</t>
  </si>
  <si>
    <t>Tue, 10 Sep 2024 18:17:27 GMT</t>
  </si>
  <si>
    <t>https://salesxceleration.com/the-high-potential-myth-how-comfort-zones-hinder-hiring-progress/</t>
  </si>
  <si>
    <t>The High Potential Myth: How Comfort Zones Hinder Hiring Progress</t>
  </si>
  <si>
    <t>1. Define Your Hiring Goals</t>
  </si>
  <si>
    <t>2. Develop a Targeted Job Description</t>
  </si>
  <si>
    <t>The High Potential Myth: How Comfort Zones Hinder Hiring Progress | Sales Xceleration Blog</t>
  </si>
  <si>
    <t>5db68543aaffed90fa5de1736cd78f8a</t>
  </si>
  <si>
    <t>https://salesxceleration.com/wp-content/uploads/2023/10/Hire-Top-Sales-Talent-300x200.jpg</t>
  </si>
  <si>
    <t>Mon, 09 Oct 2023 13:00:08 GMT</t>
  </si>
  <si>
    <t>https://salesxceleration.com/wp-content/uploads/2023/05/Which-Role-is-Right-for-Your-New-Hire-300x200.jpg</t>
  </si>
  <si>
    <t>Mon, 08 May 2023 15:08:16 GMT</t>
  </si>
  <si>
    <t>https://salesxceleration.com/sales-hiring-strategy-how-to-hire-top-sales-talent/</t>
  </si>
  <si>
    <t>Sales Hiring Strategy: How to Hire Top Sales Talent</t>
  </si>
  <si>
    <t>1. Define Your Ideal Candidate</t>
  </si>
  <si>
    <t>2. Source Candidates Via Multiple Platforms And Channels</t>
  </si>
  <si>
    <t>Sales Hiring Strategy: How to Hire Top Sales Talent | Sales Xceleration Blog</t>
  </si>
  <si>
    <t>Although hiring top sales talent can be challenging, it is possible to have a successful hiring strategy utilizing some of the best recruitment strategies.</t>
  </si>
  <si>
    <t>d3060d3caf08aa218e0b2414c8c2646e</t>
  </si>
  <si>
    <t>https://salesxceleration.com/wp-content/uploads/2023/05/pod-thumb-300x195.jpg</t>
  </si>
  <si>
    <t>Wed, 24 May 2023 21:47:41 GMT</t>
  </si>
  <si>
    <t>https://salesxceleration.com/5-hiring-strategies-you-cant-overlook-if-you-want-to-avoid-the-wrong-hire/</t>
  </si>
  <si>
    <t>5 Hiring Strategies You Can’t Overlook if You Want to Avoid the Wrong Hire</t>
  </si>
  <si>
    <t>1. Avoid Common Hiring Myths</t>
  </si>
  <si>
    <t>2. Define Clear Roles and Responsibilities</t>
  </si>
  <si>
    <t>5 Hiring Strategies You Can't Overlook if You Want to Avoid the Wrong Hire | Sales Xceleration Blog</t>
  </si>
  <si>
    <t>Discover 5 essential strategies hiring managers can use to find the perfect candidate. Reduce hiring risks and build a winning team with these expert tips.</t>
  </si>
  <si>
    <t>18edec8983454ca8c67ce79eaeadd40a</t>
  </si>
  <si>
    <t>https://salesxceleration.com/wp-content/uploads/2025/12/adasdaadada-300x164.jpg</t>
  </si>
  <si>
    <t>https://salesxceleration.com/how-leaders-of-sales-teams-should-approach-retention/</t>
  </si>
  <si>
    <t>How Leaders of Sales Teams Should Approach Retention</t>
  </si>
  <si>
    <t>Listen now:</t>
  </si>
  <si>
    <t>Employee Retention Strategies | Sales Team Retention</t>
  </si>
  <si>
    <t>Implement robust employee retention strategies to ensure your sales team's loyalty and drive. Discover effective methods for sustained sales team retention.</t>
  </si>
  <si>
    <t>24d77bfa9c9b96c6c55fdeb52effb96a</t>
  </si>
  <si>
    <t>https://salesxceleration.com/wp-content/uploads/2024/11/Hiring-Strategies-to-Avoid-the-Wrong-Hire-300x200.jpg</t>
  </si>
  <si>
    <t>Tue, 05 Nov 2024 13:04:10 GMT</t>
  </si>
  <si>
    <t>https://salesxceleration.com/wp-content/uploads/2025/12/Sales-Team-Meeting-300x105.jpg</t>
  </si>
  <si>
    <t>https://salesxceleration.com/wp-content/uploads/2025/11/The-Power-of-SMART-Goals-in-Recruiting-1024x683-1-300x200.jpg</t>
  </si>
  <si>
    <t>https://salesxceleration.com/7-essential-tips-for-interviewing-top-sales-talent/</t>
  </si>
  <si>
    <t>7 Essential Tips for Interviewing Top Sales Talent</t>
  </si>
  <si>
    <t>Focus on these seven items while interviewing top sales talent to improve your hiring:</t>
  </si>
  <si>
    <t>The Bottom Line</t>
  </si>
  <si>
    <t>7 Essential Tips for Interviewing Top Sales Talent | Sales Xceleration Blog</t>
  </si>
  <si>
    <t>Recruiting top sales talent is a critical component of driving business success; by focusing on these essential tips, you can enhance your hiring process.</t>
  </si>
  <si>
    <t>9795912a38eb04706a27979d29f42e7</t>
  </si>
  <si>
    <t>https://salesxceleration.com/high-level-strategies-for-identifying-and-attracting-top-tier-sales-professionals/</t>
  </si>
  <si>
    <t>High-Level Strategies for Identifying and Attracting Top-Tier Sales Professionals</t>
  </si>
  <si>
    <t>Start With a Strong Position Description and Ideal Candidate Profile</t>
  </si>
  <si>
    <t>Incorporate Behavioral Assessments to Identify Top Performers</t>
  </si>
  <si>
    <t>High-Level Strategies for Identifying and Attracting Top-Tier Sales Professionals | Sales Xceleration Blog</t>
  </si>
  <si>
    <t>Discover proven strategies to attract and retain top-tier sales talent. Build a disciplined hiring process to drive performance, cultural fit, and revenue growth.</t>
  </si>
  <si>
    <t>379d3df7e01ccac21634278ce7702bec</t>
  </si>
  <si>
    <t>https://salesxceleration.com/wp-content/uploads/2025/12/how-firing-your-topsales-300x200.jpg</t>
  </si>
  <si>
    <t>Tue, 23 Dec 2025 08:50:12 GMT</t>
  </si>
  <si>
    <t>https://salesxceleration.com/wp-content/uploads/2025/11/Remote-Sales-Teams-1024x683-1-300x200.jpg</t>
  </si>
  <si>
    <t>Thu, 06 Nov 2025 21:03:49 GMT</t>
  </si>
  <si>
    <t>Hiring/Onboarding Archives | Page 2 of 15 | Sales Xceleration</t>
  </si>
  <si>
    <t>e5f88c6f5920e1ea20ffa39edc98766</t>
  </si>
  <si>
    <t>Hiring/Onboarding Archives | Page 4 of 15 | Sales Xceleration</t>
  </si>
  <si>
    <t>6277522d648ffc3402d110b82498b546</t>
  </si>
  <si>
    <t>https://salesxceleration.com/wp-content/uploads/2025/11/hire-outside-of-industry-1030x579-1-1024x576-1-300x169.jpg</t>
  </si>
  <si>
    <t>Thu, 06 Nov 2025 21:14:09 GMT</t>
  </si>
  <si>
    <t>https://salesxceleration.com/wp-content/uploads/2025/11/Hiring-Trends-Forecast-for-2025-1024x576-1-300x169.jpg</t>
  </si>
  <si>
    <t>https://salesxceleration.com/wp-content/themes/salesxceleratione/assets/css/style.css?ver=1769123344</t>
  </si>
  <si>
    <t>Thu, 22 Jan 2026 23:12:04 GMT</t>
  </si>
  <si>
    <t>https://salesxceleration.com/wp-content/uploads/2025/12/Improving-Your-Sales-Recruitment-and-Hiring-Process-200x300.jpg</t>
  </si>
  <si>
    <t>Tue, 23 Dec 2025 08:55:24 GMT</t>
  </si>
  <si>
    <t>https://salesxceleration.com/hiring-a-salesperson-consider-recruiting-outside-your-industry/</t>
  </si>
  <si>
    <t>Hiring a Salesperson? Consider Recruiting Outside Your Industry</t>
  </si>
  <si>
    <t>The Right Kind of Sales Experience Is What Matters Most</t>
  </si>
  <si>
    <t>Why Industry Experience Can Actually Damage Sales Recruiting and Hiring</t>
  </si>
  <si>
    <t>Hiring a Salesperson? Consider Recruiting Outside Your Industry | Sales Xceleration Blog</t>
  </si>
  <si>
    <t>23fd9fb8bb37c1a37061b0524ceddd3b</t>
  </si>
  <si>
    <t>Sales Recruiting Archives | Page 2 of 2 | Sales Xceleration</t>
  </si>
  <si>
    <t>ff392d82ff0f537e41da03f6bfff3bfd</t>
  </si>
  <si>
    <t>https://salesxceleration.com/talent-acquisition-trends-for-small-to-mid-sized-businesses/</t>
  </si>
  <si>
    <t>Talent Acquisition Trends for Small to Mid-sized Businesses</t>
  </si>
  <si>
    <t>Remote Hiring and Work</t>
  </si>
  <si>
    <t>Hiring for Skills</t>
  </si>
  <si>
    <t>Talent Acquisition Trends for Small to Mid-sized Businesses | Sales Xceleration Blog</t>
  </si>
  <si>
    <t>93b573573de9fd1ccfe95784b94fceaa</t>
  </si>
  <si>
    <t>https://salesxceleration.com/the-surprising-data-behind-sales-team-effectiveness/</t>
  </si>
  <si>
    <t>The Surprising Data Behind Sales Team Effectiveness</t>
  </si>
  <si>
    <t>The Alarming Stat on Onboarding and Training</t>
  </si>
  <si>
    <t>Performance Review and Transparency Deficit</t>
  </si>
  <si>
    <t>The Surprising Data Behind Sales Team Effectiveness | Sales Xceleration Blog</t>
  </si>
  <si>
    <t>68ca2bd254bce3eb94c47d8544f890a1</t>
  </si>
  <si>
    <t>https://salesxceleration.com/how-firing-your-top-salesperson-might-fire-up-overall-sales-performance/</t>
  </si>
  <si>
    <t>How Firing Your Top Salesperson Might Fire Up Overall Sales Performance?</t>
  </si>
  <si>
    <t>There’s No “I” in Team</t>
  </si>
  <si>
    <t>Recognizing a Disruptive Influence</t>
  </si>
  <si>
    <t>How Firing Your Top Salesperson Might Fire Up Overall Sales Performance? | Sales Xceleration Blog</t>
  </si>
  <si>
    <t>It might seem like a classic case of “biting the hand that feeds you,” but believe it or not, your best move – for the good of your sales team and your entire company.</t>
  </si>
  <si>
    <t>e02d7538a467aefb7b3d978b8a9c5e86</t>
  </si>
  <si>
    <t>https://salesxceleration.com/wp-content/uploads/2025/11/Hiring-Sales-Talent-in-a-Slow-Economy-1024x683-1-300x200.jpg</t>
  </si>
  <si>
    <t>https://salesxceleration.com/wp-content/uploads/2025/11/Skills-Based-Hiring-300x200.jpg</t>
  </si>
  <si>
    <t>https://salesxceleration.com/wp-content/uploads/2023/08/businessman-using-digital.jpg</t>
  </si>
  <si>
    <t>Thu, 10 Aug 2023 11:02:06 GMT</t>
  </si>
  <si>
    <t>https://salesxceleration.com/why-remote-sales-teams-have-a-competitive-advantage-in-2025-and-beyond/</t>
  </si>
  <si>
    <t>Why Remote Sales Teams Have a Competitive Advantage in 2025 and Beyond</t>
  </si>
  <si>
    <t>1. Access to a national or global talent pool</t>
  </si>
  <si>
    <t>2. Expanded market reach</t>
  </si>
  <si>
    <t>Why Remote Sales Teams Have a Competitive Advantage in 2025 and Beyond | Sales Xceleration Blog</t>
  </si>
  <si>
    <t>aa11f4ffcd3010cf2debd5e20530a2b2</t>
  </si>
  <si>
    <t>https://salesxceleration.com/wp-content/uploads/2023/09/Technology-is-Creating-New-Ways-to-Sell-to-Prospects.jpg</t>
  </si>
  <si>
    <t>Mon, 25 Sep 2023 10:49:28 GMT</t>
  </si>
  <si>
    <t>https://salesxceleration.com/sales-hiring-strategy-how-to-hire-top-sales-talent-2/</t>
  </si>
  <si>
    <t>741cf13d2433edd96ea8bdf05c1ccf7f</t>
  </si>
  <si>
    <t>https://salesxceleration.com/wp-content/uploads/2025/09/AI-in-Sales-Forecasting.jpg</t>
  </si>
  <si>
    <t>https://salesxceleration.com/do-chatbots-increase-sales-what-you-need-to-know-about-using-ai-chatbots-for-sales-success/</t>
  </si>
  <si>
    <t>Do Chatbots Increase Sales? What you need to know about using AI chatbots for sales success</t>
  </si>
  <si>
    <t>How businesses are utilizing ChatGPT-style chatbots</t>
  </si>
  <si>
    <t>Lead qualification</t>
  </si>
  <si>
    <t>Do Chatbots Increase Sales? What you need to know about using AI chatbots for sales success | Sales Xceleration Blog</t>
  </si>
  <si>
    <t>Chatbots are transforming how companies operate and improving the customer experience in a variety of critical ways.</t>
  </si>
  <si>
    <t>a5f8a3a4424309e41e9406abe9a8dd2e</t>
  </si>
  <si>
    <t>https://salesxceleration.com/important-benefits-and-pitfalls-of-ai-for-sales/</t>
  </si>
  <si>
    <t>Important Benefits and Pitfalls of AI for Sales</t>
  </si>
  <si>
    <t>And What Is ChatGPT?</t>
  </si>
  <si>
    <t>Important Benefits and Pitfalls of AI for Sales | Sales Xceleration Blog</t>
  </si>
  <si>
    <t>Artificial intelligence (AI) can automate tasks, personalize interactions, and streamline processes which can help sales teams close more deals.</t>
  </si>
  <si>
    <t>7e4eefb03c487487872989ac2cb4afd8</t>
  </si>
  <si>
    <t>https://salesxceleration.com/crm-definition-and-tips-for-success/</t>
  </si>
  <si>
    <t>What is a CRM (and Why Is It Essential To Your Sales Team’s Success)?</t>
  </si>
  <si>
    <t>What is a CRM (and Why Is It Essential To Your Sales Team’s Success)? | Sales Xceleration Blog</t>
  </si>
  <si>
    <t>A true CRM solution is about more than technology; it’s about achieving desired business outcomes through integrated sales and customer information.</t>
  </si>
  <si>
    <t>383c874cf9213bfeed9e8e7f4bfbd9e5</t>
  </si>
  <si>
    <t>https://salesxceleration.com/wp-content/uploads/2022/04/Daly-Tom-1-275x275-1-100x100.jpg</t>
  </si>
  <si>
    <t>Tue, 07 May 2024 07:09:35 GMT</t>
  </si>
  <si>
    <t>https://salesxceleration.com/wp-content/uploads/2023/05/AI-for-Sales.jpg</t>
  </si>
  <si>
    <t>Mon, 08 May 2023 15:13:52 GMT</t>
  </si>
  <si>
    <t>https://salesxceleration.com/wp-content/uploads/2023/08/Enhance-Sales-Using-AI.jpg</t>
  </si>
  <si>
    <t>Tue, 22 Aug 2023 17:07:00 GMT</t>
  </si>
  <si>
    <t>https://salesxceleration.com/sales-agility-assessment?locationid=29820526</t>
  </si>
  <si>
    <t>https://salesxceleration.com/sales-agility-assessment/?locationid=29820526</t>
  </si>
  <si>
    <t>https://salesxceleration.com/author/tdaly/</t>
  </si>
  <si>
    <t>Tom Daly</t>
  </si>
  <si>
    <t>Tom Daly, Author at Sales Xceleration</t>
  </si>
  <si>
    <t>4283c1308f01a2dc30b0f7e9d541002</t>
  </si>
  <si>
    <t>https://salesxceleration.com/wp-content/uploads/2025/12/Improving-Your-Sales-Recruitment-and-Hiring-Process.jpg</t>
  </si>
  <si>
    <t>https://salesxceleration.com/wp-content/themes/salesxceleratione/assets/css/style.css?ver=1769123345</t>
  </si>
  <si>
    <t>Thu, 22 Jan 2026 23:12:08 GMT</t>
  </si>
  <si>
    <t>https://salesxceleration.com/wp-content/uploads/2025/12/Comp-Plan-Error.jpg</t>
  </si>
  <si>
    <t>https://salesxceleration.com/technology-is-creating-new-ways-to-sell-to-prospects-heres-how/</t>
  </si>
  <si>
    <t>Technology Is Creating New Ways to Sell to Prospects. Here’s How.</t>
  </si>
  <si>
    <t>Technology Is Creating New Ways to Sell to Prospects. Here’s How. | Sales Xceleration Blog</t>
  </si>
  <si>
    <t>Technology is revolutionizing the sales industry. Discover how these tools are enhancing relationships with buyers and boosting sales.</t>
  </si>
  <si>
    <t>bc782e03079839ba2ba55e53caba9fd6</t>
  </si>
  <si>
    <t>https://salesxceleration.com/wp-content/uploads/2020/01/tech-thumb-2048x2048.jpg</t>
  </si>
  <si>
    <t>Fri, 28 Mar 2025 16:01:08 GMT</t>
  </si>
  <si>
    <t>https://salesxceleration.com/wp-content/uploads/2019/03/tech-case-study1-2048x2048.jpg</t>
  </si>
  <si>
    <t>Fri, 28 Mar 2025 16:01:16 GMT</t>
  </si>
  <si>
    <t>https://salesxceleration.com/sales-playbook-why-need/</t>
  </si>
  <si>
    <t>The Sales Playbook: Why You Need It, and How to Use It to Improve Sales</t>
  </si>
  <si>
    <t>The Sales Playbook: Why You Need It, and How to Use It to Improve Sales | Sales Xceleration Blog</t>
  </si>
  <si>
    <t>What’s in your sales playbook? Or maybe the better question is: “Do you have a sales playbook?” If you don’t have one, read on.</t>
  </si>
  <si>
    <t>b8f9483750692f3ba3781e95f81525f3</t>
  </si>
  <si>
    <t>https://salesxceleration.com/wp-content/uploads/elementor/css/post-58303.css?ver=1768862546</t>
  </si>
  <si>
    <t>Mon, 19 Jan 2026 22:42:26 GMT</t>
  </si>
  <si>
    <t>https://salesxceleration.com/wp-content/uploads/2021/01/thumb-tech-case-study-2048x2048.jpg</t>
  </si>
  <si>
    <t>Fri, 28 Mar 2025 16:01:03 GMT</t>
  </si>
  <si>
    <t>https://salesxceleration.com/wp-content/themes/salesxceleratione/assets/css/style.css?ver=1769123349</t>
  </si>
  <si>
    <t>https://salesxceleration.com/wp-content/uploads/2021/02/case-study-jp-thumb-2048x2048.jpg</t>
  </si>
  <si>
    <t>Fri, 28 Mar 2025 16:00:54 GMT</t>
  </si>
  <si>
    <t>https://salesxceleration.com/wp-content/uploads/2024/11/Internet-Service-Provider_Improving-Close-Rates-to-44.09.pdf</t>
  </si>
  <si>
    <t>DAGVukfy-DQ,BAC_OTujW9M</t>
  </si>
  <si>
    <t>Tue, 12 Nov 2024 21:18:32 GMT</t>
  </si>
  <si>
    <t>https://salesxceleration.com/wp-content/uploads/elementor/css/post-47504.css?ver=1768862544</t>
  </si>
  <si>
    <t>Mon, 19 Jan 2026 22:42:24 GMT</t>
  </si>
  <si>
    <t>https://salesxceleration.com/?__hstc=264954448.5a75b0ce6ded236b1a525ae32d6f058b.1762363628984.1766428279618.1766479596590.6&amp;__hssc=264954448.6.1766479596590&amp;__hsfp=2277555685</t>
  </si>
  <si>
    <t>d9a12b220d155ee35c95515de4a6e4c</t>
  </si>
  <si>
    <t>https://salesxceleration.com/wp-content/plugins/gravityforms/assets/css/dist/gravity-forms-theme-reset.min.css?ver=2.9.24</t>
  </si>
  <si>
    <t>https://salesxceleration.com/wp-content/uploads/elementor/css/post-21953.css?ver=1768846880</t>
  </si>
  <si>
    <t>Mon, 19 Jan 2026 18:21:20 GMT</t>
  </si>
  <si>
    <t>https://salesxceleration.com/wp-content/plugins/gravityforms/assets/css/dist/gravity-forms-theme-foundation.min.css?ver=2.9.24</t>
  </si>
  <si>
    <t>https://salesxceleration.com/wp-content/plugins/gravityforms/assets/css/dist/gravity-forms-theme-framework.min.css?ver=2.9.24</t>
  </si>
  <si>
    <t>https://salesxceleration.com/wp-content/uploads/2024/07/Aerospace-Manufacturing-Turning-a-10-Decrease-in-Sales-into-a-14-Increase.pdf</t>
  </si>
  <si>
    <t>Aerospace Manufacturing: Turning a 10% Decrease in Sales into a 14% Increase (Dennis Boyle)</t>
  </si>
  <si>
    <t>DAGKvuaPWgg,BAC_OTujW9M</t>
  </si>
  <si>
    <t>Mon, 22 Jul 2024 15:43:56 GMT</t>
  </si>
  <si>
    <t>https://salesxceleration.com/wp-content/themes/salesxceleratione/assets/css/style.css?ver=1769123350</t>
  </si>
  <si>
    <t>Thu, 22 Jan 2026 23:12:10 GMT</t>
  </si>
  <si>
    <t>https://salesxceleration.com/wp-content/plugins/gravityforms/assets/css/dist/gravity-forms-orbital-theme.min.css?ver=2.9.24</t>
  </si>
  <si>
    <t>https://salesxceleration.com/wp-content/uploads/elementor/css/post-14200.css?ver=1768846880</t>
  </si>
  <si>
    <t>https://salesxceleration.com/wp-content/uploads/elementor/css/post-70672.css?ver=1768864825</t>
  </si>
  <si>
    <t>Mon, 19 Jan 2026 23:20:25 GMT</t>
  </si>
  <si>
    <t>https://salesxceleration.com/wp-content/themes/salesxceleratione/assets/css/style.css?ver=1769123352</t>
  </si>
  <si>
    <t>Thu, 22 Jan 2026 23:09:13 GMT</t>
  </si>
  <si>
    <t>https://salesxceleration.com/wp-content/themes/salesxceleratione/assets/css/style.css?ver=1769123353</t>
  </si>
  <si>
    <t>https://salesxceleration.com/wp-content/uploads/elementor/css/post-25097.css?ver=1768864283</t>
  </si>
  <si>
    <t>Mon, 19 Jan 2026 23:11:23 GMT</t>
  </si>
  <si>
    <t>https://salesxceleration.com/wp-content/uploads/2022/09/Technology-Case-Study-Thumbnail-2048x2048.jpg</t>
  </si>
  <si>
    <t>Fri, 28 Mar 2025 17:22:11 GMT</t>
  </si>
  <si>
    <t>https://salesxceleration.com/wp-content/uploads/2022/03/Case-Study_Healthcare_SX.pdf</t>
  </si>
  <si>
    <t>Wed, 09 Mar 2022 18:17:04 GMT</t>
  </si>
  <si>
    <t>https://salesxceleration.com/wp-content/uploads/2021/09/Case-Study_Manufacturing_Grew-6.2-YOY.pdf</t>
  </si>
  <si>
    <t>Fri, 12 Nov 2021 15:53:54 GMT</t>
  </si>
  <si>
    <t>https://salesxceleration.com/wp-content/uploads/elementor/css/post-16081.css?ver=1768853244</t>
  </si>
  <si>
    <t>Mon, 19 Jan 2026 20:07:24 GMT</t>
  </si>
  <si>
    <t>https://salesxceleration.com/wp-content/uploads/2021/09/Case-Study_Technology_SX.pdf</t>
  </si>
  <si>
    <t>Fri, 12 Nov 2021 15:53:51 GMT</t>
  </si>
  <si>
    <t>https://salesxceleration.com/wp-content/themes/salesxceleratione/assets/css/style.css?ver=1769123354</t>
  </si>
  <si>
    <t>https://salesxceleration.com/wp-content/uploads/2019/03/Case_Study_Manufacturing-page-1.jpg</t>
  </si>
  <si>
    <t>Mon, 03 Jan 2022 14:14:11 GMT</t>
  </si>
  <si>
    <t>https://salesxceleration.com/wp-content/uploads/2019/12/streamline-manu-thumb-2048x2048.jpg</t>
  </si>
  <si>
    <t>Fri, 28 Mar 2025 20:16:36 GMT</t>
  </si>
  <si>
    <t>https://salesxceleration.com/wp-content/uploads/2019/12/Case-Study_Manufacturing-1.jpg</t>
  </si>
  <si>
    <t>Mon, 03 Jan 2022 14:14:18 GMT</t>
  </si>
  <si>
    <t>https://salesxceleration.com/wp-content/themes/salesxceleratione/assets/css/style.css?ver=1769123355</t>
  </si>
  <si>
    <t>https://salesxceleration.com/wp-content/uploads/2019/12/manu-onepage-1.jpg</t>
  </si>
  <si>
    <t>Fri, 12 Nov 2021 16:04:17 GMT</t>
  </si>
  <si>
    <t>https://salesxceleration.com/wp-content/uploads/2021/09/Case_Study_Manufacturing-2.pdf</t>
  </si>
  <si>
    <t>Fri, 12 Nov 2021 15:53:57 GMT</t>
  </si>
  <si>
    <t>https://salesxceleration.com/wp-content/uploads/2021/09/Case-Study_Manufacturing.pdf</t>
  </si>
  <si>
    <t>Fri, 12 Nov 2021 15:53:55 GMT</t>
  </si>
  <si>
    <t>https://salesxceleration.com/wp-content/uploads/2019/10/food_industry_page.jpg</t>
  </si>
  <si>
    <t>Mon, 03 Jan 2022 14:13:02 GMT</t>
  </si>
  <si>
    <t>https://salesxceleration.com/wp-content/uploads/2021/09/Case_Study_Manufacturing.pdf</t>
  </si>
  <si>
    <t>https://salesxceleration.com/wp-content/uploads/2022/07/50-Fastest-Companies-2022_Award-Logo.jpg</t>
  </si>
  <si>
    <t>Tue, 12 Jul 2022 18:43:59 GMT</t>
  </si>
  <si>
    <t>https://salesxceleration.com/wp-content/uploads/2019/10/Case_Study_Food_Industry.pdf</t>
  </si>
  <si>
    <t>Fri, 12 Nov 2021 16:03:39 GMT</t>
  </si>
  <si>
    <t>https://salesxceleration.com/wp-content/uploads/2019/11/Case_Study_Healthcare-1.pdf</t>
  </si>
  <si>
    <t>Fri, 12 Nov 2021 16:03:51 GMT</t>
  </si>
  <si>
    <t>https://salesxceleration.com/wp-content/uploads/2021/10/https___specials-images.forbesimg.com_imageserve_6123a4aee3b7ad2564e3c8cd_Photos-of-featured-members-_960x0.jpg</t>
  </si>
  <si>
    <t>Mon, 03 Jan 2022 14:09:59 GMT</t>
  </si>
  <si>
    <t>https://salesxceleration.com/wp-content/uploads/2021/10/https___specials-images.forbesimg.com_imageserve_6123a4aee3b7ad2564e3c8cd_Photos-of-featured-members-_960x0-300x205.jpg</t>
  </si>
  <si>
    <t>Mon, 03 Jan 2022 14:10:00 GMT</t>
  </si>
  <si>
    <t>https://salesxceleration.com/advisors/paul-mitchell/</t>
  </si>
  <si>
    <t>Paul Mitchell, CSL</t>
  </si>
  <si>
    <t>Paul Mitchell, CSL | Sales Xceleration</t>
  </si>
  <si>
    <t>Los Angeles, CAPaul is a sales professional with a strong track record optimizing bottom-line performance in a variety of industries across the nation.</t>
  </si>
  <si>
    <t>6212d203eab3a2260b7e3b0a10c0d9bd</t>
  </si>
  <si>
    <t>https://salesxceleration.com/advisors/Dan-Mahony/</t>
  </si>
  <si>
    <t>Dan Mahony, CSL</t>
  </si>
  <si>
    <t>Dan Mahony, CSL | Sales Xceleration</t>
  </si>
  <si>
    <t>Greater Atlanta AreaDan is President of Transcendent Sales Solutions, a company that empowers small and medium-sized businesses with sales strategies.</t>
  </si>
  <si>
    <t>https://salesxceleration.com/advisors/dan-mahony/</t>
  </si>
  <si>
    <t>6b1ef945b6c442f2fcb196976c13830b</t>
  </si>
  <si>
    <t>https://salesxceleration.com/wp-content/uploads/2025/02/Presidents-Circle-Winners.jpg</t>
  </si>
  <si>
    <t>Tue, 04 Feb 2025 22:20:39 GMT</t>
  </si>
  <si>
    <t>https://salesxceleration.com/wp-content/themes/salesxceleratione/assets/css/style.css?ver=1769123423</t>
  </si>
  <si>
    <t>Thu, 22 Jan 2026 23:10:24 GMT</t>
  </si>
  <si>
    <t>https://salesxceleration.com/wp-content/uploads/2021/12/New-Advisors-1.02.55-PMa.jpg</t>
  </si>
  <si>
    <t>Mon, 03 Jan 2022 14:01:02 GMT</t>
  </si>
  <si>
    <t>https://salesxceleration.com/advisors/mike-maanum/</t>
  </si>
  <si>
    <t>Mike Maanum</t>
  </si>
  <si>
    <t>Mike Maanum | Sales Expert Minneapolis, Minnesota | Sales Xceleration</t>
  </si>
  <si>
    <t>Mike combines over 20 years’ experience with Sales Xceleration’s proven platform to establish and build winning sales teams for his clients in Minneapolis, Minnesota</t>
  </si>
  <si>
    <t>6fc533cfb22a401074eca12dc85e3c40</t>
  </si>
  <si>
    <t>https://salesxceleration.com/wp-content/uploads/2016/11/Photo-Petroleum-Club-11-8-16-2-scaled-1.jpg</t>
  </si>
  <si>
    <t>Mon, 03 Jan 2022 15:16:03 GMT</t>
  </si>
  <si>
    <t>https://salesxceleration.com/wp-content/uploads/2023/07/SX-AB.jpg</t>
  </si>
  <si>
    <t>Thu, 27 Jul 2023 10:56:22 GMT</t>
  </si>
  <si>
    <t>https://salesxceleration.com/wp-content/themes/salesxceleratione/assets/css/style.css?ver=1769123424</t>
  </si>
  <si>
    <t>Thu, 22 Jan 2026 23:12:14 GMT</t>
  </si>
  <si>
    <t>https://salesxceleration.com/sales-agility-assessment-1-0-kcrandall</t>
  </si>
  <si>
    <t>https://salesxceleration.com/advisors/kelly-crandall/</t>
  </si>
  <si>
    <t>Kelly Crandall, CSL</t>
  </si>
  <si>
    <t>Kelly Crandall, CSL | Sales Xceleration</t>
  </si>
  <si>
    <t>Tampa/St. Petersburg/Clearwater, FLKelly is the President of Next Level Strategies, with 20+ years of experience in growing companies and teams using proven sales processes to fuel growth.</t>
  </si>
  <si>
    <t>2e0d454db3540ade3cbfe401d561c2f2</t>
  </si>
  <si>
    <t>https://salesxceleration.com/wp-content/uploads/2017/09/Kelly-Crandall-Rectangle.jpg</t>
  </si>
  <si>
    <t>Mon, 03 Jan 2022 15:13:09 GMT</t>
  </si>
  <si>
    <t>https://salesxceleration.com/what-we-do/investment-sales-analysis/</t>
  </si>
  <si>
    <t>https://salesxceleration.com/wp-content/uploads/2017/08/Investment-Sales-Analysis-Drivers-Web.jpg</t>
  </si>
  <si>
    <t>Mon, 03 Jan 2022 15:14:06 GMT</t>
  </si>
  <si>
    <t>https://salesxceleration.com/author/neptune-web/</t>
  </si>
  <si>
    <t>Neptune Web</t>
  </si>
  <si>
    <t>Neptune Web, Author at Sales Xceleration</t>
  </si>
  <si>
    <t>84abee900c90be07efeb9449d9ec388c</t>
  </si>
  <si>
    <t>https://salesxceleration.com/wp-content/uploads/2016/01/New-Advisor-Class-December-2015-1.jpg</t>
  </si>
  <si>
    <t>Mon, 03 Jan 2022 15:19:07 GMT</t>
  </si>
  <si>
    <t>https://salesxceleration.com/wp-content/uploads/2022/11/Company-Culture.jpg</t>
  </si>
  <si>
    <t>Wed, 16 Nov 2022 21:56:14 GMT</t>
  </si>
  <si>
    <t>https://salesxceleration.com/wp-content/themes/salesxceleratione/assets/css/style.css?ver=1769123425</t>
  </si>
  <si>
    <t>Thu, 22 Jan 2026 23:12:18 GMT</t>
  </si>
  <si>
    <t>https://salesxceleration.com/wp-content/uploads/2017/04/KathyYenkeNA.jpg</t>
  </si>
  <si>
    <t>Mon, 03 Jan 2022 15:14:47 GMT</t>
  </si>
  <si>
    <t>https://salesxceleration.com/wp-content/uploads/2018/10/October-training-class-imagecrop.png</t>
  </si>
  <si>
    <t>Mon, 03 Jan 2022 15:06:17 GMT</t>
  </si>
  <si>
    <t>https://salesxceleration.com/sales-agility-assessment-1-0-kyenke</t>
  </si>
  <si>
    <t>https://salesxceleration.com/wp-content/uploads/2022/06/sia.jpg</t>
  </si>
  <si>
    <t>Fri, 17 Jun 2022 18:01:25 GMT</t>
  </si>
  <si>
    <t>https://salesxceleration.com/author/maura-kautsky/</t>
  </si>
  <si>
    <t>Maura Kautsky</t>
  </si>
  <si>
    <t>Maura Kautsky, Author at Sales Xceleration</t>
  </si>
  <si>
    <t>https://salesxceleration.com/author/maura-kautsky/page/2/</t>
  </si>
  <si>
    <t>953b56bbdae0bc66a239c554379e220c</t>
  </si>
  <si>
    <t>https://salesxceleration.com/advisors/kathy-yenke/</t>
  </si>
  <si>
    <t>Kathy Yenke, CSL</t>
  </si>
  <si>
    <t>Kathy Yenke, CSL | Sales Xceleration</t>
  </si>
  <si>
    <t>Boston, MAAs the founder of Sales Catalyst Solutions, Kathy specializes in revenue growth and sales excellence to help clients reach their growth &amp; sales targets.</t>
  </si>
  <si>
    <t>bc5ce9ad176ec2e1f1e317d73d6af204</t>
  </si>
  <si>
    <t>https://salesxceleration.com/wp-content/uploads/2024/04/April-2024-Class-e1713887986484.jpg</t>
  </si>
  <si>
    <t>Tue, 23 Apr 2024 15:59:48 GMT</t>
  </si>
  <si>
    <t>https://salesxceleration.com/wp-content/themes/salesxceleratione/assets/css/style.css?ver=1769123426</t>
  </si>
  <si>
    <t>Thu, 22 Jan 2026 23:12:19 GMT</t>
  </si>
  <si>
    <t>https://salesxceleration.com/wp-content/uploads/2022/05/Top20SalesTraining2022-Honorable-lg.png</t>
  </si>
  <si>
    <t>Wed, 18 May 2022 21:20:54 GMT</t>
  </si>
  <si>
    <t>https://salesxceleration.com/wp-content/uploads/2020/02/advisors-0220.jpg</t>
  </si>
  <si>
    <t>Mon, 03 Jan 2022 14:54:39 GMT</t>
  </si>
  <si>
    <t>https://salesxceleration.com/wp-content/uploads/2017/08/Sales-Xceleration-Milestone-50.jpg</t>
  </si>
  <si>
    <t>Mon, 03 Jan 2022 15:13:15 GMT</t>
  </si>
  <si>
    <t>https://salesxceleration.com/wp-content/uploads/2022/02/Feb-2022-Training-Class.jpg</t>
  </si>
  <si>
    <t>Mon, 14 Feb 2022 18:21:07 GMT</t>
  </si>
  <si>
    <t>https://salesxceleration.com/wp-content/themes/salesxceleratione/assets/css/style.css?ver=1769123427</t>
  </si>
  <si>
    <t>https://salesxceleration.com/wp-content/uploads/2019/02/Dec-Class1-scaled.jpg</t>
  </si>
  <si>
    <t>Mon, 03 Jan 2022 15:03:38 GMT</t>
  </si>
  <si>
    <t>https://salesxceleration.com/wp-content/uploads/2019/08/Inc.5000.png</t>
  </si>
  <si>
    <t>Mon, 03 Jan 2022 14:59:04 GMT</t>
  </si>
  <si>
    <t>https://salesxceleration.com/wp-content/themes/salesxceleratione/assets/css/style.css?ver=1769123428</t>
  </si>
  <si>
    <t>https://salesxceleration.com/wp-content/uploads/2022/02/RISE-image.jpg</t>
  </si>
  <si>
    <t>Tue, 22 Feb 2022 20:38:32 GMT</t>
  </si>
  <si>
    <t>https://salesxceleration.com/wp-content/uploads/2019/02/February-2019-New-Sales-Consultants.jpg</t>
  </si>
  <si>
    <t>Mon, 03 Jan 2022 15:03:36 GMT</t>
  </si>
  <si>
    <t>https://salesxceleration.com/wp-content/uploads/2025/10/October-2025-Class.jpg</t>
  </si>
  <si>
    <t>Tue, 28 Oct 2025 16:36:51 GMT</t>
  </si>
  <si>
    <t>https://salesxceleration.com/wp-content/uploads/2013/10/Sales-Xceleration-October-2013.jpg</t>
  </si>
  <si>
    <t>Mon, 03 Jan 2022 15:28:38 GMT</t>
  </si>
  <si>
    <t>https://salesxceleration.com/wp-content/themes/salesxceleratione/assets/css/style.css?ver=1769123429</t>
  </si>
  <si>
    <t>https://salesxceleration.com/wp-content/uploads/2017/03/CEOluchblog.jpg</t>
  </si>
  <si>
    <t>Mon, 03 Jan 2022 15:15:07 GMT</t>
  </si>
  <si>
    <t>https://salesxceleration.com/wp-content/uploads/2021/06/June-2021-Advisor-Class.jpg</t>
  </si>
  <si>
    <t>Mon, 03 Jan 2022 14:36:02 GMT</t>
  </si>
  <si>
    <t>https://salesxceleration.com/wp-content/uploads/2017/07/Sales-Xceleration-New-Advisors-scaled-1.jpg</t>
  </si>
  <si>
    <t>Mon, 03 Jan 2022 15:14:22 GMT</t>
  </si>
  <si>
    <t>https://salesxceleration.com/wp-content/uploads/2024/11/ProCFO-Partners.png</t>
  </si>
  <si>
    <t>Fri, 15 Nov 2024 20:34:27 GMT</t>
  </si>
  <si>
    <t>https://salesxceleration.com/wp-content/uploads/2021/10/Business-Conference-Speaker-2.jpg</t>
  </si>
  <si>
    <t>Mon, 03 Jan 2022 14:10:10 GMT</t>
  </si>
  <si>
    <t>https://salesxceleration.com/wp-content/themes/salesxceleratione/assets/css/style.css?ver=1769123430</t>
  </si>
  <si>
    <t>Thu, 22 Jan 2026 23:12:22 GMT</t>
  </si>
  <si>
    <t>https://salesxceleration.com/wp-content/uploads/2025/07/Lee-Brumbaugh-CEO-Visionary-Sales-Xceleration.jpg</t>
  </si>
  <si>
    <t>Tue, 01 Jul 2025 20:49:42 GMT</t>
  </si>
  <si>
    <t>https://salesxceleration.com/wp-content/uploads/2024/02/February-2024-SX-Advisor-Class.jpg</t>
  </si>
  <si>
    <t>Tue, 27 Feb 2024 21:52:03 GMT</t>
  </si>
  <si>
    <t>https://salesxceleration.com/wp-content/uploads/2024/01/December-2023-Photo-Final.jpg</t>
  </si>
  <si>
    <t>Mon, 08 Jan 2024 15:55:22 GMT</t>
  </si>
  <si>
    <t>https://salesxceleration.com/wp-content/uploads/2023/10/SX-October-2023-Class.jpg</t>
  </si>
  <si>
    <t>Tue, 17 Oct 2023 14:01:23 GMT</t>
  </si>
  <si>
    <t>https://salesxceleration.com/wp-content/themes/salesxceleratione/assets/css/style.css?ver=1769123431</t>
  </si>
  <si>
    <t>Thu, 22 Jan 2026 23:10:32 GMT</t>
  </si>
  <si>
    <t>https://salesxceleration.com/wp-content/uploads/2022/06/Amplify-3.png</t>
  </si>
  <si>
    <t>Wed, 15 Jun 2022 21:03:59 GMT</t>
  </si>
  <si>
    <t>https://salesxceleration.com/wp-content/uploads/2024/06/June-2024-Class-Photo.jpg</t>
  </si>
  <si>
    <t>Wed, 19 Jun 2024 16:59:16 GMT</t>
  </si>
  <si>
    <t>https://salesxceleration.com/wp-content/uploads/2023/04/April-2023-Class-Photo-4.jpeg</t>
  </si>
  <si>
    <t>Fri, 14 Apr 2023 17:52:17 GMT</t>
  </si>
  <si>
    <t>https://salesxceleration.com/wp-content/themes/salesxceleratione/assets/css/style.css?ver=1769123432</t>
  </si>
  <si>
    <t>https://salesxceleration.com/wp-content/uploads/2020/05/Quick-Survey-sm.jpg</t>
  </si>
  <si>
    <t>Fri, 12 Nov 2021 16:04:55 GMT</t>
  </si>
  <si>
    <t>https://salesxceleration.com/wp-content/uploads/2024/08/Sales-Xceleration-Fractional-VPs-of-Sales.jpg</t>
  </si>
  <si>
    <t>Fri, 23 Aug 2024 18:25:14 GMT</t>
  </si>
  <si>
    <t>https://salesxceleration.com/wp-content/themes/salesxceleratione/assets/css/style.css?ver=1769123433</t>
  </si>
  <si>
    <t>https://salesxceleration.com/wp-content/uploads/2022/10/50-Best-Companies-to-Watch-202249.jpg</t>
  </si>
  <si>
    <t>Fri, 14 Oct 2022 11:49:20 GMT</t>
  </si>
  <si>
    <t>https://salesxceleration.com/wp-content/uploads/2022/10/IMG_3389.jpeg</t>
  </si>
  <si>
    <t>Mon, 17 Oct 2022 20:37:47 GMT</t>
  </si>
  <si>
    <t>https://salesxceleration.com/wp-content/uploads/2021/10/Inc.-5000-Color-Medallion-Logo-768x768-1.png</t>
  </si>
  <si>
    <t>Mon, 03 Jan 2022 14:10:07 GMT</t>
  </si>
  <si>
    <t>https://salesxceleration.com/wp-content/uploads/2024/10/October-2024-Class.jpg</t>
  </si>
  <si>
    <t>Wed, 09 Oct 2024 20:35:45 GMT</t>
  </si>
  <si>
    <t>https://salesxceleration.com/wp-content/uploads/2020/05/Business-Silhouettes-scaled-1.jpg</t>
  </si>
  <si>
    <t>Mon, 03 Jan 2022 14:52:20 GMT</t>
  </si>
  <si>
    <t>https://salesxceleration.com/wp-content/themes/salesxceleratione/assets/css/style.css?ver=1769123434</t>
  </si>
  <si>
    <t>Thu, 22 Jan 2026 23:10:34 GMT</t>
  </si>
  <si>
    <t>https://salesxceleration.com/wp-content/uploads/2016/09/Sales-Metrics.png</t>
  </si>
  <si>
    <t>Mon, 03 Jan 2022 15:17:04 GMT</t>
  </si>
  <si>
    <t>https://salesxceleration.com/wp-content/uploads/2021/04/ABA21_Silver_Winner.jpg</t>
  </si>
  <si>
    <t>Mon, 03 Jan 2022 14:37:59 GMT</t>
  </si>
  <si>
    <t>https://salesxceleration.com/wp-content/uploads/2019/04/2019-04-Training-DeHaven-Rowland-Levene-Brim-Bailey-Harrison-Wittal-B.-Jackson.jpg</t>
  </si>
  <si>
    <t>Mon, 03 Jan 2022 15:02:25 GMT</t>
  </si>
  <si>
    <t>https://salesxceleration.com/wp-content/uploads/2017/04/JLblog2.jpg</t>
  </si>
  <si>
    <t>Mon, 03 Jan 2022 15:14:53 GMT</t>
  </si>
  <si>
    <t>https://salesxceleration.com/wp-content/uploads/2017/04/JLblog1.jpg</t>
  </si>
  <si>
    <t>Mon, 03 Jan 2022 15:14:52 GMT</t>
  </si>
  <si>
    <t>https://salesxceleration.com/wp-content/uploads/2025/09/Game-Changing-Sales-Leaders-Join-Sales-Xceleration.jpg</t>
  </si>
  <si>
    <t>Thu, 11 Sep 2025 19:43:52 GMT</t>
  </si>
  <si>
    <t>https://salesxceleration.com/wp-content/themes/salesxceleratione/assets/css/style.css?ver=1769123435</t>
  </si>
  <si>
    <t>Thu, 22 Jan 2026 23:12:26 GMT</t>
  </si>
  <si>
    <t>https://salesxceleration.com/wp-content/uploads/2019/09/salesx5more-scaled.jpg</t>
  </si>
  <si>
    <t>Mon, 03 Jan 2022 14:58:27 GMT</t>
  </si>
  <si>
    <t>https://salesxceleration.com/sales-agility-assessment-1-0-jlee/</t>
  </si>
  <si>
    <t>https://salesxceleration.com/wp-content/uploads/2021/10/2021-08-Training-M.-Ianniciello-C.-Hathaway-K.-Lawson-T.-Hoelderle-V.-Trotta-J.-Costello-1024x768-1.jpg</t>
  </si>
  <si>
    <t>Mon, 03 Jan 2022 14:10:01 GMT</t>
  </si>
  <si>
    <t>https://salesxceleration.com/wp-content/uploads/2016/09/Tower-Club-1.png</t>
  </si>
  <si>
    <t>Mon, 03 Jan 2022 15:17:08 GMT</t>
  </si>
  <si>
    <t>https://salesxceleration.com/wp-content/uploads/2017/10/Dugan-10-17-2017-Workshop.jpg</t>
  </si>
  <si>
    <t>Mon, 03 Jan 2022 15:12:42 GMT</t>
  </si>
  <si>
    <t>https://salesxceleration.com/wp-content/themes/salesxceleratione/assets/css/style.css?ver=1769123436</t>
  </si>
  <si>
    <t>Thu, 22 Jan 2026 23:10:37 GMT</t>
  </si>
  <si>
    <t>https://salesxceleration.com/wp-content/uploads/2016/08/Michael-Wills.png</t>
  </si>
  <si>
    <t>Mon, 03 Jan 2022 15:17:35 GMT</t>
  </si>
  <si>
    <t>https://salesxceleration.com/wp-content/uploads/2015/10/sales-x-2.png</t>
  </si>
  <si>
    <t>Mon, 03 Jan 2022 15:19:40 GMT</t>
  </si>
  <si>
    <t>https://salesxceleration.com/sales-agility-assessment-1-0-mdugan/</t>
  </si>
  <si>
    <t>https://salesxceleration.com/wp-content/themes/salesxceleratione/assets/css/style.css?ver=1769123437</t>
  </si>
  <si>
    <t>Thu, 22 Jan 2026 23:12:27 GMT</t>
  </si>
  <si>
    <t>https://salesxceleration.com/wp-content/uploads/2023/02/IMG_1165-1.jpg</t>
  </si>
  <si>
    <t>Fri, 17 Feb 2023 16:02:15 GMT</t>
  </si>
  <si>
    <t>https://salesxceleration.com/wp-content/uploads/2021/10/Pathfinder-Logo_Final-768x288-1.png</t>
  </si>
  <si>
    <t>Mon, 03 Jan 2022 14:12:05 GMT</t>
  </si>
  <si>
    <t>https://salesxceleration.com/wp-content/uploads/2024/04/PC-2023-Winners.jpg</t>
  </si>
  <si>
    <t>Fri, 05 Apr 2024 18:24:47 GMT</t>
  </si>
  <si>
    <t>https://salesxceleration.com/wp-content/uploads/2020/08/2020-08-Flynn-Bellew-George-Englert-Landsverk-Skerlos-Hardwick-Duckworth-Grand-Toon-Miller-scaled-1.jpg</t>
  </si>
  <si>
    <t>Mon, 03 Jan 2022 14:49:22 GMT</t>
  </si>
  <si>
    <t>https://salesxceleration.com/wp-content/themes/salesxceleratione/assets/css/style.css?ver=1769123438</t>
  </si>
  <si>
    <t>Thu, 22 Jan 2026 23:10:39 GMT</t>
  </si>
  <si>
    <t>https://salesxceleration.com/wp-content/uploads/2025/02/February-2025-Class.jpg</t>
  </si>
  <si>
    <t>Fri, 28 Feb 2025 18:50:22 GMT</t>
  </si>
  <si>
    <t>https://salesxceleration.com/wp-content/uploads/2019/08/shutterstock_1009393072-1-scaled.jpg</t>
  </si>
  <si>
    <t>Mon, 03 Jan 2022 14:58:47 GMT</t>
  </si>
  <si>
    <t>https://salesxceleration.com/wp-content/uploads/2012/07/Book-small.png</t>
  </si>
  <si>
    <t>Mon, 03 Jan 2022 15:28:23 GMT</t>
  </si>
  <si>
    <t>https://salesxceleration.com/wp-content/uploads/2018/06/June_Training.jpg</t>
  </si>
  <si>
    <t>Mon, 03 Jan 2022 15:08:53 GMT</t>
  </si>
  <si>
    <t>https://salesxceleration.com/wp-content/uploads/2023/07/yorCMO-SX-Graphic.jpg</t>
  </si>
  <si>
    <t>Tue, 18 Jul 2023 11:11:25 GMT</t>
  </si>
  <si>
    <t>https://salesxceleration.com/wp-content/uploads/2020/10/2020-10-Training-Ft.-Meyers-J.-Clair-J.-Murphy-L.-Green-R.-Peterson-B.-Marquette-TM-Dickinson-G.-Harper-J.-Soares-S.-Landrum-R.-Jablonski-scaled-1.jpg</t>
  </si>
  <si>
    <t>Mon, 03 Jan 2022 14:48:06 GMT</t>
  </si>
  <si>
    <t>https://salesxceleration.com/wp-content/themes/salesxceleratione/assets/css/style.css?ver=1769123439</t>
  </si>
  <si>
    <t>Thu, 22 Jan 2026 23:10:40 GMT</t>
  </si>
  <si>
    <t>https://salesxceleration.com/wp-content/uploads/2022/12/960x0.jpg</t>
  </si>
  <si>
    <t>Mon, 12 Dec 2022 20:08:28 GMT</t>
  </si>
  <si>
    <t>https://salesxceleration.com/wp-content/uploads/2016/10/Sales-Challenges.png</t>
  </si>
  <si>
    <t>Mon, 03 Jan 2022 15:16:59 GMT</t>
  </si>
  <si>
    <t>https://salesxceleration.com/wp-content/themes/salesxceleratione/assets/css/style.css?ver=1769123440</t>
  </si>
  <si>
    <t>Thu, 22 Jan 2026 23:12:29 GMT</t>
  </si>
  <si>
    <t>https://salesxceleration.com/wp-content/uploads/2021/10/2021-10-Training-Lorz-Kiernan-Specht-Spafford-Oser-Kopp-Callen-Bair-Hefty-Bruner-Meyer-Thacker-Diemer-1024x768-1.jpg</t>
  </si>
  <si>
    <t>Mon, 03 Jan 2022 14:09:57 GMT</t>
  </si>
  <si>
    <t>https://salesxceleration.com/wp-content/uploads/2022/04/2022-04.jpg</t>
  </si>
  <si>
    <t>Mon, 18 Apr 2022 14:50:09 GMT</t>
  </si>
  <si>
    <t>https://salesxceleration.com/wp-content/themes/salesxceleratione/assets/css/style.css?ver=1769123441</t>
  </si>
  <si>
    <t>Thu, 22 Jan 2026 23:10:42 GMT</t>
  </si>
  <si>
    <t>https://salesxceleration.com/wp-content/uploads/2019/06/8e1c95dc-9792-11e9-9926-a0369f10330e-1.png</t>
  </si>
  <si>
    <t>Fri, 12 Nov 2021 16:03:09 GMT</t>
  </si>
  <si>
    <t>https://salesxceleration.com/wp-content/uploads/2019/12/2019-12_Training_R._Pasko-M._King-B._Anderson-C._Byrd-S._Sorenson-scaled-1.jpg</t>
  </si>
  <si>
    <t>Mon, 03 Jan 2022 14:54:58 GMT</t>
  </si>
  <si>
    <t>https://salesxceleration.com/wp-content/uploads/2022/08/August-Class.jpg</t>
  </si>
  <si>
    <t>Mon, 15 Aug 2022 19:56:19 GMT</t>
  </si>
  <si>
    <t>https://salesxceleration.com/wp-content/uploads/2016/06/Sales-Agility-Assessment-Quote.png</t>
  </si>
  <si>
    <t>Mon, 03 Jan 2022 15:18:27 GMT</t>
  </si>
  <si>
    <t>https://salesxceleration.com/wp-content/uploads/2026/01/December-2025-Class.jpg</t>
  </si>
  <si>
    <t>Tue, 06 Jan 2026 15:22:56 GMT</t>
  </si>
  <si>
    <t>https://salesxceleration.com/wp-content/themes/salesxceleratione/assets/css/style.css?ver=1769123442</t>
  </si>
  <si>
    <t>Thu, 22 Jan 2026 23:12:31 GMT</t>
  </si>
  <si>
    <t>https://salesxceleration.com/wp-content/uploads/2020/12/SX-Advisors-12-2020.jpg</t>
  </si>
  <si>
    <t>Fri, 12 Nov 2021 16:05:39 GMT</t>
  </si>
  <si>
    <t>https://salesxceleration.com/wp-content/uploads/2017/01/featured.jpg</t>
  </si>
  <si>
    <t>Mon, 03 Jan 2022 15:15:38 GMT</t>
  </si>
  <si>
    <t>https://salesxceleration.com/wp-content/uploads/2015/11/conference-sales-xceleration-featured.jpg</t>
  </si>
  <si>
    <t>Mon, 03 Jan 2022 15:19:30 GMT</t>
  </si>
  <si>
    <t>https://salesxceleration.com/wp-content/uploads/2025/05/April-2025-Class.jpg</t>
  </si>
  <si>
    <t>Thu, 01 May 2025 20:12:32 GMT</t>
  </si>
  <si>
    <t>https://salesxceleration.com/wp-content/uploads/2021/04/April-Class-2021.jpg</t>
  </si>
  <si>
    <t>Fri, 12 Nov 2021 15:53:07 GMT</t>
  </si>
  <si>
    <t>https://salesxceleration.com/wp-content/themes/salesxceleratione/assets/css/style.css?ver=1769123443</t>
  </si>
  <si>
    <t>Thu, 22 Jan 2026 23:12:33 GMT</t>
  </si>
  <si>
    <t>https://salesxceleration.com/advisors/chris-goade/</t>
  </si>
  <si>
    <t>Chris Goade, CSL</t>
  </si>
  <si>
    <t>Chris Goade, CSL | Sales Xceleration</t>
  </si>
  <si>
    <t>Dallas, TXChris is the owner of Sales Acumen Consulting, building world class sales processes and organizations, resulting in sales and operational success.</t>
  </si>
  <si>
    <t>e0d41fe560653cc0adc770e0b55ba30</t>
  </si>
  <si>
    <t>https://salesxceleration.com/wp-content/uploads/2020/06/Jun-2020-Collage.png</t>
  </si>
  <si>
    <t>Mon, 03 Jan 2022 14:51:28 GMT</t>
  </si>
  <si>
    <t>https://salesxceleration.com/wp-content/uploads/2018/11/hero-bg.jpg</t>
  </si>
  <si>
    <t>Fri, 12 Nov 2021 16:02:21 GMT</t>
  </si>
  <si>
    <t>https://salesxceleration.com/wp-content/uploads/2017/05/Susan-Tourville-Revised-e1495208071287.jpg</t>
  </si>
  <si>
    <t>Mon, 03 Jan 2022 15:14:42 GMT</t>
  </si>
  <si>
    <t>https://salesxceleration.com/sales-agility-assessment-1-0-stourville/</t>
  </si>
  <si>
    <t>https://salesxceleration.com/wp-content/uploads/2022/06/shutterstock_380892946.jpg</t>
  </si>
  <si>
    <t>Wed, 15 Jun 2022 14:49:47 GMT</t>
  </si>
  <si>
    <t>https://salesxceleration.com/wp-content/uploads/2023/08/August-23-Class-Photo.jpg</t>
  </si>
  <si>
    <t>Mon, 14 Aug 2023 13:30:37 GMT</t>
  </si>
  <si>
    <t>https://salesxceleration.com/wp-content/themes/salesxceleratione/assets/css/style.css?ver=1769123444</t>
  </si>
  <si>
    <t>Thu, 22 Jan 2026 23:10:45 GMT</t>
  </si>
  <si>
    <t>https://salesxceleration.com/wp-content/uploads/2024/12/Sales-Xceleration-Welcomes-Expert-Sales-Growth-Leaders.jpg</t>
  </si>
  <si>
    <t>Mon, 16 Dec 2024 16:38:27 GMT</t>
  </si>
  <si>
    <t>https://salesxceleration.com/wp-content/uploads/2021/02/SX-Advisors-02-2021.png</t>
  </si>
  <si>
    <t>Mon, 03 Jan 2022 14:45:04 GMT</t>
  </si>
  <si>
    <t>https://salesxceleration.com/wp-content/uploads/elementor/css/post-26183.css?ver=1768881794</t>
  </si>
  <si>
    <t>Tue, 20 Jan 2026 04:03:14 GMT</t>
  </si>
  <si>
    <t>https://salesxceleration.com/wp-content/themes/salesxceleratione/assets/css/style.css?ver=1769123445</t>
  </si>
  <si>
    <t>Thu, 22 Jan 2026 23:12:36 GMT</t>
  </si>
  <si>
    <t>https://salesxceleration.com/wp-content/uploads/2024/05/IT-Professional-Services-Building-a-Sustainable-Sales-Strategy-for-Accelerated-Growth.pdf</t>
  </si>
  <si>
    <t>IT Professional Services: Building a Sustainable Sales Strategy for Accelerated GroIT Professional Services: Building a Sustainable Sales Strategy for Accelerated Growth</t>
  </si>
  <si>
    <t>"DAFKb_B8TLU,BAC_OTujW9M"</t>
  </si>
  <si>
    <t>Tue, 28 May 2024 11:58:28 GMT</t>
  </si>
  <si>
    <t>https://salesxceleration.com/wp-content/uploads/2022/09/Technology-Case-Study-Thumbnail-1024x1024.jpg</t>
  </si>
  <si>
    <t>Fri, 28 Mar 2025 17:22:12 GMT</t>
  </si>
  <si>
    <t>https://salesxceleration.com/wp-content/uploads/elementor/css/post-26615.css?ver=1768897280</t>
  </si>
  <si>
    <t>Tue, 20 Jan 2026 08:21:20 GMT</t>
  </si>
  <si>
    <t>https://salesxceleration.com/wp-content/themes/salesxceleratione/assets/css/style.css?ver=1769123446</t>
  </si>
  <si>
    <t>https://salesxceleration.com/wp-content/uploads/2024/08/Maintaining-Sales-Momentum-Amidst-Transition-Technology-Case-Study.pdf</t>
  </si>
  <si>
    <t>Maintaining Sales Momentum Amidst Transition: Technology Case Study</t>
  </si>
  <si>
    <t>"DAFQQG87WEU,BAC_OTujW9M"</t>
  </si>
  <si>
    <t>Mon, 26 Aug 2024 20:24:45 GMT</t>
  </si>
  <si>
    <t>https://salesxceleration.com/no-access/download-id/66961/</t>
  </si>
  <si>
    <t>https://salesxceleration.com/no-access/download-id/63802/</t>
  </si>
  <si>
    <t>https://salesxceleration.com/no-access/download-id/68883/</t>
  </si>
  <si>
    <t>https://salesxceleration.com/no-access/download-id/36876/</t>
  </si>
  <si>
    <t>https://salesxceleration.com/no-access/download-id/70147/</t>
  </si>
  <si>
    <t>https://salesxceleration.com/no-access/download-id/68073/</t>
  </si>
  <si>
    <t>https://salesxceleration.com/wp-content/themes/salesxceleratione/assets/css/style.css?ver=1769123450</t>
  </si>
  <si>
    <t>Thu, 22 Jan 2026 23:12:37 GMT</t>
  </si>
  <si>
    <t>https://salesxceleration.com/wp-content/uploads/elementor/css/post-69537.css?ver=1768862554</t>
  </si>
  <si>
    <t>Mon, 19 Jan 2026 22:42:34 GMT</t>
  </si>
  <si>
    <t>https://salesxceleration.com/wp-content/themes/salesxceleratione/assets/css/style.css?ver=1769123451</t>
  </si>
  <si>
    <t>https://salesxceleration.com/wp-content/uploads/2025/07/Driving-25-Higher-Topline-Revenue-for-a-Compostable-Packaging-Company.jpg</t>
  </si>
  <si>
    <t>https://salesxceleration.com/wp-content/uploads/2019/11/retail-thumb-2048x2048.jpg</t>
  </si>
  <si>
    <t>Fri, 28 Mar 2025 17:20:46 GMT</t>
  </si>
  <si>
    <t>https://salesxceleration.com/wp-content/uploads/2020/02/foodagthumb-2048x2048.jpg</t>
  </si>
  <si>
    <t>Fri, 28 Mar 2025 17:20:41 GMT</t>
  </si>
  <si>
    <t>https://salesxceleration.com/wp-content/uploads/2019/07/cs-finance-2048x2048.jpg</t>
  </si>
  <si>
    <t>Fri, 28 Mar 2025 17:20:18 GMT</t>
  </si>
  <si>
    <t>https://salesxceleration.com/wp-content/uploads/2019/10/hvac-thumbnail-2048x2048.jpg</t>
  </si>
  <si>
    <t>Fri, 28 Mar 2025 17:20:54 GMT</t>
  </si>
  <si>
    <t>https://salesxceleration.com/wp-content/uploads/2025/07/Driving-25-Higher-Topline-Revenue-for-a-Compostable-Packaging-Company.pdf</t>
  </si>
  <si>
    <t>Driving 25% Higher Topline Revenue for a Compostable Packaging Company</t>
  </si>
  <si>
    <t>DAGrL90wUJI,BAC_OTujW9M,0</t>
  </si>
  <si>
    <t>Fri, 11 Jul 2025 14:14:08 GMT</t>
  </si>
  <si>
    <t>https://salesxceleration.com/wp-content/uploads/2024/09/Plastic-Manufacturing-22-Sales-Growth-Achieved-with-Expert-Sales-Leadership.pdf</t>
  </si>
  <si>
    <t>DAGPKy7Cavc,BAC_OTujW9M</t>
  </si>
  <si>
    <t>Tue, 03 Sep 2024 21:13:18 GMT</t>
  </si>
  <si>
    <t>https://salesxceleration.com/wp-content/uploads/elementor/css/post-52976.css?ver=1768862545</t>
  </si>
  <si>
    <t>Mon, 19 Jan 2026 22:42:25 GMT</t>
  </si>
  <si>
    <t>https://salesxceleration.com/wp-content/uploads/2023/02/Solving-Gaps-in-Sales-Infrastructure-and-Processes.pdf</t>
  </si>
  <si>
    <t>Sean Moore Case Study Technology No Video</t>
  </si>
  <si>
    <t>DAFbx8OWuoI,BAC_OTujW9M</t>
  </si>
  <si>
    <t>Tue, 28 Feb 2023 21:02:40 GMT</t>
  </si>
  <si>
    <t>https://salesxceleration.com/wp-content/uploads/elementor/css/post-27168.css?ver=1768900069</t>
  </si>
  <si>
    <t>Tue, 20 Jan 2026 09:07:49 GMT</t>
  </si>
  <si>
    <t>https://salesxceleration.com/wp-content/themes/salesxceleratione/assets/css/style.css?ver=1769123452</t>
  </si>
  <si>
    <t>https://salesxceleration.com/wp-content/uploads/elementor/css/post-25782.css?ver=1768862527</t>
  </si>
  <si>
    <t>Mon, 19 Jan 2026 22:42:07 GMT</t>
  </si>
  <si>
    <t>https://salesxceleration.com/wp-content/uploads/elementor/css/post-25952.css?ver=1768891887</t>
  </si>
  <si>
    <t>Tue, 20 Jan 2026 06:51:27 GMT</t>
  </si>
  <si>
    <t>https://salesxceleration.com/wp-content/themes/salesxceleratione/assets/css/style.css?ver=1769123453</t>
  </si>
  <si>
    <t>https://salesxceleration.com/wp-content/uploads/elementor/css/post-14112.css?ver=1768877000</t>
  </si>
  <si>
    <t>Tue, 20 Jan 2026 02:43:20 GMT</t>
  </si>
  <si>
    <t>https://salesxceleration.com/wp-content/uploads/2019/05/2019-05-28_152123.jpg</t>
  </si>
  <si>
    <t>https://salesxceleration.com/wp-content/uploads/elementor/css/post-18605.css?ver=1768862528</t>
  </si>
  <si>
    <t>Mon, 19 Jan 2026 22:42:08 GMT</t>
  </si>
  <si>
    <t>https://salesxceleration.com/wp-content/themes/salesxceleratione/assets/css/style.css?ver=1769123454</t>
  </si>
  <si>
    <t>Thu, 22 Jan 2026 23:12:39 GMT</t>
  </si>
  <si>
    <t>https://salesxceleration.com/wp-content/uploads/elementor/css/post-16266.css?ver=1768940139</t>
  </si>
  <si>
    <t>Tue, 20 Jan 2026 20:15:39 GMT</t>
  </si>
  <si>
    <t>https://salesxceleration.com/wp-content/uploads/elementor/css/post-18128.css?ver=1768948834</t>
  </si>
  <si>
    <t>Tue, 20 Jan 2026 22:40:34 GMT</t>
  </si>
  <si>
    <t>https://salesxceleration.com/wp-content/uploads/2022/02/eBook-How-to-Recruit-Hire-and-Onboard-Top-Sales-Performers-791x1024.jpg</t>
  </si>
  <si>
    <t>Fri, 09 Dec 2022 21:33:07 GMT</t>
  </si>
  <si>
    <t>https://salesxceleration.com/wp-content/uploads/elementor/css/post-36575.css?ver=1768862542</t>
  </si>
  <si>
    <t>Mon, 19 Jan 2026 22:42:22 GMT</t>
  </si>
  <si>
    <t>https://salesxceleration.com/wp-content/uploads/elementor/css/post-61699.css?ver=1768900712</t>
  </si>
  <si>
    <t>Tue, 20 Jan 2026 09:18:32 GMT</t>
  </si>
  <si>
    <t>https://salesxceleration.com/wp-content/uploads/2025/07/AI-for-Sales-Without-Security-Risk.jpg</t>
  </si>
  <si>
    <t>Mon, 21 Jul 2025 17:00:13 GMT</t>
  </si>
  <si>
    <t>https://salesxceleration.com/wp-content/themes/salesxceleratione/assets/css/style.css?ver=1769123459</t>
  </si>
  <si>
    <t>https://salesxceleration.com/wp-content/uploads/2025/11/SAO-YT-Thumbnail-Tom-Gardner-300x169.jpg</t>
  </si>
  <si>
    <t>AI Sales Integration</t>
  </si>
  <si>
    <t>AI Sales Integration: Practical eBook | Sales Xceleration</t>
  </si>
  <si>
    <t>Learn how AI can transform your sales strategy with AI sales integration. Discover cutting-edge tools and techniques to boost sales efficiency and growth.</t>
  </si>
  <si>
    <t>b5af077c097b35a44bb4606a467fac81</t>
  </si>
  <si>
    <t>https://salesxceleration.com/wp-content/uploads/2025/01/Streamlining-Sales-Processes-with-AI-300x169.jpg</t>
  </si>
  <si>
    <t>Tue, 07 Jan 2025 18:48:45 GMT</t>
  </si>
  <si>
    <t>https://salesxceleration.com/wp-content/uploads/2024/06/Future-Proof-Your-Sales-300x168.jpg</t>
  </si>
  <si>
    <t>Thu, 13 Jun 2024 17:05:04 GMT</t>
  </si>
  <si>
    <t>https://salesxceleration.com/wp-content/uploads/2025/10/AI-Powered-Sales-Assistant-300x169.jpg</t>
  </si>
  <si>
    <t>Mon, 13 Oct 2025 17:33:10 GMT</t>
  </si>
  <si>
    <t>https://salesxceleration.com/the-ai-advantage-how-sales-leaders-can-drive-growth-and-efficiency-in-the-new-year/</t>
  </si>
  <si>
    <t>The AI Advantage: How Sales Leaders Can Drive Growth and Efficiency in the New Year</t>
  </si>
  <si>
    <t>1. Assess Current Sales Processes and Identify Needs</t>
  </si>
  <si>
    <t>2. Start Small with Targeted AI Tools</t>
  </si>
  <si>
    <t>The AI Advantage: How Sales Leaders Can Drive Growth and Efficiency in the New Year | Sales Xceleration Blog</t>
  </si>
  <si>
    <t>AI for sales has tools to automate repetitive tasks, generate valuable insights, and empower your team to close deals and enhance customer relationships.</t>
  </si>
  <si>
    <t>eb1f8c71d51fbce50f56a7a24903d444</t>
  </si>
  <si>
    <t>https://salesxceleration.com/wp-content/uploads/2025/01/The-AI-Advantage-300x194.jpg</t>
  </si>
  <si>
    <t>Wed, 08 Jan 2025 12:23:19 GMT</t>
  </si>
  <si>
    <t>https://salesxceleration.com/streamlining-sales-processes-with-ai/</t>
  </si>
  <si>
    <t>Streamlining Sales Processes with AI</t>
  </si>
  <si>
    <t>Common Challenges in Sales Processes</t>
  </si>
  <si>
    <t>How AI Transforms Sales Processes</t>
  </si>
  <si>
    <t>Streamlining Sales Processes with AI | Sales Xceleration Blog</t>
  </si>
  <si>
    <t>A company faced challenges before implementing an AI-powered sales playbook. This real-world example highlights the benefits of integrating AI into sales.</t>
  </si>
  <si>
    <t>d2f582177e7854f590ae6757ebfa915c</t>
  </si>
  <si>
    <t>https://salesxceleration.com/future-proof-your-sales-4-essential-technologies-and-trends/</t>
  </si>
  <si>
    <t>Future-Proof Your Sales: 4 Essential Technologies and Trends</t>
  </si>
  <si>
    <t>1. CRM Systems</t>
  </si>
  <si>
    <t>2. Virtual Selling</t>
  </si>
  <si>
    <t>Future-Proof Your Sales: 4 Essential Technologies and Trends | Sales Xceleration Blog</t>
  </si>
  <si>
    <t>To achieve ongoing and sustainable success, it is crucial to adopt modern trends and emerging technologies within your sales organization.</t>
  </si>
  <si>
    <t>79a446a8582263dc5f551376c8b19c61</t>
  </si>
  <si>
    <t>https://salesxceleration.com/wp-content/themes/salesxceleratione/assets/css/style.css?ver=1769123462</t>
  </si>
  <si>
    <t>Thu, 22 Jan 2026 23:12:40 GMT</t>
  </si>
  <si>
    <t>https://salesxceleration.com/wp-content/uploads/2025/10/SAO-YT-Thumbnail-John-Hirsh-300x169.jpg</t>
  </si>
  <si>
    <t>Tue, 28 Oct 2025 13:52:23 GMT</t>
  </si>
  <si>
    <t>https://salesxceleration.com/wp-content/uploads/2024/01/New-AI-Sales-Trends-300x139.jpg</t>
  </si>
  <si>
    <t>Tue, 02 Jan 2024 21:59:19 GMT</t>
  </si>
  <si>
    <t>https://salesxceleration.com/2024-sales-trends-top-ways-ai-can-support-your-sales-organization/</t>
  </si>
  <si>
    <t>2024 Sales Trends: Top Ways AI Can Support Your Sales Organization</t>
  </si>
  <si>
    <t>2024 Sales Trends: Top Ways AI Can Support Your Sales Organization | Sales Xceleration Blog</t>
  </si>
  <si>
    <t>Artificial Intelligence is transforming the sales industry and providing endless possibilities for businesses to optimize their sales organization.</t>
  </si>
  <si>
    <t>3036fa4889e963734a9ff60b71653f12</t>
  </si>
  <si>
    <t>https://salesxceleration.com/wp-content/themes/salesxceleratione/assets/css/style.css?ver=1769123463</t>
  </si>
  <si>
    <t>Thu, 22 Jan 2026 23:11:03 GMT</t>
  </si>
  <si>
    <t>https://salesxceleration.com/wp-content/uploads/elementor/css/post-67056.css?ver=1768862532</t>
  </si>
  <si>
    <t>Mon, 19 Jan 2026 22:42:12 GMT</t>
  </si>
  <si>
    <t>https://salesxceleration.com/wp-content/uploads/2025/03/How-to-Leverage-AI-to-Optimize-B2B-Lead-Generation-Promo-1024x576.jpg</t>
  </si>
  <si>
    <t>Thu, 06 Mar 2025 21:39:34 GMT</t>
  </si>
  <si>
    <t>https://salesxceleration.com/wp-content/uploads/elementor/css/post-30502.css?ver=1768855838</t>
  </si>
  <si>
    <t>Mon, 19 Jan 2026 20:50:38 GMT</t>
  </si>
  <si>
    <t>AI for Sales Archives | Page 2 of 2 | Sales Xceleration</t>
  </si>
  <si>
    <t>98a3c52fdc3b4e26a8f479def749fbfb</t>
  </si>
  <si>
    <t>https://salesxceleration.com/harnessing-ai-powered-sales-assistants-for-smb-success/</t>
  </si>
  <si>
    <t>Harnessing AI-Powered Sales Assistants for SMB Success</t>
  </si>
  <si>
    <t>Steps to Set Up an AI Sales Assistant in ChatGPT</t>
  </si>
  <si>
    <t>Improving Lead Generation and Customer Engagement</t>
  </si>
  <si>
    <t>Harnessing AI-Powered Sales Assistants for SMB Success | Sales Xceleration Blog</t>
  </si>
  <si>
    <t>Discover how AI-powered sales assistants are transforming SMBs by streamlining operations, boosting customer engagement, and driving sustainable growth.</t>
  </si>
  <si>
    <t>70c095d0760ef1e916c7f61c280c94</t>
  </si>
  <si>
    <t>https://salesxceleration.com/wp-content/uploads/2024/02/Expanding-Business-with-Sales-Playbook_Technology-Case-Study.pdf</t>
  </si>
  <si>
    <t>Ken Hubbard Case Study Sales Playbook</t>
  </si>
  <si>
    <t>DAF833jbcJo,BAC_OTujW9M</t>
  </si>
  <si>
    <t>Thu, 29 Feb 2024 12:55:49 GMT</t>
  </si>
  <si>
    <t>https://salesxceleration.com/wp-content/themes/salesxceleratione/assets/css/style.css?ver=1769123464</t>
  </si>
  <si>
    <t>Thu, 22 Jan 2026 23:12:42 GMT</t>
  </si>
  <si>
    <t>https://salesxceleration.com/wp-content/uploads/elementor/css/post-58243.css?ver=1768862545</t>
  </si>
  <si>
    <t>https://salesxceleration.com/wp-content/themes/salesxceleratione/assets/css/style.css?ver=1769123486</t>
  </si>
  <si>
    <t>https://salesxceleration.com/wp-content/uploads/2019/05/case-study-thumb-2048x2048.jpg</t>
  </si>
  <si>
    <t>Fri, 28 Mar 2025 20:19:28 GMT</t>
  </si>
  <si>
    <t>https://salesxceleration.com/wp-content/themes/salesxceleratione/assets/css/style.css?ver=1769123487</t>
  </si>
  <si>
    <t>Thu, 22 Jan 2026 23:11:27 GMT</t>
  </si>
  <si>
    <t>https://salesxceleration.com/wp-content/uploads/2024/06/Medical-Equipment-Healthcare-Improving-Sales-Infrastructure-for-Long-Term-Success.pdf</t>
  </si>
  <si>
    <t>Medical Equipment Healthcare: Improving Sales Infrastructure for Long-Term Success (Patrick O'Donnell)</t>
  </si>
  <si>
    <t>DAGHL5LbHdU,BAC_OTujW9M</t>
  </si>
  <si>
    <t>Tue, 11 Jun 2024 11:51:27 GMT</t>
  </si>
  <si>
    <t>https://salesxceleration.com/wp-content/uploads/2025/12/Influencer-Marketing-Agency-Building-a-Future-Proof-Sales-Infrastructure-Jackie-Beatty-Updated-12.4.25-2.pdf</t>
  </si>
  <si>
    <t>Influencer Marketing Agency: Building a Future-Proof Sales Infrastructure (Jackie Beatty) (Updated 12.4.25)</t>
  </si>
  <si>
    <t>DAG6lFv5IcA,BAC_OTujW9M,0</t>
  </si>
  <si>
    <t>Thu, 11 Dec 2025 21:21:55 GMT</t>
  </si>
  <si>
    <t>https://salesxceleration.com/five-steps-to-master-personalization-in-sales/</t>
  </si>
  <si>
    <t>Five Steps to Master Personalization in Sales</t>
  </si>
  <si>
    <t>Understanding the Power of Personalization</t>
  </si>
  <si>
    <t>Five Actionable Steps to Tailor Your Sales Approach</t>
  </si>
  <si>
    <t>Five Steps to Master Personalization in Sales | Sales Xceleration Blog</t>
  </si>
  <si>
    <t>Use data insights, tailor communication, and offer personalized solutions to enhance your sales strategy and build stronger relationships.</t>
  </si>
  <si>
    <t>6e991d2eff61a3d2449a7efecaf5acd5</t>
  </si>
  <si>
    <t>https://salesxceleration.com/wp-content/uploads/2019/11/marketing-thumb-2048x2048.jpg</t>
  </si>
  <si>
    <t>Fri, 28 Mar 2025 17:42:20 GMT</t>
  </si>
  <si>
    <t>https://salesxceleration.com/wp-content/uploads/elementor/css/post-46203.css?ver=1768864040</t>
  </si>
  <si>
    <t>Mon, 19 Jan 2026 23:07:20 GMT</t>
  </si>
  <si>
    <t>https://salesxceleration.com/wp-content/uploads/2019/10/pr-case-study-thumb-2048x2048.jpg</t>
  </si>
  <si>
    <t>Fri, 28 Mar 2025 17:42:26 GMT</t>
  </si>
  <si>
    <t>https://salesxceleration.com/wp-content/uploads/2019/03/marketing-case-study1-2048x2048.jpg</t>
  </si>
  <si>
    <t>Fri, 28 Mar 2025 17:42:34 GMT</t>
  </si>
  <si>
    <t>https://salesxceleration.com/wp-content/uploads/2019/07/2019-07-18_161018-768x439.jpg</t>
  </si>
  <si>
    <t>Fri, 28 Mar 2025 20:30:59 GMT</t>
  </si>
  <si>
    <t>https://salesxceleration.com/wp-content/uploads/elementor/css/post-27203.css?ver=1768846144</t>
  </si>
  <si>
    <t>Mon, 19 Jan 2026 18:09:04 GMT</t>
  </si>
  <si>
    <t>https://salesxceleration.com/wp-content/themes/salesxceleratione/assets/css/style.css?ver=1769123490</t>
  </si>
  <si>
    <t>https://salesxceleration.com/wp-content/uploads/2019/12/manu-case-thumb-768x440.jpg</t>
  </si>
  <si>
    <t>Fri, 28 Mar 2025 15:06:52 GMT</t>
  </si>
  <si>
    <t>https://salesxceleration.com/wp-content/uploads/2021/07/thumb-Case-Study_Manufacturing_Grew-6-768x421.jpg</t>
  </si>
  <si>
    <t>Mon, 03 Jan 2022 14:35:46 GMT</t>
  </si>
  <si>
    <t>https://salesxceleration.com/wp-content/plugins/elementor-pro/assets/css/widget-author-box.min.css?ver=3.34.0</t>
  </si>
  <si>
    <t>https://salesxceleration.com/wp-content/uploads/2019/10/pr-case-study-thumb-768x443.jpg</t>
  </si>
  <si>
    <t>Fri, 28 Mar 2025 17:42:23 GMT</t>
  </si>
  <si>
    <t>https://salesxceleration.com/wp-content/uploads/2019/03/tech-case-study1-768x439.jpg</t>
  </si>
  <si>
    <t>Fri, 28 Mar 2025 16:01:17 GMT</t>
  </si>
  <si>
    <t>https://salesxceleration.com/wp-content/uploads/2019/11/retail-thumb-768x439.jpg</t>
  </si>
  <si>
    <t>Fri, 28 Mar 2025 17:20:43 GMT</t>
  </si>
  <si>
    <t>https://salesxceleration.com/wp-content/uploads/2026/01/Why-68-of-Companies-Cant-Trust-Their-Sales-Forecasts-300x200.jpg</t>
  </si>
  <si>
    <t>Mon, 12 Jan 2026 19:40:34 GMT</t>
  </si>
  <si>
    <t>https://salesxceleration.com/wp-content/uploads/2019/05/case-study-thumb-768x440.jpg</t>
  </si>
  <si>
    <t>Fri, 28 Mar 2025 20:19:27 GMT</t>
  </si>
  <si>
    <t>https://salesxceleration.com/wp-content/uploads/2019/11/construction-thumb-768x430.jpg</t>
  </si>
  <si>
    <t>Fri, 28 Mar 2025 17:01:14 GMT</t>
  </si>
  <si>
    <t>https://salesxceleration.com/wp-content/uploads/elementor/css/post-52090.css?ver=1768847962</t>
  </si>
  <si>
    <t>https://salesxceleration.com/wp-content/plugins/elementor/assets/lib/animations/styles/slideInUp.min.css?ver=3.34.0</t>
  </si>
  <si>
    <t>https://salesxceleration.com/wp-content/plugins/elementor-pro/assets/css/modules/motion-fx.min.css?ver=3.34.0</t>
  </si>
  <si>
    <t>https://salesxceleration.com/why-68-cant-trust-sales-forecasts-sales-xceleration/</t>
  </si>
  <si>
    <t>Why 68% Can’t Trust Sales Forecasts | Sales Xceleration</t>
  </si>
  <si>
    <t>Why Forecasting Fails Before the Forecast Ever Begins</t>
  </si>
  <si>
    <t>Why Most Sales Teams are Flying Blind</t>
  </si>
  <si>
    <t>Why 68% Can’t Trust Sales Forecasts | Sales Xceleration | Sales Xceleration Blog</t>
  </si>
  <si>
    <t>Forecasts fail without pipeline visibility. Track a few high-impact activities, enforce CRM discipline, and review weekly to restore forecast accuracy.</t>
  </si>
  <si>
    <t>2fa13f23a3e3ddb5330d05edea06a6a</t>
  </si>
  <si>
    <t>https://salesxceleration.com/wp-content/uploads/elementor/thumbs/Strategy_Quarterly-Meetings-qsxwbixohdmoj0xm8y98p52eoutoxl6c26x557j2rk.jpg</t>
  </si>
  <si>
    <t>Tue, 25 Feb 2025 17:32:28 GMT</t>
  </si>
  <si>
    <t>https://salesxceleration.com/wp-content/themes/salesxceleratione/assets/css/style.css?ver=1769123493</t>
  </si>
  <si>
    <t>Thu, 22 Jan 2026 23:12:44 GMT</t>
  </si>
  <si>
    <t>https://salesxceleration.com/wp-content/uploads/elementor/css/post-65915.css?ver=1768878763</t>
  </si>
  <si>
    <t>Tue, 20 Jan 2026 03:12:43 GMT</t>
  </si>
  <si>
    <t>https://salesxceleration.com/wp-content/uploads/elementor/thumbs/Fractional-Sales-Leader-working-with-Portfolio-Company-r21bbh5ybk2xbz3lorsb6g8hu0nek1luyclaw2bef4.jpg</t>
  </si>
  <si>
    <t>Tue, 25 Feb 2025 17:57:30 GMT</t>
  </si>
  <si>
    <t>https://salesxceleration.com/wp-content/uploads/2019/10/case-study-recruiting-1.jpg</t>
  </si>
  <si>
    <t>Mon, 03 Jan 2022 14:13:47 GMT</t>
  </si>
  <si>
    <t>https://salesxceleration.com/wp-content/uploads/2021/09/Case-Study_Recruiting.pdf</t>
  </si>
  <si>
    <t>Fri, 12 Nov 2021 15:53:59 GMT</t>
  </si>
  <si>
    <t>https://salesxceleration.com/wp-content/themes/salesxceleratione/assets/css/style.css?ver=1769123494</t>
  </si>
  <si>
    <t>Thu, 22 Jan 2026 23:11:35 GMT</t>
  </si>
  <si>
    <t>https://salesxceleration.com/wp-content/uploads/2021/09/Case_Study_Handheld_Equipment_Manufacturing.pdf</t>
  </si>
  <si>
    <t>Fri, 12 Nov 2021 15:53:53 GMT</t>
  </si>
  <si>
    <t>https://salesxceleration.com/wp-content/uploads/2019/12/streamline-manu-thumb.jpg-1.webp</t>
  </si>
  <si>
    <t>Wed, 19 Nov 2025 22:11:29 GMT</t>
  </si>
  <si>
    <t>https://salesxceleration.com/wp-content/uploads/elementor/css/post-15927.css?ver=1768862549</t>
  </si>
  <si>
    <t>Mon, 19 Jan 2026 22:42:29 GMT</t>
  </si>
  <si>
    <t>https://salesxceleration.com/wp-content/uploads/elementor/thumbs/Healthcare-Managed-Services-Team-r21bbv9j62m864j4efvppuoeqspwri5u0adl37qhts.jpg</t>
  </si>
  <si>
    <t>Tue, 25 Feb 2025 17:57:31 GMT</t>
  </si>
  <si>
    <t>https://salesxceleration.com/wp-content/themes/salesxceleratione/assets/css/style.css?ver=1769123495</t>
  </si>
  <si>
    <t>https://salesxceleration.com/wp-content/uploads/2019/10/hvac-pageone.jpg</t>
  </si>
  <si>
    <t>Mon, 03 Jan 2022 14:13:13 GMT</t>
  </si>
  <si>
    <t>https://salesxceleration.com/wp-content/uploads/2020/09/cs-hvac-full-1-2048x2048.jpg</t>
  </si>
  <si>
    <t>Fri, 28 Mar 2025 17:20:33 GMT</t>
  </si>
  <si>
    <t>https://salesxceleration.com/wp-content/uploads/elementor/css/post-17816.css?ver=1768858407</t>
  </si>
  <si>
    <t>Mon, 19 Jan 2026 21:33:27 GMT</t>
  </si>
  <si>
    <t>https://salesxceleration.com/wp-content/uploads/2020/09/Case-Study_Industry_HVAC_SX-Website.pdf</t>
  </si>
  <si>
    <t>Fri, 12 Nov 2021 16:05:18 GMT</t>
  </si>
  <si>
    <t>https://salesxceleration.com/wp-content/uploads/elementor/css/post-16417.css?ver=1768870837</t>
  </si>
  <si>
    <t>Tue, 20 Jan 2026 01:00:37 GMT</t>
  </si>
  <si>
    <t>https://salesxceleration.com/wp-content/uploads/2019/10/Case_Study_HVAC.pdf</t>
  </si>
  <si>
    <t>Fri, 12 Nov 2021 16:03:41 GMT</t>
  </si>
  <si>
    <t>https://salesxceleration.com/wp-content/uploads/elementor/css/post-25098.css?ver=1768862526</t>
  </si>
  <si>
    <t>Mon, 19 Jan 2026 22:42:06 GMT</t>
  </si>
  <si>
    <t>https://salesxceleration.com/wp-content/themes/salesxceleratione/assets/css/style.css?ver=1769123496</t>
  </si>
  <si>
    <t>https://salesxceleration.com/wp-content/uploads/2022/03/Case-Study_Professional-Services_JL_SX.pdf</t>
  </si>
  <si>
    <t>Wed, 09 Mar 2022 18:17:00 GMT</t>
  </si>
  <si>
    <t>https://salesxceleration.com/wp-content/themes/salesxceleratione/assets/css/style.css?ver=1769123497</t>
  </si>
  <si>
    <t>https://salesxceleration.com/wp-content/uploads/2021/02/case-study-sx1-thumb-2048x2048.jpg</t>
  </si>
  <si>
    <t>Fri, 28 Mar 2025 17:42:10 GMT</t>
  </si>
  <si>
    <t>https://salesxceleration.com/wp-content/uploads/2019/03/marketing-case-study1-1.jpg</t>
  </si>
  <si>
    <t>Mon, 03 Jan 2022 14:13:30 GMT</t>
  </si>
  <si>
    <t>https://salesxceleration.com/wp-content/uploads/2020/02/Case_Study_Food___Agriculture.pdf</t>
  </si>
  <si>
    <t>Fri, 12 Nov 2021 16:04:31 GMT</t>
  </si>
  <si>
    <t>https://salesxceleration.com/wp-content/uploads/elementor/css/post-25741.css?ver=1768901001</t>
  </si>
  <si>
    <t>Tue, 20 Jan 2026 09:23:21 GMT</t>
  </si>
  <si>
    <t>https://salesxceleration.com/wp-content/uploads/2019/11/construction-thumb-2048x2048.jpg</t>
  </si>
  <si>
    <t>Fri, 28 Mar 2025 17:01:16 GMT</t>
  </si>
  <si>
    <t>https://salesxceleration.com/wp-content/uploads/2020/01/manu_thumbnail-2048x2048.jpg</t>
  </si>
  <si>
    <t>Fri, 28 Mar 2025 17:01:05 GMT</t>
  </si>
  <si>
    <t>https://salesxceleration.com/wp-content/uploads/2021/09/Case-Study_Marketing_March.pdf</t>
  </si>
  <si>
    <t>Fri, 12 Nov 2021 15:53:48 GMT</t>
  </si>
  <si>
    <t>https://salesxceleration.com/wp-content/uploads/2022/05/thumb-Case-Study_Construction_SX-1-2048x2048.jpg</t>
  </si>
  <si>
    <t>Fri, 28 Mar 2025 17:00:55 GMT</t>
  </si>
  <si>
    <t>https://salesxceleration.com/wp-content/uploads/2022/05/Case-Study_Construction-Paving_SX-1.pdf</t>
  </si>
  <si>
    <t>Thu, 12 May 2022 17:57:52 GMT</t>
  </si>
  <si>
    <t>https://salesxceleration.com/wp-content/uploads/elementor/css/post-22928.css?ver=1768861625</t>
  </si>
  <si>
    <t>Mon, 19 Jan 2026 22:27:05 GMT</t>
  </si>
  <si>
    <t>https://salesxceleration.com/wp-content/themes/salesxceleratione/assets/css/style.css?ver=1769123498</t>
  </si>
  <si>
    <t>Thu, 22 Jan 2026 23:11:39 GMT</t>
  </si>
  <si>
    <t>https://salesxceleration.com/wp-content/uploads/elementor/css/post-25728.css?ver=1768865722</t>
  </si>
  <si>
    <t>Mon, 19 Jan 2026 23:35:22 GMT</t>
  </si>
  <si>
    <t>https://salesxceleration.com/wp-content/uploads/2022/04/Case-Study_Manufacturing_Calibration.pdf</t>
  </si>
  <si>
    <t>Tue, 26 Apr 2022 17:18:18 GMT</t>
  </si>
  <si>
    <t>https://salesxceleration.com/wp-content/uploads/2022/05/thumb-Case-Study_Construction-Paving_SX-1-2048x2048.jpg</t>
  </si>
  <si>
    <t>Fri, 28 Mar 2025 20:25:21 GMT</t>
  </si>
  <si>
    <t>https://salesxceleration.com/wp-content/uploads/elementor/css/post-18658.css?ver=1768864365</t>
  </si>
  <si>
    <t>Mon, 19 Jan 2026 23:12:45 GMT</t>
  </si>
  <si>
    <t>https://salesxceleration.com/wp-content/uploads/2021/09/Case-Study_Manufacturing_SX_041221.pdf</t>
  </si>
  <si>
    <t>https://salesxceleration.com/wp-content/themes/salesxceleratione/assets/css/style.css?ver=1769123499</t>
  </si>
  <si>
    <t>Thu, 22 Jan 2026 23:12:46 GMT</t>
  </si>
  <si>
    <t>https://salesxceleration.com/wp-content/uploads/2019/11/payroll-casestudy-onepage-1.jpg</t>
  </si>
  <si>
    <t>Mon, 03 Jan 2022 14:13:37 GMT</t>
  </si>
  <si>
    <t>https://salesxceleration.com/wp-content/uploads/2021/09/Case_Study_PEO_Payroll_Case-Study.pdf</t>
  </si>
  <si>
    <t>https://salesxceleration.com/wp-content/uploads/2019/11/marketing-casestudy-onepage-1.jpg</t>
  </si>
  <si>
    <t>Mon, 03 Jan 2022 14:13:40 GMT</t>
  </si>
  <si>
    <t>https://salesxceleration.com/wp-content/uploads/2019/11/Case_Study_Marketing_Case-Study-1.pdf</t>
  </si>
  <si>
    <t>Fri, 12 Nov 2021 16:03:56 GMT</t>
  </si>
  <si>
    <t>https://salesxceleration.com/wp-content/uploads/2019/03/tech-case-study1-1.jpg</t>
  </si>
  <si>
    <t>Fri, 12 Nov 2021 16:02:42 GMT</t>
  </si>
  <si>
    <t>https://salesxceleration.com/wp-content/uploads/2022/05/Case-Study_Construction_SX.pdf</t>
  </si>
  <si>
    <t>Wed, 04 May 2022 20:24:29 GMT</t>
  </si>
  <si>
    <t>https://salesxceleration.com/wp-content/themes/salesxceleratione/assets/css/style.css?ver=1769123500</t>
  </si>
  <si>
    <t>Thu, 22 Jan 2026 23:12:47 GMT</t>
  </si>
  <si>
    <t>https://salesxceleration.com/wp-content/uploads/elementor/css/post-13656.css?ver=1768856712</t>
  </si>
  <si>
    <t>Mon, 19 Jan 2026 21:05:12 GMT</t>
  </si>
  <si>
    <t>https://salesxceleration.com/wp-content/uploads/2019/07/2019-05-10_145944.jpg</t>
  </si>
  <si>
    <t>Mon, 03 Jan 2022 14:12:57 GMT</t>
  </si>
  <si>
    <t>https://salesxceleration.com/wp-content/uploads/2019/07/Case-Study_Finance_093020.pdf</t>
  </si>
  <si>
    <t>Fri, 12 Nov 2021 16:03:12 GMT</t>
  </si>
  <si>
    <t>https://salesxceleration.com/wp-content/uploads/2019/03/Case-Study_Technology_March.pdf</t>
  </si>
  <si>
    <t>Fri, 12 Nov 2021 16:02:43 GMT</t>
  </si>
  <si>
    <t>https://salesxceleration.com/wp-content/uploads/2019/07/2019-07-18_161018-2048x2048.jpg</t>
  </si>
  <si>
    <t>Fri, 28 Mar 2025 20:30:58 GMT</t>
  </si>
  <si>
    <t>https://salesxceleration.com/wp-content/uploads/elementor/css/post-17815.css?ver=1768850108</t>
  </si>
  <si>
    <t>Mon, 19 Jan 2026 19:15:08 GMT</t>
  </si>
  <si>
    <t>https://salesxceleration.com/wp-content/uploads/2022/05/thumb-Case-Study_Food-Industry_SX-1-2048x2048.jpg</t>
  </si>
  <si>
    <t>Fri, 28 Mar 2025 17:47:03 GMT</t>
  </si>
  <si>
    <t>https://salesxceleration.com/wp-content/uploads/2019/11/marketing-2.jpg</t>
  </si>
  <si>
    <t>Mon, 03 Jan 2022 14:13:33 GMT</t>
  </si>
  <si>
    <t>https://salesxceleration.com/wp-content/uploads/2019/11/Case_Study_Marketing-2.pdf</t>
  </si>
  <si>
    <t>Fri, 12 Nov 2021 16:03:54 GMT</t>
  </si>
  <si>
    <t>https://salesxceleration.com/wp-content/themes/salesxceleratione/assets/css/style.css?ver=1769123501</t>
  </si>
  <si>
    <t>https://salesxceleration.com/wp-content/uploads/elementor/css/post-18508.css?ver=1768854537</t>
  </si>
  <si>
    <t>Mon, 19 Jan 2026 20:28:57 GMT</t>
  </si>
  <si>
    <t>https://salesxceleration.com/wp-content/uploads/2020/09/Case-Study_Distribution_SX-Web.pdf</t>
  </si>
  <si>
    <t>Fri, 12 Nov 2021 16:05:17 GMT</t>
  </si>
  <si>
    <t>https://salesxceleration.com/wp-content/uploads/2021/02/Case-Study_Marketing_SX.pdf</t>
  </si>
  <si>
    <t>Fri, 12 Nov 2021 15:52:43 GMT</t>
  </si>
  <si>
    <t>https://salesxceleration.com/wp-content/uploads/2022/06/Case-Study_Security_SX.pdf</t>
  </si>
  <si>
    <t>Tue, 07 Jun 2022 20:21:34 GMT</t>
  </si>
  <si>
    <t>https://salesxceleration.com/wp-content/uploads/elementor/css/post-25843.css?ver=1768862551</t>
  </si>
  <si>
    <t>Mon, 19 Jan 2026 22:42:31 GMT</t>
  </si>
  <si>
    <t>https://salesxceleration.com/wp-content/uploads/2019/07/Case-Study_Logistics-1-1.jpg</t>
  </si>
  <si>
    <t>Mon, 03 Jan 2022 14:13:25 GMT</t>
  </si>
  <si>
    <t>https://salesxceleration.com/wp-content/uploads/2019/07/Case-Study_Logistics-1.pdf</t>
  </si>
  <si>
    <t>Fri, 12 Nov 2021 16:03:14 GMT</t>
  </si>
  <si>
    <t>https://salesxceleration.com/wp-content/themes/salesxceleratione/assets/css/style.css?ver=1769123502</t>
  </si>
  <si>
    <t>https://salesxceleration.com/wp-content/uploads/2020/09/cs-distrib-full-1-2048x2048.jpg</t>
  </si>
  <si>
    <t>Fri, 28 Mar 2025 17:47:15 GMT</t>
  </si>
  <si>
    <t>https://salesxceleration.com/wp-content/uploads/elementor/css/post-28525.css?ver=1768860984</t>
  </si>
  <si>
    <t>Mon, 19 Jan 2026 22:16:24 GMT</t>
  </si>
  <si>
    <t>https://salesxceleration.com/wp-content/uploads/2021/09/Case_Study_Public_Relations.pdf</t>
  </si>
  <si>
    <t>Fri, 12 Nov 2021 15:53:49 GMT</t>
  </si>
  <si>
    <t>https://salesxceleration.com/wp-content/uploads/2019/10/pr-case-study-1.jpg</t>
  </si>
  <si>
    <t>Mon, 03 Jan 2022 14:13:44 GMT</t>
  </si>
  <si>
    <t>https://salesxceleration.com/wp-content/uploads/elementor/css/post-19018.css?ver=1768862536</t>
  </si>
  <si>
    <t>Mon, 19 Jan 2026 22:42:16 GMT</t>
  </si>
  <si>
    <t>https://salesxceleration.com/wp-content/uploads/2023/08/Driving-Sales-Efficiency-Through-Strategic-Transformation-Manufacturing-Case-Study_SX.pdf</t>
  </si>
  <si>
    <t>Driving Sales Efficiency Through Strategic Transformation- Manufacturing Case Study</t>
  </si>
  <si>
    <t>DAFruAv6XII,BAC_OTujW9M</t>
  </si>
  <si>
    <t>Mon, 28 Aug 2023 20:51:55 GMT</t>
  </si>
  <si>
    <t>https://salesxceleration.com/wp-content/themes/salesxceleratione/assets/css/style.css?ver=1769123503</t>
  </si>
  <si>
    <t>Thu, 22 Jan 2026 23:11:43 GMT</t>
  </si>
  <si>
    <t>https://salesxceleration.com/wp-content/uploads/2019/11/construction-onepage-1.jpg</t>
  </si>
  <si>
    <t>Mon, 03 Jan 2022 14:12:44 GMT</t>
  </si>
  <si>
    <t>https://salesxceleration.com/wp-content/uploads/elementor/css/post-69843.css?ver=1768862530</t>
  </si>
  <si>
    <t>Mon, 19 Jan 2026 22:42:10 GMT</t>
  </si>
  <si>
    <t>https://salesxceleration.com/wp-content/uploads/2025/07/Early-Education-Thumbnail.jpg</t>
  </si>
  <si>
    <t>https://salesxceleration.com/wp-content/uploads/elementor/css/post-26154.css?ver=1768858960</t>
  </si>
  <si>
    <t>Mon, 19 Jan 2026 21:42:40 GMT</t>
  </si>
  <si>
    <t>https://salesxceleration.com/wp-content/uploads/2025/07/Transforming-Early-Education-Sales-Success-18-Year-Over-Year-Revenue-Growth.pdf</t>
  </si>
  <si>
    <t>Transforming Early Education Sales Success: 18% Year-Over-Year Revenue Growth</t>
  </si>
  <si>
    <t>DAGt0mrQh4M,BAC_OTujW9M,0</t>
  </si>
  <si>
    <t>Mon, 28 Jul 2025 19:53:01 GMT</t>
  </si>
  <si>
    <t>https://salesxceleration.com/wp-content/uploads/elementor/css/post-18447.css?ver=1768914655</t>
  </si>
  <si>
    <t>Tue, 20 Jan 2026 13:10:55 GMT</t>
  </si>
  <si>
    <t>https://salesxceleration.com/wp-content/uploads/2025/01/go-to-market-manufacturing-case-study.pdf</t>
  </si>
  <si>
    <t>Kathy Yenke Case Study</t>
  </si>
  <si>
    <t>DAFKwKgybn8,BAC_OTujW9M</t>
  </si>
  <si>
    <t>Tue, 28 Jan 2025 22:03:07 GMT</t>
  </si>
  <si>
    <t>https://salesxceleration.com/wp-content/uploads/2021/09/Case_Study_Manufacturing2.pdf</t>
  </si>
  <si>
    <t>Fri, 12 Nov 2021 15:54:08 GMT</t>
  </si>
  <si>
    <t>https://salesxceleration.com/wp-content/uploads/elementor/css/post-16005.css?ver=1768862533</t>
  </si>
  <si>
    <t>Mon, 19 Jan 2026 22:42:13 GMT</t>
  </si>
  <si>
    <t>https://salesxceleration.com/wp-content/uploads/2019/11/Case_Study_Construction-1.pdf</t>
  </si>
  <si>
    <t>Fri, 12 Nov 2021 16:03:49 GMT</t>
  </si>
  <si>
    <t>https://salesxceleration.com/wp-content/themes/salesxceleratione/assets/css/style.css?ver=1769123504</t>
  </si>
  <si>
    <t>Thu, 22 Jan 2026 23:12:49 GMT</t>
  </si>
  <si>
    <t>https://salesxceleration.com/wp-content/uploads/2019/11/retail-page-one-1.jpg</t>
  </si>
  <si>
    <t>Fri, 12 Nov 2021 16:03:57 GMT</t>
  </si>
  <si>
    <t>https://salesxceleration.com/wp-content/uploads/2021/09/Case-Study_Manufacturing_SX.pdf</t>
  </si>
  <si>
    <t>Fri, 12 Nov 2021 15:54:01 GMT</t>
  </si>
  <si>
    <t>https://salesxceleration.com/wp-content/uploads/2021/09/Case_Study_Retail.pdf</t>
  </si>
  <si>
    <t>Fri, 12 Nov 2021 15:53:50 GMT</t>
  </si>
  <si>
    <t>https://salesxceleration.com/wp-content/uploads/elementor/css/post-25674.css?ver=1768859045</t>
  </si>
  <si>
    <t>Mon, 19 Jan 2026 21:44:05 GMT</t>
  </si>
  <si>
    <t>https://salesxceleration.com/wp-content/uploads/elementor/css/post-18507.css?ver=1768880060</t>
  </si>
  <si>
    <t>Tue, 20 Jan 2026 03:34:20 GMT</t>
  </si>
  <si>
    <t>https://salesxceleration.com/wp-content/themes/salesxceleratione/assets/css/style.css?ver=1769123505</t>
  </si>
  <si>
    <t>https://salesxceleration.com/wp-content/uploads/2021/09/Case-Study_JP_Technology_SX.pdf</t>
  </si>
  <si>
    <t>https://salesxceleration.com/wp-content/uploads/elementor/css/post-16019.css?ver=1768848826</t>
  </si>
  <si>
    <t>https://salesxceleration.com/wp-content/uploads/elementor/css/post-22925.css?ver=1768862537</t>
  </si>
  <si>
    <t>Mon, 19 Jan 2026 22:42:17 GMT</t>
  </si>
  <si>
    <t>https://salesxceleration.com/wp-content/uploads/2020/01/Case_Study_Construction-Manufacturing.pdf</t>
  </si>
  <si>
    <t>Fri, 12 Nov 2021 16:04:26 GMT</t>
  </si>
  <si>
    <t>https://salesxceleration.com/wp-content/uploads/2022/05/Case-Study_Food-Industry_SX.pdf</t>
  </si>
  <si>
    <t>Wed, 04 May 2022 12:04:38 GMT</t>
  </si>
  <si>
    <t>https://salesxceleration.com/wp-content/uploads/2021/10/Metal-Fab.pdf</t>
  </si>
  <si>
    <t>Fri, 12 Nov 2021 15:54:53 GMT</t>
  </si>
  <si>
    <t>https://salesxceleration.com/wp-content/uploads/2019/11/healthcare-casestudy-onepage-1.jpg</t>
  </si>
  <si>
    <t>Mon, 03 Jan 2022 14:13:06 GMT</t>
  </si>
  <si>
    <t>https://salesxceleration.com/wp-content/uploads/2021/09/Case_Study_Technology.pdf</t>
  </si>
  <si>
    <t>https://salesxceleration.com/wp-content/themes/salesxceleratione/assets/css/style.css?ver=1769123356</t>
  </si>
  <si>
    <t>Thu, 22 Jan 2026 23:12:51 GMT</t>
  </si>
  <si>
    <t>https://salesxceleration.com/wp-content/uploads/2019/11/healthcare-case-one-page-1.jpg</t>
  </si>
  <si>
    <t>Mon, 03 Jan 2022 14:13:10 GMT</t>
  </si>
  <si>
    <t>https://salesxceleration.com/wp-content/uploads/2023/03/Developing-a-Strategy-for-Ensured-Success.pdf</t>
  </si>
  <si>
    <t>Sean Moore Case Study Healthcare No Video</t>
  </si>
  <si>
    <t>DAFcKnt1UM4,BAC_OTujW9M</t>
  </si>
  <si>
    <t>Mon, 13 Mar 2023 18:40:43 GMT</t>
  </si>
  <si>
    <t>https://salesxceleration.com/wp-content/uploads/2025/11/SAO-YT-Thumbnail-Tom-Gardner.jpg</t>
  </si>
  <si>
    <t>https://salesxceleration.com/wp-content/uploads/2025/10/SAO-YT-Thumbnail-John-Hirsh.jpg</t>
  </si>
  <si>
    <t>Tue, 28 Oct 2025 13:52:21 GMT</t>
  </si>
  <si>
    <t>https://salesxceleration.com/wp-content/uploads/2019/11/Case_Study_Home_Healthcare-1.pdf</t>
  </si>
  <si>
    <t>Fri, 12 Nov 2021 16:03:52 GMT</t>
  </si>
  <si>
    <t>https://salesxceleration.com/wp-content/themes/salesxceleratione/assets/css/style.css?ver=1769123357</t>
  </si>
  <si>
    <t>Thu, 22 Jan 2026 23:09:17 GMT</t>
  </si>
  <si>
    <t>Why Sales Training Alone Won’t Improve a Business’s Revenue – Part 4 of Our Series on “Why Sales Training Isn’t Enough”</t>
  </si>
  <si>
    <t>Why Sales Training Alone Won't Improve a Business's Revenue</t>
  </si>
  <si>
    <t>For small and medium business owners, we often hear sales consultants prescribe sales training as the remedy for fixing an underperforming sales team.</t>
  </si>
  <si>
    <t>2367eed8944606ca20fc767028c51211</t>
  </si>
  <si>
    <t>https://salesxceleration.com/wp-content/uploads/2024/05/Mastering-AI-for-Sales-Prospecting.jpg</t>
  </si>
  <si>
    <t>Mon, 06 May 2024 17:50:18 GMT</t>
  </si>
  <si>
    <t>https://salesxceleration.com/wp-content/uploads/elementor/css/post-72624.css?ver=1768862553</t>
  </si>
  <si>
    <t>Mon, 19 Jan 2026 22:42:33 GMT</t>
  </si>
  <si>
    <t>https://salesxceleration.com/wp-content/uploads/2014/09/Leading-lagging-sales-2048x2048.jpg</t>
  </si>
  <si>
    <t>Fri, 28 Mar 2025 15:41:05 GMT</t>
  </si>
  <si>
    <t>https://salesxceleration.com/wp-content/uploads/2025/12/SAO-YT-Thumbnail-Kurt-Schneiber.jpg</t>
  </si>
  <si>
    <t>Tue, 02 Dec 2025 19:41:54 GMT</t>
  </si>
  <si>
    <t>https://salesxceleration.com/mastering-ai-for-sales-prospecting/</t>
  </si>
  <si>
    <t>Mastering AI for Sales Prospecting</t>
  </si>
  <si>
    <t>AI’s Role in Sales Prospecting</t>
  </si>
  <si>
    <t>Building the Sales Pipeline</t>
  </si>
  <si>
    <t>Mastering AI for Sales Prospecting | Sales Xceleration Blog</t>
  </si>
  <si>
    <t>Sales Prospecting is key to growth - explore actionable ways to harness AI in your sales prospecting, allowing you to work smarter to close more deals.</t>
  </si>
  <si>
    <t>ba160a9a9655db0125f9bd2702ebc4a3</t>
  </si>
  <si>
    <t>https://salesxceleration.com/are-you-leading-or-lagging-in-sales-why-your-metrics-should-berevolutionary/</t>
  </si>
  <si>
    <t>Are You Leading or Lagging in Sales? Why Your Metrics Should Be…Revolutionary</t>
  </si>
  <si>
    <t>Improve Your Sales Metrics | Sales Xceleration Blog</t>
  </si>
  <si>
    <t>“Lead, follow, or get out of the way.” Those words ring true - with the right mix of leading and lagging indicators being a guidepost for sales success.</t>
  </si>
  <si>
    <t>8f104d28cd92fa99d3383ca35fffa772</t>
  </si>
  <si>
    <t>https://salesxceleration.com/how-do-you-keep-sales-human-in-an-ai-driven-world/</t>
  </si>
  <si>
    <t>How Do You Keep Sales Human In An AI-Driven World?</t>
  </si>
  <si>
    <t>Key takeaways:</t>
  </si>
  <si>
    <t>Episode highlights:</t>
  </si>
  <si>
    <t>How Do You Keep Sales Human In An AI-Driven World? | Sales Against The Odds</t>
  </si>
  <si>
    <t>Podcast: Lee Brumbaugh and AI strategist John Hirsh explore how AI reshapes sales, blending human authenticity with smart automation for deeper connections.</t>
  </si>
  <si>
    <t>Very Easy</t>
  </si>
  <si>
    <t>b4dffcd8c899fe6a1f922a436aa7f03c</t>
  </si>
  <si>
    <t>https://salesxceleration.com/wp-content/uploads/2022/02/It-is-my-passion-2048x2048.jpg</t>
  </si>
  <si>
    <t>Fri, 28 Mar 2025 15:02:49 GMT</t>
  </si>
  <si>
    <t>https://salesxceleration.com/wp-content/uploads/2015/03/top-20-percent-sales-xceleration-2048x2048.png</t>
  </si>
  <si>
    <t>Sun, 30 Mar 2025 03:50:44 GMT</t>
  </si>
  <si>
    <t>https://salesxceleration.com/wp-content/uploads/2025/11/SAO-YT-Thumbnail-Nick-Friedman.jpg</t>
  </si>
  <si>
    <t>https://salesxceleration.com/wp-content/uploads/elementor/css/post-72614.css?ver=1768846336</t>
  </si>
  <si>
    <t>Mon, 19 Jan 2026 18:12:16 GMT</t>
  </si>
  <si>
    <t>https://salesxceleration.com/wp-content/uploads/2022/03/Corporate-Travel-2048x2048.jpg</t>
  </si>
  <si>
    <t>Fri, 28 Mar 2025 15:41:30 GMT</t>
  </si>
  <si>
    <t>https://salesxceleration.com/how-do-i-join-the-20-and-not-the-80/</t>
  </si>
  <si>
    <t>How Do I Join the 20% and Not the 80%?</t>
  </si>
  <si>
    <t>How Do I Join the 20% and Not the 80%? | Sales Xceleration Blog</t>
  </si>
  <si>
    <t>The 80% / 20% rule applies in sales and in about every company and industry, and you can get there by focusing on the right things within your control.</t>
  </si>
  <si>
    <t>4562e996c68938d79fc5e746648df279</t>
  </si>
  <si>
    <t>https://salesxceleration.com/wp-content/uploads/2022/05/Business-Lifeline-2048x2048.jpg</t>
  </si>
  <si>
    <t>Fri, 28 Mar 2025 15:02:40 GMT</t>
  </si>
  <si>
    <t>https://salesxceleration.com/wp-content/uploads/elementor/css/post-72931.css?ver=1768855127</t>
  </si>
  <si>
    <t>Mon, 19 Jan 2026 20:38:47 GMT</t>
  </si>
  <si>
    <t>https://salesxceleration.com/wp-content/themes/salesxceleratione/assets/css/style.css?ver=1769123358</t>
  </si>
  <si>
    <t>Thu, 22 Jan 2026 23:09:18 GMT</t>
  </si>
  <si>
    <t>https://salesxceleration.com/what-are-you-passionate-about-and-what-are-you-doing-about-it/</t>
  </si>
  <si>
    <t>What Are You Passionate About? (And What Are You Doing About It?)</t>
  </si>
  <si>
    <t>Just What is This “Passion Thing” Anyway?</t>
  </si>
  <si>
    <t>Connecting to Purpose</t>
  </si>
  <si>
    <t>What Are You Passionate About? (And What Are You Doing About It?) | Sales Xceleration Blog</t>
  </si>
  <si>
    <t>Finding your passion brings a huge sense of joy, and sales leadership consultants find deep career satisfaction by serving as a Fractional VP of Sales.</t>
  </si>
  <si>
    <t>2faa6f1dffa94329791f41f7b47f8e86</t>
  </si>
  <si>
    <t>https://salesxceleration.com/looking-forward-to-endless-hours-in-planes-trains-and-automobiles-heres-an-alternative/</t>
  </si>
  <si>
    <t>Looking Forward to Endless Hours in Planes, Trains, and Automobiles? Here’s an Alternative…</t>
  </si>
  <si>
    <t>The Pandemic Pause</t>
  </si>
  <si>
    <t>Fast Forwarding to a Better Future</t>
  </si>
  <si>
    <t>Looking Forward to Endless Hours in Planes, Trains, and Automobiles? Here’s an Alternative… | Sales Xceleration Blog</t>
  </si>
  <si>
    <t>Become a fractional time sales leadership consultant and enjoy freedom and control as you leverage your vast experience to serve and make a difference.</t>
  </si>
  <si>
    <t>e887da690ad3dcbea821c9a36cf88b45</t>
  </si>
  <si>
    <t>https://salesxceleration.com/wp-content/uploads/2025/12/SAO-YT-Thumbnail-Bryan-Cressey.jpg</t>
  </si>
  <si>
    <t>Thu, 11 Dec 2025 15:53:31 GMT</t>
  </si>
  <si>
    <t>https://salesxceleration.com/wp-content/uploads/elementor/css/post-72821.css?ver=1768862524</t>
  </si>
  <si>
    <t>Mon, 19 Jan 2026 22:42:04 GMT</t>
  </si>
  <si>
    <t>https://salesxceleration.com/wp-content/uploads/2014/09/Sales-Growth-accountability-2048x2048.jpg</t>
  </si>
  <si>
    <t>Fri, 28 Mar 2025 15:41:22 GMT</t>
  </si>
  <si>
    <t>https://salesxceleration.com/looking-for-a-lifeline-maybe-you-are-the-lifeline-for-businesses-in-need/</t>
  </si>
  <si>
    <t>Looking for a Lifeline? (Maybe YOU Are the Lifeline for Businesses in Need)</t>
  </si>
  <si>
    <t>The Corporate Lifeline</t>
  </si>
  <si>
    <t>The Lifeline You (and Others) Need is Yourself</t>
  </si>
  <si>
    <t>Looking for a Lifeline? (Maybe YOU Are the Lifeline for Businesses in Need) | Sales Xceleration Blog</t>
  </si>
  <si>
    <t>What you’ve accomplished in your sales career can be the lifeline to your next chapter and you can be the lifeline that empowers businesses to thrive again.</t>
  </si>
  <si>
    <t>debb00d88f5ac508a2d4ff8968a0e264</t>
  </si>
  <si>
    <t>https://salesxceleration.com/wp-content/uploads/elementor/css/post-73141.css?ver=1768846288</t>
  </si>
  <si>
    <t>Mon, 19 Jan 2026 18:11:28 GMT</t>
  </si>
  <si>
    <t>https://salesxceleration.com/wp-content/uploads/2026/01/SAO-YT-Thumbnail-Tim-Van-Mieghem.jpg</t>
  </si>
  <si>
    <t>https://salesxceleration.com/focus-on-sales-growth-the-accountability-factor/</t>
  </si>
  <si>
    <t>Focus on Sales Growth: The Accountability Factor</t>
  </si>
  <si>
    <t>Focus on Sales Growth: The Accountability Factor | Sales Xceleration Blog</t>
  </si>
  <si>
    <t>Simply put, accountability is one of the most impactful ways to help a struggling organization achieve its sales and growth goals.</t>
  </si>
  <si>
    <t>7add6aa0ac0b80d4c659982368bbc041</t>
  </si>
  <si>
    <t>https://salesxceleration.com/wp-content/plugins/wp-job-manager/assets/dist/js/job-application.js?ver=f98f84a4980682498065</t>
  </si>
  <si>
    <t>https://salesxceleration.com/wp-content/themes/salesxceleratione/assets/css/style.css?ver=1769123360</t>
  </si>
  <si>
    <t>Thu, 22 Jan 2026 23:12:55 GMT</t>
  </si>
  <si>
    <t>https://salesxceleration.com/wp-content/themes/salesxceleratione/assets/css/style.css?ver=1769123361</t>
  </si>
  <si>
    <t>Thu, 22 Jan 2026 23:09:25 GMT</t>
  </si>
  <si>
    <t>https://salesxceleration.com/wp-content/themes/salesxceleratione/assets/css/style.css?ver=1769123362</t>
  </si>
  <si>
    <t>Thu, 22 Jan 2026 23:12:57 GMT</t>
  </si>
  <si>
    <t>https://salesxceleration.com/wp-content/themes/salesxceleratione/assets/css/style.css?ver=1769123363</t>
  </si>
  <si>
    <t>Thu, 22 Jan 2026 23:09:24 GMT</t>
  </si>
  <si>
    <t>https://salesxceleration.com/wp-content/uploads/elementor/css/post-71337.css?ver=1768862523</t>
  </si>
  <si>
    <t>Mon, 19 Jan 2026 22:42:03 GMT</t>
  </si>
  <si>
    <t>https://salesxceleration.com/wp-content/themes/salesxceleratione/assets/css/style.css?ver=1769123364</t>
  </si>
  <si>
    <t>https://salesxceleration.com/wp-content/uploads/elementor/css/post-26692.css?ver=1768846160</t>
  </si>
  <si>
    <t>Mon, 19 Jan 2026 18:09:20 GMT</t>
  </si>
  <si>
    <t>https://salesxceleration.com/wp-content/themes/salesxceleratione/assets/css/style.css?ver=1769123368</t>
  </si>
  <si>
    <t>https://salesxceleration.com/wp-content/themes/salesxceleratione/assets/css/style.css?ver=1769123389</t>
  </si>
  <si>
    <t>http://salesxceleration.com/contact-us</t>
  </si>
  <si>
    <t>https://salesxceleration.com/contact-us</t>
  </si>
  <si>
    <t>http://salesxceleration.com/</t>
  </si>
  <si>
    <t>https://salesxceleration.com/wp-content/themes/salesxceleratione/assets/css/style.css?ver=1769123411</t>
  </si>
  <si>
    <t>https://www.salesxceleration.com/</t>
  </si>
  <si>
    <t>https://salesxceleration.com/wp-content/themes/salesxceleratione/assets/css/style.css?ver=1769123413</t>
  </si>
  <si>
    <t>https://salesxceleration.com/wp-content/uploads/elementor/css/post-21524.css?ver=1768849081</t>
  </si>
  <si>
    <t>Mon, 19 Jan 2026 18:58:01 GMT</t>
  </si>
  <si>
    <t>https://salesxceleration.com/wp-content/themes/salesxceleratione/assets/css/style.css?ver=1769123416</t>
  </si>
  <si>
    <t>Thu, 22 Jan 2026 23:10:17 GMT</t>
  </si>
  <si>
    <t>https://salesxceleration.com/wp-content/uploads/2023/10/The-Power-of-Serving-Versus-Selling-300x200.jpg</t>
  </si>
  <si>
    <t>https://salesxceleration.com/wp-content/uploads/2023/11/Fractional-Work-300x200.jpg</t>
  </si>
  <si>
    <t>Fri, 17 Nov 2023 17:58:54 GMT</t>
  </si>
  <si>
    <t>https://salesxceleration.com/wp-content/uploads/2022/12/Business-Opportunity-300x200.jpg</t>
  </si>
  <si>
    <t>Wed, 07 Dec 2022 12:22:55 GMT</t>
  </si>
  <si>
    <t>https://salesxceleration.com/wp-content/uploads/2023/03/Fractional-Sales-Leadership-Consultants-300x200.jpg</t>
  </si>
  <si>
    <t>Mon, 20 Mar 2023 21:09:21 GMT</t>
  </si>
  <si>
    <t>https://salesxceleration.com/wp-content/uploads/2023/04/Business-Ninjas-WriteForMe-178-SalesXceleration-300x169.jpg</t>
  </si>
  <si>
    <t>Wed, 19 Apr 2023 13:48:24 GMT</t>
  </si>
  <si>
    <t>https://salesxceleration.com/wp-content/uploads/2025/02/Podcast-Episode_Transforming-Sales-for-Growth-300x169.png</t>
  </si>
  <si>
    <t>Wed, 19 Feb 2025 20:37:32 GMT</t>
  </si>
  <si>
    <t>https://salesxceleration.com/why-our-advisors-chose-fractional-sales-leadership-consulting/</t>
  </si>
  <si>
    <t>Why Our Advisors Chose Fractional Sales Leadership Consulting</t>
  </si>
  <si>
    <t>Question 1: In general, what did you find intriguing and appealing about the fractional sales leadership consulting opportunity?</t>
  </si>
  <si>
    <t>Question 2: What do you see as the primary advantages of fractional sales leadership consulting when compared with corporate sales executive roles?</t>
  </si>
  <si>
    <t>Why Our Advisors Chose Fractional Sales Leadership Consulting | Sales Xceleration Blog</t>
  </si>
  <si>
    <t>Stepping away from the corporate grind has led our Advisors to a place where they find the rewards of working with passion and a sense of purpose.</t>
  </si>
  <si>
    <t>ac02ba9274112b0be3caac753a00fe75</t>
  </si>
  <si>
    <t>https://salesxceleration.com/can-being-too-resilient-keep-you-from-realizing-opportunity/</t>
  </si>
  <si>
    <t>Can Being Too Resilient Keep You from Realizing Opportunity?</t>
  </si>
  <si>
    <t>Just What IS This Resilience Thing, Anyway?</t>
  </si>
  <si>
    <t>The Dangers of Being Over-Resilient</t>
  </si>
  <si>
    <t>Can Being Too Resilient Keep You from Realizing Opportunity? | Sales Xceleration Blog</t>
  </si>
  <si>
    <t>Can one be too resilient? Constantly giving into a sense of resilience can keep us from tapping into our true strengths and important opportunities.</t>
  </si>
  <si>
    <t>9b387ca24a6be223c296dc521f08ff8b</t>
  </si>
  <si>
    <t>https://salesxceleration.com/leading-with-heart-sales-marketing-and-servant-leadership/</t>
  </si>
  <si>
    <t>Leading with Heart: Sales, Marketing, and Servant Leadership</t>
  </si>
  <si>
    <t>Leading with Heart: Sales, Marketing, and Servant Leadership | Sales Xceleration Blog</t>
  </si>
  <si>
    <t>Maura Kautsky emphasizes the need for clarity in roles, the power of fractional leadership, and the integration of AI in sales and marketing strategies.</t>
  </si>
  <si>
    <t>d0e530782efccf20eb47be5c255c9cd7</t>
  </si>
  <si>
    <t>https://salesxceleration.com/thriving-with-outsourced-sales-leadership/</t>
  </si>
  <si>
    <t>Thriving with Outsourced Sales Leadership</t>
  </si>
  <si>
    <t>Success Story 1: A Technology Company</t>
  </si>
  <si>
    <t>Success Story 2: A Manufacturing Company</t>
  </si>
  <si>
    <t>Thriving with Outsourced Sales Leadership | Sales Xceleration Blog</t>
  </si>
  <si>
    <t>Outsourced sales leadership has become a game-changer for many organizations, offering a fresh perspective and expertise that can dramatically improve sales outcomes.</t>
  </si>
  <si>
    <t>fb1adad5f411aa9ab1fd567706921776</t>
  </si>
  <si>
    <t>https://salesxceleration.com/wp-content/uploads/2023/03/Fractional-Sales-Leader-300x200.jpg</t>
  </si>
  <si>
    <t>Mon, 20 Mar 2023 21:11:29 GMT</t>
  </si>
  <si>
    <t>https://salesxceleration.com/wp-content/uploads/2024/02/Outsourced-Sales-Leadership-300x200.jpg</t>
  </si>
  <si>
    <t>https://salesxceleration.com/wp-content/uploads/2024/01/Leading-with-Heart_Podcast-300x300.jpg</t>
  </si>
  <si>
    <t>Tue, 07 May 2024 07:01:44 GMT</t>
  </si>
  <si>
    <t>https://salesxceleration.com/the-rise-of-fractional-sales-leadership-a-growing-opportunity-for-sales-leaders/</t>
  </si>
  <si>
    <t>The Rise of Fractional Sales Leadership: A Growing Opportunity for Sales Leaders</t>
  </si>
  <si>
    <t>The Rise of Fractional Sales Leadership: A Growing Opportunity for Sales Leaders | Sales Xceleration Blog</t>
  </si>
  <si>
    <t>Fractional sales leaders are transforming sales organizations by streamlining processes and improving infrastructure in a variety of critical ways.</t>
  </si>
  <si>
    <t>c93cd61592a857c03fc6ce34dc705a2c</t>
  </si>
  <si>
    <t>https://salesxceleration.com/category/sales-consulting/page/3/</t>
  </si>
  <si>
    <t>Sales Consulting Archives | Page 3 of 16 | Sales Xceleration</t>
  </si>
  <si>
    <t>https://salesxceleration.com/category/sales-consulting/page/4/</t>
  </si>
  <si>
    <t>2e0add9114460fc42dd8e6c2d614bc83</t>
  </si>
  <si>
    <t>https://salesxceleration.com/category/sales-consulting/page/5/</t>
  </si>
  <si>
    <t>Sales Consulting Archives | Page 5 of 16 | Sales Xceleration</t>
  </si>
  <si>
    <t>https://salesxceleration.com/category/sales-consulting/page/6/</t>
  </si>
  <si>
    <t>cc860daf2db5b015aa2f573b62a24cae</t>
  </si>
  <si>
    <t>https://salesxceleration.com/wp-content/uploads/2024/08/Fractional-Sales-Leadership-300x200.jpg</t>
  </si>
  <si>
    <t>Mon, 19 Aug 2024 18:34:04 GMT</t>
  </si>
  <si>
    <t>https://salesxceleration.com/youve-earned-respect-but-are-you-still-getting-it/</t>
  </si>
  <si>
    <t>You’ve Earned Respect But Are You Still Getting It?</t>
  </si>
  <si>
    <t>The Impact of Lack of Respect</t>
  </si>
  <si>
    <t>Reaching the Point of Diminishing Respect</t>
  </si>
  <si>
    <t>You’ve Earned Respect But Are You Still Getting It? | Sales Xceleration Blog</t>
  </si>
  <si>
    <t>For many sales leaders, especially those with many years or even decades of experience and top performance, feeling disrespected creeps in over time.</t>
  </si>
  <si>
    <t>46cd68ec1e114f612ee740911a29b535</t>
  </si>
  <si>
    <t>https://salesxceleration.com/wp-content/uploads/2023/07/Businesswoman-in-thought-300x218.jpg</t>
  </si>
  <si>
    <t>Wed, 12 Jul 2023 19:49:43 GMT</t>
  </si>
  <si>
    <t>https://salesxceleration.com/wp-content/uploads/2023/02/finding-your-professional-purpose-300x200.jpg</t>
  </si>
  <si>
    <t>Fri, 03 Feb 2023 12:24:07 GMT</t>
  </si>
  <si>
    <t>https://salesxceleration.com/fresh-starts-new-beginnings-and-finding-your-professional-purpose/</t>
  </si>
  <si>
    <t>Fresh Starts, New Beginnings, and Finding Your Professional Purpose</t>
  </si>
  <si>
    <t>The Backstory</t>
  </si>
  <si>
    <t>Everything Changes</t>
  </si>
  <si>
    <t>Fresh Starts, New Beginnings, and Finding Your Professional Purpose | Sales Xceleration Blog</t>
  </si>
  <si>
    <t>Fresh starts are always possible. It takes a dream, desire, and drive to yield the kind of rewards that come from finding your professional purpose.</t>
  </si>
  <si>
    <t>85fffeb3dd92a973130d60f5bec97e4b</t>
  </si>
  <si>
    <t>https://salesxceleration.com/fractional-work-the-ultimate-smart-business-competitive-advantage/</t>
  </si>
  <si>
    <t>Fractional Work: The Ultimate Smart-Business Competitive Advantage</t>
  </si>
  <si>
    <t>What is Fractional Work?</t>
  </si>
  <si>
    <t>The Growth of Fractional Work</t>
  </si>
  <si>
    <t>Fractional Work: The Ultimate Smart-Business Competitive Advantage | Sales Xceleration Blog</t>
  </si>
  <si>
    <t>Fractional work empowers businesses to access the expertise they need to succeed without incurring the overhead of hiring full-time employees and leaders.</t>
  </si>
  <si>
    <t>210009e9d02e22b61a9d464a83f2819e</t>
  </si>
  <si>
    <t>Sales Consulting Archives | Page 2 of 16 | Sales Xceleration</t>
  </si>
  <si>
    <t>a1a857694df09dda34a3ca030519f93c</t>
  </si>
  <si>
    <t>Sales Consulting Archives | Page 4 of 16 | Sales Xceleration</t>
  </si>
  <si>
    <t>c2bc5365503f0df8b2e2443e03236101</t>
  </si>
  <si>
    <t>https://salesxceleration.com/sales-xceleration-your-partner-for-sales-success/</t>
  </si>
  <si>
    <t>Sales Xceleration: Your Partner for Sales Success</t>
  </si>
  <si>
    <t>Sales Xceleration: Your Partner for Sales Success | Sales Xceleration Blog</t>
  </si>
  <si>
    <t>At Sales Xceleration our mission is to grow your sales. We are more than a consulting company; our Outsourced VPs of Sales take the time to learn about your</t>
  </si>
  <si>
    <t>cd3fb584479e26dc5af6485f04bd2f1a</t>
  </si>
  <si>
    <t>https://salesxceleration.com/schedule-a-consultation/</t>
  </si>
  <si>
    <t>https://salesxceleration.com/wp-content/themes/salesxceleratione/assets/css/style.css?ver=1769123417</t>
  </si>
  <si>
    <t>Thu, 22 Jan 2026 23:13:03 GMT</t>
  </si>
  <si>
    <t>https://salesxceleration.com/the-power-of-serving-versus-selling/</t>
  </si>
  <si>
    <t>The Power of Serving Versus Selling</t>
  </si>
  <si>
    <t>The Trouble with Selling</t>
  </si>
  <si>
    <t>The Power of Serving</t>
  </si>
  <si>
    <t>The Power of Serving Versus Selling | Sales Xceleration Blog</t>
  </si>
  <si>
    <t>Lead with a servant's heart to inspire others and contribute to a healthier world. Your purpose can motivate others, creating a ripple effect of success.</t>
  </si>
  <si>
    <t>ed6d2b86789987c0344bdb63e5989fff</t>
  </si>
  <si>
    <t>https://salesxceleration.com/transforming-sales-for-growth/</t>
  </si>
  <si>
    <t>Transforming Sales for Growth</t>
  </si>
  <si>
    <t>EPISODE 1</t>
  </si>
  <si>
    <t>EPISODE 2</t>
  </si>
  <si>
    <t>Transforming Sales for Growth | Sales Xceleration Blog</t>
  </si>
  <si>
    <t>Unlock the hidden potential within your company with The Shocking Profit Podcast – Transforming Sales for Growth with Maura Kautsky.</t>
  </si>
  <si>
    <t>7d7e42296df9ccaaf08019382fddf6b4</t>
  </si>
  <si>
    <t>https://salesxceleration.com/surprising-statistics-in-support-of-fractional-sales-leadership-consulting/</t>
  </si>
  <si>
    <t>Surprising Statistics in Support of Fractional Sales Leadership Consulting</t>
  </si>
  <si>
    <t>The Big State-of-Sales Picture According to SMBs</t>
  </si>
  <si>
    <t>A Closer Look at the State of Sales Strategy</t>
  </si>
  <si>
    <t>Surprising Statistics in Support of Fractional Sales Leadership Consulting | Sales Xceleration Blog</t>
  </si>
  <si>
    <t>Small to mid-size businesses are underperforming. Not surprising, considering they struggle to find full-time sales leadership at the Sales Manager level.</t>
  </si>
  <si>
    <t>dc8ca58df3fb00aea559bfc505555efa</t>
  </si>
  <si>
    <t>https://salesxceleration.com/wp-content/uploads/2023/07/Advisor-Class-Press-Release.jpg</t>
  </si>
  <si>
    <t>Mon, 17 Jul 2023 11:45:50 GMT</t>
  </si>
  <si>
    <t>https://salesxceleration.com/wp-content/uploads/2017/03/MicahelWillsPost.jpg</t>
  </si>
  <si>
    <t>Mon, 03 Jan 2022 15:15:15 GMT</t>
  </si>
  <si>
    <t>https://www.salesxceleration.com/find-an-advisor/</t>
  </si>
  <si>
    <t>https://salesxceleration.com/post-author/michael-wills/</t>
  </si>
  <si>
    <t>https://salesxceleration.com/advisors/michael-wills/</t>
  </si>
  <si>
    <t>https://salesxceleration.com/what-we-do/genesis-sales-plan/</t>
  </si>
  <si>
    <t>Michael Wills, CSL</t>
  </si>
  <si>
    <t>Michael Wills, CSL | Sales Xceleration</t>
  </si>
  <si>
    <t>Ft. Lauderdale, FLMichael, founder of Top Line Solutions, specializes in Outsourced Sales Leadership, focusing on revenue growth for small and medium sized businesses.</t>
  </si>
  <si>
    <t>83e4d10f48b809240c25c4f9b850736c</t>
  </si>
  <si>
    <t>https://salesxceleration.com/what-we-do/genesis-plus/</t>
  </si>
  <si>
    <t>https://salesxceleration.com/advisors/joe-jackson/</t>
  </si>
  <si>
    <t>Joe Jackson, CSL</t>
  </si>
  <si>
    <t>Joe Jackson, CSL | Sales Xceleration</t>
  </si>
  <si>
    <t>Columbus, OHWith 20+ years of experience, Joe works with clients to increase revenue growth, improve profitability and implement a comprehensive sales strategy.</t>
  </si>
  <si>
    <t>f9addf34b653d22b7cac0594af41941</t>
  </si>
  <si>
    <t>https://salesxceleration.com/advisors/john-lee-jr/</t>
  </si>
  <si>
    <t>https://salesxceleration.com/advisors/john-lee/</t>
  </si>
  <si>
    <t>https://salesxceleration.com/wp-content/uploads/2018/01/blogblog.jpg</t>
  </si>
  <si>
    <t>Mon, 03 Jan 2022 15:11:33 GMT</t>
  </si>
  <si>
    <t>https://salesxceleration.com/find-an-advisor/</t>
  </si>
  <si>
    <t>https://salesxceleration.com/advisors/susan-tourville/</t>
  </si>
  <si>
    <t>Susan Tourville, CSL</t>
  </si>
  <si>
    <t>Susan Tourville, CSL | Sales Xceleration</t>
  </si>
  <si>
    <t>Northeast &amp; Central WISusan, founder of Strategy Tuning, helps small and mid-sized businesses break through growth barriers by incorporating a proven sales organization framework.</t>
  </si>
  <si>
    <t>d526c4558bbe7e2c4f39e7a1e8028192</t>
  </si>
  <si>
    <t>https://salesxceleration.com/wp-content/uploads/2025/06/SX-Fractional-Sales-Leaders_June-2025.jpg</t>
  </si>
  <si>
    <t>Thu, 26 Jun 2025 21:00:12 GMT</t>
  </si>
  <si>
    <t>https://salesxceleration.com/wp-content/themes/salesxceleratione/assets/css/style.css?ver=1769123418</t>
  </si>
  <si>
    <t>Thu, 22 Jan 2026 23:13:05 GMT</t>
  </si>
  <si>
    <t>https://salesxceleration.com/wp-content/uploads/2022/08/Inc.-5000-Color-Medallion-Logo.png</t>
  </si>
  <si>
    <t>Fri, 19 Aug 2022 10:40:19 GMT</t>
  </si>
  <si>
    <t>https://salesxceleration.com/wp-content/uploads/2023/09/OMG-x-SX.png</t>
  </si>
  <si>
    <t>Tue, 25 Jun 2024 20:06:27 GMT</t>
  </si>
  <si>
    <t>https://salesxceleration.com/wp-content/uploads/2024/08/sx-knai.webp</t>
  </si>
  <si>
    <t>Thu, 22 Aug 2024 11:24:56 GMT</t>
  </si>
  <si>
    <t>https://salesxceleration.com/wp-content/uploads/2020/08/Inc5000_Medallion_Color-1.png</t>
  </si>
  <si>
    <t>Mon, 03 Jan 2022 14:49:30 GMT</t>
  </si>
  <si>
    <t>https://salesxceleration.com/wp-content/uploads/2016/06/Sales-Xceleration-Agility_Logo-Study-02.jpg</t>
  </si>
  <si>
    <t>Fri, 12 Nov 2021 15:57:19 GMT</t>
  </si>
  <si>
    <t>https://salesxceleration.com/business-growth-during-covid-were-proof-it-can-be-done/</t>
  </si>
  <si>
    <t>Business Growth During COVID? We’re Proof it Can Be Done!</t>
  </si>
  <si>
    <t>Recognizing Underlying Problems and Vulnerabilities</t>
  </si>
  <si>
    <t>Solving Problems and Vulnerabilities and Creating Growth Opportunities</t>
  </si>
  <si>
    <t>Business Growth During COVID? We’re Proof it Can Be Done! | Sales Xceleration Blog</t>
  </si>
  <si>
    <t>COVID-19 has shaken us all. Through illness and loss, it has reminded us of what matters most: family and friends. But beyond these priorities and worldview</t>
  </si>
  <si>
    <t>8808ac39eeeb883059577aef987851e6</t>
  </si>
  <si>
    <t>https://salesxceleration.com/contact-us/contact-info/</t>
  </si>
  <si>
    <t>https://salesxceleration.com/wp-content/uploads/2017/09/newsnews.jpg</t>
  </si>
  <si>
    <t>Fri, 12 Nov 2021 16:00:32 GMT</t>
  </si>
  <si>
    <t>https://salesxceleration.com/wp-content/themes/salesxceleratione/assets/css/style.css?ver=1769123419</t>
  </si>
  <si>
    <t>Thu, 22 Jan 2026 23:13:08 GMT</t>
  </si>
  <si>
    <t>https://salesxceleration.com/wp-content/uploads/2019/10/October_Class_Photo-scaled-1.jpg</t>
  </si>
  <si>
    <t>Mon, 03 Jan 2022 14:56:46 GMT</t>
  </si>
  <si>
    <t>https://salesxceleration.com/wp-content/themes/salesxceleratione/assets/css/style.css?ver=1769123420</t>
  </si>
  <si>
    <t>Thu, 22 Jan 2026 23:13:09 GMT</t>
  </si>
  <si>
    <t>http://www.salesxceleration.com/</t>
  </si>
  <si>
    <t>https://salesxceleration.com/wp-content/uploads/2025/05/Expansion-1.jpg</t>
  </si>
  <si>
    <t>Mon, 19 May 2025 18:40:41 GMT</t>
  </si>
  <si>
    <t>https://salesxceleration.com/wp-content/uploads/2016/10/Liftfund1.jpg</t>
  </si>
  <si>
    <t>Mon, 03 Jan 2022 15:16:55 GMT</t>
  </si>
  <si>
    <t>https://salesxceleration.com/author/loft/</t>
  </si>
  <si>
    <t>Jim Becher</t>
  </si>
  <si>
    <t>Jim Becher, Author at Sales Xceleration</t>
  </si>
  <si>
    <t>1164211c6868d794c89c42bac22ca322</t>
  </si>
  <si>
    <t>https://salesxceleration.com/wp-content/uploads/2016/10/Liftfund3-1.jpg</t>
  </si>
  <si>
    <t>Mon, 03 Jan 2022 15:16:47 GMT</t>
  </si>
  <si>
    <t>https://salesxceleration.com/wp-content/uploads/2018/01/Genesis-Plus-featured.png</t>
  </si>
  <si>
    <t>Fri, 12 Nov 2021 16:00:51 GMT</t>
  </si>
  <si>
    <t>https://salesxceleration.com/who-we-are/advisors/</t>
  </si>
  <si>
    <t>https://salesxceleration.com/wp-content/uploads/2021/11/FIREFLY_LOGO_JPEG.jpg</t>
  </si>
  <si>
    <t>Thu, 10 Feb 2022 15:30:32 GMT</t>
  </si>
  <si>
    <t>https://salesxceleration.com/advisors/kevin-shaughnessy/</t>
  </si>
  <si>
    <t>Kevin Shaughnessy, CSL</t>
  </si>
  <si>
    <t>Kevin Shaughnessy, CSL | Sales Xceleration</t>
  </si>
  <si>
    <t>San Antonio, TXKevin, President of Sales Implementation LLC, facilitates sales and profitability growth, providing clients with a comprehensive sales strategy.</t>
  </si>
  <si>
    <t>f1540f6fe4b4d15651efbade4cdd242d</t>
  </si>
  <si>
    <t>https://salesxceleration.com/wp-content/themes/salesxceleratione/assets/css/style.css?ver=1769123421</t>
  </si>
  <si>
    <t>Thu, 22 Jan 2026 23:13:10 GMT</t>
  </si>
  <si>
    <t>https://salesxceleration.com/wp-content/uploads/2019/06/June-2019-Sales-Xceleration-New-Consultants-1-scaled.jpg</t>
  </si>
  <si>
    <t>Mon, 03 Jan 2022 14:59:41 GMT</t>
  </si>
  <si>
    <t>https://salesxceleration.com/wp-content/uploads/2023/02/December-Class-Photo.jpg</t>
  </si>
  <si>
    <t>Wed, 01 Feb 2023 16:11:20 GMT</t>
  </si>
  <si>
    <t>https://salesxceleration.com/advisors/glenn-nixon/</t>
  </si>
  <si>
    <t>Glenn Nixon, CSL</t>
  </si>
  <si>
    <t>Glenn Nixon, CSL | Sales Xceleration</t>
  </si>
  <si>
    <t>Detroit, MIGlenn Nixon brings over 35 years experience and expertise in sales leadership and consulting to service businesses in Southeast Michigan and Southwest Florida.</t>
  </si>
  <si>
    <t>135043b83b1ca9b8d338d7be217a582e</t>
  </si>
  <si>
    <t>https://salesxceleration.com/advisors/tony-watson/</t>
  </si>
  <si>
    <t>Tony Watson, CSL</t>
  </si>
  <si>
    <t>Tony Watson, CSL | Sales Xceleration</t>
  </si>
  <si>
    <t>Buffalo, NYTony Watson brings noteworthy experience and expertise in sales management consulting to serve businesses in the Buffalo, New York area.</t>
  </si>
  <si>
    <t>94fdf3b6b35abdd1091be2b6f8b6c11f</t>
  </si>
  <si>
    <t>https://salesxceleration.com/wp-content/uploads/2022/06/june.jpg</t>
  </si>
  <si>
    <t>Wed, 29 Jun 2022 16:51:56 GMT</t>
  </si>
  <si>
    <t>https://salesxceleration.com/wp-content/themes/salesxceleratione/assets/css/style.css?ver=1769123422</t>
  </si>
  <si>
    <t>Thu, 22 Jan 2026 23:13:12 GMT</t>
  </si>
  <si>
    <t>https://salesxceleration.com/wp-content/uploads/2023/05/RAIN-SX-graphic.jpg</t>
  </si>
  <si>
    <t>Tue, 30 May 2023 22:25:00 GMT</t>
  </si>
  <si>
    <t>https://salesxceleration.com/advisors/angela-rakis/</t>
  </si>
  <si>
    <t>Angela Rakis</t>
  </si>
  <si>
    <t>Angela Rakis | Sales Xceleration</t>
  </si>
  <si>
    <t>Nashville, TNAngela Rakis brings significant experience and expertise in sales management consulting to serve businesses in the Nashville, Tennessee area.</t>
  </si>
  <si>
    <t>f12808550d7cca63804e03d97bc3a83c</t>
  </si>
  <si>
    <t>https://salesxceleration.com/advisors/patrick-odonnell/</t>
  </si>
  <si>
    <t>Patrick O’Donnell, CSL</t>
  </si>
  <si>
    <t>Patrick O'Donnell, CSL | Sales Xceleration</t>
  </si>
  <si>
    <t>Indianapolis, INPatrick is an award-winning sales management expert dedicated to delivering superior focus and top results to businesses in need of sales leadership.</t>
  </si>
  <si>
    <t>cbc2ad67ff68610552530eeb7d1268a6</t>
  </si>
  <si>
    <t>https://salesxceleration.com/advisors/enrico-parodi/</t>
  </si>
  <si>
    <t>Enrico Parodi, CSL</t>
  </si>
  <si>
    <t>Enrico Parodi, CSL | Sales Xceleration</t>
  </si>
  <si>
    <t>Manhattan Beach, CAEnrico is an accomplished sales leadership executive with proven results helping businesses optimize revenue, leveraging 30 years of experience.</t>
  </si>
  <si>
    <t>f9f7d66e30c689802c5b3bbabd1fb020</t>
  </si>
  <si>
    <t>https://salesxceleration.com/advisors/daniel-steyn/</t>
  </si>
  <si>
    <t>Daniel Steyn</t>
  </si>
  <si>
    <t>Daniel Steyn | Sales Xceleration</t>
  </si>
  <si>
    <t>Raleigh, NCDaniel is an accomplished sales consultant and sales leadership professional with a proven track record optimizing bottom-line results.</t>
  </si>
  <si>
    <t>217eaa28bc686deb95a889ae6f8fea86</t>
  </si>
  <si>
    <t>https://salesxceleration.com/advisors/tom-morgan/</t>
  </si>
  <si>
    <t>Tom Morgan, CSL</t>
  </si>
  <si>
    <t>Tom Morgan, CSL | Sales Xceleration</t>
  </si>
  <si>
    <t>Portland, METom is Founder and CEO of Breakthrough Sales Solutions LLC and has 25+ years of successful sales management experience.</t>
  </si>
  <si>
    <t>83955695e15b18a92f7cad133abb9f16</t>
  </si>
  <si>
    <t>https://salesxceleration.com/wp-content/uploads/2021/11/p-2-how-interim-executives-can-be-a-surprising-benefit-to-your-company-300x169.jpeg</t>
  </si>
  <si>
    <t>Mon, 03 Jan 2022 14:06:54 GMT</t>
  </si>
  <si>
    <t>https://salesxceleration.com/wp-content/uploads/2018/08/2018-08-Training-Class-Steyn-Morgan-ODonnell-Applewhite-Wallace-Mitchell-Parodi-Mahony-scaled-1.jpg</t>
  </si>
  <si>
    <t>Mon, 03 Jan 2022 15:07:36 GMT</t>
  </si>
  <si>
    <t>https://salesxceleration.com/wp-content/uploads/2021/12/Outsourcing-300x200.jpg</t>
  </si>
  <si>
    <t>Mon, 03 Jan 2022 14:01:11 GMT</t>
  </si>
  <si>
    <t>https://salesxceleration.com/wp-content/uploads/2022/03/Successful-Business-Woman-300x300.jpg</t>
  </si>
  <si>
    <t>Fri, 28 Mar 2025 18:20:45 GMT</t>
  </si>
  <si>
    <t>https://salesxceleration.com/wp-content/uploads/2022/01/Hand-Holding-Lighbulb-300x200.jpg</t>
  </si>
  <si>
    <t>Fri, 28 Jan 2022 19:59:35 GMT</t>
  </si>
  <si>
    <t>https://salesxceleration.com/wp-content/themes/salesxceleratione/assets/css/style.css?ver=1769123580</t>
  </si>
  <si>
    <t>Thu, 22 Jan 2026 23:13:14 GMT</t>
  </si>
  <si>
    <t>https://salesxceleration.com/wp-content/uploads/2022/02/It-is-my-passion-300x300.jpg</t>
  </si>
  <si>
    <t>Fri, 28 Mar 2025 15:02:46 GMT</t>
  </si>
  <si>
    <t>https://salesxceleration.com/wp-content/uploads/2022/01/businesswoman-superhero-shadow-symbol-300x186.jpg</t>
  </si>
  <si>
    <t>Fri, 28 Jan 2022 20:02:52 GMT</t>
  </si>
  <si>
    <t>https://salesxceleration.com/when-one-door-closes-another-opens-and-leads-to-opportunity-if-you-let-it/</t>
  </si>
  <si>
    <t>When One Door Closes, Another Opens and Leads to Opportunity (If You Let It)</t>
  </si>
  <si>
    <t>When One Door Closes…</t>
  </si>
  <si>
    <t>Another Door Opens</t>
  </si>
  <si>
    <t>When One Door Closes, Another Opens and Leads to Opportunity (If You Let It) | Sales Xceleration Blog</t>
  </si>
  <si>
    <t>One ending often leads to a new beginning and your career sequel in sales leadership – your second act – could be more rewarding and fulfilling than your first.</t>
  </si>
  <si>
    <t>48f76bb2425a4a38cbefcc393e5c972f</t>
  </si>
  <si>
    <t>https://salesxceleration.com/wp-content/uploads/2021/12/Business-man-and-woman-ready-to-walk-through-large-door-300x200.jpg</t>
  </si>
  <si>
    <t>Mon, 03 Jan 2022 14:03:13 GMT</t>
  </si>
  <si>
    <t>https://salesxceleration.com/how-fractional-sales-consultants-deliver-success-through-sales-outsourcing/</t>
  </si>
  <si>
    <t>How Fractional Sales Consultants Deliver Success Through Sales Outsourcing</t>
  </si>
  <si>
    <t>Benefits of Outsourced Sales Management</t>
  </si>
  <si>
    <t>What is a Fractional Executive?</t>
  </si>
  <si>
    <t>Advantages Of Outsourcing | Outsourcing Sales Management</t>
  </si>
  <si>
    <t>Uncover the advantages of outsourcing to enhance efficiency. Embrace outsourcing sales management for strategic growth and improved sales outcomes.</t>
  </si>
  <si>
    <t>25f25ef02d5de999f12879af5698838e</t>
  </si>
  <si>
    <t>https://salesxceleration.com/how-wake-up-calls-and-alarming-events-can-reveal-new-career-paths/</t>
  </si>
  <si>
    <t>How Wake-up Calls and Alarming Events Can Reveal New Career Paths</t>
  </si>
  <si>
    <t>A Predictable Path</t>
  </si>
  <si>
    <t>Enter the Wake-up Call</t>
  </si>
  <si>
    <t>How Wake-up Calls and Alarming Events Can Reveal New Career Paths | Sales Xceleration Blog</t>
  </si>
  <si>
    <t>Chances are you woke up this morning, ready to face another day that’s not radically different from the day before or the day before that. An ordinary day</t>
  </si>
  <si>
    <t>e6285ae58636fe6768e1797bea55cf91</t>
  </si>
  <si>
    <t>https://salesxceleration.com/wp-content/uploads/2021/11/Business-Woman-Contemplating-New-Career-Path-300x200.jpeg</t>
  </si>
  <si>
    <t>Mon, 03 Jan 2022 14:07:31 GMT</t>
  </si>
  <si>
    <t>https://salesxceleration.com/how-interim-executives-can-be-a-surprising-benefit-to-your-company/</t>
  </si>
  <si>
    <t>Fast Company – How Interim Executives can be a Surprising Benefit to your Company</t>
  </si>
  <si>
    <t>Fast Company - How Interim Executives can be a Surprising Benefit to your Company | Sales Xceleration Blog</t>
  </si>
  <si>
    <t>Companies bring on fractional leaders rather than long-term executives for many reasons, but the leading reason is that to these organizations it makes</t>
  </si>
  <si>
    <t>6c47d10a7a18d7c38f9eed629470d541</t>
  </si>
  <si>
    <t>https://salesxceleration.com/wp-content/uploads/2021/01/shutterstock_633351611-scaled-1-300x200.jpg</t>
  </si>
  <si>
    <t>Mon, 03 Jan 2022 14:46:30 GMT</t>
  </si>
  <si>
    <t>https://salesxceleration.com/wp-content/uploads/2023/07/Businesswoman-in-thought.jpg</t>
  </si>
  <si>
    <t>Wed, 12 Jul 2023 19:49:38 GMT</t>
  </si>
  <si>
    <t>https://salesxceleration.com/wp-content/uploads/2023/02/finding-your-professional-purpose.jpg</t>
  </si>
  <si>
    <t>Fri, 03 Feb 2023 12:24:02 GMT</t>
  </si>
  <si>
    <t>https://salesxceleration.com/whats-your-superpower-and-how-are-you-using-it-to-help-others/</t>
  </si>
  <si>
    <t>What’s Your Superpower? (And How Are You Using It to Help Others?)</t>
  </si>
  <si>
    <t>X-Ray Vision</t>
  </si>
  <si>
    <t>Strength</t>
  </si>
  <si>
    <t>What’s Your Superpower? (And How Are You Using It to Help Others?) | Sales Xceleration Blog</t>
  </si>
  <si>
    <t>Sales strength lies at the heart of business success; therefore sales leaders just might be unsung superheroes.</t>
  </si>
  <si>
    <t>d2359fc44415d12bbe2cbac2cbfcfba0</t>
  </si>
  <si>
    <t>https://salesxceleration.com/whats-your-next-sales-leadership-dream-job/</t>
  </si>
  <si>
    <t>What’s Your NEXT Sales Leadership Dream Job?</t>
  </si>
  <si>
    <t>In the Beginning…</t>
  </si>
  <si>
    <t>Find Something You Love to Do…</t>
  </si>
  <si>
    <t>What’s Your NEXT Sales Leadership Dream Job? | Sales Xceleration Blog</t>
  </si>
  <si>
    <t>At every stage of your professional life, you’ve probably given thought to what your dream job would look like. Even if you couldn’t conjure up a job title or</t>
  </si>
  <si>
    <t>9f05d87e7243f289facd78b3caed35d0</t>
  </si>
  <si>
    <t>https://salesxceleration.com/true-success-is-yours-for-the-making/</t>
  </si>
  <si>
    <t>True Success is Yours for the Making</t>
  </si>
  <si>
    <t>The Fallacy of Self-Determination in the Corporate World</t>
  </si>
  <si>
    <t>The Rewards of Self-Determination Beyond the Corporate World</t>
  </si>
  <si>
    <t>True Success is Yours for the Making | Sales Xceleration Blog</t>
  </si>
  <si>
    <t>Use your sales leadership experience and wisdom to make a difference as you create success on your terms and by your actions.Categories: Sales Management Leadership, Entrepreneur, Sales Consulting, Outsourced Sales Consultant, Sales Management, Sales Success</t>
  </si>
  <si>
    <t>dc402dafdf5b8b6fb1a8359e27747e07</t>
  </si>
  <si>
    <t>https://salesxceleration.com/wp-content/themes/salesxceleratione/assets/css/style.css?ver=1769123581</t>
  </si>
  <si>
    <t>Thu, 22 Jan 2026 23:13:16 GMT</t>
  </si>
  <si>
    <t>https://salesxceleration.com/wp-content/uploads/2023/11/Fractional-Work.jpg</t>
  </si>
  <si>
    <t>Fri, 17 Nov 2023 17:58:53 GMT</t>
  </si>
  <si>
    <t>https://salesxceleration.com/wp-content/uploads/2022/03/Corporate-Travel-300x300.jpg</t>
  </si>
  <si>
    <t>https://salesxceleration.com/why-outsourcing-leadership-roles-is-the-best-business-decision-you-can-make/</t>
  </si>
  <si>
    <t>Why Outsourcing Leadership Roles Is the Best Business Decision You Can Make</t>
  </si>
  <si>
    <t>The Generalist vs. Specialist Debate</t>
  </si>
  <si>
    <t>What Are the Benefits of a Fractional Executive?</t>
  </si>
  <si>
    <t>Why Outsourcing Leadership Roles Is the Best Business Decision You Can Make | Sales Xceleration Blog</t>
  </si>
  <si>
    <t>What are the benefits of outsourcing leadership roles? Fractional executives have specialist expertise that helps smaller firms compete with bigger orgs.</t>
  </si>
  <si>
    <t>e2137d531fdd4e97358121a68cb031c</t>
  </si>
  <si>
    <t>https://salesxceleration.com/wp-content/uploads/2022/10/shutterstock_2025930416-300x200.jpg</t>
  </si>
  <si>
    <t>Thu, 27 Oct 2022 17:32:28 GMT</t>
  </si>
  <si>
    <t>https://salesxceleration.com/wp-content/uploads/2022/09/Inflation-Gauge-300x192.jpg</t>
  </si>
  <si>
    <t>Fri, 16 Sep 2022 11:25:03 GMT</t>
  </si>
  <si>
    <t>https://salesxceleration.com/wp-content/uploads/2022/05/Business-Lifeline-300x300.jpg</t>
  </si>
  <si>
    <t>Fri, 28 Mar 2025 15:02:37 GMT</t>
  </si>
  <si>
    <t>https://salesxceleration.com/how-successfully-are-you-managing-your-work-life-balance/</t>
  </si>
  <si>
    <t>How Successfully Are You Managing Your Work/Life Balance?</t>
  </si>
  <si>
    <t>The Pros and Cons of Remote Work</t>
  </si>
  <si>
    <t>A New “New Normal”?</t>
  </si>
  <si>
    <t>Pros And Cons Working At Home | Work And Life Balance Tips</t>
  </si>
  <si>
    <t>Weigh the pros and cons of working at home to find the perfect balance. Get work and balance tips for harmonizing your professional and personal life.</t>
  </si>
  <si>
    <t>32a23cdc56fff02c05164f16892463dd</t>
  </si>
  <si>
    <t>https://salesxceleration.com/independence-way-finding-the-freedom-to-fulfill-your-purpose/</t>
  </si>
  <si>
    <t>Independence Way: Finding the Freedom to Fulfill Your Purpose</t>
  </si>
  <si>
    <t>Life, Liberty, and the Pursuit of Happiness</t>
  </si>
  <si>
    <t>Beyond The Pursuit</t>
  </si>
  <si>
    <t>Independence Way: Finding the Freedom to Fulfill Your Purpose | Sales Xceleration Blog</t>
  </si>
  <si>
    <t>A career as a sales leadership consultant provides entrepreneurial freedom while making a difference for others.</t>
  </si>
  <si>
    <t>b47dee69351b5e8ff2320035402f3fb8</t>
  </si>
  <si>
    <t>https://salesxceleration.com/the-great-reinvention-and-rediscovering-a-better-work-life-balance/</t>
  </si>
  <si>
    <t>The “Great Reinvention” and Rediscovering a Better Work/Life Balance</t>
  </si>
  <si>
    <t>Less Travel</t>
  </si>
  <si>
    <t>More Time with Family</t>
  </si>
  <si>
    <t>The "Great Reinvention" and Rediscovering a Better Work/Life Balance | Sales Xceleration Blog</t>
  </si>
  <si>
    <t>The “Great Reinvention” has led many to question what really matters in their personal and professional lives.</t>
  </si>
  <si>
    <t>dfa27967576ce11ff3897ff2ea247db1</t>
  </si>
  <si>
    <t>https://salesxceleration.com/wp-content/uploads/2022/06/Balance-300x200.jpg</t>
  </si>
  <si>
    <t>Fri, 03 Jun 2022 19:59:42 GMT</t>
  </si>
  <si>
    <t>https://salesxceleration.com/time-to-turn-over-a-new-leaf-here-are-signs-you-should-watch-for/</t>
  </si>
  <si>
    <t>Time to Turn Over a New Leaf? Here Are Signs You Should Watch For</t>
  </si>
  <si>
    <t>When is a Leaf Not a Leaf?</t>
  </si>
  <si>
    <t>Signs It Might be Time to Rethink Your Future</t>
  </si>
  <si>
    <t>Time to Turn Over a New Leaf? Here Are Signs You Should Watch For | Sales Xceleration Blog</t>
  </si>
  <si>
    <t>As a sales professional who has reached an executive rank in the corporate world, you might have begun wondering, “what’s next?”.</t>
  </si>
  <si>
    <t>5347841c64b066f61b72086f32bfe88d</t>
  </si>
  <si>
    <t>https://salesxceleration.com/wp-content/uploads/2022/09/Remote-Work-Life-Balance-300x200.jpg</t>
  </si>
  <si>
    <t>Fri, 02 Sep 2022 18:57:52 GMT</t>
  </si>
  <si>
    <t>https://salesxceleration.com/wp-content/uploads/2022/11/Outsourced-sales-leader-meeting-with-CEO-300x200.jpg</t>
  </si>
  <si>
    <t>Thu, 03 Nov 2022 20:35:18 GMT</t>
  </si>
  <si>
    <t>https://salesxceleration.com/wp-content/uploads/2022/10/Sales-Department-Organizational-Structure-Meeting-300x200.jpg</t>
  </si>
  <si>
    <t>Fri, 07 Oct 2022 18:49:29 GMT</t>
  </si>
  <si>
    <t>https://salesxceleration.com/wp-content/uploads/2022/10/shutterstock_641424211-300x200.jpg</t>
  </si>
  <si>
    <t>Thu, 27 Oct 2022 17:16:48 GMT</t>
  </si>
  <si>
    <t>https://salesxceleration.com/wp-content/uploads/2022/06/Door-to-Future-300x255.jpg</t>
  </si>
  <si>
    <t>Fri, 03 Jun 2022 19:57:56 GMT</t>
  </si>
  <si>
    <t>https://salesxceleration.com/wp-content/uploads/2022/07/Entrepreneurial-Freedom-300x200.jpg</t>
  </si>
  <si>
    <t>Tue, 12 Jul 2022 14:44:50 GMT</t>
  </si>
  <si>
    <t>https://salesxceleration.com/top-advantages-and-disadvantages-of-outsourcing-your-sales-function/</t>
  </si>
  <si>
    <t>Top Advantages (and Disadvantages) of Outsourcing Your Sales Function</t>
  </si>
  <si>
    <t>Advantages of Outsourcing Your Sales Function</t>
  </si>
  <si>
    <t>Disadvantages for Outsourcing Your Sales Function</t>
  </si>
  <si>
    <t>Top Advantages (and Disadvantages) of Outsourcing Your Sales Function | Sales Xceleration Blog</t>
  </si>
  <si>
    <t>Small to mid-sized sales organizations are increasingly outsourcing the sales function and finding success with this new paradigm.</t>
  </si>
  <si>
    <t>95cf35df32f19ca3ec3eab9fddfaaa30</t>
  </si>
  <si>
    <t>https://salesxceleration.com/wp-content/uploads/2022/09/How-Can-Businesses-Prepare-for-Inflation-300x200.jpg</t>
  </si>
  <si>
    <t>Thu, 15 Sep 2022 11:12:23 GMT</t>
  </si>
  <si>
    <t>https://salesxceleration.com/in-focus-the-rewards-of-taking-a-career-risk/</t>
  </si>
  <si>
    <t>In Focus: The Rewards of Taking a Career “Risk”</t>
  </si>
  <si>
    <t>Perceived Risks of becoming a Fractional VP of Sales:</t>
  </si>
  <si>
    <t>What About the Potential Rewards of Becoming a Fractional VP of Sales?</t>
  </si>
  <si>
    <t>In Focus: The Rewards of Taking a Career “Risk” | Sales Xceleration Blog</t>
  </si>
  <si>
    <t>For even the most confident sales leader, it’s normal to have doubts when it comes to a career shift. Perceived risks often manifest as common fears.</t>
  </si>
  <si>
    <t>ed915c4d01b3c7f45fd5e60969e0d8c8</t>
  </si>
  <si>
    <t>https://salesxceleration.com/that-knocking-you-hear-its-an-opportunity-to-fulfill-your-potential/</t>
  </si>
  <si>
    <t>That Knocking You Hear? It’s an Opportunity to Fulfill Your Potential</t>
  </si>
  <si>
    <t>Self-actualization</t>
  </si>
  <si>
    <t>Transcendence</t>
  </si>
  <si>
    <t>That Knocking You Hear? It’s an Opportunity to Fulfill Your Potential | Sales Xceleration Blog</t>
  </si>
  <si>
    <t>Seize the opportunity to work with passion and purpose to make a difference.</t>
  </si>
  <si>
    <t>8ac85449c5aa9b86c1a6205027b7c74d</t>
  </si>
  <si>
    <t>https://salesxceleration.com/creating-and-maintaining-a-successful-sales-organization/</t>
  </si>
  <si>
    <t>Creating and Maintaining a Successful Sales Organization</t>
  </si>
  <si>
    <t>Cornerstone #1: Understanding the Importance of a Sales Department</t>
  </si>
  <si>
    <t>Cornerstone #2: Establishing the Principles of Your Sales Organization</t>
  </si>
  <si>
    <t>Creating and Maintaining a Successful Sales Organization | Sales Xceleration Blog</t>
  </si>
  <si>
    <t>An effectively managed sales organization can help your small business improve decision-making, enhance sales team performance, and increase profit.</t>
  </si>
  <si>
    <t>e126e2ab8453a13595c5623ba7f678d0</t>
  </si>
  <si>
    <t>https://salesxceleration.com/inflation-how-to-prepare-and-protect-your-business/</t>
  </si>
  <si>
    <t>Inflation: How-To Prepare and Protect Your Business</t>
  </si>
  <si>
    <t>Is Inflation Ever Normal?</t>
  </si>
  <si>
    <t>How Does Inflation Impact a Business?</t>
  </si>
  <si>
    <t>Inflation: How-To Prepare and Protect Your Business | Sales Xceleration Blog</t>
  </si>
  <si>
    <t>Preparing for inflation requires understanding how it impacts businesses. You must recognize the bigger-picture impacts for your industry and markets.</t>
  </si>
  <si>
    <t>2c89b7eeeb6aa2cfcaedce57ee038be5</t>
  </si>
  <si>
    <t>https://salesxceleration.com/wp-content/uploads/2023/04/Business-Ninjas-WriteForMe-178-SalesXceleration.jpg</t>
  </si>
  <si>
    <t>Wed, 19 Apr 2023 13:48:27 GMT</t>
  </si>
  <si>
    <t>https://salesxceleration.com/wp-content/uploads/2020/07/Investor-Meeting-scaled-1-2048x2048.jpg</t>
  </si>
  <si>
    <t>Fri, 28 Mar 2025 16:03:01 GMT</t>
  </si>
  <si>
    <t>https://salesxceleration.com/seven-essential-do-this-not-that-tips-to-network-smarter-not-harder/</t>
  </si>
  <si>
    <t>Forbes – Seven Essential ‘Do This, Not That’ Tips to Network Smarter, Not Harder</t>
  </si>
  <si>
    <t>Forbes - Seven Essential ‘Do This, Not That’ Tips to Network Smarter, Not Harder | Sales Xceleration Blog</t>
  </si>
  <si>
    <t>Grow professional, mutually beneficial relationships by networking smarter, not harder.</t>
  </si>
  <si>
    <t>137a39137759c839b5ded89e037fba3b</t>
  </si>
  <si>
    <t>https://salesxceleration.com/wp-content/uploads/2020/05/https___specials-images.forbesimg.com_dam_imageserve_1166085433_960x0-2048x2048.jpg</t>
  </si>
  <si>
    <t>Fri, 28 Mar 2025 16:03:07 GMT</t>
  </si>
  <si>
    <t>https://salesxceleration.com/wp-content/uploads/2023/10/The-Power-of-Serving-Versus-Selling.jpg</t>
  </si>
  <si>
    <t>Mon, 23 Oct 2023 20:23:29 GMT</t>
  </si>
  <si>
    <t>https://salesxceleration.com/wp-content/themes/salesxceleratione/assets/css/style.css?ver=1769123582</t>
  </si>
  <si>
    <t>Thu, 22 Jan 2026 23:13:20 GMT</t>
  </si>
  <si>
    <t>https://salesxceleration.com/wp-content/uploads/2023/03/Fractional-Sales-Leader.jpg</t>
  </si>
  <si>
    <t>Mon, 20 Mar 2023 21:11:25 GMT</t>
  </si>
  <si>
    <t>https://salesxceleration.com/wp-content/themes/salesxceleratione/assets/css/style.css?ver=1769123584</t>
  </si>
  <si>
    <t>https://salesxceleration.com/wp-content/themes/salesxceleratione/assets/css/style.css?ver=1769123585</t>
  </si>
  <si>
    <t>https://salesxceleration.com/wp-content/uploads/2015/03/End-of-year-sales-xceleration-2048x2048.png</t>
  </si>
  <si>
    <t>Fri, 28 Mar 2025 15:33:22 GMT</t>
  </si>
  <si>
    <t>https://salesxceleration.com/wp-content/themes/salesxceleratione/assets/css/style.css?ver=1769123587</t>
  </si>
  <si>
    <t>Thu, 22 Jan 2026 23:13:21 GMT</t>
  </si>
  <si>
    <t>https://salesxceleration.com/wp-content/uploads/2015/03/SIlence-Sales-xceleration-2048x2048.png</t>
  </si>
  <si>
    <t>Fri, 28 Mar 2025 15:34:20 GMT</t>
  </si>
  <si>
    <t>https://salesxceleration.com/wp-content/uploads/2021/11/Hands-Holding-Plant-Growing-Arrow-scaled.jpeg</t>
  </si>
  <si>
    <t>Mon, 03 Jan 2022 14:07:36 GMT</t>
  </si>
  <si>
    <t>https://salesxceleration.com/wp-content/themes/salesxceleratione/assets/css/style.css?ver=1769123589</t>
  </si>
  <si>
    <t>John Lee, CSL</t>
  </si>
  <si>
    <t>John Lee, CSL | Sales Xceleration</t>
  </si>
  <si>
    <t>Portland, ORJohn is the CEO of Stumptown Sales Success LLC, a sales consulting firm that provides its clients with a proven tactical sales execution plan.</t>
  </si>
  <si>
    <t>8d7fefbcc6bb9ad301e5bd3f4893d043</t>
  </si>
  <si>
    <t>https://salesxceleration.com/wp-content/uploads/2019/10/food-thumb-768x437.jpg</t>
  </si>
  <si>
    <t>Fri, 28 Mar 2025 15:07:08 GMT</t>
  </si>
  <si>
    <t>https://salesxceleration.com/wp-content/uploads/2020/01/manu_thumbnail-768x441.jpg</t>
  </si>
  <si>
    <t>Fri, 28 Mar 2025 17:01:06 GMT</t>
  </si>
  <si>
    <t>https://salesxceleration.com/planning-end-of-the-year-mistakes/</t>
  </si>
  <si>
    <t>Planning to Coast through the End of the Year? Big Mistake. Here’s Why:</t>
  </si>
  <si>
    <t>Planning to Coast through the End of the Year? Big Mistake. Here’s Why: | Sales Xceleration Blog</t>
  </si>
  <si>
    <t>Here’s why the end of the year can be a great time to beat your competition and win sales.</t>
  </si>
  <si>
    <t>16332a3847d59af4c3927b508880a704</t>
  </si>
  <si>
    <t>https://salesxceleration.com/wp-content/uploads/2019/03/manufacturing-case-study1-768x439.jpg</t>
  </si>
  <si>
    <t>Fri, 28 Mar 2025 15:07:00 GMT</t>
  </si>
  <si>
    <t>https://salesxceleration.com/wp-content/uploads/2019/11/healthcare-thumb-1-768x434.jpg</t>
  </si>
  <si>
    <t>Fri, 28 Mar 2025 15:54:49 GMT</t>
  </si>
  <si>
    <t>https://salesxceleration.com/wp-content/themes/salesxceleratione/assets/css/style.css?ver=1769123590</t>
  </si>
  <si>
    <t>Thu, 22 Jan 2026 23:13:11 GMT</t>
  </si>
  <si>
    <t>https://salesxceleration.com/wp-content/themes/salesxceleratione/assets/css/style.css?ver=1769123591</t>
  </si>
  <si>
    <t>Thu, 22 Jan 2026 23:13:22 GMT</t>
  </si>
  <si>
    <t>https://salesxceleration.com/how-silence-can-help-you-sell-more/</t>
  </si>
  <si>
    <t>How Silence Can Help You Sell More</t>
  </si>
  <si>
    <t>How Silence Can Help You Sell More | Sales Xceleration Blog</t>
  </si>
  <si>
    <t>Silence can be one of the most effective sales techniques in the salesperson’s arsenal. The key, of course, is knowing when and how to use it in sales.</t>
  </si>
  <si>
    <t>58f8805028a9860e2a5fc1dd0b0ed2b1</t>
  </si>
  <si>
    <t>https://salesxceleration.com/wp-content/themes/salesxceleratione/assets/css/style.css?ver=1769123592</t>
  </si>
  <si>
    <t>https://salesxceleration.com/wp-content/themes/salesxceleratione/assets/css/style.css?ver=1769123593</t>
  </si>
  <si>
    <t>https://salesxceleration.com/wp-content/uploads/2015/03/Prescribe-2048x2048.png</t>
  </si>
  <si>
    <t>Fri, 28 Mar 2025 14:56:05 GMT</t>
  </si>
  <si>
    <t>https://salesxceleration.com/wp-content/uploads/2015/01/CRM-Resized-for-Web-2048x2048.jpg</t>
  </si>
  <si>
    <t>Fri, 28 Mar 2025 16:00:48 GMT</t>
  </si>
  <si>
    <t>https://salesxceleration.com/wp-content/uploads/2014/12/That-was-then.jpg</t>
  </si>
  <si>
    <t>Mon, 03 Jan 2022 15:27:54 GMT</t>
  </si>
  <si>
    <t>https://salesxceleration.com/wp-content/uploads/2015/05/Teamwork.jpg</t>
  </si>
  <si>
    <t>Fri, 16 Dec 2022 21:47:31 GMT</t>
  </si>
  <si>
    <t>https://salesxceleration.com/wp-content/themes/salesxceleratione/assets/css/style.css?ver=1769123508</t>
  </si>
  <si>
    <t>Thu, 22 Jan 2026 23:13:23 GMT</t>
  </si>
  <si>
    <t>https://salesxceleration.com/wp-content/uploads/2013/11/small-businesses-sales-forecast.jpg</t>
  </si>
  <si>
    <t>Mon, 03 Jan 2022 15:28:40 GMT</t>
  </si>
  <si>
    <t>https://salesxceleration.com/kiss-ideas-crms-goodbye/</t>
  </si>
  <si>
    <t>KISS Your Ideas About CRMs Goodbye</t>
  </si>
  <si>
    <t>KISS Your Ideas About CRMs Goodbye | Sales Xceleration Blog</t>
  </si>
  <si>
    <t>If you have prospects, customers, pipelines, sales cycles and quotas, you could benefit from a custom-tailored CRM from a Sales Xceleration sales Advisor</t>
  </si>
  <si>
    <t>1220df5ce64a3cdcb22172786761cbec</t>
  </si>
  <si>
    <t>https://salesxceleration.com/wp-content/uploads/2015/05/Feet-on-Scales-RS-225-High-2048x2048.jpg</t>
  </si>
  <si>
    <t>Fri, 28 Mar 2025 15:49:48 GMT</t>
  </si>
  <si>
    <t>https://salesxceleration.com/managing-your-business-the-butler-way/</t>
  </si>
  <si>
    <t>Managing Your Business . . . “The Butler Way”</t>
  </si>
  <si>
    <t>Managing Your Business . . . "The Butler Way" | Sales Xceleration Blog</t>
  </si>
  <si>
    <t>Applying the concepts of The Butler Way to your sales organization can help your sales team succeed and even have a positive impact on your bottom-line.</t>
  </si>
  <si>
    <t>c6c8b4898a3194432e9178668dcc0f5a</t>
  </si>
  <si>
    <t>https://salesxceleration.com/wp-content/uploads/2014/11/20151.png</t>
  </si>
  <si>
    <t>Mon, 03 Jan 2022 15:28:04 GMT</t>
  </si>
  <si>
    <t>https://salesxceleration.com/wp-content/uploads/2019/05/fac7f86c-764e-11e9-86e2-f2d3a332a382-1-2048x2048.jpg</t>
  </si>
  <si>
    <t>Fri, 28 Mar 2025 15:49:40 GMT</t>
  </si>
  <si>
    <t>https://salesxceleration.com/dont-prescribe-a-sales-solution-before-you-diagnose-the-problem/</t>
  </si>
  <si>
    <t>Don’t Prescribe a Sales Solution Before You Diagnose the Problem</t>
  </si>
  <si>
    <t>Don’t Prescribe a Sales Solution Before You Diagnose the Problem | Sales Xceleration Blog</t>
  </si>
  <si>
    <t>When you are in need of a sales solution, consider yourself to be a doctor, a doctor of sales. When selling, be diagnostic, not prescriptive.</t>
  </si>
  <si>
    <t>46f14fff8e785fa4706dc3625d662445</t>
  </si>
  <si>
    <t>https://salesxceleration.com/wp-content/themes/salesxceleratione/assets/css/style.css?ver=1769123509</t>
  </si>
  <si>
    <t>https://salesxceleration.com/dont-be-surprised-by-success-plan-for-growth-and-manage-it/</t>
  </si>
  <si>
    <t>Don’t Be Surprised by Success. Plan For Growth. (And Manage It.)</t>
  </si>
  <si>
    <t>Don't Be Surprised by Success. Plan for Growth. | Sales Xceleration Blog</t>
  </si>
  <si>
    <t>Success is seldom an accident. Nor should it come as a surprise. Sales growth and success can be forecast, managed and sustained. Let's take a closer look.</t>
  </si>
  <si>
    <t>a869c58e23517af59ba1fbdfd5d505ed</t>
  </si>
  <si>
    <t>https://salesxceleration.com/wp-content/uploads/2015/04/Jenga-RS-72-dpi-560-w-2048x2048.jpg</t>
  </si>
  <si>
    <t>Fri, 28 Mar 2025 20:29:39 GMT</t>
  </si>
  <si>
    <t>https://salesxceleration.com/wp-content/uploads/2015/04/onboarding-2048x2048.png</t>
  </si>
  <si>
    <t>Fri, 28 Mar 2025 15:13:38 GMT</t>
  </si>
  <si>
    <t>https://salesxceleration.com/wp-content/uploads/2015/01/yah5-2048x2048.jpg</t>
  </si>
  <si>
    <t>Fri, 28 Mar 2025 14:41:53 GMT</t>
  </si>
  <si>
    <t>https://salesxceleration.com/how-leaders-create-sales-action-plans-to-improve-the-bottom-line/</t>
  </si>
  <si>
    <t>How Leaders Create Sales Action Plans to Improve the Bottom Line</t>
  </si>
  <si>
    <t>How Leaders Create Sales Action Plans to Improve the Bottom Line | Sales Xceleration Blog</t>
  </si>
  <si>
    <t>Craft a winning sales action plan with Sales Xceleration's expert guidance. Start creating a sales plan today that propels your business forward. Visit our page for more!</t>
  </si>
  <si>
    <t>953ce97f72e0a5233c5ce005019aca2</t>
  </si>
  <si>
    <t>https://salesxceleration.com/wp-content/themes/salesxceleratione/assets/css/style.css?ver=1769123510</t>
  </si>
  <si>
    <t>Thu, 22 Jan 2026 23:13:25 GMT</t>
  </si>
  <si>
    <t>https://salesxceleration.com/is-it-time-to-put-your-pipeline-on-a-diet/</t>
  </si>
  <si>
    <t>Is It Time to Put Your Pipeline on a Diet?</t>
  </si>
  <si>
    <t>Is It Time to Put Your Pipeline on a Diet? | Sales Xceleration Blog</t>
  </si>
  <si>
    <t>In the "bigger is better" world of business, it seems ridiculous to suggest that your sales pipeline might be too big, right? Truth is, a leaner, meaner</t>
  </si>
  <si>
    <t>ac06dfd8336ceaea1490a5133def2aba</t>
  </si>
  <si>
    <t>https://salesxceleration.com/wp-content/uploads/2015/04/managers-selling-2048x2048.png</t>
  </si>
  <si>
    <t>Fri, 28 Mar 2025 15:00:39 GMT</t>
  </si>
  <si>
    <t>https://salesxceleration.com/wp-content/uploads/2014/02/onboarding.jpg</t>
  </si>
  <si>
    <t>Mon, 03 Jan 2022 15:28:31 GMT</t>
  </si>
  <si>
    <t>https://salesxceleration.com/wp-content/uploads/2015/03/hire-salespeople-keep-them-sales-xcleration-2048x2048.png</t>
  </si>
  <si>
    <t>Fri, 28 Mar 2025 15:02:00 GMT</t>
  </si>
  <si>
    <t>https://salesxceleration.com/hire-great-salespeople-retain-them/</t>
  </si>
  <si>
    <t>Don’t Just Hire Great Salespeople – Keep Them!</t>
  </si>
  <si>
    <t>Don’t Just Hire Great Salespeople – Keep Them! | Sales Xceleration Blog</t>
  </si>
  <si>
    <t>To make sure you have the right culture within your sales organization, hire new salespeople with this team dynamic in mind.</t>
  </si>
  <si>
    <t>4f4b82cae782b0356e91882dd3970434</t>
  </si>
  <si>
    <t>https://salesxceleration.com/wp-content/uploads/2014/11/one-two-punch-2048x2048.png</t>
  </si>
  <si>
    <t>Fri, 28 Mar 2025 14:42:28 GMT</t>
  </si>
  <si>
    <t>https://salesxceleration.com/is-your-sales-manager-still-selling-big-mistake-heres-why/</t>
  </si>
  <si>
    <t>Is Your Sales Manager Still Selling? Big Mistake. Here’s Why:</t>
  </si>
  <si>
    <t>Is Your Sales Manager Still Selling? Big Mistake. Here’s Why: | Sales Xceleration Blog</t>
  </si>
  <si>
    <t>Expecting a sales manager to continue to sell while managing other salespeople will lead to unclear priorities, subpar performance, and team conflict.</t>
  </si>
  <si>
    <t>78ce0f84b5568c9a5e490be8cfa13c4c</t>
  </si>
  <si>
    <t>https://salesxceleration.com/wp-content/uploads/2015/12/Sales-Call-Featured--2048x2048.jpeg</t>
  </si>
  <si>
    <t>Fri, 28 Mar 2025 15:23:41 GMT</t>
  </si>
  <si>
    <t>https://salesxceleration.com/how-to-use-onboarding-to-boost-sales-success/</t>
  </si>
  <si>
    <t>How to Use “Onboarding” to Boost Sales Success</t>
  </si>
  <si>
    <t>How to Use “Onboarding” to Boost Sales Success | Sales Xceleration Blog</t>
  </si>
  <si>
    <t>A carefully designed onboarding program helps protect your investment, ensures a high return, and keeps strong sales performers in your organization.</t>
  </si>
  <si>
    <t>dd9bc0510889bc223d6c8e1395356bcc</t>
  </si>
  <si>
    <t>https://salesxceleration.com/wp-content/themes/salesxceleratione/assets/css/style.css?ver=1769123511</t>
  </si>
  <si>
    <t>Thu, 22 Jan 2026 23:13:26 GMT</t>
  </si>
  <si>
    <t>https://salesxceleration.com/wp-content/uploads/2014/05/Consulting-Ease-Into-Retirement.jpg</t>
  </si>
  <si>
    <t>Mon, 03 Jan 2022 15:28:34 GMT</t>
  </si>
  <si>
    <t>https://salesxceleration.com/dos-donts-making-right-sales-job-offer-right-candidate/</t>
  </si>
  <si>
    <t>Dos and Don’ts for Making the Right Sales Job Offer to the Right Candidate</t>
  </si>
  <si>
    <t>Dos and Don'ts for Making the Right Sales Job Offer to the Right Candidate | Sales Xceleration Blog</t>
  </si>
  <si>
    <t>Here are some critical dos and don'ts to help you select – and make the right sales job offer to – a great salesperson for your team.</t>
  </si>
  <si>
    <t>cef1f713270830baf9c308464de56779</t>
  </si>
  <si>
    <t>https://salesxceleration.com/how-to-unstick-a-stalled-deal-even-if-it-means-no-deal-at-all/</t>
  </si>
  <si>
    <t>How to Unstick a Stalled Deal (Even if it Means No Deal at All)</t>
  </si>
  <si>
    <t>How to Unstick a Stalled Deal Even if it Means No Deal at All | SalesX Blog</t>
  </si>
  <si>
    <t>You followed your organization’s proven sales processes to the letter, but still nothing. So, how can you unstick that stalled deal?</t>
  </si>
  <si>
    <t>ce446d9b045e0c32b17c767d009d79c3</t>
  </si>
  <si>
    <t>https://salesxceleration.com/wp-content/uploads/2015/03/Unstick-a-stalled-deal-2048x2048.png</t>
  </si>
  <si>
    <t>Fri, 28 Mar 2025 14:59:00 GMT</t>
  </si>
  <si>
    <t>https://salesxceleration.com/wp-content/uploads/2015/12/Sales-Networking-2048x2048.jpg</t>
  </si>
  <si>
    <t>Fri, 28 Mar 2025 15:23:48 GMT</t>
  </si>
  <si>
    <t>https://salesxceleration.com/one-two-punch-consulting-success-strategic-partnerships-plus-word-mouth/</t>
  </si>
  <si>
    <t>The One-Two Punch for Consulting Success: Strategic Partnerships Plus Word-of-Mouth</t>
  </si>
  <si>
    <t>Strategic Sales Partners Plus Word-of-mouth</t>
  </si>
  <si>
    <t>Perhaps it's too simple to be called a "formula" for success, but in today's small- to medium-sized (SMB) marketplace, a powerful combination still rises to</t>
  </si>
  <si>
    <t>409ab06fc132c2e830d977d626e057ed</t>
  </si>
  <si>
    <t>https://salesxceleration.com/wp-content/uploads/2014/01/Job-candidate-search.jpg</t>
  </si>
  <si>
    <t>Mon, 03 Jan 2022 15:28:27 GMT</t>
  </si>
  <si>
    <t>https://salesxceleration.com/wp-content/uploads/2014/01/Write-better-advertisements.jpg</t>
  </si>
  <si>
    <t>Mon, 03 Jan 2022 15:28:36 GMT</t>
  </si>
  <si>
    <t>https://salesxceleration.com/in-case-they-ask-and-they-will/</t>
  </si>
  <si>
    <t>In Case They Ask – And They Will</t>
  </si>
  <si>
    <t>In Case They Ask - And They Will | Sales Xceleration Blog</t>
  </si>
  <si>
    <t>Never be caught unprepared during a sales call by implementing these tips into your call strategy. </t>
  </si>
  <si>
    <t>2c797b484be888c0b6f89399c2ea0672</t>
  </si>
  <si>
    <t>https://salesxceleration.com/networking-is-worthless-netweaving-is-priceless/</t>
  </si>
  <si>
    <t>Networking is Worthless, Netweaving is Priceless</t>
  </si>
  <si>
    <t>Networking is Worthless, Netweaving is Priceless | Sales Xceleration Blog</t>
  </si>
  <si>
    <t>Learn the importance of netweaving to gain more than just satisfied customers, but instead build loyal ones. </t>
  </si>
  <si>
    <t>79e9a5331e51638a19d00670fd09482f</t>
  </si>
  <si>
    <t>https://salesxceleration.com/hiring-a-salesperson-start-with-a-better-sales-job-description/</t>
  </si>
  <si>
    <t>Hiring a Salesperson? Start with a Better Sales Job Description</t>
  </si>
  <si>
    <t>Hiring a Salesperson? Start with a Better Sales Job Description | Sales Xceleration Blog</t>
  </si>
  <si>
    <t>Hiring a good salesperson starts with having a strategically targeted salesperson job description to aid in finding ideal candidates.</t>
  </si>
  <si>
    <t>ba401369364131f7e0246bc29986bdf9</t>
  </si>
  <si>
    <t>https://salesxceleration.com/hiring-sales-reps-3-tips-for-better-faster-more-profitable-sales-hires/</t>
  </si>
  <si>
    <t>Sales Hacker – Hiring Sales Reps: 3 Tips for Better, Faster &amp; More Profitable Sales Hires</t>
  </si>
  <si>
    <t>What to Look for When Hiring Salespeople</t>
  </si>
  <si>
    <t>Best Training for Sales Team Hires</t>
  </si>
  <si>
    <t>Sales Hacker - Hiring Sales Reps: 3 Tips for Better, Faster &amp; More Profitable Sales Hires | Sales Xceleration Blog</t>
  </si>
  <si>
    <t>Learn tips for hiring successful sales reps, including what four criteria to use, best training for new sales reps, and recruiting ideas for a high-performance sales team.</t>
  </si>
  <si>
    <t>909c2deee34352409229c0617b68f94c</t>
  </si>
  <si>
    <t>https://salesxceleration.com/wp-content/uploads/2020/03/Tactics_for_Team_Dominance-1-scaled-1-2048x2048.jpg</t>
  </si>
  <si>
    <t>Fri, 28 Mar 2025 20:13:32 GMT</t>
  </si>
  <si>
    <t>https://salesxceleration.com/how-smbs-should-address-inflation-in-5-key-steps/</t>
  </si>
  <si>
    <t>How SMBs Should Address Inflation in 5 Key Steps</t>
  </si>
  <si>
    <t>What challenges does a recession pose to SMBs?</t>
  </si>
  <si>
    <t>Why does the recession affect SMBs so disproportionately?</t>
  </si>
  <si>
    <t>Solutions To Inflation - How To Solve Inflation - Sales Xceleration</t>
  </si>
  <si>
    <t>Tackle solutions to inflation effectively with Sales Xceleration's. Read our comprehensive approaches on how to solve inflation and keep your sales robust.</t>
  </si>
  <si>
    <t>377644c450ecae6032c7c38d47dc04a5</t>
  </si>
  <si>
    <t>https://salesxceleration.com/what-are-sales-metrics-and-which-ones-are-essential-to-improving-sales-performance/</t>
  </si>
  <si>
    <t>Forbes – What are Sales Metrics and Which Ones are Essential to Improving Sales Performance?</t>
  </si>
  <si>
    <t>Forbes - What are Sales Metrics and Which Ones are Essential to Improving Sales Performance? | Sales Xceleration Blog</t>
  </si>
  <si>
    <t>Discover the essential sales metrics to track. Learn which key performance indicators can optimize your strategy and boost overall sales performance.</t>
  </si>
  <si>
    <t>381e9d1a5f6eea0543ed47a43388992d</t>
  </si>
  <si>
    <t>https://salesxceleration.com/wp-content/themes/salesxceleratione/assets/css/style.css?ver=1769123512</t>
  </si>
  <si>
    <t>Thu, 22 Jan 2026 23:13:29 GMT</t>
  </si>
  <si>
    <t>https://salesxceleration.com/wp-content/uploads/2020/02/SX-Effective_Sales_Vision_Statement-2048x2048.jpg</t>
  </si>
  <si>
    <t>Fri, 28 Mar 2025 19:11:12 GMT</t>
  </si>
  <si>
    <t>https://salesxceleration.com/wp-content/uploads/2020/05/hiring-skilled-sales-reps-image-2048x2048.jpg</t>
  </si>
  <si>
    <t>Fri, 28 Mar 2025 20:27:48 GMT</t>
  </si>
  <si>
    <t>https://salesxceleration.com/wp-content/uploads/2020/03/What_are_Sales_Metrics-1-2048x2048.jpg</t>
  </si>
  <si>
    <t>Sat, 29 Mar 2025 01:24:23 GMT</t>
  </si>
  <si>
    <t>https://salesxceleration.com/wp-content/uploads/2022/12/Recession.jpg</t>
  </si>
  <si>
    <t>Fri, 23 Dec 2022 21:06:29 GMT</t>
  </si>
  <si>
    <t>https://salesxceleration.com/tactics-to-guarantee-your-team-will-dominate-the-new-year/</t>
  </si>
  <si>
    <t>Sales and Marketing Management – Tactics to Guarantee Your Team Will Dominate the New Year</t>
  </si>
  <si>
    <t>Tactics to Guarantee Your Team Will Dominate the New Year</t>
  </si>
  <si>
    <t>Sales and Marketing Management - Tactics to Guarantee Your Team Will Dominate the New Year | Sales Xceleration Blog</t>
  </si>
  <si>
    <t>It’s important to lead your team by strategically putting a plan in place to boost sales for the coming year.</t>
  </si>
  <si>
    <t>a2e62528caefb452e2e8721a99ad82d2</t>
  </si>
  <si>
    <t>https://salesxceleration.com/wp-content/uploads/2024/06/Lawson-Kevin-100x100.jpg</t>
  </si>
  <si>
    <t>Tue, 04 Jun 2024 21:12:20 GMT</t>
  </si>
  <si>
    <t>https://salesxceleration.com/sales-agility-assessment?locationid=28995327</t>
  </si>
  <si>
    <t>https://salesxceleration.com/sales-agility-assessment/?locationid=28995327</t>
  </si>
  <si>
    <t>https://salesxceleration.com/sales-agility-assessment?locationid=26671639</t>
  </si>
  <si>
    <t>https://salesxceleration.com/sales-agility-assessment/?locationid=26671639</t>
  </si>
  <si>
    <t>https://salesxceleration.com/wp-content/uploads/2022/04/OShaughnessey-Sean-275x275-1-100x100.jpg</t>
  </si>
  <si>
    <t>Tue, 07 May 2024 07:11:29 GMT</t>
  </si>
  <si>
    <t>https://salesxceleration.com/20-20-foresight-how-to-boost-sales-looking-forward/</t>
  </si>
  <si>
    <t>Forbes – 20/20 Foresight: How to Boost Sales Looking Forward</t>
  </si>
  <si>
    <t>Forbes - 20/20 Foresight: How to Boost Sales Looking Forward | Sales Xceleration Blog</t>
  </si>
  <si>
    <t>Be more strategic about your sales. Learn how to create an effective sales vision statement to boost your sales.</t>
  </si>
  <si>
    <t>2939f68340346266ab35bf57cb8afb5e</t>
  </si>
  <si>
    <t>https://salesxceleration.com/author/soshaughnessy/</t>
  </si>
  <si>
    <t>Sean O’Shaughnessey</t>
  </si>
  <si>
    <t>Sean O’Shaughnessey, Author at Sales Xceleration</t>
  </si>
  <si>
    <t>87f7ff23958da1cf9f0fc6d30b259653</t>
  </si>
  <si>
    <t>https://salesxceleration.com/wp-content/uploads/2023/04/Leadership-Styles-Sales-Growth-1.jpg</t>
  </si>
  <si>
    <t>Thu, 20 Apr 2023 21:20:30 GMT</t>
  </si>
  <si>
    <t>https://salesxceleration.com/wp-content/uploads/2022/05/Discount.jpg</t>
  </si>
  <si>
    <t>Tue, 31 May 2022 11:23:27 GMT</t>
  </si>
  <si>
    <t>https://salesxceleration.com/wp-content/uploads/2022/07/Sales-Automation-2048x2048.jpg</t>
  </si>
  <si>
    <t>Fri, 28 Mar 2025 15:54:30 GMT</t>
  </si>
  <si>
    <t>https://salesxceleration.com/wp-content/uploads/2022/05/chart-promostrategies.jpg</t>
  </si>
  <si>
    <t>Tue, 31 May 2022 11:26:01 GMT</t>
  </si>
  <si>
    <t>https://salesxceleration.com/wp-content/uploads/2022/05/chart-pricepoints.jpg</t>
  </si>
  <si>
    <t>Tue, 31 May 2022 11:25:02 GMT</t>
  </si>
  <si>
    <t>https://salesxceleration.com/wp-content/uploads/2022/11/Why-Focus-on-Sales.jpg</t>
  </si>
  <si>
    <t>Wed, 16 Nov 2022 21:59:05 GMT</t>
  </si>
  <si>
    <t>https://salesxceleration.com/wp-content/uploads/2015/03/find-right-salesperson-sales-team-2048x2048.png</t>
  </si>
  <si>
    <t>Fri, 28 Mar 2025 15:01:20 GMT</t>
  </si>
  <si>
    <t>https://salesxceleration.com/author/klawson/</t>
  </si>
  <si>
    <t>Kevin Lawson</t>
  </si>
  <si>
    <t>Kevin Lawson, Author at Sales Xceleration</t>
  </si>
  <si>
    <t>Strategic and tactical; seeing and acting on both perspectives allows sales organizations to flourish. Whether you are rebounding, scaling, restructuring territories, or rethinking your go-to-market plan, I have navigated organizations through these difficult challenges. Let's put work boots on your goals and get to the business of attaining your next level of success.</t>
  </si>
  <si>
    <t>de49b4f7f7d18c77fc65fffad75a2462</t>
  </si>
  <si>
    <t>https://salesxceleration.com/sales-agility-assessment?locationid=22577447</t>
  </si>
  <si>
    <t>https://salesxceleration.com/sales-agility-assessment/?locationid=22577447</t>
  </si>
  <si>
    <t>https://salesxceleration.com/wp-content/uploads/2022/04/Lee-John-100x100.jpg</t>
  </si>
  <si>
    <t>Tue, 07 May 2024 07:11:57 GMT</t>
  </si>
  <si>
    <t>https://salesxceleration.com/wp-content/uploads/2020/04/Businessman_virtually_evaluating_business_sales_processes-scaled-e1585932608979-300x200.jpg</t>
  </si>
  <si>
    <t>Mon, 03 Jan 2022 14:53:08 GMT</t>
  </si>
  <si>
    <t>https://salesxceleration.com/wp-content/uploads/2020/04/Businessman-leading-training-session-scaled-1-300x300.jpg</t>
  </si>
  <si>
    <t>Fri, 28 Mar 2025 14:44:21 GMT</t>
  </si>
  <si>
    <t>https://salesxceleration.com/wp-content/uploads/2020/05/hiring-skilled-sales-reps-image-300x300.jpg</t>
  </si>
  <si>
    <t>Fri, 28 Mar 2025 20:27:46 GMT</t>
  </si>
  <si>
    <t>https://salesxceleration.com/finding-the-right-people-for-your-sales-team/</t>
  </si>
  <si>
    <t>Finding the Right People for Your Sales Team</t>
  </si>
  <si>
    <t>Finding the Right People for Your Sales Team | Sales Xceleration Blog</t>
  </si>
  <si>
    <t>The challenge in finding the right person for your sales team is that we often don’t know what they look like. What type of experience should they have?</t>
  </si>
  <si>
    <t>e145fb9a52bdd228bc73362b69a08db2</t>
  </si>
  <si>
    <t>https://salesxceleration.com/author/johnlee/</t>
  </si>
  <si>
    <t>John Lee</t>
  </si>
  <si>
    <t>John Lee, Author at Sales Xceleration</t>
  </si>
  <si>
    <t>https://salesxceleration.com/author/johnlee/page/2/</t>
  </si>
  <si>
    <t>7ceb2dd49246e35a5d74b1efc82ba332</t>
  </si>
  <si>
    <t>https://salesxceleration.com/wp-content/uploads/2020/04/Sales-Candidate-Interview-sm-300x200.jpg</t>
  </si>
  <si>
    <t>Mon, 03 Jan 2022 14:52:31 GMT</t>
  </si>
  <si>
    <t>https://salesxceleration.com/wp-content/uploads/2020/03/Business_CEO_thinking_with_employees_in_the_background-300x300.jpg</t>
  </si>
  <si>
    <t>Fri, 28 Mar 2025 20:17:06 GMT</t>
  </si>
  <si>
    <t>https://salesxceleration.com/wp-content/uploads/2020/02/SX-Effective_Sales_Vision_Statement-300x300.jpg</t>
  </si>
  <si>
    <t>https://salesxceleration.com/wp-content/uploads/2020/06/Millenials-Getting-Together-with-Friends-scaled-1-300x200.jpg</t>
  </si>
  <si>
    <t>Mon, 03 Jan 2022 14:51:47 GMT</t>
  </si>
  <si>
    <t>https://salesxceleration.com/tune-up-your-sales-engine-in-a-market-slowdown/</t>
  </si>
  <si>
    <t>Tune Up Your Sales Engine in a Market Slowdown</t>
  </si>
  <si>
    <t>Tune Up Your Sales Engine in a Market Slowdown | Sales Xceleration Blog</t>
  </si>
  <si>
    <t>Optimize your sales engine during a market slowdown with expert strategies. Learn how to adapt and drive performance even in challenging business conditions.</t>
  </si>
  <si>
    <t>788b273a63d45521a013900585a9958f</t>
  </si>
  <si>
    <t>https://salesxceleration.com/5-sales-compensation-plan-mistakes-that-damage-morale-and-ruin-revenue/</t>
  </si>
  <si>
    <t>Five Sales Compensation Plan Mistakes that Damage Morale and Ruin Revenue</t>
  </si>
  <si>
    <t>Five Sales Compensation Plan Mistakes that Damage Morale and Ruin Revenue | Sales Xceleration %Blog</t>
  </si>
  <si>
    <t>A well-designed sales compensation plan motivates superior sales rep performance and maximizes revenue, but comp plan mistakes are common.</t>
  </si>
  <si>
    <t>a63e38951bd287a22d4561d857466156</t>
  </si>
  <si>
    <t>https://salesxceleration.com/sales-tips-and-strategies-for-business-facing-seasonal-fluctuations/</t>
  </si>
  <si>
    <t>Business.com – Sales Tips and Strategies for Business Facing Seasonal Fluctuations</t>
  </si>
  <si>
    <t>If your business faces seasonal fluctuations in sales, it is important to prepare for those dips.</t>
  </si>
  <si>
    <t>1. Adjust for the impact of seasonality when forecasting sales.</t>
  </si>
  <si>
    <t>Business.com - Sales Tips and Strategies for Business Facing Seasonal Fluctuations | Sales Xceleration Blog</t>
  </si>
  <si>
    <t>Every business has challenges, but when your sales cycle is seasonal, you need a strategy to create opportunity.</t>
  </si>
  <si>
    <t>c42b293a691a3f102481f21ec0e3741a</t>
  </si>
  <si>
    <t>https://salesxceleration.com/improving-sales-success-starts-with-your-sales-executive-hiring-process/</t>
  </si>
  <si>
    <t>Improving Sales Success Starts with Your Sales Executive Hiring Process</t>
  </si>
  <si>
    <t>Improving Sales Success Starts with Your Sales Executive Hiring Process | Sales Xceleration Blog</t>
  </si>
  <si>
    <t>Including a handful of key elements in your businesses sales hiring and onboarding processes can greatly improve your team’s overall success.</t>
  </si>
  <si>
    <t>e2d668a7baa7f0779ac20cbeb3b779e8</t>
  </si>
  <si>
    <t>https://salesxceleration.com/how-effective-sales-leadership-training-delivers-results/</t>
  </si>
  <si>
    <t>How Effective Sales Leadership Training Delivers Results</t>
  </si>
  <si>
    <t>Sales Leadership Training | Effective Sales Training</t>
  </si>
  <si>
    <t>Empower your team's growth with our expert sales leadership training. Sign up today for our comprehensive, effective sales training and watch your sales figures soar.</t>
  </si>
  <si>
    <t>a59d22cf494f52c8b60772a7f2bdbba8</t>
  </si>
  <si>
    <t>https://salesxceleration.com/wp-content/uploads/2020/03/What_are_Sales_Metrics-1-300x300.jpg</t>
  </si>
  <si>
    <t>https://salesxceleration.com/questions-ceos-ask-themselves-daily/</t>
  </si>
  <si>
    <t>Questions CEOs Ask Themselves Daily</t>
  </si>
  <si>
    <t>Questions CEOs Ask Themselves Daily | Sales Xceleration Blog</t>
  </si>
  <si>
    <t>CEOs handle many functional areas in the business, however there are three things that they think about daily: driving revenue, time management, and hiring and retaining sales talent.</t>
  </si>
  <si>
    <t>15f69b42cca11b0c53e9f31c7f88143a</t>
  </si>
  <si>
    <t>https://salesxceleration.com/wp-content/uploads/2020/03/Strategies_for_Seasonality-scaled-1-300x210.jpg</t>
  </si>
  <si>
    <t>Mon, 03 Jan 2022 14:53:30 GMT</t>
  </si>
  <si>
    <t>https://salesxceleration.com/wp-content/uploads/2020/05/Frustrated-salesperson-scaled-1-300x300.jpg</t>
  </si>
  <si>
    <t>Fri, 28 Mar 2025 14:55:52 GMT</t>
  </si>
  <si>
    <t>https://salesxceleration.com/wp-content/uploads/2020/04/SX-Buinessmen_meeting_and_planning-scaled-1-300x300.jpg</t>
  </si>
  <si>
    <t>Fri, 28 Mar 2025 20:16:57 GMT</t>
  </si>
  <si>
    <t>https://salesxceleration.com/wp-content/uploads/2020/06/Sales-Candidates-scaled-1-300x135.jpg</t>
  </si>
  <si>
    <t>Mon, 03 Jan 2022 14:50:50 GMT</t>
  </si>
  <si>
    <t>https://salesxceleration.com/wp-content/uploads/2022/01/Supply-Chain-Logistics-300x200.jpg</t>
  </si>
  <si>
    <t>Fri, 07 Jan 2022 19:59:49 GMT</t>
  </si>
  <si>
    <t>https://salesxceleration.com/appreciating-and-retaining-millennial-employees/</t>
  </si>
  <si>
    <t>Appreciating and Retaining Millennial Employees</t>
  </si>
  <si>
    <t>Appreciating and Retaining Millennial Employees | Sales Xceleration Blog</t>
  </si>
  <si>
    <t>Companies that recognize Millennial workers priorities will ensure they feel appreciated and fulfilled in their roles leading to increased retention.</t>
  </si>
  <si>
    <t>f5a22f31de68c2f0526075a2afa44185</t>
  </si>
  <si>
    <t>https://salesxceleration.com/start-me-up/</t>
  </si>
  <si>
    <t>Start Me Up</t>
  </si>
  <si>
    <t>Start Me Up | Sales Xceleration Blog</t>
  </si>
  <si>
    <t>Utilize forward planning and thoughtful analysis of your business while in this moment of “crisis pause” instead of fearing for survival.</t>
  </si>
  <si>
    <t>203a7b81df301df2d00069de473a392</t>
  </si>
  <si>
    <t>https://salesxceleration.com/wp-content/uploads/2021/11/Buyer-Journey_Sales-Process-300x200.jpeg</t>
  </si>
  <si>
    <t>Mon, 03 Jan 2022 14:07:10 GMT</t>
  </si>
  <si>
    <t>https://salesxceleration.com/wp-content/uploads/2021/07/CRM-scaled-1-300x300.jpg</t>
  </si>
  <si>
    <t>Fri, 28 Mar 2025 15:04:09 GMT</t>
  </si>
  <si>
    <t>https://salesxceleration.com/can-you-grow-your-business-during-labor-shortages-and-supply-chain-delays/</t>
  </si>
  <si>
    <t>Can You Grow Your Business During Labor Shortages and Supply Chain Delays?</t>
  </si>
  <si>
    <t>Is the Pursuit of Higher Profits on Pause?</t>
  </si>
  <si>
    <t>Shifting Strategies</t>
  </si>
  <si>
    <t>Can You Grow Your Business During Labor Shortages and Supply Chain Delays? | Sales Xceleration Blog</t>
  </si>
  <si>
    <t>Design your sales plan to increase revenue now while positioning your business for more growth once supply chains and labor markets return to normal.</t>
  </si>
  <si>
    <t>52210724da5d27e22a2bb95638bcf152</t>
  </si>
  <si>
    <t>https://salesxceleration.com/wp-content/uploads/2022/01/Sales-Compensation-300x200.jpg</t>
  </si>
  <si>
    <t>Tue, 11 Jan 2022 18:31:42 GMT</t>
  </si>
  <si>
    <t>https://salesxceleration.com/maximize-sales-by-aligning-the-b2b-buyer-journey-to-the-sales-process/</t>
  </si>
  <si>
    <t>Maximize Sales by Aligning the B2B Buyer Journey to the Sales Process</t>
  </si>
  <si>
    <t>B2B Buyer’s Journey Stages</t>
  </si>
  <si>
    <t>The Importance of a B2B Buyer Journey</t>
  </si>
  <si>
    <t>Maximize Sales by Aligning the B2B Buyer Journey to the Sales Process | Sales Xceleration Blog</t>
  </si>
  <si>
    <t>When business-to-business (B2B) buyers have a problem – a pain to be cured with the right service or product – they embark on a journey. This B2B buyer</t>
  </si>
  <si>
    <t>b785db5d8aacc22e057f0ecb3222ed1</t>
  </si>
  <si>
    <t>https://salesxceleration.com/sales-agility-the-secret-to-successful-small-businesses/</t>
  </si>
  <si>
    <t>Sales Agility: The Secret to Successful Small Businesses</t>
  </si>
  <si>
    <t>Unpacking the Sales Agility Assessment</t>
  </si>
  <si>
    <t>1. Companies aren’t compensating sales reps in a way that drives desired behaviors.</t>
  </si>
  <si>
    <t>Sales Agility: The Secret to Successful Small Businesses | Sales Xceleration Blog</t>
  </si>
  <si>
    <t>Successful companies find ways to stay agile. Here’s a look at what our Sales Agility Assessments reveal about winning sales practices.</t>
  </si>
  <si>
    <t>b1221d24b30d06e183dc3438fe444f</t>
  </si>
  <si>
    <t>https://salesxceleration.com/wp-content/uploads/2022/01/United-Sales-Team-300x300.jpg</t>
  </si>
  <si>
    <t>Fri, 28 Mar 2025 16:28:08 GMT</t>
  </si>
  <si>
    <t>https://salesxceleration.com/wp-content/uploads/2021/04/131501-viewpoints-rocketman-ORG-300x300.jpg</t>
  </si>
  <si>
    <t>Fri, 28 Mar 2025 20:27:39 GMT</t>
  </si>
  <si>
    <t>https://salesxceleration.com/roadmap-to-sales-success-6-actions-you-must-take-to-improve-your-sales-process/</t>
  </si>
  <si>
    <t>Roadmap to Sales Success: 6 Actions You Must Take to Improve Your Sales Process</t>
  </si>
  <si>
    <t>Identify Where You Are</t>
  </si>
  <si>
    <t>Roadmap to Sales Success: 6 Actions You Must Take to Improve Your Sales Process | Sales Xceleration Blog</t>
  </si>
  <si>
    <t>Six ways to identify potential course corrections that will improve your sales process.</t>
  </si>
  <si>
    <t>5524d295fef48cfe935e9c8734d0fcf5</t>
  </si>
  <si>
    <t>https://salesxceleration.com/wp-content/uploads/2021/12/social-media-300x200.jpg</t>
  </si>
  <si>
    <t>Mon, 03 Jan 2022 14:04:49 GMT</t>
  </si>
  <si>
    <t>https://salesxceleration.com/wp-content/uploads/2021/11/backpack-300x300.jpeg</t>
  </si>
  <si>
    <t>Fri, 28 Mar 2025 16:02:28 GMT</t>
  </si>
  <si>
    <t>https://salesxceleration.com/sales-recruiting-vs-hiring-growing-your-sales-team-in-2022/</t>
  </si>
  <si>
    <t>Sales Recruiting vs. Hiring: Growing Your Sales Team in 2022</t>
  </si>
  <si>
    <t>Sales Recruiting vs. Sales Hiring: Growing Your Sales Team in 2022</t>
  </si>
  <si>
    <t>Sales Hiring Explained</t>
  </si>
  <si>
    <t>Sales Recruiting vs. Hiring: Growing Your Sales Team in 2022 | Sales Xceleration Blog</t>
  </si>
  <si>
    <t>Hiring for sales and recruiting for sales are two different functions, both of which have varying degrees of success. It all comes down to the approach.</t>
  </si>
  <si>
    <t>bba46b44cedafd737f367e698f3c561d</t>
  </si>
  <si>
    <t>https://salesxceleration.com/wp-content/uploads/2021/12/Sales-Roadmap-1-300x200.jpg</t>
  </si>
  <si>
    <t>Mon, 03 Jan 2022 14:01:13 GMT</t>
  </si>
  <si>
    <t>https://salesxceleration.com/wp-content/uploads/2021/05/Small-Business-Owner-300x200.jpg</t>
  </si>
  <si>
    <t>Mon, 03 Jan 2022 14:37:35 GMT</t>
  </si>
  <si>
    <t>https://salesxceleration.com/wp-content/themes/salesxceleratione/assets/css/style.css?ver=1769123513</t>
  </si>
  <si>
    <t>Thu, 22 Jan 2026 23:13:39 GMT</t>
  </si>
  <si>
    <t>https://salesxceleration.com/wp-content/uploads/2021/04/Sales-Goal-Meeting-300x200.png</t>
  </si>
  <si>
    <t>Mon, 03 Jan 2022 14:38:26 GMT</t>
  </si>
  <si>
    <t>https://salesxceleration.com/five-keys-to-more-successful-sales-compensation-plans/</t>
  </si>
  <si>
    <t>Five Keys to More Successful Sales Compensation Plans</t>
  </si>
  <si>
    <t>The Bottom Line:</t>
  </si>
  <si>
    <t>Five Keys to More Successful Sales Compensation Plans | Sales Xceleration Blog</t>
  </si>
  <si>
    <t>Effective employee incentive and sales compensation programs are very powerful when employees understand the connection between performance and rewards</t>
  </si>
  <si>
    <t>f025d1e50c3903beed8279d79e390ca3</t>
  </si>
  <si>
    <t>https://salesxceleration.com/6-steps-for-recruiting-top-sales-talent/</t>
  </si>
  <si>
    <t>Destination CRM – 6 Steps for Recruiting Top Sales Talent</t>
  </si>
  <si>
    <t>Destination CRM - 6 Steps for Recruiting Top Sales Talent | Sales Xceleration Blog</t>
  </si>
  <si>
    <t>The importance of leadership in sales and having a strong team can’t be overstated. Every team member has to be aligned and working toward your company’s success.</t>
  </si>
  <si>
    <t>cb29584cb3097042da1f19a5c2a87207</t>
  </si>
  <si>
    <t>https://salesxceleration.com/the-real-benefits-of-better-sales-compensation-plans/</t>
  </si>
  <si>
    <t>The Real Benefits of Better Sales Compensation Plans</t>
  </si>
  <si>
    <t>What Should Sales Compensation Plans Include?</t>
  </si>
  <si>
    <t>The Risks of a Poor Sales Comp Plan</t>
  </si>
  <si>
    <t>The Real Benefits of Better Sales Compensation Plans | Sales Xceleration Blog</t>
  </si>
  <si>
    <t>Designing, implementing, and managing a better sales comp plan can be challenging, with many factors, internal and external, coming into play.</t>
  </si>
  <si>
    <t>45f64b7e23aa0c77f6f77d3263d90148</t>
  </si>
  <si>
    <t>https://salesxceleration.com/wp-content/uploads/2022/01/shutterstock_1471857863-300x200.jpg</t>
  </si>
  <si>
    <t>Tue, 11 Jan 2022 21:57:07 GMT</t>
  </si>
  <si>
    <t>https://salesxceleration.com/wp-content/uploads/2023/04/5-Reasons.jpg</t>
  </si>
  <si>
    <t>Thu, 13 Apr 2023 20:54:56 GMT</t>
  </si>
  <si>
    <t>https://salesxceleration.com/five-ways-social-media-can-elevate-your-sales-efforts/</t>
  </si>
  <si>
    <t>Forbes – Five Ways Social Media Can Elevate Your Sales Efforts</t>
  </si>
  <si>
    <t>Forbes - Five Ways Social Media Can Elevate Your Sales Efforts | Sales Xceleration Blog</t>
  </si>
  <si>
    <t>Believe it or not, time-honored traditional sales methods have much in common with selling on social media. Effective selling with either approach requires</t>
  </si>
  <si>
    <t>80e3b30902d65eb42daa88e4ee75a767</t>
  </si>
  <si>
    <t>https://salesxceleration.com/will-you-hitchhike-on-the-b2b-buyers-journey-or-help-guide-the-ride/</t>
  </si>
  <si>
    <t>Forbes – Will You Hitchhike on the B2B Buyer’s Journey or Help Guide the Ride?</t>
  </si>
  <si>
    <t>B2B Buyer’s Journey Definition</t>
  </si>
  <si>
    <t>Forbes - Will You Hitchhike on the B2B Buyer’s Journey or Help Guide the Ride? | Sales Xceleration Blog</t>
  </si>
  <si>
    <t>Before a business prospect buys your product, service or solution, they embark on a decision-making journey. In some cases, this business-to-business (B2B)</t>
  </si>
  <si>
    <t>5041d01ff5b6679ff9ba7eb7249fd2b4</t>
  </si>
  <si>
    <t>https://salesxceleration.com/how-to-achieve-your-business-goals-with-individual-salesperson-goals/</t>
  </si>
  <si>
    <t>How to Achieve Your Business Goals with Individual Salesperson Goals</t>
  </si>
  <si>
    <t>No “I” in Team?</t>
  </si>
  <si>
    <t>Strategies for Achieving Goals: #1 – Make Individual Salesperson Goals Personal</t>
  </si>
  <si>
    <t>Strategies For Achieving Goals | Achieve Business Goals</t>
  </si>
  <si>
    <t>Explore strategies for achieving goals to ensure business success. Click now and master the art of setting and reaching objectives to achieve your business goals.</t>
  </si>
  <si>
    <t>d4d8328f4532ef362c930a20aa40fcf2</t>
  </si>
  <si>
    <t>https://salesxceleration.com/do-you-need-a-crm/</t>
  </si>
  <si>
    <t>Do You Need a CRM?</t>
  </si>
  <si>
    <t>Communication and Transparency</t>
  </si>
  <si>
    <t>Data and Analysis</t>
  </si>
  <si>
    <t>Do You Need a CRM? | Sales Xceleration Blog</t>
  </si>
  <si>
    <t>A CRM improves your sales capabilities by streamlining data across departments and enhancing the overall sales process.</t>
  </si>
  <si>
    <t>14ff49378adb8a5e4c4bef39fb458a74</t>
  </si>
  <si>
    <t>https://salesxceleration.com/wp-content/uploads/2022/08/The-Funnel_Goal-Achievement-Plan.jpg</t>
  </si>
  <si>
    <t>Fri, 19 Aug 2022 10:46:32 GMT</t>
  </si>
  <si>
    <t>https://salesxceleration.com/wp-content/uploads/2023/04/Increasing-Sales-with-Existing-Customers.jpg</t>
  </si>
  <si>
    <t>https://salesxceleration.com/wp-content/uploads/2023/08/Benefits-of-Virtual-Selling.jpg</t>
  </si>
  <si>
    <t>Tue, 08 Aug 2023 21:05:57 GMT</t>
  </si>
  <si>
    <t>https://salesxceleration.com/the-funnel-activities-to-help-you-meet-goals/</t>
  </si>
  <si>
    <t>The Funnel: Activities to Help You Meet Goals</t>
  </si>
  <si>
    <t>Sales Tool: The Funnel: Activities to Help You Meet Goals | Sales Xceleration</t>
  </si>
  <si>
    <t>SalesXceleration shares key funnel activities to help you achieve sales goals. Proven strategies to optimize your sales process and drive growth.</t>
  </si>
  <si>
    <t>59767b18113c64e02ed44c6ae21da751</t>
  </si>
  <si>
    <t>https://salesxceleration.com/wp-content/themes/salesxceleratione/assets/css/style.css?ver=1769123514</t>
  </si>
  <si>
    <t>Thu, 22 Jan 2026 23:13:41 GMT</t>
  </si>
  <si>
    <t>https://salesxceleration.com/wp-content/uploads/2023/08/Businessman-Selling-Virtually.jpg</t>
  </si>
  <si>
    <t>Tue, 08 Aug 2023 21:05:53 GMT</t>
  </si>
  <si>
    <t>https://salesxceleration.com/5-best-practices-for-maximizing-your-crm-capabilities/</t>
  </si>
  <si>
    <t>5 Best Practices for Maximizing Your CRM Capabilities</t>
  </si>
  <si>
    <t>5 Best Practices for Maximizing Your CRM Capabilities | Sales Xceleration Blog</t>
  </si>
  <si>
    <t>Using the right tools for any job is essential. You wouldn’t have a call center rep answer a call without a computer and a script. The same should be true of</t>
  </si>
  <si>
    <t>ed0649005dc3c1994bb691457920f77b</t>
  </si>
  <si>
    <t>https://salesxceleration.com/wp-content/uploads/2022/04/Clair-Jeff-275x275-2-100x100.jpg</t>
  </si>
  <si>
    <t>Tue, 07 May 2024 07:10:09 GMT</t>
  </si>
  <si>
    <t>https://salesxceleration.com/wp-content/uploads/2022/03/117623-2018-09-InSight-Sales-ORG-2048x2048.jpg</t>
  </si>
  <si>
    <t>https://salesxceleration.com/wp-content/uploads/2022/07/hannah-carr-I079C4gOe8s-unsplash.jpg</t>
  </si>
  <si>
    <t>Mon, 18 Jul 2022 11:20:57 GMT</t>
  </si>
  <si>
    <t>https://salesxceleration.com/wp-content/uploads/2021/03/Sales-Forecasting-Meeting-300x169.jpg</t>
  </si>
  <si>
    <t>Mon, 03 Jan 2022 14:43:42 GMT</t>
  </si>
  <si>
    <t>https://salesxceleration.com/wp-content/uploads/2020/09/Online-Sales-Meeting-scaled-1-300x300.jpg</t>
  </si>
  <si>
    <t>Fri, 28 Mar 2025 23:24:38 GMT</t>
  </si>
  <si>
    <t>https://salesxceleration.com/wp-content/uploads/2020/11/forbes-expert-panel-300x300.jpg</t>
  </si>
  <si>
    <t>Sat, 29 Mar 2025 23:37:22 GMT</t>
  </si>
  <si>
    <t>https://salesxceleration.com/wp-content/uploads/2020/12/business-man-300x300.jpg</t>
  </si>
  <si>
    <t>Sat, 29 Mar 2025 01:16:57 GMT</t>
  </si>
  <si>
    <t>https://salesxceleration.com/author/jclair/</t>
  </si>
  <si>
    <t>Jeff Clair, Author at Sales Xceleration</t>
  </si>
  <si>
    <t>efb66f9795622783f4ecec62a2a5d27a</t>
  </si>
  <si>
    <t>https://salesxceleration.com/wp-content/uploads/2021/02/Sales-Pipeline-scaled-1-300x300.jpg</t>
  </si>
  <si>
    <t>Fri, 28 Mar 2025 14:57:51 GMT</t>
  </si>
  <si>
    <t>https://salesxceleration.com/sales-agility-assessment/?locationid=26869400</t>
  </si>
  <si>
    <t>f1a03735de8797a6953a1395c0332c58</t>
  </si>
  <si>
    <t>https://salesxceleration.com/how-to-develop-a-sales-compensation-plan/</t>
  </si>
  <si>
    <t>How to Develop a Sales Compensation Plan</t>
  </si>
  <si>
    <t>How to Develop a Sales Compensation Plan | Sales Xceleration Blog</t>
  </si>
  <si>
    <t>A properly structured sales compensation plan incentivizes your sales team and is key to running a successful small business.</t>
  </si>
  <si>
    <t>fed83c3b415e5d56359186be65270bd1</t>
  </si>
  <si>
    <t>https://salesxceleration.com/why-sales-forecasting-will-be-more-important-than-ever-in-2021/</t>
  </si>
  <si>
    <t>CEOWorld Magazine – Why Sales Forecasting Will Be More Important than Ever in 2021</t>
  </si>
  <si>
    <t>CEOWorld Magazine - Why Sales Forecasting Will Be More Important than Ever in 2021 | Sales Xceleration Blog</t>
  </si>
  <si>
    <t>While 2020 has been anything but predictable, nobody knows exactly what 2021 holds. By taking a scientific approach to forecasting your sales, you can avoid potential problems with your KPIs. It’s time to shift your sales process to focus on the future instead of dwelling on the past.</t>
  </si>
  <si>
    <t>d190f54de0f7e3cf54d120b0669b9265</t>
  </si>
  <si>
    <t>https://salesxceleration.com/wp-content/uploads/2021/03/Pouring-Sauce-scaled-1-300x300.jpg</t>
  </si>
  <si>
    <t>Fri, 28 Mar 2025 16:02:05 GMT</t>
  </si>
  <si>
    <t>https://salesxceleration.com/next-level-sales-success-why-you-absolutely-must-assess-and-evaluate-your-sales-team-regularly/</t>
  </si>
  <si>
    <t>Next-Level Sales Success: Why You Absolutely MUST Assess and Evaluate Your Sales Team Regularly</t>
  </si>
  <si>
    <t>The Difference Between Measurement, Assessment, and Evaluation</t>
  </si>
  <si>
    <t>Sales Team Member Skills to Assess</t>
  </si>
  <si>
    <t>Next-Level Sales Success: Why You Absolutely MUST Assess and Evaluate Your Sales Team Regularly | Sales Xceleration Blog</t>
  </si>
  <si>
    <t>Next-level sales success demands looking beyond sales performance data to evaluate sales reps processing skills and behavioral traits to make improvements.</t>
  </si>
  <si>
    <t>b06ed33af3378798a5fc98dce0477b67</t>
  </si>
  <si>
    <t>https://salesxceleration.com/joining-sales-enablement-and-revenue-enablement-for-strategic-growth/</t>
  </si>
  <si>
    <t>Joining Sales Enablement and Revenue Enablement for Strategic Growth</t>
  </si>
  <si>
    <t>Sales Enablement is Limited</t>
  </si>
  <si>
    <t>Revenue Enablement is a Holistic Approach</t>
  </si>
  <si>
    <t>Joining Sales Enablement and Revenue Enablement for Strategic Growth | Sales Xceleration Blog</t>
  </si>
  <si>
    <t>Use revenue enablement in conjunction with sales enablement to drive revenue growth.</t>
  </si>
  <si>
    <t>3cc4738e2209df0620087266eee2e28</t>
  </si>
  <si>
    <t>https://salesxceleration.com/wp-content/uploads/2020/07/Developing-a-Comp-Plan-300x300.jpg</t>
  </si>
  <si>
    <t>Fri, 28 Mar 2025 14:41:22 GMT</t>
  </si>
  <si>
    <t>https://salesxceleration.com/mastering-your-sales-pipeline/</t>
  </si>
  <si>
    <t>Mastering Your Sales Pipeline</t>
  </si>
  <si>
    <t>Mastering Your Sales Pipeline | Sales Xceleration Blog</t>
  </si>
  <si>
    <t>Having a systematic sales pipeline is critical for forecasting performance and making better business decisions.</t>
  </si>
  <si>
    <t>3f4a3f6cd972287fc702b3f5dbbc148c</t>
  </si>
  <si>
    <t>https://salesxceleration.com/wp-content/uploads/2021/01/Sales-Process-Meeting-scaled-1-300x300.jpg</t>
  </si>
  <si>
    <t>Fri, 28 Mar 2025 14:58:00 GMT</t>
  </si>
  <si>
    <t>https://salesxceleration.com/wp-content/uploads/2020/11/sales-forecasting-300x300.jpg</t>
  </si>
  <si>
    <t>Fri, 28 Mar 2025 16:02:50 GMT</t>
  </si>
  <si>
    <t>https://salesxceleration.com/14-techniques-for-onboarding-new-remote-employees/</t>
  </si>
  <si>
    <t>Forbes – 14 Techniques for Onboarding New Remote Employees</t>
  </si>
  <si>
    <t>Forbes - 14 Techniques for Onboarding New Remote Employees | Sales Xceleration Blog</t>
  </si>
  <si>
    <t>With most businesses having shifted to a partially or fully displaced workforce, employers need to come up with new and improved onboarding techniques to welcome remote workers.</t>
  </si>
  <si>
    <t>4d32a876ce34c42bdd1590d9819b7c0d</t>
  </si>
  <si>
    <t>https://salesxceleration.com/how-to-establish-rapport-with-a-prospect-and-create-a-solid-sales-relationship/</t>
  </si>
  <si>
    <t>Forbes – How To Establish Rapport With A Prospect And Create A Solid Sales Relationship</t>
  </si>
  <si>
    <t>Forbes - How To Establish Rapport With A Prospect And Create A Solid Sales Relationship | Sales Xceleration Blog</t>
  </si>
  <si>
    <t>Turning leads into prospects and prospects into customers is not as simple as it sounds. We have a way to establish rapport to build a solid sales relationship.</t>
  </si>
  <si>
    <t>ed592fddb91a9276a84d3df7962990a6</t>
  </si>
  <si>
    <t>https://salesxceleration.com/wp-content/uploads/2021/02/Sales-Team-Meeting-scaled-1-300x300.jpg</t>
  </si>
  <si>
    <t>Sun, 30 Mar 2025 03:53:47 GMT</t>
  </si>
  <si>
    <t>https://salesxceleration.com/wp-content/uploads/2021/04/Sales-Team-Evaluation-300x200.png</t>
  </si>
  <si>
    <t>Mon, 03 Jan 2022 14:39:33 GMT</t>
  </si>
  <si>
    <t>https://salesxceleration.com/leveraging-sales-agility-for-revenue-operations-success/</t>
  </si>
  <si>
    <t>Leveraging Sales Agility for Revenue Operations Success</t>
  </si>
  <si>
    <t>B2B buyer preferences and timelines have changed … has your sales approach?</t>
  </si>
  <si>
    <t>Increased Complexity in B2B Purchasing Decisions</t>
  </si>
  <si>
    <t>Leveraging Sales Agility for Revenue Operations Success | Sales Xceleration Blog</t>
  </si>
  <si>
    <t>Sales organizations that take an agile approach to the sales process will see greater success than those that follow a rigid sales plan.</t>
  </si>
  <si>
    <t>44918abf444267377763b1f602eeeb8d</t>
  </si>
  <si>
    <t>https://salesxceleration.com/from-pipeline-to-bottom-line-how-to-boost-your-sales-team-effectiveness/</t>
  </si>
  <si>
    <t>From Pipeline to Bottom Line: How to Boost Your Sales Team Effectiveness</t>
  </si>
  <si>
    <t>The Big Picture First</t>
  </si>
  <si>
    <t>Sales Forecasting Using Accurate Metrics</t>
  </si>
  <si>
    <t>From Pipeline to Bottom Line: How to Boost Your Sales Team Effectiveness | Sales Xceleration Blog</t>
  </si>
  <si>
    <t>Sales assessment tools, tracking sales productivity, and performance evaluations are key leading indicators for sales team effectiveness and success.</t>
  </si>
  <si>
    <t>934b083aede48c7df2dfb66de10d5f68</t>
  </si>
  <si>
    <t>https://salesxceleration.com/wp-content/themes/salesxceleratione/assets/css/style.css?ver=1769123515</t>
  </si>
  <si>
    <t>https://salesxceleration.com/wp-content/uploads/2021/03/Sales-Strategy-Meeting-scaled-1-300x300.jpg</t>
  </si>
  <si>
    <t>Sat, 29 Mar 2025 23:37:27 GMT</t>
  </si>
  <si>
    <t>https://salesxceleration.com/wp-content/uploads/2019/02/should-you-discount-your-prices-300x200.jpg</t>
  </si>
  <si>
    <t>Mon, 03 Jan 2022 15:03:47 GMT</t>
  </si>
  <si>
    <t>https://salesxceleration.com/inbound-vs-outbound-sales-knowing-the-difference-will-greatly-improve-your-success/</t>
  </si>
  <si>
    <t>Inbound vs. Outbound Sales: Knowing the Difference Will Greatly Improve Your Success!</t>
  </si>
  <si>
    <t>Inbound vs. Outbound Sales: Knowing the Difference Will Greatly Improve Your Success! | Sales Xceleration Blog</t>
  </si>
  <si>
    <t>Inbound and outbound sales approaches are different, so sales leaders must coach their sales teams to successfully navigate both scenarios.</t>
  </si>
  <si>
    <t>b50d29b87efa53ffb621f996b8925259</t>
  </si>
  <si>
    <t>https://salesxceleration.com/wp-content/uploads/2020/03/Tactics_for_Team_Dominance-1-scaled-1-300x300.jpg</t>
  </si>
  <si>
    <t>https://salesxceleration.com/wp-content/uploads/2018/02/wallet2-300x202.jpg</t>
  </si>
  <si>
    <t>Mon, 03 Jan 2022 15:11:04 GMT</t>
  </si>
  <si>
    <t>https://salesxceleration.com/selling-in-a-2d-x-2s-world/</t>
  </si>
  <si>
    <t>Selling in a 2D x 2S World</t>
  </si>
  <si>
    <t>Selling in a 2D x 2S World | Sales Xceleration Blog</t>
  </si>
  <si>
    <t>When selling online, use sales techniques that minimize the mechanics and slideware while maximizing the emotional selling through good questions and great storytelling.</t>
  </si>
  <si>
    <t>8577411fa114fbbc1d837f3036cc620d</t>
  </si>
  <si>
    <t>https://salesxceleration.com/whats-the-secret-sauce-for-better-sales-processes/</t>
  </si>
  <si>
    <t>What’s the Secret Sauce for Better Sales Processes?</t>
  </si>
  <si>
    <t>Where Sales Process Ingredients Come Together</t>
  </si>
  <si>
    <t>The Influence of Meaningful Data on Sales Processes</t>
  </si>
  <si>
    <t>What’s the Secret Sauce for Better Sales Processes? | Sales Xceleration Blog</t>
  </si>
  <si>
    <t>A data-driven sales approach empowers you to identify and correct problem areas in your sales processes using sales performance metrics.</t>
  </si>
  <si>
    <t>ffbf1914b119d9937411eb26dde4a1ea</t>
  </si>
  <si>
    <t>https://salesxceleration.com/wp-content/uploads/2017/03/Sales_Consulting_101-300x169.jpg</t>
  </si>
  <si>
    <t>Mon, 03 Jan 2022 15:08:10 GMT</t>
  </si>
  <si>
    <t>https://salesxceleration.com/revenue-growth/</t>
  </si>
  <si>
    <t>I Need Revenue Growth NOW and I Don’t Have Time for All That Sales Strategy Stuff</t>
  </si>
  <si>
    <t>I Need Revenue Growth Now | Sales Xceleration</t>
  </si>
  <si>
    <t>Growth starts with a sales strategy and hiring a great sales team is one of the requirements to execute your growth strategy and maximize results.</t>
  </si>
  <si>
    <t>fd7c932e2da2d62d54ad716133e0a0b2</t>
  </si>
  <si>
    <t>https://salesxceleration.com/wp-content/uploads/2019/02/should-you-increase-your-sales-price-300x300.jpg</t>
  </si>
  <si>
    <t>Fri, 28 Mar 2025 17:48:21 GMT</t>
  </si>
  <si>
    <t>https://salesxceleration.com/whats-wallet-time-fund-sales-tool-kit/</t>
  </si>
  <si>
    <t>“What’s in your Wallet?” Time to Fund Your Sales Tool Kit</t>
  </si>
  <si>
    <t>“What’s in your Wallet?” Time to Fund Your Sales Tool Kit | Sales Xceleration Blog</t>
  </si>
  <si>
    <t>The functional sales wallet is what you reach for when the sales call is working well, or when you need a boost of insight or a new path.</t>
  </si>
  <si>
    <t>https://toplinesolutions.org/time-fund-sales-tool-kit/</t>
  </si>
  <si>
    <t>6cc19cf47c3398943bf3c48aeeca8f6d</t>
  </si>
  <si>
    <t>https://salesxceleration.com/compensation-plans-performance-management/</t>
  </si>
  <si>
    <t>Compensation Plans and Performance Management</t>
  </si>
  <si>
    <t>Compensation Plans and Performance Management | Sales Xceleration</t>
  </si>
  <si>
    <t>Within any sales organization, your ability to design a motivating and competitive compensation plan helps to drive sales and revenue.</t>
  </si>
  <si>
    <t>7c497031b6c7c3b97ed6413902fb355b</t>
  </si>
  <si>
    <t>https://salesxceleration.com/wp-content/uploads/2019/08/blog-image_shutterstock_1254620098-300x200.jpg</t>
  </si>
  <si>
    <t>Fri, 12 Nov 2021 16:03:24 GMT</t>
  </si>
  <si>
    <t>https://salesxceleration.com/how-to-define-your-ideal-salesperson-and-avoid-making-a-hiring-mistake/</t>
  </si>
  <si>
    <t>How to Define Your Ideal Salesperson and Avoid Making a Hiring Mistake</t>
  </si>
  <si>
    <t>How to Define Your Ideal Salesperson and Avoid Making a Hiring Mistake | Sales Xceleration Blog</t>
  </si>
  <si>
    <t>To make it more likely that the magic will happen and chemistry is present when you finally hire your new salesperson, you must first go beyond the basics.</t>
  </si>
  <si>
    <t>42e8a400db5af862a34b22f5e7103eaf</t>
  </si>
  <si>
    <t>https://salesxceleration.com/wp-content/uploads/2019/08/https___specials-images.forbesimg.com_dam_imageserve_1041618784_960x0-300x200.jpg</t>
  </si>
  <si>
    <t>Mon, 03 Jan 2022 14:58:58 GMT</t>
  </si>
  <si>
    <t>https://salesxceleration.com/how-to-grow-your-business-by-building-maintaining-and-improving-customer-relationships/</t>
  </si>
  <si>
    <t>How to Grow Your Business by Building, Maintaining and Improving Customer Relationships</t>
  </si>
  <si>
    <t>First, Understand the Value of Customer Loyalty</t>
  </si>
  <si>
    <t>Know Your Customer – and Keep Them Engaged</t>
  </si>
  <si>
    <t>How to Grow Your Business by Building, Maintaining and Improving Customer Relationships | Sales Xceleration Blog</t>
  </si>
  <si>
    <t>Acquiring new customers is a good thing, but growing your business is easier and more cost effective when you increase sales to existing customers.</t>
  </si>
  <si>
    <t>5c7bdffac242c22f8f7e109c9645531a</t>
  </si>
  <si>
    <t>https://salesxceleration.com/wp-content/uploads/2018/10/shutterstock_272489561-300x184.png</t>
  </si>
  <si>
    <t>Mon, 03 Jan 2022 15:07:08 GMT</t>
  </si>
  <si>
    <t>https://salesxceleration.com/wp-content/uploads/2019/02/i-need-revenue-growth-now-300x200.jpg</t>
  </si>
  <si>
    <t>Mon, 03 Jan 2022 15:03:45 GMT</t>
  </si>
  <si>
    <t>https://salesxceleration.com/top-4-challenges-facing-small-business-owners-today/</t>
  </si>
  <si>
    <t>Top 4 Challenges Facing Small Business Owners Today</t>
  </si>
  <si>
    <t>Top 4 Challenges Facing Small Business Owners Today | Sales Xceleration Blog</t>
  </si>
  <si>
    <t>Four common challenges for SMB owners are lack of financial knowledge, desire to manage a sales team, the right human capital and time.</t>
  </si>
  <si>
    <t>a88ced335db7ba4b543cdfe030589ffc</t>
  </si>
  <si>
    <t>https://salesxceleration.com/wp-content/uploads/2018/06/Small_Business_Challenges-300x169.jpg</t>
  </si>
  <si>
    <t>Mon, 03 Jan 2022 15:08:59 GMT</t>
  </si>
  <si>
    <t>https://salesxceleration.com/why-when-who-hiring-fractional-vp-sales/</t>
  </si>
  <si>
    <t>Sales Consulting 101: The “Why, When &amp; Who” of Hiring a Fractional VP of Sales</t>
  </si>
  <si>
    <t>Sales Consulting 101: Hiring a Fractional VP of Sales</t>
  </si>
  <si>
    <t>Leveraging a sales consultant to serve as an outsourced VP of Sales helps small and medium-sized businesses boost sales and profits for long-term success.</t>
  </si>
  <si>
    <t>ebaf27861a2c42da194c20fe8841e74d</t>
  </si>
  <si>
    <t>https://salesxceleration.com/wp-content/uploads/2019/11/itsallaboutrelationships-300x133.jpg</t>
  </si>
  <si>
    <t>Fri, 12 Nov 2021 16:04:06 GMT</t>
  </si>
  <si>
    <t>https://salesxceleration.com/wp-content/uploads/2018/04/cp-300x202.jpg</t>
  </si>
  <si>
    <t>Mon, 03 Jan 2022 15:09:48 GMT</t>
  </si>
  <si>
    <t>https://salesxceleration.com/discount-selling-price/</t>
  </si>
  <si>
    <t>Should You Discount Your Selling Price?</t>
  </si>
  <si>
    <t>Should You Discount Your Selling Price? | Sales Xceleration</t>
  </si>
  <si>
    <t>Find out how discounting your sale prices can hurt your business, and how effective pricing strategies will keep profit up.</t>
  </si>
  <si>
    <t>75652e6e592f5b1bc5a54ca43db2beee</t>
  </si>
  <si>
    <t>https://salesxceleration.com/three-questions-for-hiring-your-next-sales-leader/</t>
  </si>
  <si>
    <t>Three Questions for Hiring Your Next Sales Leader</t>
  </si>
  <si>
    <t>Three Questions for Hiring Your Next Sales Leader | Sales Xceleration</t>
  </si>
  <si>
    <t>Learn the three questions to ask when hiring your next sales leader and determine a candidate's sales leadership aptitude. Read our Sales Blog Today!</t>
  </si>
  <si>
    <t>f9518e6b3c0248a81dc4fe222b890fe9</t>
  </si>
  <si>
    <t>https://salesxceleration.com/wp-content/uploads/2022/05/Discount-2048x2048.jpg</t>
  </si>
  <si>
    <t>https://salesxceleration.com/discover/consultants/</t>
  </si>
  <si>
    <t>https://salesxceleration.com/increase-selling-price/</t>
  </si>
  <si>
    <t>Should You Increase Your Selling Price?</t>
  </si>
  <si>
    <t>Should You Increase Your Selling Price | Sales Xceleration</t>
  </si>
  <si>
    <t>Find out how to increase your selling price without losing business, and learn how to use effective pricing strategies to keep profit up.</t>
  </si>
  <si>
    <t>e236a2c411dca8ae56d6e6c4e8addcd</t>
  </si>
  <si>
    <t>https://salesxceleration.com/wp-content/uploads/2022/07/Sales-Automation.jpg</t>
  </si>
  <si>
    <t>Mon, 18 Jul 2022 11:18:27 GMT</t>
  </si>
  <si>
    <t>https://salesxceleration.com/wp-content/uploads/2022/03/117623-2018-09-InSight-Sales-ORG.jpg</t>
  </si>
  <si>
    <t>Tue, 01 Mar 2022 12:24:24 GMT</t>
  </si>
  <si>
    <t>https://salesxceleration.com/how-to-design-a-sales-compensation-plan-that-rewards-performance-and-boosts-revenue/</t>
  </si>
  <si>
    <t>How to Design A Sales Compensation Plan that Rewards Performance and Boosts Revenue</t>
  </si>
  <si>
    <t>An error many sales organizations make is not crafting a sales compensation plan that motivates and rewards performance as it drives bottom-line results.</t>
  </si>
  <si>
    <t>69ccf4b5feeefec0e308c3d99f676a72</t>
  </si>
  <si>
    <t>https://salesxceleration.com/artificial-intelligence-in-sales-how-ai-is-changing-the-future-of-sales/</t>
  </si>
  <si>
    <t>Artificial Intelligence in Sales: How AI is Changing the Future of Sales</t>
  </si>
  <si>
    <t>What is Artificial Intelligence?</t>
  </si>
  <si>
    <t>Artificial Intelligence in the Sales Process</t>
  </si>
  <si>
    <t>Artificial Intelligence in Sales: How AI is Changing the Future of Sales | Sales Xceleration Blog</t>
  </si>
  <si>
    <t>AI in sales is here to stay and will continue to expand as an influential component of the sales process.</t>
  </si>
  <si>
    <t>73f889fa940963fe958620af57dadad3</t>
  </si>
  <si>
    <t>https://salesxceleration.com/wp-content/uploads/2020/12/business-man-2048x2048.jpg</t>
  </si>
  <si>
    <t>https://www.salesxceleration.com/contact-us/</t>
  </si>
  <si>
    <t>https://salesxceleration.com/wp-content/uploads/2020/11/sales-forecasting-2048x2048.jpg</t>
  </si>
  <si>
    <t>https://salesxceleration.com/wp-content/themes/salesxceleratione/assets/css/style.css?ver=1769123516</t>
  </si>
  <si>
    <t>Thu, 22 Jan 2026 23:13:51 GMT</t>
  </si>
  <si>
    <t>https://salesxceleration.com/wp-content/uploads/2023/04/Leadership-Styles-Sales-Recovery.jpg</t>
  </si>
  <si>
    <t>Fri, 21 Apr 2023 17:01:44 GMT</t>
  </si>
  <si>
    <t>https://salesxceleration.com/wp-content/uploads/2025/11/Remote-Sales-Teams-1024x683-1.jpg</t>
  </si>
  <si>
    <t>https://salesxceleration.com/wp-content/themes/salesxceleratione/assets/css/style.css?ver=1769123517</t>
  </si>
  <si>
    <t>https://salesxceleration.com/wp-content/themes/salesxceleratione/assets/css/style.css?ver=1769123518</t>
  </si>
  <si>
    <t>https://salesxceleration.com/wp-content/uploads/2014/07/many-hats.jpg</t>
  </si>
  <si>
    <t>Mon, 03 Jan 2022 15:28:29 GMT</t>
  </si>
  <si>
    <t>https://salesxceleration.com/wp-content/uploads/2021/03/Change-Your-Path-2-2048x2048.jpg</t>
  </si>
  <si>
    <t>Fri, 28 Mar 2025 14:41:51 GMT</t>
  </si>
  <si>
    <t>https://salesxceleration.com/author/mthacker2/</t>
  </si>
  <si>
    <t>Mark Thacker</t>
  </si>
  <si>
    <t>Mark Thacker, Author at Sales Xceleration</t>
  </si>
  <si>
    <t>https://salesxceleration.com/author/mthacker2/page/2/</t>
  </si>
  <si>
    <t>52da424c57215c2df013481b9540f095</t>
  </si>
  <si>
    <t>https://salesxceleration.com/wp-content/uploads/2016/03/Change-RS-72-560-x-225-2048x2048.jpg</t>
  </si>
  <si>
    <t>Fri, 28 Mar 2025 14:34:49 GMT</t>
  </si>
  <si>
    <t>https://salesxceleration.com/wp-content/uploads/2015/12/Ripples-2048x2048.jpg</t>
  </si>
  <si>
    <t>Fri, 28 Mar 2025 14:34:56 GMT</t>
  </si>
  <si>
    <t>https://salesxceleration.com/wp-content/uploads/2013/12/Hiring-mistakes.jpg</t>
  </si>
  <si>
    <t>Mon, 03 Jan 2022 15:28:26 GMT</t>
  </si>
  <si>
    <t>https://salesxceleration.com/wp-content/uploads/2016/05/business-man-many-arms-2048x2048.jpg</t>
  </si>
  <si>
    <t>Fri, 28 Mar 2025 14:34:41 GMT</t>
  </si>
  <si>
    <t>https://salesxceleration.com/making-a-difference-5-critical-hiring-mistakes-small-business-owners-make-and-how-you-can-help-them-avoid-hiring-the-wrong-salesperson/</t>
  </si>
  <si>
    <t>Making a Difference: 5 Critical Hiring Mistakes Small Business Owners Make (and How YOU Can Help Them Avoid Hiring the Wrong Salesperson)</t>
  </si>
  <si>
    <t>Avoiding Critical Hiring Mistakes</t>
  </si>
  <si>
    <t>If you’ve been in a sales management or leadership position for a large or mid-sized corporation, it might surprise you to learn just how different the</t>
  </si>
  <si>
    <t>35ec5d853633518565314c187f0e53bd</t>
  </si>
  <si>
    <t>https://salesxceleration.com/12-ways-to-make-sure-your-vision-casting-makes-ripples/</t>
  </si>
  <si>
    <t>12 Ways to Make Sure Your Vision Casting Makes Ripples</t>
  </si>
  <si>
    <t>With these 12 vision statement characteristics in place, your vision casting can resonate and make ripples throughout your marketplace.</t>
  </si>
  <si>
    <t>ee1f874464b0bf7c23ec0a35ddfba367</t>
  </si>
  <si>
    <t>https://salesxceleration.com/choose-your-path-and-make-a-difference/</t>
  </si>
  <si>
    <t>Choose Your Path and Make a Difference</t>
  </si>
  <si>
    <t>“Fear Disguised as Practicality”</t>
  </si>
  <si>
    <t>“You Can Fail at What You Don’t Want”</t>
  </si>
  <si>
    <t>Take a chance and follow a new path using your experience to make a difference.</t>
  </si>
  <si>
    <t>9f2f37a1466b014bfb1bd6785aae84cc</t>
  </si>
  <si>
    <t>https://salesxceleration.com/wp-content/uploads/2022/08/Sales-Forecasting.jpg</t>
  </si>
  <si>
    <t>Fri, 19 Aug 2022 10:45:09 GMT</t>
  </si>
  <si>
    <t>https://salesxceleration.com/wp-content/uploads/2014/11/SI-Header-3-scaled-1-2048x2048.jpg</t>
  </si>
  <si>
    <t>Fri, 28 Mar 2025 14:52:33 GMT</t>
  </si>
  <si>
    <t>https://salesxceleration.com/business-owners-shouldnt-act-sales-manager/</t>
  </si>
  <si>
    <t>Why Most Business Owners Shouldn’t Act As Sales Manager, Too</t>
  </si>
  <si>
    <t>Why Most Business Owners Shouldn't Act As Sales Manager, Too</t>
  </si>
  <si>
    <t>The business owner may be tempted to take on the role of Sales Manager. In most cases this is a bad idea that may threaten the business. Here's why:</t>
  </si>
  <si>
    <t>3d9cc47a065c826c935527e6742f16e6</t>
  </si>
  <si>
    <t>https://salesxceleration.com/3-hard-reasons-business-owners-finally-hire-outsourced-sales-executive/</t>
  </si>
  <si>
    <t>The 3 Hard Reasons Why Business Owners Finally Hire an Outsourced Sales Executive</t>
  </si>
  <si>
    <t>3 Reasons Business Owners Hire an Outsourced Sales Executive</t>
  </si>
  <si>
    <t>Before finally seeking the help of an outsourced sales executive, business owners typically face these three hard realities:</t>
  </si>
  <si>
    <t>feb873e08ecc7b9c742127d86bdb6dd9</t>
  </si>
  <si>
    <t>https://salesxceleration.com/wp-content/uploads/2014/12/two-things-you-must-do-after-your-prospect-agrees-to-meet-with-you-11-2048x2048.jpg</t>
  </si>
  <si>
    <t>Fri, 28 Mar 2025 14:55:06 GMT</t>
  </si>
  <si>
    <t>https://salesxceleration.com/wp-content/uploads/2014/12/shutterstock_148996061_rdax_225x150-2048x2048.jpg</t>
  </si>
  <si>
    <t>Fri, 28 Mar 2025 14:52:26 GMT</t>
  </si>
  <si>
    <t>https://salesxceleration.com/wp-content/uploads/2015/01/images-2048x2048.jpg</t>
  </si>
  <si>
    <t>Fri, 28 Mar 2025 15:59:38 GMT</t>
  </si>
  <si>
    <t>https://salesxceleration.com/wp-content/uploads/2014/07/Focus-Activity-Management-Copy.jpg</t>
  </si>
  <si>
    <t>Mon, 03 Jan 2022 15:28:43 GMT</t>
  </si>
  <si>
    <t>https://salesxceleration.com/wp-content/themes/salesxceleratione/assets/css/style.css?ver=1769123519</t>
  </si>
  <si>
    <t>https://salesxceleration.com/five-things-top-sales-leaders-differently/</t>
  </si>
  <si>
    <t>Five Things Top Sales Leaders Do Differently</t>
  </si>
  <si>
    <t>5 Things Top Sales Leaders Do Differently</t>
  </si>
  <si>
    <t>Orig. Post Forbes | Re-Post Sales Xceleration November 20, 2014</t>
  </si>
  <si>
    <t>9081c0670a4f39320548ec7c824bb8da</t>
  </si>
  <si>
    <t>https://salesxceleration.com/putting-sales-center-strategy/</t>
  </si>
  <si>
    <t>Putting Sales at the Center of Strategy</t>
  </si>
  <si>
    <t>Communicate the Strategy</t>
  </si>
  <si>
    <t>Continually Improve Sales Productivity</t>
  </si>
  <si>
    <t>Putting Sales at the Center of Strategy | Sales Xceleration Blog</t>
  </si>
  <si>
    <t>Orig. Post October 2014 by Frank V. Cespedes, Harvard Business Review | Re-Post December 2, 2014</t>
  </si>
  <si>
    <t>a925c7f0a78634ec3c740f9b72ee37b5</t>
  </si>
  <si>
    <t>https://salesxceleration.com/wp-content/uploads/2015/08/Youre-Fired-RS-72-dpi-560-x-281-2048x2048.jpg</t>
  </si>
  <si>
    <t>Fri, 28 Mar 2025 15:25:28 GMT</t>
  </si>
  <si>
    <t>https://salesxceleration.com/wp-content/uploads/2023/05/Which-Role-is-Right-for-Your-New-Hire.jpg</t>
  </si>
  <si>
    <t>Mon, 08 May 2023 15:08:15 GMT</t>
  </si>
  <si>
    <t>https://salesxceleration.com/wp-content/uploads/2020/04/Businessman-leading-training-session-scaled-1-2048x2048.jpg</t>
  </si>
  <si>
    <t>Fri, 28 Mar 2025 14:44:20 GMT</t>
  </si>
  <si>
    <t>https://salesxceleration.com/key-leadership-behaviors-improve-sales-force-performance/</t>
  </si>
  <si>
    <t>Key Leadership Behaviors That Improve Sales Force Performance</t>
  </si>
  <si>
    <t>Key Leadership Behaviors That Improve Sales Force Performance | Sales Xceleration Blog</t>
  </si>
  <si>
    <t>Orig. Post June 3, 2014 by Dr. Tara Jones, AMA | Re-Post December 17, 2014</t>
  </si>
  <si>
    <t>a7e2deeb14354c26adc372fb042c3269</t>
  </si>
  <si>
    <t>https://salesxceleration.com/sales-leadership-vs-sales-management/</t>
  </si>
  <si>
    <t>Sales Leadership vs. Sales Management</t>
  </si>
  <si>
    <t>Sales Leadership vs. Sales Management | Sales Xceleration Blog</t>
  </si>
  <si>
    <t>Orig. Post May 9, 2013 by Zorian Rotenberg, Insight Squared | Re-Post January 2, 2015</t>
  </si>
  <si>
    <t>f5f951d429380276fd398b45f40aa4e8</t>
  </si>
  <si>
    <t>https://salesxceleration.com/wp-content/uploads/2020/07/Developing-a-Comp-Plan-2048x2048.jpg</t>
  </si>
  <si>
    <t>https://salesxceleration.com/wp-content/uploads/2020/05/Frustrated-salesperson-scaled-1-2048x2048.jpg</t>
  </si>
  <si>
    <t>Fri, 28 Mar 2025 14:55:51 GMT</t>
  </si>
  <si>
    <t>https://salesxceleration.com/wp-content/uploads/2025/12/2025-Recruiting-Trends.jpg</t>
  </si>
  <si>
    <t>Mon, 22 Dec 2025 16:35:30 GMT</t>
  </si>
  <si>
    <t>https://salesxceleration.com/wp-content/uploads/2021/03/Change-Your-Path-2-300x300.jpg</t>
  </si>
  <si>
    <t>Fri, 28 Mar 2025 14:41:48 GMT</t>
  </si>
  <si>
    <t>https://salesxceleration.com/youre-fired-why-you-might-have-to-let-your-top-salesperson-go/</t>
  </si>
  <si>
    <t>You’re Fired! Why You Might Have to Let Your Top Salesperson Go.</t>
  </si>
  <si>
    <t>You're Fired! Why You Might Have to Let Your Top Salesperson Go</t>
  </si>
  <si>
    <t>It seems like a crazy notion: Fire your top sales performer? Really?! Why on Earth would you cut loose the one person who brings in the most revenue?</t>
  </si>
  <si>
    <t>188a69295026b6a4d710e20c7796d85e</t>
  </si>
  <si>
    <t>https://salesxceleration.com/wp-content/uploads/2021/06/Business-Owner-in-Sales-Team-Meeting-300x169.jpg</t>
  </si>
  <si>
    <t>Mon, 03 Jan 2022 14:35:59 GMT</t>
  </si>
  <si>
    <t>https://salesxceleration.com/whats-the-gig-idea-what-you-need-to-know-about-the-gig-economy/</t>
  </si>
  <si>
    <t>What’s the GIG Idea? What You Need to Know About the Gig Economy</t>
  </si>
  <si>
    <t>“Gig Economy” Defined</t>
  </si>
  <si>
    <t>How Big Has the Gig Economy Become?</t>
  </si>
  <si>
    <t>What’s the GIG Idea? What You Need to Know About the Gig Economy | Sales Xceleration Blog</t>
  </si>
  <si>
    <t>All generations are participating in the gig economy; and older workers are enjoying rewarding roles as fractional time sales consultants.</t>
  </si>
  <si>
    <t>f67630e5eb0dda9d809b06b8af2235dd</t>
  </si>
  <si>
    <t>https://salesxceleration.com/five-reasons-not-to-become-a-sales-leadership-consultant/</t>
  </si>
  <si>
    <t>Five Reasons NOT to Become a Sales Leadership Consultant</t>
  </si>
  <si>
    <t>You Feel Secure in the Corporate World (No Matter How Old You Are)</t>
  </si>
  <si>
    <t>You Enjoy Traveling and Spending Much of Your Life “On the Road”</t>
  </si>
  <si>
    <t>Five Reasons NOT to Become a Sales Leadership Consultant | Sales Xceleration Blog</t>
  </si>
  <si>
    <t>Using your sales leadership experience as a Sales Leadership Consultant is a great career move, but there are reasons it may not be the path for you.</t>
  </si>
  <si>
    <t>b361d4e8a9e73eb398c04e1c04fa3675</t>
  </si>
  <si>
    <t>https://salesxceleration.com/wp-content/uploads/2021/07/Businessman-Holding-Flag-in-Sky-on-a-Mountain-scaled-1-300x167.jpg</t>
  </si>
  <si>
    <t>Mon, 03 Jan 2022 14:35:32 GMT</t>
  </si>
  <si>
    <t>https://salesxceleration.com/wp-content/uploads/2021/05/Buinessman-Traveling-for-Work-300x200.png</t>
  </si>
  <si>
    <t>Mon, 03 Jan 2022 14:36:39 GMT</t>
  </si>
  <si>
    <t>https://salesxceleration.com/how-fractional-leadership-helps-businesses-pivot-to-a-new-normal/</t>
  </si>
  <si>
    <t>How Fractional Leadership Helps Businesses Pivot to a New Normal</t>
  </si>
  <si>
    <t>Just What IS Fractional Leadership?</t>
  </si>
  <si>
    <t>From Fragile to Agile</t>
  </si>
  <si>
    <t>Fractional Leadership | Fractional Leadership Roles</t>
  </si>
  <si>
    <t>Explore the benefits of fractional leadership for your organization. Dive into the world of fractional leadership roles and how they can help grow your business.</t>
  </si>
  <si>
    <t>df2124911721606ac485d9f604d7b3f</t>
  </si>
  <si>
    <t>https://salesxceleration.com/wp-content/uploads/2021/05/Confident-Sales-Leader-in-Team-Meeting-scaled-1-300x200.jpg</t>
  </si>
  <si>
    <t>Mon, 03 Jan 2022 14:36:14 GMT</t>
  </si>
  <si>
    <t>https://salesxceleration.com/wp-content/uploads/2021/03/Gig-Economy-300x200.png</t>
  </si>
  <si>
    <t>Mon, 03 Jan 2022 14:42:03 GMT</t>
  </si>
  <si>
    <t>https://salesxceleration.com/no-matter-the-crisis-success-calls-for-positive-thinking-and-confident-leadership/</t>
  </si>
  <si>
    <t>No Matter the Crisis, Success Calls for Positive Thinking and Confident Leadership</t>
  </si>
  <si>
    <t>Rule #1: Control Only What You Can Control</t>
  </si>
  <si>
    <t>Rule #2: Let Your Inner Voice Fuel Your Positivity</t>
  </si>
  <si>
    <t>No Matter the Crisis, Success Calls for Positive Thinking and Confident Leadership | Sales Xceleration Blog</t>
  </si>
  <si>
    <t>Inspire others and lead your team by being a sales leader who is positive and confident, even during a crisis.</t>
  </si>
  <si>
    <t>9503368ee33076bf2bd4d2100030942</t>
  </si>
  <si>
    <t>https://salesxceleration.com/wp-content/uploads/2021/04/Sales-Leadership-Meeting-scaled-1-300x200.jpg</t>
  </si>
  <si>
    <t>Mon, 03 Jan 2022 14:39:04 GMT</t>
  </si>
  <si>
    <t>https://salesxceleration.com/wp-content/uploads/2021/03/Sales-Leader-Meeting-with-Sales-Team-300x200.png</t>
  </si>
  <si>
    <t>Mon, 03 Jan 2022 14:40:47 GMT</t>
  </si>
  <si>
    <t>https://salesxceleration.com/wp-content/uploads/2021/07/Businessman-Walking-away-from-Work-scaled-1-300x200.jpg</t>
  </si>
  <si>
    <t>Fri, 12 Nov 2021 15:53:42 GMT</t>
  </si>
  <si>
    <t>https://salesxceleration.com/wp-content/uploads/2021/03/Sales-Process-Meeting-scaled-1-300x200.jpg</t>
  </si>
  <si>
    <t>Mon, 03 Jan 2022 14:43:25 GMT</t>
  </si>
  <si>
    <t>https://salesxceleration.com/six-surprising-reasons-businesses-connect-with-a-sales-leadership-consultant/</t>
  </si>
  <si>
    <t>Six Surprising Reasons Businesses Connect with a Sales Leadership Consultant</t>
  </si>
  <si>
    <t>Sales Are Stagnant or Declining</t>
  </si>
  <si>
    <t>Current Revenues Rely on Too Few Customers</t>
  </si>
  <si>
    <t>Six Surprising Reasons Businesses Connect with a Sales Leadership Consultant | Sales Xceleration Blog</t>
  </si>
  <si>
    <t>Sales leadership consultants bring experience business owners need to drive organizational and operational changes and increase revenue.</t>
  </si>
  <si>
    <t>cb0eafcdb059902bc89cd1be8470685e</t>
  </si>
  <si>
    <t>https://salesxceleration.com/answer-your-customers-three-whys-to-ensure-your-sales-process-is-perfectly-aligned/</t>
  </si>
  <si>
    <t>Answer Your Customer’s Three Whys to Ensure Your Sales Process is Perfectly Aligned</t>
  </si>
  <si>
    <t>Why do anything? Confirming the Business Necessity</t>
  </si>
  <si>
    <t>Why you? Choosing Who to Work With and What Solution to Buy</t>
  </si>
  <si>
    <t>Answer Your Customer’s Three Whys to Ensure Your Sales Process is Perfectly Aligned | Sales Xceleration Blog</t>
  </si>
  <si>
    <t>Examine your current sales process and how closely it aligns to your customer’s needs to make necessary adjustments to your client’s motivation to buy.</t>
  </si>
  <si>
    <t>4139b17240efb0ebec37401582bd5854</t>
  </si>
  <si>
    <t>https://salesxceleration.com/wp-content/themes/salesxceleratione/assets/css/style.css?ver=1769123520</t>
  </si>
  <si>
    <t>Thu, 22 Jan 2026 23:13:58 GMT</t>
  </si>
  <si>
    <t>https://salesxceleration.com/wp-content/uploads/2024/02/Finding-a-Sales-Star-Player.jpg</t>
  </si>
  <si>
    <t>Thu, 22 Feb 2024 21:36:36 GMT</t>
  </si>
  <si>
    <t>https://salesxceleration.com/as-the-days-and-years-wind-down-what-are-you-waiting-for/</t>
  </si>
  <si>
    <t>As the Days and Years Wind Down, What Are You Waiting For?</t>
  </si>
  <si>
    <t>The Waiting Game</t>
  </si>
  <si>
    <t>Making a Rewarding Adjustment</t>
  </si>
  <si>
    <t>As the Days and Years Wind Down, What Are You Waiting For? | Sales Xceleration Blog</t>
  </si>
  <si>
    <t>Launch your sales leadership consulting practice with a trusted provider of proven systems, tools and resources created to help you hit the ground running.</t>
  </si>
  <si>
    <t>6b5dd0831400895df7edbdf4cabd2717</t>
  </si>
  <si>
    <t>https://salesxceleration.com/dreading-the-excessive-travel-of-business-as-usual-heres-an-alternative/</t>
  </si>
  <si>
    <t>Dreading the Excessive Travel of “Business as Usual?” Here’s an Alternative</t>
  </si>
  <si>
    <t>The Great Resignation</t>
  </si>
  <si>
    <t>Home Away from Home?</t>
  </si>
  <si>
    <t>Dreading the Excessive Travel of “Business as Usual?" Here’s an Alternative | Sales Xceleration Blog</t>
  </si>
  <si>
    <t>If the returning to business-as-usual grind includes work-related travel that you no longer desire as a sales leadership professional, consider an alternative path as a sales leadership consultant.</t>
  </si>
  <si>
    <t>aca932dbac6c84e2484cce674a900d8e</t>
  </si>
  <si>
    <t>https://salesxceleration.com/wp-content/uploads/2020/08/Sales-Leader-Formulating-a-Plan-Forward-scaled-1-300x179.jpg</t>
  </si>
  <si>
    <t>Mon, 03 Jan 2022 14:49:11 GMT</t>
  </si>
  <si>
    <t>https://salesxceleration.com/the-skys-no-limit-if-you-put-your-dreams-in-motion/</t>
  </si>
  <si>
    <t>The Sky’s No Limit if You Put Your Dreams in Motion</t>
  </si>
  <si>
    <t>Daring to Dream</t>
  </si>
  <si>
    <t>Failure to Launch</t>
  </si>
  <si>
    <t>The Sky's No Limit if You Put Your Dreams in Motion | Sales Xceleration Blog</t>
  </si>
  <si>
    <t>Serve SMBs as a sales leadership consultant by utilizing your expertise and experience combined with Sales Xceleration’s proven tools and processes.</t>
  </si>
  <si>
    <t>1e826bf9e13e3bf448409c9a97e91435</t>
  </si>
  <si>
    <t>https://salesxceleration.com/wp-content/uploads/2020/07/Business-consultant-conversation-1-300x200.jpg</t>
  </si>
  <si>
    <t>Fri, 12 Nov 2021 16:05:10 GMT</t>
  </si>
  <si>
    <t>https://salesxceleration.com/wp-content/uploads/2020/07/IndyCar-Race-2-300x200.jpg</t>
  </si>
  <si>
    <t>Fri, 12 Nov 2021 16:05:08 GMT</t>
  </si>
  <si>
    <t>https://salesxceleration.com/wp-content/uploads/2020/09/Crisis-Sales-Management-scaled-1-300x200.jpg</t>
  </si>
  <si>
    <t>Mon, 03 Jan 2022 14:48:27 GMT</t>
  </si>
  <si>
    <t>https://salesxceleration.com/wp-content/uploads/2020/06/why-i-left-a-successful-career-300x200.jpg</t>
  </si>
  <si>
    <t>Mon, 03 Jan 2022 14:50:59 GMT</t>
  </si>
  <si>
    <t>https://salesxceleration.com/how-your-sales-leadership-track-record-can-help-you-set-new-track-records-as-a-consultant/</t>
  </si>
  <si>
    <t>How Your Sales Leadership Track Record Can Help You Set New Track Records as a Consultant</t>
  </si>
  <si>
    <t>How Your Sales Leadership Track Record Can Help You Set New Track Records as a Consultant | Sales Xceleration Blog</t>
  </si>
  <si>
    <t>Use your sales leadership track record to boost into a new career of success serving small to mid-sized businesses in need of sales leadership consultants.</t>
  </si>
  <si>
    <t>https://salesxceleration.com/contact-us/become-a-sales-consultant/advisor-blogs/</t>
  </si>
  <si>
    <t>88ca578de3a26ea673fa893047d7fb51</t>
  </si>
  <si>
    <t>https://salesxceleration.com/5-ways-to-make-your-sales-infrastructure-more-attractive-to-investors/</t>
  </si>
  <si>
    <t>Score – 5 Ways to Make Your Sales Infrastructure More Attractive to Investors</t>
  </si>
  <si>
    <t>Improve Your Sales Infrastructure</t>
  </si>
  <si>
    <t>Score - 5 Ways to Make Your Sales Infrastructure More Attractive to Investors | Sales Xceleration Blog</t>
  </si>
  <si>
    <t>Making your sales infrastructure attractive to investors is a must if you are selling your business.</t>
  </si>
  <si>
    <t>e9810d2f605d1544366791fcc895b381</t>
  </si>
  <si>
    <t>https://salesxceleration.com/for-businesses-in-crisis-fractional-sales-leadership-can-make-a-difference/</t>
  </si>
  <si>
    <t>For Businesses in Crisis, Fractional Sales Leadership Can Make a Difference</t>
  </si>
  <si>
    <t>What is a Fractional Sales Leadership Consultant?</t>
  </si>
  <si>
    <t>What Does a Fractional Sales Leadership Consultant Offer?</t>
  </si>
  <si>
    <t>For Businesses in Crisis, Fractional Sales Leadership Can Make a Difference | Sales Xceleration Blog</t>
  </si>
  <si>
    <t>A fractional sales leadership consultant can help your business manage sales during an economic crisis in order to thrive and rise above the competition.</t>
  </si>
  <si>
    <t>d5dc2ebee5490e4ad5d51437ba4ed1ce</t>
  </si>
  <si>
    <t>https://salesxceleration.com/wp-content/uploads/2020/07/Investor-Meeting-scaled-1-300x300.jpg</t>
  </si>
  <si>
    <t>Fri, 28 Mar 2025 16:02:59 GMT</t>
  </si>
  <si>
    <t>https://salesxceleration.com/why-i-left-a-successful-career-in-sales-leadership/</t>
  </si>
  <si>
    <t>Thrive Global – Why I Left a Successful Career in Sales Leadership</t>
  </si>
  <si>
    <t>Thrive Global - Why I Left a Successful Career in Sales Leadership | Sales Xceleration Blog</t>
  </si>
  <si>
    <t>Don’t lose yourself in your sales leadership role, reevaluate your true purpose and decide how you want to spend the rest of your career.</t>
  </si>
  <si>
    <t>d1b1cb5b4b60d867d86522b2a74f7deb</t>
  </si>
  <si>
    <t>https://salesxceleration.com/wp-content/uploads/2020/08/Sales-Leader-Building-a-Sales-Strategy-scaled-1-300x200.jpg</t>
  </si>
  <si>
    <t>Mon, 03 Jan 2022 14:49:17 GMT</t>
  </si>
  <si>
    <t>https://salesxceleration.com/wp-content/uploads/2020/09/marketing-sales-300x300.png</t>
  </si>
  <si>
    <t>Fri, 28 Mar 2025 15:04:30 GMT</t>
  </si>
  <si>
    <t>https://salesxceleration.com/what-is-a-sales-strategy-and-how-can-you-build-an-effective-one/</t>
  </si>
  <si>
    <t>What is a Sales Strategy (and How Can You Build an Effective One?)</t>
  </si>
  <si>
    <t>Sales Strategy Definition</t>
  </si>
  <si>
    <t>Key Elements of an Effective Sales Strategy</t>
  </si>
  <si>
    <t>What is a Sales Strategy (and How Can You Build an Effective One?) | Sales Xceleration Blog</t>
  </si>
  <si>
    <t>When building an effective Sales Strategy, a business must consider their target market(s), competitive advantages, and key resources, and review these annually.</t>
  </si>
  <si>
    <t>19adf800bc243d7c7bc7fcd2e5e6c8b8</t>
  </si>
  <si>
    <t>https://salesxceleration.com/contact-us-become-a-sales-consultant-advisor-blogs-post-pandemic-sales-consulting-opportunities-are-here-and-now-and-here-to-stay/</t>
  </si>
  <si>
    <t>Post-Pandemic Sales Consulting Opportunities are Here and Now (and Here to Stay)</t>
  </si>
  <si>
    <t>Post-Pandemic Sales Consulting Opportunities are Here and Now (and Here to Stay) | Sales Xceleration Blog</t>
  </si>
  <si>
    <t>Becoming a sales leadership consultant provides an opportunity for corporate sales leaders to have a new path to success by helping SMBs.</t>
  </si>
  <si>
    <t>9f3c8e99207d729da60d358a24b7354f</t>
  </si>
  <si>
    <t>https://salesxceleration.com/contact-us-become-a-sales-consultant-advisor-blogs-the-resilient-entrepreneur-when-life-hands-you-lemons-open-a-lemonade-stand/</t>
  </si>
  <si>
    <t>The Resilient Entrepreneur: When Life Hands You Lemons, Open a Lemonade Stand</t>
  </si>
  <si>
    <t>The Resilient Entrepreneur: When Life Hands You Lemons, Open a Lemonade Stand | Sales Xceleration Blog</t>
  </si>
  <si>
    <t>Sales leadership consultants get to use their past success to help other business owners with future success, even in times of crisis.</t>
  </si>
  <si>
    <t>https://https//salesxceleration.com/contact-us/become-a-sales-consultant/advisor-blogs/</t>
  </si>
  <si>
    <t>142bf7cce6b81b335b5244bb702e5f3c</t>
  </si>
  <si>
    <t>https://salesxceleration.com/wp-content/uploads/2020/06/Lemons-scaled-1-300x225.jpg</t>
  </si>
  <si>
    <t>Mon, 03 Jan 2022 14:50:43 GMT</t>
  </si>
  <si>
    <t>https://salesxceleration.com/wp-content/uploads/elementor/css/post-72779.css?ver=1768849101</t>
  </si>
  <si>
    <t>Mon, 19 Jan 2026 18:58:21 GMT</t>
  </si>
  <si>
    <t>https://salesxceleration.com/3-steps-for-achieving-greater-sales/</t>
  </si>
  <si>
    <t>3 Steps for Achieving Greater Sales</t>
  </si>
  <si>
    <t>3 Steps for Achieving Greater Sales | Sales Xceleration Blog</t>
  </si>
  <si>
    <t>Establishing and maintaining a well-functioning partnership between marketing and sales is critical to the growth of a business.</t>
  </si>
  <si>
    <t>d14b74a4dce6af7f84b09df3420b276d</t>
  </si>
  <si>
    <t>https://salesxceleration.com/the-success-formula-for-your-next-chapter-as-a-sales-leadership-professional/</t>
  </si>
  <si>
    <t>The Success Formula for Your Next Chapter as a Sales Leadership Professional</t>
  </si>
  <si>
    <t>Part One of the Sales Leadership Success Formula: Preparation</t>
  </si>
  <si>
    <t>Part Two of the Sales Leadership Success Formula: Opportunity</t>
  </si>
  <si>
    <t>The Success Formula for Your Next Chapter as a Sales Leadership Professional | Sales Xceleration Blog</t>
  </si>
  <si>
    <t>Becoming a Sales Leadership Consultant might be the right next step in your career, and proper preparation with the desire to serve will guide your success.</t>
  </si>
  <si>
    <t>7e099443dde61458c1f99cc607dd0294</t>
  </si>
  <si>
    <t>https://salesxceleration.com/infographics/job-description-template/</t>
  </si>
  <si>
    <t>https://salesxceleration.com/?download=27869</t>
  </si>
  <si>
    <t>https://salesxceleration.com/wp-content/uploads/2023/10/Download-Onboarding-Guides.jpg</t>
  </si>
  <si>
    <t>Mon, 09 Oct 2023 13:00:00 GMT</t>
  </si>
  <si>
    <t>https://salesxceleration.com/wp-content/uploads/2016/08/Life-support-2048x2048.png</t>
  </si>
  <si>
    <t>Sat, 29 Mar 2025 02:06:34 GMT</t>
  </si>
  <si>
    <t>https://salesxceleration.com/wp-content/uploads/2023/10/Hire-Top-Sales-Talent.jpg</t>
  </si>
  <si>
    <t>Mon, 09 Oct 2023 13:00:07 GMT</t>
  </si>
  <si>
    <t>https://salesxceleration.com/wp-content/uploads/2016/04/sales-compensation-plan-part-2-2048x2048.jpg</t>
  </si>
  <si>
    <t>Fri, 28 Mar 2025 15:43:02 GMT</t>
  </si>
  <si>
    <t>https://salesxceleration.com/wp-content/uploads/2017/07/shutterstock_392367181-1-2048x2048.jpg</t>
  </si>
  <si>
    <t>Sat, 29 Mar 2025 02:06:09 GMT</t>
  </si>
  <si>
    <t>https://salesxceleration.com/wp-content/themes/salesxceleratione/assets/css/style.css?ver=1769123521</t>
  </si>
  <si>
    <t>Thu, 22 Jan 2026 23:14:03 GMT</t>
  </si>
  <si>
    <t>https://salesxceleration.com/cant-get-no-sales-satisfaction-sales-lessons-learned-rolling-stones-part-2/</t>
  </si>
  <si>
    <t>“Why I Can’t Get No Sales Satisfaction” – Sales Lessons Learned From the Rolling Stones | Part 2 of an 8 Part Series</t>
  </si>
  <si>
    <t>“Why I Can’t Get No Sales Satisfaction” - Sales Lessons Learned From the Rolling Stones | Part 2 of an 8 Part Series | Sales Xceleration Blog</t>
  </si>
  <si>
    <t>The most successful salespeople recognize that sales is about helping customers or clients solve problems to foster business growth.</t>
  </si>
  <si>
    <t>bc678e659e9f399a71b9b11634927695</t>
  </si>
  <si>
    <t>https://salesxceleration.com/wp-content/uploads/2017/04/RSpt2-1-2048x2048.jpg</t>
  </si>
  <si>
    <t>Sat, 29 Mar 2025 02:06:19 GMT</t>
  </si>
  <si>
    <t>https://salesxceleration.com/sales-compensation-plans-part-2-sales-comp-plan-look-like/</t>
  </si>
  <si>
    <t>Sales Compensation Plans | Part II – What Should A Sales Comp Plan Look Like?</t>
  </si>
  <si>
    <t>Sales Compensation Plans | Part II - What Should A Sales Comp Plan Look Like? | Sales Xceleration Blog</t>
  </si>
  <si>
    <t>While there are countless ways to structure a sales plan, the most effective plans encompass three main components.</t>
  </si>
  <si>
    <t>8694b9561f6d8d7a0efd538d63b87a0d</t>
  </si>
  <si>
    <t>https://salesxceleration.com/sales-compensation-plan-life-support/</t>
  </si>
  <si>
    <t>Top Signs That Your Sales Compensation Plan is on Life Support</t>
  </si>
  <si>
    <t>Top Signs That Your Sales Compensation Plan is on Life Support | Sales X</t>
  </si>
  <si>
    <t>Has your sales compensation plan kept pace with the ever-changing marketplace? If it is out of balance you may notice that sales are stalled or declining.</t>
  </si>
  <si>
    <t>bbb1ae98eeb55fb4c4cbf70c32fe70ad</t>
  </si>
  <si>
    <t>https://salesxceleration.com/wp-content/uploads/2021/11/Job-Description-Template-1-1.pdf</t>
  </si>
  <si>
    <t>Mon, 29 Nov 2021 17:59:37 GMT</t>
  </si>
  <si>
    <t>https://salesxceleration.com/wp-content/uploads/2024/11/Hiring-Strategies-to-Avoid-the-Wrong-Hire.jpg</t>
  </si>
  <si>
    <t>Tue, 05 Nov 2024 13:04:05 GMT</t>
  </si>
  <si>
    <t>https://salesxceleration.com/wp-content/uploads/elementor/css/post-27773.css?ver=1768919942</t>
  </si>
  <si>
    <t>Tue, 20 Jan 2026 14:39:02 GMT</t>
  </si>
  <si>
    <t>https://salesxceleration.com/wp-content/uploads/2023/05/pod-thumb.jpg</t>
  </si>
  <si>
    <t>https://salesxceleration.com/wp-content/uploads/2020/12/shutterstock_633365168-scaled-1-2048x2048.jpg</t>
  </si>
  <si>
    <t>Fri, 28 Mar 2025 16:02:41 GMT</t>
  </si>
  <si>
    <t>https://salesxceleration.com/throwback-old-school-sales-5-foundational-steps-always-hold-true/</t>
  </si>
  <si>
    <t>Throwback to Old School Sales: 5 Foundational Steps That Always Hold True</t>
  </si>
  <si>
    <t>Throwback to Old School Sales: 5 Foundational Steps That Always Hold True | Sales Xceleration Blog</t>
  </si>
  <si>
    <t>Whether you are a seasoned sales pro or just starting out in the sales world, there are five old school tips to make you stand out from your competition.</t>
  </si>
  <si>
    <t>7207f48780829b5ae62260850ac58eab</t>
  </si>
  <si>
    <t>https://salesxceleration.com/wp-content/themes/salesxceleratione/assets/css/style.css?ver=1769123522</t>
  </si>
  <si>
    <t>Thu, 22 Jan 2026 23:14:04 GMT</t>
  </si>
  <si>
    <t>https://salesxceleration.com/wp-content/uploads/2022/04/Pila-Jay-100x100.jpg</t>
  </si>
  <si>
    <t>Tue, 07 May 2024 07:11:24 GMT</t>
  </si>
  <si>
    <t>https://salesxceleration.com/wp-content/uploads/2024/09/Interviewing-Top-Sales-Talent.jpg</t>
  </si>
  <si>
    <t>Tue, 10 Sep 2024 18:17:26 GMT</t>
  </si>
  <si>
    <t>https://salesxceleration.com/wp-content/uploads/2022/04/Spafford-Chris-275x275-1-100x100.jpg</t>
  </si>
  <si>
    <t>Tue, 07 May 2024 07:10:59 GMT</t>
  </si>
  <si>
    <t>https://salesxceleration.com/wp-content/uploads/2025/11/Attracting-Top-Tier-Sales-Professionals.jpg</t>
  </si>
  <si>
    <t>https://salesxceleration.com/sales-agility-assessment?locationid=29359900</t>
  </si>
  <si>
    <t>https://salesxceleration.com/sales-agility-assessment/?locationid=29359900</t>
  </si>
  <si>
    <t>https://salesxceleration.com/4-signs-it-might-be-time-to-outsource-sales-leadership/</t>
  </si>
  <si>
    <t>SMB CEO – 4 Signs It Might Be Time To Outsource Sales Leadership</t>
  </si>
  <si>
    <t>Challenges Faced by Small Business Owners</t>
  </si>
  <si>
    <t>How to Respond to a Crisis in Business</t>
  </si>
  <si>
    <t>SMB CEO - 4 Signs It Might Be Time To Outsource Sales Leadership | Sales Xceleration Blog</t>
  </si>
  <si>
    <t>If your business has been forced to pivot and you are unsure of the next step, it might be time to outsource your sales leadership to a seasoned professional.</t>
  </si>
  <si>
    <t>86c0a64740d3fc2687d441212f0c00fa</t>
  </si>
  <si>
    <t>https://salesxceleration.com/author/jpila/</t>
  </si>
  <si>
    <t>Jay Pila</t>
  </si>
  <si>
    <t>Jay Pila, Author at Sales Xceleration</t>
  </si>
  <si>
    <t>cd861cd65d2d4c94fe20764bf05fae37</t>
  </si>
  <si>
    <t>https://salesxceleration.com/wp-content/uploads/2022/03/Sales-Group-Meeting-300x300.jpg</t>
  </si>
  <si>
    <t>Fri, 28 Mar 2025 20:21:17 GMT</t>
  </si>
  <si>
    <t>https://salesxceleration.com/sales-agility-assessment/?locationid=23153235</t>
  </si>
  <si>
    <t>7743b9db61c73ee0a83addec4c8b8fb</t>
  </si>
  <si>
    <t>https://salesxceleration.com/author/cspafford/</t>
  </si>
  <si>
    <t>Chris Spafford</t>
  </si>
  <si>
    <t>Chris Spafford, Author at Sales Xceleration</t>
  </si>
  <si>
    <t>4c0b5ddd38b7ec4bc9af57bca12a8c95</t>
  </si>
  <si>
    <t>https://salesxceleration.com/wp-content/uploads/2022/04/Finding-top-sales-talent-300x200.jpg</t>
  </si>
  <si>
    <t>Tue, 12 Apr 2022 16:55:35 GMT</t>
  </si>
  <si>
    <t>https://salesxceleration.com/in-person-vs-virtual-onboarding-which-is-best-for-your-team/</t>
  </si>
  <si>
    <t>In-person vs. Virtual Onboarding: Which is Best for your Team?</t>
  </si>
  <si>
    <t>In-person vs. Virtual Onboarding: Which is Best for your Team? | Sales Xceleration Blog</t>
  </si>
  <si>
    <t>Whether in-person or virtual, entrepreneurs at all levels must think holistically through the new-hire experience.</t>
  </si>
  <si>
    <t>26a77ae958108d7656360048be9a2e74</t>
  </si>
  <si>
    <t>https://salesxceleration.com/wp-content/uploads/2022/03/Sales-Infrastructure-Meeting-300x300.jpg</t>
  </si>
  <si>
    <t>Fri, 28 Mar 2025 20:21:08 GMT</t>
  </si>
  <si>
    <t>https://salesxceleration.com/five-sales-recruiting-strategies-for-finding-top-sales-talent/</t>
  </si>
  <si>
    <t>Five Sales Recruiting Strategies for Finding Top Sales Talent</t>
  </si>
  <si>
    <t>Understand Your Current Sales Recruiting Approach</t>
  </si>
  <si>
    <t>Define Your Ideal Candidate</t>
  </si>
  <si>
    <t>Five Sales Recruiting Strategies for Finding Top Sales Talent | Sales Xceleration Blog</t>
  </si>
  <si>
    <t>Effective sales rep recruitment is critical to business success, and it requires a strategic, targeted approach using the right resources.</t>
  </si>
  <si>
    <t>bb60a131c9479788c4fe8fda700c9e30</t>
  </si>
  <si>
    <t>https://salesxceleration.com/wp-content/themes/salesxceleratione/assets/css/style.css?ver=1769123523</t>
  </si>
  <si>
    <t>Thu, 22 Jan 2026 23:14:08 GMT</t>
  </si>
  <si>
    <t>https://salesxceleration.com/wp-content/uploads/2022/12/Job-Hopping-300x200.jpg</t>
  </si>
  <si>
    <t>https://salesxceleration.com/hiring-a-sales-professional-use-fresh-strategies-to-sell-your-organization-to-top-talent/</t>
  </si>
  <si>
    <t>Hiring a Sales Professional? Use Fresh Strategies to ‘Sell’ Your Organization to Top Talent</t>
  </si>
  <si>
    <t>Hiring a Sales Professional? Use Fresh Strategies to ‘Sell’ Your Organization to Top Talent | Sales Xceleration Blog</t>
  </si>
  <si>
    <t>Attract top sales professionals for your sales organization</t>
  </si>
  <si>
    <t>386e771870c0cbd3a59cc47aa7b1679a</t>
  </si>
  <si>
    <t>https://salesxceleration.com/wp-content/uploads/2023/02/Hiring-Smarter-300x148.jpg</t>
  </si>
  <si>
    <t>Fri, 03 Feb 2023 12:26:58 GMT</t>
  </si>
  <si>
    <t>https://salesxceleration.com/fueling-sales-by-building-the-best-sales-engine-part-2/</t>
  </si>
  <si>
    <t>Fueling Sales by Building the Best Sales Engine (Part 2)</t>
  </si>
  <si>
    <t>Fueling Sales by Building the Best Sales Engine (Part 2) | Sales Xceleration Blog</t>
  </si>
  <si>
    <t>Continue building a winning sales engine in Part 2, focusing on refining sales processes, motivating your team, and leveraging data for continued success.</t>
  </si>
  <si>
    <t>17183c4b8fb465c323646a7cbd5836f3</t>
  </si>
  <si>
    <t>https://salesxceleration.com/hiring-smarter-the-importance-of-understanding-an-ideal-candidate-profile/</t>
  </si>
  <si>
    <t>Hiring Smarter: The Importance of Understanding an Ideal Candidate Profile</t>
  </si>
  <si>
    <t>Hiring Smarter: The Importance of Understanding an Ideal Candidate Profile | Sales Xceleration Blog</t>
  </si>
  <si>
    <t>When looking to hire a great salesperson, creating an Ideal Candidate Profile is crucial.</t>
  </si>
  <si>
    <t>9a1a31851622e7b6f415caaa1914d724</t>
  </si>
  <si>
    <t>https://salesxceleration.com/sales-jobs-are-changing-how-to-keep-up-and-keep-talent/</t>
  </si>
  <si>
    <t>Sales Jobs are Changing: How to Keep Up and Keep Talent</t>
  </si>
  <si>
    <t>Sales Jobs are Changing: How to Keep Up and Keep Talent | Sales Xceleration Blog</t>
  </si>
  <si>
    <t>The future of sales will be virtual. Your organization needs to learn how to keep up and keep talent.</t>
  </si>
  <si>
    <t>df7ceb0a1a17ce80cf4253dfa78e8b07</t>
  </si>
  <si>
    <t>https://salesxceleration.com/how-to-secure-sales-talent-by-talking-compensation-during-recruiting/</t>
  </si>
  <si>
    <t>How to Secure Sales Talent by Talking Compensation During Recruiting</t>
  </si>
  <si>
    <t>How to Secure Sales Talent by Talking Compensation During Recruiting | Sales Xceleration Blog</t>
  </si>
  <si>
    <t>Targeting great sales talent starts with competitive sales compensation.</t>
  </si>
  <si>
    <t>2e70db5d74e19e9fd337088bf91baea4</t>
  </si>
  <si>
    <t>https://salesxceleration.com/is-poor-onboarding-sabotaging-your-sales-teams-success/</t>
  </si>
  <si>
    <t>Is Poor Onboarding Sabotaging Your Sales Team’s Success?</t>
  </si>
  <si>
    <t>Company Culture Core Values, and Vision</t>
  </si>
  <si>
    <t>Product or Service Knowledge</t>
  </si>
  <si>
    <t>Is Poor Onboarding Sabotaging Your Sales Team's Success? | Sales Xceleration Blog</t>
  </si>
  <si>
    <t>Onboarding sets the foundation for new salespeople’s success within a company. If done poorly, it can lead to serious consequences for the sales team.</t>
  </si>
  <si>
    <t>a64bda3f3ddfd0f77e6a3c9cd2937bc</t>
  </si>
  <si>
    <t>https://salesxceleration.com/wp-content/uploads/2023/04/Onboarding-for-Sales-Success-300x199.jpg</t>
  </si>
  <si>
    <t>Tue, 11 Apr 2023 18:39:35 GMT</t>
  </si>
  <si>
    <t>https://salesxceleration.com/wp-content/uploads/2022/10/Onboarding-300x300.jpg</t>
  </si>
  <si>
    <t>Fri, 28 Mar 2025 19:28:38 GMT</t>
  </si>
  <si>
    <t>https://salesxceleration.com/wp-content/uploads/2022/12/hiring-in-a-recession-300x180.jpg</t>
  </si>
  <si>
    <t>Thu, 08 Dec 2022 12:28:33 GMT</t>
  </si>
  <si>
    <t>https://salesxceleration.com/wp-content/uploads/2022/06/Proactive-Hiring-300x189.jpg</t>
  </si>
  <si>
    <t>Tue, 07 Jun 2022 17:13:10 GMT</t>
  </si>
  <si>
    <t>https://salesxceleration.com/wp-content/uploads/2022/08/sales-jobs-are-changing-300x300.jpg</t>
  </si>
  <si>
    <t>Sat, 29 Mar 2025 00:15:03 GMT</t>
  </si>
  <si>
    <t>https://salesxceleration.com/wp-content/uploads/2022/04/Recruiting-Candidate-300x300.jpg</t>
  </si>
  <si>
    <t>Fri, 28 Mar 2025 17:40:31 GMT</t>
  </si>
  <si>
    <t>https://salesxceleration.com/how-job-hopping-is-hurting-your-sales/</t>
  </si>
  <si>
    <t>How Job Hopping is Hurting Your Sales</t>
  </si>
  <si>
    <t>Why reps job hop</t>
  </si>
  <si>
    <t>How job-hopping damages careers and workplaces</t>
  </si>
  <si>
    <t>How Job Hopping is Hurting Your Sales | Is Job Hopping Bad?</t>
  </si>
  <si>
    <t>Job hopping: strategic career planning or a professional pitfall? Discover with Sales Xceleration whether job hopping is bad for your sales career prospects.</t>
  </si>
  <si>
    <t>f704101c3ac5b601f02b533cab3ec4ad</t>
  </si>
  <si>
    <t>https://salesxceleration.com/wp-content/uploads/2022/04/hiring-sales-talent-500-1-300x300.jpeg</t>
  </si>
  <si>
    <t>Fri, 28 Mar 2025 17:40:39 GMT</t>
  </si>
  <si>
    <t>https://salesxceleration.com/how-sales-teams-can-practice-proactive-rather-than-reactive-hiring/</t>
  </si>
  <si>
    <t>How Sales Teams Can Practice Proactive Rather than Reactive Hiring</t>
  </si>
  <si>
    <t>Proactive Recruiting - Proactive Hiring Strategy</t>
  </si>
  <si>
    <t>Embrace proactive recruiting to enhance your talent acquisition. Click now to discover how a proactive hiring strategy is key to securing top sales talent!</t>
  </si>
  <si>
    <t>538e22a68c77889fa186222ac5f4fd58</t>
  </si>
  <si>
    <t>https://salesxceleration.com/wp-content/uploads/2021/01/Businessman-Taking-Time-to-Relax-scaled-1-300x200.jpg</t>
  </si>
  <si>
    <t>Mon, 03 Jan 2022 14:45:45 GMT</t>
  </si>
  <si>
    <t>https://salesxceleration.com/fueling-sales-by-building-the-best-sales-engine-part-1/</t>
  </si>
  <si>
    <t>Fueling Sales by Building the Best Sales Engine (Part 1)</t>
  </si>
  <si>
    <t>Fueling Sales by Building the Best Sales Engine (Part 1) | Sales Xceleration Blog</t>
  </si>
  <si>
    <t>Learn the essential steps to building a high-performing sales engine. Focus on strategy, systems, and team alignment to drive sustainable growth.</t>
  </si>
  <si>
    <t>fe9521beb4729e643b1fc1140ebe8261</t>
  </si>
  <si>
    <t>https://salesxceleration.com/wp-content/uploads/2020/11/Happy-Sales-Leader-Leading-a-Meeting-scaled-1-300x300.jpg</t>
  </si>
  <si>
    <t>Sat, 29 Mar 2025 03:05:10 GMT</t>
  </si>
  <si>
    <t>https://salesxceleration.com/what-you-need-to-know-about-hiring-during-a-recession/</t>
  </si>
  <si>
    <t>What You Need to Know About Hiring During a Recession</t>
  </si>
  <si>
    <t>It’s Still a Candidate’s Market: What You Need to Know About Hiring During a Recession</t>
  </si>
  <si>
    <t>What to Consider When Hiring During a Recession</t>
  </si>
  <si>
    <t>What You Need to Know About Hiring During a Recession | Sales Xceleration Blog</t>
  </si>
  <si>
    <t>It’s still possible to attract highly qualified talent when revenue is tight. An excellent job match is about making sure employees feel valued every day.</t>
  </si>
  <si>
    <t>d24647c7fde02bbea2b4732c305260fd</t>
  </si>
  <si>
    <t>https://salesxceleration.com/will-you-spring-forward-to-seize-the-day-in-your-sales-leadership-career/</t>
  </si>
  <si>
    <t>Will You Spring Forward to Seize the Day in Your Sales Leadership Career?</t>
  </si>
  <si>
    <t>If You’re Not Moving Forward…</t>
  </si>
  <si>
    <t>Brighter Days</t>
  </si>
  <si>
    <t>Will You Spring Forward to Seize the Day in Your Sales Leadership Career? | Sales Xceleration Blog</t>
  </si>
  <si>
    <t>Use your sales leadership experience to help businesses in your area while moving into a position where you have control and can make a difference.</t>
  </si>
  <si>
    <t>603734fe669e3dd80f27c8f0966866</t>
  </si>
  <si>
    <t>https://salesxceleration.com/wp-content/uploads/2021/01/scrabble-4958237_1280-820x550-1-300x300.jpg</t>
  </si>
  <si>
    <t>Fri, 28 Mar 2025 23:22:13 GMT</t>
  </si>
  <si>
    <t>https://salesxceleration.com/wp-content/uploads/2021/02/Time-for-Change-scaled-1-300x200.jpg</t>
  </si>
  <si>
    <t>Mon, 03 Jan 2022 14:44:15 GMT</t>
  </si>
  <si>
    <t>https://salesxceleration.com/why-the-remote-work-revolution-should-squash-the-stigma-surrounding-part-time-leaders/</t>
  </si>
  <si>
    <t>Born2Invest – Why the Remote Work Revolution Should Squash the Stigma Surrounding ‘Part-Time’ Leaders</t>
  </si>
  <si>
    <t>Born2Invest - Why the Remote Work Revolution Should Squash the Stigma Surrounding 'Part-Time' Leaders | Sales Xceleration Blog</t>
  </si>
  <si>
    <t>Some companies might be unable to afford full-time access to qualified higher-level executives, but they can still benefit from fractional leadership.</t>
  </si>
  <si>
    <t>ec6fc4c4b0477a50c29271f2c927b66f</t>
  </si>
  <si>
    <t>https://salesxceleration.com/wp-content/uploads/2020/12/shutterstock_633365168-scaled-1-300x300.jpg</t>
  </si>
  <si>
    <t>https://salesxceleration.com/turning-thanks-into-giving-how-an-attitude-of-gratitude-creates-career-altitude/</t>
  </si>
  <si>
    <t>Turning Thanks into Giving: How an Attitude of Gratitude Creates Career Altitude</t>
  </si>
  <si>
    <t>Experience (and Experiences) to be Thankful For</t>
  </si>
  <si>
    <t>Giving Back by Moving Forward</t>
  </si>
  <si>
    <t>Turning Thanks into Giving: How an Attitude of Gratitude Creates Career Altitude | Sales Xceleration Blog</t>
  </si>
  <si>
    <t>Sales leadership consultants have the opportunity to serve and give back to business owners who crave sales expertise</t>
  </si>
  <si>
    <t>de1520f4205b9d257e6b659dd1bceff0</t>
  </si>
  <si>
    <t>https://salesxceleration.com/wp-content/uploads/2021/01/Businessman-Climing-the-Steps-scaled-1-300x200.jpg</t>
  </si>
  <si>
    <t>Mon, 03 Jan 2022 14:45:51 GMT</t>
  </si>
  <si>
    <t>https://salesxceleration.com/every-enlightened-journey-and-every-meaningful-climb-begins-with-a-single-step/</t>
  </si>
  <si>
    <t>Every Enlightened Journey and Every Meaningful Climb Begins with a Single Step</t>
  </si>
  <si>
    <t>A Single Step</t>
  </si>
  <si>
    <t>Following a Well-lit Path</t>
  </si>
  <si>
    <t>Every Enlightened Journey and Every Meaningful Climb Begins with a Single Step | Sales Xceleration Blog</t>
  </si>
  <si>
    <t>Take the next step in your career as a sales leadership consultant serving small businesses by building a revenue driving sales infrastructure.</t>
  </si>
  <si>
    <t>c1476f9cc07b856ce25cf3871641d4e8</t>
  </si>
  <si>
    <t>https://salesxceleration.com/wp-content/uploads/2020/11/Stressed-Sales-Leader-scaled-1-300x200.jpg</t>
  </si>
  <si>
    <t>Mon, 03 Jan 2022 14:47:29 GMT</t>
  </si>
  <si>
    <t>https://salesxceleration.com/wp-content/uploads/2021/01/960x0-300x300.jpg</t>
  </si>
  <si>
    <t>Sat, 29 Mar 2025 06:06:11 GMT</t>
  </si>
  <si>
    <t>https://salesxceleration.com/no-time-like-the-present-to-give-yourself-the-present-of-time/</t>
  </si>
  <si>
    <t>No Time Like the Present to Give Yourself the Present of Time</t>
  </si>
  <si>
    <t>Isn’t it Time to Take Control of Your Future?</t>
  </si>
  <si>
    <t>Isn’t it Time to Focus on Family and Friends?</t>
  </si>
  <si>
    <t>No Time Like the Present to Give Yourself the Present of Time | Sales Xceleration Blog</t>
  </si>
  <si>
    <t>Use your sales leadership experience to make a difference while giving yourself more control over your future as a fractional sales leadership consultant.</t>
  </si>
  <si>
    <t>1cd8116e634ef1aec939717ca64a5dcd</t>
  </si>
  <si>
    <t>https://salesxceleration.com/a-new-beginning-after-all-these-years/</t>
  </si>
  <si>
    <t>A New Beginning After All These Years?</t>
  </si>
  <si>
    <t>Starting Over Doesn’t Mean Starting from Scratch</t>
  </si>
  <si>
    <t>Older Dog, Newer Tricks?</t>
  </si>
  <si>
    <t>A New Beginning After All These Years? | Sales Xceleration Blog</t>
  </si>
  <si>
    <t>You can find new direction in a time of reflection and use your sales leadership experience and expertise to make a difference by becoming a sales leadership consultant.</t>
  </si>
  <si>
    <t>853dc7daf7fda8c61100d351c985fa14</t>
  </si>
  <si>
    <t>https://salesxceleration.com/wp-content/uploads/2020/10/Sales-Leadership-Consultant-Leading-a-Sales-Meeting-scaled-1-300x300.jpg</t>
  </si>
  <si>
    <t>Sat, 29 Mar 2025 03:05:19 GMT</t>
  </si>
  <si>
    <t>https://salesxceleration.com/wp-content/uploads/2020/09/Career-Crossroads-scaled-1-300x300.jpg</t>
  </si>
  <si>
    <t>Sat, 29 Mar 2025 03:05:28 GMT</t>
  </si>
  <si>
    <t>https://salesxceleration.com/feeling-out-of-control-take-charge-of-your-next-career-act/</t>
  </si>
  <si>
    <t>Feeling Out of Control? Take Charge of Your Next Career Act.</t>
  </si>
  <si>
    <t>Where You’ve Been</t>
  </si>
  <si>
    <t>Where You Are</t>
  </si>
  <si>
    <t>Feeling Out of Control? Take Charge of Your Next Career Act. | Sales Xceleration Blog</t>
  </si>
  <si>
    <t>Good things can come from bad circumstances. Seasoned sales executives are finding purpose and joy in being an Outsourced VP of sales and helping SMBs grow revenue.</t>
  </si>
  <si>
    <t>1a2cdc6cd96ad7c8527c8e8f30fad826</t>
  </si>
  <si>
    <t>https://salesxceleration.com/give-yourself-the-gift-of-making-a-difference/</t>
  </si>
  <si>
    <t>Give Yourself the Gift of Making a Difference</t>
  </si>
  <si>
    <t>Your Gifts Aligning with Their Needs</t>
  </si>
  <si>
    <t>That Double Blessing in Action</t>
  </si>
  <si>
    <t>Gifts That Make A Difference | Fractional Sales Leadership</t>
  </si>
  <si>
    <t>Gifts that make a difference can drive success; discover how with our tailored guidance. For dedicated fractional sales leadership expertise, contact us now.</t>
  </si>
  <si>
    <t>a281a09bb4763f519be6fe1ebd8159aa</t>
  </si>
  <si>
    <t>https://salesxceleration.com/wp-content/uploads/2020/12/Woman-Sales-VP-Thinking-About-the-Future-scaled-1-300x300.jpg</t>
  </si>
  <si>
    <t>Sat, 29 Mar 2025 08:21:44 GMT</t>
  </si>
  <si>
    <t>https://salesxceleration.com/turn-turn-turn-making-the-pivot-to-a-new-season-in-your-professional-life/</t>
  </si>
  <si>
    <t>Turn, Turn, Turn: Making the Pivot to a New Season in Your Professional Life</t>
  </si>
  <si>
    <t>Turning Expertise and Experience into Fulfillment</t>
  </si>
  <si>
    <t>Turning Passion into Purpose</t>
  </si>
  <si>
    <t>Turn, Turn, Turn: Making the Pivot to a New Season in Your Professional Life | Sales Xceleration Blog</t>
  </si>
  <si>
    <t>Take a turn in your sales leadership career and pivot to serve small to mid-sized businesses while offering business owners great value and rediscovering your passion and purpose.</t>
  </si>
  <si>
    <t>78b27cec82b07f59a714f5cfe7565d1a</t>
  </si>
  <si>
    <t>https://salesxceleration.com/wp-content/uploads/2025/11/hire-outside-of-industry-1030x579-1-1024x576-1.jpg</t>
  </si>
  <si>
    <t>https://salesxceleration.com/wp-content/themes/salesxceleratione/assets/css/style.css?ver=1769123524</t>
  </si>
  <si>
    <t>Thu, 22 Jan 2026 23:14:13 GMT</t>
  </si>
  <si>
    <t>https://salesxceleration.com/wp-content/uploads/2025/11/61-of-companies-do-not-provide-performance-reviews-1024x536-1.jpg</t>
  </si>
  <si>
    <t>Thu, 06 Nov 2025 21:16:13 GMT</t>
  </si>
  <si>
    <t>https://salesxceleration.com/wp-content/uploads/2025/11/91-of-companies-do-not-offer-any-sales-training-1024x536-1.jpg</t>
  </si>
  <si>
    <t>Thu, 06 Nov 2025 21:15:30 GMT</t>
  </si>
  <si>
    <t>https://salesxceleration.com/resources/state-of-sales/?__hstc=264954448.5a75b0ce6ded236b1a525ae32d6f058b.1762363628984.1762363628984.1762460367118.2&amp;__hssc=264954448.17.1762460367118&amp;__hsfp=1415230760</t>
  </si>
  <si>
    <t>https://salesxceleration.com/state-of-sales/?__hstc=264954448.5a75b0ce6ded236b1a525ae32d6f058b.1762363628984.1762363628984.1762460367118.2&amp;__hssc=264954448.17.1762460367118&amp;__hsfp=1415230760</t>
  </si>
  <si>
    <t>https://salesxceleration.com/wp-content/uploads/2025/12/how-firing-your-topsales.jpg</t>
  </si>
  <si>
    <t>https://salesxceleration.com/wp-content/themes/salesxceleratione/assets/css/style.css?ver=1769123525</t>
  </si>
  <si>
    <t>Thu, 22 Jan 2026 23:14:15 GMT</t>
  </si>
  <si>
    <t>https://salesxceleration.com/the-business-process-outsourcing-trend-how-bpo-benefits-businesses-of-all-sizes/</t>
  </si>
  <si>
    <t>Forbes – The Business Process Outsourcing Trend: How BPO Benefits Businesses of All Sizes</t>
  </si>
  <si>
    <t>Forbes - The Business Process Outsourcing Trend: How BPO Benefits Businesses of All Sizes | Sales Xceleration Blog</t>
  </si>
  <si>
    <t>Business process outsourcing can help organizations of all sizes experience a wide-range of benefits.</t>
  </si>
  <si>
    <t>a1846c5a407b670c7b71912dea8b55a6</t>
  </si>
  <si>
    <t>https://salesxceleration.com/5-tips-to-sales-leaders-to-kickstart-hiring/</t>
  </si>
  <si>
    <t>5 Tips to Sales Leaders to Kickstart Hiring</t>
  </si>
  <si>
    <t>5 Tips to Sales Leaders to Kickstart Hiring | Sales Xceleration Blog</t>
  </si>
  <si>
    <t>3abb5a0af4f7644adf4762a3f7711e4c</t>
  </si>
  <si>
    <t>https://salesxceleration.com/wp-content/themes/salesxceleratione/assets/css/style.css?ver=1769123526</t>
  </si>
  <si>
    <t>Thu, 22 Jan 2026 23:12:06 GMT</t>
  </si>
  <si>
    <t>https://salesxceleration.com/wp-content/uploads/2023/10/Harness-the-Power-of-AI.jpg</t>
  </si>
  <si>
    <t>Mon, 16 Oct 2023 18:44:50 GMT</t>
  </si>
  <si>
    <t>https://salesxceleration.com/wp-content/uploads/2023/05/How-AI-can-change-the-sales-game.png</t>
  </si>
  <si>
    <t>Mon, 08 May 2023 15:16:49 GMT</t>
  </si>
  <si>
    <t>https://salesxceleration.com/harness-the-power-of-artificial-intelligence-to-drive-sales/</t>
  </si>
  <si>
    <t>Harness the Power of Artificial Intelligence to Drive Sales</t>
  </si>
  <si>
    <t>Customer Insights and Personalization</t>
  </si>
  <si>
    <t>Enhanced Lead Generation</t>
  </si>
  <si>
    <t>Harness the Power of Artificial Intelligence to Drive Sales | Sales Xceleration Blog</t>
  </si>
  <si>
    <t>The integration of AI into sales processes is no longer a choice but a necessity in today's competitive business environment.</t>
  </si>
  <si>
    <t>eee29444510861fa93c9adae873ebf80</t>
  </si>
  <si>
    <t>https://salesxceleration.com/wp-content/uploads/2015/03/CRM.jpg</t>
  </si>
  <si>
    <t>Fri, 12 Nov 2021 15:56:44 GMT</t>
  </si>
  <si>
    <t>https://salesxceleration.com/wp-content/uploads/2015/03/CRM-Sales-xceleration.png</t>
  </si>
  <si>
    <t>Mon, 03 Jan 2022 15:23:33 GMT</t>
  </si>
  <si>
    <t>https://salesxceleration.com/wp-content/themes/salesxceleratione/assets/css/style.css?ver=1769123527</t>
  </si>
  <si>
    <t>Thu, 22 Jan 2026 23:14:17 GMT</t>
  </si>
  <si>
    <t>https://salesxceleration.com/wp-content/themes/salesxceleratione/assets/css/style.css?ver=1769123528</t>
  </si>
  <si>
    <t>https://salesxceleration.com/wp-content/uploads/2020/03/sales-marketing-meeting-1-2048x2048.jpg</t>
  </si>
  <si>
    <t>Fri, 28 Mar 2025 20:13:24 GMT</t>
  </si>
  <si>
    <t>https://salesxceleration.com/wp-content/uploads/2020/03/Succeeding_as_a_sales_leader-1-2048x2048.jpg</t>
  </si>
  <si>
    <t>Fri, 28 Mar 2025 22:07:47 GMT</t>
  </si>
  <si>
    <t>https://salesxceleration.com/3-ways-to-smooth-the-friction-between-sales-and-marketing/</t>
  </si>
  <si>
    <t>SMB CEO – 3 Ways to Smooth the Friction Between Sales and Marketing</t>
  </si>
  <si>
    <t>Marketing vs. Sales: What’s the Difference?</t>
  </si>
  <si>
    <t>SMB CEO - 3 Ways to Smooth the Friction Between Sales and Marketing | Sales Xceleration Blog</t>
  </si>
  <si>
    <t>Poor communication between sales and marketing is likely why there is so much friction between these two departments.</t>
  </si>
  <si>
    <t>4e7d064e2c1004f7ead4115584f9e24</t>
  </si>
  <si>
    <t>https://salesxceleration.com/wp-content/uploads/2018/03/playbook.jpg</t>
  </si>
  <si>
    <t>Mon, 03 Jan 2022 15:10:04 GMT</t>
  </si>
  <si>
    <t>https://salesxceleration.com/wp-content/themes/salesxceleratione/assets/css/style.css?ver=1769123532</t>
  </si>
  <si>
    <t>Thu, 22 Jan 2026 23:12:12 GMT</t>
  </si>
  <si>
    <t>https://salesxceleration.com/4-tips-for-succeeding-as-a-new-sales-manager/</t>
  </si>
  <si>
    <t>SmartBrief – 4 Tips for Succeeding as a New Sales Manager</t>
  </si>
  <si>
    <t>How to be a good sales manager</t>
  </si>
  <si>
    <t>SmartBrief - 4 Tips for Succeeding as a New Sales Manager | Sales Xceleration Blog</t>
  </si>
  <si>
    <t>Skilled sales leaders and effective sales managers do not have much in common, here are 4 tips to help you succeed.</t>
  </si>
  <si>
    <t>81c7adfb322fedf70d1c589d5d55413d</t>
  </si>
  <si>
    <t>https://salesxceleration.com/wp-content/themes/salesxceleratione/assets/css/style.css?ver=1769123534</t>
  </si>
  <si>
    <t>https://salesxceleration.com/wp-content/themes/salesxceleratione/assets/css/style.css?ver=1769123535</t>
  </si>
  <si>
    <t>Thu, 22 Jan 2026 23:14:18 GMT</t>
  </si>
  <si>
    <t>4b89ef7de58c3addb4ffb20eaf2ca28f</t>
  </si>
  <si>
    <t>https://salesxceleration.com/wp-content/themes/salesxceleratione/assets/css/style.css?ver=1769123537</t>
  </si>
  <si>
    <t>https://salesxceleration.com/wp-content/uploads/2022/03/Case-Study_Healthcare_SX-1-thumb-768x429.jpg</t>
  </si>
  <si>
    <t>Fri, 28 Mar 2025 15:54:40 GMT</t>
  </si>
  <si>
    <t>https://salesxceleration.com/wp-content/uploads/2020/01/turning-flat-thumb-768x442.jpg</t>
  </si>
  <si>
    <t>https://salesxceleration.com/wp-content/uploads/2022/05/AI-in-Sales-300x169.jpg</t>
  </si>
  <si>
    <t>Mon, 23 May 2022 18:08:06 GMT</t>
  </si>
  <si>
    <t>https://salesxceleration.com/wp-content/uploads/2023/02/Remote-Work-300x200.jpeg</t>
  </si>
  <si>
    <t>Wed, 08 Feb 2023 11:54:59 GMT</t>
  </si>
  <si>
    <t>https://salesxceleration.com/wp-content/uploads/2023/03/Future-of-Sales-Disruptors-300x208.jpg</t>
  </si>
  <si>
    <t>Mon, 27 Mar 2023 20:36:19 GMT</t>
  </si>
  <si>
    <t>ca18e9fbb9cc75fb10b1df02e823ce4c</t>
  </si>
  <si>
    <t>https://salesxceleration.com/wp-content/uploads/2023/07/Overcome-Sales-Challenges-300x180.jpg</t>
  </si>
  <si>
    <t>Tue, 25 Jul 2023 10:54:28 GMT</t>
  </si>
  <si>
    <t>https://salesxceleration.com/wondering-how-to-overcome-sales-challenges-focus-on-these-3-areas/</t>
  </si>
  <si>
    <t>Wondering How to Overcome Sales Challenges? Focus on These 3 Areas</t>
  </si>
  <si>
    <t>1. Take a second look at onboarding sales reps</t>
  </si>
  <si>
    <t>Wondering How to Overcome Sales Challenges? Focus on These 3 Areas | Sales Xceleration Blog</t>
  </si>
  <si>
    <t>Here are the top difficulties organizations are facing when it comes to sales and what leaders must do to overcome them.</t>
  </si>
  <si>
    <t>8ccafcb7af2f0071c1ac8994d806dfe6</t>
  </si>
  <si>
    <t>https://salesxceleration.com/wp-content/uploads/2022/08/Remote-Sales-Team-300x300.jpg</t>
  </si>
  <si>
    <t>Fri, 28 Mar 2025 16:02:20 GMT</t>
  </si>
  <si>
    <t>https://salesxceleration.com/wp-content/uploads/2022/12/Recession-Proof-Sales-Strategy-300x200.jpg</t>
  </si>
  <si>
    <t>Mon, 05 Dec 2022 13:30:04 GMT</t>
  </si>
  <si>
    <t>https://salesxceleration.com/how-ai-can-act-as-the-perfect-complement-to-sales-teams/</t>
  </si>
  <si>
    <t>How AI Can Act as the Perfect Complement to Sales Teams</t>
  </si>
  <si>
    <t>How AI Can Act as the Perfect Complement to Sales Teams | Sales Xceleration Blog</t>
  </si>
  <si>
    <t>Artificial intelligence can be a powerful tool in prospecting, leading to more closed deals</t>
  </si>
  <si>
    <t>a53ca9698c4ca3ada6898b2f3c5badfa</t>
  </si>
  <si>
    <t>https://salesxceleration.com/how-to-build-a-strong-culture-while-managing-a-remote-sales-team/</t>
  </si>
  <si>
    <t>How to Build a Strong Culture While Managing a Remote Sales Team</t>
  </si>
  <si>
    <t>How To Build Culture In A Team | Manage A Remote Sales Team</t>
  </si>
  <si>
    <t>Learn how to build culture in a team, even from afar. Discover strategies to effectively manage a remote sales team and maintain a strong work environment.</t>
  </si>
  <si>
    <t>3ec7797866f44595167b4e6fef1cf687</t>
  </si>
  <si>
    <t>https://salesxceleration.com/wp-content/uploads/2021/06/competitive-analysis-500-300x300.jpg</t>
  </si>
  <si>
    <t>Fri, 28 Mar 2025 23:08:37 GMT</t>
  </si>
  <si>
    <t>https://salesxceleration.com/wp-content/themes/salesxceleratione/assets/css/style.css?ver=1769123538</t>
  </si>
  <si>
    <t>https://salesxceleration.com/top-4-disruptors-in-the-future-of-sales-are-you-ready/</t>
  </si>
  <si>
    <t>Top 4 Disruptors in the Future of Sales. Are You Ready?</t>
  </si>
  <si>
    <t>How did the future of selling event work?</t>
  </si>
  <si>
    <t>What did the experts find?</t>
  </si>
  <si>
    <t>Top 4 Disruptors in the Future of Sales. Are You Ready? | Sales Xceleration Blog</t>
  </si>
  <si>
    <t>The future of sales has never been more uncertain, and trends impacting the sales profession are often overwhelming in number.</t>
  </si>
  <si>
    <t>ee47978af429a320c21201ee5734ce68</t>
  </si>
  <si>
    <t>https://salesxceleration.com/wp-content/uploads/2023/09/Technology-is-Creating-New-Ways-to-Sell-to-Prospects-300x158.jpg</t>
  </si>
  <si>
    <t>https://salesxceleration.com/wp-content/themes/salesxceleratione/assets/css/style.css?ver=1769123539</t>
  </si>
  <si>
    <t>Thu, 22 Jan 2026 23:14:20 GMT</t>
  </si>
  <si>
    <t>https://salesxceleration.com/wp-content/themes/salesxceleratione/assets/css/style.css?ver=1769123553</t>
  </si>
  <si>
    <t>https://salesxceleration.com/professionalism-in-virtual-meetings-how-it-impacts-the-remote-work-debate/</t>
  </si>
  <si>
    <t>Professionalism in Virtual Meetings: How It Impacts the Remote Work Debate</t>
  </si>
  <si>
    <t>The Effects of a Lack of Professionalism in Virtual Meetings</t>
  </si>
  <si>
    <t>Establishing Professionalism Guidelines for Remote Teams</t>
  </si>
  <si>
    <t>Professionalism in Virtual Meetings: How It Impacts the Remote Work Debate | Sales Xceleration Blog</t>
  </si>
  <si>
    <t>The shift to remote work has resulted in a lack of professionalism. As a business leader, you'll need to establish guidelines around virtual meetings.</t>
  </si>
  <si>
    <t>b938877a5748ed88a422751d788cd8a0</t>
  </si>
  <si>
    <t>https://salesxceleration.com/how-to-leverage-a-competitor-sales-analysis-to-grow-your-business/</t>
  </si>
  <si>
    <t>SMB CEO – How to Leverage a Competitor Sales Analysis to Grow Your Business</t>
  </si>
  <si>
    <t>SMB CEO - How to Leverage a Competitor Sales Analysis to Grow Your Business | Sales Xceleration Blog</t>
  </si>
  <si>
    <t>Is conducting a business competitor analysis worth your time and energy – and then apply those findings to your business?</t>
  </si>
  <si>
    <t>c92e37bcf78b5ac6204386f9608ddd2</t>
  </si>
  <si>
    <t>https://salesxceleration.com/how-to-recession-proof-your-sales-strategy/</t>
  </si>
  <si>
    <t>How to Recession-Proof Your Sales Strategy</t>
  </si>
  <si>
    <t>Providing Value to Prospects</t>
  </si>
  <si>
    <t>How to Recession-Proof Your Sales Strategy | Sales Xceleration Blog</t>
  </si>
  <si>
    <t>If you don’t have a plan, then it’ll be tough to keep making sales during a recession period.</t>
  </si>
  <si>
    <t>8966c68088ad6a0298236f116ae98345</t>
  </si>
  <si>
    <t>No Access</t>
  </si>
  <si>
    <t>No Access | Sales Xceleration</t>
  </si>
  <si>
    <t>https://salesxceleration.com/no-access/</t>
  </si>
  <si>
    <t>d896a060e923edc7cd432f8e53d196c8</t>
  </si>
  <si>
    <t>56d22f30d3e77f8778b78c7e923bb2d8</t>
  </si>
  <si>
    <t>7d8e00d404e8f83dec22e50eed2f92b7</t>
  </si>
  <si>
    <t>https://salesxceleration.com/wp-content/uploads/elementor/css/post-70498.css?ver=1768847321</t>
  </si>
  <si>
    <t>Mon, 19 Jan 2026 18:28:41 GMT</t>
  </si>
  <si>
    <t>https://salesxceleration.com/wp-content/themes/salesxceleratione/assets/css/style.css?ver=1769123559</t>
  </si>
  <si>
    <t>Thu, 22 Jan 2026 23:14:22 GMT</t>
  </si>
  <si>
    <t>79460e658b2b66009c9097d046193c1b</t>
  </si>
  <si>
    <t>https://salesxceleration.com/wp-content/uploads/2025/01/A-Real-World-AI-Success-Story.jpg</t>
  </si>
  <si>
    <t>Wed, 08 Jan 2025 12:23:14 GMT</t>
  </si>
  <si>
    <t>36f3e986098f354c5f1b954ef9b910b</t>
  </si>
  <si>
    <t>https://salesxceleration.com/wp-content/themes/salesxceleratione/assets/css/style.css?ver=1769123560</t>
  </si>
  <si>
    <t>https://salesxceleration.com/wp-content/uploads/2025/01/The-AI-Advantage.jpg</t>
  </si>
  <si>
    <t>https://salesxceleration.com/wp-content/uploads/2025/01/Streamlining-Sales-Processes-with-AI.jpg</t>
  </si>
  <si>
    <t>https://salesxceleration.com/wp-content/uploads/2024/06/Benefits-of-Virtual-Selling.jpg</t>
  </si>
  <si>
    <t>Thu, 13 Jun 2024 17:06:05 GMT</t>
  </si>
  <si>
    <t>https://salesxceleration.com/wp-content/uploads/elementor/css/post-45180.css?ver=1768857800</t>
  </si>
  <si>
    <t>Mon, 19 Jan 2026 21:23:20 GMT</t>
  </si>
  <si>
    <t>https://salesxceleration.com/wp-content/uploads/2024/06/Future-Proof-Your-Sales.jpg</t>
  </si>
  <si>
    <t>Thu, 13 Jun 2024 17:05:03 GMT</t>
  </si>
  <si>
    <t>https://salesxceleration.com/wp-content/uploads/2024/01/AIChatGPT-Poll-Graphic-1024x1024.jpg</t>
  </si>
  <si>
    <t>Tue, 02 Jan 2024 22:00:55 GMT</t>
  </si>
  <si>
    <t>1b2fd8275d1768d9bfdad9b70fcf805</t>
  </si>
  <si>
    <t>https://salesxceleration.com/wp-content/uploads/2024/01/logo-selling-power.png</t>
  </si>
  <si>
    <t>Fri, 17 May 2024 19:02:04 GMT</t>
  </si>
  <si>
    <t>https://salesxceleration.com/wp-content/uploads/elementor/css/post-29314.css?ver=1768910670</t>
  </si>
  <si>
    <t>Tue, 20 Jan 2026 12:04:30 GMT</t>
  </si>
  <si>
    <t>https://salesxceleration.com/wp-content/uploads/2024/01/light-150x150.png</t>
  </si>
  <si>
    <t>Tue, 02 Jan 2024 22:02:24 GMT</t>
  </si>
  <si>
    <t>https://salesxceleration.com/wp-content/uploads/2024/01/AI-is-1024x768.jpg</t>
  </si>
  <si>
    <t>Tue, 02 Jan 2024 22:00:02 GMT</t>
  </si>
  <si>
    <t>https://salesxceleration.com/wp-content/uploads/2024/01/New-AI-Sales-Trends.jpg</t>
  </si>
  <si>
    <t>Tue, 02 Jan 2024 21:59:18 GMT</t>
  </si>
  <si>
    <t>https://salesxceleration.com/wp-content/uploads/2023/08/businessman-using-digital-300x156.jpg</t>
  </si>
  <si>
    <t>Thu, 10 Aug 2023 11:02:07 GMT</t>
  </si>
  <si>
    <t>https://salesxceleration.com/wp-content/themes/salesxceleratione/assets/css/style.css?ver=1769123561</t>
  </si>
  <si>
    <t>https://salesxceleration.com/wp-content/uploads/2023/10/Harness-the-Power-of-AI-300x145.jpg</t>
  </si>
  <si>
    <t>https://salesxceleration.com/wp-content/uploads/2023/05/AI-for-Sales-300x165.jpg</t>
  </si>
  <si>
    <t>Mon, 08 May 2023 15:13:53 GMT</t>
  </si>
  <si>
    <t>https://salesxceleration.com/wp-content/uploads/2025/10/AI-Powered-Sales-Assistant.jpg</t>
  </si>
  <si>
    <t>Mon, 13 Oct 2025 17:33:09 GMT</t>
  </si>
  <si>
    <t>https://salesxceleration.com/wp-content/uploads/2022/04/Tappan-Scott-275x275-1-100x100.jpg</t>
  </si>
  <si>
    <t>Tue, 07 May 2024 07:10:53 GMT</t>
  </si>
  <si>
    <t>https://salesxceleration.com/wp-content/uploads/2024/09/Mastering-Personalization-in-Sales.jpg</t>
  </si>
  <si>
    <t>Mon, 09 Sep 2024 20:16:47 GMT</t>
  </si>
  <si>
    <t>https://salesxceleration.com/sales-agility-assessment?locationid=27833113</t>
  </si>
  <si>
    <t>https://salesxceleration.com/sales-agility-assessment/?locationid=27833113</t>
  </si>
  <si>
    <t>https://salesxceleration.com/wp-content/themes/salesxceleratione/assets/css/style.css?ver=1769123562</t>
  </si>
  <si>
    <t>Thu, 22 Jan 2026 23:14:24 GMT</t>
  </si>
  <si>
    <t>https://salesxceleration.com/wp-content/uploads/2024/09/5-Steps-to-Master-Personalization-in-Sales.jpg</t>
  </si>
  <si>
    <t>Mon, 09 Sep 2024 20:21:18 GMT</t>
  </si>
  <si>
    <t>https://salesxceleration.com/author/scott-tappan/</t>
  </si>
  <si>
    <t>Scott Tappan</t>
  </si>
  <si>
    <t>Scott Tappan, Author at Sales Xceleration</t>
  </si>
  <si>
    <t>922a4b5f0dcbe0d4ed66e455b0a01978</t>
  </si>
  <si>
    <t>https://salesxceleration.com/wp-content/themes/salesxceleratione/assets/css/style.css?ver=1769123563</t>
  </si>
  <si>
    <t>Thu, 22 Jan 2026 23:14:25 GMT</t>
  </si>
  <si>
    <t>https://salesxceleration.com/wp-content/uploads/2026/01/Why-68-of-Companies-Cant-Trust-Their-Sales-Forecasts.jpg</t>
  </si>
  <si>
    <t>Mon, 12 Jan 2026 19:40:33 GMT</t>
  </si>
  <si>
    <t>https://salesxceleration.com/how-to-define-and-analyze-your-target-market-for-growth/</t>
  </si>
  <si>
    <t>How to Define and Analyze Your Target Market for Growth</t>
  </si>
  <si>
    <t>Target Market Segments</t>
  </si>
  <si>
    <t>Target Market Examples</t>
  </si>
  <si>
    <t>How to Define and Analyze Your Target Market for Growth | Sales Xceleration Blog</t>
  </si>
  <si>
    <t>You must define your target market to tailor your marketing messages, sales strategies, and sales processes to reach targeted customers more effectively.</t>
  </si>
  <si>
    <t>4203511c3be00775fc792dca6d252655</t>
  </si>
  <si>
    <t>https://salesxceleration.com/wp-content/uploads/2026/01/Most-Sales-Teams-Are-Flying-Blind.png</t>
  </si>
  <si>
    <t>Mon, 12 Jan 2026 19:40:41 GMT</t>
  </si>
  <si>
    <t>https://salesxceleration.com/wp-content/themes/salesxceleratione/assets/css/style.css?ver=1769123572</t>
  </si>
  <si>
    <t>Thu, 22 Jan 2026 23:12:52 GMT</t>
  </si>
  <si>
    <t>https://salesxceleration.com/wp-content/uploads/2015/03/fishing-grandpa-sales-lessons-family-wisdom-2048x2048.png</t>
  </si>
  <si>
    <t>Fri, 28 Mar 2025 14:42:53 GMT</t>
  </si>
  <si>
    <t>https://salesxceleration.com/wp-content/uploads/2015/03/Three-Cs-Sales-xceleration-2048x2048.png</t>
  </si>
  <si>
    <t>Fri, 28 Mar 2025 14:44:12 GMT</t>
  </si>
  <si>
    <t>https://salesxceleration.com/wp-content/uploads/2015/03/Sales-rollercoaster-go-fishing-sales-xceleration-2048x2048.png</t>
  </si>
  <si>
    <t>Fri, 28 Mar 2025 14:43:32 GMT</t>
  </si>
  <si>
    <t>https://salesxceleration.com/wp-content/uploads/2017/08/shutterstock_421484053.jpg</t>
  </si>
  <si>
    <t>Mon, 03 Jan 2022 15:14:07 GMT</t>
  </si>
  <si>
    <t>https://salesxceleration.com/wp-content/uploads/2015/03/When-Why-Sales-Manager-Should-Simply-Be-Quiet-Sales-Xceleration-2048x2048.png</t>
  </si>
  <si>
    <t>Fri, 28 Mar 2025 14:41:58 GMT</t>
  </si>
  <si>
    <t>https://salesxceleration.com/want-off-the-sales-roller-coaster-go-fishing/</t>
  </si>
  <si>
    <t>Want Off the Sales Roller Coaster? Go Fishing.</t>
  </si>
  <si>
    <t>Want Off the Sales Roller Coaster? Go Fishing. | Sales Xceleration Blog</t>
  </si>
  <si>
    <t>if you are in sales, you have almost certainly experienced the sales roller coaster: sales are up for a while; and then sales dip.</t>
  </si>
  <si>
    <t>2f45cdb77b584b30cf39810583cebdc0</t>
  </si>
  <si>
    <t>https://salesxceleration.com/wp-content/uploads/2024/05/Download-Building-a-Sales-Pipeline-with-AI.jpg</t>
  </si>
  <si>
    <t>Mon, 06 May 2024 17:53:19 GMT</t>
  </si>
  <si>
    <t>https://salesxceleration.com/wp-content/themes/salesxceleratione/assets/css/style.css?ver=1769123573</t>
  </si>
  <si>
    <t>Thu, 22 Jan 2026 23:14:27 GMT</t>
  </si>
  <si>
    <t>https://salesxceleration.com/wp-content/uploads/2024/05/Building-a-Sales-Pipeline.jpg</t>
  </si>
  <si>
    <t>Mon, 06 May 2024 17:52:17 GMT</t>
  </si>
  <si>
    <t>https://salesxceleration.com/when-and-why-the-sales-manager-should-simply-be-quiet/</t>
  </si>
  <si>
    <t>When (and Why) the Sales Manager Should Simply Be Quiet</t>
  </si>
  <si>
    <t>When (and Why) the Sales Manager Should Simply Be Quiet | Sales Xceleration Blog</t>
  </si>
  <si>
    <t>There is one situation when you should simply keep quiet. That situation – one that is critical to sales success – is…</t>
  </si>
  <si>
    <t>d4e755bd04b2310ddb89ae5783a34b24</t>
  </si>
  <si>
    <t>https://salesxceleration.com/using-the-3-cs-to-improve-sales-performance/</t>
  </si>
  <si>
    <t>Using the 3 Cs to Improve Sales Performance</t>
  </si>
  <si>
    <t>Using the 3 Cs to Improve Sales Performance | Sales Xceleration Blog</t>
  </si>
  <si>
    <t>The answers to most sales questions can be found by focusing on the 3 Cs: Cause, Culture and Customers.</t>
  </si>
  <si>
    <t>1ac16f7a7cbed4fb671a7cfe12d8822f</t>
  </si>
  <si>
    <t>https://salesxceleration.com/wp-content/uploads/2014/09/Leading-lagging-sales.jpg</t>
  </si>
  <si>
    <t>Mon, 03 Jan 2022 15:28:47 GMT</t>
  </si>
  <si>
    <t>https://salesxceleration.com/wp-content/uploads/2025/11/SAO-YT-Thumbnail-Dave-Parker-1.jpg</t>
  </si>
  <si>
    <t>Wed, 12 Nov 2025 20:07:18 GMT</t>
  </si>
  <si>
    <t>https://salesxceleration.com/wp-content/uploads/elementor/css/post-71931.css?ver=1768855592</t>
  </si>
  <si>
    <t>Mon, 19 Jan 2026 20:46:32 GMT</t>
  </si>
  <si>
    <t>https://salesxceleration.com/fishing-with-grandpa-7-sales-lessons-from-family-wisdom/</t>
  </si>
  <si>
    <t>Fishing with Grandpa: 7 Sales Lessons from Family Wisdom</t>
  </si>
  <si>
    <t>Fishing with Grandpa: 7 Sales Lessons from Family Wisdom | Sales Xceleration Blog</t>
  </si>
  <si>
    <t>The lessons your grandpa taught you can help guide you in your daily challenges as you strive for success in life and in sales.</t>
  </si>
  <si>
    <t>967a9f0627e601c6adff002818056fe0</t>
  </si>
  <si>
    <t>https://salesxceleration.com/wp-content/uploads/2025/10/Sales-Against-The-Odds-Promo-Graphic.jpg</t>
  </si>
  <si>
    <t>Tue, 28 Oct 2025 13:52:18 GMT</t>
  </si>
  <si>
    <t>https://salesxceleration.com/wp-content/themes/salesxceleratione/assets/css/style.css?ver=1769123574</t>
  </si>
  <si>
    <t>Thu, 22 Jan 2026 23:14:28 GMT</t>
  </si>
  <si>
    <t>https://salesxceleration.com/wp-content/uploads/2020/04/Man-Working-in-Home-Office1-2048x2048.jpg</t>
  </si>
  <si>
    <t>Sat, 29 Mar 2025 08:22:10 GMT</t>
  </si>
  <si>
    <t>https://salesxceleration.com/wp-content/uploads/2015/03/top-20-percent-sales-xceleration.png</t>
  </si>
  <si>
    <t>Mon, 03 Jan 2022 15:21:41 GMT</t>
  </si>
  <si>
    <t>https://salesxceleration.com/wp-content/uploads/2020/05/Satisfied-Happy-Businessman-scaled-1-2048x2048.jpg</t>
  </si>
  <si>
    <t>Sat, 29 Mar 2025 08:22:01 GMT</t>
  </si>
  <si>
    <t>https://salesxceleration.com/wp-content/uploads/2020/12/Woman-Sales-VP-Thinking-About-the-Future-scaled-1-2048x2048.jpg</t>
  </si>
  <si>
    <t>https://salesxceleration.com/introducing-sales-against-the-odds/</t>
  </si>
  <si>
    <t>Introducing Sales Against The Odds</t>
  </si>
  <si>
    <t>Introducing Sales Against The Odds | Sales Xceleration Blog</t>
  </si>
  <si>
    <t>Sales Against The Odds is the podcast for leaders working to grow their business, even when the odds feel stacked against them. If you’re a business owner or sales leader facing stagnant sales, competing priorities, or the challenge of building the right team, this is for you.</t>
  </si>
  <si>
    <t>ed37f81f1f3edcdd5eb96491161e1e71</t>
  </si>
  <si>
    <t>https://salesxceleration.com/the-sales-strategy-shift-most-founders-miss/</t>
  </si>
  <si>
    <t>The Sales Strategy Shift Most Founders Miss</t>
  </si>
  <si>
    <t>The Sales Strategy Shift Most Founders Miss | Sales Xceleration Blog</t>
  </si>
  <si>
    <t>Discover why 92% of startups fail and how to avoid it. Learn sales strategies, pricing, and scaling tips with Dave Parker on Sales Against the Odds</t>
  </si>
  <si>
    <t>76d7c007140b0cc1b438f9c1f4212e12</t>
  </si>
  <si>
    <t>https://salesxceleration.com/wp-content/uploads/2020/05/Woman-Sales-Leader-Leading-a-Team-scaled-1-2048x2048.jpg</t>
  </si>
  <si>
    <t>Sat, 29 Mar 2025 08:21:52 GMT</t>
  </si>
  <si>
    <t>https://salesxceleration.com/wp-content/uploads/2017/10/Senior-Advisor-2048x2048.jpg</t>
  </si>
  <si>
    <t>Fri, 28 Mar 2025 14:42:07 GMT</t>
  </si>
  <si>
    <t>https://salesxceleration.com/why-sales-leadership-consultants-often-thrive-during-hard-economic-times/</t>
  </si>
  <si>
    <t>Why Sales Leadership Consultants Often Thrive During Hard Economic Times</t>
  </si>
  <si>
    <t>Why Sales Leadership Consultants Often Thrive During Hard Economic Times | Sales Xceleration</t>
  </si>
  <si>
    <t>Sales leadership consultants have the unique skill set to succeed during a period of economic downturn because they have the experience to navigate and adapt.</t>
  </si>
  <si>
    <t>5771e2baf9d39ff9907e90ac2c3c64a2</t>
  </si>
  <si>
    <t>https://salesxceleration.com/home-is-where-the-heart-is-and-where-the-consulting-clients-are/</t>
  </si>
  <si>
    <t>Home is Where the Heart Is (and Where the Consulting Clients Are)</t>
  </si>
  <si>
    <t>Home is Where the Heart Is (and Where the Consulting Clients Are) | Sales Xceleration Blog</t>
  </si>
  <si>
    <t>Sales leadership consulting enables experienced sales leaders to provide value to local small to mid-sized businesses on a fractional-time basis.</t>
  </si>
  <si>
    <t>3fbea07f761e56ccce8f1d6c4026fc9f</t>
  </si>
  <si>
    <t>https://salesxceleration.com/wp-content/uploads/2022/02/It-is-my-passion.jpg</t>
  </si>
  <si>
    <t>Fri, 25 Feb 2022 16:30:20 GMT</t>
  </si>
  <si>
    <t>https://salesxceleration.com/you-can-make-your-professional-dreams-come-true-if-you-have-these-five-fundamentals/</t>
  </si>
  <si>
    <t>You CAN Make Your Professional Dreams Come True (If You Have These Five Fundamentals)</t>
  </si>
  <si>
    <t>You CAN Make Your Professional Dreams Come True (If You Have These Five Fundamentals) | Sales Xceleration Blog</t>
  </si>
  <si>
    <t>Transitioning from VP of Sales to Sales Consultant has the clear purpose of making a significant difference within the businesses served in this capacity.</t>
  </si>
  <si>
    <t>a5d1feb2ffa84488204ca7c7b6e6bd3a</t>
  </si>
  <si>
    <t>https://salesxceleration.com/wp-content/uploads/2022/03/Corporate-Travel.jpg</t>
  </si>
  <si>
    <t>Tue, 29 Mar 2022 20:35:03 GMT</t>
  </si>
  <si>
    <t>https://salesxceleration.com/wp-content/themes/salesxceleratione/assets/css/style.css?ver=1769123575</t>
  </si>
  <si>
    <t>Thu, 22 Jan 2026 23:14:30 GMT</t>
  </si>
  <si>
    <t>https://salesxceleration.com/contact-us/become-a-sales-consultant/</t>
  </si>
  <si>
    <t>https://salesxceleration.com/wp-content/uploads/2022/05/Business-Lifeline.jpg</t>
  </si>
  <si>
    <t>Mon, 02 May 2022 18:19:34 GMT</t>
  </si>
  <si>
    <t>https://salesxceleration.com/wp-content/uploads/2014/09/Sales-Growth-accountability.jpg</t>
  </si>
  <si>
    <t>Mon, 03 Jan 2022 15:28:24 GMT</t>
  </si>
  <si>
    <t>https://salesxceleration.com/becoming-senior-entrepreneur-gain/</t>
  </si>
  <si>
    <t>Becoming a Senior Entrepreneur: What Do You Have to Gain?</t>
  </si>
  <si>
    <t>Becoming a Senior Entrepreneur: What Do You Have to Gain? | Sales Xceleration Blog</t>
  </si>
  <si>
    <t>The senior entrepreneur can enjoy less risk and more opportunity than younger counterparts. Many senior entrepreneurs have more to gain than they realize.</t>
  </si>
  <si>
    <t>87e25406f0facce7eebe7e8a95b6f648</t>
  </si>
  <si>
    <t>https://salesxceleration.com/wp-content/uploads/2023/03/Fractional-Sales-Leadership-Consultants.jpg</t>
  </si>
  <si>
    <t>Mon, 20 Mar 2023 21:09:16 GMT</t>
  </si>
  <si>
    <t>https://salesxceleration.com/wp-content/themes/salesxceleratione/assets/css/style.css?ver=1769123578</t>
  </si>
  <si>
    <t>Thu, 22 Jan 2026 23:14:31 GMT</t>
  </si>
  <si>
    <t>https://salesxceleration.com/wp-content/uploads/2022/12/Business-Opportunity.jpg</t>
  </si>
  <si>
    <t>Wed, 07 Dec 2022 12:22:54 GMT</t>
  </si>
  <si>
    <t>https://salesxceleration.com/wp-content/uploads/2022/12/resilience-1024x316.jpg</t>
  </si>
  <si>
    <t>Wed, 07 Dec 2022 12:23:40 GMT</t>
  </si>
  <si>
    <t>https://salesxceleration.com/wp-content/uploads/2025/02/Podcast-Episode_Transforming-Sales-for-Growth.png</t>
  </si>
  <si>
    <t>Wed, 19 Feb 2025 20:37:31 GMT</t>
  </si>
  <si>
    <t>https://salesxceleration.com/author/hdanz/</t>
  </si>
  <si>
    <t>Harry Danz</t>
  </si>
  <si>
    <t>Harry Danz, Author at Sales Xceleration</t>
  </si>
  <si>
    <t>fca87ce40a4f06ef3f52902cea964b19</t>
  </si>
  <si>
    <t>https://salesxceleration.com/wp-content/uploads/2024/01/Leading-with-Heart_Podcast.jpg</t>
  </si>
  <si>
    <t>Tue, 23 Jan 2024 21:35:37 GMT</t>
  </si>
  <si>
    <t>https://salesxceleration.com/wp-content/uploads/2024/02/Thriving-with-Outsourced-Leadership-1024x576.jpg</t>
  </si>
  <si>
    <t>Thu, 08 Feb 2024 19:20:57 GMT</t>
  </si>
  <si>
    <t>https://salesxceleration.com/wp-content/uploads/2024/02/Outsourced-Sales-Leadership.jpg</t>
  </si>
  <si>
    <t>Thu, 08 Feb 2024 19:20:47 GMT</t>
  </si>
  <si>
    <t>https://salesxceleration.com/wp-content/uploads/2024/08/Fractional-Sales-Leadership.jpg</t>
  </si>
  <si>
    <t>Mon, 19 Aug 2024 18:34:03 GMT</t>
  </si>
  <si>
    <t>https://salesxceleration.com/wp-content/themes/salesxceleratione/assets/css/style.css?ver=1769123579</t>
  </si>
  <si>
    <t>Thu, 22 Jan 2026 23:14:32 GMT</t>
  </si>
  <si>
    <t>https://salesxceleration.com/wp-content/themes/salesxceleratione/assets/css/style.css?ver=1769123594</t>
  </si>
  <si>
    <t>https://salesxceleration.com/wp-content/uploads/2018/07/sales-consulting-opportunity-2048x2048.jpg</t>
  </si>
  <si>
    <t>Fri, 28 Mar 2025 14:57:38 GMT</t>
  </si>
  <si>
    <t>https://salesxceleration.com/wp-content/uploads/2021/12/Business-man-and-woman-ready-to-walk-through-large-door-scaled.jpg</t>
  </si>
  <si>
    <t>Mon, 03 Jan 2022 14:01:08 GMT</t>
  </si>
  <si>
    <t>https://salesxceleration.com/wp-content/uploads/2019/07/shutterstock_536212654-1-2048x2048.jpg</t>
  </si>
  <si>
    <t>https://salesxceleration.com/wp-content/themes/salesxceleratione/assets/css/style.css?ver=1769123595</t>
  </si>
  <si>
    <t>https://salesxceleration.com/infographics/benefits-of-outsourcing/</t>
  </si>
  <si>
    <t>https://salesxceleration.com/?download=27893</t>
  </si>
  <si>
    <t>https://salesxceleration.com/the-sales-consulting-opportunity-why-quitting-your-job-might-not-be-risky/</t>
  </si>
  <si>
    <t>The Sales Consulting Opportunity: Why Quitting Your Job Might Not Be Risky</t>
  </si>
  <si>
    <t>The Sales Consulting Opportunity: Why Quitting Your Job Might Not Be Risky | Sales Xceleration Blog</t>
  </si>
  <si>
    <t>Here are some things to consider when exploring leaving your current job to pursue a sales consulting opportunity.</t>
  </si>
  <si>
    <t>4f1637e86d60494c766bb808f1f4573</t>
  </si>
  <si>
    <t>https://salesxceleration.com/wp-content/uploads/2021/12/Outsourcing-scaled.jpg</t>
  </si>
  <si>
    <t>https://salesxceleration.com/how-sales-management-consultants-help-business-owners/</t>
  </si>
  <si>
    <t>Hope Realized Shows How Sales Management Consultants Help Business Owners</t>
  </si>
  <si>
    <t>Sales Consulting Process - Management Consulting Sales</t>
  </si>
  <si>
    <t>Optimize your sales consulting process with our tailored approaches. Connect with us for advanced management consulting sales strategies to drive robust growth.</t>
  </si>
  <si>
    <t>b0f222b59df991b743aa328342365b5d</t>
  </si>
  <si>
    <t>https://salesxceleration.com/wp-content/uploads/2021/11/Business-Woman-Contemplating-New-Career-Path-scaled.jpeg</t>
  </si>
  <si>
    <t>Mon, 03 Jan 2022 14:07:30 GMT</t>
  </si>
  <si>
    <t>https://salesxceleration.com/wp-content/uploads/2021/11/p-2-how-interim-executives-can-be-a-surprising-benefit-to-your-company.jpeg</t>
  </si>
  <si>
    <t>Mon, 03 Jan 2022 14:06:53 GMT</t>
  </si>
  <si>
    <t>https://salesxceleration.com/wp-content/themes/salesxceleratione/assets/css/style.css?ver=1769123596</t>
  </si>
  <si>
    <t>Thu, 22 Jan 2026 23:13:17 GMT</t>
  </si>
  <si>
    <t>https://salesxceleration.com/wp-content/uploads/2022/01/businesswoman-superhero-shadow-symbol.jpg</t>
  </si>
  <si>
    <t>Fri, 28 Jan 2022 20:02:48 GMT</t>
  </si>
  <si>
    <t>https://salesxceleration.com/wp-content/uploads/2019/08/shutterstock_1009393072-2048x2048.jpg</t>
  </si>
  <si>
    <t>Fri, 28 Mar 2025 14:50:14 GMT</t>
  </si>
  <si>
    <t>https://salesxceleration.com/wp-content/uploads/2022/01/Hand-Holding-Lighbulb.jpg</t>
  </si>
  <si>
    <t>https://salesxceleration.com/wp-content/uploads/2022/03/Successful-Business-Woman.jpg</t>
  </si>
  <si>
    <t>Tue, 29 Mar 2022 20:25:12 GMT</t>
  </si>
  <si>
    <t>https://salesxceleration.com/wp-content/uploads/2021/01/shutterstock_633351611-scaled-1.jpg</t>
  </si>
  <si>
    <t>Mon, 03 Jan 2022 14:46:29 GMT</t>
  </si>
  <si>
    <t>https://salesxceleration.com/wp-content/uploads/2016/02/Dollarphotoclub_80668580-Outsource-Sign-RS-72-2048x2048.jpg</t>
  </si>
  <si>
    <t>Fri, 28 Mar 2025 14:58:49 GMT</t>
  </si>
  <si>
    <t>https://salesxceleration.com/wp-content/themes/salesxceleratione/assets/css/style.css?ver=1769123597</t>
  </si>
  <si>
    <t>Thu, 22 Jan 2026 23:14:34 GMT</t>
  </si>
  <si>
    <t>https://salesxceleration.com/wp-content/uploads/2019/09/shutterstock_407349148_sm-2048x2048.jpg</t>
  </si>
  <si>
    <t>Fri, 28 Mar 2025 14:44:39 GMT</t>
  </si>
  <si>
    <t>https://salesxceleration.com/from-zero-to-heroes-sales-xceleration-quickly-reaches-100th-advisor-milestone/</t>
  </si>
  <si>
    <t>From Zero to Heroes: Sales Xceleration Quickly Reaches 100th Advisor Milestone</t>
  </si>
  <si>
    <t>One hundred Advisors and growing! What a ride it has been and continues to be. What a blessing it is to continue to grow our influential network.</t>
  </si>
  <si>
    <t>7400a9745ec92928356e909c8c1fcc98</t>
  </si>
  <si>
    <t>https://salesxceleration.com/wp-content/uploads/2022/09/Remote-Work-Life-Balance.jpg</t>
  </si>
  <si>
    <t>https://salesxceleration.com/wp-content/uploads/2022/07/Entrepreneurial-Freedom.jpg</t>
  </si>
  <si>
    <t>Tue, 12 Jul 2022 14:44:45 GMT</t>
  </si>
  <si>
    <t>https://salesxceleration.com/wp-content/uploads/2016/12/revenue-1704073__180-2048x2048.png</t>
  </si>
  <si>
    <t>Fri, 28 Mar 2025 16:12:43 GMT</t>
  </si>
  <si>
    <t>https://salesxceleration.com/wp-content/uploads/2016/04/Baby-Boomer-Entrepreneur-2048x2048.jpg</t>
  </si>
  <si>
    <t>Fri, 28 Mar 2025 18:10:47 GMT</t>
  </si>
  <si>
    <t>https://salesxceleration.com/the-benefits-of-outsourcing-your-sales-executive-function/</t>
  </si>
  <si>
    <t>The Benefits of Outsourcing Your Sales Executive Function</t>
  </si>
  <si>
    <t>Benefits of Outsourcing Your Sales Executive Function</t>
  </si>
  <si>
    <t>Benefits of outsourcing processes and responsibilities, including sales leadership, can position your company for rapid and sustainable growth.</t>
  </si>
  <si>
    <t>bdaecd51549a2c05b6923a9840ab74eb</t>
  </si>
  <si>
    <t>https://salesxceleration.com/wp-content/uploads/2022/06/Balance.jpg</t>
  </si>
  <si>
    <t>Fri, 03 Jun 2022 19:59:41 GMT</t>
  </si>
  <si>
    <t>https://salesxceleration.com/wp-content/uploads/2016/07/New-Chapter-RS-72-560-x-225-2048x2048.jpg</t>
  </si>
  <si>
    <t>Fri, 28 Mar 2025 18:10:40 GMT</t>
  </si>
  <si>
    <t>https://salesxceleration.com/wp-content/uploads/2022/10/shutterstock_641424211.jpg</t>
  </si>
  <si>
    <t>Thu, 27 Oct 2022 17:16:46 GMT</t>
  </si>
  <si>
    <t>https://salesxceleration.com/sales-leadership-training-risks-rewards-and-significant-roi-impact/</t>
  </si>
  <si>
    <t>Sales Leadership Training: Risks, Rewards and Significant ROI Impact</t>
  </si>
  <si>
    <t>Risks of NOT Providing Proper Sales Management Training</t>
  </si>
  <si>
    <t>Sales Leadership Training: Risks, Rewards and Significant ROI Impact | Sales Xceleration Blog</t>
  </si>
  <si>
    <t>Effective sales leadership and sales management are crucial to sales team performance and bottom-line results.</t>
  </si>
  <si>
    <t>c49e4318d2928eb38457d1f5cd5092dd</t>
  </si>
  <si>
    <t>https://salesxceleration.com/wp-content/themes/salesxceleratione/assets/css/style.css?ver=1769123598</t>
  </si>
  <si>
    <t>Thu, 22 Jan 2026 23:13:19 GMT</t>
  </si>
  <si>
    <t>https://salesxceleration.com/life-changes-propel-sales-outsourcing/</t>
  </si>
  <si>
    <t>Life Changes Can Propel You to Where You Were Meant to Be</t>
  </si>
  <si>
    <t>Life Changes Propel You Where You Were Meant to Be | Sales Xceleration</t>
  </si>
  <si>
    <t>Life changes. But you can change your trajectory, find your joy, take control, and make a difference like we do at Sales Xceleration.</t>
  </si>
  <si>
    <t>ed6606cfa2c771d0ea3ad7467802895e</t>
  </si>
  <si>
    <t>https://salesxceleration.com/wp-content/uploads/2022/11/Outsourced-sales-leader-meeting-with-CEO.jpg</t>
  </si>
  <si>
    <t>Thu, 03 Nov 2022 20:35:17 GMT</t>
  </si>
  <si>
    <t>https://salesxceleration.com/wp-content/themes/salesxceleratione/assets/css/style.css?ver=1769123599</t>
  </si>
  <si>
    <t>https://salesxceleration.com/wp-content/uploads/2022/10/shutterstock_2025930416.jpg</t>
  </si>
  <si>
    <t>Thu, 27 Oct 2022 17:32:27 GMT</t>
  </si>
  <si>
    <t>https://salesxceleration.com/wp-content/uploads/2022/06/Door-to-Future.jpg</t>
  </si>
  <si>
    <t>Fri, 03 Jun 2022 19:57:51 GMT</t>
  </si>
  <si>
    <t>https://salesxceleration.com/wp-content/uploads/2022/10/4-Cornerstones-to-Include-in-Your-Sales-Organization-Blueprint.png</t>
  </si>
  <si>
    <t>Fri, 07 Oct 2022 18:50:32 GMT</t>
  </si>
  <si>
    <t>https://salesxceleration.com/wp-content/uploads/2022/10/Sales-Department-Organizational-Structure-Meeting.jpg</t>
  </si>
  <si>
    <t>Fri, 07 Oct 2022 18:49:28 GMT</t>
  </si>
  <si>
    <t>https://salesxceleration.com/now-prime-time-baby-boomer-entrepreneurs/</t>
  </si>
  <si>
    <t>Why Now is Prime Time for Baby Boomer Entrepreneurs</t>
  </si>
  <si>
    <t>There is a "sweet spot" where experience, expertise and wisdom are just what the marketplace needs. Call it prime time for baby boomer entrepreneurs.</t>
  </si>
  <si>
    <t>9d5a351b31f361f17dd6319d7d139b58</t>
  </si>
  <si>
    <t>https://salesxceleration.com/wp-content/uploads/elementor/css/post-26232.css?ver=1768848144</t>
  </si>
  <si>
    <t>Mon, 19 Jan 2026 18:42:24 GMT</t>
  </si>
  <si>
    <t>https://salesxceleration.com/3-5-ways-jump-start-revenue-growth-sales/</t>
  </si>
  <si>
    <t>3.5 Ways to Jump-Start Revenue Growth and Sales</t>
  </si>
  <si>
    <t>3.5 Ways to Jump-Start Revenue Growth and Sales in 2017 | SalesX Blog</t>
  </si>
  <si>
    <t>“Accelerating revenue growth” is by far the topic I get the most questions about. It seems everyone is seeking the silver bullet to jump-start their sales.</t>
  </si>
  <si>
    <t>26d10b2e4575ab0677422a9126648ae6</t>
  </si>
  <si>
    <t>https://salesxceleration.com/wp-content/uploads/2022/09/How-Can-Businesses-Prepare-for-Inflation.jpg</t>
  </si>
  <si>
    <t>https://salesxceleration.com/wp-content/uploads/2022/09/graphic-inflation-1024x388.jpg</t>
  </si>
  <si>
    <t>Thu, 15 Sep 2022 10:54:48 GMT</t>
  </si>
  <si>
    <t>https://salesxceleration.com/wp-content/themes/salesxceleratione/assets/css/style.css?ver=1769123600</t>
  </si>
  <si>
    <t>Thu, 22 Jan 2026 23:14:36 GMT</t>
  </si>
  <si>
    <t>https://salesxceleration.com/infographics/how-does-inflation-impact-your-business/</t>
  </si>
  <si>
    <t>https://salesxceleration.com/?download=27871</t>
  </si>
  <si>
    <t>https://salesxceleration.com/wp-content/uploads/2016/05/Goals-scaled-1-2048x2048.jpg</t>
  </si>
  <si>
    <t>Fri, 28 Mar 2025 16:01:05 GMT</t>
  </si>
  <si>
    <t>https://salesxceleration.com/wp-content/uploads/2020/05/https___specials-images.forbesimg.com_dam_imageserve_1166085433_960x0.jpg</t>
  </si>
  <si>
    <t>Mon, 03 Jan 2022 14:51:51 GMT</t>
  </si>
  <si>
    <t>https://salesxceleration.com/wp-content/uploads/2016/02/Identifying-problem--2048x2048.jpg</t>
  </si>
  <si>
    <t>Fri, 28 Mar 2025 15:51:14 GMT</t>
  </si>
  <si>
    <t>https://salesxceleration.com/wp-content/themes/salesxceleratione/assets/css/style.css?ver=1769123601</t>
  </si>
  <si>
    <t>Thu, 22 Jan 2026 23:14:37 GMT</t>
  </si>
  <si>
    <t>https://salesxceleration.com/sales-planning-setting-goals-achieve-results/</t>
  </si>
  <si>
    <t>Sales Planning: Setting Goals That Achieve Results</t>
  </si>
  <si>
    <t>Sales Planning: Setting Goals That Achieve Results | Sales Xceleration Blog</t>
  </si>
  <si>
    <t>When S.M.A.R.T. goals are producing mediocre results turn to stretch goals instead. Stretch goals will help your sales planning and exceed expectations.</t>
  </si>
  <si>
    <t>7ae7963e922b2af30585eeb730506b54</t>
  </si>
  <si>
    <t>https://salesxceleration.com/wp-content/uploads/2015/04/revealed-sales-x-2048x2048.png</t>
  </si>
  <si>
    <t>Fri, 28 Mar 2025 18:28:34 GMT</t>
  </si>
  <si>
    <t>https://salesxceleration.com/strategy-structure-people/</t>
  </si>
  <si>
    <t>Try “Strategy, Structure, People” Next Time</t>
  </si>
  <si>
    <t>A better approach to correcting your sales problem</t>
  </si>
  <si>
    <t>Are your sales people really to blame?</t>
  </si>
  <si>
    <t>Try the "Strategy, Structure, People Approach to Problem Solving | SalesX</t>
  </si>
  <si>
    <t>When attempting to identify the source of the business problem, start by evaluating the strategy, structure and then the people.</t>
  </si>
  <si>
    <t>13dbfc92d83eaf6c2d278d9c96c82872</t>
  </si>
  <si>
    <t>https://salesxceleration.com/wp-content/uploads/2015/03/End-of-year-sales-xceleration.png</t>
  </si>
  <si>
    <t>Mon, 03 Jan 2022 15:20:43 GMT</t>
  </si>
  <si>
    <t>https://salesxceleration.com/wp-content/uploads/2015/03/SIlence-Sales-xceleration.png</t>
  </si>
  <si>
    <t>Mon, 03 Jan 2022 15:20:51 GMT</t>
  </si>
  <si>
    <t>https://salesxceleration.com/wp-content/themes/salesxceleratione/assets/css/style.css?ver=1769123602</t>
  </si>
  <si>
    <t>https://salesxceleration.com/wp-content/uploads/2015/03/Silence-for-Selling.jpg</t>
  </si>
  <si>
    <t>Mon, 03 Jan 2022 15:20:53 GMT</t>
  </si>
  <si>
    <t>https://salesxceleration.com/revealed-the-surprising-identity-of-your-fiercest-competitor/</t>
  </si>
  <si>
    <t>Revealed: The Surprising Identity of Your Fiercest Competitor</t>
  </si>
  <si>
    <t>Revealed: The Surprising Identity of Your Fiercest Competitor | Sales Xceleration Blog</t>
  </si>
  <si>
    <t>you might be surprised to learn that your biggest competitor isn’t the larger business down the street. So who is the biggest threat to your company?</t>
  </si>
  <si>
    <t>fe1a4454c5f35ee21afdc13c969a11d6</t>
  </si>
  <si>
    <t>https://salesxceleration.com/wp-content/uploads/2015/03/Silence-for-Selling-300x199.jpg</t>
  </si>
  <si>
    <t>Fri, 12 Nov 2021 15:56:36 GMT</t>
  </si>
  <si>
    <t>https://salesxceleration.com/wp-content/uploads/2015/01/CRM-Resized-for-Web.jpg</t>
  </si>
  <si>
    <t>Mon, 03 Jan 2022 15:27:44 GMT</t>
  </si>
  <si>
    <t>https://salesxceleration.com/wp-content/uploads/2021/07/CRM-scaled-1-2048x2048.jpg</t>
  </si>
  <si>
    <t>Fri, 28 Mar 2025 15:04:08 GMT</t>
  </si>
  <si>
    <t>https://salesxceleration.com/wp-content/themes/salesxceleratione/assets/css/style.css?ver=1769123603</t>
  </si>
  <si>
    <t>Thu, 22 Jan 2026 23:13:24 GMT</t>
  </si>
  <si>
    <t>https://salesxceleration.com/do-you-know-the-4-parts-of-a-successful-sales-compensation-plan/</t>
  </si>
  <si>
    <t>Do You Know the 4 Parts of a Successful Sales Compensation Plan?</t>
  </si>
  <si>
    <t>Do You Know the 4 Parts of a Successful Sales Compensation Plan? | Sales Xceleration Blog</t>
  </si>
  <si>
    <t>Now that you know the overall and specific goals for your sales team, how can your sales compensation plan help to make them achievable?</t>
  </si>
  <si>
    <t>168c91a184a2a04e55477f9c015e1aa2</t>
  </si>
  <si>
    <t>https://salesxceleration.com/wp-content/uploads/2016/11/road-bikes-1562929__340-2048x2048.jpg</t>
  </si>
  <si>
    <t>Fri, 28 Mar 2025 14:58:31 GMT</t>
  </si>
  <si>
    <t>https://salesxceleration.com/wp-content/uploads/2017/01/pie-34974_640-e1485811136122-1-2048x2048.png</t>
  </si>
  <si>
    <t>Fri, 28 Mar 2025 14:41:46 GMT</t>
  </si>
  <si>
    <t>https://salesxceleration.com/wp-content/uploads/2015/03/Prescribe.png</t>
  </si>
  <si>
    <t>Mon, 03 Jan 2022 15:21:51 GMT</t>
  </si>
  <si>
    <t>https://salesxceleration.com/wp-content/uploads/2015/04/Jenga-RS-72-dpi-560-w.jpg</t>
  </si>
  <si>
    <t>Fri, 12 Nov 2021 15:56:50 GMT</t>
  </si>
  <si>
    <t>https://salesxceleration.com/hiring-fractional-sales-leader/</t>
  </si>
  <si>
    <t>Hiring a Fractional Sales Leader – A Staffing Solution That Works</t>
  </si>
  <si>
    <t>Hiring a Fractional Sales Leader – A Staffing Solution That Works | Sales Xceleration Blog</t>
  </si>
  <si>
    <t>Sometimes business leaders are at a loss as to why sales are stagnate or declining. Solution? An outsourced, part-time, or fractional sales leader.</t>
  </si>
  <si>
    <t>6fd866de01b7bda9448a932e1daba13b</t>
  </si>
  <si>
    <t>https://salesxceleration.com/wp-content/uploads/2019/05/fac7f86c-764e-11e9-86e2-f2d3a332a382-1.jpg</t>
  </si>
  <si>
    <t>Fri, 12 Nov 2021 16:03:05 GMT</t>
  </si>
  <si>
    <t>https://salesxceleration.com/sales-growth-hiring-motivation-summertime/</t>
  </si>
  <si>
    <t>Sales Hiring and Motivation in the Summertime</t>
  </si>
  <si>
    <t>Sales Hiring and Motivation in the Summertime | Sales Xceleration Blog</t>
  </si>
  <si>
    <t>Sales Hiring and motivating sales help is one of the most difficult and critical growth decisions a business makes. So how can you improve your odds?</t>
  </si>
  <si>
    <t>e71ad7b5f23b43472a76b2d9a9e9358f</t>
  </si>
  <si>
    <t>https://salesxceleration.com/keeping-pace-todays-selling-environment-can-your-company-compete/</t>
  </si>
  <si>
    <t>Keeping Pace in Today’s Selling Environment: Can Your Company Compete?</t>
  </si>
  <si>
    <t>Keeping Pace in Today's Selling Environment: Can Your Company Compete? | Sales Xceleration Blog</t>
  </si>
  <si>
    <t>If your company sales are stalled or declining, be sure you do the right things to develop a winning sales team to compete in today's selling environment.</t>
  </si>
  <si>
    <t>21c2930edc3e5a77c08d442a112eedb9</t>
  </si>
  <si>
    <t>https://salesxceleration.com/wp-content/themes/salesxceleratione/assets/css/style.css?ver=1769123604</t>
  </si>
  <si>
    <t>Thu, 22 Jan 2026 23:14:40 GMT</t>
  </si>
  <si>
    <t>https://salesxceleration.com/increasing-sales-walking-away/</t>
  </si>
  <si>
    <t>Increasing Sales by Walking Away More Often</t>
  </si>
  <si>
    <t>Increasing Sales by Walking Away More Often | Sales Xceleration</t>
  </si>
  <si>
    <t>Increasing sales starts with knowing that not all prospects are equal and that walking away from stalled deals creates new opportunities.</t>
  </si>
  <si>
    <t>a5b42b634bdfbcbd98fe4507a3b49e79</t>
  </si>
  <si>
    <t>https://salesxceleration.com/wp-content/uploads/2016/06/Sales-Agility-Assessment-blog-cta-button.png</t>
  </si>
  <si>
    <t>Mon, 03 Jan 2022 15:18:24 GMT</t>
  </si>
  <si>
    <t>https://salesxceleration.com/wp-content/uploads/2015/03/sales-action-plans-1.jpg</t>
  </si>
  <si>
    <t>Fri, 12 Nov 2021 15:56:25 GMT</t>
  </si>
  <si>
    <t>https://salesxceleration.com/sales-agility-assessment/?utm_source=sales_action_blog&amp;utm_medium=cta&amp;utm_campaign=sales_action_to_assessment</t>
  </si>
  <si>
    <t>c0bcbe6047251dd1dcb6cf2eb282b2db</t>
  </si>
  <si>
    <t>https://salesxceleration.com/3-5-ways-jump-start-revenue-growth-sales-2017/</t>
  </si>
  <si>
    <t>https://salesxceleration.com/wp-content/uploads/2015/05/Feet-on-Scales-RS-225-High.jpg</t>
  </si>
  <si>
    <t>Fri, 12 Nov 2021 15:56:52 GMT</t>
  </si>
  <si>
    <t>https://salesxceleration.com/wp-content/uploads/2015/04/ideal-salesperson-recruit-2048x2048.png</t>
  </si>
  <si>
    <t>Fri, 28 Mar 2025 15:55:13 GMT</t>
  </si>
  <si>
    <t>https://salesxceleration.com/wp-content/themes/salesxceleratione/assets/css/style.css?ver=1769123605</t>
  </si>
  <si>
    <t>Thu, 22 Jan 2026 23:14:42 GMT</t>
  </si>
  <si>
    <t>https://salesxceleration.com/wp-content/uploads/2015/03/hire-salespeople-keep-them-sales-xcleration.png</t>
  </si>
  <si>
    <t>Mon, 03 Jan 2022 15:20:40 GMT</t>
  </si>
  <si>
    <t>https://salesxceleration.com/meet-exceed-sales-goals/</t>
  </si>
  <si>
    <t>You Need to Address the 4 Ps to Meet and Exceed Sales Goals</t>
  </si>
  <si>
    <t>You Need to Address the 4 Ps to Meet and Exceed Sales Goals | Sales Xceleration Blog</t>
  </si>
  <si>
    <t>When you are not meeting your sales goals and expectations as a business owner, what do you do? Do these things sound familiar?</t>
  </si>
  <si>
    <t>b55e2a5541dea0396deff8aa3faad2e2</t>
  </si>
  <si>
    <t>https://salesxceleration.com/wp-content/uploads/2015/04/managers-selling.png</t>
  </si>
  <si>
    <t>Mon, 03 Jan 2022 15:21:05 GMT</t>
  </si>
  <si>
    <t>https://salesxceleration.com/want-to-boost-sales-do-less-selling/</t>
  </si>
  <si>
    <t>Want to Boost Sales? Do Less “Selling”</t>
  </si>
  <si>
    <t>Want to Boost Sales? Do Less "Selling" | Sales Xceleration Blog</t>
  </si>
  <si>
    <t>One of the common complaints owners of businesses often have about dealing with salespeople is that they are, well, "too salesy". By that they mean that</t>
  </si>
  <si>
    <t>c044f71e4f1f0d414cd358ef61d38f31</t>
  </si>
  <si>
    <t>https://salesxceleration.com/wp-content/uploads/2015/09/Put-a-bow-on-it-sales-xceleration-2048x2048.png</t>
  </si>
  <si>
    <t>Fri, 28 Mar 2025 16:01:43 GMT</t>
  </si>
  <si>
    <t>https://salesxceleration.com/simplest-way-get-essential-information-boost-sales/</t>
  </si>
  <si>
    <t>The Simplest Way to Get Essential Information and Boost Your Sales</t>
  </si>
  <si>
    <t>The Simplest Way to Get Essential Information and Boost Your Sales | Sales Xceleration Blog</t>
  </si>
  <si>
    <t>As a leader of your small- to medium-sized business, how much do you know about your customers? How much do you know about why they buy from your company?</t>
  </si>
  <si>
    <t>ea49fce4c3653f8049320d0373f771d2</t>
  </si>
  <si>
    <t>https://salesxceleration.com/wp-content/uploads/2015/03/Sales-superstars-sales-xceleration-2048x2048.png</t>
  </si>
  <si>
    <t>Fri, 28 Mar 2025 16:02:31 GMT</t>
  </si>
  <si>
    <t>https://salesxceleration.com/how-to-recruit-your-ideal-salesperson/</t>
  </si>
  <si>
    <t>How to Recruit Your Ideal Salesperson</t>
  </si>
  <si>
    <t>How to Recruit Your Ideal Salesperson | Sales Xceleration Blog</t>
  </si>
  <si>
    <t>Defining the ideal salesperson for the role is a crucial baseline you need to establish before you start your talent search.</t>
  </si>
  <si>
    <t>3a957fba8cd8407a860971b28727b26a</t>
  </si>
  <si>
    <t>https://salesxceleration.com/wp-content/uploads/2015/03/Juggling-w-15-x-15-px-colored-border-JPG-206x300-1-206x300.jpg</t>
  </si>
  <si>
    <t>https://salesxceleration.com/wp-content/uploads/2015/03/Juggling-w-15-x-15-px-colored-border-JPG-206x300-1.jpg</t>
  </si>
  <si>
    <t>Fri, 12 Nov 2021 15:56:41 GMT</t>
  </si>
  <si>
    <t>https://salesxceleration.com/what-if-you-just-cant-afford-a-sales-superstar/</t>
  </si>
  <si>
    <t>What if You Just Can’t Afford a Sales Superstar?</t>
  </si>
  <si>
    <t>What if You Just Can’t Afford a Sales Superstar? | Sales Xceleration Blog</t>
  </si>
  <si>
    <t>What if your company needs a sales superstar, but can’t really afford to hire this key player? Consider these factors and options</t>
  </si>
  <si>
    <t>ec75645b0cc368468dd3e34d6b7e227c</t>
  </si>
  <si>
    <t>https://salesxceleration.com/why-promoting-your-top-sales-performer-to-sales-manager-could-backfire/</t>
  </si>
  <si>
    <t>Why Promoting Your Top Sales Performer to Sales Manager Could Backfire</t>
  </si>
  <si>
    <t>Why Promoting Your Top Sales Performer to Sales Manager Could Backfire | Sales Xceleration Blog</t>
  </si>
  <si>
    <t>Before you make a move you could regret, consider the benefits and the risks of promoting your top sales performer to sales manager.</t>
  </si>
  <si>
    <t>97f59622ef4fbc944a49a4efbf86df1e</t>
  </si>
  <si>
    <t>https://salesxceleration.com/wp-content/uploads/2015/04/onboarding.png</t>
  </si>
  <si>
    <t>Mon, 03 Jan 2022 15:21:19 GMT</t>
  </si>
  <si>
    <t>https://salesxceleration.com/tie-a-bow-on-your-company/</t>
  </si>
  <si>
    <t>Tie A BOW on Your Company</t>
  </si>
  <si>
    <t>Tie A BOW on Your Company | Sales Xceleration Blog</t>
  </si>
  <si>
    <t>Take the time to increase profitability and diversify your client base to increase the chance of finding a buyer willing to pay the price you want.</t>
  </si>
  <si>
    <t>7ec1bec94746872445319295fe62040c</t>
  </si>
  <si>
    <t>https://salesxceleration.com/wp-content/uploads/2015/01/yah5.jpg</t>
  </si>
  <si>
    <t>Fri, 12 Nov 2021 15:56:17 GMT</t>
  </si>
  <si>
    <t>https://salesxceleration.com/wp-content/themes/salesxceleratione/assets/css/style.css?ver=1769123606</t>
  </si>
  <si>
    <t>Thu, 22 Jan 2026 23:14:44 GMT</t>
  </si>
  <si>
    <t>https://salesxceleration.com/wp-content/uploads/2015/03/Unstick-a-stalled-deal.png</t>
  </si>
  <si>
    <t>Mon, 03 Jan 2022 15:26:17 GMT</t>
  </si>
  <si>
    <t>https://salesxceleration.com/how-to-recruit-your-ideal-salesperson</t>
  </si>
  <si>
    <t>https://salesxceleration.com/wp-content/uploads/2014/11/one-two-punch.png</t>
  </si>
  <si>
    <t>Mon, 03 Jan 2022 15:27:58 GMT</t>
  </si>
  <si>
    <t>https://salesxceleration.com/wp-content/uploads/2015/12/Sales-Call-Featured-.jpeg</t>
  </si>
  <si>
    <t>Mon, 03 Jan 2022 15:19:18 GMT</t>
  </si>
  <si>
    <t>https://salesxceleration.com/author/klawsonsoshaughnessy/</t>
  </si>
  <si>
    <t>https://salesxceleration.com/what-makes-a-top-salesperson/</t>
  </si>
  <si>
    <t>What Makes a Top Salesperson?</t>
  </si>
  <si>
    <t>What Makes a Top Salesperson? | Sales Xceleration Blog</t>
  </si>
  <si>
    <t>I am often asked by business owners and leaders who are anxious to recruit the best salespeople, “What is it that makes a salesperson a top performer? What</t>
  </si>
  <si>
    <t>d7a732792a4f5af8681e723fae09f923</t>
  </si>
  <si>
    <t>https://salesxceleration.com/wp-content/themes/salesxceleratione/assets/css/style.css?ver=1769123607</t>
  </si>
  <si>
    <t>Thu, 22 Jan 2026 23:14:45 GMT</t>
  </si>
  <si>
    <t>https://salesxceleration.com/wp-content/uploads/2015/12/even-More-confessions-misunderstood-salesman-1-2048x2048.jpg</t>
  </si>
  <si>
    <t>Fri, 28 Mar 2025 15:23:34 GMT</t>
  </si>
  <si>
    <t>https://salesxceleration.com/wp-content/uploads/2015/12/Sales-Networking.jpg</t>
  </si>
  <si>
    <t>Mon, 03 Jan 2022 15:19:19 GMT</t>
  </si>
  <si>
    <t>https://salesxceleration.com/wp-content/uploads/2020/06/Sales-Candidates-scaled-1.jpg</t>
  </si>
  <si>
    <t>Mon, 03 Jan 2022 14:50:49 GMT</t>
  </si>
  <si>
    <t>https://salesxceleration.com/wp-content/themes/salesxceleratione/assets/css/style.css?ver=1769123608</t>
  </si>
  <si>
    <t>https://salesxceleration.com/even-more-confessions-of-the-misunderstood-salesperson/</t>
  </si>
  <si>
    <t>Even More Confessions of the Misunderstood Salesperson</t>
  </si>
  <si>
    <t>Even More Confessions of the Misunderstood Salesperson | SalesX Blog</t>
  </si>
  <si>
    <t>Salespeople have an important role in a company and perform a tough job. Here are some insights into their fears, challenges, motivations and triumphs.</t>
  </si>
  <si>
    <t>3f4496f5b8d6d7b6a6dbd3336dac1959</t>
  </si>
  <si>
    <t>https://salesxceleration.com/author/kshaughnessy/</t>
  </si>
  <si>
    <t>Kevin Shaughnessy</t>
  </si>
  <si>
    <t>Kevin Shaughnessy, Author at Sales Xceleration</t>
  </si>
  <si>
    <t>fba83aeabaa13fc811e7b535f14adec0</t>
  </si>
  <si>
    <t>https://salesxceleration.com/breakaway-sales-recruiting/</t>
  </si>
  <si>
    <t>https://salesxceleration.com/wp-content/uploads/2020/05/hiring-skilled-sales-reps-image.jpg</t>
  </si>
  <si>
    <t>Mon, 03 Jan 2022 14:52:24 GMT</t>
  </si>
  <si>
    <t>https://salesxceleration.com/wp-content/uploads/elementor/css/post-26253.css?ver=1768864377</t>
  </si>
  <si>
    <t>Mon, 19 Jan 2026 23:12:57 GMT</t>
  </si>
  <si>
    <t>https://salesxceleration.com/wp-content/uploads/2022/09/Inflation-Gauge.jpg</t>
  </si>
  <si>
    <t>Fri, 16 Sep 2022 11:25:02 GMT</t>
  </si>
  <si>
    <t>https://salesxceleration.com/wp-content/uploads/2022/09/5-Key-Steps-to-Address-Inflation.jpg</t>
  </si>
  <si>
    <t>Fri, 16 Sep 2022 11:30:32 GMT</t>
  </si>
  <si>
    <t>https://salesxceleration.com/wp-content/uploads/2020/03/What_are_Sales_Metrics-1.jpg</t>
  </si>
  <si>
    <t>Mon, 03 Jan 2022 14:53:12 GMT</t>
  </si>
  <si>
    <t>https://salesxceleration.com/wp-content/themes/salesxceleratione/assets/css/style.css?ver=1769123609</t>
  </si>
  <si>
    <t>Thu, 22 Jan 2026 23:14:51 GMT</t>
  </si>
  <si>
    <t>https://salesxceleration.com/wp-content/uploads/2016/12/Walk-Away-to-Greener-Pastures-Cropped-RS-560-x-225-2048x2048.jpg</t>
  </si>
  <si>
    <t>Fri, 28 Mar 2025 16:12:18 GMT</t>
  </si>
  <si>
    <t>https://salesxceleration.com/wp-content/uploads/2017/02/NFL-Football-2-scaled-1-2048x2048.jpg</t>
  </si>
  <si>
    <t>Fri, 28 Mar 2025 16:12:12 GMT</t>
  </si>
  <si>
    <t>https://salesxceleration.com/wp-content/uploads/2019/02/should-you-increase-your-sales-price-2048x2048.jpg</t>
  </si>
  <si>
    <t>https://salesxceleration.com/wp-content/themes/salesxceleratione/assets/css/style.css?ver=1769123610</t>
  </si>
  <si>
    <t>https://salesxceleration.com/wp-content/uploads/2020/03/Tactics_for_Team_Dominance-1-scaled-1.jpg</t>
  </si>
  <si>
    <t>Mon, 03 Jan 2022 14:53:35 GMT</t>
  </si>
  <si>
    <t>https://salesxceleration.com/watching-super-bowl-can-teach-salespeople-sales/</t>
  </si>
  <si>
    <t>Watching the Super Bowl Can Teach Salespeople About Sales</t>
  </si>
  <si>
    <t>Watching the Super Bowl Can Teach Salespeople About Sales | Sales Xceleration Blog</t>
  </si>
  <si>
    <t>Each year on the first Sunday in February, lots of salespeople I know, and millions I don’t know, watch the Super Bowl.</t>
  </si>
  <si>
    <t>cdc5bd10525aef9438a251a56bc5a1e5</t>
  </si>
  <si>
    <t>https://salesxceleration.com/wp-content/themes/salesxceleratione/assets/css/style.css?ver=1769123611</t>
  </si>
  <si>
    <t>https://salesxceleration.com/wp-content/uploads/2017/07/Sales-Success-Buyer-Wants-2048x2048.jpg</t>
  </si>
  <si>
    <t>Fri, 28 Mar 2025 19:11:21 GMT</t>
  </si>
  <si>
    <t>https://salesxceleration.com/wp-content/uploads/2020/02/SX-Effective_Sales_Vision_Statement.jpg</t>
  </si>
  <si>
    <t>Mon, 03 Jan 2022 14:54:06 GMT</t>
  </si>
  <si>
    <t>https://salesxceleration.com/wp-content/uploads/2024/02/Achieving-Sales-Excellence_Target-Market-300x204.jpg</t>
  </si>
  <si>
    <t>Tue, 27 Feb 2024 22:00:02 GMT</t>
  </si>
  <si>
    <t>https://salesxceleration.com/wp-content/uploads/2024/01/Strategic-Roadmap-300x200.jpg</t>
  </si>
  <si>
    <t>Thu, 04 Jan 2024 21:51:49 GMT</t>
  </si>
  <si>
    <t>https://salesxceleration.com/wp-content/uploads/2023/03/Building-Strong-Business-Relationships-1-300x215.jpg</t>
  </si>
  <si>
    <t>Tue, 14 Mar 2023 18:44:07 GMT</t>
  </si>
  <si>
    <t>https://salesxceleration.com/sales-success-every-buyer-really-wants/</t>
  </si>
  <si>
    <t>Backstory for Sales Success: What Every Buyer Really Wants</t>
  </si>
  <si>
    <t>You can increase sales success by learning the buyer’s backstory and giving them what they want: to be listened to, heard, respected, and valued.</t>
  </si>
  <si>
    <t>2e4b3a834411c9c0165890bd56916f36</t>
  </si>
  <si>
    <t>cbcbcdd6642d324ab1efac34ad23e5e</t>
  </si>
  <si>
    <t>https://salesxceleration.com/wp-content/uploads/2024/03/Developing-a-Compelling-Value-Proposition-300x200.jpg</t>
  </si>
  <si>
    <t>Sun, 17 Mar 2024 17:20:34 GMT</t>
  </si>
  <si>
    <t>4815c7622c0d3c9350cb6a15f33465</t>
  </si>
  <si>
    <t>https://salesxceleration.com/wp-content/uploads/2024/05/Competitive-Positioning-300x200.jpg</t>
  </si>
  <si>
    <t>Wed, 08 May 2024 20:26:33 GMT</t>
  </si>
  <si>
    <t>https://salesxceleration.com/achieving-sales-excellence-choosing-effective-sales-channels-for-b2b-companies-under-100m/</t>
  </si>
  <si>
    <t>Achieving Sales Excellence: Choosing Effective Sales Channels for B2B Companies Under $100M</t>
  </si>
  <si>
    <t>Who, What, How, and Where</t>
  </si>
  <si>
    <t>The Significance of Sales Channels</t>
  </si>
  <si>
    <t>Achieving Sales Excellence: Choosing Effective Sales Channels for B2B Companies Under $100M | Sales Xceleration Blog</t>
  </si>
  <si>
    <t>Choosing effective sales channels connects your offerings to potential clients. Ensure you align with your target audience and internal strengths.</t>
  </si>
  <si>
    <t>392974db616d50de14137c78f204782</t>
  </si>
  <si>
    <t>https://salesxceleration.com/achieving-sales-excellence-a-strategic-roadmap-for-b2b-companies-with-revenues-below-100m/</t>
  </si>
  <si>
    <t>Achieving Sales Excellence: A Strategic Roadmap for B2B Companies with Revenues Below $100M</t>
  </si>
  <si>
    <t>Four Focal areas for this series:</t>
  </si>
  <si>
    <t>The remaining 12 areas for additional focus:</t>
  </si>
  <si>
    <t>Achieving Sales Excellence: A Strategic Roadmap for B2B Companies with Revenues Below $100M | Sales Xceleration Blog</t>
  </si>
  <si>
    <t>B2B companies with revenues below $100M possess challenges and opportunities in a dynamically evolving and highly competitive environment.</t>
  </si>
  <si>
    <t>dc91c48b1cefe69aaceee4267395b94e</t>
  </si>
  <si>
    <t>https://salesxceleration.com/achieving-sales-excellence-competitive-positioning/</t>
  </si>
  <si>
    <t>Achieving Sales Excellence: Competitive Positioning</t>
  </si>
  <si>
    <t>Understanding Competitive Positioning</t>
  </si>
  <si>
    <t>Crafting a Distinct Market Stance: A Methodical Approach</t>
  </si>
  <si>
    <t>Achieving Sales Excellence: Competitive Positioning | Sales Xceleration Blog</t>
  </si>
  <si>
    <t>In the B2B marketplace, one strategy component can make all the difference: competitive positioning. Carving out a distinct market stance is a necessity.</t>
  </si>
  <si>
    <t>71a0e2276bbffb6b8ae795c83cb95615</t>
  </si>
  <si>
    <t>https://salesxceleration.com/achieving-sales-excellence-defining-the-target-market-for-b2b-companies-under-100m/</t>
  </si>
  <si>
    <t>Achieving Sales Excellence: Defining the Target Market for B2B Companies Under $100M</t>
  </si>
  <si>
    <t>Building on a Firm Foundation</t>
  </si>
  <si>
    <t>The Importance of Target Market Definition</t>
  </si>
  <si>
    <t>Achieving Sales Excellence: Defining the Target Market for B2B Companies Under $100M | Sales Xceleration Blog</t>
  </si>
  <si>
    <t>For B2B companies, defining the target market sharpens focus, directs resources efficiently, and lays the foundation for sales and marketing strategies.</t>
  </si>
  <si>
    <t>5a0cba2cc79912686e60aa7644dccbe3</t>
  </si>
  <si>
    <t>https://salesxceleration.com/how-to-build-strong-business-relationships-a-guide-to-effective-sales/</t>
  </si>
  <si>
    <t>How to Build Strong Business Relationships: A Guide to Effective Sales</t>
  </si>
  <si>
    <t>Face-to-Face 1:1 Meetings</t>
  </si>
  <si>
    <t>Get Personal</t>
  </si>
  <si>
    <t>How to Build Strong Business Relationships: A Guide to Effective Sales | Sales Xceleration Blog</t>
  </si>
  <si>
    <t>Investing time in getting to know your customers, prospects, and colleagues is one of the most effective ways to build lasting relationships.</t>
  </si>
  <si>
    <t>c32444eba6cb9217be72e9be0fc2bf17</t>
  </si>
  <si>
    <t>https://salesxceleration.com/wp-content/uploads/2024/06/Choosing-Effective-Sales-Channels-300x224.jpg</t>
  </si>
  <si>
    <t>Fri, 14 Jun 2024 14:18:42 GMT</t>
  </si>
  <si>
    <t>https://salesxceleration.com/wp-content/themes/salesxceleratione/assets/css/style.css?ver=1769123612</t>
  </si>
  <si>
    <t>Thu, 22 Jan 2026 23:13:34 GMT</t>
  </si>
  <si>
    <t>https://salesxceleration.com/wp-content/uploads/2023/03/Prospecting-with-meaningful-conversations-300x218.jpg</t>
  </si>
  <si>
    <t>Tue, 28 Mar 2023 19:20:18 GMT</t>
  </si>
  <si>
    <t>https://salesxceleration.com/wp-content/themes/salesxceleratione/assets/css/style.css?ver=1769123613</t>
  </si>
  <si>
    <t>Thu, 22 Jan 2026 23:14:56 GMT</t>
  </si>
  <si>
    <t>https://salesxceleration.com/wp-content/uploads/2015/03/find-right-salesperson-sales-team.png</t>
  </si>
  <si>
    <t>Mon, 03 Jan 2022 15:21:31 GMT</t>
  </si>
  <si>
    <t>https://salesxceleration.com/how-to-define-your-ideal-salesperson-and-avoid-making-a-hiring-mistake</t>
  </si>
  <si>
    <t>https://salesxceleration.com/prospecting-more-than-a-numbers-game/</t>
  </si>
  <si>
    <t>Prospecting: More Than a Numbers Game</t>
  </si>
  <si>
    <t>Make the Right Connections</t>
  </si>
  <si>
    <t>Preparation is Key</t>
  </si>
  <si>
    <t>Prospecting: More Than a Numbers Game | Sales Xceleration Blog</t>
  </si>
  <si>
    <t>Successful salespeople are masters at networking and prospecting. It is crucial to practice, evaluate options, and prepare for every meeting</t>
  </si>
  <si>
    <t>fb8fff4d6d92dc8101d2ddb4e00b0f41</t>
  </si>
  <si>
    <t>https://salesxceleration.com/achieving-sales-excellence-developing-a-compelling-value-proposition/</t>
  </si>
  <si>
    <t>Achieving Sales Excellence: Developing a Compelling Value Proposition</t>
  </si>
  <si>
    <t>Why Us, Why Now?</t>
  </si>
  <si>
    <t>The Essence of a Value Proposition</t>
  </si>
  <si>
    <t>Achieving Sales Excellence: Developing a Compelling Value Proposition | Sales Xceleration Blog</t>
  </si>
  <si>
    <t>For B2B companies, articulating a clear and unique value proposition is not just a marketing exercise—it's a strategic imperative.</t>
  </si>
  <si>
    <t>1e1cb36114fca5a83f23fea6131753e7</t>
  </si>
  <si>
    <t>https://salesxceleration.com/wp-content/uploads/2023/03/CRM-300x218.jpg</t>
  </si>
  <si>
    <t>Wed, 29 Mar 2023 20:52:43 GMT</t>
  </si>
  <si>
    <t>https://salesxceleration.com/wp-content/uploads/2022/03/Case-Study_Professional-Services_JL_SX-1-thumb-768x406.jpg</t>
  </si>
  <si>
    <t>Wed, 09 Mar 2022 18:22:02 GMT</t>
  </si>
  <si>
    <t>https://salesxceleration.com/wp-content/uploads/2020/09/cs-hvac-full-1-768x439.jpg</t>
  </si>
  <si>
    <t>Fri, 28 Mar 2025 17:20:32 GMT</t>
  </si>
  <si>
    <t>efa63c994544a0e89ea4032d12add1d0</t>
  </si>
  <si>
    <t>https://salesxceleration.com/wp-content/uploads/2023/01/Business-Manager-300x200.jpg</t>
  </si>
  <si>
    <t>Wed, 18 Jan 2023 16:54:10 GMT</t>
  </si>
  <si>
    <t>https://salesxceleration.com/wp-content/uploads/2022/05/thumb-Case-Study_Construction_SX-1-768x406.jpg</t>
  </si>
  <si>
    <t>Fri, 28 Mar 2025 17:00:57 GMT</t>
  </si>
  <si>
    <t>https://salesxceleration.com/why-variable-compensation-is-the-key-to-a-successful-sales-team-and-how-to-do-it-right/</t>
  </si>
  <si>
    <t>Why Variable Compensation is the Key to a Successful Sales Team (and How to Do it Right)</t>
  </si>
  <si>
    <t>Why it Works</t>
  </si>
  <si>
    <t>How to Do it Right</t>
  </si>
  <si>
    <t>Why Variable Compensation is the Key to a Successful Sales Team (and How to Do it Right) | Sales Xceleration Blog</t>
  </si>
  <si>
    <t>While a strong base salary is important for attracting top talent, it's variable compensation that really motivates salespeople to perform at their best.</t>
  </si>
  <si>
    <t>f8cebc4a55c05693bf26a0237d9e638f</t>
  </si>
  <si>
    <t>https://salesxceleration.com/wp-content/uploads/2022/05/thumb-Case-Study_Construction-Paving_SX-1-768x406.jpg</t>
  </si>
  <si>
    <t>Fri, 28 Mar 2025 20:25:19 GMT</t>
  </si>
  <si>
    <t>https://salesxceleration.com/wp-content/uploads/2023/07/Meeting-with-sales-team-300x200.jpg</t>
  </si>
  <si>
    <t>Wed, 05 Jul 2023 16:55:26 GMT</t>
  </si>
  <si>
    <t>https://salesxceleration.com/wp-content/uploads/2019/12/streamline-manu-thumb-768x442.jpg</t>
  </si>
  <si>
    <t>Fri, 28 Mar 2025 20:16:37 GMT</t>
  </si>
  <si>
    <t>https://salesxceleration.com/wp-content/uploads/2023/05/Successful-Sales-Team-300x189.jpg</t>
  </si>
  <si>
    <t>Tue, 30 May 2023 21:18:31 GMT</t>
  </si>
  <si>
    <t>https://salesxceleration.com/why-bother-using-a-crm/</t>
  </si>
  <si>
    <t>Why Bother Using a CRM?</t>
  </si>
  <si>
    <t>Why Bother Using a CRM? | Sales Xceleration</t>
  </si>
  <si>
    <t>Understand the importance of a CRM for managing customer relationships, streamlining sales processes, and boosting team productivity for better results.</t>
  </si>
  <si>
    <t>640b02164d0007c7aba853e7bfb62773</t>
  </si>
  <si>
    <t>https://salesxceleration.com/wp-content/uploads/2022/05/thumb-Case-Study_Food-Industry_SX-1-768x406.jpg</t>
  </si>
  <si>
    <t>Fri, 28 Mar 2025 17:47:05 GMT</t>
  </si>
  <si>
    <t>https://salesxceleration.com/wp-content/uploads/2019/03/Case_Study_Manufacturing-thumb-768x440.jpg</t>
  </si>
  <si>
    <t>Fri, 28 Mar 2025 15:07:17 GMT</t>
  </si>
  <si>
    <t>https://salesxceleration.com/7-things-to-measure-to-evaluate-sales-representative-performance/</t>
  </si>
  <si>
    <t>7 Things to Measure to Evaluate Sales Representative Performance</t>
  </si>
  <si>
    <t>Sales Revenue/Margin</t>
  </si>
  <si>
    <t>Number of Deals Closed</t>
  </si>
  <si>
    <t>7 Things to Measure to Evaluate Sales Representative Performance | Sales Xceleration Blog</t>
  </si>
  <si>
    <t>Tracking key metrics can show leaders a clear picture of which sales representatives are driving results and which may need additional support or training.</t>
  </si>
  <si>
    <t>8b0aa55ae5167332fb69dd05b65c7461</t>
  </si>
  <si>
    <t>https://salesxceleration.com/wp-content/uploads/2022/06/thumb-Case-Study_Security_SX-1-768x406.jpg</t>
  </si>
  <si>
    <t>Fri, 28 Mar 2025 17:20:11 GMT</t>
  </si>
  <si>
    <t>https://salesxceleration.com/wp-content/uploads/2019/01/shutterstock_727711573-resized-300x200.jpg</t>
  </si>
  <si>
    <t>Mon, 03 Jan 2022 15:04:23 GMT</t>
  </si>
  <si>
    <t>https://salesxceleration.com/wp-content/uploads/2020/09/cs-distrib-full-1-768x439.jpg</t>
  </si>
  <si>
    <t>Fri, 28 Mar 2025 17:47:14 GMT</t>
  </si>
  <si>
    <t>https://salesxceleration.com/7-things-sales-managers-do-wrong/</t>
  </si>
  <si>
    <t>7 Things Sales Managers Do WRONG</t>
  </si>
  <si>
    <t>Not Setting Clear Goals and Targets</t>
  </si>
  <si>
    <t>Not Providing Enough Training and Support</t>
  </si>
  <si>
    <t>7 Things Sales Managers Do WRONG | Sales Xceleration Blog</t>
  </si>
  <si>
    <t>Even the best sales managers can make mistakes, but you can be proactive, and make sure you are avoiding the most common pitfalls.</t>
  </si>
  <si>
    <t>c2ed87ea257c408e3a474e72a83ffdb8</t>
  </si>
  <si>
    <t>https://salesxceleration.com/wp-content/uploads/2023/03/Measuring-Sales-Rep-Success-300x300.jpg</t>
  </si>
  <si>
    <t>Tue, 07 May 2024 07:05:14 GMT</t>
  </si>
  <si>
    <t>https://salesxceleration.com/wp-content/uploads/2020/04/Businessman_virtually_evaluating_business_sales_processes-scaled-e1585932608979.jpg</t>
  </si>
  <si>
    <t>Mon, 03 Jan 2022 14:53:07 GMT</t>
  </si>
  <si>
    <t>https://salesxceleration.com/wp-content/uploads/2022/04/Cocca-Chris-1-100x100.jpg</t>
  </si>
  <si>
    <t>Tue, 07 May 2024 07:10:06 GMT</t>
  </si>
  <si>
    <t>https://salesxceleration.com/why-a-crm-is-essential-for-successful-sales-a-representatives-perspective/</t>
  </si>
  <si>
    <t>Why a CRM is Essential for Successful Sales: A Representative’s Perspective</t>
  </si>
  <si>
    <t>Why a CRM is Essential for Successful Sales: A Representative's Perspective | Sales Xceleration Blog</t>
  </si>
  <si>
    <t>A sales representative understands the importance of strong relationships with their clients. A CRM can help increase productivity and close more deals.</t>
  </si>
  <si>
    <t>26b610e4dff7be147f1dc229fd01422f</t>
  </si>
  <si>
    <t>https://salesxceleration.com/wp-content/uploads/2020/04/SX-Buinessmen_meeting_and_planning-scaled-1-2048x2048.jpg</t>
  </si>
  <si>
    <t>Fri, 28 Mar 2025 20:16:56 GMT</t>
  </si>
  <si>
    <t>https://salesxceleration.com/wp-content/themes/salesxceleratione/assets/css/style.css?ver=1769123614</t>
  </si>
  <si>
    <t>https://salesxceleration.com/wp-content/themes/salesxceleratione/assets/css/style.css?ver=1769123615</t>
  </si>
  <si>
    <t>Thu, 22 Jan 2026 23:15:00 GMT</t>
  </si>
  <si>
    <t>https://salesxceleration.com/maximizing-productivity-at-every-level-an-introduction-to-level-10-sales-meetings/</t>
  </si>
  <si>
    <t>Maximizing Productivity at Every Level: An Introduction to Level 10 Sales Meetings</t>
  </si>
  <si>
    <t>Best Practices for Running a Level 10 Sales Meeting</t>
  </si>
  <si>
    <t>Maximizing Productivity at Every Level: An Introduction to Level 10 Sales Meetings | Sales Xceleration Blog</t>
  </si>
  <si>
    <t>A L10 Meeting is a tool to keep your team focused. These structured meetings take place on the same day/time each week to ensure all team members are aligned and accountable.</t>
  </si>
  <si>
    <t>a8e88a958b141966bd2cc606b9c23b74</t>
  </si>
  <si>
    <t>https://salesxceleration.com/wp-content/uploads/2020/05/Frustrated-salesperson-scaled-1.jpg</t>
  </si>
  <si>
    <t>Mon, 03 Jan 2022 14:52:14 GMT</t>
  </si>
  <si>
    <t>https://salesxceleration.com/wp-content/uploads/2020/03/Strategies_for_Seasonality-scaled-1.jpg</t>
  </si>
  <si>
    <t>Mon, 03 Jan 2022 14:53:29 GMT</t>
  </si>
  <si>
    <t>https://salesxceleration.com/author/ccocca/</t>
  </si>
  <si>
    <t>Chris Cocca</t>
  </si>
  <si>
    <t>Chris Cocca, Author at Sales Xceleration</t>
  </si>
  <si>
    <t>9188b3d945ed3dca8c9cb169dcf31582</t>
  </si>
  <si>
    <t>https://salesxceleration.com/wp-content/uploads/2020/04/Sales-Candidate-Interview-sm.jpg</t>
  </si>
  <si>
    <t>https://salesxceleration.com/sales-leadership-training/)</t>
  </si>
  <si>
    <t>https://salesxceleration.com/sales-agility-assessment/?locationid=22577475</t>
  </si>
  <si>
    <t>a0f70b47d88484b83e9e9e4487ad9266</t>
  </si>
  <si>
    <t>https://salesxceleration.com/wp-content/uploads/2020/04/Businessman-leading-training-session-scaled-1.jpg</t>
  </si>
  <si>
    <t>Mon, 03 Jan 2022 14:52:36 GMT</t>
  </si>
  <si>
    <t>https://salesxceleration.com/why-most-sales-training-doesnt-work-and-how-to-make-sure-it-does/</t>
  </si>
  <si>
    <t>Why Most Sales Training Doesn’t Work (and How to Make Sure It Does)</t>
  </si>
  <si>
    <t>Why Most Sales Training Doesn’t Work</t>
  </si>
  <si>
    <t>Sales training matters to every organization. In fact, effective sales training is so crucial that the very existence of your business is at risk.</t>
  </si>
  <si>
    <t>7074169871e4baf7e78a6e4513baa1f</t>
  </si>
  <si>
    <t>https://salesxceleration.com/wp-content/uploads/2022/04/Boyle-Dennis-1.jpg</t>
  </si>
  <si>
    <t>Tue, 05 Apr 2022 14:47:46 GMT</t>
  </si>
  <si>
    <t>https://salesxceleration.com/wp-content/uploads/2020/03/Business_CEO_thinking_with_employees_in_the_background.jpg</t>
  </si>
  <si>
    <t>Mon, 03 Jan 2022 14:53:41 GMT</t>
  </si>
  <si>
    <t>https://salesxceleration.com/why-and-how-it-pays-to-become-a-certified-sales-leader/</t>
  </si>
  <si>
    <t>Why (and How) It Pays to Become a Certified Sales Leader</t>
  </si>
  <si>
    <t>Why (and How) It Pays to Become a Certified Sales Leader | Sales Xceleration Blog</t>
  </si>
  <si>
    <t>Sales leadership training equips sales professionals with the proper tools to transition from sales rep or manager into effective sales leader.</t>
  </si>
  <si>
    <t>bd8a743e2f8781d216b6ddf09220e3e8</t>
  </si>
  <si>
    <t>https://salesxceleration.com/thinking-of-hiring-a-family-member-for-your-sales-team-think-again/</t>
  </si>
  <si>
    <t>Thinking of Hiring a Family Member for Your Sales Team? Think Again.</t>
  </si>
  <si>
    <t>What could be the harm in hiring someone who is talented and qualified – but who also happens to be a family member – as your newest salesperson?</t>
  </si>
  <si>
    <t>8e09801ca178171b5be4d27890b2e8ed</t>
  </si>
  <si>
    <t>https://salesxceleration.com/wp-content/uploads/2020/06/Millenials-Getting-Together-with-Friends-scaled-1.jpg</t>
  </si>
  <si>
    <t>Mon, 03 Jan 2022 14:51:46 GMT</t>
  </si>
  <si>
    <t>https://salesxceleration.com/wp-content/uploads/2015/07/Brothers-RS-72-dpi-560-x-225-2048x2048.jpg</t>
  </si>
  <si>
    <t>Fri, 28 Mar 2025 14:42:14 GMT</t>
  </si>
  <si>
    <t>https://salesxceleration.com/wp-content/themes/salesxceleratione/assets/css/style.css?ver=1769123616</t>
  </si>
  <si>
    <t>Thu, 22 Jan 2026 23:15:04 GMT</t>
  </si>
  <si>
    <t>https://salesxceleration.com/wp-content/uploads/2020/04/SX-Buinessmen_meeting_and_planning-scaled-1.jpg</t>
  </si>
  <si>
    <t>Mon, 03 Jan 2022 14:52:48 GMT</t>
  </si>
  <si>
    <t>https://salesxceleration.com/author/dboyle/</t>
  </si>
  <si>
    <t>Dennis Boyle</t>
  </si>
  <si>
    <t>Dennis Boyle, Author at Sales Xceleration</t>
  </si>
  <si>
    <t>8c6c01f018617b1032a5fd5ae6d41ff7</t>
  </si>
  <si>
    <t>https://salesxceleration.com/sales-agility-assessment/?locationid=22577467</t>
  </si>
  <si>
    <t>c74925772fc11dd8c2447e2317d9f8f9</t>
  </si>
  <si>
    <t>https://salesxceleration.com/author/dsteyn/</t>
  </si>
  <si>
    <t>Daniel Steyn, Author at Sales Xceleration</t>
  </si>
  <si>
    <t>1b0747fbd3807dddf7d5640e8fa3419c</t>
  </si>
  <si>
    <t>https://salesxceleration.com/sales-agility-assessment/?locationid=22577503</t>
  </si>
  <si>
    <t>5383687190b3059f4dd15199a49bba3b</t>
  </si>
  <si>
    <t>https://salesxceleration.com/wp-content/uploads/2022/04/Steyn-Daniel-100x100.jpg</t>
  </si>
  <si>
    <t>Tue, 07 May 2024 07:10:56 GMT</t>
  </si>
  <si>
    <t>https://salesxceleration.com/wp-content/themes/salesxceleratione/assets/css/style.css?ver=1769123617</t>
  </si>
  <si>
    <t>Thu, 22 Jan 2026 23:15:07 GMT</t>
  </si>
  <si>
    <t>https://salesxceleration.com/wp-content/uploads/2022/01/Supply-Chain-Logistics.jpg</t>
  </si>
  <si>
    <t>Fri, 07 Jan 2022 19:59:48 GMT</t>
  </si>
  <si>
    <t>https://salesxceleration.com/wp-content/uploads/2021/05/Small-Business-Owner.jpg</t>
  </si>
  <si>
    <t>https://salesxceleration.com/wp-content/uploads/2021/12/Sales-Roadmap-1-scaled.jpg</t>
  </si>
  <si>
    <t>https://salesxceleration.com/wp-content/uploads/2021/11/Buyer-Journey_Sales-Process-scaled.jpeg</t>
  </si>
  <si>
    <t>Mon, 03 Jan 2022 14:07:09 GMT</t>
  </si>
  <si>
    <t>https://salesxceleration.com/wp-content/uploads/2022/01/shutterstock_1471857863.jpg</t>
  </si>
  <si>
    <t>https://salesxceleration.com/wp-content/themes/salesxceleratione/assets/css/style.css?ver=1769123618</t>
  </si>
  <si>
    <t>Thu, 22 Jan 2026 23:15:09 GMT</t>
  </si>
  <si>
    <t>https://salesxceleration.com/wp-content/uploads/2022/01/Sales-Compensation.jpg</t>
  </si>
  <si>
    <t>Tue, 11 Jan 2022 18:31:41 GMT</t>
  </si>
  <si>
    <t>https://salesxceleration.com/amplify-sales-recruiting/</t>
  </si>
  <si>
    <t>https://salesxceleration.com/amplify-recruiting</t>
  </si>
  <si>
    <t>https://salesxceleration.com/wp-content/themes/salesxceleratione/assets/css/style.css?ver=1769123619</t>
  </si>
  <si>
    <t>Thu, 22 Jan 2026 23:15:11 GMT</t>
  </si>
  <si>
    <t>https://salesxceleration.com/wp-content/uploads/2022/01/United-Sales-Team-2048x2048.jpg</t>
  </si>
  <si>
    <t>Fri, 28 Mar 2025 16:28:07 GMT</t>
  </si>
  <si>
    <t>https://salesxceleration.com/wp-content/uploads/2021/04/131501-viewpoints-rocketman-ORG.jpg</t>
  </si>
  <si>
    <t>Mon, 03 Jan 2022 14:38:08 GMT</t>
  </si>
  <si>
    <t>https://salesxceleration.com/wp-content/uploads/2020/11/forbes-expert-panel-2048x2048.jpg</t>
  </si>
  <si>
    <t>Sat, 29 Mar 2025 23:37:24 GMT</t>
  </si>
  <si>
    <t>https://salesxceleration.com/wp-content/uploads/2021/01/Sales-Process-Meeting-scaled-1-2048x2048.jpg</t>
  </si>
  <si>
    <t>Fri, 28 Mar 2025 14:58:03 GMT</t>
  </si>
  <si>
    <t>https://salesxceleration.com/wp-content/uploads/2022/01/United-Sales-Team.jpg</t>
  </si>
  <si>
    <t>Mon, 10 Jan 2022 21:57:50 GMT</t>
  </si>
  <si>
    <t>https://salesxceleration.com/results-thats-all-that-matters-right/</t>
  </si>
  <si>
    <t>Results! That’s all that matters, right?</t>
  </si>
  <si>
    <t>Results! That’s all that matters, right? | Sales Xceleration Blog</t>
  </si>
  <si>
    <t>We all know that results matter, but how we get there is often overlooked because we are so fixated on the outcome itself.</t>
  </si>
  <si>
    <t>28febc3f96ef9e2ed9c32c9e1a4f05d6</t>
  </si>
  <si>
    <t>https://salesxceleration.com/wp-content/themes/salesxceleratione/assets/css/style.css?ver=1769123620</t>
  </si>
  <si>
    <t>https://salesxceleration.com/wp-content/uploads/2021/12/social-media.jpg</t>
  </si>
  <si>
    <t>https://salesxceleration.com/wp-content/uploads/2021/11/backpack.jpeg</t>
  </si>
  <si>
    <t>Mon, 03 Jan 2022 14:07:22 GMT</t>
  </si>
  <si>
    <t>https://salesxceleration.com/wp-content/uploads/2021/04/Sales-Goal-Meeting.png</t>
  </si>
  <si>
    <t>Mon, 03 Jan 2022 14:38:22 GMT</t>
  </si>
  <si>
    <t>https://salesxceleration.com/wp-content/uploads/2020/03/Business_CEO_thinking_with_employees_in_the_background-2048x2048.jpg</t>
  </si>
  <si>
    <t>Fri, 28 Mar 2025 20:17:05 GMT</t>
  </si>
  <si>
    <t>https://salesxceleration.com/wp-content/uploads/2021/02/Sales-Pipeline-scaled-1-2048x2048.jpg</t>
  </si>
  <si>
    <t>https://salesxceleration.com/wp-content/uploads/2021/07/CRM-scaled-1.jpg</t>
  </si>
  <si>
    <t>Mon, 03 Jan 2022 14:35:41 GMT</t>
  </si>
  <si>
    <t>https://salesxceleration.com/wp-content/uploads/2022/04/Marchetti-Jerry-275x275-1-100x100.jpg</t>
  </si>
  <si>
    <t>Tue, 07 May 2024 07:11:50 GMT</t>
  </si>
  <si>
    <t>https://salesxceleration.com/wp-content/uploads/elementor/css/post-26066.css?ver=1768913376</t>
  </si>
  <si>
    <t>Tue, 20 Jan 2026 12:49:36 GMT</t>
  </si>
  <si>
    <t>https://salesxceleration.com/wp-content/themes/salesxceleratione/assets/css/style.css?ver=1769123621</t>
  </si>
  <si>
    <t>Thu, 22 Jan 2026 23:15:13 GMT</t>
  </si>
  <si>
    <t>https://salesxceleration.com/wp-content/uploads/2021/11/117985-viewpoints-crm.jpg-ORG.jpg</t>
  </si>
  <si>
    <t>Mon, 03 Jan 2022 14:07:14 GMT</t>
  </si>
  <si>
    <t>https://salesxceleration.com/wp-content/themes/salesxceleratione/assets/css/style.css?ver=1769123622</t>
  </si>
  <si>
    <t>https://salesxceleration.com/author/jmachetti/</t>
  </si>
  <si>
    <t>Jerry Marchetti</t>
  </si>
  <si>
    <t>Jerry Marchetti, Author at Sales Xceleration</t>
  </si>
  <si>
    <t>72719d5cf12ca91fc19602efaba30dc9</t>
  </si>
  <si>
    <t>https://salesxceleration.com/wp-content/uploads/2022/04/Screen-with-Kep-Performance-Indicators-300x300.jpg</t>
  </si>
  <si>
    <t>Fri, 28 Mar 2025 20:21:36 GMT</t>
  </si>
  <si>
    <t>https://salesxceleration.com/wp-content/uploads/2022/06/Leadership-Style-300x200.jpg</t>
  </si>
  <si>
    <t>Mon, 06 Jun 2022 11:27:53 GMT</t>
  </si>
  <si>
    <t>https://salesxceleration.com/sales-agility-assessment/?locationid=28605889</t>
  </si>
  <si>
    <t>386d5d88edc5eda52354229eade002a6</t>
  </si>
  <si>
    <t>https://salesxceleration.com/understanding-your-leadership-voice/</t>
  </si>
  <si>
    <t>Understanding Your Leadership Voice</t>
  </si>
  <si>
    <t>Understanding Your Leadership Voice | Sales Xceleration Blog</t>
  </si>
  <si>
    <t>A few weeks ago, I attended a Vistage seminar on Transformational Leadership led by Brett Pyle, author of Your Extraordinary Why. The focus was to recognize</t>
  </si>
  <si>
    <t>bcb13981fa469a295c4be761cc4926c0</t>
  </si>
  <si>
    <t>https://salesxceleration.com/first-quarter-is-in-the-books-the-most-important-time-to-assess-your-companys-performance/</t>
  </si>
  <si>
    <t>First Quarter is in the Books: The Most Important Time to Assess Your Company’s Performance</t>
  </si>
  <si>
    <t>First Quarter is in the Books: The Most Important Time to Assess Your Company’s Performance | Sales Xceleration Blog</t>
  </si>
  <si>
    <t>The end of the first quarter is an important time to take a look at your business and make any key sales adjustments that can impact the rest of the year.</t>
  </si>
  <si>
    <t>f0439bce67b57e65fa029590cd3cff1c</t>
  </si>
  <si>
    <t>https://salesxceleration.com/wp-content/uploads/2020/05/Sales-Compensation-Checklist-1.pdf</t>
  </si>
  <si>
    <t>Fri, 12 Nov 2021 16:04:58 GMT</t>
  </si>
  <si>
    <t>https://salesxceleration.com/wp-content/uploads/2020/07/Developing-a-Comp-Plan.jpg</t>
  </si>
  <si>
    <t>Mon, 03 Jan 2022 14:49:42 GMT</t>
  </si>
  <si>
    <t>https://salesxceleration.com/wp-content/themes/salesxceleratione/assets/css/style.css?ver=1769123623</t>
  </si>
  <si>
    <t>Thu, 22 Jan 2026 23:15:16 GMT</t>
  </si>
  <si>
    <t>https://salesxceleration.com/wp-content/uploads/2020/11/sales-forecasting.jpg</t>
  </si>
  <si>
    <t>Mon, 03 Jan 2022 14:47:43 GMT</t>
  </si>
  <si>
    <t>https://salesxceleration.com/wp-content/uploads/2021/04/Sales-Team-Evaluation.png</t>
  </si>
  <si>
    <t>Mon, 03 Jan 2022 14:39:30 GMT</t>
  </si>
  <si>
    <t>https://salesxceleration.com/wp-content/uploads/2021/02/Sales-Team-Meeting-scaled-1-2048x2048.jpg</t>
  </si>
  <si>
    <t>Sun, 30 Mar 2025 03:53:46 GMT</t>
  </si>
  <si>
    <t>https://salesxceleration.com/wp-content/uploads/2021/03/Sales-Strategy-Meeting-scaled-1.jpg</t>
  </si>
  <si>
    <t>Mon, 03 Jan 2022 14:43:36 GMT</t>
  </si>
  <si>
    <t>https://salesxceleration.com/wp-content/themes/salesxceleratione/assets/css/style.css?ver=1769123624</t>
  </si>
  <si>
    <t>Thu, 22 Jan 2026 23:15:18 GMT</t>
  </si>
  <si>
    <t>https://salesxceleration.com/wp-content/uploads/2021/03/Pouring-Sauce-scaled-1-2048x2048.jpg</t>
  </si>
  <si>
    <t>https://salesxceleration.com/wp-content/uploads/2021/02/Sales-Pipeline-scaled-1.jpg</t>
  </si>
  <si>
    <t>Mon, 03 Jan 2022 14:45:35 GMT</t>
  </si>
  <si>
    <t>https://salesxceleration.com/wp-content/uploads/2020/11/forbes-expert-panel.jpg</t>
  </si>
  <si>
    <t>Fri, 12 Nov 2021 16:05:36 GMT</t>
  </si>
  <si>
    <t>https://salesxceleration.com/wp-content/uploads/2021/04/131501-viewpoints-rocketman-ORG-2048x2048.jpg</t>
  </si>
  <si>
    <t>Fri, 28 Mar 2025 20:27:38 GMT</t>
  </si>
  <si>
    <t>https://salesxceleration.com/wp-content/uploads/2020/12/business-man.jpg</t>
  </si>
  <si>
    <t>Fri, 12 Nov 2021 16:05:40 GMT</t>
  </si>
  <si>
    <t>https://salesxceleration.com/wp-content/uploads/2021/03/Sales-Strategy-Meeting-scaled-1-2048x2048.jpg</t>
  </si>
  <si>
    <t>https://salesxceleration.com/wp-content/uploads/2021/03/Sales-Forecasting-Meeting.jpg</t>
  </si>
  <si>
    <t>Mon, 03 Jan 2022 14:43:41 GMT</t>
  </si>
  <si>
    <t>https://salesxceleration.com/wp-content/themes/salesxceleratione/assets/css/style.css?ver=1769123625</t>
  </si>
  <si>
    <t>Thu, 22 Jan 2026 23:13:46 GMT</t>
  </si>
  <si>
    <t>https://salesxceleration.com/wp-content/uploads/2021/01/Sales-Process-Meeting-scaled-1.jpg</t>
  </si>
  <si>
    <t>Mon, 03 Jan 2022 14:45:56 GMT</t>
  </si>
  <si>
    <t>https://salesxceleration.com/wp-content/uploads/2021/02/Sales-Team-Meeting-scaled-1.jpg</t>
  </si>
  <si>
    <t>Mon, 03 Jan 2022 14:44:08 GMT</t>
  </si>
  <si>
    <t>https://salesxceleration.com/wp-content/themes/salesxceleratione/assets/css/style.css?ver=1769123626</t>
  </si>
  <si>
    <t>https://salesxceleration.com/wp-content/uploads/2020/09/Online-Sales-Meeting-scaled-1.jpg</t>
  </si>
  <si>
    <t>Mon, 03 Jan 2022 14:48:56 GMT</t>
  </si>
  <si>
    <t>https://salesxceleration.com/wp-content/uploads/2021/03/Pouring-Sauce-scaled-1.jpg</t>
  </si>
  <si>
    <t>Mon, 03 Jan 2022 14:43:53 GMT</t>
  </si>
  <si>
    <t>https://salesxceleration.com/sales-agility-assessment?locationid=26295963</t>
  </si>
  <si>
    <t>https://salesxceleration.com/sales-agility-assessment/?locationid=26295963</t>
  </si>
  <si>
    <t>https://salesxceleration.com/wp-content/uploads/2019/02/i-need-revenue-growth-now.jpg</t>
  </si>
  <si>
    <t>Mon, 03 Jan 2022 15:03:44 GMT</t>
  </si>
  <si>
    <t>https://salesxceleration.com/wp-content/uploads/2018/02/wallet2.jpg</t>
  </si>
  <si>
    <t>Mon, 03 Jan 2022 15:11:03 GMT</t>
  </si>
  <si>
    <t>https://salesxceleration.com/wp-content/themes/salesxceleratione/assets/css/style.css?ver=1769123627</t>
  </si>
  <si>
    <t>Thu, 22 Jan 2026 23:15:22 GMT</t>
  </si>
  <si>
    <t>https://salesxceleration.com/wp-content/uploads/2018/04/cp.jpg</t>
  </si>
  <si>
    <t>Mon, 03 Jan 2022 15:09:47 GMT</t>
  </si>
  <si>
    <t>https://salesxceleration.com/author/mwills/</t>
  </si>
  <si>
    <t>Michael Wills</t>
  </si>
  <si>
    <t>Michael Wills, Author at Sales Xceleration</t>
  </si>
  <si>
    <t>https://salesxceleration.com/author/mwills/page/2/</t>
  </si>
  <si>
    <t>c849207d67785025789aaf72f3ff13ba</t>
  </si>
  <si>
    <t>https://salesxceleration.com/wp-content/uploads/2018/10/shutterstock_272489561.png</t>
  </si>
  <si>
    <t>Mon, 03 Jan 2022 15:07:07 GMT</t>
  </si>
  <si>
    <t>https://salesxceleration.com/wp-content/uploads/2019/11/itsallaboutrelationships.jpg</t>
  </si>
  <si>
    <t>https://salesxceleration.com/infographics/the-value-of-customer-relationships/</t>
  </si>
  <si>
    <t>https://salesxceleration.com/?download=27866</t>
  </si>
  <si>
    <t>https://salesxceleration.com/wp-content/themes/salesxceleratione/assets/css/style.css?ver=1769123628</t>
  </si>
  <si>
    <t>Thu, 22 Jan 2026 23:15:24 GMT</t>
  </si>
  <si>
    <t>https://salesxceleration.com/wp-content/uploads/2018/06/Small_Business_Challenges.jpg</t>
  </si>
  <si>
    <t>https://salesxceleration.com/wp-content/uploads/2017/05/SinkOrSwimBlog-1-2048x2048.jpg</t>
  </si>
  <si>
    <t>Fri, 28 Mar 2025 20:22:16 GMT</t>
  </si>
  <si>
    <t>https://salesxceleration.com/sink-swim-not-effective-onboarding-plan-new-sales-representatives/</t>
  </si>
  <si>
    <t>“Sink or Swim” is not an Effective Onboarding Plan for New Sales Representatives</t>
  </si>
  <si>
    <t>“Sink or Swim” is not an Effective Onboarding Plan for New Sales Representatives | Sales Xceleration Blog</t>
  </si>
  <si>
    <t>Retaining top sales talent requires more than hiring them and giving them a computer. You must provide a carefully thought out new rep onboarding plan.</t>
  </si>
  <si>
    <t>3ae07a5f2363a0da0af41adbbf5a30ea</t>
  </si>
  <si>
    <t>https://salesxceleration.com/wp-content/uploads/2018/01/Need-a-salesperson-650-x-325-72-dpi-2048x2048.jpg</t>
  </si>
  <si>
    <t>Fri, 28 Mar 2025 14:58:24 GMT</t>
  </si>
  <si>
    <t>https://salesxceleration.com/wp-content/uploads/2016/10/Hiring-a-Salesperson-Break-Down-Barriers-RS-72-560-x-225-2048x2048.jpg</t>
  </si>
  <si>
    <t>Fri, 28 Mar 2025 14:58:39 GMT</t>
  </si>
  <si>
    <t>https://salesxceleration.com/problems-we-solve/who-we-help/</t>
  </si>
  <si>
    <t>https://salesxceleration.com/wp-content/uploads/2017/03/Sales_Consulting_101.jpg</t>
  </si>
  <si>
    <t>Fri, 12 Nov 2021 16:00:03 GMT</t>
  </si>
  <si>
    <t>https://salesxceleration.com/wp-content/uploads/2019/02/should-you-discount-prices-chart.png</t>
  </si>
  <si>
    <t>Mon, 03 Jan 2022 15:03:50 GMT</t>
  </si>
  <si>
    <t>https://salesxceleration.com/wp-content/uploads/2019/02/should-you-discount-your-prices.jpg</t>
  </si>
  <si>
    <t>Mon, 03 Jan 2022 15:03:46 GMT</t>
  </si>
  <si>
    <t>https://salesxceleration.com/hiring-a-salesperson-inside-industry-can-destroy-sales/</t>
  </si>
  <si>
    <t>Why Hiring a Salesperson from Inside Your Industry Can Destroy Sales</t>
  </si>
  <si>
    <t>Hiring a Salesperson from Inside Your Industry Can Destroy Sales</t>
  </si>
  <si>
    <t>Hiring a salesperson? Get the best sales talent available, regardless of industry background. Limiting your search can destroy sales and your company.</t>
  </si>
  <si>
    <t>3af7d0387c7499f32b6311fe3bc5bc35</t>
  </si>
  <si>
    <t>https://salesxceleration.com/wp-content/uploads/2019/08/blog-image_shutterstock_1254620098.jpg</t>
  </si>
  <si>
    <t>Mon, 03 Jan 2022 14:58:59 GMT</t>
  </si>
  <si>
    <t>https://salesxceleration.com/wp-content/themes/salesxceleratione/assets/css/style.css?ver=1769123629</t>
  </si>
  <si>
    <t>Thu, 22 Jan 2026 23:15:27 GMT</t>
  </si>
  <si>
    <t>https://salesxceleration.com/wp-content/uploads/2019/02/should-you-increase-your-sales-price.jpg</t>
  </si>
  <si>
    <t>Mon, 03 Jan 2022 15:04:01 GMT</t>
  </si>
  <si>
    <t>https://salesxceleration.com/wp-content/uploads/2019/02/increasing-price-and-maintaining-profit-with-lost-sales-table.png</t>
  </si>
  <si>
    <t>Mon, 03 Jan 2022 15:04:06 GMT</t>
  </si>
  <si>
    <t>https://salesxceleration.com/internet-mean-dont-need-a-salesperson/</t>
  </si>
  <si>
    <t>Does the Internet Mean You Don’t Need a Salesperson?</t>
  </si>
  <si>
    <t>Does the Internet Mean You Don’t Need a Salesperson? | Sales Xceleration Blog</t>
  </si>
  <si>
    <t>Does the power of the internet mean you don't need a salesperson? Maybe you don’t. Then again, maybe you do. Here's how to decide:</t>
  </si>
  <si>
    <t>b2fba1ed163465d5d93daef0bfc04103</t>
  </si>
  <si>
    <t>https://salesxceleration.com/wp-content/uploads/2019/08/https___specials-images.forbesimg.com_dam_imageserve_1041618784_960x0.jpg</t>
  </si>
  <si>
    <t>Mon, 03 Jan 2022 14:58:57 GMT</t>
  </si>
  <si>
    <t>https://salesxceleration.com/wp-content/themes/salesxceleratione/assets/css/style.css?ver=1769123630</t>
  </si>
  <si>
    <t>https://salesxceleration.com/wp-content/uploads/2022/06/AI-in-Sales.jpg</t>
  </si>
  <si>
    <t>Fri, 10 Jun 2022 19:43:06 GMT</t>
  </si>
  <si>
    <t>https://salesxceleration.com/wp-content/uploads/2022/04/Startup-Business-2048x2048.jpg</t>
  </si>
  <si>
    <t>Fri, 28 Mar 2025 15:14:21 GMT</t>
  </si>
  <si>
    <t>https://salesxceleration.com/wp-content/uploads/2022/03/Competitive-Advantage-2048x2048.jpg</t>
  </si>
  <si>
    <t>Fri, 28 Mar 2025 15:14:49 GMT</t>
  </si>
  <si>
    <t>https://salesxceleration.com/wp-content/uploads/2022/04/Sales-Strategies-to-Close-the-Deal-2048x2048.jpg</t>
  </si>
  <si>
    <t>Fri, 28 Mar 2025 15:14:43 GMT</t>
  </si>
  <si>
    <t>https://salesxceleration.com/three-key-elements-to-ensure-success-and-growth-for-your-startup/</t>
  </si>
  <si>
    <t>Three Key Elements to Ensure Success and Growth for Your Startup</t>
  </si>
  <si>
    <t>#1 PRODUCT-MARKET FIT</t>
  </si>
  <si>
    <t>#2 IDEAL CUSTOMER PROFILE</t>
  </si>
  <si>
    <t>Three Key Elements to Ensure Success and Growth for Your Startup | Sales Xceleration Blog</t>
  </si>
  <si>
    <t>Getting customers is hard for startups, but growth comes by taking the time to perfect the product market fit, deal customer profile, and value proposition.</t>
  </si>
  <si>
    <t>3de5bf46d6e5d8c3dbaeca4e9f14e0ee</t>
  </si>
  <si>
    <t>https://salesxceleration.com/sales-growth-bottled-up-how-tech-company-leaders-can-break-free-and-find-renewed-success/</t>
  </si>
  <si>
    <t>Sales Growth Bottled Up? How Tech Company Leaders Can Break Free and Find Renewed Success</t>
  </si>
  <si>
    <t>Beyond the Bottle: Common Challenges and How to Fix Them</t>
  </si>
  <si>
    <t>Sales Methodology</t>
  </si>
  <si>
    <t>Sales Growth Bottled Up? How Tech Company Leaders Can Break Free and Find Renewed Success | Sales Xceleration Blog</t>
  </si>
  <si>
    <t>It is easy for companies to become stuck doing the same things over and over, hoping that what worked in the beginning will sustain growth and success.</t>
  </si>
  <si>
    <t>ceceb4b81f3a1fc95fc1596e3470a56a</t>
  </si>
  <si>
    <t>https://salesxceleration.com/wp-content/uploads/2022/04/Growth-Bottled-Up-2048x2048.jpg</t>
  </si>
  <si>
    <t>Fri, 28 Mar 2025 15:14:33 GMT</t>
  </si>
  <si>
    <t>https://salesxceleration.com/gaining-a-competitive-advantage-in-the-new-b2b-buyer-funnel/</t>
  </si>
  <si>
    <t>Gaining a Competitive Advantage in the New B2B Buyer Funnel</t>
  </si>
  <si>
    <t>Stages of the B2B Buyer’s Journey</t>
  </si>
  <si>
    <t>So, What’s Changed?</t>
  </si>
  <si>
    <t>Gaining a Competitive Advantage in the New B2B Buyer Funnel | Sales Xceleration Blog</t>
  </si>
  <si>
    <t>Sellers should provide real value as trusted advisors who can help buyers improve their businesses and their bottom lines.</t>
  </si>
  <si>
    <t>cac58a99339d7e42cd1592540f8ecb7f</t>
  </si>
  <si>
    <t>https://salesxceleration.com/wp-content/uploads/2022/01/assessment-300x300.jpg</t>
  </si>
  <si>
    <t>Fri, 28 Mar 2025 15:03:58 GMT</t>
  </si>
  <si>
    <t>https://salesxceleration.com/5-emerging-sales-strategies-and-how-to-use-them/</t>
  </si>
  <si>
    <t>Five Emerging Sales Strategies and How to Use Them</t>
  </si>
  <si>
    <t>Emerging Sales Strategies and How to Use Them to Close the Deal</t>
  </si>
  <si>
    <t>The Evolution of Sales: What Can We Learn From the ‘2022 State of Sales’ Report?</t>
  </si>
  <si>
    <t>Five Emerging Sales Strategies and How to Use Them | Sales Xceleration Blog</t>
  </si>
  <si>
    <t>The pandemic has quickened the pace of sales evolution. Here’s how innovative technologies and shifts in buyer behavior will shape the future.</t>
  </si>
  <si>
    <t>620c46341aba0059671b4fad0480e9a4</t>
  </si>
  <si>
    <t>https://salesxceleration.com/wp-content/themes/salesxceleratione/assets/css/style.css?ver=1769123631</t>
  </si>
  <si>
    <t>https://salesxceleration.com/exit-planning-for-modern-leaders-how-to-determine-your-companys-worth/</t>
  </si>
  <si>
    <t>Exit Planning for Modern Leaders: How to Determine Your Company’s Worth</t>
  </si>
  <si>
    <t>Exit Planning for Modern Leaders: How to Determine Your Company’s Worth | Sales Xceleration Blog</t>
  </si>
  <si>
    <t>Exit planning is business strategy. Selling your business should be a part of your business plan from the start.</t>
  </si>
  <si>
    <t>9021c98f26402e8f809ca44130d8ae48</t>
  </si>
  <si>
    <t>https://salesxceleration.com/sales-agility-excellence-the-sales-infrastructure-you-need-to-enable-success/</t>
  </si>
  <si>
    <t>Published Article: Sales Agility Excellence: The Sales Infrastructure You Need to Enable Success</t>
  </si>
  <si>
    <t>Published Article: Sales Agility Excellence: The Sales Infrastructure You Need to Enable Success | Sales Xceleration Blog</t>
  </si>
  <si>
    <t>A sales agility assessment allows companies to understand whether they have a solid sales foundation.</t>
  </si>
  <si>
    <t>8024cc93ee68de22c362859bf5bc00a1</t>
  </si>
  <si>
    <t>https://salesxceleration.com/wp-content/uploads/2022/03/Exit-Planning-300x200.jpg</t>
  </si>
  <si>
    <t>Thu, 17 Mar 2022 15:08:41 GMT</t>
  </si>
  <si>
    <t>https://salesxceleration.com/wp-content/uploads/2021/08/choppy-blue-sea-with-blue-sky-and-sun-300x300.jpg</t>
  </si>
  <si>
    <t>Fri, 28 Mar 2025 16:02:35 GMT</t>
  </si>
  <si>
    <t>https://salesxceleration.com/wp-content/uploads/2022/01/https___specials-images.forbesimg.com_imageserve_61e0352da916d2d434a29ba3_Choice-Concept-With-Doors-In-Maze_960x0-300x180.jpg</t>
  </si>
  <si>
    <t>Fri, 14 Jan 2022 17:08:07 GMT</t>
  </si>
  <si>
    <t>https://salesxceleration.com/wp-content/themes/salesxceleratione/assets/css/style.css?ver=1769123633</t>
  </si>
  <si>
    <t>Thu, 22 Jan 2026 23:15:31 GMT</t>
  </si>
  <si>
    <t>https://salesxceleration.com/wp-content/uploads/2013/10/Hiring-rightsales.jpg</t>
  </si>
  <si>
    <t>Mon, 03 Jan 2022 15:28:33 GMT</t>
  </si>
  <si>
    <t>https://salesxceleration.com/after-the-pandemic-comes-the-new-business-as-usual-model/</t>
  </si>
  <si>
    <t>Forbes – After the Pandemic Comes the New Business as Usual Model</t>
  </si>
  <si>
    <t>Forbes - After the Pandemic Comes the New Business as Usual Model | Sales Xceleration Blog</t>
  </si>
  <si>
    <t>Redefining sales strategies after the Pandemic are crucial to the success of your organization.</t>
  </si>
  <si>
    <t>10e5ae7166becccd13de0e0848dfd4cf</t>
  </si>
  <si>
    <t>https://salesxceleration.com/wp-content/uploads/2015/12/Ripples.jpg</t>
  </si>
  <si>
    <t>Mon, 03 Jan 2022 15:19:12 GMT</t>
  </si>
  <si>
    <t>https://salesxceleration.com/wp-content/uploads/2019/12/Business_Man_Looking_to_Future_Success-2048x2048.jpg</t>
  </si>
  <si>
    <t>Fri, 28 Mar 2025 16:54:53 GMT</t>
  </si>
  <si>
    <t>https://salesxceleration.com/how-to-sell-value-in-a-bottom-line-price-conscious-market/</t>
  </si>
  <si>
    <t>How To Sell Value In A Bottom-Line Price-Conscious Market</t>
  </si>
  <si>
    <t>How To Sell Value In A Bottom-Line Price-Conscious Market | Sales Xceleration Blog</t>
  </si>
  <si>
    <t>Engaging in value-based selling can be a game-changer, with substantial rewards for both the customer and the seller.</t>
  </si>
  <si>
    <t>21fc4c3c45477f088bb49d9bcb17a68a</t>
  </si>
  <si>
    <t>https://salesxceleration.com/wp-content/uploads/2021/03/Change-Your-Path-2.jpg</t>
  </si>
  <si>
    <t>Mon, 03 Jan 2022 14:42:59 GMT</t>
  </si>
  <si>
    <t>https://salesxceleration.com/wp-content/uploads/2016/05/business-man-many-arms.jpg</t>
  </si>
  <si>
    <t>Mon, 03 Jan 2022 15:15:20 GMT</t>
  </si>
  <si>
    <t>https://salesxceleration.com/wp-content/uploads/2016/03/Change-RS-72-560-x-225.jpg</t>
  </si>
  <si>
    <t>Mon, 03 Jan 2022 15:18:54 GMT</t>
  </si>
  <si>
    <t>https://salesxceleration.com/want-better-sales-results-start-with-a-better-sales-plan/</t>
  </si>
  <si>
    <t>Want Better Sales Results? Start with a Better Sales Plan.</t>
  </si>
  <si>
    <t>Want Better Sales Results? Start with a Better Sales Plan | Sales Xceleration</t>
  </si>
  <si>
    <t>Achieving better sales results doesn't have to be difficult; you just need a sales plan. Here is a general blueprint for crafting an effective sales plan:</t>
  </si>
  <si>
    <t>43a639f5c6d5f55abb2bac8730977cc9</t>
  </si>
  <si>
    <t>https://salesxceleration.com/wp-content/uploads/2014/11/SI-Header-3-scaled-1.jpg</t>
  </si>
  <si>
    <t>Mon, 03 Jan 2022 15:28:07 GMT</t>
  </si>
  <si>
    <t>https://salesxceleration.com/wp-content/themes/salesxceleratione/assets/css/style.css?ver=1769123634</t>
  </si>
  <si>
    <t>Thu, 22 Jan 2026 23:15:33 GMT</t>
  </si>
  <si>
    <t>https://salesxceleration.com/how-to-use-your-past-to-shape-a-more-purposeful-future/</t>
  </si>
  <si>
    <t>How to Use Your Past to Shape a More Purposeful Future</t>
  </si>
  <si>
    <t>How to Use Your Past to Shape a More Purposeful Future | Sales Xceleration Blog</t>
  </si>
  <si>
    <t>Use Your Sales Leadership Management Career to Help Small Businesses Grow Sales as an Outsourced Sales Consultant.</t>
  </si>
  <si>
    <t>47b0de552fbaf01b6e1b4fdfd39c6bd8</t>
  </si>
  <si>
    <t>https://salesxceleration.com/what-makes-a-great-sales-manager-these-12-skills-are-a-good-start/</t>
  </si>
  <si>
    <t>What Makes a Great Sales Manager? These 12 Skills are a Good Start.</t>
  </si>
  <si>
    <t>What Makes a Great Sales Manager? Here are 12 Skills.</t>
  </si>
  <si>
    <t>Being a great Sales Manager is tough. As shown in this list of 12 key capabilities, it takes someone who can lead, inspire, motivate, support and manage.</t>
  </si>
  <si>
    <t>b921e2ea3e74520372d8a4d867b30f5</t>
  </si>
  <si>
    <t>https://salesxceleration.com/wp-content/uploads/2014/12/shutterstock_148996061_rdax_225x150.jpg</t>
  </si>
  <si>
    <t>https://salesxceleration.com/wp-content/themes/salesxceleratione/assets/css/style.css?ver=1769123635</t>
  </si>
  <si>
    <t>Thu, 22 Jan 2026 23:13:55 GMT</t>
  </si>
  <si>
    <t>https://salesxceleration.com/wp-content/uploads/2015/01/images.jpg</t>
  </si>
  <si>
    <t>Mon, 03 Jan 2022 15:27:53 GMT</t>
  </si>
  <si>
    <t>https://salesxceleration.com/wp-content/uploads/2015/08/Youre-Fired-RS-72-dpi-560-x-281.jpg</t>
  </si>
  <si>
    <t>Mon, 03 Jan 2022 15:20:31 GMT</t>
  </si>
  <si>
    <t>https://salesxceleration.com/wp-content/uploads/2021/03/Gig-Economy.png</t>
  </si>
  <si>
    <t>Mon, 03 Jan 2022 14:41:59 GMT</t>
  </si>
  <si>
    <t>https://salesxceleration.com/wp-content/themes/salesxceleratione/assets/css/style.css?ver=1769123636</t>
  </si>
  <si>
    <t>Thu, 22 Jan 2026 23:15:34 GMT</t>
  </si>
  <si>
    <t>https://salesxceleration.com/wp-content/uploads/2021/03/Sales-Leader-Meeting-with-Sales-Team.png</t>
  </si>
  <si>
    <t>Mon, 03 Jan 2022 14:40:43 GMT</t>
  </si>
  <si>
    <t>https://salesxceleration.com/wp-content/uploads/2021/04/Sales-Leadership-Meeting-scaled-1.jpg</t>
  </si>
  <si>
    <t>Mon, 03 Jan 2022 14:39:03 GMT</t>
  </si>
  <si>
    <t>https://salesxceleration.com/wp-content/uploads/2021/05/Confident-Sales-Leader-in-Team-Meeting-scaled-1.jpg</t>
  </si>
  <si>
    <t>Mon, 03 Jan 2022 14:36:13 GMT</t>
  </si>
  <si>
    <t>https://salesxceleration.com/wp-content/uploads/2021/06/Business-Owner-in-Sales-Team-Meeting.jpg</t>
  </si>
  <si>
    <t>https://salesxceleration.com/wp-content/themes/salesxceleratione/assets/css/style.css?ver=1769123638</t>
  </si>
  <si>
    <t>https://salesxceleration.com/wp-content/uploads/2021/03/Sales-Process-Meeting-scaled-1.jpg</t>
  </si>
  <si>
    <t>Mon, 03 Jan 2022 14:43:23 GMT</t>
  </si>
  <si>
    <t>https://salesxceleration.com/wp-content/uploads/2020/03/Buinesswoman_leading_a_team-1-scaled-1-2048x2048.jpg</t>
  </si>
  <si>
    <t>Fri, 28 Mar 2025 14:58:15 GMT</t>
  </si>
  <si>
    <t>https://salesxceleration.com/wp-content/uploads/2021/07/Businessman-Walking-away-from-Work-scaled-1.jpg</t>
  </si>
  <si>
    <t>Mon, 03 Jan 2022 14:35:36 GMT</t>
  </si>
  <si>
    <t>https://salesxceleration.com/wp-content/uploads/2021/05/Buinessman-Traveling-for-Work.png</t>
  </si>
  <si>
    <t>Mon, 03 Jan 2022 14:36:36 GMT</t>
  </si>
  <si>
    <t>https://salesxceleration.com/wp-content/uploads/2021/07/Businessman-Holding-Flag-in-Sky-on-a-Mountain-scaled-1.jpg</t>
  </si>
  <si>
    <t>Mon, 03 Jan 2022 14:35:31 GMT</t>
  </si>
  <si>
    <t>https://salesxceleration.com/wp-content/themes/salesxceleratione/assets/css/style.css?ver=1769123639</t>
  </si>
  <si>
    <t>Thu, 22 Jan 2026 23:15:36 GMT</t>
  </si>
  <si>
    <t>https://salesxceleration.com/wp-content/uploads/2020/07/IndyCar-Race-2.jpg</t>
  </si>
  <si>
    <t>https://salesxceleration.com/why-small-to-mid-sized-businesses-need-sales-leadership-consultants-in-a-crisis/</t>
  </si>
  <si>
    <t>Why Small to Mid-Sized Businesses Need Sales Leadership Consultants in a Crisis</t>
  </si>
  <si>
    <t>Why Small to Mid-Sized Businesses Need Sales Leadership Consultants in a Crisis | Sales Xceleration Blog</t>
  </si>
  <si>
    <t>Learn how small and medium-sized businesses both need and benefit from the sales leadership that fractional sales leadership consultants provide.</t>
  </si>
  <si>
    <t>206dc272dfd6a05b0e500faca7a803d6</t>
  </si>
  <si>
    <t>https://salesxceleration.com/wp-content/uploads/2020/07/Investor-Meeting-scaled-1.jpg</t>
  </si>
  <si>
    <t>Mon, 03 Jan 2022 14:50:35 GMT</t>
  </si>
  <si>
    <t>https://salesxceleration.com/wp-content/uploads/2020/09/Crisis-Sales-Management-scaled-1.jpg</t>
  </si>
  <si>
    <t>Mon, 03 Jan 2022 14:48:26 GMT</t>
  </si>
  <si>
    <t>https://salesxceleration.com/wp-content/themes/salesxceleratione/assets/css/style.css?ver=1769123640</t>
  </si>
  <si>
    <t>Thu, 22 Jan 2026 23:14:01 GMT</t>
  </si>
  <si>
    <t>https://salesxceleration.com/wp-content/uploads/2020/06/why-i-left-a-successful-career.jpg</t>
  </si>
  <si>
    <t>https://salesxceleration.com/wp-content/uploads/2016/11/Trapped-2048x2048.jpg</t>
  </si>
  <si>
    <t>Fri, 28 Mar 2025 15:49:59 GMT</t>
  </si>
  <si>
    <t>https://salesxceleration.com/wp-content/themes/salesxceleratione/assets/css/style.css?ver=1769123641</t>
  </si>
  <si>
    <t>Thu, 22 Jan 2026 23:15:38 GMT</t>
  </si>
  <si>
    <t>https://salesxceleration.com/feeling-trapped-wisdom-experience-can-set-free/</t>
  </si>
  <si>
    <t>Feeling Trapped? How Your Wisdom and Experience Can Set You Free</t>
  </si>
  <si>
    <t>Feeling Trapped? Your Experience in Sales Leadership Can Set You Free</t>
  </si>
  <si>
    <t>As we get older, our experience that's undervalued in the corporate world can be highly prized by SMB business owners needing sales leadership consulting.</t>
  </si>
  <si>
    <t>ddb58d31f4b31c738f7fd10fe69955d8</t>
  </si>
  <si>
    <t>https://salesxceleration.com/wp-content/uploads/2020/08/Sales-Leader-Building-a-Sales-Strategy-scaled-1.jpg</t>
  </si>
  <si>
    <t>Mon, 03 Jan 2022 14:49:16 GMT</t>
  </si>
  <si>
    <t>https://salesxceleration.com/wp-content/uploads/2020/07/Business-consultant-conversation-1.jpg</t>
  </si>
  <si>
    <t>Mon, 03 Jan 2022 14:49:45 GMT</t>
  </si>
  <si>
    <t>https://salesxceleration.com/sales-strategy-checklist-2/</t>
  </si>
  <si>
    <t>https://salesxceleration.com/wp-content/uploads/2020/06/Lemons-scaled-1.jpg</t>
  </si>
  <si>
    <t>Mon, 03 Jan 2022 14:50:42 GMT</t>
  </si>
  <si>
    <t>https://salesxceleration.com/wp-content/uploads/2020/09/marketing-sales.png</t>
  </si>
  <si>
    <t>Mon, 03 Jan 2022 14:49:05 GMT</t>
  </si>
  <si>
    <t>https://salesxceleration.com/wp-content/uploads/2020/09/marketing-sales-chart.png</t>
  </si>
  <si>
    <t>Mon, 03 Jan 2022 14:49:02 GMT</t>
  </si>
  <si>
    <t>https://salesxceleration.com/wp-content/uploads/2020/09/3-step-process.png</t>
  </si>
  <si>
    <t>Mon, 03 Jan 2022 14:49:03 GMT</t>
  </si>
  <si>
    <t>https://salesxceleration.com/wp-content/uploads/2020/08/Sales-Leader-Formulating-a-Plan-Forward-scaled-1.jpg</t>
  </si>
  <si>
    <t>Mon, 03 Jan 2022 14:49:10 GMT</t>
  </si>
  <si>
    <t>https://salesxceleration.com/wp-content/uploads/2017/04/RSpt2-1.jpg</t>
  </si>
  <si>
    <t>Mon, 03 Jan 2022 15:14:58 GMT</t>
  </si>
  <si>
    <t>https://salesxceleration.com/wp-content/uploads/2019/12/Irritated_Businessman_Holding_Phone-2048x2048.jpg</t>
  </si>
  <si>
    <t>Fri, 28 Mar 2025 14:56:00 GMT</t>
  </si>
  <si>
    <t>https://salesxceleration.com/no-access/download-id/27869/</t>
  </si>
  <si>
    <t>https://salesxceleration.com/wp-content/uploads/2015/11/Do-You-Need-a-Sales-Consultant-or-a-Sales-Builder--2048x2048.jpg</t>
  </si>
  <si>
    <t>Fri, 28 Mar 2025 19:14:44 GMT</t>
  </si>
  <si>
    <t>https://salesxceleration.com/wp-content/uploads/2016/03/Make-a-Difference-RS-72-560-x-225-2048x2048.jpg</t>
  </si>
  <si>
    <t>Fri, 28 Mar 2025 19:14:52 GMT</t>
  </si>
  <si>
    <t>https://salesxceleration.com/wp-content/themes/salesxceleratione/assets/css/style.css?ver=1769123643</t>
  </si>
  <si>
    <t>Thu, 22 Jan 2026 23:15:40 GMT</t>
  </si>
  <si>
    <t>https://salesxceleration.com/do-you-need-a-sales-consultant-or-a-sales-builder/</t>
  </si>
  <si>
    <t>Do You Need a Sales Consultant or a Sales Builder?</t>
  </si>
  <si>
    <t>Do You Need a Sales Consultant or a Sales Builder? | Sales Xceleration</t>
  </si>
  <si>
    <t>When sales lag and profits are down, it is time to determine if you need a sales consultant or hands-on sales builder to change your path.</t>
  </si>
  <si>
    <t>23b82febfae2985b586b4365eaa98018</t>
  </si>
  <si>
    <t>https://salesxceleration.com/why-no-sales-satisfaction-sales-lessons-learned-rolling-stones/</t>
  </si>
  <si>
    <t>“Why I Can’t Get No Sales Satisfaction” – Sales Lessons Learned From the Rolling Stones | Part 1 of an 8 Part Series</t>
  </si>
  <si>
    <t>“Why I Can’t Get No Sales Satisfaction” - Sales Lessons Learned From the Rolling Stones | Part 1 of an 8 Part Series | Sales Xceleration Blog</t>
  </si>
  <si>
    <t>During this eight-part series, we will take a close look at some of the best Rolling Stones songs and see what they can teach us about sales.</t>
  </si>
  <si>
    <t>289f6cde472d3a77942b7b787e86211c</t>
  </si>
  <si>
    <t>https://salesxceleration.com/why-customers-dont-return-your-sales-calls/</t>
  </si>
  <si>
    <t>Why Customers Don’t Return Your Sales Calls</t>
  </si>
  <si>
    <t>Why Customers Don’t Return Your Sales Calls | Sales Xceleration Blog</t>
  </si>
  <si>
    <t>Find Out Your Customers Pain Points So They Will Return Your Sales Calls</t>
  </si>
  <si>
    <t>42654b763cffecea36f3e2df8415bf3f</t>
  </si>
  <si>
    <t>https://salesxceleration.com/wp-content/uploads/2016/04/sales-compensation-plan-part-2.jpg</t>
  </si>
  <si>
    <t>Mon, 03 Jan 2022 15:18:53 GMT</t>
  </si>
  <si>
    <t>https://salesxceleration.com/sales-career-shift-making-difference-outsourced-sales-consultant/</t>
  </si>
  <si>
    <t>Sales Career Shift: Making a Difference as an Outsourced Sales Consultant</t>
  </si>
  <si>
    <t>Making a Difference as an Outsourced Sales Consultant</t>
  </si>
  <si>
    <t>Before becoming an outsourced sales consultant, sales pros often feel disillusionment with the corporate world and a need to make a difference.</t>
  </si>
  <si>
    <t>b71adddd43d51b5a2980924c3b67af2a</t>
  </si>
  <si>
    <t>https://salesxceleration.com/wp-content/themes/salesxceleratione/assets/css/style.css?ver=1769123644</t>
  </si>
  <si>
    <t>Thu, 22 Jan 2026 23:15:41 GMT</t>
  </si>
  <si>
    <t>https://salesxceleration.com/author/dmcmahan/</t>
  </si>
  <si>
    <t>Don McMahan</t>
  </si>
  <si>
    <t>Don McMahan, Author at Sales Xceleration</t>
  </si>
  <si>
    <t>c436b50de11b6159916bd00f8f16ae3b</t>
  </si>
  <si>
    <t>https://salesxceleration.com/new-year-compensation-plan-reviews/</t>
  </si>
  <si>
    <t>Sales Compensation Plan Reviews – It’s Time</t>
  </si>
  <si>
    <t>Sales Compensation Plan Reviews - It's Time | Sales Xceleration Blog</t>
  </si>
  <si>
    <t>The new year always brings compensation plans front and center to a business owner’s mind.  In order to achieve your business goals, ask yourself these</t>
  </si>
  <si>
    <t>2fa44032e993ea10f583fb9d37d1d48b</t>
  </si>
  <si>
    <t>https://salesxceleration.com/wp-content/uploads/2016/08/Life-support.png</t>
  </si>
  <si>
    <t>Mon, 03 Jan 2022 15:17:25 GMT</t>
  </si>
  <si>
    <t>https://salesxceleration.com/wp-content/themes/salesxceleratione/assets/css/style.css?ver=1769123671</t>
  </si>
  <si>
    <t>https://salesxceleration.com/wp-content/uploads/2017/10/Senior-Advisor.jpg</t>
  </si>
  <si>
    <t>Mon, 03 Jan 2022 15:07:52 GMT</t>
  </si>
  <si>
    <t>https://salesxceleration.com/wp-content/themes/salesxceleratione/assets/css/style.css?ver=1769123670</t>
  </si>
  <si>
    <t>https://salesxceleration.com/wp-content/uploads/2020/05/Satisfied-Happy-Businessman-scaled-1.jpg</t>
  </si>
  <si>
    <t>Mon, 03 Jan 2022 14:52:08 GMT</t>
  </si>
  <si>
    <t>https://salesxceleration.com/wp-content/uploads/2020/04/Man-Working-in-Home-Office1.jpg</t>
  </si>
  <si>
    <t>Mon, 03 Jan 2022 14:52:32 GMT</t>
  </si>
  <si>
    <t>https://salesxceleration.com/wp-content/uploads/2020/05/Woman-Sales-Leader-Leading-a-Team-scaled-1.jpg</t>
  </si>
  <si>
    <t>Mon, 03 Jan 2022 14:52:01 GMT</t>
  </si>
  <si>
    <t>https://salesxceleration.com/wp-content/themes/salesxceleratione/assets/css/style.css?ver=1769123669</t>
  </si>
  <si>
    <t>Thu, 22 Jan 2026 23:15:43 GMT</t>
  </si>
  <si>
    <t>https://salesxceleration.com/gray-hair-boosts-consultant-credentials/</t>
  </si>
  <si>
    <t>Why Gray Hair Boosts Consultant Credentials</t>
  </si>
  <si>
    <t>Why Gray Hair Boosts Consultant Credentials | Sales Xceleration Blog</t>
  </si>
  <si>
    <t>Traits undervalued in the corporate world – age, experience, wisdom, and gray hair – can add to consultant credentials as an outsourced sales professional.</t>
  </si>
  <si>
    <t>fcbd437fc547be27c0b587d2bbb43f7e</t>
  </si>
  <si>
    <t>https://salesxceleration.com/wp-content/uploads/elementor/css/post-72431.css?ver=1768862527</t>
  </si>
  <si>
    <t>https://salesxceleration.com/wp-content/themes/salesxceleratione/assets/css/style.css?ver=1769123668</t>
  </si>
  <si>
    <t>https://salesxceleration.com/wp-content/uploads/elementor/css/post-71940.css?ver=1768887599</t>
  </si>
  <si>
    <t>Tue, 20 Jan 2026 05:39:59 GMT</t>
  </si>
  <si>
    <t>https://salesxceleration.com/wp-content/uploads/2015/03/fishing-grandpa-sales-lessons-family-wisdom.png</t>
  </si>
  <si>
    <t>Mon, 03 Jan 2022 15:24:32 GMT</t>
  </si>
  <si>
    <t>https://salesxceleration.com/wp-content/themes/salesxceleratione/assets/css/style.css?ver=1769123667</t>
  </si>
  <si>
    <t>https://salesxceleration.com/wp-content/uploads/2015/03/Three-Cs-Sales-xceleration.png</t>
  </si>
  <si>
    <t>Mon, 03 Jan 2022 15:27:29 GMT</t>
  </si>
  <si>
    <t>https://salesxceleration.com/wp-content/uploads/2015/03/When-Why-Sales-Manager-Stay-Quiet-200x300.jpg</t>
  </si>
  <si>
    <t>Fri, 12 Nov 2021 15:56:33 GMT</t>
  </si>
  <si>
    <t>https://salesxceleration.com/how-to-stop-circling-the-top-of-the-sales-funnel-and-make-that-sale</t>
  </si>
  <si>
    <t>https://salesxceleration.com/how-to-stop-circling-the-top-of-the-sales-funnel-and-make-that-sale/</t>
  </si>
  <si>
    <t>https://salesxceleration.com/wp-content/uploads/2015/03/When-Why-Sales-Manager-Should-Simply-Be-Quiet-Sales-Xceleration.png</t>
  </si>
  <si>
    <t>Mon, 03 Jan 2022 15:27:41 GMT</t>
  </si>
  <si>
    <t>https://salesxceleration.com/wp-content/uploads/2015/03/Sales-rollercoaster-go-fishing-sales-xceleration.png</t>
  </si>
  <si>
    <t>Mon, 03 Jan 2022 15:27:31 GMT</t>
  </si>
  <si>
    <t>https://salesxceleration.com/wp-content/themes/salesxceleratione/assets/css/style.css?ver=1769123666</t>
  </si>
  <si>
    <t>Thu, 22 Jan 2026 23:15:44 GMT</t>
  </si>
  <si>
    <t>https://salesxceleration.com/wp-content/uploads/2023/06/Defining-Your-Target-Market-download.jpg</t>
  </si>
  <si>
    <t>Fri, 09 Jun 2023 11:25:33 GMT</t>
  </si>
  <si>
    <t>https://salesxceleration.com/how-silence-can-help-you-sell-more</t>
  </si>
  <si>
    <t>https://salesxceleration.com/wp-content/themes/salesxceleratione/assets/css/style.css?ver=1769123665</t>
  </si>
  <si>
    <t>Thu, 22 Jan 2026 23:14:26 GMT</t>
  </si>
  <si>
    <t>https://salesxceleration.com/wp-content/uploads/2023/06/Target-Market-Analysis-Checklist.pdf</t>
  </si>
  <si>
    <t>Defining Your Target Market</t>
  </si>
  <si>
    <t>DAFk9hopCBc,BAC_OTujW9M</t>
  </si>
  <si>
    <t>Tue, 06 Jun 2023 21:01:28 GMT</t>
  </si>
  <si>
    <t>https://salesxceleration.com/wp-content/uploads/2023/06/Image.jpg</t>
  </si>
  <si>
    <t>Fri, 09 Jun 2023 12:35:20 GMT</t>
  </si>
  <si>
    <t>https://salesxceleration.com/wp-content/themes/salesxceleratione/assets/css/style.css?ver=1769123664</t>
  </si>
  <si>
    <t>https://salesxceleration.com/wp-content/themes/salesxceleratione/assets/css/style.css?ver=1769123662</t>
  </si>
  <si>
    <t>https://salesxceleration.com/wp-content/uploads/2022/12/Recession-Proof-Sales-Strategy.jpg</t>
  </si>
  <si>
    <t>Mon, 05 Dec 2022 13:30:03 GMT</t>
  </si>
  <si>
    <t>https://salesxceleration.com/wp-content/themes/salesxceleratione/assets/css/style.css?ver=1769123661</t>
  </si>
  <si>
    <t>Thu, 22 Jan 2026 23:15:46 GMT</t>
  </si>
  <si>
    <t>https://salesxceleration.com/wp-content/uploads/2021/06/competitive-analysis-500.jpg</t>
  </si>
  <si>
    <t>Fri, 12 Nov 2021 15:53:30 GMT</t>
  </si>
  <si>
    <t>56fd7aa3721255938c41c62d104200de</t>
  </si>
  <si>
    <t>be18e34ee3853b65a4a88cf7e67bf73</t>
  </si>
  <si>
    <t>https://salesxceleration.com/wp-content/uploads/2018/11/shutterstock_145160692-scaled-2048x2048.jpg</t>
  </si>
  <si>
    <t>Fri, 28 Mar 2025 16:03:05 GMT</t>
  </si>
  <si>
    <t>https://salesxceleration.com/wp-content/uploads/2023/02/Remote-Work.jpeg</t>
  </si>
  <si>
    <t>https://salesxceleration.com/wp-content/uploads/2019/06/shutterstock_387729373-resized-2048x2048.jpg</t>
  </si>
  <si>
    <t>Fri, 28 Mar 2025 16:02:56 GMT</t>
  </si>
  <si>
    <t>https://salesxceleration.com/why-sales-leadership-training-is-worth-the-investment/</t>
  </si>
  <si>
    <t>Why Sales Leadership Training is Worth the Investment</t>
  </si>
  <si>
    <t>Sales Training is Worth the Investment | Sales Xceleration</t>
  </si>
  <si>
    <t>Effective sales management is crucial to success for a business. Too often, businesses ignore the impact of training for their sales managers.</t>
  </si>
  <si>
    <t>9e6f7bec3353f1334c3d96c26dd359f3</t>
  </si>
  <si>
    <t>https://salesxceleration.com/wp-content/uploads/2018/03/shutterstock_231289921.jpg</t>
  </si>
  <si>
    <t>Fri, 16 Dec 2022 21:50:25 GMT</t>
  </si>
  <si>
    <t>https://salesxceleration.com/wp-content/themes/salesxceleratione/assets/css/style.css?ver=1769123660</t>
  </si>
  <si>
    <t>Thu, 22 Jan 2026 23:15:47 GMT</t>
  </si>
  <si>
    <t>https://salesxceleration.com/should-your-salesperson-be-in-the-game-on-the-bench-or-off-the-team/</t>
  </si>
  <si>
    <t>Should Your Salesperson Be In the Game, On the Bench, or Off the Team?</t>
  </si>
  <si>
    <t>Should Your Salesperson Be In the Game, On the Bench, or Off the Team? | Sales Xceleration Blog</t>
  </si>
  <si>
    <t>There are many parallels between basketball and sales; chief among them is the expectation of championship caliber performance for the good of the team.</t>
  </si>
  <si>
    <t>b33ce16e5f536d33256c4960dc1dea23</t>
  </si>
  <si>
    <t>https://salesxceleration.com/active-listening-in-sales/</t>
  </si>
  <si>
    <t>Active Listening in Sales: The Secret to Selling More by Overcoming Objections and Providing Real Solutions</t>
  </si>
  <si>
    <t>Active Listening in Sales: The Secret to Selling More | Sales Xceleration</t>
  </si>
  <si>
    <t>Find out how to use active listening to improve sales, overcome objections, and provide real solutions to your sales prospects. Read our Sales Blog Today!</t>
  </si>
  <si>
    <t>b4c153cf74e50c266edc60f54cc75b8b</t>
  </si>
  <si>
    <t>https://salesxceleration.com/wp-content/uploads/2023/03/Future-of-Sales-Disruptors.jpg</t>
  </si>
  <si>
    <t>Mon, 27 Mar 2023 20:36:17 GMT</t>
  </si>
  <si>
    <t>https://salesxceleration.com/wp-content/uploads/2021/07/Exit-Strategy-scaled-1-2048x2048.jpg</t>
  </si>
  <si>
    <t>Sat, 29 Mar 2025 00:15:12 GMT</t>
  </si>
  <si>
    <t>https://salesxceleration.com/wp-content/uploads/2021/08/choppy-blue-sea-with-blue-sky-and-sun-2048x2048.jpg</t>
  </si>
  <si>
    <t>Fri, 28 Mar 2025 16:02:37 GMT</t>
  </si>
  <si>
    <t>https://salesxceleration.com/wp-content/uploads/2022/09/Climbing-Mount-Whitney-California.jpg</t>
  </si>
  <si>
    <t>Mon, 26 Sep 2022 17:29:18 GMT</t>
  </si>
  <si>
    <t>https://salesxceleration.com/wp-content/uploads/2022/08/Remote-Sales-Team.jpg</t>
  </si>
  <si>
    <t>Thu, 25 Aug 2022 20:27:28 GMT</t>
  </si>
  <si>
    <t>https://salesxceleration.com/4-leadership-lessons-i-learned-from-a-mountain-climbing-crisis/</t>
  </si>
  <si>
    <t>4 Leadership Lessons I Learned From a Mountain-Climbing Crisis</t>
  </si>
  <si>
    <t>4 Leadership Lessons I Learned From a Mountain-Climbing Crisis | Sales Xceleration Blog</t>
  </si>
  <si>
    <t>During a team-building challenge to climb Mount Whitney, how did a group of individuals who were previously only connected by work email threads become a steadfast team?</t>
  </si>
  <si>
    <t>74a0093a75db47ab6659ada32750d339</t>
  </si>
  <si>
    <t>https://salesxceleration.com/wp-content/uploads/2021/11/backpack-2048x2048.jpeg</t>
  </si>
  <si>
    <t>Fri, 28 Mar 2025 16:02:30 GMT</t>
  </si>
  <si>
    <t>https://salesxceleration.com/wp-content/uploads/2022/05/AI-in-Sales.jpg</t>
  </si>
  <si>
    <t>Mon, 23 May 2022 18:08:05 GMT</t>
  </si>
  <si>
    <t>https://salesxceleration.com/why-a-proper-sales-infrastructure-is-crucial-to-selling-your-business/</t>
  </si>
  <si>
    <t>Entrepreneur – Why a Proper Sales Infrastructure is Crucial to Selling Your Business</t>
  </si>
  <si>
    <t>Entrepreneur - Why a Proper Sales Infrastructure is Crucial to Selling Your Business | Sales Xceleration Blog</t>
  </si>
  <si>
    <t>Having a proper sales infrastructure is crucial for business owners who are looking to develop an exit strategy.</t>
  </si>
  <si>
    <t>26c74db27eafa12ca77eafcbf14c472b</t>
  </si>
  <si>
    <t>https://salesxceleration.com/wp-content/uploads/2023/07/Overcome-Sales-Challenges.jpg</t>
  </si>
  <si>
    <t>Tue, 25 Jul 2023 10:54:27 GMT</t>
  </si>
  <si>
    <t>https://salesxceleration.com/wp-content/themes/salesxceleratione/assets/css/style.css?ver=1769123659</t>
  </si>
  <si>
    <t>Thu, 22 Jan 2026 23:15:53 GMT</t>
  </si>
  <si>
    <t>https://salesxceleration.com/why-you-must-start-the-new-year-with-a-well-defined-sales-plan/</t>
  </si>
  <si>
    <t>Forbes – Why You Must Start the New Year with a Well-Defined Sales Plan</t>
  </si>
  <si>
    <t>Forbes - Why You Must Start the New Year with a Well-Defined Sales Plan | Sales Xceleration Blog</t>
  </si>
  <si>
    <t>In order to start the New Year with a well-defined sales plan, you must first know three things: where you are, where you want to go, and the best route to get there.</t>
  </si>
  <si>
    <t>b94ca3d9c133492f609aaa02b646c4b1</t>
  </si>
  <si>
    <t>https://salesxceleration.com/wp-content/uploads/2019/10/https___specials-images.forbesimg.com_dam_imageserve_690357502_960x0-2048x2048.jpg</t>
  </si>
  <si>
    <t>Fri, 28 Mar 2025 20:13:40 GMT</t>
  </si>
  <si>
    <t>https://salesxceleration.com/wp-content/themes/salesxceleratione/assets/css/style.css?ver=1769123658</t>
  </si>
  <si>
    <t>Thu, 22 Jan 2026 23:15:59 GMT</t>
  </si>
  <si>
    <t>https://salesxceleration.com/wp-content/uploads/2020/03/Succeeding_as_a_sales_leader-1.jpg</t>
  </si>
  <si>
    <t>Mon, 03 Jan 2022 14:53:27 GMT</t>
  </si>
  <si>
    <t>https://salesxceleration.com/wp-content/uploads/2020/11/sales-team-2048x2048.jpg</t>
  </si>
  <si>
    <t>Fri, 28 Mar 2025 22:07:39 GMT</t>
  </si>
  <si>
    <t>https://salesxceleration.com/six-essential-rules-for-motivating-your-sales-team-to-win-big/</t>
  </si>
  <si>
    <t>Six Essential Rules for Motivating Your Sales Team to Win Big!</t>
  </si>
  <si>
    <t>Six Essential Rules for Motivating Your Sales Team to Win Big! | Sales Xceleration Blog</t>
  </si>
  <si>
    <t>Sales team motivation requires skilled leadership and essential strategies to ignite sales excellence and win big.</t>
  </si>
  <si>
    <t>52fb745407d3c4e907e0fc847bbe06e6</t>
  </si>
  <si>
    <t>https://salesxceleration.com/wp-content/uploads/2021/01/working-at-desk-e1608576587284-1024x543-1-2048x2048.jpg</t>
  </si>
  <si>
    <t>Fri, 28 Mar 2025 19:54:34 GMT</t>
  </si>
  <si>
    <t>https://salesxceleration.com/wp-content/uploads/2020/11/sales-pipeline-2048x2048.jpg</t>
  </si>
  <si>
    <t>Fri, 28 Mar 2025 19:54:42 GMT</t>
  </si>
  <si>
    <t>https://salesxceleration.com/the-high-performance-traits-that-power-a-high-performance-sales-team/</t>
  </si>
  <si>
    <t>Forbes – The High-Performance Traits that Power A High-Performance Sales Team</t>
  </si>
  <si>
    <t>High-Performance Sales Team Traits</t>
  </si>
  <si>
    <t>Forbes - The High-Performance Traits that Power A High-Performance Sales Team | Sales Xceleration Blog</t>
  </si>
  <si>
    <t>Sales success depends on having a successful sales team. A successful sales team, naturally, depends on both effective sales management and the performance of its salespeople.</t>
  </si>
  <si>
    <t>21f2f29268f6a8c6e196aa9b55da0be</t>
  </si>
  <si>
    <t>https://salesxceleration.com/wp-content/themes/salesxceleratione/assets/css/style.css?ver=1769123657</t>
  </si>
  <si>
    <t>https://salesxceleration.com/wp-content/uploads/2020/12/Sales-Team-Building-a-Plan-scaled-1-2048x2048.jpg</t>
  </si>
  <si>
    <t>Fri, 28 Mar 2025 19:54:49 GMT</t>
  </si>
  <si>
    <t>https://salesxceleration.com/grace-under-fire-how-to-prepare-your-sales-pipeline-for-2021/</t>
  </si>
  <si>
    <t>Entrepreneur – Grace Under Fire: How to Prepare Your Sales Pipeline for 2021</t>
  </si>
  <si>
    <t>Entrepreneur - Grace Under Fire: How to Prepare Your Sales Pipeline for 2021 | Sales Xceleration Blog</t>
  </si>
  <si>
    <t>Due to the havoc wreaked by the twin crises of 2020 — the global health emergency and the economic recession — every business has been forced to change the way it approaches sales.</t>
  </si>
  <si>
    <t>3e89f5dec3b4b4fee75de23ebeedd3e0</t>
  </si>
  <si>
    <t>https://salesxceleration.com/wp-content/uploads/2020/03/sales-marketing-meeting-1.jpg</t>
  </si>
  <si>
    <t>Mon, 03 Jan 2022 14:53:26 GMT</t>
  </si>
  <si>
    <t>https://salesxceleration.com/how-to-create-a-contingency-plan-for-your-business/</t>
  </si>
  <si>
    <t>Business2Community – How to Create a Contingency Plan for Your Business</t>
  </si>
  <si>
    <t>Business2Community - How to Create a Contingency Plan for Your Business | Sales Xceleration Blog</t>
  </si>
  <si>
    <t>Building a lasting contingency plan for your business is essential.</t>
  </si>
  <si>
    <t>fa7dee135ae8f89a224278b2888684cb</t>
  </si>
  <si>
    <t>https://salesxceleration.com/wp-content/uploads/elementor/css/post-28923.css?ver=1768910458</t>
  </si>
  <si>
    <t>Tue, 20 Jan 2026 12:00:58 GMT</t>
  </si>
  <si>
    <t>https://salesxceleration.com/wp-content/themes/salesxceleratione/assets/css/style.css?ver=1769123656</t>
  </si>
  <si>
    <t>Thu, 22 Jan 2026 23:16:06 GMT</t>
  </si>
  <si>
    <t>https://salesxceleration.com/wp-content/uploads/elementor/css/post-72771.css?ver=1768848012</t>
  </si>
  <si>
    <t>Mon, 19 Jan 2026 18:40:12 GMT</t>
  </si>
  <si>
    <t>https://salesxceleration.com/out-with-the-old-in-with-the-new-rethinking-your-sales-framework/</t>
  </si>
  <si>
    <t>Tweak Your Biz – Out With the Old, In With the New: Rethinking Your Sales Framework</t>
  </si>
  <si>
    <t>Tweak Your Biz - Out With the Old, In With the New: Rethinking Your Sales Framework | Sales Xceleration Blog</t>
  </si>
  <si>
    <t>The task for regularly reviewing and revising your sales plan is critical.</t>
  </si>
  <si>
    <t>7e9e64fe2af046510118e00e425ca7e9</t>
  </si>
  <si>
    <t>https://salesxceleration.com/wp-content/themes/salesxceleratione/assets/css/style.css?ver=1769123654</t>
  </si>
  <si>
    <t>Thu, 22 Jan 2026 23:16:07 GMT</t>
  </si>
  <si>
    <t>https://salesxceleration.com/5-tips-to-boost-your-sales-performance/</t>
  </si>
  <si>
    <t>5 Tips to Boost Your Sales Performance</t>
  </si>
  <si>
    <t>1. Evaluate Your Sales Performance from the Previous Year</t>
  </si>
  <si>
    <t>2. Develop a Sales Strategy with Realistic Goals</t>
  </si>
  <si>
    <t>5 Tips to Boost Your Sales Performance | Sales Xceleration Blog</t>
  </si>
  <si>
    <t>Enhancing your sales performance requires careful planning, continuous improvement, and a willingness to learn from both successes and setbacks.</t>
  </si>
  <si>
    <t>f7ac360274d7fcb5c2f8a957712d583a</t>
  </si>
  <si>
    <t>https://salesxceleration.com/wp-content/uploads/2021/01/scrabble-4958237_1280-820x550-1-2048x2048.jpg</t>
  </si>
  <si>
    <t>https://salesxceleration.com/wp-content/uploads/2021/01/960x0.jpg</t>
  </si>
  <si>
    <t>Fri, 12 Nov 2021 15:52:40 GMT</t>
  </si>
  <si>
    <t>https://salesxceleration.com/wp-content/uploads/2020/09/Career-Crossroads-scaled-1.jpg</t>
  </si>
  <si>
    <t>Mon, 03 Jan 2022 14:48:20 GMT</t>
  </si>
  <si>
    <t>https://salesxceleration.com/wp-content/uploads/2020/11/Happy-Sales-Leader-Leading-a-Meeting-scaled-1.jpg</t>
  </si>
  <si>
    <t>Mon, 03 Jan 2022 14:47:34 GMT</t>
  </si>
  <si>
    <t>https://salesxceleration.com/wp-content/uploads/2020/11/Stressed-Sales-Leader-scaled-1.jpg</t>
  </si>
  <si>
    <t>Mon, 03 Jan 2022 14:47:28 GMT</t>
  </si>
  <si>
    <t>https://salesxceleration.com/wp-content/themes/salesxceleratione/assets/css/style.css?ver=1769123653</t>
  </si>
  <si>
    <t>Thu, 22 Jan 2026 23:16:09 GMT</t>
  </si>
  <si>
    <t>https://salesxceleration.com/wp-content/uploads/2020/12/Woman-Sales-VP-Thinking-About-the-Future-scaled-1.jpg</t>
  </si>
  <si>
    <t>Mon, 03 Jan 2022 14:46:41 GMT</t>
  </si>
  <si>
    <t>https://salesxceleration.com/wp-content/uploads/2021/01/Businessman-Taking-Time-to-Relax-scaled-1.jpg</t>
  </si>
  <si>
    <t>Mon, 03 Jan 2022 14:45:44 GMT</t>
  </si>
  <si>
    <t>https://salesxceleration.com/wp-content/uploads/2021/01/Businessman-Climing-the-Steps-scaled-1.jpg</t>
  </si>
  <si>
    <t>Mon, 03 Jan 2022 14:45:50 GMT</t>
  </si>
  <si>
    <t>https://salesxceleration.com/wp-content/themes/salesxceleratione/assets/css/style.css?ver=1769123652</t>
  </si>
  <si>
    <t>Thu, 22 Jan 2026 23:16:10 GMT</t>
  </si>
  <si>
    <t>ee17f1e2aa00fb4acb555a2676b90fc6</t>
  </si>
  <si>
    <t>https://salesxceleration.com/wp-content/uploads/2020/10/Sales-Leadership-Consultant-Leading-a-Sales-Meeting-scaled-1.jpg</t>
  </si>
  <si>
    <t>Mon, 03 Jan 2022 14:47:54 GMT</t>
  </si>
  <si>
    <t>https://salesxceleration.com/hope-realized-book-excerpt-gives-insights-into-sales-management-consultant-role/</t>
  </si>
  <si>
    <t>Hope Realized Book Excerpt Gives Insights into Sales Management Consultant Role</t>
  </si>
  <si>
    <t>Hope Realized Book Excerpt Gives Insights into Sales Management Consultant Role | Sales Xceleration Blog</t>
  </si>
  <si>
    <t>In large measure, my new book, Hope Realized: Finding the Path to Sales Success, is about a business owner named Steve who must find a way to bring his business back from the brink of collapse.</t>
  </si>
  <si>
    <t>b822318706b641a0f5e596c4da6090b8</t>
  </si>
  <si>
    <t>https://salesxceleration.com/wp-content/uploads/2021/01/960x0-2048x2048.jpg</t>
  </si>
  <si>
    <t>https://salesxceleration.com/how-to-start-your-second-half-of-significance-and-fulfilling-your-life-purpose/</t>
  </si>
  <si>
    <t>How to Start Your Second Half of Significance and Fulfilling Your Life Purpose</t>
  </si>
  <si>
    <t>How to Fulfill Life's Purpose | Sales Xceleration</t>
  </si>
  <si>
    <t>Sales Xceleration examines how to move into your life's second half of significance and fulfill life's purpose.</t>
  </si>
  <si>
    <t>9c023242fb206ef17f259684c2d577a8</t>
  </si>
  <si>
    <t>https://salesxceleration.com/ready-to-take-the-steve-harvey-jump-into-sales-consulting/</t>
  </si>
  <si>
    <t>Ready to Take the Steve Harvey Jump into Sales Consulting?</t>
  </si>
  <si>
    <t>Ready to Take the Steve Harvey Jump into Sales Consulting? | Sales Xceleration Blog</t>
  </si>
  <si>
    <t>Ready to jump into sales consulting? Learn how our expert guidance can help you transition into this rewarding career and achieve sales success quickly.</t>
  </si>
  <si>
    <t>f75a19ad244a6819e3a0290276200a80</t>
  </si>
  <si>
    <t>https://salesxceleration.com/wp-content/uploads/2021/01/scrabble-4958237_1280-820x550-1.jpg</t>
  </si>
  <si>
    <t>Fri, 12 Nov 2021 15:52:31 GMT</t>
  </si>
  <si>
    <t>https://salesxceleration.com/wp-content/uploads/2021/02/Time-for-Change-scaled-1.jpg</t>
  </si>
  <si>
    <t>Mon, 03 Jan 2022 14:44:14 GMT</t>
  </si>
  <si>
    <t>https://salesxceleration.com/wp-content/uploads/2022/12/hiring-in-a-recession.jpg</t>
  </si>
  <si>
    <t>https://salesxceleration.com/wp-content/themes/salesxceleratione/assets/css/style.css?ver=1769123651</t>
  </si>
  <si>
    <t>Thu, 22 Jan 2026 23:16:12 GMT</t>
  </si>
  <si>
    <t>https://salesxceleration.com/wp-content/uploads/elementor/css/post-26774.css?ver=1768898586</t>
  </si>
  <si>
    <t>Tue, 20 Jan 2026 08:43:06 GMT</t>
  </si>
  <si>
    <t>https://salesxceleration.com/wp-content/uploads/2022/03/Sales-Group-Meeting.jpg</t>
  </si>
  <si>
    <t>Fri, 11 Mar 2022 13:30:03 GMT</t>
  </si>
  <si>
    <t>https://salesxceleration.com/wp-content/uploads/2022/06/Proactive-Hiring.jpg</t>
  </si>
  <si>
    <t>Tue, 07 Jun 2022 17:13:05 GMT</t>
  </si>
  <si>
    <t>https://salesxceleration.com/wp-content/themes/salesxceleratione/assets/css/style.css?ver=1769123650</t>
  </si>
  <si>
    <t>https://salesxceleration.com/breakaway-sales-recruiting/case-study-download/</t>
  </si>
  <si>
    <t>Case Study Download</t>
  </si>
  <si>
    <t>Case Study Download | Sales Xceleration</t>
  </si>
  <si>
    <t>Enter your information below to read this Case Study.</t>
  </si>
  <si>
    <t>86702ff2e3ed6578338ee91733f6bbdb</t>
  </si>
  <si>
    <t>https://salesxceleration.com/wp-content/uploads/2022/04/Recruiting-Candidate-2048x2048.jpg</t>
  </si>
  <si>
    <t>https://salesxceleration.com/wp-content/uploads/2023/04/Onboarding-for-Sales-Success.jpg</t>
  </si>
  <si>
    <t>https://salesxceleration.com/wp-content/themes/salesxceleratione/assets/css/style.css?ver=1769123649</t>
  </si>
  <si>
    <t>Thu, 22 Jan 2026 23:16:19 GMT</t>
  </si>
  <si>
    <t>https://salesxceleration.com/wp-content/uploads/2022/03/Sales-Infrastructure-Meeting-2048x2048.jpg</t>
  </si>
  <si>
    <t>Fri, 28 Mar 2025 20:21:07 GMT</t>
  </si>
  <si>
    <t>https://salesxceleration.com/wp-content/uploads/2022/04/hiring-sales-talent-500-1.jpeg</t>
  </si>
  <si>
    <t>Mon, 04 Apr 2022 17:10:52 GMT</t>
  </si>
  <si>
    <t>https://salesxceleration.com/wp-content/uploads/2022/10/Onboarding-2048x2048.jpg</t>
  </si>
  <si>
    <t>https://salesxceleration.com/one-year-salesperson-onboarding-plan/</t>
  </si>
  <si>
    <t>One Year Salesperson Onboarding Plan</t>
  </si>
  <si>
    <t>Sales Tool: One Year Salesperson Onboarding Plan | Sales Xceleration</t>
  </si>
  <si>
    <t>SalesXceleration provides a detailed One-Year Salesperson Onboarding Plan to help businesses train and retain top sales talent.</t>
  </si>
  <si>
    <t>1a16664e40eef12f397969ca774e7c5a</t>
  </si>
  <si>
    <t>https://salesxceleration.com/wp-content/uploads/2023/02/Hiring-Smarter.jpg</t>
  </si>
  <si>
    <t>Fri, 03 Feb 2023 12:26:57 GMT</t>
  </si>
  <si>
    <t>https://salesxceleration.com/wp-content/uploads/2022/08/sales-jobs-are-changing.jpg</t>
  </si>
  <si>
    <t>Wed, 03 Aug 2022 17:37:44 GMT</t>
  </si>
  <si>
    <t>https://salesxceleration.com/wp-content/uploads/2022/04/Callen-Todd-275x275-1-100x100.jpg</t>
  </si>
  <si>
    <t>Tue, 07 May 2024 07:10:14 GMT</t>
  </si>
  <si>
    <t>https://salesxceleration.com/wp-content/uploads/2022/03/Sales-Group-Meeting-2048x2048.jpg</t>
  </si>
  <si>
    <t>https://salesxceleration.com/wp-content/themes/salesxceleratione/assets/css/style.css?ver=1769123648</t>
  </si>
  <si>
    <t>https://salesxceleration.com/wp-content/uploads/2022/03/Sales-Infrastructure-Meeting.jpg</t>
  </si>
  <si>
    <t>Wed, 23 Mar 2022 21:27:29 GMT</t>
  </si>
  <si>
    <t>https://salesxceleration.com/wp-content/uploads/2022/04/Finding-top-sales-talent.jpg</t>
  </si>
  <si>
    <t>Tue, 12 Apr 2022 16:55:30 GMT</t>
  </si>
  <si>
    <t>https://salesxceleration.com/fueling-sales-by-building-the-best-sales-engine/</t>
  </si>
  <si>
    <t>https://salesxceleration.com/fueling-sales-by-building-the-best-sales-engine-part-1</t>
  </si>
  <si>
    <t>https://salesxceleration.com/sales-agility-assessment/?locationid=29377935</t>
  </si>
  <si>
    <t>ad3185368d8af7c562f2fbdf4f66cd3e</t>
  </si>
  <si>
    <t>https://salesxceleration.com/sales-hiring-skills-assessment/</t>
  </si>
  <si>
    <t>https://salesxceleration.com/hiring-skills-assessment</t>
  </si>
  <si>
    <t>https://salesxceleration.com/wp-content/uploads/2022/04/hiring-sales-talent-500-1-2048x2048.jpeg</t>
  </si>
  <si>
    <t>https://salesxceleration.com/wp-content/themes/salesxceleratione/assets/css/style.css?ver=1769123647</t>
  </si>
  <si>
    <t>https://salesxceleration.com/author/tcallen/</t>
  </si>
  <si>
    <t>Todd Callen</t>
  </si>
  <si>
    <t>Todd Callen, Author at Sales Xceleration</t>
  </si>
  <si>
    <t>123300dcbbd3a9190d7c801a3cda0572</t>
  </si>
  <si>
    <t>https://salesxceleration.com/wp-content/uploads/2022/10/Onboarding.jpg</t>
  </si>
  <si>
    <t>Thu, 13 Oct 2022 12:55:29 GMT</t>
  </si>
  <si>
    <t>https://salesxceleration.com/wp-content/uploads/2022/12/Job-Hopping.jpg</t>
  </si>
  <si>
    <t>Fri, 23 Dec 2022 21:06:33 GMT</t>
  </si>
  <si>
    <t>https://salesxceleration.com/wp-content/themes/salesxceleratione/assets/css/style.css?ver=1769123646</t>
  </si>
  <si>
    <t>Thu, 22 Jan 2026 23:16:23 GMT</t>
  </si>
  <si>
    <t>https://salesxceleration.com/wp-content/uploads/2022/04/Recruiting-Candidate.jpg</t>
  </si>
  <si>
    <t>Tue, 12 Apr 2022 16:59:15 GMT</t>
  </si>
  <si>
    <t>https://salesxceleration.com/wp-content/uploads/2021/02/case-study-jp-thumb-768x440.jpg</t>
  </si>
  <si>
    <t>Fri, 28 Mar 2025 16:00:53 GMT</t>
  </si>
  <si>
    <t>https://salesxceleration.com/wp-content/uploads/2021/02/case-study-sx1-thumb-768x440.jpg</t>
  </si>
  <si>
    <t>Fri, 28 Mar 2025 17:42:11 GMT</t>
  </si>
  <si>
    <t>https://salesxceleration.com/author/neptuneweb/</t>
  </si>
  <si>
    <t>neptuneweb</t>
  </si>
  <si>
    <t>neptuneweb, Author at Sales Xceleration</t>
  </si>
  <si>
    <t>https://salesxceleration.com/author/neptuneweb/page/2/</t>
  </si>
  <si>
    <t>2eb8303792a8008dfe8cf38c1ad6547d</t>
  </si>
  <si>
    <t>https://salesxceleration.com/wp-content/themes/salesxceleratione/assets/css/style.css?ver=1769123645</t>
  </si>
  <si>
    <t>https://salesxceleration.com/wp-content/uploads/2020/12/shutterstock_633365168-scaled-1.jpg</t>
  </si>
  <si>
    <t>Mon, 03 Jan 2022 14:46:55 GMT</t>
  </si>
  <si>
    <t>https://salesxceleration.com/wp-content/uploads/2017/07/shutterstock_392367181-1.jpg</t>
  </si>
  <si>
    <t>Mon, 03 Jan 2022 15:14:11 GMT</t>
  </si>
  <si>
    <t>https://salesxceleration.com/wp-content/uploads/2016/03/Make-a-Difference-RS-72-560-x-225.jpg</t>
  </si>
  <si>
    <t>https://salesxceleration.com/wp-content/themes/salesxceleratione/assets/css/style.css?ver=1769123741</t>
  </si>
  <si>
    <t>Thu, 22 Jan 2026 23:16:25 GMT</t>
  </si>
  <si>
    <t>https://salesxceleration.com/wp-content/uploads/2019/12/Irritated_Businessman_Holding_Phone.jpg</t>
  </si>
  <si>
    <t>Mon, 03 Jan 2022 14:55:08 GMT</t>
  </si>
  <si>
    <t>https://salesxceleration.com/wp-content/uploads/2017/04/rolling.jpg</t>
  </si>
  <si>
    <t>Mon, 03 Jan 2022 15:15:01 GMT</t>
  </si>
  <si>
    <t>https://salesxceleration.com/wp-content/uploads/2015/10/writing-933262_640-2048x2048.jpg</t>
  </si>
  <si>
    <t>Fri, 28 Mar 2025 15:33:57 GMT</t>
  </si>
  <si>
    <t>https://salesxceleration.com/wp-content/uploads/2016/07/Hiring-Outsourcing-RS-72-560-x-225-2048x2048.jpg</t>
  </si>
  <si>
    <t>Sat, 29 Mar 2025 01:10:11 GMT</t>
  </si>
  <si>
    <t>https://salesxceleration.com/wp-content/uploads/2015/11/Do-You-Need-a-Sales-Consultant-or-a-Sales-Builder-.jpg</t>
  </si>
  <si>
    <t>Fri, 12 Nov 2021 15:57:02 GMT</t>
  </si>
  <si>
    <t>https://salesxceleration.com/wp-content/themes/salesxceleratione/assets/css/style.css?ver=1769123740</t>
  </si>
  <si>
    <t>https://salesxceleration.com/wp-content/themes/salesxceleratione/assets/css/style.css?ver=1769123738</t>
  </si>
  <si>
    <t>Thu, 22 Jan 2026 23:16:26 GMT</t>
  </si>
  <si>
    <t>bcdcdf3b84d187eb2f92f3f705f9e25a</t>
  </si>
  <si>
    <t>https://salesxceleration.com/the-win-loss-paradox/</t>
  </si>
  <si>
    <t>The WIN-LOSS Paradox</t>
  </si>
  <si>
    <t>The WIN-LOSS Paradox | Sales Xceleration Blog</t>
  </si>
  <si>
    <t>When it comes to sales, there is the win-loss paradox. Don't forget to ask your sales team two important questions: why you won and why you lost.</t>
  </si>
  <si>
    <t>d4757b91214592df051d47d8d8386815</t>
  </si>
  <si>
    <t>https://salesxceleration.com/wp-content/uploads/2016/11/Trapped.jpg</t>
  </si>
  <si>
    <t>https://salesxceleration.com/wp-content/themes/salesxceleratione/assets/css/style.css?ver=1769123736</t>
  </si>
  <si>
    <t>Thu, 22 Jan 2026 23:16:27 GMT</t>
  </si>
  <si>
    <t>https://salesxceleration.com/wp-content/uploads/2020/03/Buinesswoman_leading_a_team-1-scaled-1.jpg</t>
  </si>
  <si>
    <t>Mon, 03 Jan 2022 14:53:20 GMT</t>
  </si>
  <si>
    <t>https://salesxceleration.com/wp-content/uploads/2019/05/38f6cdfc-764f-11e9-87e1-d2f370493534-1.jpg</t>
  </si>
  <si>
    <t>Fri, 12 Nov 2021 16:03:06 GMT</t>
  </si>
  <si>
    <t>https://salesxceleration.com/wp-content/uploads/2019/12/Business_Man_Looking_to_Future_Success.jpg</t>
  </si>
  <si>
    <t>Fri, 12 Nov 2021 16:04:21 GMT</t>
  </si>
  <si>
    <t>https://salesxceleration.com/small-business-owners-outsource/</t>
  </si>
  <si>
    <t>Why Small Business Owners Outsource</t>
  </si>
  <si>
    <t>Small Business Owners Outsource | Here's Why | Sales Xceleration</t>
  </si>
  <si>
    <t>Small business owners outsource to part-time consultants when they see a problem as unsolvable with internal resources. Outsourcing has many benefits.</t>
  </si>
  <si>
    <t>d0c58787e6e38ee5545cf9042dba6cc4</t>
  </si>
  <si>
    <t>https://salesxceleration.com/wp-content/themes/salesxceleratione/assets/css/style.css?ver=1769123733</t>
  </si>
  <si>
    <t>https://salesxceleration.com/wp-content/uploads/2015/11/Sales-Plan-RS-72-dpi-560-x-225.jpg</t>
  </si>
  <si>
    <t>Mon, 03 Jan 2022 15:19:23 GMT</t>
  </si>
  <si>
    <t>ae1094dcc2c63004ec00fd752a0506f</t>
  </si>
  <si>
    <t>https://salesxceleration.com/how-to-implement-a-crisis-sales-plan/</t>
  </si>
  <si>
    <t>How to Implement a Crisis Sales Plan</t>
  </si>
  <si>
    <t>How to Implement a Crisis Sales Plan | Sales Xceleration Blog</t>
  </si>
  <si>
    <t>Businesses need to make sales plan modifications during a crisis to empower their sales organization to quickly and seamlessly pivot to a flexible and effective</t>
  </si>
  <si>
    <t>f50f636700ead4090c454c74204a85b5</t>
  </si>
  <si>
    <t>https://salesxceleration.com/wp-content/uploads/2015/07/Profit-Article-Image-2048x2048.jpg</t>
  </si>
  <si>
    <t>Fri, 28 Mar 2025 18:16:37 GMT</t>
  </si>
  <si>
    <t>https://salesxceleration.com/wp-content/themes/salesxceleratione/assets/css/style.css?ver=1769123732</t>
  </si>
  <si>
    <t>https://salesxceleration.com/wp-content/uploads/2015/03/strategic-sales-planning-business-on-track-sales-xcerleation-2048x2048.png</t>
  </si>
  <si>
    <t>Fri, 28 Mar 2025 23:14:08 GMT</t>
  </si>
  <si>
    <t>https://salesxceleration.com/wp-content/uploads/2022/01/https___specials-images.forbesimg.com_imageserve_61e0352da916d2d434a29ba3_Choice-Concept-With-Doors-In-Maze_960x0.jpg</t>
  </si>
  <si>
    <t>https://salesxceleration.com/halftime-is-prime-time-to-move-from-success-to-significance/</t>
  </si>
  <si>
    <t>Halftime is Prime Time to Move from Success to Significance</t>
  </si>
  <si>
    <t>Halftime is Prime Time to Move from Success to Significance | Sales Xceleration Blog</t>
  </si>
  <si>
    <t>If you’re like me, you’ve enjoyed a fair amount of success in your professional life. You’ve put in your time, honed your craft, and climbed the corporate</t>
  </si>
  <si>
    <t>dede242a51e5cbe86c1253c2127c002a</t>
  </si>
  <si>
    <t>https://salesxceleration.com/wp-content/themes/salesxceleratione/assets/css/style.css?ver=1769123731</t>
  </si>
  <si>
    <t>Thu, 22 Jan 2026 23:16:29 GMT</t>
  </si>
  <si>
    <t>https://salesxceleration.com/wp-content/uploads/2021/08/choppy-blue-sea-with-blue-sky-and-sun.jpg</t>
  </si>
  <si>
    <t>Mon, 03 Jan 2022 14:35:29 GMT</t>
  </si>
  <si>
    <t>https://salesxceleration.com/how-strategic-sales-planning-can-keep-your-business-on-track-for-success/</t>
  </si>
  <si>
    <t>How Strategic Sales Planning Can Keep Your Business on Track for Success</t>
  </si>
  <si>
    <t>Sales Strategies | Strategic Planning For Sales - Sales Xceleration</t>
  </si>
  <si>
    <t>Develop solid sales strategies with Sales Xceleration. Visit our page &amp; get help on how to outperform your competition with our strategic planning for sales.</t>
  </si>
  <si>
    <t>490023e45d01135637b963a6e7b3b39f</t>
  </si>
  <si>
    <t>https://salesxceleration.com/wp-content/uploads/2020/06/shutterstock_738625801-scaled-1-2048x2048.jpg</t>
  </si>
  <si>
    <t>Sat, 29 Mar 2025 01:27:27 GMT</t>
  </si>
  <si>
    <t>https://salesxceleration.com/its-about-profit-not-sales/</t>
  </si>
  <si>
    <t>It’s About Profit NOT Sales</t>
  </si>
  <si>
    <t>It’s About Profit NOT Sales | Sales Xceleration Blog</t>
  </si>
  <si>
    <t>We have all heard the old adage “we will make it up in volume,” and have either laughed or cried depending on how serious we thought the speaker was. It is</t>
  </si>
  <si>
    <t>655f69ed499e0015ff1c23669d8d6590</t>
  </si>
  <si>
    <t>https://salesxceleration.com/wp-content/uploads/2022/01/assessment.jpg</t>
  </si>
  <si>
    <t>Tue, 25 Jan 2022 12:09:28 GMT</t>
  </si>
  <si>
    <t>https://salesxceleration.com/wp-content/uploads/2016/05/Compensation-Payment-Plan--2048x2048.jpg</t>
  </si>
  <si>
    <t>Fri, 28 Mar 2025 14:56:11 GMT</t>
  </si>
  <si>
    <t>https://salesxceleration.com/5-ways-to-assess-sales-performance-amid-a-global-pandemic/</t>
  </si>
  <si>
    <t>ValueWalk – 5 Ways to Assess Sales Performance Amid a Global Pandemic</t>
  </si>
  <si>
    <t>PE And M&amp;A Deals in a Post-Pandemic World</t>
  </si>
  <si>
    <t>Evaluating Sales in a New World</t>
  </si>
  <si>
    <t>ValueWalk - 5 Ways to Assess Sales Performance Amid a Global Pandemic | Sales Xceleration Blog</t>
  </si>
  <si>
    <t>Learn 5 ways to assess your sales performance amid a global pandemic.</t>
  </si>
  <si>
    <t>4a593eda696e2c1969a3127cad2906c2</t>
  </si>
  <si>
    <t>https://salesxceleration.com/wp-content/uploads/2022/03/Exit-Planning.jpg</t>
  </si>
  <si>
    <t>Thu, 17 Mar 2022 15:08:40 GMT</t>
  </si>
  <si>
    <t>https://salesxceleration.com/manage-sales-success-compensation/</t>
  </si>
  <si>
    <t>Manage Your Sales Compensation, Manage Your Success — Part V of a V Part Series on Compensation</t>
  </si>
  <si>
    <t>Manage Your Sales Compensation, Manage Your Success | Sales X</t>
  </si>
  <si>
    <t>In Part V, the final segment of this series, you will learn that there are a variety of ways to structure payment to your sales team.</t>
  </si>
  <si>
    <t>2dfe624f4be108f73e3ae12a3f050106</t>
  </si>
  <si>
    <t>https://salesxceleration.com/a-business-leaders-guide-to-a-seamless-exit-strategy/</t>
  </si>
  <si>
    <t>A Business Leader’s Guide to a Seamless Exit Strategy</t>
  </si>
  <si>
    <t>How to Determine What Your Company Is Worth</t>
  </si>
  <si>
    <t>Maximizing Your Selling Price</t>
  </si>
  <si>
    <t>A Business Leader's Guide to a Seamless Exit Strategy | Sales Xceleration Blog</t>
  </si>
  <si>
    <t>An exit plan is essential for creating a healthy business that generates long-term success. Use this checklist to plan for a smooth departure.</t>
  </si>
  <si>
    <t>7f78bf8e848247268fa610c1c6b483da</t>
  </si>
  <si>
    <t>https://salesxceleration.com/wp-content/uploads/2022/04/Sales-Strategies-to-Close-the-Deal.jpg</t>
  </si>
  <si>
    <t>Tue, 05 Apr 2022 20:14:06 GMT</t>
  </si>
  <si>
    <t>https://salesxceleration.com/wp-content/themes/salesxceleratione/assets/css/style.css?ver=1769123730</t>
  </si>
  <si>
    <t>Thu, 22 Jan 2026 23:16:30 GMT</t>
  </si>
  <si>
    <t>https://salesxceleration.com/wp-content/uploads/2023/02/Enhance-Sales-Performance.jpg</t>
  </si>
  <si>
    <t>Tue, 07 Feb 2023 11:48:59 GMT</t>
  </si>
  <si>
    <t>https://salesxceleration.com/books/4th-edition-2022-state-of-sales/</t>
  </si>
  <si>
    <t>https://salesxceleration.com/books/5th-edition-2023-state-of-sales</t>
  </si>
  <si>
    <t>https://salesxceleration.com/sales-tools/</t>
  </si>
  <si>
    <t>https://salesxceleration.com/wp-content/uploads/elementor/css/post-25469.css?ver=1768881743</t>
  </si>
  <si>
    <t>Tue, 20 Jan 2026 04:02:23 GMT</t>
  </si>
  <si>
    <t>https://salesxceleration.com/wp-content/uploads/2021/06/competitive-analysis-500-2048x2048.jpg</t>
  </si>
  <si>
    <t>https://salesxceleration.com/wp-content/themes/salesxceleratione/assets/css/style.css?ver=1769123729</t>
  </si>
  <si>
    <t>Thu, 22 Jan 2026 23:16:32 GMT</t>
  </si>
  <si>
    <t>https://salesxceleration.com/wp-content/uploads/2022/03/Competitive-Advantage.jpg</t>
  </si>
  <si>
    <t>Mon, 07 Mar 2022 11:53:11 GMT</t>
  </si>
  <si>
    <t>https://salesxceleration.com/infographics/gaining-a-competitive-advantage/</t>
  </si>
  <si>
    <t>https://salesxceleration.com/?download=27887</t>
  </si>
  <si>
    <t>https://salesxceleration.com/wp-content/uploads/2022/04/Growth-Bottled-Up.jpg</t>
  </si>
  <si>
    <t>Wed, 20 Apr 2022 18:28:46 GMT</t>
  </si>
  <si>
    <t>https://salesxceleration.com/wp-content/uploads/2022/04/Startup-Business.jpg</t>
  </si>
  <si>
    <t>Mon, 25 Apr 2022 17:02:35 GMT</t>
  </si>
  <si>
    <t>https://salesxceleration.com/wp-content/themes/salesxceleratione/assets/css/style.css?ver=1769123728</t>
  </si>
  <si>
    <t>Thu, 22 Jan 2026 23:16:33 GMT</t>
  </si>
  <si>
    <t>https://salesxceleration.com/wp-content/uploads/2022/04/Screen-with-Kep-Performance-Indicators-2048x2048.jpg</t>
  </si>
  <si>
    <t>https://salesxceleration.com/wp-content/themes/salesxceleratione/assets/css/style.css?ver=1769123727</t>
  </si>
  <si>
    <t>https://salesxceleration.com/how-to-increase-sales-7-ways-to-enhance-sales-performance/</t>
  </si>
  <si>
    <t>How to Increase Sales: 7 Ways to Enhance Sales Performance</t>
  </si>
  <si>
    <t>Sales Team Performance Lagging? You Need a Sales Process Improvement Plan:</t>
  </si>
  <si>
    <t>1. Understand Where You Are</t>
  </si>
  <si>
    <t>How to Increase Sales: 7 Ways to Enhance Sales Performance | Sales Xceleration Blog</t>
  </si>
  <si>
    <t>Most sales organizations can enhance sales performance by implementing a sales process improvement plan grounded in these seven strategies.</t>
  </si>
  <si>
    <t>d86a6c2cb4bc1d558633f5f375e86028</t>
  </si>
  <si>
    <t>https://salesxceleration.com/wp-content/uploads/2018/01/Need-a-salesperson-650-x-325-72-dpi.jpg</t>
  </si>
  <si>
    <t>Mon, 03 Jan 2022 15:11:35 GMT</t>
  </si>
  <si>
    <t>https://salesxceleration.com/wp-content/uploads/2016/10/Hiring-a-Salesperson-Break-Down-Barriers-RS-72-560-x-225.jpg</t>
  </si>
  <si>
    <t>Fri, 12 Nov 2021 15:57:39 GMT</t>
  </si>
  <si>
    <t>https://salesxceleration.com/wp-content/themes/salesxceleratione/assets/css/style.css?ver=1769123726</t>
  </si>
  <si>
    <t>https://salesxceleration.com/wp-content/uploads/2017/05/SinkOrSwimBlog-1.jpg</t>
  </si>
  <si>
    <t>Mon, 03 Jan 2022 15:14:43 GMT</t>
  </si>
  <si>
    <t>https://salesxceleration.com/wp-content/themes/salesxceleratione/assets/css/style.css?ver=1769123725</t>
  </si>
  <si>
    <t>https://salesxceleration.com/author/tgardner/</t>
  </si>
  <si>
    <t>Tom Gardner</t>
  </si>
  <si>
    <t>Tom Gardner, Author at Sales Xceleration</t>
  </si>
  <si>
    <t>8210ab804efb1fdc7612a066379bea83</t>
  </si>
  <si>
    <t>https://salesxceleration.com/wp-content/uploads/2017/07/WhatnottodoBlog-300x151.jpg</t>
  </si>
  <si>
    <t>Fri, 12 Nov 2021 16:00:19 GMT</t>
  </si>
  <si>
    <t>https://salesxceleration.com/wp-content/uploads/2016/08/Talent-vs-talented-300x143.png</t>
  </si>
  <si>
    <t>Mon, 03 Jan 2022 15:17:23 GMT</t>
  </si>
  <si>
    <t>https://salesxceleration.com/no-access/download-id/27866/</t>
  </si>
  <si>
    <t>https://salesxceleration.com/wp-content/uploads/2017/02/Tall-Businessman-Featured-300x150.jpg</t>
  </si>
  <si>
    <t>Fri, 12 Nov 2021 15:59:58 GMT</t>
  </si>
  <si>
    <t>https://salesxceleration.com/train-brain-close-sale/</t>
  </si>
  <si>
    <t>Train Your Brain to Close the Sale</t>
  </si>
  <si>
    <t>Train Your Brain to Close the Sale | Sales Xceleration Blog</t>
  </si>
  <si>
    <t>From a lead to a close, you need to train your brain to work appropriately and together. That means your sales processes need to work differently too.</t>
  </si>
  <si>
    <t>a7bdebcfef356a74f971ef01b8485bd1</t>
  </si>
  <si>
    <t>https://salesxceleration.com/stop-proposal-factory-2/</t>
  </si>
  <si>
    <t>Stop Being a Proposal Factory</t>
  </si>
  <si>
    <t>Stop Being a Proposal Factory | Sales Xceleration Blog</t>
  </si>
  <si>
    <t>If you lead your sales process with a proposal, you are not alone, but you will reach the same dead end as many of your sales peers.</t>
  </si>
  <si>
    <t>ccfe159ac308c63d0236f93cad177f6c</t>
  </si>
  <si>
    <t>https://salesxceleration.com/wp-content/uploads/2017/08/mwblog-300x169.jpg</t>
  </si>
  <si>
    <t>Fri, 12 Nov 2021 16:00:24 GMT</t>
  </si>
  <si>
    <t>https://salesxceleration.com/wp-content/uploads/2022/02/Businessmen-Shaking-Hands-300x200.jpg</t>
  </si>
  <si>
    <t>Mon, 07 Feb 2022 17:44:53 GMT</t>
  </si>
  <si>
    <t>https://salesxceleration.com/create-sales-plan-sets-sales-pros-success/</t>
  </si>
  <si>
    <t>Create a Sales Plan that Sets Your Sales Pros Up for Success</t>
  </si>
  <si>
    <t>A well written sales plan is a key responsibility of a sales manager and defines for the team “what we do, how we do it, and why we do it.”</t>
  </si>
  <si>
    <t>f4844e2cda223adc27fbea3d9d797527</t>
  </si>
  <si>
    <t>https://salesxceleration.com/rewind-sales-organization-fast-forward-sales-performance/</t>
  </si>
  <si>
    <t>Rewind Sales Organization to Fast-Forward Sales Performance</t>
  </si>
  <si>
    <t>Whether your sales organization started on the wrong foot or never even got off the ground, it’s not too late to put a sales strategy in place.</t>
  </si>
  <si>
    <t>7e437501e51314ca469c3bf7b0b2e304</t>
  </si>
  <si>
    <t>https://salesxceleration.com/wp-content/uploads/2019/03/marketing-case-study1-768x440.jpg</t>
  </si>
  <si>
    <t>Fri, 28 Mar 2025 17:42:35 GMT</t>
  </si>
  <si>
    <t>https://salesxceleration.com/wp-content/uploads/2019/10/hvac-thumbnail-768x439.jpg</t>
  </si>
  <si>
    <t>Fri, 28 Mar 2025 17:20:55 GMT</t>
  </si>
  <si>
    <t>https://salesxceleration.com/wp-content/themes/salesxceleratione/assets/css/style.css?ver=1769123723</t>
  </si>
  <si>
    <t>Thu, 22 Jan 2026 23:16:35 GMT</t>
  </si>
  <si>
    <t>https://salesxceleration.com/wp-content/uploads/2017/07/Sales-Training-300x169.jpg</t>
  </si>
  <si>
    <t>Fri, 12 Nov 2021 16:00:21 GMT</t>
  </si>
  <si>
    <t>https://salesxceleration.com/wp-content/uploads/2017/12/brainblog-300x202.jpg</t>
  </si>
  <si>
    <t>Mon, 03 Jan 2022 15:11:45 GMT</t>
  </si>
  <si>
    <t>https://salesxceleration.com/wp-content/uploads/2017/03/TheValueFactory-300x169.jpg</t>
  </si>
  <si>
    <t>https://salesxceleration.com/what-is-the-impact-of-covid-19-on-your-sales-process/</t>
  </si>
  <si>
    <t>What is the Impact of COVID-19 on Your Sales Process?</t>
  </si>
  <si>
    <t>Impact of COVID-19 on Sales Survey</t>
  </si>
  <si>
    <t>Challenges of Virtual Selling</t>
  </si>
  <si>
    <t>What is the Impact of COVID-19 on Your Sales Process? | Sales Xceleration Blog</t>
  </si>
  <si>
    <t>Understanding new adaptations to the sales process will enable sellers to deliver stronger sales performance than ever before.</t>
  </si>
  <si>
    <t>d85f4c8871172f49c0a34e94a458ceaf</t>
  </si>
  <si>
    <t>https://salesxceleration.com/wp-content/uploads/2019/10/thumb-recruiting-cs-768x439.jpg</t>
  </si>
  <si>
    <t>Fri, 28 Mar 2025 20:18:05 GMT</t>
  </si>
  <si>
    <t>https://salesxceleration.com/wp-content/uploads/2017/10/rewind-1-300x162.jpg</t>
  </si>
  <si>
    <t>Mon, 03 Jan 2022 15:12:44 GMT</t>
  </si>
  <si>
    <t>https://salesxceleration.com/if-6-feet-tall/</t>
  </si>
  <si>
    <t>“If I Was 6 Feet Tall”</t>
  </si>
  <si>
    <t>“If I Was 6 Feet Tall” | Sales Xceleration Blog</t>
  </si>
  <si>
    <t>Optimal resource allocation requires an in-depth review of the sales structure and processes.</t>
  </si>
  <si>
    <t>7cc2776d5ccfc2519377eb9de443940b</t>
  </si>
  <si>
    <t>https://salesxceleration.com/talented-sales-performance/</t>
  </si>
  <si>
    <t>Are You a Talent, or Are You Talented?</t>
  </si>
  <si>
    <t>Are You a Talent, or Are You Talented? | Sales Xceleration</t>
  </si>
  <si>
    <t>Although talent and talented share similar definitions, they are very different when it comes to being successful in sales performance.</t>
  </si>
  <si>
    <t>3be6da9c8f30bf83b7a66ae57cdbc3c5</t>
  </si>
  <si>
    <t>https://salesxceleration.com/wp-content/uploads/2016/10/Screen-Shot-2016-10-12-at-2.11.04-PM-300x143.png</t>
  </si>
  <si>
    <t>Mon, 03 Jan 2022 15:16:44 GMT</t>
  </si>
  <si>
    <t>https://salesxceleration.com/wp-content/uploads/2016/07/Find-the-Right-Lid-300x143.png</t>
  </si>
  <si>
    <t>Mon, 03 Jan 2022 15:17:53 GMT</t>
  </si>
  <si>
    <t>https://salesxceleration.com/create-right-timing-maximize-sales-training/</t>
  </si>
  <si>
    <t>Create the Right Timing to Maximize Sales Training – Part 2 of Our Series on “Why Sales Training Isn’t Enough”</t>
  </si>
  <si>
    <t>Create the Right Timing to Maximize Sales Training - Part 2 of Our Series on "Why Sales Training Isn't Enough" | Sales Xceleration Blog</t>
  </si>
  <si>
    <t>Sales training has a time and place. To maximize its value and payoff, sales training should come AFTER the sales organization is prepared.</t>
  </si>
  <si>
    <t>d66805292f960880ff84a971174b11d</t>
  </si>
  <si>
    <t>https://salesxceleration.com/sales-plans-sales-results/</t>
  </si>
  <si>
    <t>Better Sales Plans Create Better Sales Results</t>
  </si>
  <si>
    <t>Better Sales Plans Create Better Sales Results | Sales Xceleration Blog</t>
  </si>
  <si>
    <t>A well-written Sales Plan defines, “what we do, how we do it, and why we do what we do” that will lead to desired sales results.</t>
  </si>
  <si>
    <t>8e089670c12d57adc037226cc0cfdbfa</t>
  </si>
  <si>
    <t>https://salesxceleration.com/modern-approach-incorporating-antiquated-sales-scripts/</t>
  </si>
  <si>
    <t>A Modern Approach to Incorporating Antiquated Sales Scripts</t>
  </si>
  <si>
    <t>A Modern Approach to Incorporating Antiquated Sales Scripts | Sales Xceleration Blog</t>
  </si>
  <si>
    <t>Let’s face it, salespeople are often annoying and frequently focus too much on their own goals rather than the needs of their customers.</t>
  </si>
  <si>
    <t>688a78af772d9e3b2ed9846c6a316b75</t>
  </si>
  <si>
    <t>https://salesxceleration.com/wp-content/uploads/2022/05/Sales-Lifecycle-2048x2048.jpg</t>
  </si>
  <si>
    <t>Fri, 28 Mar 2025 20:14:17 GMT</t>
  </si>
  <si>
    <t>https://salesxceleration.com/wp-content/uploads/2022/04/Screen-with-Kep-Performance-Indicators.jpg</t>
  </si>
  <si>
    <t>Tue, 26 Apr 2022 20:35:18 GMT</t>
  </si>
  <si>
    <t>https://salesxceleration.com/wp-content/uploads/2022/06/Leadership-Style.jpg</t>
  </si>
  <si>
    <t>Mon, 06 Jun 2022 11:27:52 GMT</t>
  </si>
  <si>
    <t>https://salesxceleration.com/wp-content/themes/salesxceleratione/assets/css/style.css?ver=1769123713</t>
  </si>
  <si>
    <t>https://salesxceleration.com/wp-content/themes/salesxceleratione/assets/css/style.css?ver=1769123714</t>
  </si>
  <si>
    <t>Thu, 22 Jan 2026 23:15:15 GMT</t>
  </si>
  <si>
    <t>https://salesxceleration.com/find-right-lid/</t>
  </si>
  <si>
    <t>“Find the Right Lid”</t>
  </si>
  <si>
    <t>“Find the Right Lid” | Sales Xceleration</t>
  </si>
  <si>
    <t>Whether you will hit your 2016 revenue budget has been determined, and the sales pipeline further confirms that your new business goals won’t happen.</t>
  </si>
  <si>
    <t>a3d84725ad0c4c6274f11c130c60b509</t>
  </si>
  <si>
    <t>https://salesxceleration.com/believing-in-the-sales-lifecycle/</t>
  </si>
  <si>
    <t>Believing in the Sales Lifecycle</t>
  </si>
  <si>
    <t>Pre-Discovery</t>
  </si>
  <si>
    <t>Step 1: Building your list</t>
  </si>
  <si>
    <t>Believing in the Sales Lifecycle | Sales Xceleration Blog</t>
  </si>
  <si>
    <t>Most of us who have spent any time in sales have heard of the Sales Lifecycle. It is often represented by a circle, as the lifecycle really never ends but</t>
  </si>
  <si>
    <t>1ef65d03847b2d930a47d948afb89261</t>
  </si>
  <si>
    <t>https://salesxceleration.com/wp-content/uploads/2016/03/chocolate-cake.jpg</t>
  </si>
  <si>
    <t>Fri, 12 Nov 2021 15:57:11 GMT</t>
  </si>
  <si>
    <t>https://salesxceleration.com/wp-content/themes/salesxceleratione/assets/css/style.css?ver=1769123711</t>
  </si>
  <si>
    <t>Thu, 22 Jan 2026 23:16:38 GMT</t>
  </si>
  <si>
    <t>https://salesxceleration.com/wp-content/themes/salesxceleratione/assets/css/style.css?ver=1769123706</t>
  </si>
  <si>
    <t>4d94656a0214af7086a59b5eb6ab06ff</t>
  </si>
  <si>
    <t>https://salesxceleration.com/wp-content/uploads/2022/02/Business-Executive-on-Manufaturing-Floor-300x169.jpg</t>
  </si>
  <si>
    <t>Tue, 08 Feb 2022 13:07:39 GMT</t>
  </si>
  <si>
    <t>https://salesxceleration.com/wp-content/themes/salesxceleratione/assets/css/style.css?ver=1769123704</t>
  </si>
  <si>
    <t>https://salesxceleration.com/wp-content/uploads/2019/11/payroll-thumb-768x439.jpg</t>
  </si>
  <si>
    <t>Fri, 28 Mar 2025 20:17:57 GMT</t>
  </si>
  <si>
    <t>https://salesxceleration.com/wp-content/uploads/2018/12/shutterstock_1209757879-resized-300x200.jpg</t>
  </si>
  <si>
    <t>Mon, 03 Jan 2022 15:04:26 GMT</t>
  </si>
  <si>
    <t>https://salesxceleration.com/author/cgoade/</t>
  </si>
  <si>
    <t>Chris Goade</t>
  </si>
  <si>
    <t>Chris Goade, Author at Sales Xceleration</t>
  </si>
  <si>
    <t>2a54a6c2c7439d4ed9a5927857ba1b0d</t>
  </si>
  <si>
    <t>https://salesxceleration.com/wp-content/themes/salesxceleratione/assets/css/style.css?ver=1769123703</t>
  </si>
  <si>
    <t>Thu, 22 Jan 2026 23:16:39 GMT</t>
  </si>
  <si>
    <t>https://salesxceleration.com/wp-content/uploads/2020/04/Climbing_the_ladder-scaled-1-300x168.jpg</t>
  </si>
  <si>
    <t>Mon, 03 Jan 2022 14:53:01 GMT</t>
  </si>
  <si>
    <t>https://salesxceleration.com/four-painful-manufacturing-sales-challenges-and-the-cure-hiding-in-plain-sight/</t>
  </si>
  <si>
    <t>Four Painful Manufacturing Sales Challenges (and the Cure Hiding in Plain Sight)</t>
  </si>
  <si>
    <t>Four Painful Manufacturing Sales Challenges (and the Cure Hiding in Plain Sight) | Sales Xceleration Blog</t>
  </si>
  <si>
    <t>Effective sales leadership – the cure for common sales pain points – is strategic, process- and goal-oriented, measurable, proactive, and forward-looking.</t>
  </si>
  <si>
    <t>871930b359304e6b4eee2e004a1722d2</t>
  </si>
  <si>
    <t>https://salesxceleration.com/wp-content/uploads/2020/01/tech-thumb-768x424.jpg</t>
  </si>
  <si>
    <t>Fri, 28 Mar 2025 16:01:09 GMT</t>
  </si>
  <si>
    <t>https://salesxceleration.com/wp-content/uploads/2021/02/thumb-consulting-cs-768x440.jpg</t>
  </si>
  <si>
    <t>https://salesxceleration.com/wp-content/uploads/2021/02/thumb-mfg-cs-768x440.jpg</t>
  </si>
  <si>
    <t>https://salesxceleration.com/tried-true-lessons-selling/</t>
  </si>
  <si>
    <t>Tried and True Lessons of Selling</t>
  </si>
  <si>
    <t>Tried and True Lessons of Selling | Sales Xceleration Blog</t>
  </si>
  <si>
    <t>Setting up your sales process is critically important. At Sales Xceleration, we specialize in performance plans and process to address these needs. </t>
  </si>
  <si>
    <t>5a44df57165cec3752a84c8d3397034f</t>
  </si>
  <si>
    <t>https://salesxceleration.com/every-crisis-presents-opportunity/</t>
  </si>
  <si>
    <t>Every Crisis Presents Opportunity</t>
  </si>
  <si>
    <t>Every Crisis Presents Opportunity | Sales Xceleration Blog</t>
  </si>
  <si>
    <t>To successfully lead your business through a crisis, focus on being in the present, fulfilling expectations, and fixing what you can fix now.</t>
  </si>
  <si>
    <t>1354464670356415d9f8cd762ba438e9</t>
  </si>
  <si>
    <t>https://salesxceleration.com/wp-content/uploads/2017/11/newnew-1-300x202.jpg</t>
  </si>
  <si>
    <t>Fri, 12 Nov 2021 16:00:46 GMT</t>
  </si>
  <si>
    <t>https://salesxceleration.com/wp-content/uploads/2020/02/foodagthumb-768x439.jpg</t>
  </si>
  <si>
    <t>Fri, 28 Mar 2025 17:20:40 GMT</t>
  </si>
  <si>
    <t>https://salesxceleration.com/the-fundamentals-of-winning/</t>
  </si>
  <si>
    <t>The Fundamentals of Winning</t>
  </si>
  <si>
    <t>The Fundamentals of Winning | Sales Xceleration Blog</t>
  </si>
  <si>
    <t>A plan provides structure and defines what you stand for, what it means to partner with you and enables you to differentiate your brand.</t>
  </si>
  <si>
    <t>1158d8738dc738962675086019be1ed9</t>
  </si>
  <si>
    <t>https://salesxceleration.com/wp-content/uploads/2018/08/Winning_Blog-300x169.jpg</t>
  </si>
  <si>
    <t>Mon, 03 Jan 2022 15:07:43 GMT</t>
  </si>
  <si>
    <t>https://salesxceleration.com/wp-content/uploads/2017/07/meat-2378342_640-300x190.jpg</t>
  </si>
  <si>
    <t>Mon, 03 Jan 2022 15:14:15 GMT</t>
  </si>
  <si>
    <t>https://salesxceleration.com/wp-content/uploads/2019/11/marketing-thumb-768x438.jpg</t>
  </si>
  <si>
    <t>Fri, 28 Mar 2025 17:42:19 GMT</t>
  </si>
  <si>
    <t>https://salesxceleration.com/wp-content/uploads/2015/07/Brothers-RS-72-dpi-560-x-225.jpg</t>
  </si>
  <si>
    <t>Fri, 12 Nov 2021 15:56:54 GMT</t>
  </si>
  <si>
    <t>https://salesxceleration.com/wp-content/themes/salesxceleratione/assets/css/style.css?ver=1769123702</t>
  </si>
  <si>
    <t>Thu, 22 Jan 2026 23:16:41 GMT</t>
  </si>
  <si>
    <t>https://salesxceleration.com/wp-content/uploads/2020/02/certified-sales-professional.jpg</t>
  </si>
  <si>
    <t>Mon, 03 Jan 2022 14:54:36 GMT</t>
  </si>
  <si>
    <t>https://salesxceleration.com/wp-content/uploads/2015/07/Mentoring.jpg</t>
  </si>
  <si>
    <t>Mon, 03 Jan 2022 15:07:30 GMT</t>
  </si>
  <si>
    <t>https://salesxceleration.com/wp-content/themes/salesxceleratione/assets/css/style.css?ver=1769123701</t>
  </si>
  <si>
    <t>Thu, 22 Jan 2026 23:15:01 GMT</t>
  </si>
  <si>
    <t>https://salesxceleration.com/wp-content/uploads/2021/04/Case-Study_Manufacturing_SX_041221-1-768x440.jpg</t>
  </si>
  <si>
    <t>https://salesxceleration.com/wp-content/themes/salesxceleratione/assets/css/style.css?ver=1769123700</t>
  </si>
  <si>
    <t>https://salesxceleration.com/why-branding-important/</t>
  </si>
  <si>
    <t>Why is Branding So Important? (The Story of Two Steaks)</t>
  </si>
  <si>
    <t>Why is Branding So Important? (The Story of Two Steaks) | Sales Xceleration Blog</t>
  </si>
  <si>
    <t>Understand why branding is crucial for business success and how a strong brand can attract customers, build loyalty, and boost sales performance.</t>
  </si>
  <si>
    <t>b18ba8d2f8c51ac2e692bc16e984c90b</t>
  </si>
  <si>
    <t>https://salesxceleration.com/what-is-in-your-sales-backpack/</t>
  </si>
  <si>
    <t>What is in Your Sales Backpack?</t>
  </si>
  <si>
    <t>What is in Your Sales Backpack? | Sales Xceleration Blog</t>
  </si>
  <si>
    <t>Discover what tools and strategies belong in your sales backpack to maximize efficiency and success in your sales career and day-to-day operations.</t>
  </si>
  <si>
    <t>e12bd59d6710795ebc349823f36d162c</t>
  </si>
  <si>
    <t>https://salesxceleration.com/wp-content/uploads/2023/07/Meeting-with-sales-team.jpg</t>
  </si>
  <si>
    <t>Wed, 05 Jul 2023 16:55:20 GMT</t>
  </si>
  <si>
    <t>https://salesxceleration.com/wp-content/uploads/2023/03/CRM.jpg</t>
  </si>
  <si>
    <t>Wed, 29 Mar 2023 20:52:42 GMT</t>
  </si>
  <si>
    <t>https://salesxceleration.com/wp-content/uploads/2022/03/Businessman-Holding-a-Football-2048x2048.jpg</t>
  </si>
  <si>
    <t>Fri, 28 Mar 2025 17:40:47 GMT</t>
  </si>
  <si>
    <t>https://salesxceleration.com/wp-content/themes/salesxceleratione/assets/css/style.css?ver=1769123699</t>
  </si>
  <si>
    <t>Thu, 22 Jan 2026 23:16:43 GMT</t>
  </si>
  <si>
    <t>https://salesxceleration.com/wp-content/uploads/2023/01/Business-Manager.jpg</t>
  </si>
  <si>
    <t>Wed, 18 Jan 2023 16:54:09 GMT</t>
  </si>
  <si>
    <t>https://salesxceleration.com/wp-content/themes/salesxceleratione/assets/css/style.css?ver=1769123698</t>
  </si>
  <si>
    <t>Thu, 22 Jan 2026 23:14:59 GMT</t>
  </si>
  <si>
    <t>https://salesxceleration.com/wp-content/uploads/2019/07/shutterstock_1361250578-1-2048x2048.jpg</t>
  </si>
  <si>
    <t>Fri, 28 Mar 2025 16:27:43 GMT</t>
  </si>
  <si>
    <t>https://salesxceleration.com/your-key-performance-indicators-kpis-are-established-now-what/</t>
  </si>
  <si>
    <t>Your Key Performance Indicators (KPIs) Are Established, Now What?</t>
  </si>
  <si>
    <t>Leverage The Sales Framework</t>
  </si>
  <si>
    <t>Manage without Micromanaging</t>
  </si>
  <si>
    <t>Your Key Performance Indicators (KPIs) Are Established, Now What? | Sales Xceleration Blog</t>
  </si>
  <si>
    <t>By clarifying and optimizing sales process activities, and applying situational leadership, you empower your sales team to meet objectives and deliver sustainable sales results.</t>
  </si>
  <si>
    <t>abca9efb0ae90fe3f11e82d81b00e04b</t>
  </si>
  <si>
    <t>https://salesxceleration.com/wp-content/uploads/2023/03/Measuring-Sales-Rep-Success.jpg</t>
  </si>
  <si>
    <t>Fri, 10 Mar 2023 20:22:01 GMT</t>
  </si>
  <si>
    <t>https://salesxceleration.com/wp-content/uploads/2015/11/Consulting-sales-xceleration-2048x2048.png</t>
  </si>
  <si>
    <t>Sat, 29 Mar 2025 00:56:04 GMT</t>
  </si>
  <si>
    <t>https://salesxceleration.com/odell-beckham-jr-and-your-sales-organizations-success/</t>
  </si>
  <si>
    <t>Odell Beckham Jr. and Your Sales Organization’s Success</t>
  </si>
  <si>
    <t>Odell Beckham Jr. and Your Sales Organization’s Success | Sales Xceleration Blog</t>
  </si>
  <si>
    <t>What can your sales and leadership teams learn from an NFL wide receiver’s journey? Let’s discuss…</t>
  </si>
  <si>
    <t>cf4555c8d7271af21586571149fb0955</t>
  </si>
  <si>
    <t>https://salesxceleration.com/wp-content/uploads/2019/01/shutterstock_727711573-resized.jpg</t>
  </si>
  <si>
    <t>Fri, 12 Nov 2021 16:02:34 GMT</t>
  </si>
  <si>
    <t>https://salesxceleration.com/wp-content/uploads/2023/05/Successful-Sales-Team.jpg</t>
  </si>
  <si>
    <t>Tue, 30 May 2023 21:18:26 GMT</t>
  </si>
  <si>
    <t>https://salesxceleration.com/wp-content/themes/salesxceleratione/assets/css/style.css?ver=1769123697</t>
  </si>
  <si>
    <t>https://salesxceleration.com/wp-content/uploads/2024/03/Developing-a-Compelling-Value-Proposition.jpg</t>
  </si>
  <si>
    <t>Sun, 17 Mar 2024 17:20:33 GMT</t>
  </si>
  <si>
    <t>https://salesxceleration.com/sales-management-coaching/</t>
  </si>
  <si>
    <t>Your Best Sales Training Tool: Ongoing Sales Management Coaching</t>
  </si>
  <si>
    <t>Your Best Sales Training Tool: Ongoing Sales Management Coaching | Sales Xceleration</t>
  </si>
  <si>
    <t>Find out how to use continual sales management coaching to increase team engagement and elevate team performance. Read our Sales Blog Today!</t>
  </si>
  <si>
    <t>30de3e64492b873e0444516ab3fc8f81</t>
  </si>
  <si>
    <t>https://salesxceleration.com/wp-content/uploads/2023/03/Prospecting-with-meaningful-conversations.jpg</t>
  </si>
  <si>
    <t>Tue, 28 Mar 2023 19:20:16 GMT</t>
  </si>
  <si>
    <t>https://salesxceleration.com/wp-content/uploads/2023/03/Building-Strong-Business-Relationships-1.jpg</t>
  </si>
  <si>
    <t>Tue, 14 Mar 2023 18:44:02 GMT</t>
  </si>
  <si>
    <t>https://salesxceleration.com/wp-content/themes/salesxceleratione/assets/css/style.css?ver=1769123696</t>
  </si>
  <si>
    <t>https://salesxceleration.com/wp-content/themes/salesxceleratione/assets/css/style.css?ver=1769123695</t>
  </si>
  <si>
    <t>https://salesxceleration.com/wp-content/uploads/2024/02/Achieving-Sales-Excellence_Target-Market.jpg</t>
  </si>
  <si>
    <t>Tue, 27 Feb 2024 22:00:01 GMT</t>
  </si>
  <si>
    <t>https://salesxceleration.com/wp-content/uploads/2024/05/Competitive-Positioning.jpg</t>
  </si>
  <si>
    <t>Wed, 08 May 2024 20:26:28 GMT</t>
  </si>
  <si>
    <t>https://salesxceleration.com/wp-content/uploads/2020/09/Career-Crossroads-scaled-1-2048x2048.jpg</t>
  </si>
  <si>
    <t>https://salesxceleration.com/wp-content/uploads/2021/05/4-Key-Investments-New-Business-Owner-Must-Make-1024x682-1-2048x2048.jpg</t>
  </si>
  <si>
    <t>Sat, 29 Mar 2025 03:05:01 GMT</t>
  </si>
  <si>
    <t>https://salesxceleration.com/wp-content/uploads/2020/10/Sales-Leadership-Consultant-Leading-a-Sales-Meeting-scaled-1-2048x2048.jpg</t>
  </si>
  <si>
    <t>https://salesxceleration.com/wp-content/uploads/2020/11/Happy-Sales-Leader-Leading-a-Meeting-scaled-1-2048x2048.jpg</t>
  </si>
  <si>
    <t>Sat, 29 Mar 2025 03:05:09 GMT</t>
  </si>
  <si>
    <t>https://salesxceleration.com/infographics/competitor-sales-analysis-checklist/</t>
  </si>
  <si>
    <t>https://salesxceleration.com/?download=27888</t>
  </si>
  <si>
    <t>https://salesxceleration.com/wp-content/uploads/2023/02/sales-leaders-working-together.jpg</t>
  </si>
  <si>
    <t>Wed, 08 Feb 2023 22:12:02 GMT</t>
  </si>
  <si>
    <t>https://salesxceleration.com/wp-content/uploads/2022/05/Weathering-Economic-Downturn-2048x2048.jpg</t>
  </si>
  <si>
    <t>Fri, 28 Mar 2025 18:13:36 GMT</t>
  </si>
  <si>
    <t>https://salesxceleration.com/infographics/target-market-analysis-checklist/</t>
  </si>
  <si>
    <t>https://salesxceleration.com/?download=27891</t>
  </si>
  <si>
    <t>https://salesxceleration.com/wp-content/uploads/2024/01/Strategic-Roadmap.jpg</t>
  </si>
  <si>
    <t>Thu, 04 Jan 2024 21:51:48 GMT</t>
  </si>
  <si>
    <t>https://salesxceleration.com/wp-content/uploads/2022/05/Sales-Team-Strategizing-2048x2048.jpg</t>
  </si>
  <si>
    <t>Fri, 28 Mar 2025 18:13:41 GMT</t>
  </si>
  <si>
    <t>https://salesxceleration.com/4-key-investments-new-business-owners-should-make/</t>
  </si>
  <si>
    <t>Success – 4 Key Investments New Business Owners Should Make</t>
  </si>
  <si>
    <t>Success - 4 Key Investments New Business Owners Should Make | Sales Xceleration Blog</t>
  </si>
  <si>
    <t>If you want to stand up ideas that could make you millions, you must be willing to invest in 4 key areas.</t>
  </si>
  <si>
    <t>556739753940c7630b4ae0dee205b45f</t>
  </si>
  <si>
    <t>https://salesxceleration.com/wp-content/themes/salesxceleratione/assets/css/style.css?ver=1769123694</t>
  </si>
  <si>
    <t>Thu, 22 Jan 2026 23:16:46 GMT</t>
  </si>
  <si>
    <t>https://salesxceleration.com/recession-proof-strategies-for-sales-leaders/</t>
  </si>
  <si>
    <t>Recession-Proof Strategies for Sales Leaders</t>
  </si>
  <si>
    <t>Get more specific on your Ideal Client Profile (ICP)</t>
  </si>
  <si>
    <t>Add Relevance to your Value Proposition</t>
  </si>
  <si>
    <t>Recession-Proof Strategies for Sales Leaders | Sales Xceleration Blog</t>
  </si>
  <si>
    <t>Sales leaders are accountable for driving sales performance in good times and bad. The best ones adapt to changing market conditions to drive performance.</t>
  </si>
  <si>
    <t>3e03d9d45b366569c89c5e29edfacce5</t>
  </si>
  <si>
    <t>https://salesxceleration.com/wp-content/uploads/2024/06/Choosing-Effective-Sales-Channels.jpg</t>
  </si>
  <si>
    <t>Fri, 14 Jun 2024 14:18:41 GMT</t>
  </si>
  <si>
    <t>https://salesxceleration.com/wp-content/uploads/2017/07/Sales-Success-Buyer-Wants.jpg</t>
  </si>
  <si>
    <t>Mon, 03 Jan 2022 15:14:09 GMT</t>
  </si>
  <si>
    <t>https://salesxceleration.com/wp-content/uploads/2020/09/Online-Sales-Meeting-scaled-1-2048x2048.jpg</t>
  </si>
  <si>
    <t>Fri, 28 Mar 2025 23:24:40 GMT</t>
  </si>
  <si>
    <t>https://salesxceleration.com/wp-content/themes/salesxceleratione/assets/css/style.css?ver=1769123693</t>
  </si>
  <si>
    <t>https://salesxceleration.com/how-to-sell-more-by-selling-less/</t>
  </si>
  <si>
    <t>How to Sell More by “Selling” Less</t>
  </si>
  <si>
    <t>Time to Change Your Sales Philosophy</t>
  </si>
  <si>
    <t>Time to Change Your Sales Approach</t>
  </si>
  <si>
    <t>How to Sell More by “Selling” Less | Sales Xceleration Blog</t>
  </si>
  <si>
    <t>By changing your sales philosophy and approach and embracing a customer-focused brand of servant leadership – you can sell more by “selling” less.</t>
  </si>
  <si>
    <t>4e16448e953883e26fa4d5c7c2c690d2</t>
  </si>
  <si>
    <t>https://salesxceleration.com/three-sales-strategies-to-help-you-weather-an-economic-downtown/</t>
  </si>
  <si>
    <t>Three Sales Strategies to Help You Weather an Economic Downtown</t>
  </si>
  <si>
    <t>Understand Your Serviceable Obtainable Market</t>
  </si>
  <si>
    <t>Identify Your Win Rate</t>
  </si>
  <si>
    <t>Three Sales Strategies to Help You Weather an Economic Downtown | Sales Xceleration Blog</t>
  </si>
  <si>
    <t>Sales strategies that help you get in front of a market contraction and are good business practices in general.</t>
  </si>
  <si>
    <t>1be065d7b04dffb9802d29f92739271e</t>
  </si>
  <si>
    <t>https://salesxceleration.com/wp-content/themes/salesxceleratione/assets/css/style.css?ver=1769123691</t>
  </si>
  <si>
    <t>Thu, 22 Jan 2026 23:16:47 GMT</t>
  </si>
  <si>
    <t>https://salesxceleration.com/wp-content/uploads/2017/02/NFL-Football-2-scaled-1.jpg</t>
  </si>
  <si>
    <t>Mon, 03 Jan 2022 15:15:40 GMT</t>
  </si>
  <si>
    <t>https://salesxceleration.com/wp-content/uploads/2015/10/merger-derail-sales-success-sales-xceleration-300x167.jpg</t>
  </si>
  <si>
    <t>Fri, 12 Nov 2021 15:57:00 GMT</t>
  </si>
  <si>
    <t>https://salesxceleration.com/salesperson-reputations-bad-overcome-trap/</t>
  </si>
  <si>
    <t>Why Salesperson Reputations Are So Bad (and How to Overcome This Trap)</t>
  </si>
  <si>
    <t>Everything a salesperson does perpetuates or counteracts bad stereotypes and salesperson reputations. The real goal: always create value for the customer.</t>
  </si>
  <si>
    <t>926b3724fe05e550a68cc2031c33b6a5</t>
  </si>
  <si>
    <t>https://salesxceleration.com/sales-agility-assessment-1-0-mstewart/</t>
  </si>
  <si>
    <t>https://salesxceleration.com/wp-content/uploads/2015/12/Sales-Call-Featured--300x300.jpeg</t>
  </si>
  <si>
    <t>https://salesxceleration.com/wp-content/uploads/2017/05/SinkOrSwimBlog-1-300x300.jpg</t>
  </si>
  <si>
    <t>https://salesxceleration.com/wp-content/uploads/2015/11/Consulting-sales-xceleration-300x300.png</t>
  </si>
  <si>
    <t>Sat, 29 Mar 2025 00:55:38 GMT</t>
  </si>
  <si>
    <t>https://salesxceleration.com/peer-pressure/</t>
  </si>
  <si>
    <t>Sometimes Peer Pressure is Just What the Doctor Ordered</t>
  </si>
  <si>
    <t>Sometimes Peer Pressure is Just What the Doctor Ordered | Sales Xceleration Blog</t>
  </si>
  <si>
    <t>Although it may have negative connotations, peer pressure can actually help your sales team succeed. Pressure within your sales team can drive more sales. </t>
  </si>
  <si>
    <t>850f09f3847889b39cb0aa1dce9f57a4</t>
  </si>
  <si>
    <t>https://salesxceleration.com/sales-training-answer/</t>
  </si>
  <si>
    <t>Sometimes the Obvious Answer is Not the Correct One</t>
  </si>
  <si>
    <t>Insights to Effective Sales Training</t>
  </si>
  <si>
    <t>Learn How to Focus on the Right Sales Issues</t>
  </si>
  <si>
    <t>What is Your Sales Training Missing | Sales Xceleration</t>
  </si>
  <si>
    <t>Business owners get frustrated when their investment in sales training does not produce measurable results. Here are some insights to why.</t>
  </si>
  <si>
    <t>78222a62213339b3fc3d602d5df9b41f</t>
  </si>
  <si>
    <t>https://salesxceleration.com/wp-content/uploads/2017/06/NetworkingBlog-300x169.jpg</t>
  </si>
  <si>
    <t>Mon, 03 Jan 2022 15:14:31 GMT</t>
  </si>
  <si>
    <t>https://salesxceleration.com/wp-content/uploads/2016/01/Doctor-Ordered-Peer-Pressure--300x143.jpg</t>
  </si>
  <si>
    <t>Fri, 12 Nov 2021 15:57:08 GMT</t>
  </si>
  <si>
    <t>https://salesxceleration.com/wp-content/uploads/2016/04/sales-training-strategies-scaled-1-300x200.jpg</t>
  </si>
  <si>
    <t>Mon, 03 Jan 2022 15:18:47 GMT</t>
  </si>
  <si>
    <t>https://salesxceleration.com/how-honesty-can-help-maintain-customer-relationships/</t>
  </si>
  <si>
    <t>How Honesty Can Help Maintain Customer Relationships</t>
  </si>
  <si>
    <t>How Honesty Can Help Maintain Customer Relationships | Sales Xceleration Blog</t>
  </si>
  <si>
    <t>It may not be fun, but in order to maintain long-lasting customer relationships, sometimes you just need to have a honest discussion with your customer.</t>
  </si>
  <si>
    <t>f882cd9cebc6e4abd334bed1e6da0041</t>
  </si>
  <si>
    <t>https://salesxceleration.com/wp-content/uploads/2016/12/business-card-1525590-640x960-623x248-1-300x300.jpg</t>
  </si>
  <si>
    <t>Fri, 28 Mar 2025 21:13:20 GMT</t>
  </si>
  <si>
    <t>https://salesxceleration.com/comes-networking-jump-right-waters-fine/</t>
  </si>
  <si>
    <t>When it Comes to Networking – “Jump Right In … The Water’s Fine”</t>
  </si>
  <si>
    <t>The following suggestions should help reduce your stress level and enable you to get the most out of your networking activities.</t>
  </si>
  <si>
    <t>7e57f62d8e50076d8b99ed48bc190fc2</t>
  </si>
  <si>
    <t>https://salesxceleration.com/dont-let-a-merger-acquisition-derail-sales-results/</t>
  </si>
  <si>
    <t>Don’t Let a Merger or Acquisition Derail Your Sales Results</t>
  </si>
  <si>
    <t>Don’t Let a Merger or Acquisition Derail Your Sales Results | Sales Xceleration</t>
  </si>
  <si>
    <t>Careful sales planning can be overlooked when companies combine through mergers or acquisitions, but sales force evaluation needs to occur.</t>
  </si>
  <si>
    <t>7b7a6fcb60a806b20cd5659ddc520bd4</t>
  </si>
  <si>
    <t>https://salesxceleration.com/wp-content/uploads/2015/12/even-More-confessions-misunderstood-salesman-1.jpg</t>
  </si>
  <si>
    <t>Mon, 03 Jan 2022 15:19:13 GMT</t>
  </si>
  <si>
    <t>https://salesxceleration.com/wp-content/themes/salesxceleratione/assets/css/style.css?ver=1769123685</t>
  </si>
  <si>
    <t>Thu, 22 Jan 2026 23:16:48 GMT</t>
  </si>
  <si>
    <t>https://salesxceleration.com/wp-content/uploads/2015/04/tp-1.jpg</t>
  </si>
  <si>
    <t>Fri, 12 Nov 2021 15:56:46 GMT</t>
  </si>
  <si>
    <t>https://salesxceleration.com/wp-content/themes/salesxceleratione/assets/css/style.css?ver=1769123684</t>
  </si>
  <si>
    <t>Thu, 22 Jan 2026 23:16:49 GMT</t>
  </si>
  <si>
    <t>https://salesxceleration.com/wp-content/uploads/2015/09/Put-a-bow-on-it-sales-xceleration.png</t>
  </si>
  <si>
    <t>Mon, 03 Jan 2022 15:20:24 GMT</t>
  </si>
  <si>
    <t>https://salesxceleration.com/why-most-sales-training-doesnt-work-and-how-to-make-sure-it-does</t>
  </si>
  <si>
    <t>https://salesxceleration.com/wp-content/uploads/2015/04/backfire.png</t>
  </si>
  <si>
    <t>Mon, 03 Jan 2022 15:21:14 GMT</t>
  </si>
  <si>
    <t>https://salesxceleration.com/confessions-of-the-misunderstood-salesperson/</t>
  </si>
  <si>
    <t>Confessions of the Misunderstood Salesperson</t>
  </si>
  <si>
    <t>Confessions of the Misunderstood Salesperson | Sales Xceleration Blog</t>
  </si>
  <si>
    <t>Explore the struggles of the misunderstood salesperson and discover strategies to overcome challenges, build stronger relationships, and thrive in sales.</t>
  </si>
  <si>
    <t>91c1cc3cf09f1d166be93c5f05ab5feb</t>
  </si>
  <si>
    <t>https://salesxceleration.com/finding-the-right-people-for-your-sales-team</t>
  </si>
  <si>
    <t>https://salesxceleration.com/wp-content/uploads/2015/03/Salary-Cap.jpg</t>
  </si>
  <si>
    <t>Fri, 12 Nov 2021 15:56:40 GMT</t>
  </si>
  <si>
    <t>https://salesxceleration.com/wp-content/uploads/2015/03/Sales-superstars-sales-xceleration.png</t>
  </si>
  <si>
    <t>Mon, 03 Jan 2022 15:26:01 GMT</t>
  </si>
  <si>
    <t>https://salesxceleration.com/more-confessions-of-the-misunderstood-salesperson/</t>
  </si>
  <si>
    <t>More Confessions of the Misunderstood Salesperson</t>
  </si>
  <si>
    <t>More Confessions of the Misunderstood Salesperson | Sales Xceleration Blog</t>
  </si>
  <si>
    <t>Dive deeper into the challenges faced by salespeople in "More Confessions of the Misunderstood Salesperson" and learn strategies to overcome them.</t>
  </si>
  <si>
    <t>a1ad4ac4783b771b0e7f63f67378b1e0</t>
  </si>
  <si>
    <t>https://salesxceleration.com/wp-content/uploads/2015/04/ideal-salesperson-recruit.png</t>
  </si>
  <si>
    <t>Mon, 03 Jan 2022 15:21:49 GMT</t>
  </si>
  <si>
    <t>https://salesxceleration.com/wp-content/themes/salesxceleratione/assets/css/style.css?ver=1769123683</t>
  </si>
  <si>
    <t>Thu, 22 Jan 2026 23:16:50 GMT</t>
  </si>
  <si>
    <t>https://salesxceleration.com/wp-content/uploads/2015/02/Boss-and-Salespeople-RS.jpg</t>
  </si>
  <si>
    <t>Fri, 12 Nov 2021 15:56:20 GMT</t>
  </si>
  <si>
    <t>https://salesxceleration.com/wp-content/themes/salesxceleratione/assets/css/style.css?ver=1769123682</t>
  </si>
  <si>
    <t>Thu, 22 Jan 2026 23:14:43 GMT</t>
  </si>
  <si>
    <t>https://salesxceleration.com/wp-content/uploads/2015/05/New-Way-Old-Way-RS-560-x-233.jpg</t>
  </si>
  <si>
    <t>https://salesxceleration.com/wp-content/uploads/2017/01/goal-setting-1955806__340-566x248-1.png</t>
  </si>
  <si>
    <t>Mon, 03 Jan 2022 15:15:31 GMT</t>
  </si>
  <si>
    <t>https://salesxceleration.com/wp-content/themes/salesxceleratione/assets/css/style.css?ver=1769123681</t>
  </si>
  <si>
    <t>https://salesxceleration.com/wp-content/uploads/2016/12/Walk-Away-to-Greener-Pastures-Cropped-RS-560-x-225.jpg</t>
  </si>
  <si>
    <t>Mon, 03 Jan 2022 15:15:45 GMT</t>
  </si>
  <si>
    <t>https://salesxceleration.com/wp-content/uploads/2016/11/road-bikes-1562929__340.jpg</t>
  </si>
  <si>
    <t>Mon, 03 Jan 2022 15:16:13 GMT</t>
  </si>
  <si>
    <t>https://salesxceleration.com/wp-content/uploads/2017/07/JAblog2.jpg</t>
  </si>
  <si>
    <t>Mon, 03 Jan 2022 15:14:16 GMT</t>
  </si>
  <si>
    <t>https://salesxceleration.com/sales-agility-assessment-1-0-efrank/</t>
  </si>
  <si>
    <t>https://salesxceleration.com/wp-content/themes/salesxceleratione/assets/css/style.css?ver=1769123680</t>
  </si>
  <si>
    <t>Thu, 22 Jan 2026 23:16:51 GMT</t>
  </si>
  <si>
    <t>https://salesxceleration.com/wp-content/uploads/2017/01/pie-34974_640-e1485811136122-1.png</t>
  </si>
  <si>
    <t>Mon, 03 Jan 2022 15:15:33 GMT</t>
  </si>
  <si>
    <t>https://salesxceleration.com/wp-content/uploads/2015/03/sales-compensation-plan.png</t>
  </si>
  <si>
    <t>Mon, 03 Jan 2022 15:25:17 GMT</t>
  </si>
  <si>
    <t>https://salesxceleration.com/sales-agility-assessment-1-0-janderson/</t>
  </si>
  <si>
    <t>https://salesxceleration.com/wp-content/uploads/2015/03/sales-compensation-plan-115x200-1.jpg</t>
  </si>
  <si>
    <t>Fri, 12 Nov 2021 15:56:24 GMT</t>
  </si>
  <si>
    <t>https://salesxceleration.com/wp-content/uploads/2015/03/Indifference-200x300.jpg</t>
  </si>
  <si>
    <t>Fri, 12 Nov 2021 15:56:42 GMT</t>
  </si>
  <si>
    <t>https://salesxceleration.com/wp-content/uploads/2015/03/Indifference.jpg</t>
  </si>
  <si>
    <t>Mon, 03 Jan 2022 15:20:56 GMT</t>
  </si>
  <si>
    <t>https://salesxceleration.com/wp-content/uploads/2015/04/revealed-sales-x.png</t>
  </si>
  <si>
    <t>Mon, 03 Jan 2022 15:20:54 GMT</t>
  </si>
  <si>
    <t>https://salesxceleration.com/wp-content/themes/salesxceleratione/assets/css/style.css?ver=1769123678</t>
  </si>
  <si>
    <t>Thu, 22 Jan 2026 23:14:38 GMT</t>
  </si>
  <si>
    <t>https://salesxceleration.com/5-keys-to-a-successful-sales-compensation-plan</t>
  </si>
  <si>
    <t>https://salesxceleration.com/5-keys-to-a-successful-sales-compensation-plan/</t>
  </si>
  <si>
    <t>https://salesxceleration.com/wp-content/uploads/2016/02/Identifying-problem-.jpg</t>
  </si>
  <si>
    <t>Mon, 03 Jan 2022 15:18:58 GMT</t>
  </si>
  <si>
    <t>https://salesxceleration.com/wp-content/uploads/2016/05/Goals-scaled-1.jpg</t>
  </si>
  <si>
    <t>Mon, 03 Jan 2022 14:43:30 GMT</t>
  </si>
  <si>
    <t>https://salesxceleration.com/wp-content/themes/salesxceleratione/assets/css/style.css?ver=1769123677</t>
  </si>
  <si>
    <t>Thu, 22 Jan 2026 23:16:52 GMT</t>
  </si>
  <si>
    <t>https://salesxceleration.com/wp-content/uploads/2016/12/revenue-1704073__180.png</t>
  </si>
  <si>
    <t>Mon, 03 Jan 2022 15:15:54 GMT</t>
  </si>
  <si>
    <t>https://salesxceleration.com/wp-content/uploads/2016/04/Baby-Boomer-Entrepreneur.jpg</t>
  </si>
  <si>
    <t>Fri, 12 Nov 2021 15:57:14 GMT</t>
  </si>
  <si>
    <t>https://salesxceleration.com/no-access/download-id/27871/</t>
  </si>
  <si>
    <t>https://salesxceleration.com/wp-content/themes/salesxceleratione/assets/css/style.css?ver=1769123676</t>
  </si>
  <si>
    <t>Thu, 22 Jan 2026 23:16:53 GMT</t>
  </si>
  <si>
    <t>https://salesxceleration.com/wp-content/uploads/2016/07/New-Chapter-RS-72-560-x-225.jpg</t>
  </si>
  <si>
    <t>Mon, 03 Jan 2022 15:17:50 GMT</t>
  </si>
  <si>
    <t>https://salesxceleration.com/wp-content/uploads/2019/09/shutterstock_407349148_sm.jpg</t>
  </si>
  <si>
    <t>Mon, 03 Jan 2022 14:57:11 GMT</t>
  </si>
  <si>
    <t>https://salesxceleration.com/wp-content/themes/salesxceleratione/assets/css/style.css?ver=1769123675</t>
  </si>
  <si>
    <t>https://salesxceleration.com/top-10-action-items-to-help-you-hit-the-ground-running/</t>
  </si>
  <si>
    <t>Sales Team Planning: Top 10 Action Items to Help You Hit the Ground Running</t>
  </si>
  <si>
    <t>Sales Team Plan | Sales Xceleration</t>
  </si>
  <si>
    <t>Kickstart your sales success with these 10 actionable steps to accelerate progress, improve efficiency, and achieve your sales goals more effectively.</t>
  </si>
  <si>
    <t>7bc17f434982d41c7965d87f78582397</t>
  </si>
  <si>
    <t>https://salesxceleration.com/wp-content/uploads/2016/12/business-card-1525590-640x960-623x248-1-2048x2048.jpg</t>
  </si>
  <si>
    <t>https://salesxceleration.com/wp-content/uploads/2016/02/Dollarphotoclub_80668580-Outsource-Sign-RS-72.jpg</t>
  </si>
  <si>
    <t>Mon, 03 Jan 2022 15:18:59 GMT</t>
  </si>
  <si>
    <t>https://salesxceleration.com/wp-content/uploads/2019/08/shutterstock_1009393072.jpg</t>
  </si>
  <si>
    <t>Fri, 12 Nov 2021 16:03:23 GMT</t>
  </si>
  <si>
    <t>https://salesxceleration.com/wp-content/themes/salesxceleratione/assets/css/style.css?ver=1769123674</t>
  </si>
  <si>
    <t>https://salesxceleration.com/wp-content/uploads/2019/07/2019-07-16_123451.jpg</t>
  </si>
  <si>
    <t>Mon, 03 Jan 2022 14:59:29 GMT</t>
  </si>
  <si>
    <t>https://salesxceleration.com/wp-content/uploads/2019/07/shutterstock_536212654-1.jpg</t>
  </si>
  <si>
    <t>Fri, 12 Nov 2021 16:03:15 GMT</t>
  </si>
  <si>
    <t>https://salesxceleration.com/wp-content/uploads/2018/07/sales-consulting-opportunity.jpg</t>
  </si>
  <si>
    <t>Mon, 03 Jan 2022 15:07:53 GMT</t>
  </si>
  <si>
    <t>https://salesxceleration.com/marks-book-available-now/</t>
  </si>
  <si>
    <t>https://salesxceleration.com/?p=539</t>
  </si>
  <si>
    <t>https://salesxceleration.com/lost-order-dont-lose-connection/</t>
  </si>
  <si>
    <t>You Lost the Order – Don’t Make Things Worse by Losing the Connection</t>
  </si>
  <si>
    <t>Frustration over losing an order can impact good business judgment. Don't let the connection languish just because your prospect selected another vendor.</t>
  </si>
  <si>
    <t>b3c9f10130c19f1890994a3355080857</t>
  </si>
  <si>
    <t>https://salesxceleration.com/wp-content/themes/salesxceleratione/assets/css/style.css?ver=1769123672</t>
  </si>
  <si>
    <t>https://salesxceleration.com/wp-content/themes/salesxceleratione/assets/css/style.css?ver=1769123785</t>
  </si>
  <si>
    <t>https://salesxceleration.com/no-access/download-id/27893/</t>
  </si>
  <si>
    <t>https://salesxceleration.com/wp-content/uploads/2022/06/Client-Connection-300x300.jpg</t>
  </si>
  <si>
    <t>Fri, 28 Mar 2025 18:25:04 GMT</t>
  </si>
  <si>
    <t>https://salesxceleration.com/retired-fired-or-fired-up-the-new-vp-of-sales-opportunity/</t>
  </si>
  <si>
    <t>Retired, Fired or FIRED UP? The New VP of Sales Opportunity.</t>
  </si>
  <si>
    <t>Retired, Fired or FIRED UP? The New VP of Sales Opportunity. | Sales Xceleration Blog</t>
  </si>
  <si>
    <t>The shrinking tenure of corporate VP of Sales positions created a new opportunity. Learn why many step away and choose to be a linchpin resource for SMBs.</t>
  </si>
  <si>
    <t>f28548882bc09080afc1050979e77277</t>
  </si>
  <si>
    <t>https://salesxceleration.com/wp-content/uploads/2022/06/Business-Meeting-300x300.jpg</t>
  </si>
  <si>
    <t>Fri, 28 Mar 2025 18:24:54 GMT</t>
  </si>
  <si>
    <t>https://salesxceleration.com/wp-content/uploads/2023/02/sales-leaders-working-together-300x200.jpg</t>
  </si>
  <si>
    <t>Wed, 08 Feb 2023 22:12:04 GMT</t>
  </si>
  <si>
    <t>https://salesxceleration.com/wp-content/uploads/2022/05/Sales-Lifecycle-300x300.jpg</t>
  </si>
  <si>
    <t>https://salesxceleration.com/wp-content/uploads/2022/05/Key-Performance-Indicators-300x200.jpg</t>
  </si>
  <si>
    <t>Wed, 25 May 2022 20:43:21 GMT</t>
  </si>
  <si>
    <t>https://salesxceleration.com/wp-content/themes/salesxceleratione/assets/css/style.css?ver=1769123783</t>
  </si>
  <si>
    <t>Thu, 22 Jan 2026 23:16:56 GMT</t>
  </si>
  <si>
    <t>https://salesxceleration.com/wp-content/uploads/2022/11/Sales-Management-300x161.jpg</t>
  </si>
  <si>
    <t>Wed, 16 Nov 2022 22:05:42 GMT</t>
  </si>
  <si>
    <t>https://salesxceleration.com/5-sales-management-questions/</t>
  </si>
  <si>
    <t>5 Sales Management Questions</t>
  </si>
  <si>
    <t>#4. What is my customer type focus?</t>
  </si>
  <si>
    <t>5 Sales Management Questions | Sales Xceleration Blog</t>
  </si>
  <si>
    <t>Many are unsure how to diagnose their sales results, the following five questions will help your organization make key decisions.</t>
  </si>
  <si>
    <t>d82ca431005be121bf9ca44eac94bef9</t>
  </si>
  <si>
    <t>https://salesxceleration.com/wp-content/uploads/2022/09/Climbing-Mount-Whitney-California-300x200.jpg</t>
  </si>
  <si>
    <t>Mon, 26 Sep 2022 17:29:19 GMT</t>
  </si>
  <si>
    <t>https://salesxceleration.com/wp-content/uploads/2023/04/Sales-Team-discussing-recession-300x218.jpg</t>
  </si>
  <si>
    <t>Thu, 11 May 2023 16:22:25 GMT</t>
  </si>
  <si>
    <t>https://salesxceleration.com/wp-content/uploads/2023/04/Sales-Leaders-Working-in-Office-300x200.jpg</t>
  </si>
  <si>
    <t>Tue, 04 Apr 2023 20:48:39 GMT</t>
  </si>
  <si>
    <t>https://salesxceleration.com/wp-content/themes/salesxceleratione/assets/css/style.css?ver=1769123782</t>
  </si>
  <si>
    <t>Thu, 22 Jan 2026 23:16:22 GMT</t>
  </si>
  <si>
    <t>https://salesxceleration.com/believing-in-the-sales-lifecycle-part-3-solutioning-overcoming-buying-reticence-and-after-gaining-the-buy/</t>
  </si>
  <si>
    <t>Believing in the Sales Lifecycle, Part 3: Solutioning, Overcoming Buying Reticence, and After Gaining the Buy</t>
  </si>
  <si>
    <t>Solutioning</t>
  </si>
  <si>
    <t>Buying Reticence</t>
  </si>
  <si>
    <t>Believing in the Sales Lifecycle, Part 3: Solutioning, Overcoming Buying Reticence, and After Gaining the Buy | Sales Xceleration Blog</t>
  </si>
  <si>
    <t>You have uncovered the client’s challenges, now it is time to present your solutions that support their strategies.</t>
  </si>
  <si>
    <t>2bd237e5f0b46fa2dbed7063af1cc24</t>
  </si>
  <si>
    <t>https://salesxceleration.com/believing-in-the-sales-lifecycle-part-2-the-connection/</t>
  </si>
  <si>
    <t>Believing in the Sales Lifecycle, Part 2: The Connection</t>
  </si>
  <si>
    <t>The Connection</t>
  </si>
  <si>
    <t>1. Your First-Connect Pitch</t>
  </si>
  <si>
    <t>Believing in the Sales Lifecycle, Part 2: The Connection | Sales Xceleration Blog</t>
  </si>
  <si>
    <t>The most important stage in the sales lifecycle is the connection phase, so go in with a proven approach.</t>
  </si>
  <si>
    <t>b7ccff1396884839a644254dbdcf65a2</t>
  </si>
  <si>
    <t>https://salesxceleration.com/wp-content/themes/salesxceleratione/assets/css/style.css?ver=1769123781</t>
  </si>
  <si>
    <t>Thu, 22 Jan 2026 23:16:57 GMT</t>
  </si>
  <si>
    <t>https://salesxceleration.com/wp-content/themes/salesxceleratione/assets/css/style.css?ver=1769123779</t>
  </si>
  <si>
    <t>https://salesxceleration.com/wp-content/uploads/elementor/css/post-21363.css?ver=1768849823</t>
  </si>
  <si>
    <t>Mon, 19 Jan 2026 19:10:23 GMT</t>
  </si>
  <si>
    <t>https://salesxceleration.com/wp-content/uploads/elementor/css/post-21241.css?ver=1768917369</t>
  </si>
  <si>
    <t>Tue, 20 Jan 2026 13:56:09 GMT</t>
  </si>
  <si>
    <t>https://salesxceleration.com/wp-content/themes/salesxceleratione/assets/css/style.css?ver=1769123775</t>
  </si>
  <si>
    <t>Thu, 22 Jan 2026 23:16:15 GMT</t>
  </si>
  <si>
    <t>https://salesxceleration.com/wp-content/uploads/2021/09/header-breakaway-case-study.jpg</t>
  </si>
  <si>
    <t>Mon, 03 Jan 2022 14:19:40 GMT</t>
  </si>
  <si>
    <t>https://salesxceleration.com/wp-content/uploads/2018/08/jump_blog.jpg</t>
  </si>
  <si>
    <t>Mon, 03 Jan 2022 15:07:28 GMT</t>
  </si>
  <si>
    <t>https://salesxceleration.com/wp-content/uploads/2018/11/shutterstock_518412169-scaled.jpg</t>
  </si>
  <si>
    <t>Mon, 03 Jan 2022 15:04:48 GMT</t>
  </si>
  <si>
    <t>https://salesxceleration.com/finding-your-target-market-and-target-customer/</t>
  </si>
  <si>
    <t>Finding Your Target Market and Target Customer</t>
  </si>
  <si>
    <t>Manage Your Time</t>
  </si>
  <si>
    <t>What Value Do You Provide?</t>
  </si>
  <si>
    <t>Finding Your Target Market and Target Customer | Sales Xceleration Blog</t>
  </si>
  <si>
    <t>Identifying your ideal client – one that appreciates your value, provides repeat business, and generates referrals, is crucial to your business success.</t>
  </si>
  <si>
    <t>24b45be2b3c78422fd82d70950ac77f8</t>
  </si>
  <si>
    <t>https://salesxceleration.com/wp-content/themes/salesxceleratione/assets/css/style.css?ver=1769123771</t>
  </si>
  <si>
    <t>Thu, 22 Jan 2026 23:17:00 GMT</t>
  </si>
  <si>
    <t>https://salesxceleration.com/staying-ahead-of-the-fall-how-sales-teams-can-be-proactive-when-the-economy-tightens/</t>
  </si>
  <si>
    <t>Staying Ahead of the Fall: How Sales Teams Can Be Proactive When the Economy Tightens</t>
  </si>
  <si>
    <t>What Happens to Sales Strategies During Recessions?</t>
  </si>
  <si>
    <t>Staying Ahead of the Fall: How Sales Teams Can Be Proactive When the Economy Tightens | Sales Xceleration Blog</t>
  </si>
  <si>
    <t>As fears of recession grip the world, businesses everywhere are making cuts and reassessing budgets. For sales teams, this can be especially concerning.</t>
  </si>
  <si>
    <t>c4c38690721642fc18cdfcefaede07bf</t>
  </si>
  <si>
    <t>https://salesxceleration.com/wp-content/uploads/2019/09/Hope_Realized_Book_sm-1160x580-1.png</t>
  </si>
  <si>
    <t>Mon, 03 Jan 2022 14:37:47 GMT</t>
  </si>
  <si>
    <t>https://salesxceleration.com/wp-content/uploads/2015/12/sales-compensation-plan-get-fired-up-2048x2048.jpg</t>
  </si>
  <si>
    <t>Sat, 29 Mar 2025 00:47:38 GMT</t>
  </si>
  <si>
    <t>https://salesxceleration.com/wp-content/themes/salesxceleratione/assets/css/style.css?ver=1769123769</t>
  </si>
  <si>
    <t>https://salesxceleration.com/wp-content/uploads/2023/12/5-Tips-to-Boost-Sales-Performance.png</t>
  </si>
  <si>
    <t>Tue, 12 Dec 2023 22:03:12 GMT</t>
  </si>
  <si>
    <t>https://salesxceleration.com/more-about-halftime-finding-your-purpose-as-you-prepare-for-a-second-half-of-significance/</t>
  </si>
  <si>
    <t>More About Halftime: Finding Your Purpose as You Prepare for a Second Half of Significance</t>
  </si>
  <si>
    <t>More About Halftime: Finding Your Purpose as You Prepare for a Second Half of Significance | Sales Xceleration Blog</t>
  </si>
  <si>
    <t>In a recent article, I noted that the late Bob Buford made a strong case in his book, Halftime, that even if you have already achieved much in the first half</t>
  </si>
  <si>
    <t>e10067ac83ffd6fc44d01450a5fae43</t>
  </si>
  <si>
    <t>https://salesxceleration.com/wp-content/uploads/2023/12/Boosting-Sales-Performance.jpg</t>
  </si>
  <si>
    <t>Tue, 12 Dec 2023 22:02:48 GMT</t>
  </si>
  <si>
    <t>https://salesxceleration.com/infographics/sales-strategy-checklist/</t>
  </si>
  <si>
    <t>https://salesxceleration.com/?download=27890</t>
  </si>
  <si>
    <t>https://salesxceleration.com/infographics/5-tips-to-boost-sales-performance/</t>
  </si>
  <si>
    <t>https://salesxceleration.com/?download=29203</t>
  </si>
  <si>
    <t>https://salesxceleration.com/wp-content/uploads/2021/01/working-at-desk-e1608576587284-1024x543-1.jpg</t>
  </si>
  <si>
    <t>Mon, 03 Jan 2022 14:46:26 GMT</t>
  </si>
  <si>
    <t>https://salesxceleration.com/wp-content/themes/salesxceleratione/assets/css/style.css?ver=1769123767</t>
  </si>
  <si>
    <t>https://salesxceleration.com/effective-sales-training-in-focus-how-training-creates-a-competitive-advantage/</t>
  </si>
  <si>
    <t>Effective Sales Training in Focus: How Training Creates a Competitive Advantage</t>
  </si>
  <si>
    <t>Effective Sales Training in Focus: How Training Creates a Competitive Advantage | Sales Xceleration Blog</t>
  </si>
  <si>
    <t>Effective sales training is an important part of sales success for all companies, but most organizations fail to recognize how vital sales training can be.</t>
  </si>
  <si>
    <t>8abea1f804656780fd2d0e5e2eb8af14</t>
  </si>
  <si>
    <t>https://salesxceleration.com/importance-sales-team-accountability/</t>
  </si>
  <si>
    <t>The Importance of Sales Team Accountability</t>
  </si>
  <si>
    <t>The Importance of Sales Team Accountability | Sales Xceleration Blog</t>
  </si>
  <si>
    <t>“Accountability” is a word that has many interpretations. If approached correctly, sales team accountability within an organization can produce results.</t>
  </si>
  <si>
    <t>77a037b0e6e5f2d582229baba32f1789</t>
  </si>
  <si>
    <t>https://salesxceleration.com/wp-content/uploads/2020/12/Sales-Team-Building-a-Plan-scaled-1.jpg</t>
  </si>
  <si>
    <t>Mon, 03 Jan 2022 14:46:49 GMT</t>
  </si>
  <si>
    <t>https://salesxceleration.com/wp-content/uploads/2020/11/sales-pipeline.jpg</t>
  </si>
  <si>
    <t>Mon, 03 Jan 2022 14:47:44 GMT</t>
  </si>
  <si>
    <t>https://salesxceleration.com/wp-content/themes/salesxceleratione/assets/css/style.css?ver=1769123765</t>
  </si>
  <si>
    <t>Thu, 22 Jan 2026 23:17:03 GMT</t>
  </si>
  <si>
    <t>https://salesxceleration.com/wp-content/uploads/2020/11/sales-team.jpg</t>
  </si>
  <si>
    <t>Fri, 12 Nov 2021 16:05:34 GMT</t>
  </si>
  <si>
    <t>https://salesxceleration.com/wp-content/uploads/2020/01/sales-team-small.jpg</t>
  </si>
  <si>
    <t>Mon, 03 Jan 2022 14:54:48 GMT</t>
  </si>
  <si>
    <t>https://salesxceleration.com/wp-content/uploads/2020/01/Motivation_Essentials.pdf</t>
  </si>
  <si>
    <t>Blue Pencil Icon Lesson Plan</t>
  </si>
  <si>
    <t>DADxAv0Rmr4,BAC_OTujW9M</t>
  </si>
  <si>
    <t>Fri, 12 Nov 2021 16:04:30 GMT</t>
  </si>
  <si>
    <t>https://salesxceleration.com/wp-content/themes/salesxceleratione/assets/css/style.css?ver=1769123763</t>
  </si>
  <si>
    <t>Thu, 22 Jan 2026 23:17:07 GMT</t>
  </si>
  <si>
    <t>https://salesxceleration.com/wp-content/uploads/2019/10/https___specials-images.forbesimg.com_dam_imageserve_690357502_960x0.jpg</t>
  </si>
  <si>
    <t>Mon, 03 Jan 2022 14:56:44 GMT</t>
  </si>
  <si>
    <t>https://salesxceleration.com/wp-content/themes/salesxceleratione/assets/css/style.css?ver=1769123755</t>
  </si>
  <si>
    <t>https://salesxceleration.com/wp-content/uploads/2021/07/Exit-Strategy-scaled-1.jpg</t>
  </si>
  <si>
    <t>Mon, 03 Jan 2022 14:35:47 GMT</t>
  </si>
  <si>
    <t>https://salesxceleration.com/wp-content/themes/salesxceleratione/assets/css/style.css?ver=1769123752</t>
  </si>
  <si>
    <t>https://salesxceleration.com/wp-content/uploads/elementor/css/post-18994.css?ver=1768847411</t>
  </si>
  <si>
    <t>Mon, 19 Jan 2026 18:30:11 GMT</t>
  </si>
  <si>
    <t>https://salesxceleration.com/wp-content/uploads/2021/07/logo-entrepreneur.png</t>
  </si>
  <si>
    <t>Thu, 15 Aug 2024 11:25:57 GMT</t>
  </si>
  <si>
    <t>https://salesxceleration.com/wp-content/uploads/2021/05/Virtual-Selling-2048x2048.jpg</t>
  </si>
  <si>
    <t>Fri, 28 Mar 2025 19:54:26 GMT</t>
  </si>
  <si>
    <t>https://salesxceleration.com/if-youre-not-looking-at-these-3-things-youre-not-optimizing-sales/</t>
  </si>
  <si>
    <t>Entrepreneur – If You’re Not Looking at These 3 Things You’re Not Optimizing Sales</t>
  </si>
  <si>
    <t>Entrepreneur - If You’re Not Looking at These 3 Things You’re Not Optimizing Sales | Sales Xceleration Blog</t>
  </si>
  <si>
    <t>Customer behaviors have changed, which have in turn, changed sales strategies and goals to include virtual interactions.</t>
  </si>
  <si>
    <t>5abfa03e318ef05eb44e20dc937c1388</t>
  </si>
  <si>
    <t>https://salesxceleration.com/wp-content/uploads/2022/08/Remote-Sales-Team-2048x2048.jpg</t>
  </si>
  <si>
    <t>Fri, 28 Mar 2025 16:02:19 GMT</t>
  </si>
  <si>
    <t>https://salesxceleration.com/wp-content/themes/salesxceleratione/assets/css/style.css?ver=1769123751</t>
  </si>
  <si>
    <t>https://salesxceleration.com/wp-content/themes/salesxceleratione/assets/css/style.css?ver=1769123749</t>
  </si>
  <si>
    <t>https://salesxceleration.com/wp-content/uploads/2019/06/shutterstock_387729373-resized.jpg</t>
  </si>
  <si>
    <t>Mon, 03 Jan 2022 14:59:53 GMT</t>
  </si>
  <si>
    <t>https://salesxceleration.com/wp-content/themes/salesxceleratione/assets/css/style.css?ver=1769123748</t>
  </si>
  <si>
    <t>Thu, 22 Jan 2026 23:15:49 GMT</t>
  </si>
  <si>
    <t>https://salesxceleration.com/wp-content/uploads/2020/02/leap-day-2048x2048.jpg</t>
  </si>
  <si>
    <t>Fri, 28 Mar 2025 14:44:30 GMT</t>
  </si>
  <si>
    <t>https://salesxceleration.com/wp-content/uploads/2020/02/certified-sales-professional-2048x2048.jpg</t>
  </si>
  <si>
    <t>Fri, 28 Mar 2025 18:22:07 GMT</t>
  </si>
  <si>
    <t>https://salesxceleration.com/is-this-the-year-to-take-the-leap-of-faith/</t>
  </si>
  <si>
    <t>Is this the Year to Take the Leap of Faith?</t>
  </si>
  <si>
    <t>Is this the Year to Take the Leap of Faith? | Sales Xceleration Blog</t>
  </si>
  <si>
    <t>A career in sales management consulting is a path that might require you to take a leap of faith to pursue, but it will pay dividends.</t>
  </si>
  <si>
    <t>1a35730337421c72876b8bb46e85d51</t>
  </si>
  <si>
    <t>https://salesxceleration.com/wp-content/themes/salesxceleratione/assets/css/style.css?ver=1769123747</t>
  </si>
  <si>
    <t>https://salesxceleration.com/wp-content/uploads/2018/11/shutterstock_145160692-scaled.jpg</t>
  </si>
  <si>
    <t>Mon, 03 Jan 2022 15:05:24 GMT</t>
  </si>
  <si>
    <t>https://salesxceleration.com/managing-your-business-the-butler-way</t>
  </si>
  <si>
    <t>https://salesxceleration.com/wp-content/themes/salesxceleratione/assets/css/style.css?ver=1769123746</t>
  </si>
  <si>
    <t>Thu, 22 Jan 2026 23:17:10 GMT</t>
  </si>
  <si>
    <t>https://salesxceleration.com/why-sales-managers-must-be-coaches-so-salespeople-can-perform-when-it-counts</t>
  </si>
  <si>
    <t>https://salesxceleration.com/why-sales-managers-must-be-coaches-so-salespeople-can-perform-when-it-counts/</t>
  </si>
  <si>
    <t>https://salesxceleration.com/wp-content/uploads/2021/11/Competitor-Sales-Analysis-Checklist.pdf</t>
  </si>
  <si>
    <t>Mon, 29 Nov 2021 19:09:23 GMT</t>
  </si>
  <si>
    <t>https://salesxceleration.com/wp-content/themes/salesxceleratione/assets/css/style.css?ver=1769123743</t>
  </si>
  <si>
    <t>Thu, 22 Jan 2026 23:17:11 GMT</t>
  </si>
  <si>
    <t>https://salesxceleration.com/wp-content/uploads/2016/09/Advisors.jpg</t>
  </si>
  <si>
    <t>Mon, 03 Jan 2022 15:07:51 GMT</t>
  </si>
  <si>
    <t>https://salesxceleration.com/wp-content/uploads/2015/12/sales-compensation-plan-get-fired-up.jpg</t>
  </si>
  <si>
    <t>Mon, 03 Jan 2022 15:19:09 GMT</t>
  </si>
  <si>
    <t>How to Stop Circling the Top of the Sales Funnel and Make That Sale</t>
  </si>
  <si>
    <t>How to Stop Circling the Top of the Sales Funnel and Make That Sale | Sales Xceleration Blog</t>
  </si>
  <si>
    <t>Welcome to the salesperson’s nightmare: forever chasing prospects around the top of the sales funnel no matter how hard you work to make that sale!</t>
  </si>
  <si>
    <t>c15a58a91fcce19628741cbfff5d5ee6</t>
  </si>
  <si>
    <t>https://salesxceleration.com/wp-content/uploads/2015/12/sales-compensation-plan-get-fired-up-300x300.jpg</t>
  </si>
  <si>
    <t>Sat, 29 Mar 2025 00:47:36 GMT</t>
  </si>
  <si>
    <t>https://salesxceleration.com/wp-content/uploads/2016/04/sales-compensation-plan-part-2-300x300.jpg</t>
  </si>
  <si>
    <t>Fri, 28 Mar 2025 15:43:03 GMT</t>
  </si>
  <si>
    <t>https://salesxceleration.com/draw-line-make-sure-companys-sales-territories-make-sense/</t>
  </si>
  <si>
    <t>Where to Draw the Line – Make Sure Your Company’s Sales Territories Make Sense</t>
  </si>
  <si>
    <t>Where to Draw the Line – Make Sure Your Company’s Sales Territories Make Sense | Sales Xceleration Blog</t>
  </si>
  <si>
    <t>When salespeople are given concrete boundaries, they are more likely to excel at business development activities.</t>
  </si>
  <si>
    <t>d47aacfbf2d55998f641cf4ffd9a388a</t>
  </si>
  <si>
    <t>https://salesxceleration.com/wp-content/uploads/2016/04/managing-growth-compensation-plan-300x167.jpg</t>
  </si>
  <si>
    <t>Mon, 03 Jan 2022 15:18:42 GMT</t>
  </si>
  <si>
    <t>https://salesxceleration.com/growth-with-right-compensation-plan/</t>
  </si>
  <si>
    <t>Managing Sales Growth with the Right Compensation Plan</t>
  </si>
  <si>
    <t>Managing Sales Growth with Right Sales Compensation Plan</t>
  </si>
  <si>
    <t>An effective compensation plan needs to be based upon several components, and a “one size fits all” approach does not work across the board.   To meet the</t>
  </si>
  <si>
    <t>a308a35b10470f7aa1cbcf712aa1e606</t>
  </si>
  <si>
    <t>https://salesxceleration.com/wp-content/uploads/2016/05/Compensation-Payment-Plan--300x300.jpg</t>
  </si>
  <si>
    <t>Fri, 28 Mar 2025 14:56:09 GMT</t>
  </si>
  <si>
    <t>https://salesxceleration.com/wp-content/uploads/2016/05/Sales-compensation-plan--300x143.jpg</t>
  </si>
  <si>
    <t>Fri, 12 Nov 2021 15:57:15 GMT</t>
  </si>
  <si>
    <t>https://salesxceleration.com/wp-content/uploads/2017/05/DrawTheLineBlog-300x169.jpg</t>
  </si>
  <si>
    <t>Mon, 03 Jan 2022 15:14:45 GMT</t>
  </si>
  <si>
    <t>https://salesxceleration.com/wp-content/uploads/2016/04/managing-growth-compensation-plan.jpg</t>
  </si>
  <si>
    <t>Mon, 03 Jan 2022 15:18:41 GMT</t>
  </si>
  <si>
    <t>https://salesxceleration.com/wp-content/uploads/2015/03/sales-compensation-plan-2048x2048.png</t>
  </si>
  <si>
    <t>Fri, 28 Mar 2025 15:43:42 GMT</t>
  </si>
  <si>
    <t>https://salesxceleration.com/wp-content/uploads/2018/04/newyayaya-2048x2048.jpg</t>
  </si>
  <si>
    <t>Fri, 28 Mar 2025 16:02:18 GMT</t>
  </si>
  <si>
    <t>https://salesxceleration.com/wp-content/themes/salesxceleratione/assets/css/style.css?ver=1769123832</t>
  </si>
  <si>
    <t>Thu, 22 Jan 2026 23:17:13 GMT</t>
  </si>
  <si>
    <t>https://salesxceleration.com/sales-compensation-competitive/</t>
  </si>
  <si>
    <t>Is Your Sales Compensation Competitive? — Part IV of a V Part Series on Compensation</t>
  </si>
  <si>
    <t>Is Your Sales Compensation Competitive? — Part IV of a V Part Series on Compensation | Sales Xceleration Blog</t>
  </si>
  <si>
    <t>Compensation plans are often a hurdle to overcome when attracting new hires. Employers want the best salesperson there is on their team, but oftentimes don’t</t>
  </si>
  <si>
    <t>40f96e4f2ed97b817ef6b401372f0ce2</t>
  </si>
  <si>
    <t>https://salesxceleration.com/wp-content/uploads/2017/05/DrawTheLineBlog.jpg</t>
  </si>
  <si>
    <t>https://salesxceleration.com/wp-content/uploads/2015/08/f2.jpg</t>
  </si>
  <si>
    <t>Mon, 03 Jan 2022 15:09:53 GMT</t>
  </si>
  <si>
    <t>https://salesxceleration.com/how-top-salespeople-thrive-in-a-fast-paced-world/</t>
  </si>
  <si>
    <t>How Top Salespeople Thrive in a Fast-Paced World</t>
  </si>
  <si>
    <t>How Top Salespeople Thrive in a Fast-Paced World | Sales Xceleration Blog</t>
  </si>
  <si>
    <t>The sales process is so different today than it was a decade ago. Not only is there an entirely new set of rules, it is almost a completely new ballgame.</t>
  </si>
  <si>
    <t>5fde4942f08c8567ebc56559429255eb</t>
  </si>
  <si>
    <t>https://salesxceleration.com/wp-content/uploads/2016/05/Sales-compensation-plan-.jpg</t>
  </si>
  <si>
    <t>https://salesxceleration.com/wp-content/themes/salesxceleratione/assets/css/style.css?ver=1769123833</t>
  </si>
  <si>
    <t>https://salesxceleration.com/wp-content/themes/salesxceleratione/assets/css/style.css?ver=1769123831</t>
  </si>
  <si>
    <t>https://salesxceleration.com/wp-content/themes/salesxceleratione/assets/css/style.css?ver=1769123829</t>
  </si>
  <si>
    <t>https://salesxceleration.com/wp-content/uploads/2020/02/leap-day.jpg</t>
  </si>
  <si>
    <t>Mon, 03 Jan 2022 14:54:12 GMT</t>
  </si>
  <si>
    <t>https://salesxceleration.com/wp-content/themes/salesxceleratione/assets/css/style.css?ver=1769123827</t>
  </si>
  <si>
    <t>https://salesxceleration.com/wp-content/uploads/2021/05/Virtual-Selling.jpg</t>
  </si>
  <si>
    <t>Mon, 03 Jan 2022 14:37:36 GMT</t>
  </si>
  <si>
    <t>https://salesxceleration.com/wp-content/uploads/2017/07/AccountabilityBlog.jpg</t>
  </si>
  <si>
    <t>Mon, 03 Jan 2022 15:14:28 GMT</t>
  </si>
  <si>
    <t>https://salesxceleration.com/wp-content/themes/salesxceleratione/assets/css/style.css?ver=1769123823</t>
  </si>
  <si>
    <t>Thu, 22 Jan 2026 23:17:15 GMT</t>
  </si>
  <si>
    <t>Why Sales Managers Must Be Coaches (So Salespeople Can Perform When it Counts)</t>
  </si>
  <si>
    <t>Why Sales Managers Must Be Coaches (So Salespeople Can Perform When it Counts) | Sales Xceleration Blog</t>
  </si>
  <si>
    <t>Sales management requires coaches: coaches to observe, to motivate, to get better results, to make adjustments and to reward or discipline as necessary.</t>
  </si>
  <si>
    <t>24df7c6fcbe345ecf5b381aa73f94bbc</t>
  </si>
  <si>
    <t>https://salesxceleration.com/wp-content/uploads/2018/08/Effective_Sales.jpg</t>
  </si>
  <si>
    <t>Mon, 03 Jan 2022 15:07:32 GMT</t>
  </si>
  <si>
    <t>https://salesxceleration.com/wp-content/uploads/2018/10/shutterstock_282189722-scaled.jpg</t>
  </si>
  <si>
    <t>Mon, 03 Jan 2022 15:05:45 GMT</t>
  </si>
  <si>
    <t>https://salesxceleration.com/no-access/download-id/29203/</t>
  </si>
  <si>
    <t>https://salesxceleration.com/no-access/download-id/27890/</t>
  </si>
  <si>
    <t>https://salesxceleration.com/wp-content/themes/salesxceleratione/assets/css/style.css?ver=1769123821</t>
  </si>
  <si>
    <t>Thu, 22 Jan 2026 23:17:16 GMT</t>
  </si>
  <si>
    <t>https://salesxceleration.com/wp-content/uploads/2023/04/Sales-Team-discussing-recession.jpg</t>
  </si>
  <si>
    <t>Thu, 11 May 2023 16:22:24 GMT</t>
  </si>
  <si>
    <t>https://salesxceleration.com/wp-content/themes/salesxceleratione/assets/css/style.css?ver=1769123817</t>
  </si>
  <si>
    <t>Thu, 22 Jan 2026 23:16:58 GMT</t>
  </si>
  <si>
    <t>https://salesxceleration.com/wp-content/uploads/2023/04/Sales-Leaders-Working-in-Office.jpg</t>
  </si>
  <si>
    <t>Tue, 04 Apr 2023 20:48:38 GMT</t>
  </si>
  <si>
    <t>https://salesxceleration.com/wp-content/uploads/2022/06/Client-Connection.jpg</t>
  </si>
  <si>
    <t>Fri, 17 Jun 2022 17:21:17 GMT</t>
  </si>
  <si>
    <t>https://salesxceleration.com/wp-content/uploads/2022/06/Business-Meeting.jpg</t>
  </si>
  <si>
    <t>Fri, 17 Jun 2022 17:32:35 GMT</t>
  </si>
  <si>
    <t>https://salesxceleration.com/wp-content/themes/salesxceleratione/assets/css/style.css?ver=1769123816</t>
  </si>
  <si>
    <t>https://salesxceleration.com/wp-content/uploads/2022/11/Sales-Management.jpg</t>
  </si>
  <si>
    <t>Wed, 16 Nov 2022 22:05:41 GMT</t>
  </si>
  <si>
    <t>https://salesxceleration.com/wp-content/uploads/2018/06/Good_News_Bad_News.jpg</t>
  </si>
  <si>
    <t>Mon, 03 Jan 2022 15:08:52 GMT</t>
  </si>
  <si>
    <t>https://salesxceleration.com/downsized-your-accidental-entrepreneur-opportunity-as-a-sales-consultant/</t>
  </si>
  <si>
    <t>Downsized: Your “Accidental Entrepreneur” Opportunity as a Sales Consultant</t>
  </si>
  <si>
    <t>Downsized: Your “Accidental Entrepreneur” Opportunity as a Sales Consultant | Sales Xceleration Blog</t>
  </si>
  <si>
    <t>Almost everyone has been “downsized” during their professional careers – and this is especially true, it seems, for successful sales executives.</t>
  </si>
  <si>
    <t>391629fa8165cf922574b715984f7ce0</t>
  </si>
  <si>
    <t>https://salesxceleration.com/wp-content/themes/salesxceleratione/assets/css/style.css?ver=1769123814</t>
  </si>
  <si>
    <t>Thu, 22 Jan 2026 23:17:19 GMT</t>
  </si>
  <si>
    <t>https://salesxceleration.com/wp-content/uploads/2016/12/business-card-1525590-640x960-623x248-1.jpg</t>
  </si>
  <si>
    <t>Mon, 03 Jan 2022 15:15:51 GMT</t>
  </si>
  <si>
    <t>https://salesxceleration.com/wp-content/themes/salesxceleratione/assets/css/style.css?ver=1769123812</t>
  </si>
  <si>
    <t>https://salesxceleration.com/wp-content/uploads/2018/12/shutterstock_368529578-resized1.jpg</t>
  </si>
  <si>
    <t>Fri, 12 Nov 2021 16:02:31 GMT</t>
  </si>
  <si>
    <t>c4afae154015c9983a0467f108247807</t>
  </si>
  <si>
    <t>https://salesxceleration.com/wp-content/uploads/2015/04/Confessions-misunderstood-salesperson-sales-xceleration.png</t>
  </si>
  <si>
    <t>Mon, 03 Jan 2022 15:20:59 GMT</t>
  </si>
  <si>
    <t>https://salesxceleration.com/wp-content/themes/salesxceleratione/assets/css/style.css?ver=1769123810</t>
  </si>
  <si>
    <t>a3e0b26335233b6ed77d70d4d93d29a9</t>
  </si>
  <si>
    <t>https://salesxceleration.com/confessions-of-the-misunderstood-salesperson</t>
  </si>
  <si>
    <t>https://salesxceleration.com/wp-content/uploads/2015/03/Confessions-misunderstood-salesperson-sales-xceleration-2.png</t>
  </si>
  <si>
    <t>Mon, 03 Jan 2022 15:20:57 GMT</t>
  </si>
  <si>
    <t>https://salesxceleration.com/wp-content/themes/salesxceleratione/assets/css/style.css?ver=1769123809</t>
  </si>
  <si>
    <t>Thu, 22 Jan 2026 23:17:20 GMT</t>
  </si>
  <si>
    <t>https://salesxceleration.com/wp-content/uploads/2015/10/merger-derail-sales-success-sales-xceleration.jpg</t>
  </si>
  <si>
    <t>Mon, 03 Jan 2022 15:19:36 GMT</t>
  </si>
  <si>
    <t>5 Keys to a Successful Sales Compensation Plan</t>
  </si>
  <si>
    <t>5 Keys to a Successful Sales Compensation Plan | Sales Xceleration Blog</t>
  </si>
  <si>
    <t>Studies have shown that many sales managers find that sales compensation plans fail to motivate salespeople, and they overpay poor performers.</t>
  </si>
  <si>
    <t>3c37662657d5af9f26f7a5b2d956eccf</t>
  </si>
  <si>
    <t>https://salesxceleration.com/wp-content/uploads/2017/06/NetworkingBlog.jpg</t>
  </si>
  <si>
    <t>https://salesxceleration.com/wp-content/uploads/2015/11/Consulting-sales-xceleration.png</t>
  </si>
  <si>
    <t>Mon, 03 Jan 2022 15:19:26 GMT</t>
  </si>
  <si>
    <t>https://salesxceleration.com/wp-content/uploads/2016/04/sales-training-strategies-scaled-1.jpg</t>
  </si>
  <si>
    <t>Mon, 03 Jan 2022 15:18:46 GMT</t>
  </si>
  <si>
    <t>https://salesxceleration.com/wp-content/uploads/2016/01/Doctor-Ordered-Peer-Pressure-.jpg</t>
  </si>
  <si>
    <t>https://salesxceleration.com/wp-content/themes/salesxceleratione/assets/css/style.css?ver=1769123808</t>
  </si>
  <si>
    <t>https://salesxceleration.com/wp-content/themes/salesxceleratione/assets/css/style.css?ver=1769123807</t>
  </si>
  <si>
    <t>https://salesxceleration.com/wp-content/uploads/2017/03/Bad-Reputation-RS-72-650-x-325.jpg</t>
  </si>
  <si>
    <t>Mon, 03 Jan 2022 15:15:08 GMT</t>
  </si>
  <si>
    <t>https://salesxceleration.com/wp-content/uploads/2022/05/Weathering-Economic-Downturn.jpg</t>
  </si>
  <si>
    <t>Wed, 25 May 2022 20:35:03 GMT</t>
  </si>
  <si>
    <t>https://salesxceleration.com/wp-content/themes/salesxceleratione/assets/css/style.css?ver=1769123806</t>
  </si>
  <si>
    <t>https://salesxceleration.com/wp-content/uploads/2022/05/Sales-Team-Strategizing.jpg</t>
  </si>
  <si>
    <t>Fri, 06 May 2022 17:18:09 GMT</t>
  </si>
  <si>
    <t>https://salesxceleration.com/wp-content/themes/salesxceleratione/assets/css/style.css?ver=1769123805</t>
  </si>
  <si>
    <t>https://salesxceleration.com/wp-content/uploads/2021/05/4-Key-Investments-New-Business-Owner-Must-Make-1024x682-1.jpg</t>
  </si>
  <si>
    <t>Mon, 03 Jan 2022 14:37:29 GMT</t>
  </si>
  <si>
    <t>https://salesxceleration.com/wp-content/uploads/2017/02/Elevator-Down-RS-72-650-x-325-2048x2048.jpg</t>
  </si>
  <si>
    <t>Sat, 29 Mar 2025 23:37:03 GMT</t>
  </si>
  <si>
    <t>https://salesxceleration.com/wp-content/uploads/2020/10/Woman-Certified-Sales-Leader-scaled-1-2048x2048.jpg</t>
  </si>
  <si>
    <t>Fri, 28 Mar 2025 14:44:11 GMT</t>
  </si>
  <si>
    <t>https://salesxceleration.com/no-access/download-id/27891/</t>
  </si>
  <si>
    <t>https://salesxceleration.com/no-access/download-id/27888/</t>
  </si>
  <si>
    <t>https://salesxceleration.com/wp-content/uploads/2019/07/shutterstock_1361250578-1.jpg</t>
  </si>
  <si>
    <t>https://salesxceleration.com/elevator-pitches-fail-just-like-pick-lines/</t>
  </si>
  <si>
    <t>Why Elevator Pitches Fail (Just Like Most Pick-up Lines)</t>
  </si>
  <si>
    <t>Why Elevator Pitches Fail (Just Like Most Pick-up Lines) | Sales Xceleration Blog</t>
  </si>
  <si>
    <t>Elevator pitches fail often, and for the same reasons cheesy pick-up lines go down in flames. Here's why, and how you can make a better first impression:</t>
  </si>
  <si>
    <t>c872c7a44a2943b262d6256e360b37d2</t>
  </si>
  <si>
    <t>https://salesxceleration.com/wp-content/themes/salesxceleratione/assets/css/style.css?ver=1769123803</t>
  </si>
  <si>
    <t>https://salesxceleration.com/wp-content/uploads/2022/04/Oser-Gregg-275x275-1-100x100.jpg</t>
  </si>
  <si>
    <t>Tue, 07 May 2024 07:11:30 GMT</t>
  </si>
  <si>
    <t>https://salesxceleration.com/top-5-in-focus-key-areas-where-effective-sales-leaders-excel/</t>
  </si>
  <si>
    <t>Top Five Areas Where Effective Sales Leaders Excel</t>
  </si>
  <si>
    <t>Foundations for Sales Success</t>
  </si>
  <si>
    <t>A Strategic Framework</t>
  </si>
  <si>
    <t>Top Five Areas Where Effective Sales Leaders Excel | Sales Xceleration Blog</t>
  </si>
  <si>
    <t>The best sales leaders know that they must hold their reps accountable for results in order to drive sales performance, but they also need to coach, educate, empower, and encourage.</t>
  </si>
  <si>
    <t>bd30b700b7675fc366a1cb8b975a3d5c</t>
  </si>
  <si>
    <t>https://salesxceleration.com/wp-content/uploads/2022/03/Businessman-Holding-a-Football.jpg</t>
  </si>
  <si>
    <t>Tue, 01 Mar 2022 21:25:49 GMT</t>
  </si>
  <si>
    <t>https://salesxceleration.com/using-ride-along-better-sales-management-coaching/</t>
  </si>
  <si>
    <t>Using the Ride-Along for Better Sales Management and Coaching</t>
  </si>
  <si>
    <t>Using the Ride-Along for Better Sales Management and Coaching | Sales Xceleration Blog</t>
  </si>
  <si>
    <t>The ride-along is a highly effective, but underutilized sales management tool. Here's how it can enhance sales performance and improve the bottom line:</t>
  </si>
  <si>
    <t>ea44c718ac3721ed5c759af5c3316ff6</t>
  </si>
  <si>
    <t>https://salesxceleration.com/author/goser/</t>
  </si>
  <si>
    <t>Gregg Oser</t>
  </si>
  <si>
    <t>Gregg Oser, Author at Sales Xceleration</t>
  </si>
  <si>
    <t>8e09c6bcbf529b05c79e2dab84c17bd2</t>
  </si>
  <si>
    <t>https://salesxceleration.com/wp-content/uploads/2022/05/Key-Performance-Indicators.jpg</t>
  </si>
  <si>
    <t>Wed, 25 May 2022 20:43:20 GMT</t>
  </si>
  <si>
    <t>https://salesxceleration.com/wp-content/themes/salesxceleratione/assets/css/style.css?ver=1769123802</t>
  </si>
  <si>
    <t>Thu, 22 Jan 2026 23:17:23 GMT</t>
  </si>
  <si>
    <t>https://salesxceleration.com/wp-content/uploads/2018/12/shutterstock_1209757879-resized.jpg</t>
  </si>
  <si>
    <t>Mon, 03 Jan 2022 15:04:25 GMT</t>
  </si>
  <si>
    <t>https://salesxceleration.com/wp-content/themes/salesxceleratione/assets/css/style.css?ver=1769123801</t>
  </si>
  <si>
    <t>Thu, 22 Jan 2026 23:17:24 GMT</t>
  </si>
  <si>
    <t>https://salesxceleration.com/wp-content/uploads/2017/07/meat-2378342_640.jpg</t>
  </si>
  <si>
    <t>https://salesxceleration.com/wp-content/uploads/2020/04/Climbing_the_ladder-scaled-1.jpg</t>
  </si>
  <si>
    <t>Mon, 03 Jan 2022 14:53:00 GMT</t>
  </si>
  <si>
    <t>https://salesxceleration.com/wp-content/uploads/2017/11/newnew-1.jpg</t>
  </si>
  <si>
    <t>https://salesxceleration.com/wp-content/themes/salesxceleratione/assets/css/style.css?ver=1769123800</t>
  </si>
  <si>
    <t>https://salesxceleration.com/wp-content/uploads/2022/02/Business-Executive-on-Manufaturing-Floor.jpg</t>
  </si>
  <si>
    <t>https://salesxceleration.com/wp-content/uploads/2016/03/chocolate-cake-300x123.jpg</t>
  </si>
  <si>
    <t>Mon, 03 Jan 2022 15:18:55 GMT</t>
  </si>
  <si>
    <t>https://salesxceleration.com/wp-content/themes/salesxceleratione/assets/css/style.css?ver=1769123799</t>
  </si>
  <si>
    <t>Thu, 22 Jan 2026 23:17:25 GMT</t>
  </si>
  <si>
    <t>https://salesxceleration.com/wp-content/uploads/2022/05/Sales-Lifecycle.jpg</t>
  </si>
  <si>
    <t>Tue, 31 May 2022 11:30:59 GMT</t>
  </si>
  <si>
    <t>https://salesxceleration.com/wp-content/uploads/2016/07/Find-the-Right-Lid.png</t>
  </si>
  <si>
    <t>Mon, 03 Jan 2022 15:17:51 GMT</t>
  </si>
  <si>
    <t>https://salesxceleration.com/wp-content/uploads/2018/08/Winning_Blog.jpg</t>
  </si>
  <si>
    <t>Fri, 12 Nov 2021 16:02:02 GMT</t>
  </si>
  <si>
    <t>https://salesxceleration.com/wp-content/themes/salesxceleratione/assets/css/style.css?ver=1769123798</t>
  </si>
  <si>
    <t>https://salesxceleration.com/wp-content/uploads/2017/08/mwblog.jpg</t>
  </si>
  <si>
    <t>Mon, 03 Jan 2022 15:13:20 GMT</t>
  </si>
  <si>
    <t>https://salesxceleration.com/wp-content/uploads/2016/10/Screen-Shot-2016-10-12-at-2.11.04-PM.png</t>
  </si>
  <si>
    <t>Mon, 03 Jan 2022 15:16:43 GMT</t>
  </si>
  <si>
    <t>https://salesxceleration.com/sales-agility-assessment/?locationid=29383251</t>
  </si>
  <si>
    <t>a7e67b73b7c80f4dfd7c449ee0927241</t>
  </si>
  <si>
    <t>https://salesxceleration.com/wp-content/themes/salesxceleratione/assets/css/style.css?ver=1769123797</t>
  </si>
  <si>
    <t>https://salesxceleration.com/wp-content/uploads/2017/07/Sales-Training.jpg</t>
  </si>
  <si>
    <t>https://salesxceleration.com/wp-content/uploads/2016/08/Talent-vs-talented.png</t>
  </si>
  <si>
    <t>Mon, 03 Jan 2022 15:17:22 GMT</t>
  </si>
  <si>
    <t>https://salesxceleration.com/wp-content/uploads/2017/02/Tall-Businessman-Featured.jpg</t>
  </si>
  <si>
    <t>Mon, 03 Jan 2022 15:15:22 GMT</t>
  </si>
  <si>
    <t>https://salesxceleration.com/wp-content/themes/salesxceleratione/assets/css/style.css?ver=1769123796</t>
  </si>
  <si>
    <t>https://salesxceleration.com/wp-content/uploads/2022/02/survey-results.jpg</t>
  </si>
  <si>
    <t>Mon, 07 Feb 2022 17:47:35 GMT</t>
  </si>
  <si>
    <t>https://salesxceleration.com/wp-content/uploads/2022/02/Businessmen-Shaking-Hands.jpg</t>
  </si>
  <si>
    <t>https://salesxceleration.com/wp-content/themes/salesxceleratione/assets/css/style.css?ver=1769123795</t>
  </si>
  <si>
    <t>https://salesxceleration.com/wp-content/uploads/2017/10/rewind-1.jpg</t>
  </si>
  <si>
    <t>Mon, 03 Jan 2022 15:12:43 GMT</t>
  </si>
  <si>
    <t>https://salesxceleration.com/wp-content/uploads/2017/07/WhatnottodoBlog.jpg</t>
  </si>
  <si>
    <t>Mon, 03 Jan 2022 15:14:27 GMT</t>
  </si>
  <si>
    <t>https://salesxceleration.com/wp-content/uploads/2017/03/TheValueFactory.jpg</t>
  </si>
  <si>
    <t>Fri, 12 Nov 2021 16:00:02 GMT</t>
  </si>
  <si>
    <t>https://salesxceleration.com/wp-content/uploads/2017/12/brainblog.jpg</t>
  </si>
  <si>
    <t>Mon, 03 Jan 2022 15:11:44 GMT</t>
  </si>
  <si>
    <t>https://salesxceleration.com/wp-content/themes/salesxceleratione/assets/css/style.css?ver=1769123794</t>
  </si>
  <si>
    <t>Thu, 22 Jan 2026 23:17:26 GMT</t>
  </si>
  <si>
    <t>https://salesxceleration.com/wp-content/uploads/2022/04/Growth-Bottled-Up-300x300.jpg</t>
  </si>
  <si>
    <t>Fri, 28 Mar 2025 15:14:30 GMT</t>
  </si>
  <si>
    <t>https://salesxceleration.com/wp-content/themes/salesxceleratione/assets/css/style.css?ver=1769123793</t>
  </si>
  <si>
    <t>Thu, 22 Jan 2026 23:16:34 GMT</t>
  </si>
  <si>
    <t>https://salesxceleration.com/wp-content/uploads/2023/02/7-Ways-to-Enhance-Sales-Performance-social.pdf</t>
  </si>
  <si>
    <t>7 Ways to Enhance Sales Performance social</t>
  </si>
  <si>
    <t>DAFZceWvkTY,BAC_OTujW9M</t>
  </si>
  <si>
    <t>Mon, 06 Feb 2023 21:42:24 GMT</t>
  </si>
  <si>
    <t>https://salesxceleration.com/want-better-sales-process-consider-buyers-process-first/</t>
  </si>
  <si>
    <t>Want a Better Sales Process? Consider the Buyer’s Process First.</t>
  </si>
  <si>
    <t>Want a Better Sales Process? Consider the Buyer’s Process First</t>
  </si>
  <si>
    <t>A better sales process begins with knowing there is also a buying process. Understanding that buying process is fundamental to sales success.</t>
  </si>
  <si>
    <t>5eefe468c73d211ec33b415275010010</t>
  </si>
  <si>
    <t>https://salesxceleration.com/wp-content/uploads/2023/02/7-Ways-to-Enhance-Sales-Performance-Diving-Deeper.jpg</t>
  </si>
  <si>
    <t>Tue, 07 Feb 2023 11:48:55 GMT</t>
  </si>
  <si>
    <t>401ee2dbbbbc4ba7e332d306786f4335</t>
  </si>
  <si>
    <t>https://salesxceleration.com/wp-content/themes/salesxceleratione/assets/css/style.css?ver=1769123792</t>
  </si>
  <si>
    <t>Thu, 22 Jan 2026 23:17:28 GMT</t>
  </si>
  <si>
    <t>https://salesxceleration.com/no-access/download-id/27887/</t>
  </si>
  <si>
    <t>https://salesxceleration.com/sales-plan-checklist/</t>
  </si>
  <si>
    <t>Sales Plan Checklist</t>
  </si>
  <si>
    <t>Sales Tool: Sales Plan Checklist | Sales Xceleration</t>
  </si>
  <si>
    <t>3fb8ab83a1a9d4f31b83d418edc66139</t>
  </si>
  <si>
    <t>https://salesxceleration.com/wp-content/uploads/2021/12/Exit-Plan-scaled.jpg</t>
  </si>
  <si>
    <t>Mon, 03 Jan 2022 14:04:47 GMT</t>
  </si>
  <si>
    <t>https://salesxceleration.com/wp-content/uploads/2016/05/Compensation-Payment-Plan-.jpg</t>
  </si>
  <si>
    <t>Mon, 03 Jan 2022 15:18:33 GMT</t>
  </si>
  <si>
    <t>https://salesxceleration.com/wp-content/uploads/2022/01/assessment-2048x2048.jpg</t>
  </si>
  <si>
    <t>Fri, 28 Mar 2025 15:04:02 GMT</t>
  </si>
  <si>
    <t>https://salesxceleration.com/wp-content/themes/salesxceleratione/assets/css/style.css?ver=1769123790</t>
  </si>
  <si>
    <t>Thu, 22 Jan 2026 23:17:31 GMT</t>
  </si>
  <si>
    <t>https://salesxceleration.com/wp-content/uploads/2020/06/shutterstock_738625801-scaled-1.jpg</t>
  </si>
  <si>
    <t>Mon, 03 Jan 2022 14:50:54 GMT</t>
  </si>
  <si>
    <t>https://salesxceleration.com/wp-content/uploads/2015/07/Profit-Article-Image.jpg</t>
  </si>
  <si>
    <t>Fri, 12 Nov 2021 15:56:53 GMT</t>
  </si>
  <si>
    <t>https://salesxceleration.com/wp-content/uploads/2015/03/strategic-sales-planning-business-on-track-sales-xcerleation.png</t>
  </si>
  <si>
    <t>Mon, 03 Jan 2022 15:23:44 GMT</t>
  </si>
  <si>
    <t>https://salesxceleration.com/wp-content/themes/salesxceleratione/assets/css/style.css?ver=1769123789</t>
  </si>
  <si>
    <t>Thu, 22 Jan 2026 23:17:34 GMT</t>
  </si>
  <si>
    <t>https://salesxceleration.com/wp-content/uploads/2015/11/Sales-Plan-RS-72-dpi-560-x-225-2048x2048.jpg</t>
  </si>
  <si>
    <t>Fri, 28 Mar 2025 18:16:27 GMT</t>
  </si>
  <si>
    <t>https://salesxceleration.com/wp-content/uploads/2018/10/9d37d0fc-d7c3-11e8-8b20-d6718e0bd3f4.jpg</t>
  </si>
  <si>
    <t>Mon, 03 Jan 2022 15:05:51 GMT</t>
  </si>
  <si>
    <t>https://salesxceleration.com/wp-content/themes/salesxceleratione/assets/css/style.css?ver=1769123788</t>
  </si>
  <si>
    <t>https://salesxceleration.com/wp-content/uploads/2020/03/Businessman_preventing_the_dominos_from_crumbling.jpg</t>
  </si>
  <si>
    <t>Mon, 03 Jan 2022 14:53:39 GMT</t>
  </si>
  <si>
    <t>https://salesxceleration.com/wp-content/uploads/2016/07/Hiring-Outsourcing-RS-72-560-x-225.jpg</t>
  </si>
  <si>
    <t>Fri, 12 Nov 2021 15:57:25 GMT</t>
  </si>
  <si>
    <t>https://salesxceleration.com/wp-content/themes/salesxceleratione/assets/css/style.css?ver=1769123787</t>
  </si>
  <si>
    <t>https://salesxceleration.com/wp-content/uploads/2015/10/writing-933262_640.jpg</t>
  </si>
  <si>
    <t>Mon, 03 Jan 2022 15:19:31 GMT</t>
  </si>
  <si>
    <t>https://salesxceleration.com/wp-content/themes/salesxceleratione/assets/css/style.css?ver=1769123786</t>
  </si>
  <si>
    <t>https://salesxceleration.com/wp-content/themes/salesxceleratione/assets/css/style.css?ver=1769123849</t>
  </si>
  <si>
    <t>https://salesxceleration.com/wp-content/uploads/elementor/css/post-21389.css?ver=1768849909</t>
  </si>
  <si>
    <t>Mon, 19 Jan 2026 19:11:49 GMT</t>
  </si>
  <si>
    <t>https://salesxceleration.com/wp-content/themes/salesxceleratione/assets/css/style.css?ver=1769123848</t>
  </si>
  <si>
    <t>https://salesxceleration.com/wp-content/themes/salesxceleratione/assets/css/style.css?ver=1769123847</t>
  </si>
  <si>
    <t>https://salesxceleration.com/wp-content/uploads/2017/07/Sales-Success-Buyer-Process.jpg</t>
  </si>
  <si>
    <t>https://salesxceleration.com/now-what-a-story-of-life-beyond-corporate-sales-success/</t>
  </si>
  <si>
    <t>Now What? A Story of Life Beyond Corporate Sales Success.</t>
  </si>
  <si>
    <t>Now What? A Story of Life Beyond Corporate Sales Success. | Sales Xceleration Blog</t>
  </si>
  <si>
    <t>Becoming a small business sales consultant is a rewarding path to take once your corporate sales leadership career has run its course.</t>
  </si>
  <si>
    <t>e259349aa0593088b3aa6ecb6bbf1bd9</t>
  </si>
  <si>
    <t>https://salesxceleration.com/wp-content/uploads/2018/05/wysimage.jpg</t>
  </si>
  <si>
    <t>Mon, 03 Jan 2022 15:09:13 GMT</t>
  </si>
  <si>
    <t>https://salesxceleration.com/wp-content/themes/salesxceleratione/assets/css/style.css?ver=1769123854</t>
  </si>
  <si>
    <t>85d53b0568465012909dcfef3849cadb</t>
  </si>
  <si>
    <t>https://salesxceleration.com/want-to-close-more-sales-stop-closing/</t>
  </si>
  <si>
    <t>Want to Close More Sales? Stop Closing.</t>
  </si>
  <si>
    <t>Want to Close More Sales? Stop Closing. | Sales Xceleration Blog</t>
  </si>
  <si>
    <t>Selling can certainly seem to be little more than a series of starts and stops. You start pursuing a prospect and hope to stop that pursuit with a closed</t>
  </si>
  <si>
    <t>1d67cb036f45c834f7f4bd393164d2bb</t>
  </si>
  <si>
    <t>https://salesxceleration.com/three-ways-a-crm-can-impact-your-small-business/</t>
  </si>
  <si>
    <t>Three Ways a CRM Can Impact Your Small Business</t>
  </si>
  <si>
    <t>1. A CRM Can Improve Sales Efficiency</t>
  </si>
  <si>
    <t>2. A CRM Can Improve Customer Service</t>
  </si>
  <si>
    <t>Three Ways a CRM Can Impact Your Small Business | Sales Xceleration Blog</t>
  </si>
  <si>
    <t>If you think a Customer Relationship Management (CRM) system is only valuable for large corporations, think again. A good CRM, properly configured, can be an</t>
  </si>
  <si>
    <t>f4703cbde68b7a1e5b78aff388e7ad2a</t>
  </si>
  <si>
    <t>https://salesxceleration.com/wp-content/uploads/2022/03/Businessman-Holding-a-Football-300x300.jpg</t>
  </si>
  <si>
    <t>https://salesxceleration.com/four-essential-elements-to-include-in-your-sales-action-plan-to-increase-sales/</t>
  </si>
  <si>
    <t>Four Essential Elements to Include in Your Sales Action Plan to Increase Sales</t>
  </si>
  <si>
    <t>Is There a Difference Between a Sales Plan and a Sales Action Plan?</t>
  </si>
  <si>
    <t>Sales Action Plan Essential #1: Alignment with Your Sales Plan</t>
  </si>
  <si>
    <t>Four Essential Elements to Include in Your Sales Action Plan to Increase Sales | Sales Xceleration Blog</t>
  </si>
  <si>
    <t>A sales action plan should be aligned with your sales plan, detailed, connected to your CRM, and drive accountability.</t>
  </si>
  <si>
    <t>9013186d2cf619dc302ef440146fc4ab</t>
  </si>
  <si>
    <t>https://salesxceleration.com/wp-content/uploads/2017/11/Sales-Management-Ride-along-Sales-Xceleration.jpg</t>
  </si>
  <si>
    <t>Mon, 03 Jan 2022 15:11:46 GMT</t>
  </si>
  <si>
    <t>https://salesxceleration.com/wp-content/uploads/2020/10/Woman-Certified-Sales-Leader-scaled-1.jpg</t>
  </si>
  <si>
    <t>Mon, 03 Jan 2022 14:47:48 GMT</t>
  </si>
  <si>
    <t>https://salesxceleration.com/wp-content/themes/salesxceleratione/assets/css/style.css?ver=1769123843</t>
  </si>
  <si>
    <t>Thu, 22 Jan 2026 23:17:37 GMT</t>
  </si>
  <si>
    <t>https://salesxceleration.com/wp-content/themes/salesxceleratione/assets/css/style.css?ver=1769123844</t>
  </si>
  <si>
    <t>https://salesxceleration.com/7-ways-to-make-your-smart-goals-smarter-and-more-effective-than-ever/</t>
  </si>
  <si>
    <t>7 Ways to Make Your SMART Goals Smarter (and More Effective) Than Ever</t>
  </si>
  <si>
    <t>Specific and Simple</t>
  </si>
  <si>
    <t>Measurable and Motivating</t>
  </si>
  <si>
    <t>7 Ways to Make Your SMART Goals Smarter (and More Effective) Than Ever | Sales Xceleration Blog</t>
  </si>
  <si>
    <t>SMART goals are a widely practiced sales principle, but setting sales goals that are SMARTER will separate your sales team from the competition by increasing sales goal effectiveness.</t>
  </si>
  <si>
    <t>2cae5c3d93e95e72e0a9634190d7bc2f</t>
  </si>
  <si>
    <t>https://salesxceleration.com/creating-a-sales-process-that-meets-modern-buyer-needs/</t>
  </si>
  <si>
    <t>Creating a Sales Process That Meets Modern Buyer Needs</t>
  </si>
  <si>
    <t>Component 1: Sales Process</t>
  </si>
  <si>
    <t>Component 2: Sales Compensation Plans</t>
  </si>
  <si>
    <t>Creating a Sales Process That Meets Modern Buyer Needs | Sales Xceleration Blog</t>
  </si>
  <si>
    <t>Are you struggling to figure out what it takes to become a digital-first sales organization? Here are some tips for streamlining your sales infrastructure.</t>
  </si>
  <si>
    <t>e4911e4da6f7ed78540ea28e2efaeed0</t>
  </si>
  <si>
    <t>https://salesxceleration.com/wp-content/uploads/2017/02/Elevator-Down-RS-72-650-x-325.jpg</t>
  </si>
  <si>
    <t>Fri, 12 Nov 2021 16:00:01 GMT</t>
  </si>
  <si>
    <t>https://salesxceleration.com/wp-content/uploads/2016/06/CEO-Breakfast-Workshop-2048x2048.png</t>
  </si>
  <si>
    <t>Sat, 29 Mar 2025 05:15:33 GMT</t>
  </si>
  <si>
    <t>https://salesxceleration.com/wp-content/themes/salesxceleratione/assets/css/style.css?ver=1769123842</t>
  </si>
  <si>
    <t>Thu, 22 Jan 2026 23:17:38 GMT</t>
  </si>
  <si>
    <t>https://salesxceleration.com/wp-content/uploads/2015/05/Sales_Compensation.jpg</t>
  </si>
  <si>
    <t>Mon, 03 Jan 2022 15:09:00 GMT</t>
  </si>
  <si>
    <t>https://salesxceleration.com/wp-content/themes/salesxceleratione/assets/css/style.css?ver=1769123840</t>
  </si>
  <si>
    <t>https://salesxceleration.com/wp-content/themes/salesxceleratione/assets/css/style.css?ver=1769123839</t>
  </si>
  <si>
    <t>https://salesxceleration.com/wp-content/themes/salesxceleratione/assets/css/style.css?ver=1769123838</t>
  </si>
  <si>
    <t>https://salesxceleration.com/wp-content/uploads/2018/04/updateblog.jpg</t>
  </si>
  <si>
    <t>Mon, 03 Jan 2022 15:09:35 GMT</t>
  </si>
  <si>
    <t>https://salesxceleration.com/press-release-chief-outsiders-sales-xceleration-announce-interactive-sales-marketing-breakfast-workshop-ceos/</t>
  </si>
  <si>
    <t>PRESS RELEASE: Chief Outsiders and Sales Xceleration Announce Interactive Sales and Marketing Breakfast Workshop for CEOs</t>
  </si>
  <si>
    <t>PRESS RELEASE: Chief Outsiders and Sales Xceleration Announce Interactive Sales and Marketing Breakfast Workshop for CEOs | Sales Xceleration Blog</t>
  </si>
  <si>
    <t>AUSTIN, TX – June 22, 2016 – Chief Outsiders Partner and CMO, Mary Doizé, will partner with a Sales Xceleration Outsourced VP of Sales to hold the “CEO</t>
  </si>
  <si>
    <t>a2fb99b68296b476d7fd1c4272b7cdbe</t>
  </si>
  <si>
    <t>6c4a19f43cf70551ba20db541bfd5aaa</t>
  </si>
  <si>
    <t>28e02c9320ca47d78f0861c3119bf3e5</t>
  </si>
  <si>
    <t>https://salesxceleration.com/wp-content/themes/salesxceleratione/assets/css/style.css?ver=1769123835</t>
  </si>
  <si>
    <t>Thu, 22 Jan 2026 23:17:39 GMT</t>
  </si>
  <si>
    <t>https://salesxceleration.com/wp-content/uploads/2015/03/sales-Coaches.png</t>
  </si>
  <si>
    <t>Mon, 03 Jan 2022 15:21:11 GMT</t>
  </si>
  <si>
    <t>161ca220843bd8e62c5b9b46876924ce</t>
  </si>
  <si>
    <t>https://salesxceleration.com/how-leaders-create-sales-action-plans-to-improve-the-bottom-line</t>
  </si>
  <si>
    <t>https://salesxceleration.com/wp-content/uploads/2020/09/marketing-sales-2048x2048.png</t>
  </si>
  <si>
    <t>Fri, 28 Mar 2025 15:04:49 GMT</t>
  </si>
  <si>
    <t>8213a3bdab9d8ed97d21129cdacaf77c</t>
  </si>
  <si>
    <t>https://salesxceleration.com/wp-content/uploads/2018/04/newyayaya.jpg</t>
  </si>
  <si>
    <t>Mon, 03 Jan 2022 15:09:32 GMT</t>
  </si>
  <si>
    <t>https://salesxceleration.com/lemonade-from-lemons-how-to-turn-a-lost-sale-into-a-positive-experience</t>
  </si>
  <si>
    <t>https://salesxceleration.com/lemonade-from-lemons-how-to-turn-a-lost-sale-into-a-positive-experience/</t>
  </si>
  <si>
    <t>https://salesxceleration.com/wp-content/themes/salesxceleratione/assets/css/style.css?ver=1769123859</t>
  </si>
  <si>
    <t>Thu, 22 Jan 2026 23:17:40 GMT</t>
  </si>
  <si>
    <t>https://salesxceleration.com/wp-content/uploads/2016/06/CEO-Breakfast-Workshop.png</t>
  </si>
  <si>
    <t>Mon, 03 Jan 2022 15:17:58 GMT</t>
  </si>
  <si>
    <t>https://salesxceleration.com/wp-content/themes/salesxceleratione/assets/css/style.css?ver=1769123858</t>
  </si>
  <si>
    <t>https://salesxceleration.com/author/admin/</t>
  </si>
  <si>
    <t>admin</t>
  </si>
  <si>
    <t>admin, Author at Sales Xceleration</t>
  </si>
  <si>
    <t>67bd34ebd7ff6faeb163d440a216a723</t>
  </si>
  <si>
    <t>Lemonade from Lemons: How to Turn a Lost Sale into a Positive Experience</t>
  </si>
  <si>
    <t>Lemonade from Lemons: How to Turn a Lost Sale into a Positive Experience | Sales Xceleration Blog</t>
  </si>
  <si>
    <t>When the sale is undeniably lost, what can you do? How can you turn no-deal “lemons” into positive-experience “lemonade”?</t>
  </si>
  <si>
    <t>5738a415995c3156184514173a216f1e</t>
  </si>
  <si>
    <t>https://salesxceleration.com/wp-content/uploads/2021/12/Sales-Process-for-Modern-Buyers-scaled.jpg</t>
  </si>
  <si>
    <t>Mon, 03 Jan 2022 14:01:16 GMT</t>
  </si>
  <si>
    <t>https://salesxceleration.com/wp-content/uploads/2020/09/Setting-Smarter-Sales-Goals-scaled-1.jpg</t>
  </si>
  <si>
    <t>Mon, 03 Jan 2022 14:48:13 GMT</t>
  </si>
  <si>
    <t>https://salesxceleration.com/wp-content/themes/salesxceleratione/assets/css/style.css?ver=1769123857</t>
  </si>
  <si>
    <t>Thu, 22 Jan 2026 23:17:42 GMT</t>
  </si>
  <si>
    <t>https://salesxceleration.com/wp-content/uploads/2022/02/Buinessman-Standing-in-Front-of-Blackboard.jpg</t>
  </si>
  <si>
    <t>Thu, 10 Feb 2022 12:30:47 GMT</t>
  </si>
  <si>
    <t>https://salesxceleration.com/wp-content/uploads/2021/11/Salesperson-Looking-at-CRM-scaled.jpeg</t>
  </si>
  <si>
    <t>Mon, 03 Jan 2022 14:07:42 GMT</t>
  </si>
  <si>
    <t>https://salesxceleration.com/wp-content/uploads/2015/07/Stop-Sign-RS-72-dpi.jpg</t>
  </si>
  <si>
    <t>Mon, 03 Jan 2022 15:20:34 GMT</t>
  </si>
  <si>
    <t>https://salesxceleration.com/wp-content/themes/salesxceleratione/assets/css/style.css?ver=1769123856</t>
  </si>
  <si>
    <t>https://salesxceleration.com/wp-content/themes/salesxceleratione/assets/css/style.css?ver=1769123855</t>
  </si>
  <si>
    <t>https://salesxceleration.com/wp-content/uploads/2015/03/lemons-to-lemonade-sales-xceleration.png</t>
  </si>
  <si>
    <t>Mon, 03 Jan 2022 15:26:50 GMT</t>
  </si>
  <si>
    <t>https://salesxceleration.com/wp-content/uploads/2016/06/June-2016-Advisors-copy-1-scaled-1-300x135.jpg</t>
  </si>
  <si>
    <t>Fri, 12 Nov 2021 15:57:23 GMT</t>
  </si>
  <si>
    <t>https://salesxceleration.com/wp-content/uploads/2016/06/CEO-Breakfast-Workshop-300x300.png</t>
  </si>
  <si>
    <t>Sat, 29 Mar 2025 05:15:14 GMT</t>
  </si>
  <si>
    <t>https://salesxceleration.com/wp-content/uploads/2017/11/smallbusinesssaturdayjpeg-300x150.jpeg</t>
  </si>
  <si>
    <t>Mon, 03 Jan 2022 15:11:55 GMT</t>
  </si>
  <si>
    <t>https://salesxceleration.com/wp-content/uploads/2021/10/Metal-Fab-768x434.jpg</t>
  </si>
  <si>
    <t>https://salesxceleration.com/wp-content/uploads/2021/10/Calibration_Manufacturing-768x439.jpg</t>
  </si>
  <si>
    <t>https://salesxceleration.com/wp-content/themes/salesxceleratione/assets/css/style.css?ver=1769123860</t>
  </si>
  <si>
    <t>https://salesxceleration.com/small-business-sales-tips/</t>
  </si>
  <si>
    <t>Sales Tips for Small Business Owners &amp; Small Business Saturday</t>
  </si>
  <si>
    <t>To get started on your sales plan, check out our top 5 sales tips for business owners infographic below.</t>
  </si>
  <si>
    <t>Sales Tips for Small Business Owners &amp; Small Business Saturday | Sales Xceleration Blog</t>
  </si>
  <si>
    <t>Being a small business owner is a big job. Here are top sales tips every small business owner needs to know in order to grow revenue.</t>
  </si>
  <si>
    <t>ae59bf18f03665b8a75a1bed80401921</t>
  </si>
  <si>
    <t>https://salesxceleration.com/sales-xceleration-announces-addition-4-new-advisors-expanding-existing-footprint-entering-new-markets/</t>
  </si>
  <si>
    <t>PRESS RELEASE: Sales Xceleration Announces the Addition of 4 New Advisors, Expanding its Existing Footprint and Entering New Markets</t>
  </si>
  <si>
    <t>PRESS RELEASE: Sales Xceleration Announces the Addition of 4 New Advisors, Expanding its Existing Footprint and Entering New Markets | Sales Xceleration Blog</t>
  </si>
  <si>
    <t>Below are newly announced Advisors and their expanded geographies.</t>
  </si>
  <si>
    <t>b676e84ceaec425a21610536ac516071</t>
  </si>
  <si>
    <t>https://salesxceleration.com/wp-content/uploads/2017/11/smallbusinesssaturdayjpeg.jpeg</t>
  </si>
  <si>
    <t>https://salesxceleration.com/wp-content/uploads/2017/11/US-Small-Business-Statistics-1024x487.png</t>
  </si>
  <si>
    <t>Mon, 03 Jan 2022 15:12:22 GMT</t>
  </si>
  <si>
    <t>https://salesxceleration.com/wp-content/uploads/2017/11/Top-Five-sales-ways-to-grow-small-businesses-410x1024.png</t>
  </si>
  <si>
    <t>Mon, 03 Jan 2022 15:12:03 GMT</t>
  </si>
  <si>
    <t>https://salesxceleration.com/wp-content/uploads/2016/06/June-2016-Advisors-copy-1-scaled-1.jpg</t>
  </si>
  <si>
    <t>Mon, 03 Jan 2022 15:18:03 GMT</t>
  </si>
  <si>
    <t>https://salesxceleration.com/wp-content/themes/salesxceleratione/assets/css/style.css?ver=1769123864</t>
  </si>
  <si>
    <t>Thu, 22 Jan 2026 23:17:45 GMT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</si>
</sst>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0">
    <font>
      <sz val="10.0"/>
      <color rgb="FF000000"/>
      <name val="Arial"/>
      <scheme val="minor"/>
    </font>
    <font>
      <color theme="1"/>
      <name val="Arial"/>
      <scheme val="minor"/>
    </font>
    <font>
      <b/>
      <color theme="1"/>
      <name val="Arial"/>
      <scheme val="minor"/>
    </font>
    <font>
      <b/>
      <u/>
      <color rgb="FF0000FF"/>
    </font>
    <font/>
    <font>
      <u/>
      <color rgb="FF0000FF"/>
    </font>
    <font>
      <color rgb="FFFF0000"/>
      <name val="Arial"/>
      <scheme val="minor"/>
    </font>
    <font>
      <b/>
      <u/>
      <color rgb="FF0000FF"/>
    </font>
    <font>
      <u/>
      <color rgb="FF0000FF"/>
    </font>
    <font>
      <u/>
      <color rgb="FF0000FF"/>
    </font>
  </fonts>
  <fills count="2">
    <fill>
      <patternFill patternType="none"/>
    </fill>
    <fill>
      <patternFill patternType="lightGray"/>
    </fill>
  </fills>
  <borders count="5">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3" numFmtId="0" xfId="0" applyAlignment="1" applyBorder="1" applyFont="1">
      <alignment horizontal="center" readingOrder="0"/>
    </xf>
    <xf borderId="2" fillId="0" fontId="4" numFmtId="0" xfId="0" applyBorder="1" applyFont="1"/>
    <xf borderId="3" fillId="0" fontId="4" numFmtId="0" xfId="0" applyBorder="1" applyFont="1"/>
    <xf borderId="0" fillId="0" fontId="1" numFmtId="9" xfId="0" applyAlignment="1" applyFont="1" applyNumberFormat="1">
      <alignment readingOrder="0"/>
    </xf>
    <xf borderId="0" fillId="0" fontId="1" numFmtId="10" xfId="0" applyAlignment="1" applyFont="1" applyNumberFormat="1">
      <alignment readingOrder="0"/>
    </xf>
    <xf borderId="0" fillId="0" fontId="1" numFmtId="0" xfId="0" applyFont="1"/>
    <xf borderId="0" fillId="0" fontId="5" numFmtId="0" xfId="0" applyAlignment="1" applyFont="1">
      <alignment readingOrder="0"/>
    </xf>
    <xf borderId="4" fillId="0" fontId="2" numFmtId="0" xfId="0" applyAlignment="1" applyBorder="1" applyFont="1">
      <alignment readingOrder="0"/>
    </xf>
    <xf borderId="4" fillId="0" fontId="1" numFmtId="0" xfId="0" applyAlignment="1" applyBorder="1" applyFont="1">
      <alignment readingOrder="0"/>
    </xf>
    <xf borderId="4" fillId="0" fontId="6" numFmtId="0" xfId="0" applyAlignment="1" applyBorder="1" applyFont="1">
      <alignment readingOrder="0"/>
    </xf>
    <xf borderId="4" fillId="0" fontId="7" numFmtId="0" xfId="0" applyAlignment="1" applyBorder="1" applyFont="1">
      <alignment readingOrder="0"/>
    </xf>
    <xf borderId="4" fillId="0" fontId="2" numFmtId="0" xfId="0" applyAlignment="1" applyBorder="1" applyFont="1">
      <alignment readingOrder="0"/>
    </xf>
    <xf borderId="0" fillId="0" fontId="8" numFmtId="0" xfId="0" applyAlignment="1" applyFont="1">
      <alignment readingOrder="0" shrinkToFit="0" wrapText="1"/>
    </xf>
    <xf borderId="0" fillId="0" fontId="1" numFmtId="0" xfId="0" applyAlignment="1" applyFont="1">
      <alignment readingOrder="0" shrinkToFit="0" wrapText="1"/>
    </xf>
    <xf borderId="0" fillId="0" fontId="9" numFmtId="0" xfId="0" applyAlignment="1" applyFont="1">
      <alignment readingOrder="0"/>
    </xf>
    <xf borderId="0" fillId="0" fontId="2" numFmtId="0" xfId="0" applyAlignment="1" applyFont="1">
      <alignment readingOrder="0" shrinkToFit="0" wrapText="0"/>
    </xf>
    <xf borderId="0" fillId="0" fontId="1" numFmtId="0" xfId="0" applyAlignment="1" applyFont="1">
      <alignment readingOrder="0" shrinkToFit="0" wrapText="0"/>
    </xf>
    <xf borderId="0" fillId="0" fontId="1" numFmtId="0" xfId="0" applyFont="1"/>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alesxceleration.com/case-study/electrical-manufacturing-sales-strategy-and-processes-provide-immediate-growth/" TargetMode="External"/><Relationship Id="rId11" Type="http://schemas.openxmlformats.org/officeDocument/2006/relationships/hyperlink" Target="https://salesxceleration.com/industries/technology/" TargetMode="External"/><Relationship Id="rId22" Type="http://schemas.openxmlformats.org/officeDocument/2006/relationships/drawing" Target="../drawings/drawing1.xml"/><Relationship Id="rId10" Type="http://schemas.openxmlformats.org/officeDocument/2006/relationships/hyperlink" Target="https://salesxceleration.com/private-equity-solutions/portfolio-company/" TargetMode="External"/><Relationship Id="rId21" Type="http://schemas.openxmlformats.org/officeDocument/2006/relationships/hyperlink" Target="https://salesxceleration.com/ai-for-sales/" TargetMode="External"/><Relationship Id="rId13" Type="http://schemas.openxmlformats.org/officeDocument/2006/relationships/hyperlink" Target="https://salesxceleration.com/private-equity-solutions/healthcare-managed-services-case-study/" TargetMode="External"/><Relationship Id="rId12" Type="http://schemas.openxmlformats.org/officeDocument/2006/relationships/hyperlink" Target="https://salesxceleration.com/sales-management/" TargetMode="External"/><Relationship Id="rId23" Type="http://schemas.openxmlformats.org/officeDocument/2006/relationships/vmlDrawing" Target="../drawings/vmlDrawing1.vml"/><Relationship Id="rId1" Type="http://schemas.openxmlformats.org/officeDocument/2006/relationships/comments" Target="../comments1.xml"/><Relationship Id="rId2" Type="http://schemas.openxmlformats.org/officeDocument/2006/relationships/hyperlink" Target="https://salesxceleration.com/client-solutions/" TargetMode="External"/><Relationship Id="rId3" Type="http://schemas.openxmlformats.org/officeDocument/2006/relationships/hyperlink" Target="https://salesxceleration.com/state-of-sales/" TargetMode="External"/><Relationship Id="rId4" Type="http://schemas.openxmlformats.org/officeDocument/2006/relationships/hyperlink" Target="https://salesxceleration.com/sales-strategy/" TargetMode="External"/><Relationship Id="rId9" Type="http://schemas.openxmlformats.org/officeDocument/2006/relationships/hyperlink" Target="https://salesxceleration.com/private-equity-solutions/private-equity/" TargetMode="External"/><Relationship Id="rId15" Type="http://schemas.openxmlformats.org/officeDocument/2006/relationships/hyperlink" Target="https://salesxceleration.com/industries/professional-services/" TargetMode="External"/><Relationship Id="rId14" Type="http://schemas.openxmlformats.org/officeDocument/2006/relationships/hyperlink" Target="https://salesxceleration.com/industries/franchises/" TargetMode="External"/><Relationship Id="rId17" Type="http://schemas.openxmlformats.org/officeDocument/2006/relationships/hyperlink" Target="https://salesxceleration.com/industries/financial-services/" TargetMode="External"/><Relationship Id="rId16" Type="http://schemas.openxmlformats.org/officeDocument/2006/relationships/hyperlink" Target="https://salesxceleration.com/industries/manufacturing/" TargetMode="External"/><Relationship Id="rId5" Type="http://schemas.openxmlformats.org/officeDocument/2006/relationships/hyperlink" Target="https://salesxceleration.com/private-equity-solutions/" TargetMode="External"/><Relationship Id="rId19" Type="http://schemas.openxmlformats.org/officeDocument/2006/relationships/hyperlink" Target="https://salesxceleration.com/industries/private-equity/" TargetMode="External"/><Relationship Id="rId6" Type="http://schemas.openxmlformats.org/officeDocument/2006/relationships/hyperlink" Target="https://salesxceleration.com/private-equity-solutions/tech-mfg-case-study/" TargetMode="External"/><Relationship Id="rId18" Type="http://schemas.openxmlformats.org/officeDocument/2006/relationships/hyperlink" Target="https://salesxceleration.com/industries/legal/" TargetMode="External"/><Relationship Id="rId7" Type="http://schemas.openxmlformats.org/officeDocument/2006/relationships/hyperlink" Target="https://salesxceleration.com/sales-infrastructure/" TargetMode="External"/><Relationship Id="rId8" Type="http://schemas.openxmlformats.org/officeDocument/2006/relationships/hyperlink" Target="https://salesxceleration.com/sales-tea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180" Type="http://schemas.openxmlformats.org/officeDocument/2006/relationships/hyperlink" Target="https://salesxceleration.com/wp-content/uploads/2019/07/2019-07-18_161018.jpg" TargetMode="External"/><Relationship Id="rId2181" Type="http://schemas.openxmlformats.org/officeDocument/2006/relationships/hyperlink" Target="https://salesxceleration.com/wp-content/uploads/2019/11/payroll-thumb-2048x2048.jpg" TargetMode="External"/><Relationship Id="rId2182" Type="http://schemas.openxmlformats.org/officeDocument/2006/relationships/hyperlink" Target="https://salesxceleration.com/wp-content/uploads/2019/11/payroll-thumb-2048x2048.jpg" TargetMode="External"/><Relationship Id="rId2183" Type="http://schemas.openxmlformats.org/officeDocument/2006/relationships/hyperlink" Target="https://salesxceleration.com/wp-content/uploads/2024/04/Puzzle.svg" TargetMode="External"/><Relationship Id="rId2184" Type="http://schemas.openxmlformats.org/officeDocument/2006/relationships/hyperlink" Target="https://salesxceleration.com/wp-content/uploads/2024/04/Puzzle.svg" TargetMode="External"/><Relationship Id="rId2185" Type="http://schemas.openxmlformats.org/officeDocument/2006/relationships/hyperlink" Target="https://salesxceleration.com/wp-content/uploads/2024/04/Mag-Glass.svg" TargetMode="External"/><Relationship Id="rId2186" Type="http://schemas.openxmlformats.org/officeDocument/2006/relationships/hyperlink" Target="https://salesxceleration.com/wp-content/uploads/2024/04/Mag-Glass.svg" TargetMode="External"/><Relationship Id="rId2187" Type="http://schemas.openxmlformats.org/officeDocument/2006/relationships/hyperlink" Target="https://salesxceleration.com/wp-content/uploads/2024/04/Revitalizing-Sales-Strategy-for-Sustained-Growth-Human-Resources-Case-Study.pdf" TargetMode="External"/><Relationship Id="rId2188" Type="http://schemas.openxmlformats.org/officeDocument/2006/relationships/hyperlink" Target="https://salesxceleration.com/wp-content/uploads/2024/04/Revitalizing-Sales-Strategy-for-Sustained-Growth-Human-Resources-Case-Study.pdf" TargetMode="External"/><Relationship Id="rId2189" Type="http://schemas.openxmlformats.org/officeDocument/2006/relationships/hyperlink" Target="https://salesxceleration.com/wp-content/themes/salesxceleratione/assets/css/style.css?ver=1769123338" TargetMode="External"/><Relationship Id="rId2170" Type="http://schemas.openxmlformats.org/officeDocument/2006/relationships/hyperlink" Target="https://salesxceleration.com/wp-content/uploads/2020/01/manu_thumbnail.jpg" TargetMode="External"/><Relationship Id="rId2171" Type="http://schemas.openxmlformats.org/officeDocument/2006/relationships/hyperlink" Target="https://salesxceleration.com/wp-content/uploads/2020/01/manu_thumbnail.jpg" TargetMode="External"/><Relationship Id="rId2172" Type="http://schemas.openxmlformats.org/officeDocument/2006/relationships/hyperlink" Target="https://salesxceleration.com/case-study/metal-fabrication-manufacturing/" TargetMode="External"/><Relationship Id="rId2173" Type="http://schemas.openxmlformats.org/officeDocument/2006/relationships/hyperlink" Target="https://salesxceleration.com/case-study/metal-fabrication-manufacturing/" TargetMode="External"/><Relationship Id="rId2174" Type="http://schemas.openxmlformats.org/officeDocument/2006/relationships/hyperlink" Target="https://salesxceleration.com/case-study/metal-fabrication-manufacturing/" TargetMode="External"/><Relationship Id="rId2175" Type="http://schemas.openxmlformats.org/officeDocument/2006/relationships/hyperlink" Target="https://salesxceleration.com/wp-content/uploads/2019/11/marketing-thumb.jpg" TargetMode="External"/><Relationship Id="rId2176" Type="http://schemas.openxmlformats.org/officeDocument/2006/relationships/hyperlink" Target="https://salesxceleration.com/wp-content/uploads/2019/11/marketing-thumb.jpg" TargetMode="External"/><Relationship Id="rId2177" Type="http://schemas.openxmlformats.org/officeDocument/2006/relationships/hyperlink" Target="https://salesxceleration.com/wp-content/uploads/2022/05/thumb-Case-Study_Construction_SX-1.jpg" TargetMode="External"/><Relationship Id="rId2178" Type="http://schemas.openxmlformats.org/officeDocument/2006/relationships/hyperlink" Target="https://salesxceleration.com/wp-content/uploads/2022/05/thumb-Case-Study_Construction_SX-1.jpg" TargetMode="External"/><Relationship Id="rId2179" Type="http://schemas.openxmlformats.org/officeDocument/2006/relationships/hyperlink" Target="https://salesxceleration.com/wp-content/uploads/2019/07/2019-07-18_161018.jpg" TargetMode="External"/><Relationship Id="rId2190" Type="http://schemas.openxmlformats.org/officeDocument/2006/relationships/hyperlink" Target="https://salesxceleration.com/wp-content/themes/salesxceleratione/assets/css/style.css?ver=1769123338" TargetMode="External"/><Relationship Id="rId2191" Type="http://schemas.openxmlformats.org/officeDocument/2006/relationships/hyperlink" Target="https://salesxceleration.com/wp-content/uploads/2024/04/Light-Bulb.svg" TargetMode="External"/><Relationship Id="rId2192" Type="http://schemas.openxmlformats.org/officeDocument/2006/relationships/hyperlink" Target="https://salesxceleration.com/wp-content/uploads/2024/04/Light-Bulb.svg" TargetMode="External"/><Relationship Id="rId2193" Type="http://schemas.openxmlformats.org/officeDocument/2006/relationships/hyperlink" Target="https://salesxceleration.com/wp-content/uploads/elementor/css/post-35036.css?ver=1768872586" TargetMode="External"/><Relationship Id="rId2194" Type="http://schemas.openxmlformats.org/officeDocument/2006/relationships/hyperlink" Target="https://salesxceleration.com/wp-content/uploads/elementor/css/post-35036.css?ver=1768872586" TargetMode="External"/><Relationship Id="rId2195" Type="http://schemas.openxmlformats.org/officeDocument/2006/relationships/hyperlink" Target="https://salesxceleration.com/wp-content/uploads/2019/10/thumb-recruiting-cs-2048x2048.jpg" TargetMode="External"/><Relationship Id="rId2196" Type="http://schemas.openxmlformats.org/officeDocument/2006/relationships/hyperlink" Target="https://salesxceleration.com/wp-content/uploads/2019/10/thumb-recruiting-cs-2048x2048.jpg" TargetMode="External"/><Relationship Id="rId2197" Type="http://schemas.openxmlformats.org/officeDocument/2006/relationships/hyperlink" Target="https://salesxceleration.com/wp-content/uploads/elementor/thumbs/Skills-Based-Hiring-rebnjrmv5xw9klq34f0918gjf47gj932vzwtx28f64.jpg" TargetMode="External"/><Relationship Id="rId2198" Type="http://schemas.openxmlformats.org/officeDocument/2006/relationships/hyperlink" Target="https://salesxceleration.com/wp-content/uploads/elementor/thumbs/Skills-Based-Hiring-rebnjrmv5xw9klq34f0918gjf47gj932vzwtx28f64.jpg" TargetMode="External"/><Relationship Id="rId2199" Type="http://schemas.openxmlformats.org/officeDocument/2006/relationships/hyperlink" Target="https://salesxceleration.com/wp-content/uploads/elementor/css/post-72247.css?ver=1768857149" TargetMode="External"/><Relationship Id="rId7030" Type="http://schemas.openxmlformats.org/officeDocument/2006/relationships/hyperlink" Target="https://salesxceleration.com/wp-content/themes/salesxceleratione/assets/css/style.css?ver=1769123855" TargetMode="External"/><Relationship Id="rId7034" Type="http://schemas.openxmlformats.org/officeDocument/2006/relationships/hyperlink" Target="https://salesxceleration.com/wp-content/uploads/2016/06/June-2016-Advisors-copy-1-scaled-1-300x135.jpg" TargetMode="External"/><Relationship Id="rId7033" Type="http://schemas.openxmlformats.org/officeDocument/2006/relationships/hyperlink" Target="https://salesxceleration.com/wp-content/uploads/2015/03/lemons-to-lemonade-sales-xceleration.png" TargetMode="External"/><Relationship Id="rId7032" Type="http://schemas.openxmlformats.org/officeDocument/2006/relationships/hyperlink" Target="https://salesxceleration.com/wp-content/uploads/2015/03/lemons-to-lemonade-sales-xceleration.png" TargetMode="External"/><Relationship Id="rId7031" Type="http://schemas.openxmlformats.org/officeDocument/2006/relationships/hyperlink" Target="https://salesxceleration.com/wp-content/themes/salesxceleratione/assets/css/style.css?ver=1769123855" TargetMode="External"/><Relationship Id="rId7038" Type="http://schemas.openxmlformats.org/officeDocument/2006/relationships/hyperlink" Target="https://salesxceleration.com/wp-content/uploads/2017/11/smallbusinesssaturdayjpeg-300x150.jpeg" TargetMode="External"/><Relationship Id="rId7037" Type="http://schemas.openxmlformats.org/officeDocument/2006/relationships/hyperlink" Target="https://salesxceleration.com/wp-content/uploads/2016/06/CEO-Breakfast-Workshop-300x300.png" TargetMode="External"/><Relationship Id="rId7036" Type="http://schemas.openxmlformats.org/officeDocument/2006/relationships/hyperlink" Target="https://salesxceleration.com/wp-content/uploads/2016/06/CEO-Breakfast-Workshop-300x300.png" TargetMode="External"/><Relationship Id="rId7035" Type="http://schemas.openxmlformats.org/officeDocument/2006/relationships/hyperlink" Target="https://salesxceleration.com/wp-content/uploads/2016/06/June-2016-Advisors-copy-1-scaled-1-300x135.jpg" TargetMode="External"/><Relationship Id="rId7039" Type="http://schemas.openxmlformats.org/officeDocument/2006/relationships/hyperlink" Target="https://salesxceleration.com/wp-content/uploads/2017/11/smallbusinesssaturdayjpeg-300x150.jpeg" TargetMode="External"/><Relationship Id="rId7023" Type="http://schemas.openxmlformats.org/officeDocument/2006/relationships/hyperlink" Target="https://salesxceleration.com/wp-content/uploads/2022/02/Buinessman-Standing-in-Front-of-Blackboard.jpg" TargetMode="External"/><Relationship Id="rId7022" Type="http://schemas.openxmlformats.org/officeDocument/2006/relationships/hyperlink" Target="https://salesxceleration.com/wp-content/uploads/2022/02/Buinessman-Standing-in-Front-of-Blackboard.jpg" TargetMode="External"/><Relationship Id="rId7021" Type="http://schemas.openxmlformats.org/officeDocument/2006/relationships/hyperlink" Target="https://salesxceleration.com/wp-content/themes/salesxceleratione/assets/css/style.css?ver=1769123857" TargetMode="External"/><Relationship Id="rId7020" Type="http://schemas.openxmlformats.org/officeDocument/2006/relationships/hyperlink" Target="https://salesxceleration.com/wp-content/themes/salesxceleratione/assets/css/style.css?ver=1769123857" TargetMode="External"/><Relationship Id="rId7027" Type="http://schemas.openxmlformats.org/officeDocument/2006/relationships/hyperlink" Target="https://salesxceleration.com/wp-content/uploads/2015/07/Stop-Sign-RS-72-dpi.jpg" TargetMode="External"/><Relationship Id="rId7026" Type="http://schemas.openxmlformats.org/officeDocument/2006/relationships/hyperlink" Target="https://salesxceleration.com/wp-content/uploads/2015/07/Stop-Sign-RS-72-dpi.jpg" TargetMode="External"/><Relationship Id="rId7025" Type="http://schemas.openxmlformats.org/officeDocument/2006/relationships/hyperlink" Target="https://salesxceleration.com/wp-content/uploads/2021/11/Salesperson-Looking-at-CRM-scaled.jpeg" TargetMode="External"/><Relationship Id="rId7024" Type="http://schemas.openxmlformats.org/officeDocument/2006/relationships/hyperlink" Target="https://salesxceleration.com/wp-content/uploads/2021/11/Salesperson-Looking-at-CRM-scaled.jpeg" TargetMode="External"/><Relationship Id="rId7029" Type="http://schemas.openxmlformats.org/officeDocument/2006/relationships/hyperlink" Target="https://salesxceleration.com/wp-content/themes/salesxceleratione/assets/css/style.css?ver=1769123856" TargetMode="External"/><Relationship Id="rId7028" Type="http://schemas.openxmlformats.org/officeDocument/2006/relationships/hyperlink" Target="https://salesxceleration.com/wp-content/themes/salesxceleratione/assets/css/style.css?ver=1769123856" TargetMode="External"/><Relationship Id="rId7052" Type="http://schemas.openxmlformats.org/officeDocument/2006/relationships/hyperlink" Target="https://salesxceleration.com/wp-content/uploads/2017/11/smallbusinesssaturdayjpeg.jpeg" TargetMode="External"/><Relationship Id="rId7051" Type="http://schemas.openxmlformats.org/officeDocument/2006/relationships/hyperlink" Target="https://salesxceleration.com/sales-xceleration-announces-addition-4-new-advisors-expanding-existing-footprint-entering-new-markets/" TargetMode="External"/><Relationship Id="rId7050" Type="http://schemas.openxmlformats.org/officeDocument/2006/relationships/hyperlink" Target="https://salesxceleration.com/sales-xceleration-announces-addition-4-new-advisors-expanding-existing-footprint-entering-new-markets/" TargetMode="External"/><Relationship Id="rId7056" Type="http://schemas.openxmlformats.org/officeDocument/2006/relationships/hyperlink" Target="https://salesxceleration.com/wp-content/uploads/2017/11/Top-Five-sales-ways-to-grow-small-businesses-410x1024.png" TargetMode="External"/><Relationship Id="rId7055" Type="http://schemas.openxmlformats.org/officeDocument/2006/relationships/hyperlink" Target="https://salesxceleration.com/wp-content/uploads/2017/11/US-Small-Business-Statistics-1024x487.png" TargetMode="External"/><Relationship Id="rId7054" Type="http://schemas.openxmlformats.org/officeDocument/2006/relationships/hyperlink" Target="https://salesxceleration.com/wp-content/uploads/2017/11/US-Small-Business-Statistics-1024x487.png" TargetMode="External"/><Relationship Id="rId7053" Type="http://schemas.openxmlformats.org/officeDocument/2006/relationships/hyperlink" Target="https://salesxceleration.com/wp-content/uploads/2017/11/smallbusinesssaturdayjpeg.jpeg" TargetMode="External"/><Relationship Id="rId7059" Type="http://schemas.openxmlformats.org/officeDocument/2006/relationships/hyperlink" Target="https://salesxceleration.com/wp-content/uploads/2016/06/June-2016-Advisors-copy-1-scaled-1.jpg" TargetMode="External"/><Relationship Id="rId7058" Type="http://schemas.openxmlformats.org/officeDocument/2006/relationships/hyperlink" Target="https://salesxceleration.com/wp-content/uploads/2016/06/June-2016-Advisors-copy-1-scaled-1.jpg" TargetMode="External"/><Relationship Id="rId7057" Type="http://schemas.openxmlformats.org/officeDocument/2006/relationships/hyperlink" Target="https://salesxceleration.com/wp-content/uploads/2017/11/Top-Five-sales-ways-to-grow-small-businesses-410x1024.png" TargetMode="External"/><Relationship Id="rId7041" Type="http://schemas.openxmlformats.org/officeDocument/2006/relationships/hyperlink" Target="https://salesxceleration.com/wp-content/uploads/2021/10/Metal-Fab-768x434.jpg" TargetMode="External"/><Relationship Id="rId7040" Type="http://schemas.openxmlformats.org/officeDocument/2006/relationships/hyperlink" Target="https://salesxceleration.com/wp-content/uploads/2021/10/Metal-Fab-768x434.jpg" TargetMode="External"/><Relationship Id="rId7045" Type="http://schemas.openxmlformats.org/officeDocument/2006/relationships/hyperlink" Target="https://salesxceleration.com/wp-content/themes/salesxceleratione/assets/css/style.css?ver=1769123860" TargetMode="External"/><Relationship Id="rId7044" Type="http://schemas.openxmlformats.org/officeDocument/2006/relationships/hyperlink" Target="https://salesxceleration.com/wp-content/themes/salesxceleratione/assets/css/style.css?ver=1769123860" TargetMode="External"/><Relationship Id="rId7043" Type="http://schemas.openxmlformats.org/officeDocument/2006/relationships/hyperlink" Target="https://salesxceleration.com/wp-content/uploads/2021/10/Calibration_Manufacturing-768x439.jpg" TargetMode="External"/><Relationship Id="rId7042" Type="http://schemas.openxmlformats.org/officeDocument/2006/relationships/hyperlink" Target="https://salesxceleration.com/wp-content/uploads/2021/10/Calibration_Manufacturing-768x439.jpg" TargetMode="External"/><Relationship Id="rId7049" Type="http://schemas.openxmlformats.org/officeDocument/2006/relationships/hyperlink" Target="https://salesxceleration.com/sales-xceleration-announces-addition-4-new-advisors-expanding-existing-footprint-entering-new-markets/" TargetMode="External"/><Relationship Id="rId7048" Type="http://schemas.openxmlformats.org/officeDocument/2006/relationships/hyperlink" Target="https://salesxceleration.com/small-business-sales-tips/" TargetMode="External"/><Relationship Id="rId7047" Type="http://schemas.openxmlformats.org/officeDocument/2006/relationships/hyperlink" Target="https://salesxceleration.com/small-business-sales-tips/" TargetMode="External"/><Relationship Id="rId7046" Type="http://schemas.openxmlformats.org/officeDocument/2006/relationships/hyperlink" Target="https://salesxceleration.com/small-business-sales-tips/" TargetMode="External"/><Relationship Id="rId7012" Type="http://schemas.openxmlformats.org/officeDocument/2006/relationships/hyperlink" Target="https://salesxceleration.com/author/admin/" TargetMode="External"/><Relationship Id="rId7011" Type="http://schemas.openxmlformats.org/officeDocument/2006/relationships/hyperlink" Target="https://salesxceleration.com/author/admin/" TargetMode="External"/><Relationship Id="rId7010" Type="http://schemas.openxmlformats.org/officeDocument/2006/relationships/hyperlink" Target="https://salesxceleration.com/author/admin/" TargetMode="External"/><Relationship Id="rId7016" Type="http://schemas.openxmlformats.org/officeDocument/2006/relationships/hyperlink" Target="https://salesxceleration.com/wp-content/uploads/2021/12/Sales-Process-for-Modern-Buyers-scaled.jpg" TargetMode="External"/><Relationship Id="rId7015" Type="http://schemas.openxmlformats.org/officeDocument/2006/relationships/hyperlink" Target="https://salesxceleration.com/lemonade-from-lemons-how-to-turn-a-lost-sale-into-a-positive-experience/" TargetMode="External"/><Relationship Id="rId7014" Type="http://schemas.openxmlformats.org/officeDocument/2006/relationships/hyperlink" Target="https://salesxceleration.com/lemonade-from-lemons-how-to-turn-a-lost-sale-into-a-positive-experience/" TargetMode="External"/><Relationship Id="rId7013" Type="http://schemas.openxmlformats.org/officeDocument/2006/relationships/hyperlink" Target="https://salesxceleration.com/lemonade-from-lemons-how-to-turn-a-lost-sale-into-a-positive-experience/" TargetMode="External"/><Relationship Id="rId7019" Type="http://schemas.openxmlformats.org/officeDocument/2006/relationships/hyperlink" Target="https://salesxceleration.com/wp-content/uploads/2020/09/Setting-Smarter-Sales-Goals-scaled-1.jpg" TargetMode="External"/><Relationship Id="rId7018" Type="http://schemas.openxmlformats.org/officeDocument/2006/relationships/hyperlink" Target="https://salesxceleration.com/wp-content/uploads/2020/09/Setting-Smarter-Sales-Goals-scaled-1.jpg" TargetMode="External"/><Relationship Id="rId7017" Type="http://schemas.openxmlformats.org/officeDocument/2006/relationships/hyperlink" Target="https://salesxceleration.com/wp-content/uploads/2021/12/Sales-Process-for-Modern-Buyers-scaled.jpg" TargetMode="External"/><Relationship Id="rId7001" Type="http://schemas.openxmlformats.org/officeDocument/2006/relationships/hyperlink" Target="https://salesxceleration.com/lemonade-from-lemons-how-to-turn-a-lost-sale-into-a-positive-experience" TargetMode="External"/><Relationship Id="rId7000" Type="http://schemas.openxmlformats.org/officeDocument/2006/relationships/hyperlink" Target="https://salesxceleration.com/wp-content/uploads/2018/04/newyayaya.jpg" TargetMode="External"/><Relationship Id="rId7005" Type="http://schemas.openxmlformats.org/officeDocument/2006/relationships/hyperlink" Target="https://salesxceleration.com/wp-content/themes/salesxceleratione/assets/css/style.css?ver=1769123859" TargetMode="External"/><Relationship Id="rId7004" Type="http://schemas.openxmlformats.org/officeDocument/2006/relationships/hyperlink" Target="https://salesxceleration.com/wp-content/themes/salesxceleratione/assets/css/style.css?ver=1769123859" TargetMode="External"/><Relationship Id="rId7003" Type="http://schemas.openxmlformats.org/officeDocument/2006/relationships/hyperlink" Target="https://salesxceleration.com/lemonade-from-lemons-how-to-turn-a-lost-sale-into-a-positive-experience" TargetMode="External"/><Relationship Id="rId7002" Type="http://schemas.openxmlformats.org/officeDocument/2006/relationships/hyperlink" Target="https://salesxceleration.com/lemonade-from-lemons-how-to-turn-a-lost-sale-into-a-positive-experience/" TargetMode="External"/><Relationship Id="rId7009" Type="http://schemas.openxmlformats.org/officeDocument/2006/relationships/hyperlink" Target="https://salesxceleration.com/wp-content/themes/salesxceleratione/assets/css/style.css?ver=1769123858" TargetMode="External"/><Relationship Id="rId7008" Type="http://schemas.openxmlformats.org/officeDocument/2006/relationships/hyperlink" Target="https://salesxceleration.com/wp-content/themes/salesxceleratione/assets/css/style.css?ver=1769123858" TargetMode="External"/><Relationship Id="rId7007" Type="http://schemas.openxmlformats.org/officeDocument/2006/relationships/hyperlink" Target="https://salesxceleration.com/wp-content/uploads/2016/06/CEO-Breakfast-Workshop.png" TargetMode="External"/><Relationship Id="rId7006" Type="http://schemas.openxmlformats.org/officeDocument/2006/relationships/hyperlink" Target="https://salesxceleration.com/wp-content/uploads/2016/06/CEO-Breakfast-Workshop.png" TargetMode="External"/><Relationship Id="rId3513" Type="http://schemas.openxmlformats.org/officeDocument/2006/relationships/hyperlink" Target="https://salesxceleration.com/wp-content/themes/salesxceleratione/assets/css/style.css?ver=1769123420" TargetMode="External"/><Relationship Id="rId4844" Type="http://schemas.openxmlformats.org/officeDocument/2006/relationships/hyperlink" Target="https://salesxceleration.com/wp-content/uploads/2021/12/Outsourcing-scaled.jpg" TargetMode="External"/><Relationship Id="rId3512" Type="http://schemas.openxmlformats.org/officeDocument/2006/relationships/hyperlink" Target="https://salesxceleration.com/wp-content/uploads/2019/10/October_Class_Photo-scaled-1.jpg" TargetMode="External"/><Relationship Id="rId4843" Type="http://schemas.openxmlformats.org/officeDocument/2006/relationships/hyperlink" Target="https://salesxceleration.com/wp-content/uploads/2021/12/Outsourcing-scaled.jpg" TargetMode="External"/><Relationship Id="rId3515" Type="http://schemas.openxmlformats.org/officeDocument/2006/relationships/hyperlink" Target="http://www.salesxceleration.com/" TargetMode="External"/><Relationship Id="rId4846" Type="http://schemas.openxmlformats.org/officeDocument/2006/relationships/hyperlink" Target="https://salesxceleration.com/how-sales-management-consultants-help-business-owners/" TargetMode="External"/><Relationship Id="rId3514" Type="http://schemas.openxmlformats.org/officeDocument/2006/relationships/hyperlink" Target="https://salesxceleration.com/wp-content/themes/salesxceleratione/assets/css/style.css?ver=1769123420" TargetMode="External"/><Relationship Id="rId4845" Type="http://schemas.openxmlformats.org/officeDocument/2006/relationships/hyperlink" Target="https://salesxceleration.com/how-sales-management-consultants-help-business-owners/" TargetMode="External"/><Relationship Id="rId3517" Type="http://schemas.openxmlformats.org/officeDocument/2006/relationships/hyperlink" Target="http://www.salesxceleration.com/" TargetMode="External"/><Relationship Id="rId4848" Type="http://schemas.openxmlformats.org/officeDocument/2006/relationships/hyperlink" Target="https://salesxceleration.com/wp-content/uploads/2021/11/Business-Woman-Contemplating-New-Career-Path-scaled.jpeg" TargetMode="External"/><Relationship Id="rId3516" Type="http://schemas.openxmlformats.org/officeDocument/2006/relationships/hyperlink" Target="https://www.salesxceleration.com/" TargetMode="External"/><Relationship Id="rId4847" Type="http://schemas.openxmlformats.org/officeDocument/2006/relationships/hyperlink" Target="https://salesxceleration.com/how-sales-management-consultants-help-business-owners/" TargetMode="External"/><Relationship Id="rId3519" Type="http://schemas.openxmlformats.org/officeDocument/2006/relationships/hyperlink" Target="https://salesxceleration.com/wp-content/uploads/2025/05/Expansion-1.jpg" TargetMode="External"/><Relationship Id="rId3518" Type="http://schemas.openxmlformats.org/officeDocument/2006/relationships/hyperlink" Target="https://salesxceleration.com/wp-content/uploads/2025/05/Expansion-1.jpg" TargetMode="External"/><Relationship Id="rId4849" Type="http://schemas.openxmlformats.org/officeDocument/2006/relationships/hyperlink" Target="https://salesxceleration.com/wp-content/uploads/2021/11/Business-Woman-Contemplating-New-Career-Path-scaled.jpeg" TargetMode="External"/><Relationship Id="rId4840" Type="http://schemas.openxmlformats.org/officeDocument/2006/relationships/hyperlink" Target="https://salesxceleration.com/the-sales-consulting-opportunity-why-quitting-your-job-might-not-be-risky/" TargetMode="External"/><Relationship Id="rId3511" Type="http://schemas.openxmlformats.org/officeDocument/2006/relationships/hyperlink" Target="https://salesxceleration.com/wp-content/uploads/2019/10/October_Class_Photo-scaled-1.jpg" TargetMode="External"/><Relationship Id="rId4842" Type="http://schemas.openxmlformats.org/officeDocument/2006/relationships/hyperlink" Target="https://salesxceleration.com/the-sales-consulting-opportunity-why-quitting-your-job-might-not-be-risky/" TargetMode="External"/><Relationship Id="rId3510" Type="http://schemas.openxmlformats.org/officeDocument/2006/relationships/hyperlink" Target="https://salesxceleration.com/wp-content/themes/salesxceleratione/assets/css/style.css?ver=1769123419" TargetMode="External"/><Relationship Id="rId4841" Type="http://schemas.openxmlformats.org/officeDocument/2006/relationships/hyperlink" Target="https://salesxceleration.com/the-sales-consulting-opportunity-why-quitting-your-job-might-not-be-risky/" TargetMode="External"/><Relationship Id="rId3502" Type="http://schemas.openxmlformats.org/officeDocument/2006/relationships/hyperlink" Target="https://salesxceleration.com/business-growth-during-covid-were-proof-it-can-be-done/" TargetMode="External"/><Relationship Id="rId4833" Type="http://schemas.openxmlformats.org/officeDocument/2006/relationships/hyperlink" Target="https://salesxceleration.com/wp-content/uploads/2019/07/shutterstock_536212654-1-2048x2048.jpg" TargetMode="External"/><Relationship Id="rId3501" Type="http://schemas.openxmlformats.org/officeDocument/2006/relationships/hyperlink" Target="https://salesxceleration.com/business-growth-during-covid-were-proof-it-can-be-done/" TargetMode="External"/><Relationship Id="rId4832" Type="http://schemas.openxmlformats.org/officeDocument/2006/relationships/hyperlink" Target="https://salesxceleration.com/wp-content/uploads/2021/12/Business-man-and-woman-ready-to-walk-through-large-door-scaled.jpg" TargetMode="External"/><Relationship Id="rId3504" Type="http://schemas.openxmlformats.org/officeDocument/2006/relationships/hyperlink" Target="https://salesxceleration.com/contact-us/contact-info/" TargetMode="External"/><Relationship Id="rId4835" Type="http://schemas.openxmlformats.org/officeDocument/2006/relationships/hyperlink" Target="https://salesxceleration.com/wp-content/themes/salesxceleratione/assets/css/style.css?ver=1769123595" TargetMode="External"/><Relationship Id="rId3503" Type="http://schemas.openxmlformats.org/officeDocument/2006/relationships/hyperlink" Target="https://salesxceleration.com/business-growth-during-covid-were-proof-it-can-be-done/" TargetMode="External"/><Relationship Id="rId4834" Type="http://schemas.openxmlformats.org/officeDocument/2006/relationships/hyperlink" Target="https://salesxceleration.com/wp-content/uploads/2019/07/shutterstock_536212654-1-2048x2048.jpg" TargetMode="External"/><Relationship Id="rId3506" Type="http://schemas.openxmlformats.org/officeDocument/2006/relationships/hyperlink" Target="https://salesxceleration.com/contact-us/contact-info/" TargetMode="External"/><Relationship Id="rId4837" Type="http://schemas.openxmlformats.org/officeDocument/2006/relationships/hyperlink" Target="https://salesxceleration.com/infographics/benefits-of-outsourcing/" TargetMode="External"/><Relationship Id="rId3505" Type="http://schemas.openxmlformats.org/officeDocument/2006/relationships/hyperlink" Target="https://salesxceleration.com/contact-us/" TargetMode="External"/><Relationship Id="rId4836" Type="http://schemas.openxmlformats.org/officeDocument/2006/relationships/hyperlink" Target="https://salesxceleration.com/wp-content/themes/salesxceleratione/assets/css/style.css?ver=1769123595" TargetMode="External"/><Relationship Id="rId3508" Type="http://schemas.openxmlformats.org/officeDocument/2006/relationships/hyperlink" Target="https://salesxceleration.com/wp-content/uploads/2017/09/newsnews.jpg" TargetMode="External"/><Relationship Id="rId4839" Type="http://schemas.openxmlformats.org/officeDocument/2006/relationships/hyperlink" Target="https://salesxceleration.com/infographics/benefits-of-outsourcing/" TargetMode="External"/><Relationship Id="rId3507" Type="http://schemas.openxmlformats.org/officeDocument/2006/relationships/hyperlink" Target="https://salesxceleration.com/wp-content/uploads/2017/09/newsnews.jpg" TargetMode="External"/><Relationship Id="rId4838" Type="http://schemas.openxmlformats.org/officeDocument/2006/relationships/hyperlink" Target="https://salesxceleration.com/?download=27893" TargetMode="External"/><Relationship Id="rId3509" Type="http://schemas.openxmlformats.org/officeDocument/2006/relationships/hyperlink" Target="https://salesxceleration.com/wp-content/themes/salesxceleratione/assets/css/style.css?ver=1769123419" TargetMode="External"/><Relationship Id="rId3500" Type="http://schemas.openxmlformats.org/officeDocument/2006/relationships/hyperlink" Target="https://salesxceleration.com/wp-content/uploads/2016/06/Sales-Xceleration-Agility_Logo-Study-02.jpg" TargetMode="External"/><Relationship Id="rId4831" Type="http://schemas.openxmlformats.org/officeDocument/2006/relationships/hyperlink" Target="https://salesxceleration.com/wp-content/uploads/2021/12/Business-man-and-woman-ready-to-walk-through-large-door-scaled.jpg" TargetMode="External"/><Relationship Id="rId4830" Type="http://schemas.openxmlformats.org/officeDocument/2006/relationships/hyperlink" Target="https://salesxceleration.com/wp-content/uploads/2018/07/sales-consulting-opportunity-2048x2048.jpg" TargetMode="External"/><Relationship Id="rId2203" Type="http://schemas.openxmlformats.org/officeDocument/2006/relationships/hyperlink" Target="https://salesxceleration.com/wp-content/themes/salesxceleratione/assets/css/style.css?ver=1769123333" TargetMode="External"/><Relationship Id="rId3535" Type="http://schemas.openxmlformats.org/officeDocument/2006/relationships/hyperlink" Target="https://salesxceleration.com/advisors/kevin-shaughnessy/" TargetMode="External"/><Relationship Id="rId4866" Type="http://schemas.openxmlformats.org/officeDocument/2006/relationships/hyperlink" Target="https://salesxceleration.com/wp-content/themes/salesxceleratione/assets/css/style.css?ver=1769123597" TargetMode="External"/><Relationship Id="rId2204" Type="http://schemas.openxmlformats.org/officeDocument/2006/relationships/hyperlink" Target="https://salesxceleration.com/wp-content/themes/salesxceleratione/assets/css/style.css?ver=1769123333" TargetMode="External"/><Relationship Id="rId3534" Type="http://schemas.openxmlformats.org/officeDocument/2006/relationships/hyperlink" Target="https://salesxceleration.com/advisors/kevin-shaughnessy/" TargetMode="External"/><Relationship Id="rId4865" Type="http://schemas.openxmlformats.org/officeDocument/2006/relationships/hyperlink" Target="https://salesxceleration.com/wp-content/uploads/2016/02/Dollarphotoclub_80668580-Outsource-Sign-RS-72-2048x2048.jpg" TargetMode="External"/><Relationship Id="rId2205" Type="http://schemas.openxmlformats.org/officeDocument/2006/relationships/hyperlink" Target="https://salesxceleration.com/wp-content/uploads/2025/10/Industry-Hub-Page-Sales-Xceleration-2.png" TargetMode="External"/><Relationship Id="rId3537" Type="http://schemas.openxmlformats.org/officeDocument/2006/relationships/hyperlink" Target="https://salesxceleration.com/wp-content/themes/salesxceleratione/assets/css/style.css?ver=1769123421" TargetMode="External"/><Relationship Id="rId4868" Type="http://schemas.openxmlformats.org/officeDocument/2006/relationships/hyperlink" Target="https://salesxceleration.com/wp-content/uploads/2019/09/shutterstock_407349148_sm-2048x2048.jpg" TargetMode="External"/><Relationship Id="rId2206" Type="http://schemas.openxmlformats.org/officeDocument/2006/relationships/hyperlink" Target="https://salesxceleration.com/wp-content/uploads/2025/10/Industry-Hub-Page-Sales-Xceleration-2.png" TargetMode="External"/><Relationship Id="rId3536" Type="http://schemas.openxmlformats.org/officeDocument/2006/relationships/hyperlink" Target="https://salesxceleration.com/advisors/kevin-shaughnessy/" TargetMode="External"/><Relationship Id="rId4867" Type="http://schemas.openxmlformats.org/officeDocument/2006/relationships/hyperlink" Target="https://salesxceleration.com/wp-content/themes/salesxceleratione/assets/css/style.css?ver=1769123597" TargetMode="External"/><Relationship Id="rId2207" Type="http://schemas.openxmlformats.org/officeDocument/2006/relationships/hyperlink" Target="https://salesxceleration.com/wp-content/uploads/elementor/css/post-70935.css?ver=1768847334" TargetMode="External"/><Relationship Id="rId3539" Type="http://schemas.openxmlformats.org/officeDocument/2006/relationships/hyperlink" Target="https://salesxceleration.com/wp-content/uploads/2019/06/June-2019-Sales-Xceleration-New-Consultants-1-scaled.jpg" TargetMode="External"/><Relationship Id="rId2208" Type="http://schemas.openxmlformats.org/officeDocument/2006/relationships/hyperlink" Target="https://salesxceleration.com/wp-content/uploads/elementor/css/post-70935.css?ver=1768847334" TargetMode="External"/><Relationship Id="rId3538" Type="http://schemas.openxmlformats.org/officeDocument/2006/relationships/hyperlink" Target="https://salesxceleration.com/wp-content/themes/salesxceleratione/assets/css/style.css?ver=1769123421" TargetMode="External"/><Relationship Id="rId4869" Type="http://schemas.openxmlformats.org/officeDocument/2006/relationships/hyperlink" Target="https://salesxceleration.com/wp-content/uploads/2019/09/shutterstock_407349148_sm-2048x2048.jpg" TargetMode="External"/><Relationship Id="rId2209" Type="http://schemas.openxmlformats.org/officeDocument/2006/relationships/hyperlink" Target="https://salesxceleration.com/wp-content/uploads/2025/08/Sales-Xcelerators-Peer-Group-1-1-300x85.png" TargetMode="External"/><Relationship Id="rId4860" Type="http://schemas.openxmlformats.org/officeDocument/2006/relationships/hyperlink" Target="https://salesxceleration.com/wp-content/uploads/2022/03/Successful-Business-Woman.jpg" TargetMode="External"/><Relationship Id="rId3531" Type="http://schemas.openxmlformats.org/officeDocument/2006/relationships/hyperlink" Target="https://salesxceleration.com/who-we-are/advisors/" TargetMode="External"/><Relationship Id="rId4862" Type="http://schemas.openxmlformats.org/officeDocument/2006/relationships/hyperlink" Target="https://salesxceleration.com/wp-content/uploads/2021/01/shutterstock_633351611-scaled-1.jpg" TargetMode="External"/><Relationship Id="rId2200" Type="http://schemas.openxmlformats.org/officeDocument/2006/relationships/hyperlink" Target="https://salesxceleration.com/wp-content/uploads/elementor/css/post-72247.css?ver=1768857149" TargetMode="External"/><Relationship Id="rId3530" Type="http://schemas.openxmlformats.org/officeDocument/2006/relationships/hyperlink" Target="https://salesxceleration.com/about-sales-xceleration/" TargetMode="External"/><Relationship Id="rId4861" Type="http://schemas.openxmlformats.org/officeDocument/2006/relationships/hyperlink" Target="https://salesxceleration.com/wp-content/uploads/2022/03/Successful-Business-Woman.jpg" TargetMode="External"/><Relationship Id="rId2201" Type="http://schemas.openxmlformats.org/officeDocument/2006/relationships/hyperlink" Target="https://salesxceleration.com/wp-content/uploads/2025/02/goal-digital-marketing-strategy-service-through-digital-channel-search-engine-data-sci.jpg" TargetMode="External"/><Relationship Id="rId3533" Type="http://schemas.openxmlformats.org/officeDocument/2006/relationships/hyperlink" Target="https://salesxceleration.com/wp-content/uploads/2021/11/FIREFLY_LOGO_JPEG.jpg" TargetMode="External"/><Relationship Id="rId4864" Type="http://schemas.openxmlformats.org/officeDocument/2006/relationships/hyperlink" Target="https://salesxceleration.com/wp-content/uploads/2016/02/Dollarphotoclub_80668580-Outsource-Sign-RS-72-2048x2048.jpg" TargetMode="External"/><Relationship Id="rId2202" Type="http://schemas.openxmlformats.org/officeDocument/2006/relationships/hyperlink" Target="https://salesxceleration.com/wp-content/uploads/2025/02/goal-digital-marketing-strategy-service-through-digital-channel-search-engine-data-sci.jpg" TargetMode="External"/><Relationship Id="rId3532" Type="http://schemas.openxmlformats.org/officeDocument/2006/relationships/hyperlink" Target="https://salesxceleration.com/wp-content/uploads/2021/11/FIREFLY_LOGO_JPEG.jpg" TargetMode="External"/><Relationship Id="rId4863" Type="http://schemas.openxmlformats.org/officeDocument/2006/relationships/hyperlink" Target="https://salesxceleration.com/wp-content/uploads/2021/01/shutterstock_633351611-scaled-1.jpg" TargetMode="External"/><Relationship Id="rId3524" Type="http://schemas.openxmlformats.org/officeDocument/2006/relationships/hyperlink" Target="https://salesxceleration.com/author/loft/" TargetMode="External"/><Relationship Id="rId4855" Type="http://schemas.openxmlformats.org/officeDocument/2006/relationships/hyperlink" Target="https://salesxceleration.com/wp-content/uploads/2022/01/businesswoman-superhero-shadow-symbol.jpg" TargetMode="External"/><Relationship Id="rId3523" Type="http://schemas.openxmlformats.org/officeDocument/2006/relationships/hyperlink" Target="https://salesxceleration.com/author/loft/" TargetMode="External"/><Relationship Id="rId4854" Type="http://schemas.openxmlformats.org/officeDocument/2006/relationships/hyperlink" Target="https://salesxceleration.com/wp-content/uploads/2022/01/businesswoman-superhero-shadow-symbol.jpg" TargetMode="External"/><Relationship Id="rId3526" Type="http://schemas.openxmlformats.org/officeDocument/2006/relationships/hyperlink" Target="https://salesxceleration.com/wp-content/uploads/2016/10/Liftfund3-1.jpg" TargetMode="External"/><Relationship Id="rId4857" Type="http://schemas.openxmlformats.org/officeDocument/2006/relationships/hyperlink" Target="https://salesxceleration.com/wp-content/uploads/2019/08/shutterstock_1009393072-2048x2048.jpg" TargetMode="External"/><Relationship Id="rId3525" Type="http://schemas.openxmlformats.org/officeDocument/2006/relationships/hyperlink" Target="https://salesxceleration.com/wp-content/uploads/2016/10/Liftfund3-1.jpg" TargetMode="External"/><Relationship Id="rId4856" Type="http://schemas.openxmlformats.org/officeDocument/2006/relationships/hyperlink" Target="https://salesxceleration.com/wp-content/uploads/2019/08/shutterstock_1009393072-2048x2048.jpg" TargetMode="External"/><Relationship Id="rId3528" Type="http://schemas.openxmlformats.org/officeDocument/2006/relationships/hyperlink" Target="https://salesxceleration.com/wp-content/uploads/2018/01/Genesis-Plus-featured.png" TargetMode="External"/><Relationship Id="rId4859" Type="http://schemas.openxmlformats.org/officeDocument/2006/relationships/hyperlink" Target="https://salesxceleration.com/wp-content/uploads/2022/01/Hand-Holding-Lighbulb.jpg" TargetMode="External"/><Relationship Id="rId3527" Type="http://schemas.openxmlformats.org/officeDocument/2006/relationships/hyperlink" Target="https://salesxceleration.com/wp-content/uploads/2018/01/Genesis-Plus-featured.png" TargetMode="External"/><Relationship Id="rId4858" Type="http://schemas.openxmlformats.org/officeDocument/2006/relationships/hyperlink" Target="https://salesxceleration.com/wp-content/uploads/2022/01/Hand-Holding-Lighbulb.jpg" TargetMode="External"/><Relationship Id="rId3529" Type="http://schemas.openxmlformats.org/officeDocument/2006/relationships/hyperlink" Target="https://salesxceleration.com/who-we-are/advisors/" TargetMode="External"/><Relationship Id="rId3520" Type="http://schemas.openxmlformats.org/officeDocument/2006/relationships/hyperlink" Target="https://salesxceleration.com/wp-content/uploads/2016/10/Liftfund1.jpg" TargetMode="External"/><Relationship Id="rId4851" Type="http://schemas.openxmlformats.org/officeDocument/2006/relationships/hyperlink" Target="https://salesxceleration.com/wp-content/uploads/2021/11/p-2-how-interim-executives-can-be-a-surprising-benefit-to-your-company.jpeg" TargetMode="External"/><Relationship Id="rId4850" Type="http://schemas.openxmlformats.org/officeDocument/2006/relationships/hyperlink" Target="https://salesxceleration.com/wp-content/uploads/2021/11/p-2-how-interim-executives-can-be-a-surprising-benefit-to-your-company.jpeg" TargetMode="External"/><Relationship Id="rId3522" Type="http://schemas.openxmlformats.org/officeDocument/2006/relationships/hyperlink" Target="https://salesxceleration.com/author/loft/" TargetMode="External"/><Relationship Id="rId4853" Type="http://schemas.openxmlformats.org/officeDocument/2006/relationships/hyperlink" Target="https://salesxceleration.com/wp-content/themes/salesxceleratione/assets/css/style.css?ver=1769123596" TargetMode="External"/><Relationship Id="rId3521" Type="http://schemas.openxmlformats.org/officeDocument/2006/relationships/hyperlink" Target="https://salesxceleration.com/wp-content/uploads/2016/10/Liftfund1.jpg" TargetMode="External"/><Relationship Id="rId4852" Type="http://schemas.openxmlformats.org/officeDocument/2006/relationships/hyperlink" Target="https://salesxceleration.com/wp-content/themes/salesxceleratione/assets/css/style.css?ver=1769123596" TargetMode="External"/><Relationship Id="rId4800" Type="http://schemas.openxmlformats.org/officeDocument/2006/relationships/hyperlink" Target="https://salesxceleration.com/becoming-senior-entrepreneur-gain/" TargetMode="External"/><Relationship Id="rId4802" Type="http://schemas.openxmlformats.org/officeDocument/2006/relationships/hyperlink" Target="https://salesxceleration.com/wp-content/uploads/2023/03/Fractional-Sales-Leadership-Consultants.jpg" TargetMode="External"/><Relationship Id="rId4801" Type="http://schemas.openxmlformats.org/officeDocument/2006/relationships/hyperlink" Target="https://salesxceleration.com/wp-content/uploads/2023/03/Fractional-Sales-Leadership-Consultants.jpg" TargetMode="External"/><Relationship Id="rId4804" Type="http://schemas.openxmlformats.org/officeDocument/2006/relationships/hyperlink" Target="https://salesxceleration.com/wp-content/themes/salesxceleratione/assets/css/style.css?ver=1769123578" TargetMode="External"/><Relationship Id="rId4803" Type="http://schemas.openxmlformats.org/officeDocument/2006/relationships/hyperlink" Target="https://salesxceleration.com/wp-content/themes/salesxceleratione/assets/css/style.css?ver=1769123578" TargetMode="External"/><Relationship Id="rId4806" Type="http://schemas.openxmlformats.org/officeDocument/2006/relationships/hyperlink" Target="https://salesxceleration.com/contact-us/" TargetMode="External"/><Relationship Id="rId4805" Type="http://schemas.openxmlformats.org/officeDocument/2006/relationships/hyperlink" Target="https://salesxceleration.com/contact-us" TargetMode="External"/><Relationship Id="rId4808" Type="http://schemas.openxmlformats.org/officeDocument/2006/relationships/hyperlink" Target="https://salesxceleration.com/wp-content/uploads/2022/12/Business-Opportunity.jpg" TargetMode="External"/><Relationship Id="rId4807" Type="http://schemas.openxmlformats.org/officeDocument/2006/relationships/hyperlink" Target="https://salesxceleration.com/contact-us" TargetMode="External"/><Relationship Id="rId4809" Type="http://schemas.openxmlformats.org/officeDocument/2006/relationships/hyperlink" Target="https://salesxceleration.com/wp-content/uploads/2022/12/Business-Opportunity.jpg" TargetMode="External"/><Relationship Id="rId7062" Type="http://schemas.openxmlformats.org/officeDocument/2006/relationships/drawing" Target="../drawings/drawing3.xml"/><Relationship Id="rId7061" Type="http://schemas.openxmlformats.org/officeDocument/2006/relationships/hyperlink" Target="https://salesxceleration.com/wp-content/themes/salesxceleratione/assets/css/style.css?ver=1769123864" TargetMode="External"/><Relationship Id="rId7060" Type="http://schemas.openxmlformats.org/officeDocument/2006/relationships/hyperlink" Target="https://salesxceleration.com/wp-content/themes/salesxceleratione/assets/css/style.css?ver=1769123864" TargetMode="External"/><Relationship Id="rId4822" Type="http://schemas.openxmlformats.org/officeDocument/2006/relationships/hyperlink" Target="https://salesxceleration.com/wp-content/uploads/2024/02/Outsourced-Sales-Leadership.jpg" TargetMode="External"/><Relationship Id="rId4821" Type="http://schemas.openxmlformats.org/officeDocument/2006/relationships/hyperlink" Target="https://salesxceleration.com/wp-content/uploads/2024/02/Outsourced-Sales-Leadership.jpg" TargetMode="External"/><Relationship Id="rId4824" Type="http://schemas.openxmlformats.org/officeDocument/2006/relationships/hyperlink" Target="https://salesxceleration.com/wp-content/uploads/2024/08/Fractional-Sales-Leadership.jpg" TargetMode="External"/><Relationship Id="rId4823" Type="http://schemas.openxmlformats.org/officeDocument/2006/relationships/hyperlink" Target="https://salesxceleration.com/wp-content/uploads/2024/08/Fractional-Sales-Leadership.jpg" TargetMode="External"/><Relationship Id="rId4826" Type="http://schemas.openxmlformats.org/officeDocument/2006/relationships/hyperlink" Target="https://salesxceleration.com/wp-content/themes/salesxceleratione/assets/css/style.css?ver=1769123579" TargetMode="External"/><Relationship Id="rId4825" Type="http://schemas.openxmlformats.org/officeDocument/2006/relationships/hyperlink" Target="https://salesxceleration.com/wp-content/themes/salesxceleratione/assets/css/style.css?ver=1769123579" TargetMode="External"/><Relationship Id="rId4828" Type="http://schemas.openxmlformats.org/officeDocument/2006/relationships/hyperlink" Target="https://salesxceleration.com/wp-content/themes/salesxceleratione/assets/css/style.css?ver=1769123594" TargetMode="External"/><Relationship Id="rId4827" Type="http://schemas.openxmlformats.org/officeDocument/2006/relationships/hyperlink" Target="https://salesxceleration.com/wp-content/themes/salesxceleratione/assets/css/style.css?ver=1769123594" TargetMode="External"/><Relationship Id="rId4829" Type="http://schemas.openxmlformats.org/officeDocument/2006/relationships/hyperlink" Target="https://salesxceleration.com/wp-content/uploads/2018/07/sales-consulting-opportunity-2048x2048.jpg" TargetMode="External"/><Relationship Id="rId4820" Type="http://schemas.openxmlformats.org/officeDocument/2006/relationships/hyperlink" Target="https://salesxceleration.com/wp-content/uploads/2024/02/Thriving-with-Outsourced-Leadership-1024x576.jpg" TargetMode="External"/><Relationship Id="rId4811" Type="http://schemas.openxmlformats.org/officeDocument/2006/relationships/hyperlink" Target="https://salesxceleration.com/wp-content/uploads/2022/12/resilience-1024x316.jpg" TargetMode="External"/><Relationship Id="rId4810" Type="http://schemas.openxmlformats.org/officeDocument/2006/relationships/hyperlink" Target="https://salesxceleration.com/wp-content/uploads/2022/12/resilience-1024x316.jpg" TargetMode="External"/><Relationship Id="rId4813" Type="http://schemas.openxmlformats.org/officeDocument/2006/relationships/hyperlink" Target="https://salesxceleration.com/wp-content/uploads/2025/02/Podcast-Episode_Transforming-Sales-for-Growth.png" TargetMode="External"/><Relationship Id="rId4812" Type="http://schemas.openxmlformats.org/officeDocument/2006/relationships/hyperlink" Target="https://salesxceleration.com/wp-content/uploads/2025/02/Podcast-Episode_Transforming-Sales-for-Growth.png" TargetMode="External"/><Relationship Id="rId4815" Type="http://schemas.openxmlformats.org/officeDocument/2006/relationships/hyperlink" Target="https://salesxceleration.com/author/hdanz/" TargetMode="External"/><Relationship Id="rId4814" Type="http://schemas.openxmlformats.org/officeDocument/2006/relationships/hyperlink" Target="https://salesxceleration.com/author/hdanz/" TargetMode="External"/><Relationship Id="rId4817" Type="http://schemas.openxmlformats.org/officeDocument/2006/relationships/hyperlink" Target="https://salesxceleration.com/wp-content/uploads/2024/01/Leading-with-Heart_Podcast.jpg" TargetMode="External"/><Relationship Id="rId4816" Type="http://schemas.openxmlformats.org/officeDocument/2006/relationships/hyperlink" Target="https://salesxceleration.com/author/hdanz/" TargetMode="External"/><Relationship Id="rId4819" Type="http://schemas.openxmlformats.org/officeDocument/2006/relationships/hyperlink" Target="https://salesxceleration.com/wp-content/uploads/2024/02/Thriving-with-Outsourced-Leadership-1024x576.jpg" TargetMode="External"/><Relationship Id="rId4818" Type="http://schemas.openxmlformats.org/officeDocument/2006/relationships/hyperlink" Target="https://salesxceleration.com/wp-content/uploads/2024/01/Leading-with-Heart_Podcast.jpg" TargetMode="External"/><Relationship Id="rId2269" Type="http://schemas.openxmlformats.org/officeDocument/2006/relationships/hyperlink" Target="https://salesxceleration.com/adapting-leadership-styles-to-the-situation-sales-growth-vs-sales-recovery-part-one-sales-growth/" TargetMode="External"/><Relationship Id="rId3591" Type="http://schemas.openxmlformats.org/officeDocument/2006/relationships/hyperlink" Target="https://salesxceleration.com/how-fractional-sales-consultants-deliver-success-through-sales-outsourcing/" TargetMode="External"/><Relationship Id="rId2260" Type="http://schemas.openxmlformats.org/officeDocument/2006/relationships/hyperlink" Target="https://salesxceleration.com/wp-content/uploads/elementor/css/post-20795.css?ver=1768846660" TargetMode="External"/><Relationship Id="rId3590" Type="http://schemas.openxmlformats.org/officeDocument/2006/relationships/hyperlink" Target="https://salesxceleration.com/wp-content/uploads/2021/12/Business-man-and-woman-ready-to-walk-through-large-door-300x200.jpg" TargetMode="External"/><Relationship Id="rId2261" Type="http://schemas.openxmlformats.org/officeDocument/2006/relationships/hyperlink" Target="https://salesxceleration.com/wp-content/uploads/elementor/css/post-20795.css?ver=1768846660" TargetMode="External"/><Relationship Id="rId3593" Type="http://schemas.openxmlformats.org/officeDocument/2006/relationships/hyperlink" Target="https://salesxceleration.com/how-fractional-sales-consultants-deliver-success-through-sales-outsourcing/" TargetMode="External"/><Relationship Id="rId2262" Type="http://schemas.openxmlformats.org/officeDocument/2006/relationships/hyperlink" Target="https://salesxceleration.com/wp-content/uploads/2022/07/Sales-Automation-300x300.jpg" TargetMode="External"/><Relationship Id="rId3592" Type="http://schemas.openxmlformats.org/officeDocument/2006/relationships/hyperlink" Target="https://salesxceleration.com/how-fractional-sales-consultants-deliver-success-through-sales-outsourcing/" TargetMode="External"/><Relationship Id="rId2263" Type="http://schemas.openxmlformats.org/officeDocument/2006/relationships/hyperlink" Target="https://salesxceleration.com/wp-content/uploads/2022/07/Sales-Automation-300x300.jpg" TargetMode="External"/><Relationship Id="rId3595" Type="http://schemas.openxmlformats.org/officeDocument/2006/relationships/hyperlink" Target="https://salesxceleration.com/how-wake-up-calls-and-alarming-events-can-reveal-new-career-paths/" TargetMode="External"/><Relationship Id="rId2264" Type="http://schemas.openxmlformats.org/officeDocument/2006/relationships/hyperlink" Target="https://salesxceleration.com/is-small-business-success-possible-during-a-period-of-inflation/" TargetMode="External"/><Relationship Id="rId3594" Type="http://schemas.openxmlformats.org/officeDocument/2006/relationships/hyperlink" Target="https://salesxceleration.com/how-wake-up-calls-and-alarming-events-can-reveal-new-career-paths/" TargetMode="External"/><Relationship Id="rId2265" Type="http://schemas.openxmlformats.org/officeDocument/2006/relationships/hyperlink" Target="https://salesxceleration.com/is-small-business-success-possible-during-a-period-of-inflation/" TargetMode="External"/><Relationship Id="rId3597" Type="http://schemas.openxmlformats.org/officeDocument/2006/relationships/hyperlink" Target="https://salesxceleration.com/wp-content/uploads/2021/11/Business-Woman-Contemplating-New-Career-Path-300x200.jpeg" TargetMode="External"/><Relationship Id="rId2266" Type="http://schemas.openxmlformats.org/officeDocument/2006/relationships/hyperlink" Target="https://salesxceleration.com/is-small-business-success-possible-during-a-period-of-inflation/" TargetMode="External"/><Relationship Id="rId3596" Type="http://schemas.openxmlformats.org/officeDocument/2006/relationships/hyperlink" Target="https://salesxceleration.com/how-wake-up-calls-and-alarming-events-can-reveal-new-career-paths/" TargetMode="External"/><Relationship Id="rId2267" Type="http://schemas.openxmlformats.org/officeDocument/2006/relationships/hyperlink" Target="https://salesxceleration.com/adapting-leadership-styles-to-the-situation-sales-growth-vs-sales-recovery-part-one-sales-growth/" TargetMode="External"/><Relationship Id="rId3599" Type="http://schemas.openxmlformats.org/officeDocument/2006/relationships/hyperlink" Target="https://salesxceleration.com/how-interim-executives-can-be-a-surprising-benefit-to-your-company/" TargetMode="External"/><Relationship Id="rId2268" Type="http://schemas.openxmlformats.org/officeDocument/2006/relationships/hyperlink" Target="https://salesxceleration.com/adapting-leadership-styles-to-the-situation-sales-growth-vs-sales-recovery-part-one-sales-growth/" TargetMode="External"/><Relationship Id="rId3598" Type="http://schemas.openxmlformats.org/officeDocument/2006/relationships/hyperlink" Target="https://salesxceleration.com/wp-content/uploads/2021/11/Business-Woman-Contemplating-New-Career-Path-300x200.jpeg" TargetMode="External"/><Relationship Id="rId2258" Type="http://schemas.openxmlformats.org/officeDocument/2006/relationships/hyperlink" Target="https://salesxceleration.com/7-ways-to-write-a-better-sales-job-advertisement/" TargetMode="External"/><Relationship Id="rId2259" Type="http://schemas.openxmlformats.org/officeDocument/2006/relationships/hyperlink" Target="https://salesxceleration.com/7-ways-to-write-a-better-sales-job-advertisement/" TargetMode="External"/><Relationship Id="rId3589" Type="http://schemas.openxmlformats.org/officeDocument/2006/relationships/hyperlink" Target="https://salesxceleration.com/wp-content/uploads/2021/12/Business-man-and-woman-ready-to-walk-through-large-door-300x200.jpg" TargetMode="External"/><Relationship Id="rId3580" Type="http://schemas.openxmlformats.org/officeDocument/2006/relationships/hyperlink" Target="https://salesxceleration.com/wp-content/themes/salesxceleratione/assets/css/style.css?ver=1769123580" TargetMode="External"/><Relationship Id="rId2250" Type="http://schemas.openxmlformats.org/officeDocument/2006/relationships/hyperlink" Target="https://salesxceleration.com/wp-content/uploads/2023/08/Businessman-Selling-Virtually-300x200.jpg" TargetMode="External"/><Relationship Id="rId3582" Type="http://schemas.openxmlformats.org/officeDocument/2006/relationships/hyperlink" Target="https://salesxceleration.com/wp-content/uploads/2022/02/It-is-my-passion-300x300.jpg" TargetMode="External"/><Relationship Id="rId2251" Type="http://schemas.openxmlformats.org/officeDocument/2006/relationships/hyperlink" Target="https://salesxceleration.com/how-consulting-can-help-you-ease-into-retirement/" TargetMode="External"/><Relationship Id="rId3581" Type="http://schemas.openxmlformats.org/officeDocument/2006/relationships/hyperlink" Target="https://salesxceleration.com/wp-content/themes/salesxceleratione/assets/css/style.css?ver=1769123580" TargetMode="External"/><Relationship Id="rId2252" Type="http://schemas.openxmlformats.org/officeDocument/2006/relationships/hyperlink" Target="https://salesxceleration.com/how-consulting-can-help-you-ease-into-retirement/" TargetMode="External"/><Relationship Id="rId3584" Type="http://schemas.openxmlformats.org/officeDocument/2006/relationships/hyperlink" Target="https://salesxceleration.com/wp-content/uploads/2022/01/businesswoman-superhero-shadow-symbol-300x186.jpg" TargetMode="External"/><Relationship Id="rId2253" Type="http://schemas.openxmlformats.org/officeDocument/2006/relationships/hyperlink" Target="https://salesxceleration.com/how-consulting-can-help-you-ease-into-retirement/" TargetMode="External"/><Relationship Id="rId3583" Type="http://schemas.openxmlformats.org/officeDocument/2006/relationships/hyperlink" Target="https://salesxceleration.com/wp-content/uploads/2022/02/It-is-my-passion-300x300.jpg" TargetMode="External"/><Relationship Id="rId2254" Type="http://schemas.openxmlformats.org/officeDocument/2006/relationships/hyperlink" Target="https://salesxceleration.com/turn-your-job-candidate-search-inside-out-by-looking-beyond-your-industry/" TargetMode="External"/><Relationship Id="rId3586" Type="http://schemas.openxmlformats.org/officeDocument/2006/relationships/hyperlink" Target="https://salesxceleration.com/when-one-door-closes-another-opens-and-leads-to-opportunity-if-you-let-it/" TargetMode="External"/><Relationship Id="rId2255" Type="http://schemas.openxmlformats.org/officeDocument/2006/relationships/hyperlink" Target="https://salesxceleration.com/turn-your-job-candidate-search-inside-out-by-looking-beyond-your-industry/" TargetMode="External"/><Relationship Id="rId3585" Type="http://schemas.openxmlformats.org/officeDocument/2006/relationships/hyperlink" Target="https://salesxceleration.com/wp-content/uploads/2022/01/businesswoman-superhero-shadow-symbol-300x186.jpg" TargetMode="External"/><Relationship Id="rId2256" Type="http://schemas.openxmlformats.org/officeDocument/2006/relationships/hyperlink" Target="https://salesxceleration.com/turn-your-job-candidate-search-inside-out-by-looking-beyond-your-industry/" TargetMode="External"/><Relationship Id="rId3588" Type="http://schemas.openxmlformats.org/officeDocument/2006/relationships/hyperlink" Target="https://salesxceleration.com/when-one-door-closes-another-opens-and-leads-to-opportunity-if-you-let-it/" TargetMode="External"/><Relationship Id="rId2257" Type="http://schemas.openxmlformats.org/officeDocument/2006/relationships/hyperlink" Target="https://salesxceleration.com/7-ways-to-write-a-better-sales-job-advertisement/" TargetMode="External"/><Relationship Id="rId3587" Type="http://schemas.openxmlformats.org/officeDocument/2006/relationships/hyperlink" Target="https://salesxceleration.com/when-one-door-closes-another-opens-and-leads-to-opportunity-if-you-let-it/" TargetMode="External"/><Relationship Id="rId2280" Type="http://schemas.openxmlformats.org/officeDocument/2006/relationships/hyperlink" Target="https://salesxceleration.com/category/revenue-growth/page/4/" TargetMode="External"/><Relationship Id="rId2281" Type="http://schemas.openxmlformats.org/officeDocument/2006/relationships/hyperlink" Target="https://salesxceleration.com/category/revenue-growth/page/4/" TargetMode="External"/><Relationship Id="rId2282" Type="http://schemas.openxmlformats.org/officeDocument/2006/relationships/hyperlink" Target="https://salesxceleration.com/category/revenue-growth/page/5/" TargetMode="External"/><Relationship Id="rId2283" Type="http://schemas.openxmlformats.org/officeDocument/2006/relationships/hyperlink" Target="https://salesxceleration.com/category/revenue-growth/page/3/" TargetMode="External"/><Relationship Id="rId2284" Type="http://schemas.openxmlformats.org/officeDocument/2006/relationships/hyperlink" Target="https://salesxceleration.com/category/revenue-growth/page/4/" TargetMode="External"/><Relationship Id="rId2285" Type="http://schemas.openxmlformats.org/officeDocument/2006/relationships/hyperlink" Target="https://salesxceleration.com/wp-content/uploads/2023/04/Leadership-Styles-Sales-Recovery-300x200.jpg" TargetMode="External"/><Relationship Id="rId2286" Type="http://schemas.openxmlformats.org/officeDocument/2006/relationships/hyperlink" Target="https://salesxceleration.com/wp-content/uploads/2023/04/Leadership-Styles-Sales-Recovery-300x200.jpg" TargetMode="External"/><Relationship Id="rId2287" Type="http://schemas.openxmlformats.org/officeDocument/2006/relationships/hyperlink" Target="https://salesxceleration.com/wp-content/uploads/2023/04/Leadership-Styles-Sales-Growth-1-300x200.jpg" TargetMode="External"/><Relationship Id="rId2288" Type="http://schemas.openxmlformats.org/officeDocument/2006/relationships/hyperlink" Target="https://salesxceleration.com/wp-content/uploads/2023/04/Leadership-Styles-Sales-Growth-1-300x200.jpg" TargetMode="External"/><Relationship Id="rId2289" Type="http://schemas.openxmlformats.org/officeDocument/2006/relationships/hyperlink" Target="https://salesxceleration.com/wp-content/uploads/2022/05/Discount-300x300.jpg" TargetMode="External"/><Relationship Id="rId2270" Type="http://schemas.openxmlformats.org/officeDocument/2006/relationships/hyperlink" Target="https://salesxceleration.com/the-consequences-of-price-reductions/" TargetMode="External"/><Relationship Id="rId2271" Type="http://schemas.openxmlformats.org/officeDocument/2006/relationships/hyperlink" Target="https://salesxceleration.com/the-consequences-of-price-reductions/" TargetMode="External"/><Relationship Id="rId2272" Type="http://schemas.openxmlformats.org/officeDocument/2006/relationships/hyperlink" Target="https://salesxceleration.com/the-consequences-of-price-reductions/" TargetMode="External"/><Relationship Id="rId2273" Type="http://schemas.openxmlformats.org/officeDocument/2006/relationships/hyperlink" Target="https://salesxceleration.com/wp-content/uploads/2022/03/117623-2018-09-InSight-Sales-ORG-300x300.jpg" TargetMode="External"/><Relationship Id="rId2274" Type="http://schemas.openxmlformats.org/officeDocument/2006/relationships/hyperlink" Target="https://salesxceleration.com/wp-content/uploads/2022/03/117623-2018-09-InSight-Sales-ORG-300x300.jpg" TargetMode="External"/><Relationship Id="rId2275" Type="http://schemas.openxmlformats.org/officeDocument/2006/relationships/hyperlink" Target="https://salesxceleration.com/wp-content/uploads/2023/08/Enhance-Sales-Using-AI-300x182.jpg" TargetMode="External"/><Relationship Id="rId2276" Type="http://schemas.openxmlformats.org/officeDocument/2006/relationships/hyperlink" Target="https://salesxceleration.com/wp-content/uploads/2023/08/Enhance-Sales-Using-AI-300x182.jpg" TargetMode="External"/><Relationship Id="rId2277" Type="http://schemas.openxmlformats.org/officeDocument/2006/relationships/hyperlink" Target="https://salesxceleration.com/why-focus-on-sales-if-they-are-already-thriving/" TargetMode="External"/><Relationship Id="rId2278" Type="http://schemas.openxmlformats.org/officeDocument/2006/relationships/hyperlink" Target="https://salesxceleration.com/why-focus-on-sales-if-they-are-already-thriving/" TargetMode="External"/><Relationship Id="rId2279" Type="http://schemas.openxmlformats.org/officeDocument/2006/relationships/hyperlink" Target="https://salesxceleration.com/why-focus-on-sales-if-they-are-already-thriving/" TargetMode="External"/><Relationship Id="rId2225" Type="http://schemas.openxmlformats.org/officeDocument/2006/relationships/hyperlink" Target="https://salesxceleration.com/now-sure-fire-way-sell/" TargetMode="External"/><Relationship Id="rId3557" Type="http://schemas.openxmlformats.org/officeDocument/2006/relationships/hyperlink" Target="https://salesxceleration.com/advisors/angela-rakis/" TargetMode="External"/><Relationship Id="rId4888" Type="http://schemas.openxmlformats.org/officeDocument/2006/relationships/hyperlink" Target="https://salesxceleration.com/wp-content/uploads/2022/10/shutterstock_641424211.jpg" TargetMode="External"/><Relationship Id="rId2226" Type="http://schemas.openxmlformats.org/officeDocument/2006/relationships/hyperlink" Target="https://salesxceleration.com/sales-xceleration-spotlight-why-many-small-businesses-dont-prepare-a-sales-forecast/" TargetMode="External"/><Relationship Id="rId3556" Type="http://schemas.openxmlformats.org/officeDocument/2006/relationships/hyperlink" Target="https://salesxceleration.com/advisors/angela-rakis/" TargetMode="External"/><Relationship Id="rId4887" Type="http://schemas.openxmlformats.org/officeDocument/2006/relationships/hyperlink" Target="https://salesxceleration.com/wp-content/uploads/2016/07/New-Chapter-RS-72-560-x-225-2048x2048.jpg" TargetMode="External"/><Relationship Id="rId2227" Type="http://schemas.openxmlformats.org/officeDocument/2006/relationships/hyperlink" Target="https://salesxceleration.com/sales-xceleration-spotlight-why-many-small-businesses-dont-prepare-a-sales-forecast/" TargetMode="External"/><Relationship Id="rId3559" Type="http://schemas.openxmlformats.org/officeDocument/2006/relationships/hyperlink" Target="https://salesxceleration.com/advisors/patrick-odonnell/" TargetMode="External"/><Relationship Id="rId2228" Type="http://schemas.openxmlformats.org/officeDocument/2006/relationships/hyperlink" Target="https://salesxceleration.com/sales-xceleration-spotlight-why-many-small-businesses-dont-prepare-a-sales-forecast/" TargetMode="External"/><Relationship Id="rId3558" Type="http://schemas.openxmlformats.org/officeDocument/2006/relationships/hyperlink" Target="https://salesxceleration.com/advisors/patrick-odonnell/" TargetMode="External"/><Relationship Id="rId4889" Type="http://schemas.openxmlformats.org/officeDocument/2006/relationships/hyperlink" Target="https://salesxceleration.com/wp-content/uploads/2022/10/shutterstock_641424211.jpg" TargetMode="External"/><Relationship Id="rId2229" Type="http://schemas.openxmlformats.org/officeDocument/2006/relationships/hyperlink" Target="https://salesxceleration.com/wp-content/themes/salesxceleratione/assets/css/style.css?ver=1769123341" TargetMode="External"/><Relationship Id="rId4880" Type="http://schemas.openxmlformats.org/officeDocument/2006/relationships/hyperlink" Target="https://salesxceleration.com/wp-content/uploads/2016/04/Baby-Boomer-Entrepreneur-2048x2048.jpg" TargetMode="External"/><Relationship Id="rId3551" Type="http://schemas.openxmlformats.org/officeDocument/2006/relationships/hyperlink" Target="https://salesxceleration.com/wp-content/themes/salesxceleratione/assets/css/style.css?ver=1769123422" TargetMode="External"/><Relationship Id="rId4882" Type="http://schemas.openxmlformats.org/officeDocument/2006/relationships/hyperlink" Target="https://salesxceleration.com/the-benefits-of-outsourcing-your-sales-executive-function/" TargetMode="External"/><Relationship Id="rId2220" Type="http://schemas.openxmlformats.org/officeDocument/2006/relationships/hyperlink" Target="https://salesxceleration.com/wp-content/uploads/elementor/css/post-73461.css?ver=1769100420" TargetMode="External"/><Relationship Id="rId3550" Type="http://schemas.openxmlformats.org/officeDocument/2006/relationships/hyperlink" Target="https://salesxceleration.com/wp-content/uploads/2022/06/june.jpg" TargetMode="External"/><Relationship Id="rId4881" Type="http://schemas.openxmlformats.org/officeDocument/2006/relationships/hyperlink" Target="https://salesxceleration.com/the-benefits-of-outsourcing-your-sales-executive-function/" TargetMode="External"/><Relationship Id="rId2221" Type="http://schemas.openxmlformats.org/officeDocument/2006/relationships/hyperlink" Target="https://salesxceleration.com/wp-content/uploads/2026/01/SAO-YT-Thumbnail-Donald-Miller.jpg" TargetMode="External"/><Relationship Id="rId3553" Type="http://schemas.openxmlformats.org/officeDocument/2006/relationships/hyperlink" Target="https://salesxceleration.com/wp-content/uploads/2023/05/RAIN-SX-graphic.jpg" TargetMode="External"/><Relationship Id="rId4884" Type="http://schemas.openxmlformats.org/officeDocument/2006/relationships/hyperlink" Target="https://salesxceleration.com/wp-content/uploads/2022/06/Balance.jpg" TargetMode="External"/><Relationship Id="rId2222" Type="http://schemas.openxmlformats.org/officeDocument/2006/relationships/hyperlink" Target="https://salesxceleration.com/wp-content/uploads/2026/01/SAO-YT-Thumbnail-Donald-Miller.jpg" TargetMode="External"/><Relationship Id="rId3552" Type="http://schemas.openxmlformats.org/officeDocument/2006/relationships/hyperlink" Target="https://salesxceleration.com/wp-content/themes/salesxceleratione/assets/css/style.css?ver=1769123422" TargetMode="External"/><Relationship Id="rId4883" Type="http://schemas.openxmlformats.org/officeDocument/2006/relationships/hyperlink" Target="https://salesxceleration.com/the-benefits-of-outsourcing-your-sales-executive-function/" TargetMode="External"/><Relationship Id="rId2223" Type="http://schemas.openxmlformats.org/officeDocument/2006/relationships/hyperlink" Target="https://salesxceleration.com/now-sure-fire-way-sell/" TargetMode="External"/><Relationship Id="rId3555" Type="http://schemas.openxmlformats.org/officeDocument/2006/relationships/hyperlink" Target="https://salesxceleration.com/advisors/angela-rakis/" TargetMode="External"/><Relationship Id="rId4886" Type="http://schemas.openxmlformats.org/officeDocument/2006/relationships/hyperlink" Target="https://salesxceleration.com/wp-content/uploads/2016/07/New-Chapter-RS-72-560-x-225-2048x2048.jpg" TargetMode="External"/><Relationship Id="rId2224" Type="http://schemas.openxmlformats.org/officeDocument/2006/relationships/hyperlink" Target="https://salesxceleration.com/now-sure-fire-way-sell/" TargetMode="External"/><Relationship Id="rId3554" Type="http://schemas.openxmlformats.org/officeDocument/2006/relationships/hyperlink" Target="https://salesxceleration.com/wp-content/uploads/2023/05/RAIN-SX-graphic.jpg" TargetMode="External"/><Relationship Id="rId4885" Type="http://schemas.openxmlformats.org/officeDocument/2006/relationships/hyperlink" Target="https://salesxceleration.com/wp-content/uploads/2022/06/Balance.jpg" TargetMode="External"/><Relationship Id="rId2214" Type="http://schemas.openxmlformats.org/officeDocument/2006/relationships/hyperlink" Target="https://salesxceleration.com/wp-content/uploads/elementor/css/post-70160.css?ver=1768857132" TargetMode="External"/><Relationship Id="rId3546" Type="http://schemas.openxmlformats.org/officeDocument/2006/relationships/hyperlink" Target="https://salesxceleration.com/advisors/tony-watson/" TargetMode="External"/><Relationship Id="rId4877" Type="http://schemas.openxmlformats.org/officeDocument/2006/relationships/hyperlink" Target="https://salesxceleration.com/wp-content/uploads/2016/12/revenue-1704073__180-2048x2048.png" TargetMode="External"/><Relationship Id="rId2215" Type="http://schemas.openxmlformats.org/officeDocument/2006/relationships/hyperlink" Target="https://salesxceleration.com/wp-content/uploads/elementor/css/post-21538.css?ver=1768851689" TargetMode="External"/><Relationship Id="rId3545" Type="http://schemas.openxmlformats.org/officeDocument/2006/relationships/hyperlink" Target="https://salesxceleration.com/advisors/glenn-nixon/" TargetMode="External"/><Relationship Id="rId4876" Type="http://schemas.openxmlformats.org/officeDocument/2006/relationships/hyperlink" Target="https://salesxceleration.com/wp-content/uploads/2022/07/Entrepreneurial-Freedom.jpg" TargetMode="External"/><Relationship Id="rId2216" Type="http://schemas.openxmlformats.org/officeDocument/2006/relationships/hyperlink" Target="https://salesxceleration.com/wp-content/uploads/elementor/css/post-21538.css?ver=1768851689" TargetMode="External"/><Relationship Id="rId3548" Type="http://schemas.openxmlformats.org/officeDocument/2006/relationships/hyperlink" Target="https://salesxceleration.com/advisors/tony-watson/" TargetMode="External"/><Relationship Id="rId4879" Type="http://schemas.openxmlformats.org/officeDocument/2006/relationships/hyperlink" Target="https://salesxceleration.com/wp-content/uploads/2016/04/Baby-Boomer-Entrepreneur-2048x2048.jpg" TargetMode="External"/><Relationship Id="rId2217" Type="http://schemas.openxmlformats.org/officeDocument/2006/relationships/hyperlink" Target="https://salesxceleration.com/wp-content/uploads/2014/12/That-was-then-2048x2048.jpg" TargetMode="External"/><Relationship Id="rId3547" Type="http://schemas.openxmlformats.org/officeDocument/2006/relationships/hyperlink" Target="https://salesxceleration.com/advisors/tony-watson/" TargetMode="External"/><Relationship Id="rId4878" Type="http://schemas.openxmlformats.org/officeDocument/2006/relationships/hyperlink" Target="https://salesxceleration.com/wp-content/uploads/2016/12/revenue-1704073__180-2048x2048.png" TargetMode="External"/><Relationship Id="rId2218" Type="http://schemas.openxmlformats.org/officeDocument/2006/relationships/hyperlink" Target="https://salesxceleration.com/wp-content/uploads/2014/12/That-was-then-2048x2048.jpg" TargetMode="External"/><Relationship Id="rId2219" Type="http://schemas.openxmlformats.org/officeDocument/2006/relationships/hyperlink" Target="https://salesxceleration.com/wp-content/uploads/elementor/css/post-73461.css?ver=1769100420" TargetMode="External"/><Relationship Id="rId3549" Type="http://schemas.openxmlformats.org/officeDocument/2006/relationships/hyperlink" Target="https://salesxceleration.com/wp-content/uploads/2022/06/june.jpg" TargetMode="External"/><Relationship Id="rId3540" Type="http://schemas.openxmlformats.org/officeDocument/2006/relationships/hyperlink" Target="https://salesxceleration.com/wp-content/uploads/2019/06/June-2019-Sales-Xceleration-New-Consultants-1-scaled.jpg" TargetMode="External"/><Relationship Id="rId4871" Type="http://schemas.openxmlformats.org/officeDocument/2006/relationships/hyperlink" Target="https://salesxceleration.com/from-zero-to-heroes-sales-xceleration-quickly-reaches-100th-advisor-milestone/" TargetMode="External"/><Relationship Id="rId4870" Type="http://schemas.openxmlformats.org/officeDocument/2006/relationships/hyperlink" Target="https://salesxceleration.com/from-zero-to-heroes-sales-xceleration-quickly-reaches-100th-advisor-milestone/" TargetMode="External"/><Relationship Id="rId2210" Type="http://schemas.openxmlformats.org/officeDocument/2006/relationships/hyperlink" Target="https://salesxceleration.com/wp-content/uploads/2025/08/Sales-Xcelerators-Peer-Group-1-1-300x85.png" TargetMode="External"/><Relationship Id="rId3542" Type="http://schemas.openxmlformats.org/officeDocument/2006/relationships/hyperlink" Target="https://salesxceleration.com/wp-content/uploads/2023/02/December-Class-Photo.jpg" TargetMode="External"/><Relationship Id="rId4873" Type="http://schemas.openxmlformats.org/officeDocument/2006/relationships/hyperlink" Target="https://salesxceleration.com/wp-content/uploads/2022/09/Remote-Work-Life-Balance.jpg" TargetMode="External"/><Relationship Id="rId2211" Type="http://schemas.openxmlformats.org/officeDocument/2006/relationships/hyperlink" Target="https://salesxceleration.com/wp-content/themes/salesxceleratione/assets/css/style.css?ver=1769123339" TargetMode="External"/><Relationship Id="rId3541" Type="http://schemas.openxmlformats.org/officeDocument/2006/relationships/hyperlink" Target="https://salesxceleration.com/wp-content/uploads/2023/02/December-Class-Photo.jpg" TargetMode="External"/><Relationship Id="rId4872" Type="http://schemas.openxmlformats.org/officeDocument/2006/relationships/hyperlink" Target="https://salesxceleration.com/from-zero-to-heroes-sales-xceleration-quickly-reaches-100th-advisor-milestone/" TargetMode="External"/><Relationship Id="rId2212" Type="http://schemas.openxmlformats.org/officeDocument/2006/relationships/hyperlink" Target="https://salesxceleration.com/wp-content/themes/salesxceleratione/assets/css/style.css?ver=1769123339" TargetMode="External"/><Relationship Id="rId3544" Type="http://schemas.openxmlformats.org/officeDocument/2006/relationships/hyperlink" Target="https://salesxceleration.com/advisors/glenn-nixon/" TargetMode="External"/><Relationship Id="rId4875" Type="http://schemas.openxmlformats.org/officeDocument/2006/relationships/hyperlink" Target="https://salesxceleration.com/wp-content/uploads/2022/07/Entrepreneurial-Freedom.jpg" TargetMode="External"/><Relationship Id="rId2213" Type="http://schemas.openxmlformats.org/officeDocument/2006/relationships/hyperlink" Target="https://salesxceleration.com/wp-content/uploads/elementor/css/post-70160.css?ver=1768857132" TargetMode="External"/><Relationship Id="rId3543" Type="http://schemas.openxmlformats.org/officeDocument/2006/relationships/hyperlink" Target="https://salesxceleration.com/advisors/glenn-nixon/" TargetMode="External"/><Relationship Id="rId4874" Type="http://schemas.openxmlformats.org/officeDocument/2006/relationships/hyperlink" Target="https://salesxceleration.com/wp-content/uploads/2022/09/Remote-Work-Life-Balance.jpg" TargetMode="External"/><Relationship Id="rId2247" Type="http://schemas.openxmlformats.org/officeDocument/2006/relationships/hyperlink" Target="https://salesxceleration.com/wp-content/uploads/2014/01/Job-candidate-search-2048x2048.jpg" TargetMode="External"/><Relationship Id="rId3579" Type="http://schemas.openxmlformats.org/officeDocument/2006/relationships/hyperlink" Target="https://salesxceleration.com/wp-content/uploads/2022/01/Hand-Holding-Lighbulb-300x200.jpg" TargetMode="External"/><Relationship Id="rId2248" Type="http://schemas.openxmlformats.org/officeDocument/2006/relationships/hyperlink" Target="https://salesxceleration.com/wp-content/uploads/2014/01/Job-candidate-search-2048x2048.jpg" TargetMode="External"/><Relationship Id="rId3578" Type="http://schemas.openxmlformats.org/officeDocument/2006/relationships/hyperlink" Target="https://salesxceleration.com/wp-content/uploads/2022/01/Hand-Holding-Lighbulb-300x200.jpg" TargetMode="External"/><Relationship Id="rId2249" Type="http://schemas.openxmlformats.org/officeDocument/2006/relationships/hyperlink" Target="https://salesxceleration.com/wp-content/uploads/2023/08/Businessman-Selling-Virtually-300x200.jpg" TargetMode="External"/><Relationship Id="rId3571" Type="http://schemas.openxmlformats.org/officeDocument/2006/relationships/hyperlink" Target="https://salesxceleration.com/wp-content/uploads/2021/11/p-2-how-interim-executives-can-be-a-surprising-benefit-to-your-company-300x169.jpeg" TargetMode="External"/><Relationship Id="rId2240" Type="http://schemas.openxmlformats.org/officeDocument/2006/relationships/hyperlink" Target="https://salesxceleration.com/wp-content/uploads/2014/01/Write-better-advertisements-2048x2048.jpg" TargetMode="External"/><Relationship Id="rId3570" Type="http://schemas.openxmlformats.org/officeDocument/2006/relationships/hyperlink" Target="https://salesxceleration.com/wp-content/uploads/2021/11/p-2-how-interim-executives-can-be-a-surprising-benefit-to-your-company-300x169.jpeg" TargetMode="External"/><Relationship Id="rId2241" Type="http://schemas.openxmlformats.org/officeDocument/2006/relationships/hyperlink" Target="https://salesxceleration.com/2015-outlook-bigger-growth-smaller-businesses/" TargetMode="External"/><Relationship Id="rId3573" Type="http://schemas.openxmlformats.org/officeDocument/2006/relationships/hyperlink" Target="https://salesxceleration.com/wp-content/uploads/2018/08/2018-08-Training-Class-Steyn-Morgan-ODonnell-Applewhite-Wallace-Mitchell-Parodi-Mahony-scaled-1.jpg" TargetMode="External"/><Relationship Id="rId2242" Type="http://schemas.openxmlformats.org/officeDocument/2006/relationships/hyperlink" Target="https://salesxceleration.com/2015-outlook-bigger-growth-smaller-businesses/" TargetMode="External"/><Relationship Id="rId3572" Type="http://schemas.openxmlformats.org/officeDocument/2006/relationships/hyperlink" Target="https://salesxceleration.com/wp-content/uploads/2018/08/2018-08-Training-Class-Steyn-Morgan-ODonnell-Applewhite-Wallace-Mitchell-Parodi-Mahony-scaled-1.jpg" TargetMode="External"/><Relationship Id="rId2243" Type="http://schemas.openxmlformats.org/officeDocument/2006/relationships/hyperlink" Target="https://salesxceleration.com/2015-outlook-bigger-growth-smaller-businesses/" TargetMode="External"/><Relationship Id="rId3575" Type="http://schemas.openxmlformats.org/officeDocument/2006/relationships/hyperlink" Target="https://salesxceleration.com/wp-content/uploads/2021/12/Outsourcing-300x200.jpg" TargetMode="External"/><Relationship Id="rId2244" Type="http://schemas.openxmlformats.org/officeDocument/2006/relationships/hyperlink" Target="https://salesxceleration.com/how-onboarding-can-help-salespeople-get-and-stay-on-track-for-sales-success/" TargetMode="External"/><Relationship Id="rId3574" Type="http://schemas.openxmlformats.org/officeDocument/2006/relationships/hyperlink" Target="https://salesxceleration.com/wp-content/uploads/2021/12/Outsourcing-300x200.jpg" TargetMode="External"/><Relationship Id="rId2245" Type="http://schemas.openxmlformats.org/officeDocument/2006/relationships/hyperlink" Target="https://salesxceleration.com/how-onboarding-can-help-salespeople-get-and-stay-on-track-for-sales-success/" TargetMode="External"/><Relationship Id="rId3577" Type="http://schemas.openxmlformats.org/officeDocument/2006/relationships/hyperlink" Target="https://salesxceleration.com/wp-content/uploads/2022/03/Successful-Business-Woman-300x300.jpg" TargetMode="External"/><Relationship Id="rId2246" Type="http://schemas.openxmlformats.org/officeDocument/2006/relationships/hyperlink" Target="https://salesxceleration.com/how-onboarding-can-help-salespeople-get-and-stay-on-track-for-sales-success/" TargetMode="External"/><Relationship Id="rId3576" Type="http://schemas.openxmlformats.org/officeDocument/2006/relationships/hyperlink" Target="https://salesxceleration.com/wp-content/uploads/2022/03/Successful-Business-Woman-300x300.jpg" TargetMode="External"/><Relationship Id="rId2236" Type="http://schemas.openxmlformats.org/officeDocument/2006/relationships/hyperlink" Target="https://salesxceleration.com/wp-content/uploads/2014/02/onboarding-2048x2048.jpg" TargetMode="External"/><Relationship Id="rId3568" Type="http://schemas.openxmlformats.org/officeDocument/2006/relationships/hyperlink" Target="https://salesxceleration.com/advisors/tom-morgan/" TargetMode="External"/><Relationship Id="rId4899" Type="http://schemas.openxmlformats.org/officeDocument/2006/relationships/hyperlink" Target="https://salesxceleration.com/wp-content/uploads/2022/11/Outsourced-sales-leader-meeting-with-CEO.jpg" TargetMode="External"/><Relationship Id="rId2237" Type="http://schemas.openxmlformats.org/officeDocument/2006/relationships/hyperlink" Target="https://salesxceleration.com/wp-content/uploads/2014/05/Consulting-Ease-Into-Retirement-2048x2048.jpg" TargetMode="External"/><Relationship Id="rId3567" Type="http://schemas.openxmlformats.org/officeDocument/2006/relationships/hyperlink" Target="https://salesxceleration.com/advisors/tom-morgan/" TargetMode="External"/><Relationship Id="rId4898" Type="http://schemas.openxmlformats.org/officeDocument/2006/relationships/hyperlink" Target="https://salesxceleration.com/wp-content/uploads/2022/11/Outsourced-sales-leader-meeting-with-CEO.jpg" TargetMode="External"/><Relationship Id="rId2238" Type="http://schemas.openxmlformats.org/officeDocument/2006/relationships/hyperlink" Target="https://salesxceleration.com/wp-content/uploads/2014/05/Consulting-Ease-Into-Retirement-2048x2048.jpg" TargetMode="External"/><Relationship Id="rId2239" Type="http://schemas.openxmlformats.org/officeDocument/2006/relationships/hyperlink" Target="https://salesxceleration.com/wp-content/uploads/2014/01/Write-better-advertisements-2048x2048.jpg" TargetMode="External"/><Relationship Id="rId3569" Type="http://schemas.openxmlformats.org/officeDocument/2006/relationships/hyperlink" Target="https://salesxceleration.com/advisors/tom-morgan/" TargetMode="External"/><Relationship Id="rId3560" Type="http://schemas.openxmlformats.org/officeDocument/2006/relationships/hyperlink" Target="https://salesxceleration.com/advisors/patrick-odonnell/" TargetMode="External"/><Relationship Id="rId4891" Type="http://schemas.openxmlformats.org/officeDocument/2006/relationships/hyperlink" Target="https://salesxceleration.com/sales-leadership-training-risks-rewards-and-significant-roi-impact/" TargetMode="External"/><Relationship Id="rId4890" Type="http://schemas.openxmlformats.org/officeDocument/2006/relationships/hyperlink" Target="https://salesxceleration.com/sales-leadership-training-risks-rewards-and-significant-roi-impact/" TargetMode="External"/><Relationship Id="rId2230" Type="http://schemas.openxmlformats.org/officeDocument/2006/relationships/hyperlink" Target="https://salesxceleration.com/wp-content/themes/salesxceleratione/assets/css/style.css?ver=1769123341" TargetMode="External"/><Relationship Id="rId3562" Type="http://schemas.openxmlformats.org/officeDocument/2006/relationships/hyperlink" Target="https://salesxceleration.com/advisors/enrico-parodi/" TargetMode="External"/><Relationship Id="rId4893" Type="http://schemas.openxmlformats.org/officeDocument/2006/relationships/hyperlink" Target="https://salesxceleration.com/wp-content/themes/salesxceleratione/assets/css/style.css?ver=1769123598" TargetMode="External"/><Relationship Id="rId2231" Type="http://schemas.openxmlformats.org/officeDocument/2006/relationships/hyperlink" Target="https://salesxceleration.com/wp-content/uploads/2014/11/20151-2048x2048.png" TargetMode="External"/><Relationship Id="rId3561" Type="http://schemas.openxmlformats.org/officeDocument/2006/relationships/hyperlink" Target="https://salesxceleration.com/advisors/enrico-parodi/" TargetMode="External"/><Relationship Id="rId4892" Type="http://schemas.openxmlformats.org/officeDocument/2006/relationships/hyperlink" Target="https://salesxceleration.com/sales-leadership-training-risks-rewards-and-significant-roi-impact/" TargetMode="External"/><Relationship Id="rId2232" Type="http://schemas.openxmlformats.org/officeDocument/2006/relationships/hyperlink" Target="https://salesxceleration.com/wp-content/uploads/2014/11/20151-2048x2048.png" TargetMode="External"/><Relationship Id="rId3564" Type="http://schemas.openxmlformats.org/officeDocument/2006/relationships/hyperlink" Target="https://salesxceleration.com/advisors/daniel-steyn/" TargetMode="External"/><Relationship Id="rId4895" Type="http://schemas.openxmlformats.org/officeDocument/2006/relationships/hyperlink" Target="https://salesxceleration.com/life-changes-propel-sales-outsourcing/" TargetMode="External"/><Relationship Id="rId2233" Type="http://schemas.openxmlformats.org/officeDocument/2006/relationships/hyperlink" Target="https://salesxceleration.com/wp-content/uploads/2013/11/small-businesses-sales-forecast-2048x2048.jpg" TargetMode="External"/><Relationship Id="rId3563" Type="http://schemas.openxmlformats.org/officeDocument/2006/relationships/hyperlink" Target="https://salesxceleration.com/advisors/enrico-parodi/" TargetMode="External"/><Relationship Id="rId4894" Type="http://schemas.openxmlformats.org/officeDocument/2006/relationships/hyperlink" Target="https://salesxceleration.com/wp-content/themes/salesxceleratione/assets/css/style.css?ver=1769123598" TargetMode="External"/><Relationship Id="rId2234" Type="http://schemas.openxmlformats.org/officeDocument/2006/relationships/hyperlink" Target="https://salesxceleration.com/wp-content/uploads/2013/11/small-businesses-sales-forecast-2048x2048.jpg" TargetMode="External"/><Relationship Id="rId3566" Type="http://schemas.openxmlformats.org/officeDocument/2006/relationships/hyperlink" Target="https://salesxceleration.com/advisors/daniel-steyn/" TargetMode="External"/><Relationship Id="rId4897" Type="http://schemas.openxmlformats.org/officeDocument/2006/relationships/hyperlink" Target="https://salesxceleration.com/life-changes-propel-sales-outsourcing/" TargetMode="External"/><Relationship Id="rId2235" Type="http://schemas.openxmlformats.org/officeDocument/2006/relationships/hyperlink" Target="https://salesxceleration.com/wp-content/uploads/2014/02/onboarding-2048x2048.jpg" TargetMode="External"/><Relationship Id="rId3565" Type="http://schemas.openxmlformats.org/officeDocument/2006/relationships/hyperlink" Target="https://salesxceleration.com/advisors/daniel-steyn/" TargetMode="External"/><Relationship Id="rId4896" Type="http://schemas.openxmlformats.org/officeDocument/2006/relationships/hyperlink" Target="https://salesxceleration.com/life-changes-propel-sales-outsourcing/" TargetMode="External"/><Relationship Id="rId2290" Type="http://schemas.openxmlformats.org/officeDocument/2006/relationships/hyperlink" Target="https://salesxceleration.com/wp-content/uploads/2022/05/Discount-300x300.jpg" TargetMode="External"/><Relationship Id="rId2291" Type="http://schemas.openxmlformats.org/officeDocument/2006/relationships/hyperlink" Target="https://salesxceleration.com/category/revenue-growth/page/2/" TargetMode="External"/><Relationship Id="rId2292" Type="http://schemas.openxmlformats.org/officeDocument/2006/relationships/hyperlink" Target="https://salesxceleration.com/category/revenue-growth/page/2/" TargetMode="External"/><Relationship Id="rId2293" Type="http://schemas.openxmlformats.org/officeDocument/2006/relationships/hyperlink" Target="https://salesxceleration.com/category/revenue-growth/page/3/" TargetMode="External"/><Relationship Id="rId2294" Type="http://schemas.openxmlformats.org/officeDocument/2006/relationships/hyperlink" Target="https://salesxceleration.com/category/revenue-growth/" TargetMode="External"/><Relationship Id="rId2295" Type="http://schemas.openxmlformats.org/officeDocument/2006/relationships/hyperlink" Target="https://salesxceleration.com/category/revenue-growth/page/2/" TargetMode="External"/><Relationship Id="rId2296" Type="http://schemas.openxmlformats.org/officeDocument/2006/relationships/hyperlink" Target="https://salesxceleration.com/wp-content/uploads/2022/12/Recession-300x200.jpg" TargetMode="External"/><Relationship Id="rId2297" Type="http://schemas.openxmlformats.org/officeDocument/2006/relationships/hyperlink" Target="https://salesxceleration.com/wp-content/uploads/2022/12/Recession-300x200.jpg" TargetMode="External"/><Relationship Id="rId2298" Type="http://schemas.openxmlformats.org/officeDocument/2006/relationships/hyperlink" Target="https://salesxceleration.com/5-reasons-to-focus-on-increasing-sales-with-existing-customers/" TargetMode="External"/><Relationship Id="rId2299" Type="http://schemas.openxmlformats.org/officeDocument/2006/relationships/hyperlink" Target="https://salesxceleration.com/5-reasons-to-focus-on-increasing-sales-with-existing-customers/" TargetMode="External"/><Relationship Id="rId4901" Type="http://schemas.openxmlformats.org/officeDocument/2006/relationships/hyperlink" Target="https://salesxceleration.com/wp-content/themes/salesxceleratione/assets/css/style.css?ver=1769123599" TargetMode="External"/><Relationship Id="rId4900" Type="http://schemas.openxmlformats.org/officeDocument/2006/relationships/hyperlink" Target="https://salesxceleration.com/wp-content/themes/salesxceleratione/assets/css/style.css?ver=1769123599" TargetMode="External"/><Relationship Id="rId4903" Type="http://schemas.openxmlformats.org/officeDocument/2006/relationships/hyperlink" Target="https://salesxceleration.com/wp-content/uploads/2022/10/shutterstock_2025930416.jpg" TargetMode="External"/><Relationship Id="rId4902" Type="http://schemas.openxmlformats.org/officeDocument/2006/relationships/hyperlink" Target="https://salesxceleration.com/wp-content/uploads/2022/10/shutterstock_2025930416.jpg" TargetMode="External"/><Relationship Id="rId4905" Type="http://schemas.openxmlformats.org/officeDocument/2006/relationships/hyperlink" Target="https://salesxceleration.com/wp-content/uploads/2022/06/Door-to-Future.jpg" TargetMode="External"/><Relationship Id="rId4904" Type="http://schemas.openxmlformats.org/officeDocument/2006/relationships/hyperlink" Target="https://salesxceleration.com/wp-content/uploads/2022/06/Door-to-Future.jpg" TargetMode="External"/><Relationship Id="rId4907" Type="http://schemas.openxmlformats.org/officeDocument/2006/relationships/hyperlink" Target="https://salesxceleration.com/wp-content/uploads/2022/10/4-Cornerstones-to-Include-in-Your-Sales-Organization-Blueprint.png" TargetMode="External"/><Relationship Id="rId4906" Type="http://schemas.openxmlformats.org/officeDocument/2006/relationships/hyperlink" Target="https://salesxceleration.com/wp-content/uploads/2022/10/4-Cornerstones-to-Include-in-Your-Sales-Organization-Blueprint.png" TargetMode="External"/><Relationship Id="rId4909" Type="http://schemas.openxmlformats.org/officeDocument/2006/relationships/hyperlink" Target="https://salesxceleration.com/wp-content/uploads/2022/10/Sales-Department-Organizational-Structure-Meeting.jpg" TargetMode="External"/><Relationship Id="rId4908" Type="http://schemas.openxmlformats.org/officeDocument/2006/relationships/hyperlink" Target="https://salesxceleration.com/wp-content/uploads/2022/10/Sales-Department-Organizational-Structure-Meeting.jpg" TargetMode="External"/><Relationship Id="rId2302" Type="http://schemas.openxmlformats.org/officeDocument/2006/relationships/hyperlink" Target="https://salesxceleration.com/mastering-virtual-selling-to-accelerate-growth/" TargetMode="External"/><Relationship Id="rId3634" Type="http://schemas.openxmlformats.org/officeDocument/2006/relationships/hyperlink" Target="https://salesxceleration.com/how-successfully-are-you-managing-your-work-life-balance/" TargetMode="External"/><Relationship Id="rId4965" Type="http://schemas.openxmlformats.org/officeDocument/2006/relationships/hyperlink" Target="https://salesxceleration.com/wp-content/uploads/2016/11/road-bikes-1562929__340-2048x2048.jpg" TargetMode="External"/><Relationship Id="rId2303" Type="http://schemas.openxmlformats.org/officeDocument/2006/relationships/hyperlink" Target="https://salesxceleration.com/mastering-virtual-selling-to-accelerate-growth/" TargetMode="External"/><Relationship Id="rId3633" Type="http://schemas.openxmlformats.org/officeDocument/2006/relationships/hyperlink" Target="https://salesxceleration.com/how-successfully-are-you-managing-your-work-life-balance/" TargetMode="External"/><Relationship Id="rId4964" Type="http://schemas.openxmlformats.org/officeDocument/2006/relationships/hyperlink" Target="https://salesxceleration.com/do-you-know-the-4-parts-of-a-successful-sales-compensation-plan/" TargetMode="External"/><Relationship Id="rId2304" Type="http://schemas.openxmlformats.org/officeDocument/2006/relationships/hyperlink" Target="https://salesxceleration.com/how-to-enhance-sales-using-ai/" TargetMode="External"/><Relationship Id="rId3636" Type="http://schemas.openxmlformats.org/officeDocument/2006/relationships/hyperlink" Target="https://salesxceleration.com/independence-way-finding-the-freedom-to-fulfill-your-purpose/" TargetMode="External"/><Relationship Id="rId4967" Type="http://schemas.openxmlformats.org/officeDocument/2006/relationships/hyperlink" Target="https://salesxceleration.com/wp-content/uploads/2017/01/pie-34974_640-e1485811136122-1-2048x2048.png" TargetMode="External"/><Relationship Id="rId2305" Type="http://schemas.openxmlformats.org/officeDocument/2006/relationships/hyperlink" Target="https://salesxceleration.com/how-to-enhance-sales-using-ai/" TargetMode="External"/><Relationship Id="rId3635" Type="http://schemas.openxmlformats.org/officeDocument/2006/relationships/hyperlink" Target="https://salesxceleration.com/independence-way-finding-the-freedom-to-fulfill-your-purpose/" TargetMode="External"/><Relationship Id="rId4966" Type="http://schemas.openxmlformats.org/officeDocument/2006/relationships/hyperlink" Target="https://salesxceleration.com/wp-content/uploads/2016/11/road-bikes-1562929__340-2048x2048.jpg" TargetMode="External"/><Relationship Id="rId2306" Type="http://schemas.openxmlformats.org/officeDocument/2006/relationships/hyperlink" Target="https://salesxceleration.com/how-to-enhance-sales-using-ai/" TargetMode="External"/><Relationship Id="rId3638" Type="http://schemas.openxmlformats.org/officeDocument/2006/relationships/hyperlink" Target="https://salesxceleration.com/the-great-reinvention-and-rediscovering-a-better-work-life-balance/" TargetMode="External"/><Relationship Id="rId4969" Type="http://schemas.openxmlformats.org/officeDocument/2006/relationships/hyperlink" Target="https://salesxceleration.com/wp-content/uploads/2015/03/Prescribe.png" TargetMode="External"/><Relationship Id="rId2307" Type="http://schemas.openxmlformats.org/officeDocument/2006/relationships/hyperlink" Target="https://salesxceleration.com/wp-content/uploads/2022/07/hannah-carr-I079C4gOe8s-unsplash-241x300.jpg" TargetMode="External"/><Relationship Id="rId3637" Type="http://schemas.openxmlformats.org/officeDocument/2006/relationships/hyperlink" Target="https://salesxceleration.com/independence-way-finding-the-freedom-to-fulfill-your-purpose/" TargetMode="External"/><Relationship Id="rId4968" Type="http://schemas.openxmlformats.org/officeDocument/2006/relationships/hyperlink" Target="https://salesxceleration.com/wp-content/uploads/2017/01/pie-34974_640-e1485811136122-1-2048x2048.png" TargetMode="External"/><Relationship Id="rId2308" Type="http://schemas.openxmlformats.org/officeDocument/2006/relationships/hyperlink" Target="https://salesxceleration.com/wp-content/uploads/2022/07/hannah-carr-I079C4gOe8s-unsplash-241x300.jpg" TargetMode="External"/><Relationship Id="rId2309" Type="http://schemas.openxmlformats.org/officeDocument/2006/relationships/hyperlink" Target="https://salesxceleration.com/wp-content/uploads/2026/01/SAO-YT-Thumbnail-Donald-Miller-300x169.jpg" TargetMode="External"/><Relationship Id="rId3639" Type="http://schemas.openxmlformats.org/officeDocument/2006/relationships/hyperlink" Target="https://salesxceleration.com/the-great-reinvention-and-rediscovering-a-better-work-life-balance/" TargetMode="External"/><Relationship Id="rId3630" Type="http://schemas.openxmlformats.org/officeDocument/2006/relationships/hyperlink" Target="https://salesxceleration.com/wp-content/uploads/2022/05/Business-Lifeline-300x300.jpg" TargetMode="External"/><Relationship Id="rId4961" Type="http://schemas.openxmlformats.org/officeDocument/2006/relationships/hyperlink" Target="https://salesxceleration.com/wp-content/themes/salesxceleratione/assets/css/style.css?ver=1769123603" TargetMode="External"/><Relationship Id="rId4960" Type="http://schemas.openxmlformats.org/officeDocument/2006/relationships/hyperlink" Target="https://salesxceleration.com/wp-content/themes/salesxceleratione/assets/css/style.css?ver=1769123603" TargetMode="External"/><Relationship Id="rId2300" Type="http://schemas.openxmlformats.org/officeDocument/2006/relationships/hyperlink" Target="https://salesxceleration.com/5-reasons-to-focus-on-increasing-sales-with-existing-customers/" TargetMode="External"/><Relationship Id="rId3632" Type="http://schemas.openxmlformats.org/officeDocument/2006/relationships/hyperlink" Target="https://salesxceleration.com/how-successfully-are-you-managing-your-work-life-balance/" TargetMode="External"/><Relationship Id="rId4963" Type="http://schemas.openxmlformats.org/officeDocument/2006/relationships/hyperlink" Target="https://salesxceleration.com/do-you-know-the-4-parts-of-a-successful-sales-compensation-plan/" TargetMode="External"/><Relationship Id="rId2301" Type="http://schemas.openxmlformats.org/officeDocument/2006/relationships/hyperlink" Target="https://salesxceleration.com/mastering-virtual-selling-to-accelerate-growth/" TargetMode="External"/><Relationship Id="rId3631" Type="http://schemas.openxmlformats.org/officeDocument/2006/relationships/hyperlink" Target="https://salesxceleration.com/wp-content/uploads/2022/05/Business-Lifeline-300x300.jpg" TargetMode="External"/><Relationship Id="rId4962" Type="http://schemas.openxmlformats.org/officeDocument/2006/relationships/hyperlink" Target="https://salesxceleration.com/do-you-know-the-4-parts-of-a-successful-sales-compensation-plan/" TargetMode="External"/><Relationship Id="rId3623" Type="http://schemas.openxmlformats.org/officeDocument/2006/relationships/hyperlink" Target="https://salesxceleration.com/why-outsourcing-leadership-roles-is-the-best-business-decision-you-can-make/" TargetMode="External"/><Relationship Id="rId4954" Type="http://schemas.openxmlformats.org/officeDocument/2006/relationships/hyperlink" Target="https://salesxceleration.com/wp-content/uploads/2015/03/Silence-for-Selling-300x199.jpg" TargetMode="External"/><Relationship Id="rId3622" Type="http://schemas.openxmlformats.org/officeDocument/2006/relationships/hyperlink" Target="https://salesxceleration.com/wp-content/uploads/2022/03/Corporate-Travel-300x300.jpg" TargetMode="External"/><Relationship Id="rId4953" Type="http://schemas.openxmlformats.org/officeDocument/2006/relationships/hyperlink" Target="https://salesxceleration.com/revealed-the-surprising-identity-of-your-fiercest-competitor/" TargetMode="External"/><Relationship Id="rId3625" Type="http://schemas.openxmlformats.org/officeDocument/2006/relationships/hyperlink" Target="https://salesxceleration.com/why-outsourcing-leadership-roles-is-the-best-business-decision-you-can-make/" TargetMode="External"/><Relationship Id="rId4956" Type="http://schemas.openxmlformats.org/officeDocument/2006/relationships/hyperlink" Target="https://salesxceleration.com/wp-content/uploads/2015/01/CRM-Resized-for-Web.jpg" TargetMode="External"/><Relationship Id="rId3624" Type="http://schemas.openxmlformats.org/officeDocument/2006/relationships/hyperlink" Target="https://salesxceleration.com/why-outsourcing-leadership-roles-is-the-best-business-decision-you-can-make/" TargetMode="External"/><Relationship Id="rId4955" Type="http://schemas.openxmlformats.org/officeDocument/2006/relationships/hyperlink" Target="https://salesxceleration.com/wp-content/uploads/2015/03/Silence-for-Selling-300x199.jpg" TargetMode="External"/><Relationship Id="rId3627" Type="http://schemas.openxmlformats.org/officeDocument/2006/relationships/hyperlink" Target="https://salesxceleration.com/wp-content/uploads/2022/10/shutterstock_2025930416-300x200.jpg" TargetMode="External"/><Relationship Id="rId4958" Type="http://schemas.openxmlformats.org/officeDocument/2006/relationships/hyperlink" Target="https://salesxceleration.com/wp-content/uploads/2021/07/CRM-scaled-1-2048x2048.jpg" TargetMode="External"/><Relationship Id="rId3626" Type="http://schemas.openxmlformats.org/officeDocument/2006/relationships/hyperlink" Target="https://salesxceleration.com/wp-content/uploads/2022/10/shutterstock_2025930416-300x200.jpg" TargetMode="External"/><Relationship Id="rId4957" Type="http://schemas.openxmlformats.org/officeDocument/2006/relationships/hyperlink" Target="https://salesxceleration.com/wp-content/uploads/2015/01/CRM-Resized-for-Web.jpg" TargetMode="External"/><Relationship Id="rId3629" Type="http://schemas.openxmlformats.org/officeDocument/2006/relationships/hyperlink" Target="https://salesxceleration.com/wp-content/uploads/2022/09/Inflation-Gauge-300x192.jpg" TargetMode="External"/><Relationship Id="rId3628" Type="http://schemas.openxmlformats.org/officeDocument/2006/relationships/hyperlink" Target="https://salesxceleration.com/wp-content/uploads/2022/09/Inflation-Gauge-300x192.jpg" TargetMode="External"/><Relationship Id="rId4959" Type="http://schemas.openxmlformats.org/officeDocument/2006/relationships/hyperlink" Target="https://salesxceleration.com/wp-content/uploads/2021/07/CRM-scaled-1-2048x2048.jpg" TargetMode="External"/><Relationship Id="rId4950" Type="http://schemas.openxmlformats.org/officeDocument/2006/relationships/hyperlink" Target="https://salesxceleration.com/wp-content/uploads/2015/03/Silence-for-Selling.jpg" TargetMode="External"/><Relationship Id="rId3621" Type="http://schemas.openxmlformats.org/officeDocument/2006/relationships/hyperlink" Target="https://salesxceleration.com/wp-content/uploads/2022/03/Corporate-Travel-300x300.jpg" TargetMode="External"/><Relationship Id="rId4952" Type="http://schemas.openxmlformats.org/officeDocument/2006/relationships/hyperlink" Target="https://salesxceleration.com/revealed-the-surprising-identity-of-your-fiercest-competitor/" TargetMode="External"/><Relationship Id="rId3620" Type="http://schemas.openxmlformats.org/officeDocument/2006/relationships/hyperlink" Target="https://salesxceleration.com/wp-content/uploads/2023/11/Fractional-Work.jpg" TargetMode="External"/><Relationship Id="rId4951" Type="http://schemas.openxmlformats.org/officeDocument/2006/relationships/hyperlink" Target="https://salesxceleration.com/revealed-the-surprising-identity-of-your-fiercest-competitor/" TargetMode="External"/><Relationship Id="rId2324" Type="http://schemas.openxmlformats.org/officeDocument/2006/relationships/hyperlink" Target="https://salesxceleration.com/category/revenue-growth/page/4/" TargetMode="External"/><Relationship Id="rId3656" Type="http://schemas.openxmlformats.org/officeDocument/2006/relationships/hyperlink" Target="https://salesxceleration.com/wp-content/uploads/2022/07/Entrepreneurial-Freedom-300x200.jpg" TargetMode="External"/><Relationship Id="rId4987" Type="http://schemas.openxmlformats.org/officeDocument/2006/relationships/hyperlink" Target="https://salesxceleration.com/increasing-sales-walking-away/" TargetMode="External"/><Relationship Id="rId2325" Type="http://schemas.openxmlformats.org/officeDocument/2006/relationships/hyperlink" Target="https://salesxceleration.com/category/revenue-growth/page/5/" TargetMode="External"/><Relationship Id="rId3655" Type="http://schemas.openxmlformats.org/officeDocument/2006/relationships/hyperlink" Target="https://salesxceleration.com/wp-content/uploads/2022/06/Door-to-Future-300x255.jpg" TargetMode="External"/><Relationship Id="rId4986" Type="http://schemas.openxmlformats.org/officeDocument/2006/relationships/hyperlink" Target="https://salesxceleration.com/increasing-sales-walking-away/" TargetMode="External"/><Relationship Id="rId2326" Type="http://schemas.openxmlformats.org/officeDocument/2006/relationships/hyperlink" Target="https://salesxceleration.com/wp-content/uploads/2022/11/Why-Focus-on-Sales-300x176.jpg" TargetMode="External"/><Relationship Id="rId3658" Type="http://schemas.openxmlformats.org/officeDocument/2006/relationships/hyperlink" Target="https://salesxceleration.com/top-advantages-and-disadvantages-of-outsourcing-your-sales-function/" TargetMode="External"/><Relationship Id="rId4989" Type="http://schemas.openxmlformats.org/officeDocument/2006/relationships/hyperlink" Target="https://salesxceleration.com/wp-content/uploads/2016/06/Sales-Agility-Assessment-blog-cta-button.png" TargetMode="External"/><Relationship Id="rId2327" Type="http://schemas.openxmlformats.org/officeDocument/2006/relationships/hyperlink" Target="https://salesxceleration.com/wp-content/uploads/2022/11/Why-Focus-on-Sales-300x176.jpg" TargetMode="External"/><Relationship Id="rId3657" Type="http://schemas.openxmlformats.org/officeDocument/2006/relationships/hyperlink" Target="https://salesxceleration.com/wp-content/uploads/2022/07/Entrepreneurial-Freedom-300x200.jpg" TargetMode="External"/><Relationship Id="rId4988" Type="http://schemas.openxmlformats.org/officeDocument/2006/relationships/hyperlink" Target="https://salesxceleration.com/increasing-sales-walking-away/" TargetMode="External"/><Relationship Id="rId2328" Type="http://schemas.openxmlformats.org/officeDocument/2006/relationships/hyperlink" Target="https://salesxceleration.com/afraid-of-sales-automation-heres-how-to-use-it-to-your-competitive-advantage/" TargetMode="External"/><Relationship Id="rId2329" Type="http://schemas.openxmlformats.org/officeDocument/2006/relationships/hyperlink" Target="https://salesxceleration.com/afraid-of-sales-automation-heres-how-to-use-it-to-your-competitive-advantage/" TargetMode="External"/><Relationship Id="rId3659" Type="http://schemas.openxmlformats.org/officeDocument/2006/relationships/hyperlink" Target="https://salesxceleration.com/top-advantages-and-disadvantages-of-outsourcing-your-sales-function/" TargetMode="External"/><Relationship Id="rId3650" Type="http://schemas.openxmlformats.org/officeDocument/2006/relationships/hyperlink" Target="https://salesxceleration.com/wp-content/uploads/2022/10/Sales-Department-Organizational-Structure-Meeting-300x200.jpg" TargetMode="External"/><Relationship Id="rId4981" Type="http://schemas.openxmlformats.org/officeDocument/2006/relationships/hyperlink" Target="https://salesxceleration.com/keeping-pace-todays-selling-environment-can-your-company-compete/" TargetMode="External"/><Relationship Id="rId4980" Type="http://schemas.openxmlformats.org/officeDocument/2006/relationships/hyperlink" Target="https://salesxceleration.com/sales-growth-hiring-motivation-summertime/" TargetMode="External"/><Relationship Id="rId2320" Type="http://schemas.openxmlformats.org/officeDocument/2006/relationships/hyperlink" Target="https://salesxceleration.com/wp-content/uploads/2023/04/Increasing-Sales-with-Existing-Customers-300x228.jpg" TargetMode="External"/><Relationship Id="rId3652" Type="http://schemas.openxmlformats.org/officeDocument/2006/relationships/hyperlink" Target="https://salesxceleration.com/wp-content/uploads/2022/10/shutterstock_641424211-300x200.jpg" TargetMode="External"/><Relationship Id="rId4983" Type="http://schemas.openxmlformats.org/officeDocument/2006/relationships/hyperlink" Target="https://salesxceleration.com/keeping-pace-todays-selling-environment-can-your-company-compete/" TargetMode="External"/><Relationship Id="rId2321" Type="http://schemas.openxmlformats.org/officeDocument/2006/relationships/hyperlink" Target="https://salesxceleration.com/category/revenue-growth/page/5/" TargetMode="External"/><Relationship Id="rId3651" Type="http://schemas.openxmlformats.org/officeDocument/2006/relationships/hyperlink" Target="https://salesxceleration.com/wp-content/uploads/2022/10/Sales-Department-Organizational-Structure-Meeting-300x200.jpg" TargetMode="External"/><Relationship Id="rId4982" Type="http://schemas.openxmlformats.org/officeDocument/2006/relationships/hyperlink" Target="https://salesxceleration.com/keeping-pace-todays-selling-environment-can-your-company-compete/" TargetMode="External"/><Relationship Id="rId2322" Type="http://schemas.openxmlformats.org/officeDocument/2006/relationships/hyperlink" Target="https://salesxceleration.com/category/revenue-growth/page/5/" TargetMode="External"/><Relationship Id="rId3654" Type="http://schemas.openxmlformats.org/officeDocument/2006/relationships/hyperlink" Target="https://salesxceleration.com/wp-content/uploads/2022/06/Door-to-Future-300x255.jpg" TargetMode="External"/><Relationship Id="rId4985" Type="http://schemas.openxmlformats.org/officeDocument/2006/relationships/hyperlink" Target="https://salesxceleration.com/wp-content/themes/salesxceleratione/assets/css/style.css?ver=1769123604" TargetMode="External"/><Relationship Id="rId2323" Type="http://schemas.openxmlformats.org/officeDocument/2006/relationships/hyperlink" Target="https://salesxceleration.com/category/revenue-growth/page/6/" TargetMode="External"/><Relationship Id="rId3653" Type="http://schemas.openxmlformats.org/officeDocument/2006/relationships/hyperlink" Target="https://salesxceleration.com/wp-content/uploads/2022/10/shutterstock_641424211-300x200.jpg" TargetMode="External"/><Relationship Id="rId4984" Type="http://schemas.openxmlformats.org/officeDocument/2006/relationships/hyperlink" Target="https://salesxceleration.com/wp-content/themes/salesxceleratione/assets/css/style.css?ver=1769123604" TargetMode="External"/><Relationship Id="rId2313" Type="http://schemas.openxmlformats.org/officeDocument/2006/relationships/hyperlink" Target="https://salesxceleration.com/why-do-businesses-struggle-with-key-performance-indicators/" TargetMode="External"/><Relationship Id="rId3645" Type="http://schemas.openxmlformats.org/officeDocument/2006/relationships/hyperlink" Target="https://salesxceleration.com/time-to-turn-over-a-new-leaf-here-are-signs-you-should-watch-for/" TargetMode="External"/><Relationship Id="rId4976" Type="http://schemas.openxmlformats.org/officeDocument/2006/relationships/hyperlink" Target="https://salesxceleration.com/wp-content/uploads/2019/05/fac7f86c-764e-11e9-86e2-f2d3a332a382-1.jpg" TargetMode="External"/><Relationship Id="rId2314" Type="http://schemas.openxmlformats.org/officeDocument/2006/relationships/hyperlink" Target="https://salesxceleration.com/category/revenue-growth/page/3/" TargetMode="External"/><Relationship Id="rId3644" Type="http://schemas.openxmlformats.org/officeDocument/2006/relationships/hyperlink" Target="https://salesxceleration.com/time-to-turn-over-a-new-leaf-here-are-signs-you-should-watch-for/" TargetMode="External"/><Relationship Id="rId4975" Type="http://schemas.openxmlformats.org/officeDocument/2006/relationships/hyperlink" Target="https://salesxceleration.com/hiring-fractional-sales-leader/" TargetMode="External"/><Relationship Id="rId2315" Type="http://schemas.openxmlformats.org/officeDocument/2006/relationships/hyperlink" Target="https://salesxceleration.com/category/revenue-growth/page/3/" TargetMode="External"/><Relationship Id="rId3647" Type="http://schemas.openxmlformats.org/officeDocument/2006/relationships/hyperlink" Target="https://salesxceleration.com/wp-content/uploads/2022/09/Remote-Work-Life-Balance-300x200.jpg" TargetMode="External"/><Relationship Id="rId4978" Type="http://schemas.openxmlformats.org/officeDocument/2006/relationships/hyperlink" Target="https://salesxceleration.com/sales-growth-hiring-motivation-summertime/" TargetMode="External"/><Relationship Id="rId2316" Type="http://schemas.openxmlformats.org/officeDocument/2006/relationships/hyperlink" Target="https://salesxceleration.com/category/revenue-growth/page/4/" TargetMode="External"/><Relationship Id="rId3646" Type="http://schemas.openxmlformats.org/officeDocument/2006/relationships/hyperlink" Target="https://salesxceleration.com/wp-content/uploads/2022/09/Remote-Work-Life-Balance-300x200.jpg" TargetMode="External"/><Relationship Id="rId4977" Type="http://schemas.openxmlformats.org/officeDocument/2006/relationships/hyperlink" Target="https://salesxceleration.com/wp-content/uploads/2019/05/fac7f86c-764e-11e9-86e2-f2d3a332a382-1.jpg" TargetMode="External"/><Relationship Id="rId2317" Type="http://schemas.openxmlformats.org/officeDocument/2006/relationships/hyperlink" Target="https://salesxceleration.com/category/revenue-growth/page/2/" TargetMode="External"/><Relationship Id="rId3649" Type="http://schemas.openxmlformats.org/officeDocument/2006/relationships/hyperlink" Target="https://salesxceleration.com/wp-content/uploads/2022/11/Outsourced-sales-leader-meeting-with-CEO-300x200.jpg" TargetMode="External"/><Relationship Id="rId2318" Type="http://schemas.openxmlformats.org/officeDocument/2006/relationships/hyperlink" Target="https://salesxceleration.com/category/revenue-growth/page/3/" TargetMode="External"/><Relationship Id="rId3648" Type="http://schemas.openxmlformats.org/officeDocument/2006/relationships/hyperlink" Target="https://salesxceleration.com/wp-content/uploads/2022/11/Outsourced-sales-leader-meeting-with-CEO-300x200.jpg" TargetMode="External"/><Relationship Id="rId4979" Type="http://schemas.openxmlformats.org/officeDocument/2006/relationships/hyperlink" Target="https://salesxceleration.com/sales-growth-hiring-motivation-summertime/" TargetMode="External"/><Relationship Id="rId2319" Type="http://schemas.openxmlformats.org/officeDocument/2006/relationships/hyperlink" Target="https://salesxceleration.com/wp-content/uploads/2023/04/Increasing-Sales-with-Existing-Customers-300x228.jpg" TargetMode="External"/><Relationship Id="rId4970" Type="http://schemas.openxmlformats.org/officeDocument/2006/relationships/hyperlink" Target="https://salesxceleration.com/wp-content/uploads/2015/03/Prescribe.png" TargetMode="External"/><Relationship Id="rId3641" Type="http://schemas.openxmlformats.org/officeDocument/2006/relationships/hyperlink" Target="https://salesxceleration.com/wp-content/uploads/2022/06/Balance-300x200.jpg" TargetMode="External"/><Relationship Id="rId4972" Type="http://schemas.openxmlformats.org/officeDocument/2006/relationships/hyperlink" Target="https://salesxceleration.com/wp-content/uploads/2015/04/Jenga-RS-72-dpi-560-w.jpg" TargetMode="External"/><Relationship Id="rId2310" Type="http://schemas.openxmlformats.org/officeDocument/2006/relationships/hyperlink" Target="https://salesxceleration.com/wp-content/uploads/2026/01/SAO-YT-Thumbnail-Donald-Miller-300x169.jpg" TargetMode="External"/><Relationship Id="rId3640" Type="http://schemas.openxmlformats.org/officeDocument/2006/relationships/hyperlink" Target="https://salesxceleration.com/the-great-reinvention-and-rediscovering-a-better-work-life-balance/" TargetMode="External"/><Relationship Id="rId4971" Type="http://schemas.openxmlformats.org/officeDocument/2006/relationships/hyperlink" Target="https://salesxceleration.com/wp-content/uploads/2015/04/Jenga-RS-72-dpi-560-w.jpg" TargetMode="External"/><Relationship Id="rId2311" Type="http://schemas.openxmlformats.org/officeDocument/2006/relationships/hyperlink" Target="https://salesxceleration.com/why-do-businesses-struggle-with-key-performance-indicators/" TargetMode="External"/><Relationship Id="rId3643" Type="http://schemas.openxmlformats.org/officeDocument/2006/relationships/hyperlink" Target="https://salesxceleration.com/time-to-turn-over-a-new-leaf-here-are-signs-you-should-watch-for/" TargetMode="External"/><Relationship Id="rId4974" Type="http://schemas.openxmlformats.org/officeDocument/2006/relationships/hyperlink" Target="https://salesxceleration.com/hiring-fractional-sales-leader/" TargetMode="External"/><Relationship Id="rId2312" Type="http://schemas.openxmlformats.org/officeDocument/2006/relationships/hyperlink" Target="https://salesxceleration.com/why-do-businesses-struggle-with-key-performance-indicators/" TargetMode="External"/><Relationship Id="rId3642" Type="http://schemas.openxmlformats.org/officeDocument/2006/relationships/hyperlink" Target="https://salesxceleration.com/wp-content/uploads/2022/06/Balance-300x200.jpg" TargetMode="External"/><Relationship Id="rId4973" Type="http://schemas.openxmlformats.org/officeDocument/2006/relationships/hyperlink" Target="https://salesxceleration.com/hiring-fractional-sales-leader/" TargetMode="External"/><Relationship Id="rId4921" Type="http://schemas.openxmlformats.org/officeDocument/2006/relationships/hyperlink" Target="https://salesxceleration.com/wp-content/uploads/2022/09/graphic-inflation-1024x388.jpg" TargetMode="External"/><Relationship Id="rId4920" Type="http://schemas.openxmlformats.org/officeDocument/2006/relationships/hyperlink" Target="https://salesxceleration.com/wp-content/uploads/2022/09/graphic-inflation-1024x388.jpg" TargetMode="External"/><Relationship Id="rId4923" Type="http://schemas.openxmlformats.org/officeDocument/2006/relationships/hyperlink" Target="https://salesxceleration.com/wp-content/themes/salesxceleratione/assets/css/style.css?ver=1769123600" TargetMode="External"/><Relationship Id="rId4922" Type="http://schemas.openxmlformats.org/officeDocument/2006/relationships/hyperlink" Target="https://salesxceleration.com/wp-content/themes/salesxceleratione/assets/css/style.css?ver=1769123600" TargetMode="External"/><Relationship Id="rId4925" Type="http://schemas.openxmlformats.org/officeDocument/2006/relationships/hyperlink" Target="https://salesxceleration.com/?download=27871" TargetMode="External"/><Relationship Id="rId4924" Type="http://schemas.openxmlformats.org/officeDocument/2006/relationships/hyperlink" Target="https://salesxceleration.com/infographics/how-does-inflation-impact-your-business/" TargetMode="External"/><Relationship Id="rId4927" Type="http://schemas.openxmlformats.org/officeDocument/2006/relationships/hyperlink" Target="https://salesxceleration.com/wp-content/uploads/2016/05/Goals-scaled-1-2048x2048.jpg" TargetMode="External"/><Relationship Id="rId4926" Type="http://schemas.openxmlformats.org/officeDocument/2006/relationships/hyperlink" Target="https://salesxceleration.com/infographics/how-does-inflation-impact-your-business/" TargetMode="External"/><Relationship Id="rId4929" Type="http://schemas.openxmlformats.org/officeDocument/2006/relationships/hyperlink" Target="https://salesxceleration.com/wp-content/uploads/2020/05/https___specials-images.forbesimg.com_dam_imageserve_1166085433_960x0.jpg" TargetMode="External"/><Relationship Id="rId4928" Type="http://schemas.openxmlformats.org/officeDocument/2006/relationships/hyperlink" Target="https://salesxceleration.com/wp-content/uploads/2016/05/Goals-scaled-1-2048x2048.jpg" TargetMode="External"/><Relationship Id="rId4910" Type="http://schemas.openxmlformats.org/officeDocument/2006/relationships/hyperlink" Target="https://salesxceleration.com/now-prime-time-baby-boomer-entrepreneurs/" TargetMode="External"/><Relationship Id="rId4912" Type="http://schemas.openxmlformats.org/officeDocument/2006/relationships/hyperlink" Target="https://salesxceleration.com/now-prime-time-baby-boomer-entrepreneurs/" TargetMode="External"/><Relationship Id="rId4911" Type="http://schemas.openxmlformats.org/officeDocument/2006/relationships/hyperlink" Target="https://salesxceleration.com/now-prime-time-baby-boomer-entrepreneurs/" TargetMode="External"/><Relationship Id="rId4914" Type="http://schemas.openxmlformats.org/officeDocument/2006/relationships/hyperlink" Target="https://salesxceleration.com/wp-content/uploads/elementor/css/post-26232.css?ver=1768848144" TargetMode="External"/><Relationship Id="rId4913" Type="http://schemas.openxmlformats.org/officeDocument/2006/relationships/hyperlink" Target="https://salesxceleration.com/wp-content/uploads/elementor/css/post-26232.css?ver=1768848144" TargetMode="External"/><Relationship Id="rId4916" Type="http://schemas.openxmlformats.org/officeDocument/2006/relationships/hyperlink" Target="https://salesxceleration.com/3-5-ways-jump-start-revenue-growth-sales/" TargetMode="External"/><Relationship Id="rId4915" Type="http://schemas.openxmlformats.org/officeDocument/2006/relationships/hyperlink" Target="https://salesxceleration.com/3-5-ways-jump-start-revenue-growth-sales/" TargetMode="External"/><Relationship Id="rId4918" Type="http://schemas.openxmlformats.org/officeDocument/2006/relationships/hyperlink" Target="https://salesxceleration.com/wp-content/uploads/2022/09/How-Can-Businesses-Prepare-for-Inflation.jpg" TargetMode="External"/><Relationship Id="rId4917" Type="http://schemas.openxmlformats.org/officeDocument/2006/relationships/hyperlink" Target="https://salesxceleration.com/3-5-ways-jump-start-revenue-growth-sales/" TargetMode="External"/><Relationship Id="rId4919" Type="http://schemas.openxmlformats.org/officeDocument/2006/relationships/hyperlink" Target="https://salesxceleration.com/wp-content/uploads/2022/09/How-Can-Businesses-Prepare-for-Inflation.jpg" TargetMode="External"/><Relationship Id="rId3612" Type="http://schemas.openxmlformats.org/officeDocument/2006/relationships/hyperlink" Target="https://salesxceleration.com/whats-your-next-sales-leadership-dream-job/" TargetMode="External"/><Relationship Id="rId4943" Type="http://schemas.openxmlformats.org/officeDocument/2006/relationships/hyperlink" Target="https://salesxceleration.com/wp-content/uploads/2015/03/End-of-year-sales-xceleration.png" TargetMode="External"/><Relationship Id="rId3611" Type="http://schemas.openxmlformats.org/officeDocument/2006/relationships/hyperlink" Target="https://salesxceleration.com/whats-your-next-sales-leadership-dream-job/" TargetMode="External"/><Relationship Id="rId4942" Type="http://schemas.openxmlformats.org/officeDocument/2006/relationships/hyperlink" Target="https://salesxceleration.com/strategy-structure-people/" TargetMode="External"/><Relationship Id="rId3614" Type="http://schemas.openxmlformats.org/officeDocument/2006/relationships/hyperlink" Target="https://salesxceleration.com/true-success-is-yours-for-the-making/" TargetMode="External"/><Relationship Id="rId4945" Type="http://schemas.openxmlformats.org/officeDocument/2006/relationships/hyperlink" Target="https://salesxceleration.com/wp-content/uploads/2015/03/SIlence-Sales-xceleration.png" TargetMode="External"/><Relationship Id="rId3613" Type="http://schemas.openxmlformats.org/officeDocument/2006/relationships/hyperlink" Target="https://salesxceleration.com/whats-your-next-sales-leadership-dream-job/" TargetMode="External"/><Relationship Id="rId4944" Type="http://schemas.openxmlformats.org/officeDocument/2006/relationships/hyperlink" Target="https://salesxceleration.com/wp-content/uploads/2015/03/End-of-year-sales-xceleration.png" TargetMode="External"/><Relationship Id="rId3616" Type="http://schemas.openxmlformats.org/officeDocument/2006/relationships/hyperlink" Target="https://salesxceleration.com/true-success-is-yours-for-the-making/" TargetMode="External"/><Relationship Id="rId4947" Type="http://schemas.openxmlformats.org/officeDocument/2006/relationships/hyperlink" Target="https://salesxceleration.com/wp-content/themes/salesxceleratione/assets/css/style.css?ver=1769123602" TargetMode="External"/><Relationship Id="rId3615" Type="http://schemas.openxmlformats.org/officeDocument/2006/relationships/hyperlink" Target="https://salesxceleration.com/true-success-is-yours-for-the-making/" TargetMode="External"/><Relationship Id="rId4946" Type="http://schemas.openxmlformats.org/officeDocument/2006/relationships/hyperlink" Target="https://salesxceleration.com/wp-content/uploads/2015/03/SIlence-Sales-xceleration.png" TargetMode="External"/><Relationship Id="rId3618" Type="http://schemas.openxmlformats.org/officeDocument/2006/relationships/hyperlink" Target="https://salesxceleration.com/wp-content/themes/salesxceleratione/assets/css/style.css?ver=1769123581" TargetMode="External"/><Relationship Id="rId4949" Type="http://schemas.openxmlformats.org/officeDocument/2006/relationships/hyperlink" Target="https://salesxceleration.com/wp-content/uploads/2015/03/Silence-for-Selling.jpg" TargetMode="External"/><Relationship Id="rId3617" Type="http://schemas.openxmlformats.org/officeDocument/2006/relationships/hyperlink" Target="https://salesxceleration.com/wp-content/themes/salesxceleratione/assets/css/style.css?ver=1769123581" TargetMode="External"/><Relationship Id="rId4948" Type="http://schemas.openxmlformats.org/officeDocument/2006/relationships/hyperlink" Target="https://salesxceleration.com/wp-content/themes/salesxceleratione/assets/css/style.css?ver=1769123602" TargetMode="External"/><Relationship Id="rId3619" Type="http://schemas.openxmlformats.org/officeDocument/2006/relationships/hyperlink" Target="https://salesxceleration.com/wp-content/uploads/2023/11/Fractional-Work.jpg" TargetMode="External"/><Relationship Id="rId3610" Type="http://schemas.openxmlformats.org/officeDocument/2006/relationships/hyperlink" Target="https://salesxceleration.com/whats-your-superpower-and-how-are-you-using-it-to-help-others/" TargetMode="External"/><Relationship Id="rId4941" Type="http://schemas.openxmlformats.org/officeDocument/2006/relationships/hyperlink" Target="https://salesxceleration.com/strategy-structure-people/" TargetMode="External"/><Relationship Id="rId4940" Type="http://schemas.openxmlformats.org/officeDocument/2006/relationships/hyperlink" Target="https://salesxceleration.com/strategy-structure-people/" TargetMode="External"/><Relationship Id="rId3601" Type="http://schemas.openxmlformats.org/officeDocument/2006/relationships/hyperlink" Target="https://salesxceleration.com/how-interim-executives-can-be-a-surprising-benefit-to-your-company/" TargetMode="External"/><Relationship Id="rId4932" Type="http://schemas.openxmlformats.org/officeDocument/2006/relationships/hyperlink" Target="https://salesxceleration.com/wp-content/uploads/2016/02/Identifying-problem--2048x2048.jpg" TargetMode="External"/><Relationship Id="rId3600" Type="http://schemas.openxmlformats.org/officeDocument/2006/relationships/hyperlink" Target="https://salesxceleration.com/how-interim-executives-can-be-a-surprising-benefit-to-your-company/" TargetMode="External"/><Relationship Id="rId4931" Type="http://schemas.openxmlformats.org/officeDocument/2006/relationships/hyperlink" Target="https://salesxceleration.com/wp-content/uploads/2016/02/Identifying-problem--2048x2048.jpg" TargetMode="External"/><Relationship Id="rId3603" Type="http://schemas.openxmlformats.org/officeDocument/2006/relationships/hyperlink" Target="https://salesxceleration.com/wp-content/uploads/2021/01/shutterstock_633351611-scaled-1-300x200.jpg" TargetMode="External"/><Relationship Id="rId4934" Type="http://schemas.openxmlformats.org/officeDocument/2006/relationships/hyperlink" Target="https://salesxceleration.com/wp-content/themes/salesxceleratione/assets/css/style.css?ver=1769123601" TargetMode="External"/><Relationship Id="rId3602" Type="http://schemas.openxmlformats.org/officeDocument/2006/relationships/hyperlink" Target="https://salesxceleration.com/wp-content/uploads/2021/01/shutterstock_633351611-scaled-1-300x200.jpg" TargetMode="External"/><Relationship Id="rId4933" Type="http://schemas.openxmlformats.org/officeDocument/2006/relationships/hyperlink" Target="https://salesxceleration.com/wp-content/themes/salesxceleratione/assets/css/style.css?ver=1769123601" TargetMode="External"/><Relationship Id="rId3605" Type="http://schemas.openxmlformats.org/officeDocument/2006/relationships/hyperlink" Target="https://salesxceleration.com/wp-content/uploads/2023/07/Businesswoman-in-thought.jpg" TargetMode="External"/><Relationship Id="rId4936" Type="http://schemas.openxmlformats.org/officeDocument/2006/relationships/hyperlink" Target="https://salesxceleration.com/sales-planning-setting-goals-achieve-results/" TargetMode="External"/><Relationship Id="rId3604" Type="http://schemas.openxmlformats.org/officeDocument/2006/relationships/hyperlink" Target="https://salesxceleration.com/wp-content/uploads/2023/07/Businesswoman-in-thought.jpg" TargetMode="External"/><Relationship Id="rId4935" Type="http://schemas.openxmlformats.org/officeDocument/2006/relationships/hyperlink" Target="https://salesxceleration.com/sales-planning-setting-goals-achieve-results/" TargetMode="External"/><Relationship Id="rId3607" Type="http://schemas.openxmlformats.org/officeDocument/2006/relationships/hyperlink" Target="https://salesxceleration.com/wp-content/uploads/2023/02/finding-your-professional-purpose.jpg" TargetMode="External"/><Relationship Id="rId4938" Type="http://schemas.openxmlformats.org/officeDocument/2006/relationships/hyperlink" Target="https://salesxceleration.com/wp-content/uploads/2015/04/revealed-sales-x-2048x2048.png" TargetMode="External"/><Relationship Id="rId3606" Type="http://schemas.openxmlformats.org/officeDocument/2006/relationships/hyperlink" Target="https://salesxceleration.com/wp-content/uploads/2023/02/finding-your-professional-purpose.jpg" TargetMode="External"/><Relationship Id="rId4937" Type="http://schemas.openxmlformats.org/officeDocument/2006/relationships/hyperlink" Target="https://salesxceleration.com/sales-planning-setting-goals-achieve-results/" TargetMode="External"/><Relationship Id="rId3609" Type="http://schemas.openxmlformats.org/officeDocument/2006/relationships/hyperlink" Target="https://salesxceleration.com/whats-your-superpower-and-how-are-you-using-it-to-help-others/" TargetMode="External"/><Relationship Id="rId3608" Type="http://schemas.openxmlformats.org/officeDocument/2006/relationships/hyperlink" Target="https://salesxceleration.com/whats-your-superpower-and-how-are-you-using-it-to-help-others/" TargetMode="External"/><Relationship Id="rId4939" Type="http://schemas.openxmlformats.org/officeDocument/2006/relationships/hyperlink" Target="https://salesxceleration.com/wp-content/uploads/2015/04/revealed-sales-x-2048x2048.png" TargetMode="External"/><Relationship Id="rId4930" Type="http://schemas.openxmlformats.org/officeDocument/2006/relationships/hyperlink" Target="https://salesxceleration.com/wp-content/uploads/2020/05/https___specials-images.forbesimg.com_dam_imageserve_1166085433_960x0.jpg" TargetMode="External"/><Relationship Id="rId1059" Type="http://schemas.openxmlformats.org/officeDocument/2006/relationships/hyperlink" Target="https://salesxceleration.com/wp-content/uploads/2022/10/John-Jankowski-225x225.jpeg" TargetMode="External"/><Relationship Id="rId2380" Type="http://schemas.openxmlformats.org/officeDocument/2006/relationships/hyperlink" Target="https://salesxceleration.com/a-beginners-guide-to-sales-forecasting/" TargetMode="External"/><Relationship Id="rId1050" Type="http://schemas.openxmlformats.org/officeDocument/2006/relationships/hyperlink" Target="https://salesxceleration.com/wp-content/uploads/2017/01/Mahony_Dan-225x225.jpg" TargetMode="External"/><Relationship Id="rId2381" Type="http://schemas.openxmlformats.org/officeDocument/2006/relationships/hyperlink" Target="https://salesxceleration.com/a-beginners-guide-to-sales-forecasting/" TargetMode="External"/><Relationship Id="rId1051" Type="http://schemas.openxmlformats.org/officeDocument/2006/relationships/hyperlink" Target="https://salesxceleration.com/wp-content/uploads/2025/11/Rooney_John-225x225.jpg" TargetMode="External"/><Relationship Id="rId2382" Type="http://schemas.openxmlformats.org/officeDocument/2006/relationships/hyperlink" Target="https://salesxceleration.com/wp-content/uploads/2025/12/Comp-Plan-Error-300x200.jpg" TargetMode="External"/><Relationship Id="rId1052" Type="http://schemas.openxmlformats.org/officeDocument/2006/relationships/hyperlink" Target="https://salesxceleration.com/wp-content/uploads/2025/11/Rooney_John-225x225.jpg" TargetMode="External"/><Relationship Id="rId2383" Type="http://schemas.openxmlformats.org/officeDocument/2006/relationships/hyperlink" Target="https://salesxceleration.com/wp-content/uploads/2025/12/Comp-Plan-Error-300x200.jpg" TargetMode="External"/><Relationship Id="rId1053" Type="http://schemas.openxmlformats.org/officeDocument/2006/relationships/hyperlink" Target="https://salesxceleration.com/wp-content/uploads/2025/04/Carlson_Daniel-225x225.jpg" TargetMode="External"/><Relationship Id="rId2384" Type="http://schemas.openxmlformats.org/officeDocument/2006/relationships/hyperlink" Target="https://salesxceleration.com/wp-content/themes/salesxceleratione/assets/css/style.css?ver=1769123343" TargetMode="External"/><Relationship Id="rId1054" Type="http://schemas.openxmlformats.org/officeDocument/2006/relationships/hyperlink" Target="https://salesxceleration.com/wp-content/uploads/2025/04/Carlson_Daniel-225x225.jpg" TargetMode="External"/><Relationship Id="rId2385" Type="http://schemas.openxmlformats.org/officeDocument/2006/relationships/hyperlink" Target="https://salesxceleration.com/wp-content/themes/salesxceleratione/assets/css/style.css?ver=1769123343" TargetMode="External"/><Relationship Id="rId1055" Type="http://schemas.openxmlformats.org/officeDocument/2006/relationships/hyperlink" Target="https://salesxceleration.com/wp-content/uploads/2024/07/Brooks_Joan-225x225.jpg" TargetMode="External"/><Relationship Id="rId2386" Type="http://schemas.openxmlformats.org/officeDocument/2006/relationships/hyperlink" Target="https://salesxceleration.com/focus-on-activity-management-doing-and-measuring-the-right-things-for-sales-success-2/" TargetMode="External"/><Relationship Id="rId1056" Type="http://schemas.openxmlformats.org/officeDocument/2006/relationships/hyperlink" Target="https://salesxceleration.com/wp-content/uploads/2024/07/Brooks_Joan-225x225.jpg" TargetMode="External"/><Relationship Id="rId2387" Type="http://schemas.openxmlformats.org/officeDocument/2006/relationships/hyperlink" Target="https://salesxceleration.com/focus-on-activity-management-doing-and-measuring-the-right-things-for-sales-success-2/" TargetMode="External"/><Relationship Id="rId1057" Type="http://schemas.openxmlformats.org/officeDocument/2006/relationships/hyperlink" Target="https://salesxceleration.com/wp-content/uploads/2024/04/Kessler_Chad-225x225.jpg" TargetMode="External"/><Relationship Id="rId2388" Type="http://schemas.openxmlformats.org/officeDocument/2006/relationships/hyperlink" Target="https://salesxceleration.com/focus-on-activity-management-doing-and-measuring-the-right-things-for-sales-success-2/" TargetMode="External"/><Relationship Id="rId1058" Type="http://schemas.openxmlformats.org/officeDocument/2006/relationships/hyperlink" Target="https://salesxceleration.com/wp-content/uploads/2024/04/Kessler_Chad-225x225.jpg" TargetMode="External"/><Relationship Id="rId2389" Type="http://schemas.openxmlformats.org/officeDocument/2006/relationships/hyperlink" Target="https://salesxceleration.com/which-role-is-right-for-your-new-hire-account-manager-or-business-development-representative/" TargetMode="External"/><Relationship Id="rId1048" Type="http://schemas.openxmlformats.org/officeDocument/2006/relationships/hyperlink" Target="https://salesxceleration.com/wp-content/uploads/2024/06/Hobbs_Nicky_2-225x225.jpg" TargetMode="External"/><Relationship Id="rId2379" Type="http://schemas.openxmlformats.org/officeDocument/2006/relationships/hyperlink" Target="https://salesxceleration.com/a-beginners-guide-to-sales-forecasting/" TargetMode="External"/><Relationship Id="rId1049" Type="http://schemas.openxmlformats.org/officeDocument/2006/relationships/hyperlink" Target="https://salesxceleration.com/wp-content/uploads/2017/01/Mahony_Dan-225x225.jpg" TargetMode="External"/><Relationship Id="rId2370" Type="http://schemas.openxmlformats.org/officeDocument/2006/relationships/hyperlink" Target="https://salesxceleration.com/making-a-difference-how-sales-xceleration-helps-you-keep-business-owners-from-making-even-more-critical-hiring-mistakes/" TargetMode="External"/><Relationship Id="rId1040" Type="http://schemas.openxmlformats.org/officeDocument/2006/relationships/hyperlink" Target="https://salesxceleration.com/wp-content/uploads/2022/04/Tkaczyk-Rick-275x275-1-225x225.jpg" TargetMode="External"/><Relationship Id="rId2371" Type="http://schemas.openxmlformats.org/officeDocument/2006/relationships/hyperlink" Target="https://salesxceleration.com/wp-content/uploads/2025/10/How-Does-Predictive-Analytics-Work.jpg" TargetMode="External"/><Relationship Id="rId1041" Type="http://schemas.openxmlformats.org/officeDocument/2006/relationships/hyperlink" Target="https://salesxceleration.com/wp-content/uploads/2022/04/Oser-Gregg-275x275-1-225x225.jpg" TargetMode="External"/><Relationship Id="rId2372" Type="http://schemas.openxmlformats.org/officeDocument/2006/relationships/hyperlink" Target="https://salesxceleration.com/wp-content/uploads/2025/10/How-Does-Predictive-Analytics-Work.jpg" TargetMode="External"/><Relationship Id="rId1042" Type="http://schemas.openxmlformats.org/officeDocument/2006/relationships/hyperlink" Target="https://salesxceleration.com/wp-content/uploads/2022/04/Oser-Gregg-275x275-1-225x225.jpg" TargetMode="External"/><Relationship Id="rId2373" Type="http://schemas.openxmlformats.org/officeDocument/2006/relationships/hyperlink" Target="https://salesxceleration.com/wp-content/uploads/2014/07/many-hats-2048x2048.jpg" TargetMode="External"/><Relationship Id="rId1043" Type="http://schemas.openxmlformats.org/officeDocument/2006/relationships/hyperlink" Target="https://salesxceleration.com/wp-content/uploads/2022/04/Byrd-Tim-225x225.jpg" TargetMode="External"/><Relationship Id="rId2374" Type="http://schemas.openxmlformats.org/officeDocument/2006/relationships/hyperlink" Target="https://salesxceleration.com/wp-content/uploads/2014/07/many-hats-2048x2048.jpg" TargetMode="External"/><Relationship Id="rId1044" Type="http://schemas.openxmlformats.org/officeDocument/2006/relationships/hyperlink" Target="https://salesxceleration.com/wp-content/uploads/2022/04/Byrd-Tim-225x225.jpg" TargetMode="External"/><Relationship Id="rId2375" Type="http://schemas.openxmlformats.org/officeDocument/2006/relationships/hyperlink" Target="https://salesxceleration.com/wp-content/uploads/2013/12/Hiring-mistakes-2048x2048.jpg" TargetMode="External"/><Relationship Id="rId1045" Type="http://schemas.openxmlformats.org/officeDocument/2006/relationships/hyperlink" Target="https://salesxceleration.com/wp-content/uploads/2024/02/Margerin-Steve-225x225.jpg" TargetMode="External"/><Relationship Id="rId2376" Type="http://schemas.openxmlformats.org/officeDocument/2006/relationships/hyperlink" Target="https://salesxceleration.com/wp-content/uploads/2013/12/Hiring-mistakes-2048x2048.jpg" TargetMode="External"/><Relationship Id="rId1046" Type="http://schemas.openxmlformats.org/officeDocument/2006/relationships/hyperlink" Target="https://salesxceleration.com/wp-content/uploads/2024/02/Margerin-Steve-225x225.jpg" TargetMode="External"/><Relationship Id="rId2377" Type="http://schemas.openxmlformats.org/officeDocument/2006/relationships/hyperlink" Target="https://salesxceleration.com/wp-content/uploads/2025/12/2025-Recruiting-Trends-300x173.jpg" TargetMode="External"/><Relationship Id="rId1047" Type="http://schemas.openxmlformats.org/officeDocument/2006/relationships/hyperlink" Target="https://salesxceleration.com/wp-content/uploads/2024/06/Hobbs_Nicky_2-225x225.jpg" TargetMode="External"/><Relationship Id="rId2378" Type="http://schemas.openxmlformats.org/officeDocument/2006/relationships/hyperlink" Target="https://salesxceleration.com/wp-content/uploads/2025/12/2025-Recruiting-Trends-300x173.jpg" TargetMode="External"/><Relationship Id="rId1070" Type="http://schemas.openxmlformats.org/officeDocument/2006/relationships/hyperlink" Target="https://salesxceleration.com/wp-content/uploads/2022/04/Ziemke-Matthew-275x275-1-225x225.jpg" TargetMode="External"/><Relationship Id="rId1071" Type="http://schemas.openxmlformats.org/officeDocument/2006/relationships/hyperlink" Target="https://salesxceleration.com/wp-content/uploads/2024/10/Toomer_David-225x225.jpg" TargetMode="External"/><Relationship Id="rId1072" Type="http://schemas.openxmlformats.org/officeDocument/2006/relationships/hyperlink" Target="https://salesxceleration.com/wp-content/uploads/2024/10/Toomer_David-225x225.jpg" TargetMode="External"/><Relationship Id="rId1073" Type="http://schemas.openxmlformats.org/officeDocument/2006/relationships/hyperlink" Target="https://salesxceleration.com/wp-content/uploads/2024/07/Kummer_Mark-225x225.jpg" TargetMode="External"/><Relationship Id="rId1074" Type="http://schemas.openxmlformats.org/officeDocument/2006/relationships/hyperlink" Target="https://salesxceleration.com/wp-content/uploads/2024/07/Kummer_Mark-225x225.jpg" TargetMode="External"/><Relationship Id="rId1075" Type="http://schemas.openxmlformats.org/officeDocument/2006/relationships/hyperlink" Target="https://salesxceleration.com/wp-content/uploads/2022/10/Essex_Pete-225x225.jpg" TargetMode="External"/><Relationship Id="rId1076" Type="http://schemas.openxmlformats.org/officeDocument/2006/relationships/hyperlink" Target="https://salesxceleration.com/wp-content/uploads/2022/10/Essex_Pete-225x225.jpg" TargetMode="External"/><Relationship Id="rId1077" Type="http://schemas.openxmlformats.org/officeDocument/2006/relationships/hyperlink" Target="https://salesxceleration.com/wp-content/uploads/2017/01/Crandall_Kelly-225x225.jpg" TargetMode="External"/><Relationship Id="rId1078" Type="http://schemas.openxmlformats.org/officeDocument/2006/relationships/hyperlink" Target="https://salesxceleration.com/wp-content/uploads/2017/01/Crandall_Kelly-225x225.jpg" TargetMode="External"/><Relationship Id="rId1079" Type="http://schemas.openxmlformats.org/officeDocument/2006/relationships/hyperlink" Target="https://salesxceleration.com/wp-content/uploads/2022/04/Daly-Tom-1-275x275-1-225x225.jpg" TargetMode="External"/><Relationship Id="rId2390" Type="http://schemas.openxmlformats.org/officeDocument/2006/relationships/hyperlink" Target="https://salesxceleration.com/which-role-is-right-for-your-new-hire-account-manager-or-business-development-representative/" TargetMode="External"/><Relationship Id="rId1060" Type="http://schemas.openxmlformats.org/officeDocument/2006/relationships/hyperlink" Target="https://salesxceleration.com/wp-content/uploads/2022/10/John-Jankowski-225x225.jpeg" TargetMode="External"/><Relationship Id="rId2391" Type="http://schemas.openxmlformats.org/officeDocument/2006/relationships/hyperlink" Target="https://salesxceleration.com/which-role-is-right-for-your-new-hire-account-manager-or-business-development-representative/" TargetMode="External"/><Relationship Id="rId1061" Type="http://schemas.openxmlformats.org/officeDocument/2006/relationships/hyperlink" Target="https://salesxceleration.com/wp-content/uploads/2024/08/Wilson_Andy-225x225.jpg" TargetMode="External"/><Relationship Id="rId2392" Type="http://schemas.openxmlformats.org/officeDocument/2006/relationships/hyperlink" Target="https://salesxceleration.com/wp-content/uploads/2025/12/Salespeople-in-Seats-300x171.jpg" TargetMode="External"/><Relationship Id="rId1062" Type="http://schemas.openxmlformats.org/officeDocument/2006/relationships/hyperlink" Target="https://salesxceleration.com/wp-content/uploads/2024/08/Wilson_Andy-225x225.jpg" TargetMode="External"/><Relationship Id="rId2393" Type="http://schemas.openxmlformats.org/officeDocument/2006/relationships/hyperlink" Target="https://salesxceleration.com/wp-content/uploads/2025/12/Salespeople-in-Seats-300x171.jpg" TargetMode="External"/><Relationship Id="rId1063" Type="http://schemas.openxmlformats.org/officeDocument/2006/relationships/hyperlink" Target="https://salesxceleration.com/wp-content/uploads/2022/04/Harrigan-Greg-275x275-1-225x225.jpg" TargetMode="External"/><Relationship Id="rId2394" Type="http://schemas.openxmlformats.org/officeDocument/2006/relationships/hyperlink" Target="https://salesxceleration.com/2025-in-review-key-recruiting-trends-that-shaped-the-year/" TargetMode="External"/><Relationship Id="rId1064" Type="http://schemas.openxmlformats.org/officeDocument/2006/relationships/hyperlink" Target="https://salesxceleration.com/wp-content/uploads/2022/04/Harrigan-Greg-275x275-1-225x225.jpg" TargetMode="External"/><Relationship Id="rId2395" Type="http://schemas.openxmlformats.org/officeDocument/2006/relationships/hyperlink" Target="https://salesxceleration.com/2025-in-review-key-recruiting-trends-that-shaped-the-year/" TargetMode="External"/><Relationship Id="rId1065" Type="http://schemas.openxmlformats.org/officeDocument/2006/relationships/hyperlink" Target="https://salesxceleration.com/wp-content/uploads/2024/06/Muskus_Joe-225x225.jpg" TargetMode="External"/><Relationship Id="rId2396" Type="http://schemas.openxmlformats.org/officeDocument/2006/relationships/hyperlink" Target="https://salesxceleration.com/2025-in-review-key-recruiting-trends-that-shaped-the-year/" TargetMode="External"/><Relationship Id="rId1066" Type="http://schemas.openxmlformats.org/officeDocument/2006/relationships/hyperlink" Target="https://salesxceleration.com/wp-content/uploads/2024/06/Muskus_Joe-225x225.jpg" TargetMode="External"/><Relationship Id="rId2397" Type="http://schemas.openxmlformats.org/officeDocument/2006/relationships/hyperlink" Target="https://salesxceleration.com/category/hiring-onboarding/page/3/" TargetMode="External"/><Relationship Id="rId1067" Type="http://schemas.openxmlformats.org/officeDocument/2006/relationships/hyperlink" Target="https://salesxceleration.com/wp-content/uploads/2023/06/Filipski_Jeff-225x225.jpg" TargetMode="External"/><Relationship Id="rId2398" Type="http://schemas.openxmlformats.org/officeDocument/2006/relationships/hyperlink" Target="https://salesxceleration.com/category/hiring-onboarding/page/3/" TargetMode="External"/><Relationship Id="rId1068" Type="http://schemas.openxmlformats.org/officeDocument/2006/relationships/hyperlink" Target="https://salesxceleration.com/wp-content/uploads/2023/06/Filipski_Jeff-225x225.jpg" TargetMode="External"/><Relationship Id="rId2399" Type="http://schemas.openxmlformats.org/officeDocument/2006/relationships/hyperlink" Target="https://salesxceleration.com/category/hiring-onboarding/page/4/" TargetMode="External"/><Relationship Id="rId1069" Type="http://schemas.openxmlformats.org/officeDocument/2006/relationships/hyperlink" Target="https://salesxceleration.com/wp-content/uploads/2022/04/Ziemke-Matthew-275x275-1-225x225.jpg" TargetMode="External"/><Relationship Id="rId1015" Type="http://schemas.openxmlformats.org/officeDocument/2006/relationships/hyperlink" Target="https://salesxceleration.com/wp-content/uploads/2024/03/Lee-Scott-225x225.jpg" TargetMode="External"/><Relationship Id="rId2346" Type="http://schemas.openxmlformats.org/officeDocument/2006/relationships/hyperlink" Target="https://salesxceleration.com/adapting-leadership-styles-to-the-situation-sales-growth-vs-sales-recovery-part-two-sales-recovery/" TargetMode="External"/><Relationship Id="rId3678" Type="http://schemas.openxmlformats.org/officeDocument/2006/relationships/hyperlink" Target="https://salesxceleration.com/wp-content/uploads/2020/07/Investor-Meeting-scaled-1-2048x2048.jpg" TargetMode="External"/><Relationship Id="rId1016" Type="http://schemas.openxmlformats.org/officeDocument/2006/relationships/hyperlink" Target="https://salesxceleration.com/wp-content/uploads/2024/03/Lee-Scott-225x225.jpg" TargetMode="External"/><Relationship Id="rId2347" Type="http://schemas.openxmlformats.org/officeDocument/2006/relationships/hyperlink" Target="https://salesxceleration.com/wp-content/uploads/2025/11/The-Power-of-SMART-Goals-in-Recruiting-1024x683-1.jpg" TargetMode="External"/><Relationship Id="rId3677" Type="http://schemas.openxmlformats.org/officeDocument/2006/relationships/hyperlink" Target="https://salesxceleration.com/wp-content/uploads/2020/07/Investor-Meeting-scaled-1-2048x2048.jpg" TargetMode="External"/><Relationship Id="rId1017" Type="http://schemas.openxmlformats.org/officeDocument/2006/relationships/hyperlink" Target="https://salesxceleration.com/wp-content/uploads/2024/11/Devlin_Andrew-225x225.jpg" TargetMode="External"/><Relationship Id="rId2348" Type="http://schemas.openxmlformats.org/officeDocument/2006/relationships/hyperlink" Target="https://salesxceleration.com/wp-content/uploads/2025/11/The-Power-of-SMART-Goals-in-Recruiting-1024x683-1.jpg" TargetMode="External"/><Relationship Id="rId1018" Type="http://schemas.openxmlformats.org/officeDocument/2006/relationships/hyperlink" Target="https://salesxceleration.com/wp-content/uploads/2024/11/Devlin_Andrew-225x225.jpg" TargetMode="External"/><Relationship Id="rId2349" Type="http://schemas.openxmlformats.org/officeDocument/2006/relationships/hyperlink" Target="https://salesxceleration.com/hiring-trends-forecast-for-2025/" TargetMode="External"/><Relationship Id="rId3679" Type="http://schemas.openxmlformats.org/officeDocument/2006/relationships/hyperlink" Target="https://salesxceleration.com/seven-essential-do-this-not-that-tips-to-network-smarter-not-harder/" TargetMode="External"/><Relationship Id="rId1019" Type="http://schemas.openxmlformats.org/officeDocument/2006/relationships/hyperlink" Target="https://salesxceleration.com/wp-content/uploads/2022/04/Mitchell-Paul-225x225.jpg" TargetMode="External"/><Relationship Id="rId3670" Type="http://schemas.openxmlformats.org/officeDocument/2006/relationships/hyperlink" Target="https://salesxceleration.com/creating-and-maintaining-a-successful-sales-organization/" TargetMode="External"/><Relationship Id="rId2340" Type="http://schemas.openxmlformats.org/officeDocument/2006/relationships/hyperlink" Target="https://salesxceleration.com/wp-content/uploads/2025/11/Hiring-Sales-Talent-in-a-Slow-Economy-1024x683-1.jpg" TargetMode="External"/><Relationship Id="rId3672" Type="http://schemas.openxmlformats.org/officeDocument/2006/relationships/hyperlink" Target="https://salesxceleration.com/inflation-how-to-prepare-and-protect-your-business/" TargetMode="External"/><Relationship Id="rId1010" Type="http://schemas.openxmlformats.org/officeDocument/2006/relationships/hyperlink" Target="https://salesxceleration.com/wp-content/uploads/2025/06/Todd_Kristopher-225x225.jpg" TargetMode="External"/><Relationship Id="rId2341" Type="http://schemas.openxmlformats.org/officeDocument/2006/relationships/hyperlink" Target="https://salesxceleration.com/wp-content/uploads/2025/11/Hiring-Sales-Talent-in-a-Slow-Economy-1024x683-1.jpg" TargetMode="External"/><Relationship Id="rId3671" Type="http://schemas.openxmlformats.org/officeDocument/2006/relationships/hyperlink" Target="https://salesxceleration.com/creating-and-maintaining-a-successful-sales-organization/" TargetMode="External"/><Relationship Id="rId1011" Type="http://schemas.openxmlformats.org/officeDocument/2006/relationships/hyperlink" Target="https://salesxceleration.com/wp-content/uploads/2023/05/Miller_Doug-225x225.jpg" TargetMode="External"/><Relationship Id="rId2342" Type="http://schemas.openxmlformats.org/officeDocument/2006/relationships/hyperlink" Target="https://salesxceleration.com/wp-content/uploads/2025/12/Sales-Team-Meeting.jpg" TargetMode="External"/><Relationship Id="rId3674" Type="http://schemas.openxmlformats.org/officeDocument/2006/relationships/hyperlink" Target="https://salesxceleration.com/inflation-how-to-prepare-and-protect-your-business/" TargetMode="External"/><Relationship Id="rId1012" Type="http://schemas.openxmlformats.org/officeDocument/2006/relationships/hyperlink" Target="https://salesxceleration.com/wp-content/uploads/2023/05/Miller_Doug-225x225.jpg" TargetMode="External"/><Relationship Id="rId2343" Type="http://schemas.openxmlformats.org/officeDocument/2006/relationships/hyperlink" Target="https://salesxceleration.com/wp-content/uploads/2025/12/Sales-Team-Meeting.jpg" TargetMode="External"/><Relationship Id="rId3673" Type="http://schemas.openxmlformats.org/officeDocument/2006/relationships/hyperlink" Target="https://salesxceleration.com/inflation-how-to-prepare-and-protect-your-business/" TargetMode="External"/><Relationship Id="rId1013" Type="http://schemas.openxmlformats.org/officeDocument/2006/relationships/hyperlink" Target="https://salesxceleration.com/wp-content/uploads/2024/12/Coyne_Greg-225x225.jpg" TargetMode="External"/><Relationship Id="rId2344" Type="http://schemas.openxmlformats.org/officeDocument/2006/relationships/hyperlink" Target="https://salesxceleration.com/adapting-leadership-styles-to-the-situation-sales-growth-vs-sales-recovery-part-two-sales-recovery/" TargetMode="External"/><Relationship Id="rId3676" Type="http://schemas.openxmlformats.org/officeDocument/2006/relationships/hyperlink" Target="https://salesxceleration.com/wp-content/uploads/2023/04/Business-Ninjas-WriteForMe-178-SalesXceleration.jpg" TargetMode="External"/><Relationship Id="rId1014" Type="http://schemas.openxmlformats.org/officeDocument/2006/relationships/hyperlink" Target="https://salesxceleration.com/wp-content/uploads/2024/12/Coyne_Greg-225x225.jpg" TargetMode="External"/><Relationship Id="rId2345" Type="http://schemas.openxmlformats.org/officeDocument/2006/relationships/hyperlink" Target="https://salesxceleration.com/adapting-leadership-styles-to-the-situation-sales-growth-vs-sales-recovery-part-two-sales-recovery/" TargetMode="External"/><Relationship Id="rId3675" Type="http://schemas.openxmlformats.org/officeDocument/2006/relationships/hyperlink" Target="https://salesxceleration.com/wp-content/uploads/2023/04/Business-Ninjas-WriteForMe-178-SalesXceleration.jpg" TargetMode="External"/><Relationship Id="rId1004" Type="http://schemas.openxmlformats.org/officeDocument/2006/relationships/hyperlink" Target="https://salesxceleration.com/advisors/jeffrey-soares/" TargetMode="External"/><Relationship Id="rId2335" Type="http://schemas.openxmlformats.org/officeDocument/2006/relationships/hyperlink" Target="https://salesxceleration.com/wp-content/uploads/2025/11/Hiring-Trends-Forecast-for-2025-1024x576-1.jpg" TargetMode="External"/><Relationship Id="rId3667" Type="http://schemas.openxmlformats.org/officeDocument/2006/relationships/hyperlink" Target="https://salesxceleration.com/that-knocking-you-hear-its-an-opportunity-to-fulfill-your-potential/" TargetMode="External"/><Relationship Id="rId4998" Type="http://schemas.openxmlformats.org/officeDocument/2006/relationships/hyperlink" Target="https://salesxceleration.com/3-5-ways-jump-start-revenue-growth-sales-2017/" TargetMode="External"/><Relationship Id="rId1005" Type="http://schemas.openxmlformats.org/officeDocument/2006/relationships/hyperlink" Target="https://salesxceleration.com/wp-content/uploads/2025/09/Burton_Chris-225x225.jpg" TargetMode="External"/><Relationship Id="rId2336" Type="http://schemas.openxmlformats.org/officeDocument/2006/relationships/hyperlink" Target="https://salesxceleration.com/wp-content/themes/salesxceleratione/assets/css/style.css?ver=1769123342" TargetMode="External"/><Relationship Id="rId3666" Type="http://schemas.openxmlformats.org/officeDocument/2006/relationships/hyperlink" Target="https://salesxceleration.com/that-knocking-you-hear-its-an-opportunity-to-fulfill-your-potential/" TargetMode="External"/><Relationship Id="rId4997" Type="http://schemas.openxmlformats.org/officeDocument/2006/relationships/hyperlink" Target="https://salesxceleration.com/" TargetMode="External"/><Relationship Id="rId1006" Type="http://schemas.openxmlformats.org/officeDocument/2006/relationships/hyperlink" Target="https://salesxceleration.com/wp-content/uploads/2025/09/Burton_Chris-225x225.jpg" TargetMode="External"/><Relationship Id="rId2337" Type="http://schemas.openxmlformats.org/officeDocument/2006/relationships/hyperlink" Target="https://salesxceleration.com/wp-content/themes/salesxceleratione/assets/css/style.css?ver=1769123342" TargetMode="External"/><Relationship Id="rId3669" Type="http://schemas.openxmlformats.org/officeDocument/2006/relationships/hyperlink" Target="https://salesxceleration.com/creating-and-maintaining-a-successful-sales-organization/" TargetMode="External"/><Relationship Id="rId1007" Type="http://schemas.openxmlformats.org/officeDocument/2006/relationships/hyperlink" Target="https://salesxceleration.com/wp-content/uploads/2022/04/Soares-Jeff-275x275-1-225x225.jpg" TargetMode="External"/><Relationship Id="rId2338" Type="http://schemas.openxmlformats.org/officeDocument/2006/relationships/hyperlink" Target="https://salesxceleration.com/wp-content/uploads/2025/11/Skills-Based-Hiring.jpg" TargetMode="External"/><Relationship Id="rId3668" Type="http://schemas.openxmlformats.org/officeDocument/2006/relationships/hyperlink" Target="https://salesxceleration.com/that-knocking-you-hear-its-an-opportunity-to-fulfill-your-potential/" TargetMode="External"/><Relationship Id="rId4999" Type="http://schemas.openxmlformats.org/officeDocument/2006/relationships/hyperlink" Target="https://salesxceleration.com/wp-content/uploads/2015/05/Feet-on-Scales-RS-225-High.jpg" TargetMode="External"/><Relationship Id="rId1008" Type="http://schemas.openxmlformats.org/officeDocument/2006/relationships/hyperlink" Target="https://salesxceleration.com/wp-content/uploads/2022/04/Soares-Jeff-275x275-1-225x225.jpg" TargetMode="External"/><Relationship Id="rId2339" Type="http://schemas.openxmlformats.org/officeDocument/2006/relationships/hyperlink" Target="https://salesxceleration.com/wp-content/uploads/2025/11/Skills-Based-Hiring.jpg" TargetMode="External"/><Relationship Id="rId1009" Type="http://schemas.openxmlformats.org/officeDocument/2006/relationships/hyperlink" Target="https://salesxceleration.com/wp-content/uploads/2025/06/Todd_Kristopher-225x225.jpg" TargetMode="External"/><Relationship Id="rId4990" Type="http://schemas.openxmlformats.org/officeDocument/2006/relationships/hyperlink" Target="https://salesxceleration.com/wp-content/uploads/2016/06/Sales-Agility-Assessment-blog-cta-button.png" TargetMode="External"/><Relationship Id="rId3661" Type="http://schemas.openxmlformats.org/officeDocument/2006/relationships/hyperlink" Target="https://salesxceleration.com/wp-content/uploads/2022/09/How-Can-Businesses-Prepare-for-Inflation-300x200.jpg" TargetMode="External"/><Relationship Id="rId4992" Type="http://schemas.openxmlformats.org/officeDocument/2006/relationships/hyperlink" Target="https://salesxceleration.com/wp-content/uploads/2015/03/sales-action-plans-1.jpg" TargetMode="External"/><Relationship Id="rId2330" Type="http://schemas.openxmlformats.org/officeDocument/2006/relationships/hyperlink" Target="https://salesxceleration.com/afraid-of-sales-automation-heres-how-to-use-it-to-your-competitive-advantage/" TargetMode="External"/><Relationship Id="rId3660" Type="http://schemas.openxmlformats.org/officeDocument/2006/relationships/hyperlink" Target="https://salesxceleration.com/top-advantages-and-disadvantages-of-outsourcing-your-sales-function/" TargetMode="External"/><Relationship Id="rId4991" Type="http://schemas.openxmlformats.org/officeDocument/2006/relationships/hyperlink" Target="https://salesxceleration.com/wp-content/uploads/2015/03/sales-action-plans-1.jpg" TargetMode="External"/><Relationship Id="rId1000" Type="http://schemas.openxmlformats.org/officeDocument/2006/relationships/hyperlink" Target="https://salesxceleration.com/wp-content/uploads/2017/01/John-Lee-225x225.jpeg" TargetMode="External"/><Relationship Id="rId2331" Type="http://schemas.openxmlformats.org/officeDocument/2006/relationships/hyperlink" Target="https://salesxceleration.com/4-tips-for-using-a-sales-process-to-improve-your-wins/" TargetMode="External"/><Relationship Id="rId3663" Type="http://schemas.openxmlformats.org/officeDocument/2006/relationships/hyperlink" Target="https://salesxceleration.com/in-focus-the-rewards-of-taking-a-career-risk/" TargetMode="External"/><Relationship Id="rId4994" Type="http://schemas.openxmlformats.org/officeDocument/2006/relationships/hyperlink" Target="https://salesxceleration.com/sales-agility-assessment/" TargetMode="External"/><Relationship Id="rId1001" Type="http://schemas.openxmlformats.org/officeDocument/2006/relationships/hyperlink" Target="https://salesxceleration.com/wp-content/uploads/2017/01/John-Lee-225x225.jpeg" TargetMode="External"/><Relationship Id="rId2332" Type="http://schemas.openxmlformats.org/officeDocument/2006/relationships/hyperlink" Target="https://salesxceleration.com/4-tips-for-using-a-sales-process-to-improve-your-wins/" TargetMode="External"/><Relationship Id="rId3662" Type="http://schemas.openxmlformats.org/officeDocument/2006/relationships/hyperlink" Target="https://salesxceleration.com/wp-content/uploads/2022/09/How-Can-Businesses-Prepare-for-Inflation-300x200.jpg" TargetMode="External"/><Relationship Id="rId4993" Type="http://schemas.openxmlformats.org/officeDocument/2006/relationships/hyperlink" Target="https://salesxceleration.com/sales-agility-assessment/?utm_source=sales_action_blog&amp;utm_medium=cta&amp;utm_campaign=sales_action_to_assessment" TargetMode="External"/><Relationship Id="rId1002" Type="http://schemas.openxmlformats.org/officeDocument/2006/relationships/hyperlink" Target="https://salesxceleration.com/advisors/jeffrey-soares/" TargetMode="External"/><Relationship Id="rId2333" Type="http://schemas.openxmlformats.org/officeDocument/2006/relationships/hyperlink" Target="https://salesxceleration.com/4-tips-for-using-a-sales-process-to-improve-your-wins/" TargetMode="External"/><Relationship Id="rId3665" Type="http://schemas.openxmlformats.org/officeDocument/2006/relationships/hyperlink" Target="https://salesxceleration.com/in-focus-the-rewards-of-taking-a-career-risk/" TargetMode="External"/><Relationship Id="rId4996" Type="http://schemas.openxmlformats.org/officeDocument/2006/relationships/hyperlink" Target="https://salesxceleration.com/3-5-ways-jump-start-revenue-growth-sales-2017/" TargetMode="External"/><Relationship Id="rId1003" Type="http://schemas.openxmlformats.org/officeDocument/2006/relationships/hyperlink" Target="https://salesxceleration.com/advisors/jeffrey-soares/" TargetMode="External"/><Relationship Id="rId2334" Type="http://schemas.openxmlformats.org/officeDocument/2006/relationships/hyperlink" Target="https://salesxceleration.com/wp-content/uploads/2025/11/Hiring-Trends-Forecast-for-2025-1024x576-1.jpg" TargetMode="External"/><Relationship Id="rId3664" Type="http://schemas.openxmlformats.org/officeDocument/2006/relationships/hyperlink" Target="https://salesxceleration.com/in-focus-the-rewards-of-taking-a-career-risk/" TargetMode="External"/><Relationship Id="rId4995" Type="http://schemas.openxmlformats.org/officeDocument/2006/relationships/hyperlink" Target="https://salesxceleration.com/sales-agility-assessment/?utm_source=sales_action_blog&amp;utm_medium=cta&amp;utm_campaign=sales_action_to_assessment" TargetMode="External"/><Relationship Id="rId1037" Type="http://schemas.openxmlformats.org/officeDocument/2006/relationships/hyperlink" Target="https://salesxceleration.com/wp-content/uploads/2017/01/Cocca_Chris-225x225.jpg" TargetMode="External"/><Relationship Id="rId2368" Type="http://schemas.openxmlformats.org/officeDocument/2006/relationships/hyperlink" Target="https://salesxceleration.com/making-a-difference-how-sales-xceleration-helps-you-keep-business-owners-from-making-even-more-critical-hiring-mistakes/" TargetMode="External"/><Relationship Id="rId1038" Type="http://schemas.openxmlformats.org/officeDocument/2006/relationships/hyperlink" Target="https://salesxceleration.com/wp-content/uploads/2017/01/Cocca_Chris-225x225.jpg" TargetMode="External"/><Relationship Id="rId2369" Type="http://schemas.openxmlformats.org/officeDocument/2006/relationships/hyperlink" Target="https://salesxceleration.com/making-a-difference-how-sales-xceleration-helps-you-keep-business-owners-from-making-even-more-critical-hiring-mistakes/" TargetMode="External"/><Relationship Id="rId3699" Type="http://schemas.openxmlformats.org/officeDocument/2006/relationships/hyperlink" Target="https://salesxceleration.com/wp-content/uploads/2015/03/SIlence-Sales-xceleration-2048x2048.png" TargetMode="External"/><Relationship Id="rId1039" Type="http://schemas.openxmlformats.org/officeDocument/2006/relationships/hyperlink" Target="https://salesxceleration.com/wp-content/uploads/2022/04/Tkaczyk-Rick-275x275-1-225x225.jpg" TargetMode="External"/><Relationship Id="rId3690" Type="http://schemas.openxmlformats.org/officeDocument/2006/relationships/hyperlink" Target="https://salesxceleration.com/wp-content/themes/salesxceleratione/assets/css/style.css?ver=1769123584" TargetMode="External"/><Relationship Id="rId2360" Type="http://schemas.openxmlformats.org/officeDocument/2006/relationships/hyperlink" Target="https://salesxceleration.com/the-competitive-advantage-of-hiring-sales-talent-in-a-slow-economy/" TargetMode="External"/><Relationship Id="rId3692" Type="http://schemas.openxmlformats.org/officeDocument/2006/relationships/hyperlink" Target="https://salesxceleration.com/wp-content/themes/salesxceleratione/assets/css/style.css?ver=1769123585" TargetMode="External"/><Relationship Id="rId1030" Type="http://schemas.openxmlformats.org/officeDocument/2006/relationships/hyperlink" Target="https://salesxceleration.com/wp-content/uploads/2025/03/Phillips_Brent-225x225.jpg" TargetMode="External"/><Relationship Id="rId2361" Type="http://schemas.openxmlformats.org/officeDocument/2006/relationships/hyperlink" Target="https://salesxceleration.com/wp-content/uploads/2025/10/Predictive-Sales-Analytics.jpg" TargetMode="External"/><Relationship Id="rId3691" Type="http://schemas.openxmlformats.org/officeDocument/2006/relationships/hyperlink" Target="https://salesxceleration.com/wp-content/themes/salesxceleratione/assets/css/style.css?ver=1769123584" TargetMode="External"/><Relationship Id="rId1031" Type="http://schemas.openxmlformats.org/officeDocument/2006/relationships/hyperlink" Target="https://salesxceleration.com/wp-content/uploads/2023/07/Hubbard_Kenneth-225x225.jpg" TargetMode="External"/><Relationship Id="rId2362" Type="http://schemas.openxmlformats.org/officeDocument/2006/relationships/hyperlink" Target="https://salesxceleration.com/wp-content/uploads/2025/10/Predictive-Sales-Analytics.jpg" TargetMode="External"/><Relationship Id="rId3694" Type="http://schemas.openxmlformats.org/officeDocument/2006/relationships/hyperlink" Target="https://salesxceleration.com/wp-content/uploads/2015/03/End-of-year-sales-xceleration-2048x2048.png" TargetMode="External"/><Relationship Id="rId1032" Type="http://schemas.openxmlformats.org/officeDocument/2006/relationships/hyperlink" Target="https://salesxceleration.com/wp-content/uploads/2023/07/Hubbard_Kenneth-225x225.jpg" TargetMode="External"/><Relationship Id="rId2363" Type="http://schemas.openxmlformats.org/officeDocument/2006/relationships/hyperlink" Target="https://salesxceleration.com/wp-content/uploads/2014/07/Focus-Activity-Management-Copy-2048x2048.jpg" TargetMode="External"/><Relationship Id="rId3693" Type="http://schemas.openxmlformats.org/officeDocument/2006/relationships/hyperlink" Target="https://salesxceleration.com/wp-content/themes/salesxceleratione/assets/css/style.css?ver=1769123585" TargetMode="External"/><Relationship Id="rId1033" Type="http://schemas.openxmlformats.org/officeDocument/2006/relationships/hyperlink" Target="https://salesxceleration.com/wp-content/uploads/2017/01/Stephens-John-275x275-1-225x225.jpg" TargetMode="External"/><Relationship Id="rId2364" Type="http://schemas.openxmlformats.org/officeDocument/2006/relationships/hyperlink" Target="https://salesxceleration.com/wp-content/uploads/2014/07/Focus-Activity-Management-Copy-2048x2048.jpg" TargetMode="External"/><Relationship Id="rId3696" Type="http://schemas.openxmlformats.org/officeDocument/2006/relationships/hyperlink" Target="https://salesxceleration.com/wp-content/themes/salesxceleratione/assets/css/style.css?ver=1769123587" TargetMode="External"/><Relationship Id="rId1034" Type="http://schemas.openxmlformats.org/officeDocument/2006/relationships/hyperlink" Target="https://salesxceleration.com/wp-content/uploads/2017/01/Stephens-John-275x275-1-225x225.jpg" TargetMode="External"/><Relationship Id="rId2365" Type="http://schemas.openxmlformats.org/officeDocument/2006/relationships/hyperlink" Target="https://salesxceleration.com/one-less-hat-to-wear-how-business-owners-can-achieve-more-growth-and-success/" TargetMode="External"/><Relationship Id="rId3695" Type="http://schemas.openxmlformats.org/officeDocument/2006/relationships/hyperlink" Target="https://salesxceleration.com/wp-content/uploads/2015/03/End-of-year-sales-xceleration-2048x2048.png" TargetMode="External"/><Relationship Id="rId1035" Type="http://schemas.openxmlformats.org/officeDocument/2006/relationships/hyperlink" Target="https://salesxceleration.com/wp-content/uploads/2023/04/Beall_Bishop-225x225.jpg" TargetMode="External"/><Relationship Id="rId2366" Type="http://schemas.openxmlformats.org/officeDocument/2006/relationships/hyperlink" Target="https://salesxceleration.com/one-less-hat-to-wear-how-business-owners-can-achieve-more-growth-and-success/" TargetMode="External"/><Relationship Id="rId3698" Type="http://schemas.openxmlformats.org/officeDocument/2006/relationships/hyperlink" Target="https://salesxceleration.com/wp-content/uploads/2015/03/SIlence-Sales-xceleration-2048x2048.png" TargetMode="External"/><Relationship Id="rId1036" Type="http://schemas.openxmlformats.org/officeDocument/2006/relationships/hyperlink" Target="https://salesxceleration.com/wp-content/uploads/2023/04/Beall_Bishop-225x225.jpg" TargetMode="External"/><Relationship Id="rId2367" Type="http://schemas.openxmlformats.org/officeDocument/2006/relationships/hyperlink" Target="https://salesxceleration.com/one-less-hat-to-wear-how-business-owners-can-achieve-more-growth-and-success/" TargetMode="External"/><Relationship Id="rId3697" Type="http://schemas.openxmlformats.org/officeDocument/2006/relationships/hyperlink" Target="https://salesxceleration.com/wp-content/themes/salesxceleratione/assets/css/style.css?ver=1769123587" TargetMode="External"/><Relationship Id="rId1026" Type="http://schemas.openxmlformats.org/officeDocument/2006/relationships/hyperlink" Target="https://salesxceleration.com/wp-content/uploads/2022/04/Torr-John-225x225.jpg" TargetMode="External"/><Relationship Id="rId2357" Type="http://schemas.openxmlformats.org/officeDocument/2006/relationships/hyperlink" Target="https://salesxceleration.com/the-power-of-smart-goals-in-recruiting/" TargetMode="External"/><Relationship Id="rId3689" Type="http://schemas.openxmlformats.org/officeDocument/2006/relationships/hyperlink" Target="https://salesxceleration.com/wp-content/uploads/2023/03/Fractional-Sales-Leader.jpg" TargetMode="External"/><Relationship Id="rId1027" Type="http://schemas.openxmlformats.org/officeDocument/2006/relationships/hyperlink" Target="https://salesxceleration.com/wp-content/uploads/2022/04/Jones-David-275x275-1-225x225.jpg" TargetMode="External"/><Relationship Id="rId2358" Type="http://schemas.openxmlformats.org/officeDocument/2006/relationships/hyperlink" Target="https://salesxceleration.com/the-competitive-advantage-of-hiring-sales-talent-in-a-slow-economy/" TargetMode="External"/><Relationship Id="rId3688" Type="http://schemas.openxmlformats.org/officeDocument/2006/relationships/hyperlink" Target="https://salesxceleration.com/wp-content/uploads/2023/03/Fractional-Sales-Leader.jpg" TargetMode="External"/><Relationship Id="rId1028" Type="http://schemas.openxmlformats.org/officeDocument/2006/relationships/hyperlink" Target="https://salesxceleration.com/wp-content/uploads/2022/04/Jones-David-275x275-1-225x225.jpg" TargetMode="External"/><Relationship Id="rId2359" Type="http://schemas.openxmlformats.org/officeDocument/2006/relationships/hyperlink" Target="https://salesxceleration.com/the-competitive-advantage-of-hiring-sales-talent-in-a-slow-economy/" TargetMode="External"/><Relationship Id="rId1029" Type="http://schemas.openxmlformats.org/officeDocument/2006/relationships/hyperlink" Target="https://salesxceleration.com/wp-content/uploads/2025/03/Phillips_Brent-225x225.jpg" TargetMode="External"/><Relationship Id="rId3681" Type="http://schemas.openxmlformats.org/officeDocument/2006/relationships/hyperlink" Target="https://salesxceleration.com/seven-essential-do-this-not-that-tips-to-network-smarter-not-harder/" TargetMode="External"/><Relationship Id="rId2350" Type="http://schemas.openxmlformats.org/officeDocument/2006/relationships/hyperlink" Target="https://salesxceleration.com/hiring-trends-forecast-for-2025/" TargetMode="External"/><Relationship Id="rId3680" Type="http://schemas.openxmlformats.org/officeDocument/2006/relationships/hyperlink" Target="https://salesxceleration.com/seven-essential-do-this-not-that-tips-to-network-smarter-not-harder/" TargetMode="External"/><Relationship Id="rId1020" Type="http://schemas.openxmlformats.org/officeDocument/2006/relationships/hyperlink" Target="https://salesxceleration.com/wp-content/uploads/2022/04/Mitchell-Paul-225x225.jpg" TargetMode="External"/><Relationship Id="rId2351" Type="http://schemas.openxmlformats.org/officeDocument/2006/relationships/hyperlink" Target="https://salesxceleration.com/hiring-trends-forecast-for-2025/" TargetMode="External"/><Relationship Id="rId3683" Type="http://schemas.openxmlformats.org/officeDocument/2006/relationships/hyperlink" Target="https://salesxceleration.com/wp-content/uploads/2020/05/https___specials-images.forbesimg.com_dam_imageserve_1166085433_960x0-2048x2048.jpg" TargetMode="External"/><Relationship Id="rId1021" Type="http://schemas.openxmlformats.org/officeDocument/2006/relationships/hyperlink" Target="https://salesxceleration.com/wp-content/uploads/2022/04/Yenke-Kathy-225x225.jpg" TargetMode="External"/><Relationship Id="rId2352" Type="http://schemas.openxmlformats.org/officeDocument/2006/relationships/hyperlink" Target="https://salesxceleration.com/the-rise-of-skills-based-hiring/" TargetMode="External"/><Relationship Id="rId3682" Type="http://schemas.openxmlformats.org/officeDocument/2006/relationships/hyperlink" Target="https://salesxceleration.com/wp-content/uploads/2020/05/https___specials-images.forbesimg.com_dam_imageserve_1166085433_960x0-2048x2048.jpg" TargetMode="External"/><Relationship Id="rId1022" Type="http://schemas.openxmlformats.org/officeDocument/2006/relationships/hyperlink" Target="https://salesxceleration.com/wp-content/uploads/2022/04/Yenke-Kathy-225x225.jpg" TargetMode="External"/><Relationship Id="rId2353" Type="http://schemas.openxmlformats.org/officeDocument/2006/relationships/hyperlink" Target="https://salesxceleration.com/the-rise-of-skills-based-hiring/" TargetMode="External"/><Relationship Id="rId3685" Type="http://schemas.openxmlformats.org/officeDocument/2006/relationships/hyperlink" Target="https://salesxceleration.com/wp-content/uploads/2023/10/The-Power-of-Serving-Versus-Selling.jpg" TargetMode="External"/><Relationship Id="rId1023" Type="http://schemas.openxmlformats.org/officeDocument/2006/relationships/hyperlink" Target="https://salesxceleration.com/wp-content/uploads/2025/10/Haas_Rebecca-225x225.jpg" TargetMode="External"/><Relationship Id="rId2354" Type="http://schemas.openxmlformats.org/officeDocument/2006/relationships/hyperlink" Target="https://salesxceleration.com/the-rise-of-skills-based-hiring/" TargetMode="External"/><Relationship Id="rId3684" Type="http://schemas.openxmlformats.org/officeDocument/2006/relationships/hyperlink" Target="https://salesxceleration.com/wp-content/uploads/2023/10/The-Power-of-Serving-Versus-Selling.jpg" TargetMode="External"/><Relationship Id="rId1024" Type="http://schemas.openxmlformats.org/officeDocument/2006/relationships/hyperlink" Target="https://salesxceleration.com/wp-content/uploads/2025/10/Haas_Rebecca-225x225.jpg" TargetMode="External"/><Relationship Id="rId2355" Type="http://schemas.openxmlformats.org/officeDocument/2006/relationships/hyperlink" Target="https://salesxceleration.com/the-power-of-smart-goals-in-recruiting/" TargetMode="External"/><Relationship Id="rId3687" Type="http://schemas.openxmlformats.org/officeDocument/2006/relationships/hyperlink" Target="https://salesxceleration.com/wp-content/themes/salesxceleratione/assets/css/style.css?ver=1769123582" TargetMode="External"/><Relationship Id="rId1025" Type="http://schemas.openxmlformats.org/officeDocument/2006/relationships/hyperlink" Target="https://salesxceleration.com/wp-content/uploads/2022/04/Torr-John-225x225.jpg" TargetMode="External"/><Relationship Id="rId2356" Type="http://schemas.openxmlformats.org/officeDocument/2006/relationships/hyperlink" Target="https://salesxceleration.com/the-power-of-smart-goals-in-recruiting/" TargetMode="External"/><Relationship Id="rId3686" Type="http://schemas.openxmlformats.org/officeDocument/2006/relationships/hyperlink" Target="https://salesxceleration.com/wp-content/themes/salesxceleratione/assets/css/style.css?ver=1769123582" TargetMode="External"/><Relationship Id="rId1090" Type="http://schemas.openxmlformats.org/officeDocument/2006/relationships/hyperlink" Target="https://salesxceleration.com/wp-content/uploads/2024/12/Eggleston_Larry-225x225.jpg" TargetMode="External"/><Relationship Id="rId1091" Type="http://schemas.openxmlformats.org/officeDocument/2006/relationships/hyperlink" Target="https://salesxceleration.com/wp-content/uploads/2022/04/Costello-Jim-275x275-1-225x225.jpg" TargetMode="External"/><Relationship Id="rId1092" Type="http://schemas.openxmlformats.org/officeDocument/2006/relationships/hyperlink" Target="https://salesxceleration.com/wp-content/uploads/2022/04/Costello-Jim-275x275-1-225x225.jpg" TargetMode="External"/><Relationship Id="rId1093" Type="http://schemas.openxmlformats.org/officeDocument/2006/relationships/hyperlink" Target="https://salesxceleration.com/wp-content/uploads/2017/01/Shaughnessy_Kevin-225x225.jpg" TargetMode="External"/><Relationship Id="rId1094" Type="http://schemas.openxmlformats.org/officeDocument/2006/relationships/hyperlink" Target="https://salesxceleration.com/wp-content/uploads/2017/01/Shaughnessy_Kevin-225x225.jpg" TargetMode="External"/><Relationship Id="rId1095" Type="http://schemas.openxmlformats.org/officeDocument/2006/relationships/hyperlink" Target="https://salesxceleration.com/wp-content/uploads/2025/06/Wong_Rick-225x225.jpg" TargetMode="External"/><Relationship Id="rId1096" Type="http://schemas.openxmlformats.org/officeDocument/2006/relationships/hyperlink" Target="https://salesxceleration.com/wp-content/uploads/2025/06/Wong_Rick-225x225.jpg" TargetMode="External"/><Relationship Id="rId1097" Type="http://schemas.openxmlformats.org/officeDocument/2006/relationships/hyperlink" Target="https://salesxceleration.com/wp-content/uploads/2024/03/Adams-Mike-225x225.jpg" TargetMode="External"/><Relationship Id="rId1098" Type="http://schemas.openxmlformats.org/officeDocument/2006/relationships/hyperlink" Target="https://salesxceleration.com/wp-content/uploads/2024/03/Adams-Mike-225x225.jpg" TargetMode="External"/><Relationship Id="rId1099" Type="http://schemas.openxmlformats.org/officeDocument/2006/relationships/hyperlink" Target="https://salesxceleration.com/wp-content/uploads/2022/06/Balis_Eric-225x225.jpg" TargetMode="External"/><Relationship Id="rId1080" Type="http://schemas.openxmlformats.org/officeDocument/2006/relationships/hyperlink" Target="https://salesxceleration.com/wp-content/uploads/2022/04/Daly-Tom-1-275x275-1-225x225.jpg" TargetMode="External"/><Relationship Id="rId1081" Type="http://schemas.openxmlformats.org/officeDocument/2006/relationships/hyperlink" Target="https://salesxceleration.com/wp-content/uploads/2017/01/Moore_Sean-225x225.jpg" TargetMode="External"/><Relationship Id="rId1082" Type="http://schemas.openxmlformats.org/officeDocument/2006/relationships/hyperlink" Target="https://salesxceleration.com/wp-content/uploads/2017/01/Moore_Sean-225x225.jpg" TargetMode="External"/><Relationship Id="rId1083" Type="http://schemas.openxmlformats.org/officeDocument/2006/relationships/hyperlink" Target="https://salesxceleration.com/wp-content/uploads/2023/07/Susie-225x225.jpg" TargetMode="External"/><Relationship Id="rId1084" Type="http://schemas.openxmlformats.org/officeDocument/2006/relationships/hyperlink" Target="https://salesxceleration.com/wp-content/uploads/2023/07/Susie-225x225.jpg" TargetMode="External"/><Relationship Id="rId1085" Type="http://schemas.openxmlformats.org/officeDocument/2006/relationships/hyperlink" Target="https://salesxceleration.com/wp-content/uploads/2022/04/Wills-Michael-225x225.jpg" TargetMode="External"/><Relationship Id="rId1086" Type="http://schemas.openxmlformats.org/officeDocument/2006/relationships/hyperlink" Target="https://salesxceleration.com/wp-content/uploads/2022/04/Wills-Michael-225x225.jpg" TargetMode="External"/><Relationship Id="rId1087" Type="http://schemas.openxmlformats.org/officeDocument/2006/relationships/hyperlink" Target="https://salesxceleration.com/wp-content/uploads/2024/12/Donlon_Michael-225x225.jpg" TargetMode="External"/><Relationship Id="rId1088" Type="http://schemas.openxmlformats.org/officeDocument/2006/relationships/hyperlink" Target="https://salesxceleration.com/wp-content/uploads/2024/12/Donlon_Michael-225x225.jpg" TargetMode="External"/><Relationship Id="rId1089" Type="http://schemas.openxmlformats.org/officeDocument/2006/relationships/hyperlink" Target="https://salesxceleration.com/wp-content/uploads/2024/12/Eggleston_Larry-225x225.jpg" TargetMode="External"/><Relationship Id="rId2423" Type="http://schemas.openxmlformats.org/officeDocument/2006/relationships/hyperlink" Target="https://salesxceleration.com/sales-hiring-strategy-how-to-hire-top-sales-talent/" TargetMode="External"/><Relationship Id="rId3755" Type="http://schemas.openxmlformats.org/officeDocument/2006/relationships/hyperlink" Target="https://salesxceleration.com/dont-prescribe-a-sales-solution-before-you-diagnose-the-problem/" TargetMode="External"/><Relationship Id="rId2424" Type="http://schemas.openxmlformats.org/officeDocument/2006/relationships/hyperlink" Target="https://salesxceleration.com/sales-hiring-strategy-how-to-hire-top-sales-talent/" TargetMode="External"/><Relationship Id="rId3754" Type="http://schemas.openxmlformats.org/officeDocument/2006/relationships/hyperlink" Target="https://salesxceleration.com/dont-prescribe-a-sales-solution-before-you-diagnose-the-problem/" TargetMode="External"/><Relationship Id="rId2425" Type="http://schemas.openxmlformats.org/officeDocument/2006/relationships/hyperlink" Target="https://salesxceleration.com/sales-hiring-strategy-how-to-hire-top-sales-talent/" TargetMode="External"/><Relationship Id="rId3757" Type="http://schemas.openxmlformats.org/officeDocument/2006/relationships/hyperlink" Target="https://salesxceleration.com/wp-content/themes/salesxceleratione/assets/css/style.css?ver=1769123509" TargetMode="External"/><Relationship Id="rId2426" Type="http://schemas.openxmlformats.org/officeDocument/2006/relationships/hyperlink" Target="https://salesxceleration.com/wp-content/uploads/2023/05/pod-thumb-300x195.jpg" TargetMode="External"/><Relationship Id="rId3756" Type="http://schemas.openxmlformats.org/officeDocument/2006/relationships/hyperlink" Target="https://salesxceleration.com/wp-content/themes/salesxceleratione/assets/css/style.css?ver=1769123509" TargetMode="External"/><Relationship Id="rId2427" Type="http://schemas.openxmlformats.org/officeDocument/2006/relationships/hyperlink" Target="https://salesxceleration.com/wp-content/uploads/2023/05/pod-thumb-300x195.jpg" TargetMode="External"/><Relationship Id="rId3759" Type="http://schemas.openxmlformats.org/officeDocument/2006/relationships/hyperlink" Target="https://salesxceleration.com/dont-be-surprised-by-success-plan-for-growth-and-manage-it/" TargetMode="External"/><Relationship Id="rId2428" Type="http://schemas.openxmlformats.org/officeDocument/2006/relationships/hyperlink" Target="https://salesxceleration.com/5-hiring-strategies-you-cant-overlook-if-you-want-to-avoid-the-wrong-hire/" TargetMode="External"/><Relationship Id="rId3758" Type="http://schemas.openxmlformats.org/officeDocument/2006/relationships/hyperlink" Target="https://salesxceleration.com/dont-be-surprised-by-success-plan-for-growth-and-manage-it/" TargetMode="External"/><Relationship Id="rId2429" Type="http://schemas.openxmlformats.org/officeDocument/2006/relationships/hyperlink" Target="https://salesxceleration.com/5-hiring-strategies-you-cant-overlook-if-you-want-to-avoid-the-wrong-hire/" TargetMode="External"/><Relationship Id="rId3751" Type="http://schemas.openxmlformats.org/officeDocument/2006/relationships/hyperlink" Target="https://salesxceleration.com/wp-content/uploads/2019/05/fac7f86c-764e-11e9-86e2-f2d3a332a382-1-2048x2048.jpg" TargetMode="External"/><Relationship Id="rId2420" Type="http://schemas.openxmlformats.org/officeDocument/2006/relationships/hyperlink" Target="https://salesxceleration.com/wp-content/uploads/2023/10/Hire-Top-Sales-Talent-300x200.jpg" TargetMode="External"/><Relationship Id="rId3750" Type="http://schemas.openxmlformats.org/officeDocument/2006/relationships/hyperlink" Target="https://salesxceleration.com/wp-content/uploads/2014/11/20151.png" TargetMode="External"/><Relationship Id="rId2421" Type="http://schemas.openxmlformats.org/officeDocument/2006/relationships/hyperlink" Target="https://salesxceleration.com/wp-content/uploads/2023/05/Which-Role-is-Right-for-Your-New-Hire-300x200.jpg" TargetMode="External"/><Relationship Id="rId3753" Type="http://schemas.openxmlformats.org/officeDocument/2006/relationships/hyperlink" Target="https://salesxceleration.com/dont-prescribe-a-sales-solution-before-you-diagnose-the-problem/" TargetMode="External"/><Relationship Id="rId2422" Type="http://schemas.openxmlformats.org/officeDocument/2006/relationships/hyperlink" Target="https://salesxceleration.com/wp-content/uploads/2023/05/Which-Role-is-Right-for-Your-New-Hire-300x200.jpg" TargetMode="External"/><Relationship Id="rId3752" Type="http://schemas.openxmlformats.org/officeDocument/2006/relationships/hyperlink" Target="https://salesxceleration.com/wp-content/uploads/2019/05/fac7f86c-764e-11e9-86e2-f2d3a332a382-1-2048x2048.jpg" TargetMode="External"/><Relationship Id="rId2412" Type="http://schemas.openxmlformats.org/officeDocument/2006/relationships/hyperlink" Target="https://salesxceleration.com/wp-content/uploads/2025/11/Attracting-Top-Tier-Sales-Professionals-300x200.jpg" TargetMode="External"/><Relationship Id="rId3744" Type="http://schemas.openxmlformats.org/officeDocument/2006/relationships/hyperlink" Target="https://salesxceleration.com/wp-content/uploads/2015/05/Feet-on-Scales-RS-225-High-2048x2048.jpg" TargetMode="External"/><Relationship Id="rId2413" Type="http://schemas.openxmlformats.org/officeDocument/2006/relationships/hyperlink" Target="https://salesxceleration.com/wp-content/uploads/2025/11/Attracting-Top-Tier-Sales-Professionals-300x200.jpg" TargetMode="External"/><Relationship Id="rId3743" Type="http://schemas.openxmlformats.org/officeDocument/2006/relationships/hyperlink" Target="https://salesxceleration.com/kiss-ideas-crms-goodbye/" TargetMode="External"/><Relationship Id="rId2414" Type="http://schemas.openxmlformats.org/officeDocument/2006/relationships/hyperlink" Target="https://salesxceleration.com/wp-content/uploads/2024/09/Interviewing-Top-Sales-Talent-300x200.jpg" TargetMode="External"/><Relationship Id="rId3746" Type="http://schemas.openxmlformats.org/officeDocument/2006/relationships/hyperlink" Target="https://salesxceleration.com/managing-your-business-the-butler-way/" TargetMode="External"/><Relationship Id="rId2415" Type="http://schemas.openxmlformats.org/officeDocument/2006/relationships/hyperlink" Target="https://salesxceleration.com/wp-content/uploads/2024/09/Interviewing-Top-Sales-Talent-300x200.jpg" TargetMode="External"/><Relationship Id="rId3745" Type="http://schemas.openxmlformats.org/officeDocument/2006/relationships/hyperlink" Target="https://salesxceleration.com/wp-content/uploads/2015/05/Feet-on-Scales-RS-225-High-2048x2048.jpg" TargetMode="External"/><Relationship Id="rId2416" Type="http://schemas.openxmlformats.org/officeDocument/2006/relationships/hyperlink" Target="https://salesxceleration.com/the-high-potential-myth-how-comfort-zones-hinder-hiring-progress/" TargetMode="External"/><Relationship Id="rId3748" Type="http://schemas.openxmlformats.org/officeDocument/2006/relationships/hyperlink" Target="https://salesxceleration.com/managing-your-business-the-butler-way/" TargetMode="External"/><Relationship Id="rId2417" Type="http://schemas.openxmlformats.org/officeDocument/2006/relationships/hyperlink" Target="https://salesxceleration.com/the-high-potential-myth-how-comfort-zones-hinder-hiring-progress/" TargetMode="External"/><Relationship Id="rId3747" Type="http://schemas.openxmlformats.org/officeDocument/2006/relationships/hyperlink" Target="https://salesxceleration.com/managing-your-business-the-butler-way/" TargetMode="External"/><Relationship Id="rId2418" Type="http://schemas.openxmlformats.org/officeDocument/2006/relationships/hyperlink" Target="https://salesxceleration.com/the-high-potential-myth-how-comfort-zones-hinder-hiring-progress/" TargetMode="External"/><Relationship Id="rId2419" Type="http://schemas.openxmlformats.org/officeDocument/2006/relationships/hyperlink" Target="https://salesxceleration.com/wp-content/uploads/2023/10/Hire-Top-Sales-Talent-300x200.jpg" TargetMode="External"/><Relationship Id="rId3749" Type="http://schemas.openxmlformats.org/officeDocument/2006/relationships/hyperlink" Target="https://salesxceleration.com/wp-content/uploads/2014/11/20151.png" TargetMode="External"/><Relationship Id="rId3740" Type="http://schemas.openxmlformats.org/officeDocument/2006/relationships/hyperlink" Target="https://salesxceleration.com/wp-content/uploads/2013/11/small-businesses-sales-forecast.jpg" TargetMode="External"/><Relationship Id="rId2410" Type="http://schemas.openxmlformats.org/officeDocument/2006/relationships/hyperlink" Target="https://salesxceleration.com/category/hiring-onboarding/page/4/" TargetMode="External"/><Relationship Id="rId3742" Type="http://schemas.openxmlformats.org/officeDocument/2006/relationships/hyperlink" Target="https://salesxceleration.com/kiss-ideas-crms-goodbye/" TargetMode="External"/><Relationship Id="rId2411" Type="http://schemas.openxmlformats.org/officeDocument/2006/relationships/hyperlink" Target="https://salesxceleration.com/category/hiring-onboarding/page/5/" TargetMode="External"/><Relationship Id="rId3741" Type="http://schemas.openxmlformats.org/officeDocument/2006/relationships/hyperlink" Target="https://salesxceleration.com/kiss-ideas-crms-goodbye/" TargetMode="External"/><Relationship Id="rId1114" Type="http://schemas.openxmlformats.org/officeDocument/2006/relationships/hyperlink" Target="https://salesxceleration.com/wp-content/uploads/2022/04/Muniz-Shannon-275x275-1-225x225.jpg" TargetMode="External"/><Relationship Id="rId2445" Type="http://schemas.openxmlformats.org/officeDocument/2006/relationships/hyperlink" Target="https://salesxceleration.com/high-level-strategies-for-identifying-and-attracting-top-tier-sales-professionals/" TargetMode="External"/><Relationship Id="rId3777" Type="http://schemas.openxmlformats.org/officeDocument/2006/relationships/hyperlink" Target="https://salesxceleration.com/wp-content/uploads/2014/02/onboarding.jpg" TargetMode="External"/><Relationship Id="rId1115" Type="http://schemas.openxmlformats.org/officeDocument/2006/relationships/hyperlink" Target="https://salesxceleration.com/wp-content/uploads/2022/06/Wagener_John2-225x225.jpg" TargetMode="External"/><Relationship Id="rId2446" Type="http://schemas.openxmlformats.org/officeDocument/2006/relationships/hyperlink" Target="https://salesxceleration.com/high-level-strategies-for-identifying-and-attracting-top-tier-sales-professionals/" TargetMode="External"/><Relationship Id="rId3776" Type="http://schemas.openxmlformats.org/officeDocument/2006/relationships/hyperlink" Target="https://salesxceleration.com/wp-content/uploads/2015/04/managers-selling-2048x2048.png" TargetMode="External"/><Relationship Id="rId1116" Type="http://schemas.openxmlformats.org/officeDocument/2006/relationships/hyperlink" Target="https://salesxceleration.com/wp-content/uploads/2022/06/Wagener_John2-225x225.jpg" TargetMode="External"/><Relationship Id="rId2447" Type="http://schemas.openxmlformats.org/officeDocument/2006/relationships/hyperlink" Target="https://salesxceleration.com/high-level-strategies-for-identifying-and-attracting-top-tier-sales-professionals/" TargetMode="External"/><Relationship Id="rId3779" Type="http://schemas.openxmlformats.org/officeDocument/2006/relationships/hyperlink" Target="https://salesxceleration.com/wp-content/uploads/2015/03/hire-salespeople-keep-them-sales-xcleration-2048x2048.png" TargetMode="External"/><Relationship Id="rId1117" Type="http://schemas.openxmlformats.org/officeDocument/2006/relationships/hyperlink" Target="https://salesxceleration.com/wp-content/uploads/2024/06/Shannon_Sean-225x225.jpg" TargetMode="External"/><Relationship Id="rId2448" Type="http://schemas.openxmlformats.org/officeDocument/2006/relationships/hyperlink" Target="https://salesxceleration.com/wp-content/uploads/2025/12/how-firing-your-topsales-300x200.jpg" TargetMode="External"/><Relationship Id="rId3778" Type="http://schemas.openxmlformats.org/officeDocument/2006/relationships/hyperlink" Target="https://salesxceleration.com/wp-content/uploads/2014/02/onboarding.jpg" TargetMode="External"/><Relationship Id="rId1118" Type="http://schemas.openxmlformats.org/officeDocument/2006/relationships/hyperlink" Target="https://salesxceleration.com/wp-content/uploads/2024/06/Shannon_Sean-225x225.jpg" TargetMode="External"/><Relationship Id="rId2449" Type="http://schemas.openxmlformats.org/officeDocument/2006/relationships/hyperlink" Target="https://salesxceleration.com/wp-content/uploads/2025/12/how-firing-your-topsales-300x200.jpg" TargetMode="External"/><Relationship Id="rId1119" Type="http://schemas.openxmlformats.org/officeDocument/2006/relationships/hyperlink" Target="https://salesxceleration.com/wp-content/uploads/2022/04/Allen-Lee-225x225.jpg" TargetMode="External"/><Relationship Id="rId3771" Type="http://schemas.openxmlformats.org/officeDocument/2006/relationships/hyperlink" Target="https://salesxceleration.com/wp-content/themes/salesxceleratione/assets/css/style.css?ver=1769123510" TargetMode="External"/><Relationship Id="rId2440" Type="http://schemas.openxmlformats.org/officeDocument/2006/relationships/hyperlink" Target="https://salesxceleration.com/wp-content/uploads/2025/11/The-Power-of-SMART-Goals-in-Recruiting-1024x683-1-300x200.jpg" TargetMode="External"/><Relationship Id="rId3770" Type="http://schemas.openxmlformats.org/officeDocument/2006/relationships/hyperlink" Target="https://salesxceleration.com/wp-content/themes/salesxceleratione/assets/css/style.css?ver=1769123510" TargetMode="External"/><Relationship Id="rId1110" Type="http://schemas.openxmlformats.org/officeDocument/2006/relationships/hyperlink" Target="https://salesxceleration.com/wp-content/uploads/2023/01/VanTassel_Alan-225x225.jpg" TargetMode="External"/><Relationship Id="rId2441" Type="http://schemas.openxmlformats.org/officeDocument/2006/relationships/hyperlink" Target="https://salesxceleration.com/wp-content/uploads/2025/11/The-Power-of-SMART-Goals-in-Recruiting-1024x683-1-300x200.jpg" TargetMode="External"/><Relationship Id="rId3773" Type="http://schemas.openxmlformats.org/officeDocument/2006/relationships/hyperlink" Target="https://salesxceleration.com/is-it-time-to-put-your-pipeline-on-a-diet/" TargetMode="External"/><Relationship Id="rId1111" Type="http://schemas.openxmlformats.org/officeDocument/2006/relationships/hyperlink" Target="https://salesxceleration.com/wp-content/uploads/2017/01/McLeod_John-225x225.jpg" TargetMode="External"/><Relationship Id="rId2442" Type="http://schemas.openxmlformats.org/officeDocument/2006/relationships/hyperlink" Target="https://salesxceleration.com/7-essential-tips-for-interviewing-top-sales-talent/" TargetMode="External"/><Relationship Id="rId3772" Type="http://schemas.openxmlformats.org/officeDocument/2006/relationships/hyperlink" Target="https://salesxceleration.com/is-it-time-to-put-your-pipeline-on-a-diet/" TargetMode="External"/><Relationship Id="rId1112" Type="http://schemas.openxmlformats.org/officeDocument/2006/relationships/hyperlink" Target="https://salesxceleration.com/wp-content/uploads/2017/01/McLeod_John-225x225.jpg" TargetMode="External"/><Relationship Id="rId2443" Type="http://schemas.openxmlformats.org/officeDocument/2006/relationships/hyperlink" Target="https://salesxceleration.com/7-essential-tips-for-interviewing-top-sales-talent/" TargetMode="External"/><Relationship Id="rId3775" Type="http://schemas.openxmlformats.org/officeDocument/2006/relationships/hyperlink" Target="https://salesxceleration.com/wp-content/uploads/2015/04/managers-selling-2048x2048.png" TargetMode="External"/><Relationship Id="rId1113" Type="http://schemas.openxmlformats.org/officeDocument/2006/relationships/hyperlink" Target="https://salesxceleration.com/wp-content/uploads/2022/04/Muniz-Shannon-275x275-1-225x225.jpg" TargetMode="External"/><Relationship Id="rId2444" Type="http://schemas.openxmlformats.org/officeDocument/2006/relationships/hyperlink" Target="https://salesxceleration.com/7-essential-tips-for-interviewing-top-sales-talent/" TargetMode="External"/><Relationship Id="rId3774" Type="http://schemas.openxmlformats.org/officeDocument/2006/relationships/hyperlink" Target="https://salesxceleration.com/is-it-time-to-put-your-pipeline-on-a-diet/" TargetMode="External"/><Relationship Id="rId1103" Type="http://schemas.openxmlformats.org/officeDocument/2006/relationships/hyperlink" Target="https://salesxceleration.com/wp-content/uploads/2023/06/Beck_Norm-225x225.jpg" TargetMode="External"/><Relationship Id="rId2434" Type="http://schemas.openxmlformats.org/officeDocument/2006/relationships/hyperlink" Target="https://salesxceleration.com/how-leaders-of-sales-teams-should-approach-retention/" TargetMode="External"/><Relationship Id="rId3766" Type="http://schemas.openxmlformats.org/officeDocument/2006/relationships/hyperlink" Target="https://salesxceleration.com/wp-content/uploads/2015/01/yah5-2048x2048.jpg" TargetMode="External"/><Relationship Id="rId1104" Type="http://schemas.openxmlformats.org/officeDocument/2006/relationships/hyperlink" Target="https://salesxceleration.com/wp-content/uploads/2023/06/Beck_Norm-225x225.jpg" TargetMode="External"/><Relationship Id="rId2435" Type="http://schemas.openxmlformats.org/officeDocument/2006/relationships/hyperlink" Target="https://salesxceleration.com/how-leaders-of-sales-teams-should-approach-retention/" TargetMode="External"/><Relationship Id="rId3765" Type="http://schemas.openxmlformats.org/officeDocument/2006/relationships/hyperlink" Target="https://salesxceleration.com/wp-content/uploads/2015/01/yah5-2048x2048.jpg" TargetMode="External"/><Relationship Id="rId1105" Type="http://schemas.openxmlformats.org/officeDocument/2006/relationships/hyperlink" Target="https://salesxceleration.com/wp-content/uploads/2024/06/Lock-Robert-225x225.jpg" TargetMode="External"/><Relationship Id="rId2436" Type="http://schemas.openxmlformats.org/officeDocument/2006/relationships/hyperlink" Target="https://salesxceleration.com/wp-content/uploads/2024/11/Hiring-Strategies-to-Avoid-the-Wrong-Hire-300x200.jpg" TargetMode="External"/><Relationship Id="rId3768" Type="http://schemas.openxmlformats.org/officeDocument/2006/relationships/hyperlink" Target="https://salesxceleration.com/how-leaders-create-sales-action-plans-to-improve-the-bottom-line/" TargetMode="External"/><Relationship Id="rId1106" Type="http://schemas.openxmlformats.org/officeDocument/2006/relationships/hyperlink" Target="https://salesxceleration.com/wp-content/uploads/2024/06/Lock-Robert-225x225.jpg" TargetMode="External"/><Relationship Id="rId2437" Type="http://schemas.openxmlformats.org/officeDocument/2006/relationships/hyperlink" Target="https://salesxceleration.com/wp-content/uploads/2024/11/Hiring-Strategies-to-Avoid-the-Wrong-Hire-300x200.jpg" TargetMode="External"/><Relationship Id="rId3767" Type="http://schemas.openxmlformats.org/officeDocument/2006/relationships/hyperlink" Target="https://salesxceleration.com/how-leaders-create-sales-action-plans-to-improve-the-bottom-line/" TargetMode="External"/><Relationship Id="rId1107" Type="http://schemas.openxmlformats.org/officeDocument/2006/relationships/hyperlink" Target="https://salesxceleration.com/wp-content/uploads/2022/04/Lindert-Mike-275x275-1-225x225.jpg" TargetMode="External"/><Relationship Id="rId2438" Type="http://schemas.openxmlformats.org/officeDocument/2006/relationships/hyperlink" Target="https://salesxceleration.com/wp-content/uploads/2025/12/Sales-Team-Meeting-300x105.jpg" TargetMode="External"/><Relationship Id="rId1108" Type="http://schemas.openxmlformats.org/officeDocument/2006/relationships/hyperlink" Target="https://salesxceleration.com/wp-content/uploads/2022/04/Lindert-Mike-275x275-1-225x225.jpg" TargetMode="External"/><Relationship Id="rId2439" Type="http://schemas.openxmlformats.org/officeDocument/2006/relationships/hyperlink" Target="https://salesxceleration.com/wp-content/uploads/2025/12/Sales-Team-Meeting-300x105.jpg" TargetMode="External"/><Relationship Id="rId3769" Type="http://schemas.openxmlformats.org/officeDocument/2006/relationships/hyperlink" Target="https://salesxceleration.com/how-leaders-create-sales-action-plans-to-improve-the-bottom-line/" TargetMode="External"/><Relationship Id="rId1109" Type="http://schemas.openxmlformats.org/officeDocument/2006/relationships/hyperlink" Target="https://salesxceleration.com/wp-content/uploads/2023/01/VanTassel_Alan-225x225.jpg" TargetMode="External"/><Relationship Id="rId3760" Type="http://schemas.openxmlformats.org/officeDocument/2006/relationships/hyperlink" Target="https://salesxceleration.com/dont-be-surprised-by-success-plan-for-growth-and-manage-it/" TargetMode="External"/><Relationship Id="rId2430" Type="http://schemas.openxmlformats.org/officeDocument/2006/relationships/hyperlink" Target="https://salesxceleration.com/5-hiring-strategies-you-cant-overlook-if-you-want-to-avoid-the-wrong-hire/" TargetMode="External"/><Relationship Id="rId3762" Type="http://schemas.openxmlformats.org/officeDocument/2006/relationships/hyperlink" Target="https://salesxceleration.com/wp-content/uploads/2015/04/Jenga-RS-72-dpi-560-w-2048x2048.jpg" TargetMode="External"/><Relationship Id="rId1100" Type="http://schemas.openxmlformats.org/officeDocument/2006/relationships/hyperlink" Target="https://salesxceleration.com/wp-content/uploads/2022/06/Balis_Eric-225x225.jpg" TargetMode="External"/><Relationship Id="rId2431" Type="http://schemas.openxmlformats.org/officeDocument/2006/relationships/hyperlink" Target="https://salesxceleration.com/wp-content/uploads/2025/12/adasdaadada-300x164.jpg" TargetMode="External"/><Relationship Id="rId3761" Type="http://schemas.openxmlformats.org/officeDocument/2006/relationships/hyperlink" Target="https://salesxceleration.com/wp-content/uploads/2015/04/Jenga-RS-72-dpi-560-w-2048x2048.jpg" TargetMode="External"/><Relationship Id="rId1101" Type="http://schemas.openxmlformats.org/officeDocument/2006/relationships/hyperlink" Target="https://salesxceleration.com/wp-content/uploads/2022/04/Diemer-Michael-275x275-1-225x225.jpg" TargetMode="External"/><Relationship Id="rId2432" Type="http://schemas.openxmlformats.org/officeDocument/2006/relationships/hyperlink" Target="https://salesxceleration.com/wp-content/uploads/2025/12/adasdaadada-300x164.jpg" TargetMode="External"/><Relationship Id="rId3764" Type="http://schemas.openxmlformats.org/officeDocument/2006/relationships/hyperlink" Target="https://salesxceleration.com/wp-content/uploads/2015/04/onboarding-2048x2048.png" TargetMode="External"/><Relationship Id="rId1102" Type="http://schemas.openxmlformats.org/officeDocument/2006/relationships/hyperlink" Target="https://salesxceleration.com/wp-content/uploads/2022/04/Diemer-Michael-275x275-1-225x225.jpg" TargetMode="External"/><Relationship Id="rId2433" Type="http://schemas.openxmlformats.org/officeDocument/2006/relationships/hyperlink" Target="https://salesxceleration.com/how-leaders-of-sales-teams-should-approach-retention/" TargetMode="External"/><Relationship Id="rId3763" Type="http://schemas.openxmlformats.org/officeDocument/2006/relationships/hyperlink" Target="https://salesxceleration.com/wp-content/uploads/2015/04/onboarding-2048x2048.png" TargetMode="External"/><Relationship Id="rId3711" Type="http://schemas.openxmlformats.org/officeDocument/2006/relationships/hyperlink" Target="https://salesxceleration.com/planning-end-of-the-year-mistakes/" TargetMode="External"/><Relationship Id="rId3710" Type="http://schemas.openxmlformats.org/officeDocument/2006/relationships/hyperlink" Target="https://salesxceleration.com/wp-content/uploads/2020/01/manu_thumbnail-768x441.jpg" TargetMode="External"/><Relationship Id="rId3713" Type="http://schemas.openxmlformats.org/officeDocument/2006/relationships/hyperlink" Target="https://salesxceleration.com/planning-end-of-the-year-mistakes/" TargetMode="External"/><Relationship Id="rId3712" Type="http://schemas.openxmlformats.org/officeDocument/2006/relationships/hyperlink" Target="https://salesxceleration.com/planning-end-of-the-year-mistakes/" TargetMode="External"/><Relationship Id="rId3715" Type="http://schemas.openxmlformats.org/officeDocument/2006/relationships/hyperlink" Target="https://salesxceleration.com/wp-content/uploads/2019/03/manufacturing-case-study1-768x439.jpg" TargetMode="External"/><Relationship Id="rId3714" Type="http://schemas.openxmlformats.org/officeDocument/2006/relationships/hyperlink" Target="https://salesxceleration.com/wp-content/uploads/2019/03/manufacturing-case-study1-768x439.jpg" TargetMode="External"/><Relationship Id="rId3717" Type="http://schemas.openxmlformats.org/officeDocument/2006/relationships/hyperlink" Target="https://salesxceleration.com/wp-content/uploads/2019/11/healthcare-thumb-1-768x434.jpg" TargetMode="External"/><Relationship Id="rId3716" Type="http://schemas.openxmlformats.org/officeDocument/2006/relationships/hyperlink" Target="https://salesxceleration.com/wp-content/uploads/2019/11/healthcare-thumb-1-768x434.jpg" TargetMode="External"/><Relationship Id="rId3719" Type="http://schemas.openxmlformats.org/officeDocument/2006/relationships/hyperlink" Target="https://salesxceleration.com/wp-content/themes/salesxceleratione/assets/css/style.css?ver=1769123590" TargetMode="External"/><Relationship Id="rId3718" Type="http://schemas.openxmlformats.org/officeDocument/2006/relationships/hyperlink" Target="https://salesxceleration.com/wp-content/themes/salesxceleratione/assets/css/style.css?ver=1769123590" TargetMode="External"/><Relationship Id="rId3700" Type="http://schemas.openxmlformats.org/officeDocument/2006/relationships/hyperlink" Target="https://salesxceleration.com/wp-content/uploads/2021/11/Hands-Holding-Plant-Growing-Arrow-scaled.jpeg" TargetMode="External"/><Relationship Id="rId3702" Type="http://schemas.openxmlformats.org/officeDocument/2006/relationships/hyperlink" Target="https://salesxceleration.com/wp-content/themes/salesxceleratione/assets/css/style.css?ver=1769123589" TargetMode="External"/><Relationship Id="rId3701" Type="http://schemas.openxmlformats.org/officeDocument/2006/relationships/hyperlink" Target="https://salesxceleration.com/wp-content/uploads/2021/11/Hands-Holding-Plant-Growing-Arrow-scaled.jpeg" TargetMode="External"/><Relationship Id="rId3704" Type="http://schemas.openxmlformats.org/officeDocument/2006/relationships/hyperlink" Target="https://salesxceleration.com/advisors/john-lee/" TargetMode="External"/><Relationship Id="rId3703" Type="http://schemas.openxmlformats.org/officeDocument/2006/relationships/hyperlink" Target="https://salesxceleration.com/wp-content/themes/salesxceleratione/assets/css/style.css?ver=1769123589" TargetMode="External"/><Relationship Id="rId3706" Type="http://schemas.openxmlformats.org/officeDocument/2006/relationships/hyperlink" Target="https://salesxceleration.com/advisors/john-lee/" TargetMode="External"/><Relationship Id="rId3705" Type="http://schemas.openxmlformats.org/officeDocument/2006/relationships/hyperlink" Target="https://salesxceleration.com/advisors/john-lee/" TargetMode="External"/><Relationship Id="rId3708" Type="http://schemas.openxmlformats.org/officeDocument/2006/relationships/hyperlink" Target="https://salesxceleration.com/wp-content/uploads/2019/10/food-thumb-768x437.jpg" TargetMode="External"/><Relationship Id="rId3707" Type="http://schemas.openxmlformats.org/officeDocument/2006/relationships/hyperlink" Target="https://salesxceleration.com/wp-content/uploads/2019/10/food-thumb-768x437.jpg" TargetMode="External"/><Relationship Id="rId3709" Type="http://schemas.openxmlformats.org/officeDocument/2006/relationships/hyperlink" Target="https://salesxceleration.com/wp-content/uploads/2020/01/manu_thumbnail-768x441.jpg" TargetMode="External"/><Relationship Id="rId2401" Type="http://schemas.openxmlformats.org/officeDocument/2006/relationships/hyperlink" Target="https://salesxceleration.com/category/hiring-onboarding/page/3/" TargetMode="External"/><Relationship Id="rId3733" Type="http://schemas.openxmlformats.org/officeDocument/2006/relationships/hyperlink" Target="https://salesxceleration.com/wp-content/uploads/2014/12/That-was-then.jpg" TargetMode="External"/><Relationship Id="rId2402" Type="http://schemas.openxmlformats.org/officeDocument/2006/relationships/hyperlink" Target="https://salesxceleration.com/finding-a-sales-star-player-using-ideal-candidate-profiles-to-help-you-build-the-best-team/" TargetMode="External"/><Relationship Id="rId3732" Type="http://schemas.openxmlformats.org/officeDocument/2006/relationships/hyperlink" Target="https://salesxceleration.com/wp-content/uploads/2015/01/CRM-Resized-for-Web-2048x2048.jpg" TargetMode="External"/><Relationship Id="rId2403" Type="http://schemas.openxmlformats.org/officeDocument/2006/relationships/hyperlink" Target="https://salesxceleration.com/finding-a-sales-star-player-using-ideal-candidate-profiles-to-help-you-build-the-best-team/" TargetMode="External"/><Relationship Id="rId3735" Type="http://schemas.openxmlformats.org/officeDocument/2006/relationships/hyperlink" Target="https://salesxceleration.com/wp-content/uploads/2015/05/Teamwork.jpg" TargetMode="External"/><Relationship Id="rId2404" Type="http://schemas.openxmlformats.org/officeDocument/2006/relationships/hyperlink" Target="https://salesxceleration.com/finding-a-sales-star-player-using-ideal-candidate-profiles-to-help-you-build-the-best-team/" TargetMode="External"/><Relationship Id="rId3734" Type="http://schemas.openxmlformats.org/officeDocument/2006/relationships/hyperlink" Target="https://salesxceleration.com/wp-content/uploads/2014/12/That-was-then.jpg" TargetMode="External"/><Relationship Id="rId2405" Type="http://schemas.openxmlformats.org/officeDocument/2006/relationships/hyperlink" Target="https://salesxceleration.com/wp-content/uploads/2024/02/Finding-a-Sales-Star-Player-300x200.jpg" TargetMode="External"/><Relationship Id="rId3737" Type="http://schemas.openxmlformats.org/officeDocument/2006/relationships/hyperlink" Target="https://salesxceleration.com/wp-content/themes/salesxceleratione/assets/css/style.css?ver=1769123508" TargetMode="External"/><Relationship Id="rId2406" Type="http://schemas.openxmlformats.org/officeDocument/2006/relationships/hyperlink" Target="https://salesxceleration.com/wp-content/uploads/2024/02/Finding-a-Sales-Star-Player-300x200.jpg" TargetMode="External"/><Relationship Id="rId3736" Type="http://schemas.openxmlformats.org/officeDocument/2006/relationships/hyperlink" Target="https://salesxceleration.com/wp-content/uploads/2015/05/Teamwork.jpg" TargetMode="External"/><Relationship Id="rId2407" Type="http://schemas.openxmlformats.org/officeDocument/2006/relationships/hyperlink" Target="https://salesxceleration.com/category/hiring-onboarding/page/5/" TargetMode="External"/><Relationship Id="rId3739" Type="http://schemas.openxmlformats.org/officeDocument/2006/relationships/hyperlink" Target="https://salesxceleration.com/wp-content/uploads/2013/11/small-businesses-sales-forecast.jpg" TargetMode="External"/><Relationship Id="rId2408" Type="http://schemas.openxmlformats.org/officeDocument/2006/relationships/hyperlink" Target="https://salesxceleration.com/category/hiring-onboarding/page/5/" TargetMode="External"/><Relationship Id="rId3738" Type="http://schemas.openxmlformats.org/officeDocument/2006/relationships/hyperlink" Target="https://salesxceleration.com/wp-content/themes/salesxceleratione/assets/css/style.css?ver=1769123508" TargetMode="External"/><Relationship Id="rId2409" Type="http://schemas.openxmlformats.org/officeDocument/2006/relationships/hyperlink" Target="https://salesxceleration.com/category/hiring-onboarding/page/6/" TargetMode="External"/><Relationship Id="rId3731" Type="http://schemas.openxmlformats.org/officeDocument/2006/relationships/hyperlink" Target="https://salesxceleration.com/wp-content/uploads/2015/01/CRM-Resized-for-Web-2048x2048.jpg" TargetMode="External"/><Relationship Id="rId2400" Type="http://schemas.openxmlformats.org/officeDocument/2006/relationships/hyperlink" Target="https://salesxceleration.com/category/hiring-onboarding/page/2/" TargetMode="External"/><Relationship Id="rId3730" Type="http://schemas.openxmlformats.org/officeDocument/2006/relationships/hyperlink" Target="https://salesxceleration.com/wp-content/uploads/2015/03/Prescribe-2048x2048.png" TargetMode="External"/><Relationship Id="rId3722" Type="http://schemas.openxmlformats.org/officeDocument/2006/relationships/hyperlink" Target="https://salesxceleration.com/how-silence-can-help-you-sell-more/" TargetMode="External"/><Relationship Id="rId3721" Type="http://schemas.openxmlformats.org/officeDocument/2006/relationships/hyperlink" Target="https://salesxceleration.com/wp-content/themes/salesxceleratione/assets/css/style.css?ver=1769123591" TargetMode="External"/><Relationship Id="rId3724" Type="http://schemas.openxmlformats.org/officeDocument/2006/relationships/hyperlink" Target="https://salesxceleration.com/how-silence-can-help-you-sell-more/" TargetMode="External"/><Relationship Id="rId3723" Type="http://schemas.openxmlformats.org/officeDocument/2006/relationships/hyperlink" Target="https://salesxceleration.com/how-silence-can-help-you-sell-more/" TargetMode="External"/><Relationship Id="rId3726" Type="http://schemas.openxmlformats.org/officeDocument/2006/relationships/hyperlink" Target="https://salesxceleration.com/wp-content/themes/salesxceleratione/assets/css/style.css?ver=1769123592" TargetMode="External"/><Relationship Id="rId3725" Type="http://schemas.openxmlformats.org/officeDocument/2006/relationships/hyperlink" Target="https://salesxceleration.com/wp-content/themes/salesxceleratione/assets/css/style.css?ver=1769123592" TargetMode="External"/><Relationship Id="rId3728" Type="http://schemas.openxmlformats.org/officeDocument/2006/relationships/hyperlink" Target="https://salesxceleration.com/wp-content/themes/salesxceleratione/assets/css/style.css?ver=1769123593" TargetMode="External"/><Relationship Id="rId3727" Type="http://schemas.openxmlformats.org/officeDocument/2006/relationships/hyperlink" Target="https://salesxceleration.com/wp-content/themes/salesxceleratione/assets/css/style.css?ver=1769123593" TargetMode="External"/><Relationship Id="rId3729" Type="http://schemas.openxmlformats.org/officeDocument/2006/relationships/hyperlink" Target="https://salesxceleration.com/wp-content/uploads/2015/03/Prescribe-2048x2048.png" TargetMode="External"/><Relationship Id="rId3720" Type="http://schemas.openxmlformats.org/officeDocument/2006/relationships/hyperlink" Target="https://salesxceleration.com/wp-content/themes/salesxceleratione/assets/css/style.css?ver=1769123591" TargetMode="External"/><Relationship Id="rId1170" Type="http://schemas.openxmlformats.org/officeDocument/2006/relationships/hyperlink" Target="https://salesxceleration.com/wp-content/uploads/2025/01/Towsey_Russell-225x225.jpg" TargetMode="External"/><Relationship Id="rId1171" Type="http://schemas.openxmlformats.org/officeDocument/2006/relationships/hyperlink" Target="https://salesxceleration.com/wp-content/uploads/2025/10/Norton_Jim-225x225.jpg" TargetMode="External"/><Relationship Id="rId1172" Type="http://schemas.openxmlformats.org/officeDocument/2006/relationships/hyperlink" Target="https://salesxceleration.com/wp-content/uploads/2025/10/Norton_Jim-225x225.jpg" TargetMode="External"/><Relationship Id="rId1173" Type="http://schemas.openxmlformats.org/officeDocument/2006/relationships/hyperlink" Target="https://salesxceleration.com/advisors/jeff-clair/" TargetMode="External"/><Relationship Id="rId1174" Type="http://schemas.openxmlformats.org/officeDocument/2006/relationships/hyperlink" Target="https://salesxceleration.com/advisors/jeff-clair/" TargetMode="External"/><Relationship Id="rId1175" Type="http://schemas.openxmlformats.org/officeDocument/2006/relationships/hyperlink" Target="https://salesxceleration.com/advisors/jeff-clair/" TargetMode="External"/><Relationship Id="rId1176" Type="http://schemas.openxmlformats.org/officeDocument/2006/relationships/hyperlink" Target="https://salesxceleration.com/wp-content/uploads/2025/04/Franklin_Tony-225x225.jpg" TargetMode="External"/><Relationship Id="rId1177" Type="http://schemas.openxmlformats.org/officeDocument/2006/relationships/hyperlink" Target="https://salesxceleration.com/wp-content/uploads/2025/04/Franklin_Tony-225x225.jpg" TargetMode="External"/><Relationship Id="rId1178" Type="http://schemas.openxmlformats.org/officeDocument/2006/relationships/hyperlink" Target="https://salesxceleration.com/wp-content/uploads/2025/06/Scherzinger_John-225x225.jpg" TargetMode="External"/><Relationship Id="rId1179" Type="http://schemas.openxmlformats.org/officeDocument/2006/relationships/hyperlink" Target="https://salesxceleration.com/wp-content/uploads/2025/06/Scherzinger_John-225x225.jpg" TargetMode="External"/><Relationship Id="rId1169" Type="http://schemas.openxmlformats.org/officeDocument/2006/relationships/hyperlink" Target="https://salesxceleration.com/wp-content/uploads/2025/01/Towsey_Russell-225x225.jpg" TargetMode="External"/><Relationship Id="rId2490" Type="http://schemas.openxmlformats.org/officeDocument/2006/relationships/hyperlink" Target="https://salesxceleration.com/wp-content/uploads/2023/08/businessman-using-digital.jpg" TargetMode="External"/><Relationship Id="rId1160" Type="http://schemas.openxmlformats.org/officeDocument/2006/relationships/hyperlink" Target="https://salesxceleration.com/wp-content/uploads/2024/10/Carrel_Charles-225x225.jpg" TargetMode="External"/><Relationship Id="rId2491" Type="http://schemas.openxmlformats.org/officeDocument/2006/relationships/hyperlink" Target="https://salesxceleration.com/wp-content/uploads/2023/08/businessman-using-digital.jpg" TargetMode="External"/><Relationship Id="rId1161" Type="http://schemas.openxmlformats.org/officeDocument/2006/relationships/hyperlink" Target="https://salesxceleration.com/wp-content/uploads/2022/04/Hardwick-Jim-275x275-1-225x225.jpg" TargetMode="External"/><Relationship Id="rId2492" Type="http://schemas.openxmlformats.org/officeDocument/2006/relationships/hyperlink" Target="https://salesxceleration.com/why-remote-sales-teams-have-a-competitive-advantage-in-2025-and-beyond/" TargetMode="External"/><Relationship Id="rId1162" Type="http://schemas.openxmlformats.org/officeDocument/2006/relationships/hyperlink" Target="https://salesxceleration.com/wp-content/uploads/2022/04/Hardwick-Jim-275x275-1-225x225.jpg" TargetMode="External"/><Relationship Id="rId2493" Type="http://schemas.openxmlformats.org/officeDocument/2006/relationships/hyperlink" Target="https://salesxceleration.com/why-remote-sales-teams-have-a-competitive-advantage-in-2025-and-beyond/" TargetMode="External"/><Relationship Id="rId1163" Type="http://schemas.openxmlformats.org/officeDocument/2006/relationships/hyperlink" Target="https://salesxceleration.com/wp-content/uploads/2026/01/Dan-McCoy-225x225.jpeg" TargetMode="External"/><Relationship Id="rId2494" Type="http://schemas.openxmlformats.org/officeDocument/2006/relationships/hyperlink" Target="https://salesxceleration.com/why-remote-sales-teams-have-a-competitive-advantage-in-2025-and-beyond/" TargetMode="External"/><Relationship Id="rId1164" Type="http://schemas.openxmlformats.org/officeDocument/2006/relationships/hyperlink" Target="https://salesxceleration.com/wp-content/uploads/2026/01/Dan-McCoy-225x225.jpeg" TargetMode="External"/><Relationship Id="rId2495" Type="http://schemas.openxmlformats.org/officeDocument/2006/relationships/hyperlink" Target="https://salesxceleration.com/wp-content/uploads/2023/09/Technology-is-Creating-New-Ways-to-Sell-to-Prospects.jpg" TargetMode="External"/><Relationship Id="rId1165" Type="http://schemas.openxmlformats.org/officeDocument/2006/relationships/hyperlink" Target="https://salesxceleration.com/wp-content/uploads/2023/02/Reed_John-225x225.jpg" TargetMode="External"/><Relationship Id="rId2496" Type="http://schemas.openxmlformats.org/officeDocument/2006/relationships/hyperlink" Target="https://salesxceleration.com/wp-content/uploads/2023/09/Technology-is-Creating-New-Ways-to-Sell-to-Prospects.jpg" TargetMode="External"/><Relationship Id="rId1166" Type="http://schemas.openxmlformats.org/officeDocument/2006/relationships/hyperlink" Target="https://salesxceleration.com/wp-content/uploads/2023/02/Reed_John-225x225.jpg" TargetMode="External"/><Relationship Id="rId2497" Type="http://schemas.openxmlformats.org/officeDocument/2006/relationships/hyperlink" Target="https://salesxceleration.com/sales-hiring-strategy-how-to-hire-top-sales-talent-2/" TargetMode="External"/><Relationship Id="rId1167" Type="http://schemas.openxmlformats.org/officeDocument/2006/relationships/hyperlink" Target="https://salesxceleration.com/wp-content/uploads/2022/04/Nixon-Glenn-225x225.jpg" TargetMode="External"/><Relationship Id="rId2498" Type="http://schemas.openxmlformats.org/officeDocument/2006/relationships/hyperlink" Target="https://salesxceleration.com/sales-hiring-strategy-how-to-hire-top-sales-talent-2/" TargetMode="External"/><Relationship Id="rId1168" Type="http://schemas.openxmlformats.org/officeDocument/2006/relationships/hyperlink" Target="https://salesxceleration.com/wp-content/uploads/2022/04/Nixon-Glenn-225x225.jpg" TargetMode="External"/><Relationship Id="rId2499" Type="http://schemas.openxmlformats.org/officeDocument/2006/relationships/hyperlink" Target="https://salesxceleration.com/sales-hiring-strategy-how-to-hire-top-sales-talent-2/" TargetMode="External"/><Relationship Id="rId1190" Type="http://schemas.openxmlformats.org/officeDocument/2006/relationships/hyperlink" Target="https://salesxceleration.com/wp-content/uploads/elementor/css/post-56386.css?ver=1768846886" TargetMode="External"/><Relationship Id="rId1191" Type="http://schemas.openxmlformats.org/officeDocument/2006/relationships/hyperlink" Target="https://salesxceleration.com/wp-content/plugins/gravityforms/legacy/css/formreset.min.css?ver=2.9.24" TargetMode="External"/><Relationship Id="rId1192" Type="http://schemas.openxmlformats.org/officeDocument/2006/relationships/hyperlink" Target="https://salesxceleration.com/wp-content/plugins/gravityforms/legacy/css/formreset.min.css?ver=2.9.24" TargetMode="External"/><Relationship Id="rId1193" Type="http://schemas.openxmlformats.org/officeDocument/2006/relationships/hyperlink" Target="https://salesxceleration.com/wp-content/plugins/wp-job-manager/assets/lib/jquery-chosen/chosen.jquery.min.js?ver=1.1.0" TargetMode="External"/><Relationship Id="rId1194" Type="http://schemas.openxmlformats.org/officeDocument/2006/relationships/hyperlink" Target="https://salesxceleration.com/wp-content/plugins/wp-job-manager/assets/lib/jquery-chosen/chosen.jquery.min.js?ver=1.1.0" TargetMode="External"/><Relationship Id="rId1195" Type="http://schemas.openxmlformats.org/officeDocument/2006/relationships/hyperlink" Target="https://salesxceleration.com/wp-content/plugins/gravityforms/js/placeholders.jquery.min.js?ver=2.9.24" TargetMode="External"/><Relationship Id="rId1196" Type="http://schemas.openxmlformats.org/officeDocument/2006/relationships/hyperlink" Target="https://salesxceleration.com/wp-content/plugins/gravityforms/js/placeholders.jquery.min.js?ver=2.9.24" TargetMode="External"/><Relationship Id="rId1197" Type="http://schemas.openxmlformats.org/officeDocument/2006/relationships/hyperlink" Target="https://salesxceleration.com/wp-content/plugins/gravity-forms-personality-quiz-add-on/assets/quiz.js?ver=1.1.0" TargetMode="External"/><Relationship Id="rId1198" Type="http://schemas.openxmlformats.org/officeDocument/2006/relationships/hyperlink" Target="https://salesxceleration.com/wp-content/plugins/gravity-forms-personality-quiz-add-on/assets/quiz.js?ver=1.1.0" TargetMode="External"/><Relationship Id="rId1199" Type="http://schemas.openxmlformats.org/officeDocument/2006/relationships/hyperlink" Target="https://salesxceleration.com/wp-content/plugins/gravityforms/legacy/css/readyclass.min.css?ver=2.9.24" TargetMode="External"/><Relationship Id="rId1180" Type="http://schemas.openxmlformats.org/officeDocument/2006/relationships/hyperlink" Target="https://salesxceleration.com/advisors/t-m-dickinson/" TargetMode="External"/><Relationship Id="rId1181" Type="http://schemas.openxmlformats.org/officeDocument/2006/relationships/hyperlink" Target="https://salesxceleration.com/advisors/t-m-dickinson/" TargetMode="External"/><Relationship Id="rId1182" Type="http://schemas.openxmlformats.org/officeDocument/2006/relationships/hyperlink" Target="https://salesxceleration.com/advisors/t-m-dickinson/" TargetMode="External"/><Relationship Id="rId1183" Type="http://schemas.openxmlformats.org/officeDocument/2006/relationships/hyperlink" Target="https://salesxceleration.com/wp-content/plugins/gravityforms/js/jquery.maskedinput.min.js?ver=2.9.24" TargetMode="External"/><Relationship Id="rId1184" Type="http://schemas.openxmlformats.org/officeDocument/2006/relationships/hyperlink" Target="https://salesxceleration.com/wp-content/plugins/gravityforms/js/jquery.maskedinput.min.js?ver=2.9.24" TargetMode="External"/><Relationship Id="rId1185" Type="http://schemas.openxmlformats.org/officeDocument/2006/relationships/hyperlink" Target="https://salesxceleration.com/wp-content/plugins/gravityforms/legacy/css/formsmain.min.css?ver=2.9.24" TargetMode="External"/><Relationship Id="rId1186" Type="http://schemas.openxmlformats.org/officeDocument/2006/relationships/hyperlink" Target="https://salesxceleration.com/wp-content/plugins/gravityforms/legacy/css/formsmain.min.css?ver=2.9.24" TargetMode="External"/><Relationship Id="rId1187" Type="http://schemas.openxmlformats.org/officeDocument/2006/relationships/hyperlink" Target="https://salesxceleration.com/wp-content/plugins/gravityforms/legacy/css/browsers.min.css?ver=2.9.24" TargetMode="External"/><Relationship Id="rId1188" Type="http://schemas.openxmlformats.org/officeDocument/2006/relationships/hyperlink" Target="https://salesxceleration.com/wp-content/plugins/gravityforms/legacy/css/browsers.min.css?ver=2.9.24" TargetMode="External"/><Relationship Id="rId1189" Type="http://schemas.openxmlformats.org/officeDocument/2006/relationships/hyperlink" Target="https://salesxceleration.com/wp-content/uploads/elementor/css/post-56386.css?ver=1768846886" TargetMode="External"/><Relationship Id="rId1136" Type="http://schemas.openxmlformats.org/officeDocument/2006/relationships/hyperlink" Target="https://salesxceleration.com/wp-content/uploads/2024/01/Nolley_Dean-225x225.jpg" TargetMode="External"/><Relationship Id="rId2467" Type="http://schemas.openxmlformats.org/officeDocument/2006/relationships/hyperlink" Target="https://salesxceleration.com/wp-content/themes/salesxceleratione/assets/css/style.css?ver=1769123344" TargetMode="External"/><Relationship Id="rId3799" Type="http://schemas.openxmlformats.org/officeDocument/2006/relationships/hyperlink" Target="https://salesxceleration.com/dos-donts-making-right-sales-job-offer-right-candidate/" TargetMode="External"/><Relationship Id="rId1137" Type="http://schemas.openxmlformats.org/officeDocument/2006/relationships/hyperlink" Target="https://salesxceleration.com/wp-content/uploads/2025/04/Schradle_Lindsey-225x225.jpg" TargetMode="External"/><Relationship Id="rId2468" Type="http://schemas.openxmlformats.org/officeDocument/2006/relationships/hyperlink" Target="https://salesxceleration.com/wp-content/uploads/2025/12/Improving-Your-Sales-Recruitment-and-Hiring-Process-200x300.jpg" TargetMode="External"/><Relationship Id="rId3798" Type="http://schemas.openxmlformats.org/officeDocument/2006/relationships/hyperlink" Target="https://salesxceleration.com/dos-donts-making-right-sales-job-offer-right-candidate/" TargetMode="External"/><Relationship Id="rId1138" Type="http://schemas.openxmlformats.org/officeDocument/2006/relationships/hyperlink" Target="https://salesxceleration.com/wp-content/uploads/2025/04/Schradle_Lindsey-225x225.jpg" TargetMode="External"/><Relationship Id="rId2469" Type="http://schemas.openxmlformats.org/officeDocument/2006/relationships/hyperlink" Target="https://salesxceleration.com/wp-content/uploads/2025/12/Improving-Your-Sales-Recruitment-and-Hiring-Process-200x300.jpg" TargetMode="External"/><Relationship Id="rId1139" Type="http://schemas.openxmlformats.org/officeDocument/2006/relationships/hyperlink" Target="https://salesxceleration.com/wp-content/uploads/2022/04/Reiff-Duane-275x275-1-225x225.jpg" TargetMode="External"/><Relationship Id="rId3791" Type="http://schemas.openxmlformats.org/officeDocument/2006/relationships/hyperlink" Target="https://salesxceleration.com/how-to-use-onboarding-to-boost-sales-success/" TargetMode="External"/><Relationship Id="rId2460" Type="http://schemas.openxmlformats.org/officeDocument/2006/relationships/hyperlink" Target="https://salesxceleration.com/category/hiring-onboarding/page/3/" TargetMode="External"/><Relationship Id="rId3790" Type="http://schemas.openxmlformats.org/officeDocument/2006/relationships/hyperlink" Target="https://salesxceleration.com/wp-content/uploads/2015/12/Sales-Call-Featured--2048x2048.jpeg" TargetMode="External"/><Relationship Id="rId1130" Type="http://schemas.openxmlformats.org/officeDocument/2006/relationships/hyperlink" Target="https://salesxceleration.com/wp-content/uploads/2022/04/Watson-Tony-225x225.jpg" TargetMode="External"/><Relationship Id="rId2461" Type="http://schemas.openxmlformats.org/officeDocument/2006/relationships/hyperlink" Target="https://salesxceleration.com/category/hiring-onboarding/page/4/" TargetMode="External"/><Relationship Id="rId3793" Type="http://schemas.openxmlformats.org/officeDocument/2006/relationships/hyperlink" Target="https://salesxceleration.com/how-to-use-onboarding-to-boost-sales-success/" TargetMode="External"/><Relationship Id="rId1131" Type="http://schemas.openxmlformats.org/officeDocument/2006/relationships/hyperlink" Target="https://salesxceleration.com/wp-content/uploads/2025/10/Percy_Mel-225x225.jpg" TargetMode="External"/><Relationship Id="rId2462" Type="http://schemas.openxmlformats.org/officeDocument/2006/relationships/hyperlink" Target="https://salesxceleration.com/wp-content/uploads/2025/11/hire-outside-of-industry-1030x579-1-1024x576-1-300x169.jpg" TargetMode="External"/><Relationship Id="rId3792" Type="http://schemas.openxmlformats.org/officeDocument/2006/relationships/hyperlink" Target="https://salesxceleration.com/how-to-use-onboarding-to-boost-sales-success/" TargetMode="External"/><Relationship Id="rId1132" Type="http://schemas.openxmlformats.org/officeDocument/2006/relationships/hyperlink" Target="https://salesxceleration.com/wp-content/uploads/2025/10/Percy_Mel-225x225.jpg" TargetMode="External"/><Relationship Id="rId2463" Type="http://schemas.openxmlformats.org/officeDocument/2006/relationships/hyperlink" Target="https://salesxceleration.com/wp-content/uploads/2025/11/hire-outside-of-industry-1030x579-1-1024x576-1-300x169.jpg" TargetMode="External"/><Relationship Id="rId3795" Type="http://schemas.openxmlformats.org/officeDocument/2006/relationships/hyperlink" Target="https://salesxceleration.com/wp-content/themes/salesxceleratione/assets/css/style.css?ver=1769123511" TargetMode="External"/><Relationship Id="rId1133" Type="http://schemas.openxmlformats.org/officeDocument/2006/relationships/hyperlink" Target="https://salesxceleration.com/wp-content/uploads/2022/04/Strouse-David-275x275-1-225x225.jpg" TargetMode="External"/><Relationship Id="rId2464" Type="http://schemas.openxmlformats.org/officeDocument/2006/relationships/hyperlink" Target="https://salesxceleration.com/wp-content/uploads/2025/11/Hiring-Trends-Forecast-for-2025-1024x576-1-300x169.jpg" TargetMode="External"/><Relationship Id="rId3794" Type="http://schemas.openxmlformats.org/officeDocument/2006/relationships/hyperlink" Target="https://salesxceleration.com/wp-content/themes/salesxceleratione/assets/css/style.css?ver=1769123511" TargetMode="External"/><Relationship Id="rId1134" Type="http://schemas.openxmlformats.org/officeDocument/2006/relationships/hyperlink" Target="https://salesxceleration.com/wp-content/uploads/2022/04/Strouse-David-275x275-1-225x225.jpg" TargetMode="External"/><Relationship Id="rId2465" Type="http://schemas.openxmlformats.org/officeDocument/2006/relationships/hyperlink" Target="https://salesxceleration.com/wp-content/uploads/2025/11/Hiring-Trends-Forecast-for-2025-1024x576-1-300x169.jpg" TargetMode="External"/><Relationship Id="rId3797" Type="http://schemas.openxmlformats.org/officeDocument/2006/relationships/hyperlink" Target="https://salesxceleration.com/wp-content/uploads/2014/05/Consulting-Ease-Into-Retirement.jpg" TargetMode="External"/><Relationship Id="rId1135" Type="http://schemas.openxmlformats.org/officeDocument/2006/relationships/hyperlink" Target="https://salesxceleration.com/wp-content/uploads/2024/01/Nolley_Dean-225x225.jpg" TargetMode="External"/><Relationship Id="rId2466" Type="http://schemas.openxmlformats.org/officeDocument/2006/relationships/hyperlink" Target="https://salesxceleration.com/wp-content/themes/salesxceleratione/assets/css/style.css?ver=1769123344" TargetMode="External"/><Relationship Id="rId3796" Type="http://schemas.openxmlformats.org/officeDocument/2006/relationships/hyperlink" Target="https://salesxceleration.com/wp-content/uploads/2014/05/Consulting-Ease-Into-Retirement.jpg" TargetMode="External"/><Relationship Id="rId1125" Type="http://schemas.openxmlformats.org/officeDocument/2006/relationships/hyperlink" Target="https://salesxceleration.com/wp-content/uploads/2026/01/Brian-Dolan-225x225.jpeg" TargetMode="External"/><Relationship Id="rId2456" Type="http://schemas.openxmlformats.org/officeDocument/2006/relationships/hyperlink" Target="https://salesxceleration.com/category/hiring-onboarding/page/2/" TargetMode="External"/><Relationship Id="rId3788" Type="http://schemas.openxmlformats.org/officeDocument/2006/relationships/hyperlink" Target="https://salesxceleration.com/is-your-sales-manager-still-selling-big-mistake-heres-why/" TargetMode="External"/><Relationship Id="rId1126" Type="http://schemas.openxmlformats.org/officeDocument/2006/relationships/hyperlink" Target="https://salesxceleration.com/wp-content/uploads/2026/01/Brian-Dolan-225x225.jpeg" TargetMode="External"/><Relationship Id="rId2457" Type="http://schemas.openxmlformats.org/officeDocument/2006/relationships/hyperlink" Target="https://salesxceleration.com/category/hiring-onboarding/page/4/" TargetMode="External"/><Relationship Id="rId3787" Type="http://schemas.openxmlformats.org/officeDocument/2006/relationships/hyperlink" Target="https://salesxceleration.com/is-your-sales-manager-still-selling-big-mistake-heres-why/" TargetMode="External"/><Relationship Id="rId1127" Type="http://schemas.openxmlformats.org/officeDocument/2006/relationships/hyperlink" Target="https://salesxceleration.com/wp-content/uploads/2017/01/Landrum_Steve-225x225.jpg" TargetMode="External"/><Relationship Id="rId2458" Type="http://schemas.openxmlformats.org/officeDocument/2006/relationships/hyperlink" Target="https://salesxceleration.com/category/hiring-onboarding/page/4/" TargetMode="External"/><Relationship Id="rId1128" Type="http://schemas.openxmlformats.org/officeDocument/2006/relationships/hyperlink" Target="https://salesxceleration.com/wp-content/uploads/2017/01/Landrum_Steve-225x225.jpg" TargetMode="External"/><Relationship Id="rId2459" Type="http://schemas.openxmlformats.org/officeDocument/2006/relationships/hyperlink" Target="https://salesxceleration.com/category/hiring-onboarding/page/5/" TargetMode="External"/><Relationship Id="rId3789" Type="http://schemas.openxmlformats.org/officeDocument/2006/relationships/hyperlink" Target="https://salesxceleration.com/wp-content/uploads/2015/12/Sales-Call-Featured--2048x2048.jpeg" TargetMode="External"/><Relationship Id="rId1129" Type="http://schemas.openxmlformats.org/officeDocument/2006/relationships/hyperlink" Target="https://salesxceleration.com/wp-content/uploads/2022/04/Watson-Tony-225x225.jpg" TargetMode="External"/><Relationship Id="rId3780" Type="http://schemas.openxmlformats.org/officeDocument/2006/relationships/hyperlink" Target="https://salesxceleration.com/wp-content/uploads/2015/03/hire-salespeople-keep-them-sales-xcleration-2048x2048.png" TargetMode="External"/><Relationship Id="rId2450" Type="http://schemas.openxmlformats.org/officeDocument/2006/relationships/hyperlink" Target="https://salesxceleration.com/wp-content/uploads/2025/11/Remote-Sales-Teams-1024x683-1-300x200.jpg" TargetMode="External"/><Relationship Id="rId3782" Type="http://schemas.openxmlformats.org/officeDocument/2006/relationships/hyperlink" Target="https://salesxceleration.com/hire-great-salespeople-retain-them/" TargetMode="External"/><Relationship Id="rId1120" Type="http://schemas.openxmlformats.org/officeDocument/2006/relationships/hyperlink" Target="https://salesxceleration.com/wp-content/uploads/2022/04/Allen-Lee-225x225.jpg" TargetMode="External"/><Relationship Id="rId2451" Type="http://schemas.openxmlformats.org/officeDocument/2006/relationships/hyperlink" Target="https://salesxceleration.com/wp-content/uploads/2025/11/Remote-Sales-Teams-1024x683-1-300x200.jpg" TargetMode="External"/><Relationship Id="rId3781" Type="http://schemas.openxmlformats.org/officeDocument/2006/relationships/hyperlink" Target="https://salesxceleration.com/hire-great-salespeople-retain-them/" TargetMode="External"/><Relationship Id="rId1121" Type="http://schemas.openxmlformats.org/officeDocument/2006/relationships/hyperlink" Target="https://salesxceleration.com/wp-content/uploads/2022/04/Tappan-Scott-275x275-1-225x225.jpg" TargetMode="External"/><Relationship Id="rId2452" Type="http://schemas.openxmlformats.org/officeDocument/2006/relationships/hyperlink" Target="https://salesxceleration.com/category/hiring-onboarding/page/2/" TargetMode="External"/><Relationship Id="rId3784" Type="http://schemas.openxmlformats.org/officeDocument/2006/relationships/hyperlink" Target="https://salesxceleration.com/wp-content/uploads/2014/11/one-two-punch-2048x2048.png" TargetMode="External"/><Relationship Id="rId1122" Type="http://schemas.openxmlformats.org/officeDocument/2006/relationships/hyperlink" Target="https://salesxceleration.com/wp-content/uploads/2022/04/Tappan-Scott-275x275-1-225x225.jpg" TargetMode="External"/><Relationship Id="rId2453" Type="http://schemas.openxmlformats.org/officeDocument/2006/relationships/hyperlink" Target="https://salesxceleration.com/category/hiring-onboarding/page/2/" TargetMode="External"/><Relationship Id="rId3783" Type="http://schemas.openxmlformats.org/officeDocument/2006/relationships/hyperlink" Target="https://salesxceleration.com/hire-great-salespeople-retain-them/" TargetMode="External"/><Relationship Id="rId1123" Type="http://schemas.openxmlformats.org/officeDocument/2006/relationships/hyperlink" Target="https://salesxceleration.com/wp-content/uploads/2024/06/Hirsh-John-225x225.jpg" TargetMode="External"/><Relationship Id="rId2454" Type="http://schemas.openxmlformats.org/officeDocument/2006/relationships/hyperlink" Target="https://salesxceleration.com/category/hiring-onboarding/page/3/" TargetMode="External"/><Relationship Id="rId3786" Type="http://schemas.openxmlformats.org/officeDocument/2006/relationships/hyperlink" Target="https://salesxceleration.com/is-your-sales-manager-still-selling-big-mistake-heres-why/" TargetMode="External"/><Relationship Id="rId1124" Type="http://schemas.openxmlformats.org/officeDocument/2006/relationships/hyperlink" Target="https://salesxceleration.com/wp-content/uploads/2024/06/Hirsh-John-225x225.jpg" TargetMode="External"/><Relationship Id="rId2455" Type="http://schemas.openxmlformats.org/officeDocument/2006/relationships/hyperlink" Target="https://salesxceleration.com/category/hiring-onboarding/" TargetMode="External"/><Relationship Id="rId3785" Type="http://schemas.openxmlformats.org/officeDocument/2006/relationships/hyperlink" Target="https://salesxceleration.com/wp-content/uploads/2014/11/one-two-punch-2048x2048.png" TargetMode="External"/><Relationship Id="rId1158" Type="http://schemas.openxmlformats.org/officeDocument/2006/relationships/hyperlink" Target="https://salesxceleration.com/wp-content/uploads/2022/04/Parodi-Enrico-225x225.jpg" TargetMode="External"/><Relationship Id="rId2489" Type="http://schemas.openxmlformats.org/officeDocument/2006/relationships/hyperlink" Target="https://salesxceleration.com/wp-content/uploads/2025/11/Skills-Based-Hiring-300x200.jpg" TargetMode="External"/><Relationship Id="rId1159" Type="http://schemas.openxmlformats.org/officeDocument/2006/relationships/hyperlink" Target="https://salesxceleration.com/wp-content/uploads/2024/10/Carrel_Charles-225x225.jpg" TargetMode="External"/><Relationship Id="rId2480" Type="http://schemas.openxmlformats.org/officeDocument/2006/relationships/hyperlink" Target="https://salesxceleration.com/the-surprising-data-behind-sales-team-effectiveness/" TargetMode="External"/><Relationship Id="rId1150" Type="http://schemas.openxmlformats.org/officeDocument/2006/relationships/hyperlink" Target="https://salesxceleration.com/wp-content/uploads/2022/04/Jenn-Patrick-275x275-1-225x225.jpg" TargetMode="External"/><Relationship Id="rId2481" Type="http://schemas.openxmlformats.org/officeDocument/2006/relationships/hyperlink" Target="https://salesxceleration.com/the-surprising-data-behind-sales-team-effectiveness/" TargetMode="External"/><Relationship Id="rId1151" Type="http://schemas.openxmlformats.org/officeDocument/2006/relationships/hyperlink" Target="https://salesxceleration.com/wp-content/uploads/2017/01/ODonnell_Patrick-225x225.jpg" TargetMode="External"/><Relationship Id="rId2482" Type="http://schemas.openxmlformats.org/officeDocument/2006/relationships/hyperlink" Target="https://salesxceleration.com/the-surprising-data-behind-sales-team-effectiveness/" TargetMode="External"/><Relationship Id="rId1152" Type="http://schemas.openxmlformats.org/officeDocument/2006/relationships/hyperlink" Target="https://salesxceleration.com/wp-content/uploads/2017/01/ODonnell_Patrick-225x225.jpg" TargetMode="External"/><Relationship Id="rId2483" Type="http://schemas.openxmlformats.org/officeDocument/2006/relationships/hyperlink" Target="https://salesxceleration.com/how-firing-your-top-salesperson-might-fire-up-overall-sales-performance/" TargetMode="External"/><Relationship Id="rId1153" Type="http://schemas.openxmlformats.org/officeDocument/2006/relationships/hyperlink" Target="https://salesxceleration.com/wp-content/uploads/2017/01/Steyn_Daniel-225x225.jpg" TargetMode="External"/><Relationship Id="rId2484" Type="http://schemas.openxmlformats.org/officeDocument/2006/relationships/hyperlink" Target="https://salesxceleration.com/how-firing-your-top-salesperson-might-fire-up-overall-sales-performance/" TargetMode="External"/><Relationship Id="rId1154" Type="http://schemas.openxmlformats.org/officeDocument/2006/relationships/hyperlink" Target="https://salesxceleration.com/wp-content/uploads/2017/01/Steyn_Daniel-225x225.jpg" TargetMode="External"/><Relationship Id="rId2485" Type="http://schemas.openxmlformats.org/officeDocument/2006/relationships/hyperlink" Target="https://salesxceleration.com/how-firing-your-top-salesperson-might-fire-up-overall-sales-performance/" TargetMode="External"/><Relationship Id="rId1155" Type="http://schemas.openxmlformats.org/officeDocument/2006/relationships/hyperlink" Target="https://salesxceleration.com/wp-content/uploads/2022/09/Gallo-Justin-225x225.jpeg" TargetMode="External"/><Relationship Id="rId2486" Type="http://schemas.openxmlformats.org/officeDocument/2006/relationships/hyperlink" Target="https://salesxceleration.com/wp-content/uploads/2025/11/Hiring-Sales-Talent-in-a-Slow-Economy-1024x683-1-300x200.jpg" TargetMode="External"/><Relationship Id="rId1156" Type="http://schemas.openxmlformats.org/officeDocument/2006/relationships/hyperlink" Target="https://salesxceleration.com/wp-content/uploads/2022/09/Gallo-Justin-225x225.jpeg" TargetMode="External"/><Relationship Id="rId2487" Type="http://schemas.openxmlformats.org/officeDocument/2006/relationships/hyperlink" Target="https://salesxceleration.com/wp-content/uploads/2025/11/Hiring-Sales-Talent-in-a-Slow-Economy-1024x683-1-300x200.jpg" TargetMode="External"/><Relationship Id="rId1157" Type="http://schemas.openxmlformats.org/officeDocument/2006/relationships/hyperlink" Target="https://salesxceleration.com/wp-content/uploads/2022/04/Parodi-Enrico-225x225.jpg" TargetMode="External"/><Relationship Id="rId2488" Type="http://schemas.openxmlformats.org/officeDocument/2006/relationships/hyperlink" Target="https://salesxceleration.com/wp-content/uploads/2025/11/Skills-Based-Hiring-300x200.jpg" TargetMode="External"/><Relationship Id="rId1147" Type="http://schemas.openxmlformats.org/officeDocument/2006/relationships/hyperlink" Target="https://salesxceleration.com/wp-content/uploads/2024/06/Dillon-Mike-225x225.jpg" TargetMode="External"/><Relationship Id="rId2478" Type="http://schemas.openxmlformats.org/officeDocument/2006/relationships/hyperlink" Target="https://salesxceleration.com/talent-acquisition-trends-for-small-to-mid-sized-businesses/" TargetMode="External"/><Relationship Id="rId1148" Type="http://schemas.openxmlformats.org/officeDocument/2006/relationships/hyperlink" Target="https://salesxceleration.com/wp-content/uploads/2024/06/Dillon-Mike-225x225.jpg" TargetMode="External"/><Relationship Id="rId2479" Type="http://schemas.openxmlformats.org/officeDocument/2006/relationships/hyperlink" Target="https://salesxceleration.com/talent-acquisition-trends-for-small-to-mid-sized-businesses/" TargetMode="External"/><Relationship Id="rId1149" Type="http://schemas.openxmlformats.org/officeDocument/2006/relationships/hyperlink" Target="https://salesxceleration.com/wp-content/uploads/2022/04/Jenn-Patrick-275x275-1-225x225.jpg" TargetMode="External"/><Relationship Id="rId2470" Type="http://schemas.openxmlformats.org/officeDocument/2006/relationships/hyperlink" Target="https://salesxceleration.com/hiring-a-salesperson-consider-recruiting-outside-your-industry/" TargetMode="External"/><Relationship Id="rId1140" Type="http://schemas.openxmlformats.org/officeDocument/2006/relationships/hyperlink" Target="https://salesxceleration.com/wp-content/uploads/2022/04/Reiff-Duane-275x275-1-225x225.jpg" TargetMode="External"/><Relationship Id="rId2471" Type="http://schemas.openxmlformats.org/officeDocument/2006/relationships/hyperlink" Target="https://salesxceleration.com/hiring-a-salesperson-consider-recruiting-outside-your-industry/" TargetMode="External"/><Relationship Id="rId1141" Type="http://schemas.openxmlformats.org/officeDocument/2006/relationships/hyperlink" Target="https://salesxceleration.com/wp-content/uploads/2022/04/Phil-225x225.jpg" TargetMode="External"/><Relationship Id="rId2472" Type="http://schemas.openxmlformats.org/officeDocument/2006/relationships/hyperlink" Target="https://salesxceleration.com/hiring-a-salesperson-consider-recruiting-outside-your-industry/" TargetMode="External"/><Relationship Id="rId1142" Type="http://schemas.openxmlformats.org/officeDocument/2006/relationships/hyperlink" Target="https://salesxceleration.com/wp-content/uploads/2022/04/Phil-225x225.jpg" TargetMode="External"/><Relationship Id="rId2473" Type="http://schemas.openxmlformats.org/officeDocument/2006/relationships/hyperlink" Target="https://salesxceleration.com/category/sales-recruiting/page/2/" TargetMode="External"/><Relationship Id="rId1143" Type="http://schemas.openxmlformats.org/officeDocument/2006/relationships/hyperlink" Target="https://salesxceleration.com/wp-content/uploads/2017/01/Tourville_Susan-225x225.jpg" TargetMode="External"/><Relationship Id="rId2474" Type="http://schemas.openxmlformats.org/officeDocument/2006/relationships/hyperlink" Target="https://salesxceleration.com/category/sales-recruiting/page/2/" TargetMode="External"/><Relationship Id="rId1144" Type="http://schemas.openxmlformats.org/officeDocument/2006/relationships/hyperlink" Target="https://salesxceleration.com/wp-content/uploads/2017/01/Tourville_Susan-225x225.jpg" TargetMode="External"/><Relationship Id="rId2475" Type="http://schemas.openxmlformats.org/officeDocument/2006/relationships/hyperlink" Target="https://salesxceleration.com/category/sales-recruiting/" TargetMode="External"/><Relationship Id="rId1145" Type="http://schemas.openxmlformats.org/officeDocument/2006/relationships/hyperlink" Target="https://salesxceleration.com/wp-content/uploads/elementor/css/post-19673.css?ver=1768846363" TargetMode="External"/><Relationship Id="rId2476" Type="http://schemas.openxmlformats.org/officeDocument/2006/relationships/hyperlink" Target="https://salesxceleration.com/category/sales-recruiting/page/2/" TargetMode="External"/><Relationship Id="rId1146" Type="http://schemas.openxmlformats.org/officeDocument/2006/relationships/hyperlink" Target="https://salesxceleration.com/wp-content/uploads/elementor/css/post-19673.css?ver=1768846363" TargetMode="External"/><Relationship Id="rId2477" Type="http://schemas.openxmlformats.org/officeDocument/2006/relationships/hyperlink" Target="https://salesxceleration.com/talent-acquisition-trends-for-small-to-mid-sized-businesses/" TargetMode="External"/><Relationship Id="rId6009" Type="http://schemas.openxmlformats.org/officeDocument/2006/relationships/hyperlink" Target="https://salesxceleration.com/wp-content/uploads/elementor/css/post-25469.css?ver=1768881743" TargetMode="External"/><Relationship Id="rId6000" Type="http://schemas.openxmlformats.org/officeDocument/2006/relationships/hyperlink" Target="https://salesxceleration.com/wp-content/themes/salesxceleratione/assets/css/style.css?ver=1769123730" TargetMode="External"/><Relationship Id="rId6003" Type="http://schemas.openxmlformats.org/officeDocument/2006/relationships/hyperlink" Target="https://salesxceleration.com/books/4th-edition-2022-state-of-sales/" TargetMode="External"/><Relationship Id="rId6004" Type="http://schemas.openxmlformats.org/officeDocument/2006/relationships/hyperlink" Target="https://salesxceleration.com/books/5th-edition-2023-state-of-sales" TargetMode="External"/><Relationship Id="rId6001" Type="http://schemas.openxmlformats.org/officeDocument/2006/relationships/hyperlink" Target="https://salesxceleration.com/wp-content/uploads/2023/02/Enhance-Sales-Performance.jpg" TargetMode="External"/><Relationship Id="rId6002" Type="http://schemas.openxmlformats.org/officeDocument/2006/relationships/hyperlink" Target="https://salesxceleration.com/wp-content/uploads/2023/02/Enhance-Sales-Performance.jpg" TargetMode="External"/><Relationship Id="rId6007" Type="http://schemas.openxmlformats.org/officeDocument/2006/relationships/hyperlink" Target="https://salesxceleration.com/free-sales-resources/" TargetMode="External"/><Relationship Id="rId6008" Type="http://schemas.openxmlformats.org/officeDocument/2006/relationships/hyperlink" Target="https://salesxceleration.com/sales-tools/" TargetMode="External"/><Relationship Id="rId6005" Type="http://schemas.openxmlformats.org/officeDocument/2006/relationships/hyperlink" Target="https://salesxceleration.com/books/4th-edition-2022-state-of-sales/" TargetMode="External"/><Relationship Id="rId6006" Type="http://schemas.openxmlformats.org/officeDocument/2006/relationships/hyperlink" Target="https://salesxceleration.com/sales-tools/" TargetMode="External"/><Relationship Id="rId6061" Type="http://schemas.openxmlformats.org/officeDocument/2006/relationships/hyperlink" Target="https://salesxceleration.com/wp-content/uploads/2017/08/mwblog-300x169.jpg" TargetMode="External"/><Relationship Id="rId6062" Type="http://schemas.openxmlformats.org/officeDocument/2006/relationships/hyperlink" Target="https://salesxceleration.com/wp-content/uploads/2017/08/mwblog-300x169.jpg" TargetMode="External"/><Relationship Id="rId6060" Type="http://schemas.openxmlformats.org/officeDocument/2006/relationships/hyperlink" Target="https://salesxceleration.com/stop-proposal-factory-2/" TargetMode="External"/><Relationship Id="rId6065" Type="http://schemas.openxmlformats.org/officeDocument/2006/relationships/hyperlink" Target="https://salesxceleration.com/create-sales-plan-sets-sales-pros-success/" TargetMode="External"/><Relationship Id="rId6066" Type="http://schemas.openxmlformats.org/officeDocument/2006/relationships/hyperlink" Target="https://salesxceleration.com/create-sales-plan-sets-sales-pros-success/" TargetMode="External"/><Relationship Id="rId6063" Type="http://schemas.openxmlformats.org/officeDocument/2006/relationships/hyperlink" Target="https://salesxceleration.com/wp-content/uploads/2022/02/Businessmen-Shaking-Hands-300x200.jpg" TargetMode="External"/><Relationship Id="rId6064" Type="http://schemas.openxmlformats.org/officeDocument/2006/relationships/hyperlink" Target="https://salesxceleration.com/wp-content/uploads/2022/02/Businessmen-Shaking-Hands-300x200.jpg" TargetMode="External"/><Relationship Id="rId6069" Type="http://schemas.openxmlformats.org/officeDocument/2006/relationships/hyperlink" Target="https://salesxceleration.com/rewind-sales-organization-fast-forward-sales-performance/" TargetMode="External"/><Relationship Id="rId6067" Type="http://schemas.openxmlformats.org/officeDocument/2006/relationships/hyperlink" Target="https://salesxceleration.com/create-sales-plan-sets-sales-pros-success/" TargetMode="External"/><Relationship Id="rId6068" Type="http://schemas.openxmlformats.org/officeDocument/2006/relationships/hyperlink" Target="https://salesxceleration.com/rewind-sales-organization-fast-forward-sales-performance/" TargetMode="External"/><Relationship Id="rId6050" Type="http://schemas.openxmlformats.org/officeDocument/2006/relationships/hyperlink" Target="https://salesxceleration.com/?download=27866" TargetMode="External"/><Relationship Id="rId6051" Type="http://schemas.openxmlformats.org/officeDocument/2006/relationships/hyperlink" Target="https://salesxceleration.com/no-access/download-id/27866/" TargetMode="External"/><Relationship Id="rId6054" Type="http://schemas.openxmlformats.org/officeDocument/2006/relationships/hyperlink" Target="https://salesxceleration.com/wp-content/uploads/2017/02/Tall-Businessman-Featured-300x150.jpg" TargetMode="External"/><Relationship Id="rId6055" Type="http://schemas.openxmlformats.org/officeDocument/2006/relationships/hyperlink" Target="https://salesxceleration.com/train-brain-close-sale/" TargetMode="External"/><Relationship Id="rId6052" Type="http://schemas.openxmlformats.org/officeDocument/2006/relationships/hyperlink" Target="https://salesxceleration.com/?download=27866" TargetMode="External"/><Relationship Id="rId6053" Type="http://schemas.openxmlformats.org/officeDocument/2006/relationships/hyperlink" Target="https://salesxceleration.com/wp-content/uploads/2017/02/Tall-Businessman-Featured-300x150.jpg" TargetMode="External"/><Relationship Id="rId6058" Type="http://schemas.openxmlformats.org/officeDocument/2006/relationships/hyperlink" Target="https://salesxceleration.com/stop-proposal-factory-2/" TargetMode="External"/><Relationship Id="rId6059" Type="http://schemas.openxmlformats.org/officeDocument/2006/relationships/hyperlink" Target="https://salesxceleration.com/stop-proposal-factory-2/" TargetMode="External"/><Relationship Id="rId6056" Type="http://schemas.openxmlformats.org/officeDocument/2006/relationships/hyperlink" Target="https://salesxceleration.com/train-brain-close-sale/" TargetMode="External"/><Relationship Id="rId6057" Type="http://schemas.openxmlformats.org/officeDocument/2006/relationships/hyperlink" Target="https://salesxceleration.com/train-brain-close-sale/" TargetMode="External"/><Relationship Id="rId3810" Type="http://schemas.openxmlformats.org/officeDocument/2006/relationships/hyperlink" Target="https://salesxceleration.com/one-two-punch-consulting-success-strategic-partnerships-plus-word-mouth/" TargetMode="External"/><Relationship Id="rId3812" Type="http://schemas.openxmlformats.org/officeDocument/2006/relationships/hyperlink" Target="https://salesxceleration.com/wp-content/uploads/2014/01/Job-candidate-search.jpg" TargetMode="External"/><Relationship Id="rId3811" Type="http://schemas.openxmlformats.org/officeDocument/2006/relationships/hyperlink" Target="https://salesxceleration.com/wp-content/uploads/2014/01/Job-candidate-search.jpg" TargetMode="External"/><Relationship Id="rId3814" Type="http://schemas.openxmlformats.org/officeDocument/2006/relationships/hyperlink" Target="https://salesxceleration.com/wp-content/uploads/2014/01/Write-better-advertisements.jpg" TargetMode="External"/><Relationship Id="rId3813" Type="http://schemas.openxmlformats.org/officeDocument/2006/relationships/hyperlink" Target="https://salesxceleration.com/wp-content/uploads/2014/01/Write-better-advertisements.jpg" TargetMode="External"/><Relationship Id="rId3816" Type="http://schemas.openxmlformats.org/officeDocument/2006/relationships/hyperlink" Target="https://salesxceleration.com/in-case-they-ask-and-they-will/" TargetMode="External"/><Relationship Id="rId3815" Type="http://schemas.openxmlformats.org/officeDocument/2006/relationships/hyperlink" Target="https://salesxceleration.com/in-case-they-ask-and-they-will/" TargetMode="External"/><Relationship Id="rId3818" Type="http://schemas.openxmlformats.org/officeDocument/2006/relationships/hyperlink" Target="https://salesxceleration.com/networking-is-worthless-netweaving-is-priceless/" TargetMode="External"/><Relationship Id="rId3817" Type="http://schemas.openxmlformats.org/officeDocument/2006/relationships/hyperlink" Target="https://salesxceleration.com/in-case-they-ask-and-they-will/" TargetMode="External"/><Relationship Id="rId3819" Type="http://schemas.openxmlformats.org/officeDocument/2006/relationships/hyperlink" Target="https://salesxceleration.com/networking-is-worthless-netweaving-is-priceless/" TargetMode="External"/><Relationship Id="rId6090" Type="http://schemas.openxmlformats.org/officeDocument/2006/relationships/hyperlink" Target="https://salesxceleration.com/if-6-feet-tall/" TargetMode="External"/><Relationship Id="rId6091" Type="http://schemas.openxmlformats.org/officeDocument/2006/relationships/hyperlink" Target="https://salesxceleration.com/if-6-feet-tall/" TargetMode="External"/><Relationship Id="rId6083" Type="http://schemas.openxmlformats.org/officeDocument/2006/relationships/hyperlink" Target="https://salesxceleration.com/what-is-the-impact-of-covid-19-on-your-sales-process/" TargetMode="External"/><Relationship Id="rId6084" Type="http://schemas.openxmlformats.org/officeDocument/2006/relationships/hyperlink" Target="https://salesxceleration.com/what-is-the-impact-of-covid-19-on-your-sales-process/" TargetMode="External"/><Relationship Id="rId6081" Type="http://schemas.openxmlformats.org/officeDocument/2006/relationships/hyperlink" Target="https://salesxceleration.com/wp-content/uploads/2017/03/TheValueFactory-300x169.jpg" TargetMode="External"/><Relationship Id="rId6082" Type="http://schemas.openxmlformats.org/officeDocument/2006/relationships/hyperlink" Target="https://salesxceleration.com/wp-content/uploads/2017/03/TheValueFactory-300x169.jpg" TargetMode="External"/><Relationship Id="rId6087" Type="http://schemas.openxmlformats.org/officeDocument/2006/relationships/hyperlink" Target="https://salesxceleration.com/wp-content/uploads/2019/10/thumb-recruiting-cs-768x439.jpg" TargetMode="External"/><Relationship Id="rId6088" Type="http://schemas.openxmlformats.org/officeDocument/2006/relationships/hyperlink" Target="https://salesxceleration.com/wp-content/uploads/2017/10/rewind-1-300x162.jpg" TargetMode="External"/><Relationship Id="rId6085" Type="http://schemas.openxmlformats.org/officeDocument/2006/relationships/hyperlink" Target="https://salesxceleration.com/what-is-the-impact-of-covid-19-on-your-sales-process/" TargetMode="External"/><Relationship Id="rId6086" Type="http://schemas.openxmlformats.org/officeDocument/2006/relationships/hyperlink" Target="https://salesxceleration.com/wp-content/uploads/2019/10/thumb-recruiting-cs-768x439.jpg" TargetMode="External"/><Relationship Id="rId6089" Type="http://schemas.openxmlformats.org/officeDocument/2006/relationships/hyperlink" Target="https://salesxceleration.com/wp-content/uploads/2017/10/rewind-1-300x162.jpg" TargetMode="External"/><Relationship Id="rId3801" Type="http://schemas.openxmlformats.org/officeDocument/2006/relationships/hyperlink" Target="https://salesxceleration.com/how-to-unstick-a-stalled-deal-even-if-it-means-no-deal-at-all/" TargetMode="External"/><Relationship Id="rId3800" Type="http://schemas.openxmlformats.org/officeDocument/2006/relationships/hyperlink" Target="https://salesxceleration.com/dos-donts-making-right-sales-job-offer-right-candidate/" TargetMode="External"/><Relationship Id="rId3803" Type="http://schemas.openxmlformats.org/officeDocument/2006/relationships/hyperlink" Target="https://salesxceleration.com/how-to-unstick-a-stalled-deal-even-if-it-means-no-deal-at-all/" TargetMode="External"/><Relationship Id="rId3802" Type="http://schemas.openxmlformats.org/officeDocument/2006/relationships/hyperlink" Target="https://salesxceleration.com/how-to-unstick-a-stalled-deal-even-if-it-means-no-deal-at-all/" TargetMode="External"/><Relationship Id="rId3805" Type="http://schemas.openxmlformats.org/officeDocument/2006/relationships/hyperlink" Target="https://salesxceleration.com/wp-content/uploads/2015/03/Unstick-a-stalled-deal-2048x2048.png" TargetMode="External"/><Relationship Id="rId3804" Type="http://schemas.openxmlformats.org/officeDocument/2006/relationships/hyperlink" Target="https://salesxceleration.com/wp-content/uploads/2015/03/Unstick-a-stalled-deal-2048x2048.png" TargetMode="External"/><Relationship Id="rId3807" Type="http://schemas.openxmlformats.org/officeDocument/2006/relationships/hyperlink" Target="https://salesxceleration.com/wp-content/uploads/2015/12/Sales-Networking-2048x2048.jpg" TargetMode="External"/><Relationship Id="rId3806" Type="http://schemas.openxmlformats.org/officeDocument/2006/relationships/hyperlink" Target="https://salesxceleration.com/wp-content/uploads/2015/12/Sales-Networking-2048x2048.jpg" TargetMode="External"/><Relationship Id="rId3809" Type="http://schemas.openxmlformats.org/officeDocument/2006/relationships/hyperlink" Target="https://salesxceleration.com/one-two-punch-consulting-success-strategic-partnerships-plus-word-mouth/" TargetMode="External"/><Relationship Id="rId3808" Type="http://schemas.openxmlformats.org/officeDocument/2006/relationships/hyperlink" Target="https://salesxceleration.com/one-two-punch-consulting-success-strategic-partnerships-plus-word-mouth/" TargetMode="External"/><Relationship Id="rId6080" Type="http://schemas.openxmlformats.org/officeDocument/2006/relationships/hyperlink" Target="https://salesxceleration.com/wp-content/uploads/2017/12/brainblog-300x202.jpg" TargetMode="External"/><Relationship Id="rId6072" Type="http://schemas.openxmlformats.org/officeDocument/2006/relationships/hyperlink" Target="https://salesxceleration.com/wp-content/uploads/2019/03/marketing-case-study1-768x440.jpg" TargetMode="External"/><Relationship Id="rId6073" Type="http://schemas.openxmlformats.org/officeDocument/2006/relationships/hyperlink" Target="https://salesxceleration.com/wp-content/uploads/2019/10/hvac-thumbnail-768x439.jpg" TargetMode="External"/><Relationship Id="rId6070" Type="http://schemas.openxmlformats.org/officeDocument/2006/relationships/hyperlink" Target="https://salesxceleration.com/rewind-sales-organization-fast-forward-sales-performance/" TargetMode="External"/><Relationship Id="rId6071" Type="http://schemas.openxmlformats.org/officeDocument/2006/relationships/hyperlink" Target="https://salesxceleration.com/wp-content/uploads/2019/03/marketing-case-study1-768x440.jpg" TargetMode="External"/><Relationship Id="rId6076" Type="http://schemas.openxmlformats.org/officeDocument/2006/relationships/hyperlink" Target="https://salesxceleration.com/wp-content/themes/salesxceleratione/assets/css/style.css?ver=1769123723" TargetMode="External"/><Relationship Id="rId6077" Type="http://schemas.openxmlformats.org/officeDocument/2006/relationships/hyperlink" Target="https://salesxceleration.com/wp-content/uploads/2017/07/Sales-Training-300x169.jpg" TargetMode="External"/><Relationship Id="rId6074" Type="http://schemas.openxmlformats.org/officeDocument/2006/relationships/hyperlink" Target="https://salesxceleration.com/wp-content/uploads/2019/10/hvac-thumbnail-768x439.jpg" TargetMode="External"/><Relationship Id="rId6075" Type="http://schemas.openxmlformats.org/officeDocument/2006/relationships/hyperlink" Target="https://salesxceleration.com/wp-content/themes/salesxceleratione/assets/css/style.css?ver=1769123723" TargetMode="External"/><Relationship Id="rId6078" Type="http://schemas.openxmlformats.org/officeDocument/2006/relationships/hyperlink" Target="https://salesxceleration.com/wp-content/uploads/2017/07/Sales-Training-300x169.jpg" TargetMode="External"/><Relationship Id="rId6079" Type="http://schemas.openxmlformats.org/officeDocument/2006/relationships/hyperlink" Target="https://salesxceleration.com/wp-content/uploads/2017/12/brainblog-300x202.jpg" TargetMode="External"/><Relationship Id="rId6021" Type="http://schemas.openxmlformats.org/officeDocument/2006/relationships/hyperlink" Target="https://salesxceleration.com/wp-content/uploads/2022/04/Growth-Bottled-Up.jpg" TargetMode="External"/><Relationship Id="rId6022" Type="http://schemas.openxmlformats.org/officeDocument/2006/relationships/hyperlink" Target="https://salesxceleration.com/wp-content/uploads/2022/04/Startup-Business.jpg" TargetMode="External"/><Relationship Id="rId6020" Type="http://schemas.openxmlformats.org/officeDocument/2006/relationships/hyperlink" Target="https://salesxceleration.com/wp-content/uploads/2022/04/Growth-Bottled-Up.jpg" TargetMode="External"/><Relationship Id="rId6025" Type="http://schemas.openxmlformats.org/officeDocument/2006/relationships/hyperlink" Target="https://salesxceleration.com/wp-content/themes/salesxceleratione/assets/css/style.css?ver=1769123728" TargetMode="External"/><Relationship Id="rId6026" Type="http://schemas.openxmlformats.org/officeDocument/2006/relationships/hyperlink" Target="https://salesxceleration.com/wp-content/uploads/2022/04/Screen-with-Kep-Performance-Indicators-2048x2048.jpg" TargetMode="External"/><Relationship Id="rId6023" Type="http://schemas.openxmlformats.org/officeDocument/2006/relationships/hyperlink" Target="https://salesxceleration.com/wp-content/uploads/2022/04/Startup-Business.jpg" TargetMode="External"/><Relationship Id="rId6024" Type="http://schemas.openxmlformats.org/officeDocument/2006/relationships/hyperlink" Target="https://salesxceleration.com/wp-content/themes/salesxceleratione/assets/css/style.css?ver=1769123728" TargetMode="External"/><Relationship Id="rId6029" Type="http://schemas.openxmlformats.org/officeDocument/2006/relationships/hyperlink" Target="https://salesxceleration.com/wp-content/themes/salesxceleratione/assets/css/style.css?ver=1769123727" TargetMode="External"/><Relationship Id="rId6027" Type="http://schemas.openxmlformats.org/officeDocument/2006/relationships/hyperlink" Target="https://salesxceleration.com/wp-content/uploads/2022/04/Screen-with-Kep-Performance-Indicators-2048x2048.jpg" TargetMode="External"/><Relationship Id="rId6028" Type="http://schemas.openxmlformats.org/officeDocument/2006/relationships/hyperlink" Target="https://salesxceleration.com/wp-content/themes/salesxceleratione/assets/css/style.css?ver=1769123727" TargetMode="External"/><Relationship Id="rId6010" Type="http://schemas.openxmlformats.org/officeDocument/2006/relationships/hyperlink" Target="https://salesxceleration.com/wp-content/uploads/elementor/css/post-25469.css?ver=1768881743" TargetMode="External"/><Relationship Id="rId6011" Type="http://schemas.openxmlformats.org/officeDocument/2006/relationships/hyperlink" Target="https://salesxceleration.com/wp-content/uploads/2021/06/competitive-analysis-500-2048x2048.jpg" TargetMode="External"/><Relationship Id="rId6014" Type="http://schemas.openxmlformats.org/officeDocument/2006/relationships/hyperlink" Target="https://salesxceleration.com/wp-content/themes/salesxceleratione/assets/css/style.css?ver=1769123729" TargetMode="External"/><Relationship Id="rId6015" Type="http://schemas.openxmlformats.org/officeDocument/2006/relationships/hyperlink" Target="https://salesxceleration.com/wp-content/uploads/2022/03/Competitive-Advantage.jpg" TargetMode="External"/><Relationship Id="rId6012" Type="http://schemas.openxmlformats.org/officeDocument/2006/relationships/hyperlink" Target="https://salesxceleration.com/wp-content/uploads/2021/06/competitive-analysis-500-2048x2048.jpg" TargetMode="External"/><Relationship Id="rId6013" Type="http://schemas.openxmlformats.org/officeDocument/2006/relationships/hyperlink" Target="https://salesxceleration.com/wp-content/themes/salesxceleratione/assets/css/style.css?ver=1769123729" TargetMode="External"/><Relationship Id="rId6018" Type="http://schemas.openxmlformats.org/officeDocument/2006/relationships/hyperlink" Target="https://salesxceleration.com/?download=27887" TargetMode="External"/><Relationship Id="rId6019" Type="http://schemas.openxmlformats.org/officeDocument/2006/relationships/hyperlink" Target="https://salesxceleration.com/infographics/gaining-a-competitive-advantage/" TargetMode="External"/><Relationship Id="rId6016" Type="http://schemas.openxmlformats.org/officeDocument/2006/relationships/hyperlink" Target="https://salesxceleration.com/wp-content/uploads/2022/03/Competitive-Advantage.jpg" TargetMode="External"/><Relationship Id="rId6017" Type="http://schemas.openxmlformats.org/officeDocument/2006/relationships/hyperlink" Target="https://salesxceleration.com/infographics/gaining-a-competitive-advantage/" TargetMode="External"/><Relationship Id="rId6040" Type="http://schemas.openxmlformats.org/officeDocument/2006/relationships/hyperlink" Target="https://salesxceleration.com/wp-content/uploads/2017/05/SinkOrSwimBlog-1.jpg" TargetMode="External"/><Relationship Id="rId6043" Type="http://schemas.openxmlformats.org/officeDocument/2006/relationships/hyperlink" Target="https://salesxceleration.com/author/tgardner/" TargetMode="External"/><Relationship Id="rId6044" Type="http://schemas.openxmlformats.org/officeDocument/2006/relationships/hyperlink" Target="https://salesxceleration.com/author/tgardner/" TargetMode="External"/><Relationship Id="rId6041" Type="http://schemas.openxmlformats.org/officeDocument/2006/relationships/hyperlink" Target="https://salesxceleration.com/wp-content/themes/salesxceleratione/assets/css/style.css?ver=1769123725" TargetMode="External"/><Relationship Id="rId6042" Type="http://schemas.openxmlformats.org/officeDocument/2006/relationships/hyperlink" Target="https://salesxceleration.com/wp-content/themes/salesxceleratione/assets/css/style.css?ver=1769123725" TargetMode="External"/><Relationship Id="rId6047" Type="http://schemas.openxmlformats.org/officeDocument/2006/relationships/hyperlink" Target="https://salesxceleration.com/wp-content/uploads/2017/07/WhatnottodoBlog-300x151.jpg" TargetMode="External"/><Relationship Id="rId6048" Type="http://schemas.openxmlformats.org/officeDocument/2006/relationships/hyperlink" Target="https://salesxceleration.com/wp-content/uploads/2016/08/Talent-vs-talented-300x143.png" TargetMode="External"/><Relationship Id="rId6045" Type="http://schemas.openxmlformats.org/officeDocument/2006/relationships/hyperlink" Target="https://salesxceleration.com/author/tgardner/" TargetMode="External"/><Relationship Id="rId6046" Type="http://schemas.openxmlformats.org/officeDocument/2006/relationships/hyperlink" Target="https://salesxceleration.com/wp-content/uploads/2017/07/WhatnottodoBlog-300x151.jpg" TargetMode="External"/><Relationship Id="rId6049" Type="http://schemas.openxmlformats.org/officeDocument/2006/relationships/hyperlink" Target="https://salesxceleration.com/wp-content/uploads/2016/08/Talent-vs-talented-300x143.png" TargetMode="External"/><Relationship Id="rId6032" Type="http://schemas.openxmlformats.org/officeDocument/2006/relationships/hyperlink" Target="https://salesxceleration.com/how-to-increase-sales-7-ways-to-enhance-sales-performance/" TargetMode="External"/><Relationship Id="rId6033" Type="http://schemas.openxmlformats.org/officeDocument/2006/relationships/hyperlink" Target="https://salesxceleration.com/wp-content/uploads/2018/01/Need-a-salesperson-650-x-325-72-dpi.jpg" TargetMode="External"/><Relationship Id="rId6030" Type="http://schemas.openxmlformats.org/officeDocument/2006/relationships/hyperlink" Target="https://salesxceleration.com/how-to-increase-sales-7-ways-to-enhance-sales-performance/" TargetMode="External"/><Relationship Id="rId6031" Type="http://schemas.openxmlformats.org/officeDocument/2006/relationships/hyperlink" Target="https://salesxceleration.com/how-to-increase-sales-7-ways-to-enhance-sales-performance/" TargetMode="External"/><Relationship Id="rId6036" Type="http://schemas.openxmlformats.org/officeDocument/2006/relationships/hyperlink" Target="https://salesxceleration.com/wp-content/uploads/2016/10/Hiring-a-Salesperson-Break-Down-Barriers-RS-72-560-x-225.jpg" TargetMode="External"/><Relationship Id="rId6037" Type="http://schemas.openxmlformats.org/officeDocument/2006/relationships/hyperlink" Target="https://salesxceleration.com/wp-content/themes/salesxceleratione/assets/css/style.css?ver=1769123726" TargetMode="External"/><Relationship Id="rId6034" Type="http://schemas.openxmlformats.org/officeDocument/2006/relationships/hyperlink" Target="https://salesxceleration.com/wp-content/uploads/2018/01/Need-a-salesperson-650-x-325-72-dpi.jpg" TargetMode="External"/><Relationship Id="rId6035" Type="http://schemas.openxmlformats.org/officeDocument/2006/relationships/hyperlink" Target="https://salesxceleration.com/wp-content/uploads/2016/10/Hiring-a-Salesperson-Break-Down-Barriers-RS-72-560-x-225.jpg" TargetMode="External"/><Relationship Id="rId6038" Type="http://schemas.openxmlformats.org/officeDocument/2006/relationships/hyperlink" Target="https://salesxceleration.com/wp-content/themes/salesxceleratione/assets/css/style.css?ver=1769123726" TargetMode="External"/><Relationship Id="rId6039" Type="http://schemas.openxmlformats.org/officeDocument/2006/relationships/hyperlink" Target="https://salesxceleration.com/wp-content/uploads/2017/05/SinkOrSwimBlog-1.jpg" TargetMode="External"/><Relationship Id="rId1213" Type="http://schemas.openxmlformats.org/officeDocument/2006/relationships/hyperlink" Target="https://salesxceleration.com/wp-content/plugins/powerpack-elements/assets/css/min/widget-video.min.css?ver=2.12.15" TargetMode="External"/><Relationship Id="rId2544" Type="http://schemas.openxmlformats.org/officeDocument/2006/relationships/hyperlink" Target="https://salesxceleration.com/wp-content/themes/salesxceleratione/assets/css/style.css?ver=1769123349" TargetMode="External"/><Relationship Id="rId3876" Type="http://schemas.openxmlformats.org/officeDocument/2006/relationships/hyperlink" Target="https://salesxceleration.com/wp-content/uploads/2015/03/find-right-salesperson-sales-team-2048x2048.png" TargetMode="External"/><Relationship Id="rId1214" Type="http://schemas.openxmlformats.org/officeDocument/2006/relationships/hyperlink" Target="https://salesxceleration.com/wp-content/plugins/powerpack-elements/assets/css/min/widget-video.min.css?ver=2.12.15" TargetMode="External"/><Relationship Id="rId2545" Type="http://schemas.openxmlformats.org/officeDocument/2006/relationships/hyperlink" Target="https://salesxceleration.com/wp-content/uploads/2021/02/case-study-jp-thumb-2048x2048.jpg" TargetMode="External"/><Relationship Id="rId3875" Type="http://schemas.openxmlformats.org/officeDocument/2006/relationships/hyperlink" Target="https://salesxceleration.com/wp-content/uploads/2022/11/Why-Focus-on-Sales.jpg" TargetMode="External"/><Relationship Id="rId1215" Type="http://schemas.openxmlformats.org/officeDocument/2006/relationships/hyperlink" Target="https://salesxceleration.com/wp-content/themes/salesxceleratione/assets/css/style.css?ver=1769123322" TargetMode="External"/><Relationship Id="rId2546" Type="http://schemas.openxmlformats.org/officeDocument/2006/relationships/hyperlink" Target="https://salesxceleration.com/wp-content/uploads/2021/02/case-study-jp-thumb-2048x2048.jpg" TargetMode="External"/><Relationship Id="rId3878" Type="http://schemas.openxmlformats.org/officeDocument/2006/relationships/hyperlink" Target="https://salesxceleration.com/author/klawson/" TargetMode="External"/><Relationship Id="rId1216" Type="http://schemas.openxmlformats.org/officeDocument/2006/relationships/hyperlink" Target="https://salesxceleration.com/wp-content/themes/salesxceleratione/assets/css/style.css?ver=1769123322" TargetMode="External"/><Relationship Id="rId2547" Type="http://schemas.openxmlformats.org/officeDocument/2006/relationships/hyperlink" Target="https://salesxceleration.com/wp-content/uploads/2024/11/Internet-Service-Provider_Improving-Close-Rates-to-44.09.pdf" TargetMode="External"/><Relationship Id="rId3877" Type="http://schemas.openxmlformats.org/officeDocument/2006/relationships/hyperlink" Target="https://salesxceleration.com/wp-content/uploads/2015/03/find-right-salesperson-sales-team-2048x2048.png" TargetMode="External"/><Relationship Id="rId1217" Type="http://schemas.openxmlformats.org/officeDocument/2006/relationships/hyperlink" Target="https://salesxceleration.com/wp-content/uploads/2024/02/Outsourced-Leaders-The-Secret-Weapon-for-Small-Business-Growth-and-Efficiency-1-1024x576.jpg" TargetMode="External"/><Relationship Id="rId2548" Type="http://schemas.openxmlformats.org/officeDocument/2006/relationships/hyperlink" Target="https://salesxceleration.com/wp-content/uploads/2024/11/Internet-Service-Provider_Improving-Close-Rates-to-44.09.pdf" TargetMode="External"/><Relationship Id="rId1218" Type="http://schemas.openxmlformats.org/officeDocument/2006/relationships/hyperlink" Target="https://salesxceleration.com/wp-content/uploads/2024/02/Outsourced-Leaders-The-Secret-Weapon-for-Small-Business-Growth-and-Efficiency-1-1024x576.jpg" TargetMode="External"/><Relationship Id="rId2549" Type="http://schemas.openxmlformats.org/officeDocument/2006/relationships/hyperlink" Target="https://salesxceleration.com/wp-content/uploads/elementor/css/post-47504.css?ver=1768862544" TargetMode="External"/><Relationship Id="rId3879" Type="http://schemas.openxmlformats.org/officeDocument/2006/relationships/hyperlink" Target="https://salesxceleration.com/author/klawson/" TargetMode="External"/><Relationship Id="rId1219" Type="http://schemas.openxmlformats.org/officeDocument/2006/relationships/hyperlink" Target="https://salesxceleration.com/wp-content/plugins/powerpack-elements/assets/js/min/frontend-video.min.js?ver=2.12.15" TargetMode="External"/><Relationship Id="rId3870" Type="http://schemas.openxmlformats.org/officeDocument/2006/relationships/hyperlink" Target="https://salesxceleration.com/wp-content/uploads/2022/05/chart-promostrategies.jpg" TargetMode="External"/><Relationship Id="rId2540" Type="http://schemas.openxmlformats.org/officeDocument/2006/relationships/hyperlink" Target="https://salesxceleration.com/wp-content/uploads/elementor/css/post-58303.css?ver=1768862546" TargetMode="External"/><Relationship Id="rId3872" Type="http://schemas.openxmlformats.org/officeDocument/2006/relationships/hyperlink" Target="https://salesxceleration.com/wp-content/uploads/2022/05/chart-pricepoints.jpg" TargetMode="External"/><Relationship Id="rId1210" Type="http://schemas.openxmlformats.org/officeDocument/2006/relationships/hyperlink" Target="https://salesxceleration.com/wp-content/uploads/2025/07/poster-kelly.jpg" TargetMode="External"/><Relationship Id="rId2541" Type="http://schemas.openxmlformats.org/officeDocument/2006/relationships/hyperlink" Target="https://salesxceleration.com/wp-content/uploads/2021/01/thumb-tech-case-study-2048x2048.jpg" TargetMode="External"/><Relationship Id="rId3871" Type="http://schemas.openxmlformats.org/officeDocument/2006/relationships/hyperlink" Target="https://salesxceleration.com/wp-content/uploads/2022/05/chart-promostrategies.jpg" TargetMode="External"/><Relationship Id="rId1211" Type="http://schemas.openxmlformats.org/officeDocument/2006/relationships/hyperlink" Target="https://salesxceleration.com/wp-content/uploads/2023/12/video2.jpeg" TargetMode="External"/><Relationship Id="rId2542" Type="http://schemas.openxmlformats.org/officeDocument/2006/relationships/hyperlink" Target="https://salesxceleration.com/wp-content/uploads/2021/01/thumb-tech-case-study-2048x2048.jpg" TargetMode="External"/><Relationship Id="rId3874" Type="http://schemas.openxmlformats.org/officeDocument/2006/relationships/hyperlink" Target="https://salesxceleration.com/wp-content/uploads/2022/11/Why-Focus-on-Sales.jpg" TargetMode="External"/><Relationship Id="rId1212" Type="http://schemas.openxmlformats.org/officeDocument/2006/relationships/hyperlink" Target="https://salesxceleration.com/wp-content/uploads/2023/12/video2.jpeg" TargetMode="External"/><Relationship Id="rId2543" Type="http://schemas.openxmlformats.org/officeDocument/2006/relationships/hyperlink" Target="https://salesxceleration.com/wp-content/themes/salesxceleratione/assets/css/style.css?ver=1769123349" TargetMode="External"/><Relationship Id="rId3873" Type="http://schemas.openxmlformats.org/officeDocument/2006/relationships/hyperlink" Target="https://salesxceleration.com/wp-content/uploads/2022/05/chart-pricepoints.jpg" TargetMode="External"/><Relationship Id="rId1202" Type="http://schemas.openxmlformats.org/officeDocument/2006/relationships/hyperlink" Target="https://salesxceleration.com/wp-content/plugins/gravity-forms-personality-quiz-add-on/assets/quiz_styles.css?ver=1.1.0" TargetMode="External"/><Relationship Id="rId2533" Type="http://schemas.openxmlformats.org/officeDocument/2006/relationships/hyperlink" Target="https://salesxceleration.com/wp-content/uploads/2020/01/tech-thumb-2048x2048.jpg" TargetMode="External"/><Relationship Id="rId3865" Type="http://schemas.openxmlformats.org/officeDocument/2006/relationships/hyperlink" Target="https://salesxceleration.com/wp-content/uploads/2023/04/Leadership-Styles-Sales-Growth-1.jpg" TargetMode="External"/><Relationship Id="rId1203" Type="http://schemas.openxmlformats.org/officeDocument/2006/relationships/hyperlink" Target="https://salesxceleration.com/wp-content/plugins/gravityforms/js/conditional_logic.min.js?ver=2.9.24" TargetMode="External"/><Relationship Id="rId2534" Type="http://schemas.openxmlformats.org/officeDocument/2006/relationships/hyperlink" Target="https://salesxceleration.com/wp-content/uploads/2019/03/tech-case-study1-2048x2048.jpg" TargetMode="External"/><Relationship Id="rId3864" Type="http://schemas.openxmlformats.org/officeDocument/2006/relationships/hyperlink" Target="https://salesxceleration.com/wp-content/uploads/2023/04/Leadership-Styles-Sales-Growth-1.jpg" TargetMode="External"/><Relationship Id="rId1204" Type="http://schemas.openxmlformats.org/officeDocument/2006/relationships/hyperlink" Target="https://salesxceleration.com/wp-content/plugins/gravityforms/js/conditional_logic.min.js?ver=2.9.24" TargetMode="External"/><Relationship Id="rId2535" Type="http://schemas.openxmlformats.org/officeDocument/2006/relationships/hyperlink" Target="https://salesxceleration.com/wp-content/uploads/2019/03/tech-case-study1-2048x2048.jpg" TargetMode="External"/><Relationship Id="rId3867" Type="http://schemas.openxmlformats.org/officeDocument/2006/relationships/hyperlink" Target="https://salesxceleration.com/wp-content/uploads/2022/05/Discount.jpg" TargetMode="External"/><Relationship Id="rId1205" Type="http://schemas.openxmlformats.org/officeDocument/2006/relationships/hyperlink" Target="https://salesxceleration.com/wp-content/uploads/elementor/css/post-20937.css?ver=1768847260" TargetMode="External"/><Relationship Id="rId2536" Type="http://schemas.openxmlformats.org/officeDocument/2006/relationships/hyperlink" Target="https://salesxceleration.com/sales-playbook-why-need/" TargetMode="External"/><Relationship Id="rId3866" Type="http://schemas.openxmlformats.org/officeDocument/2006/relationships/hyperlink" Target="https://salesxceleration.com/wp-content/uploads/2022/05/Discount.jpg" TargetMode="External"/><Relationship Id="rId1206" Type="http://schemas.openxmlformats.org/officeDocument/2006/relationships/hyperlink" Target="https://salesxceleration.com/wp-content/uploads/elementor/css/post-20937.css?ver=1768847260" TargetMode="External"/><Relationship Id="rId2537" Type="http://schemas.openxmlformats.org/officeDocument/2006/relationships/hyperlink" Target="https://salesxceleration.com/sales-playbook-why-need/" TargetMode="External"/><Relationship Id="rId3869" Type="http://schemas.openxmlformats.org/officeDocument/2006/relationships/hyperlink" Target="https://salesxceleration.com/wp-content/uploads/2022/07/Sales-Automation-2048x2048.jpg" TargetMode="External"/><Relationship Id="rId1207" Type="http://schemas.openxmlformats.org/officeDocument/2006/relationships/hyperlink" Target="https://salesxceleration.com/wp-content/uploads/2023/10/The-Power-of-Serving-Versus-Selling-1024x683.jpg" TargetMode="External"/><Relationship Id="rId2538" Type="http://schemas.openxmlformats.org/officeDocument/2006/relationships/hyperlink" Target="https://salesxceleration.com/sales-playbook-why-need/" TargetMode="External"/><Relationship Id="rId3868" Type="http://schemas.openxmlformats.org/officeDocument/2006/relationships/hyperlink" Target="https://salesxceleration.com/wp-content/uploads/2022/07/Sales-Automation-2048x2048.jpg" TargetMode="External"/><Relationship Id="rId1208" Type="http://schemas.openxmlformats.org/officeDocument/2006/relationships/hyperlink" Target="https://salesxceleration.com/wp-content/uploads/2023/10/The-Power-of-Serving-Versus-Selling-1024x683.jpg" TargetMode="External"/><Relationship Id="rId2539" Type="http://schemas.openxmlformats.org/officeDocument/2006/relationships/hyperlink" Target="https://salesxceleration.com/wp-content/uploads/elementor/css/post-58303.css?ver=1768862546" TargetMode="External"/><Relationship Id="rId1209" Type="http://schemas.openxmlformats.org/officeDocument/2006/relationships/hyperlink" Target="https://salesxceleration.com/wp-content/uploads/2025/07/poster-kelly.jpg" TargetMode="External"/><Relationship Id="rId3861" Type="http://schemas.openxmlformats.org/officeDocument/2006/relationships/hyperlink" Target="https://salesxceleration.com/author/soshaughnessy/" TargetMode="External"/><Relationship Id="rId2530" Type="http://schemas.openxmlformats.org/officeDocument/2006/relationships/hyperlink" Target="https://salesxceleration.com/technology-is-creating-new-ways-to-sell-to-prospects-heres-how/" TargetMode="External"/><Relationship Id="rId3860" Type="http://schemas.openxmlformats.org/officeDocument/2006/relationships/hyperlink" Target="https://salesxceleration.com/20-20-foresight-how-to-boost-sales-looking-forward/" TargetMode="External"/><Relationship Id="rId1200" Type="http://schemas.openxmlformats.org/officeDocument/2006/relationships/hyperlink" Target="https://salesxceleration.com/wp-content/plugins/gravityforms/legacy/css/readyclass.min.css?ver=2.9.24" TargetMode="External"/><Relationship Id="rId2531" Type="http://schemas.openxmlformats.org/officeDocument/2006/relationships/hyperlink" Target="https://salesxceleration.com/technology-is-creating-new-ways-to-sell-to-prospects-heres-how/" TargetMode="External"/><Relationship Id="rId3863" Type="http://schemas.openxmlformats.org/officeDocument/2006/relationships/hyperlink" Target="https://salesxceleration.com/author/soshaughnessy/" TargetMode="External"/><Relationship Id="rId1201" Type="http://schemas.openxmlformats.org/officeDocument/2006/relationships/hyperlink" Target="https://salesxceleration.com/wp-content/plugins/gravity-forms-personality-quiz-add-on/assets/quiz_styles.css?ver=1.1.0" TargetMode="External"/><Relationship Id="rId2532" Type="http://schemas.openxmlformats.org/officeDocument/2006/relationships/hyperlink" Target="https://salesxceleration.com/wp-content/uploads/2020/01/tech-thumb-2048x2048.jpg" TargetMode="External"/><Relationship Id="rId3862" Type="http://schemas.openxmlformats.org/officeDocument/2006/relationships/hyperlink" Target="https://salesxceleration.com/author/soshaughnessy/" TargetMode="External"/><Relationship Id="rId1235" Type="http://schemas.openxmlformats.org/officeDocument/2006/relationships/hyperlink" Target="https://salesxceleration.com/news-events/sales-xceleration-welcomes-top-fractional-sales-leaders-to-drive-business-growth/" TargetMode="External"/><Relationship Id="rId2566" Type="http://schemas.openxmlformats.org/officeDocument/2006/relationships/hyperlink" Target="https://salesxceleration.com/wp-content/plugins/gravityforms/assets/css/dist/gravity-forms-orbital-theme.min.css?ver=2.9.24" TargetMode="External"/><Relationship Id="rId3898" Type="http://schemas.openxmlformats.org/officeDocument/2006/relationships/hyperlink" Target="https://salesxceleration.com/author/johnlee/" TargetMode="External"/><Relationship Id="rId1236" Type="http://schemas.openxmlformats.org/officeDocument/2006/relationships/hyperlink" Target="https://salesxceleration.com/news-events/sales-xceleration-welcomes-top-fractional-sales-leaders-to-drive-business-growth/" TargetMode="External"/><Relationship Id="rId2567" Type="http://schemas.openxmlformats.org/officeDocument/2006/relationships/hyperlink" Target="https://salesxceleration.com/wp-content/plugins/gravityforms/assets/css/dist/gravity-forms-orbital-theme.min.css?ver=2.9.24" TargetMode="External"/><Relationship Id="rId3897" Type="http://schemas.openxmlformats.org/officeDocument/2006/relationships/hyperlink" Target="https://salesxceleration.com/author/johnlee/page/2/" TargetMode="External"/><Relationship Id="rId1237" Type="http://schemas.openxmlformats.org/officeDocument/2006/relationships/hyperlink" Target="https://salesxceleration.com/news-events/sales-xceleration-advisor-michael-wills-presents-florida-atlantic-university/" TargetMode="External"/><Relationship Id="rId2568" Type="http://schemas.openxmlformats.org/officeDocument/2006/relationships/hyperlink" Target="https://salesxceleration.com/wp-content/uploads/elementor/css/post-14200.css?ver=1768846880" TargetMode="External"/><Relationship Id="rId1238" Type="http://schemas.openxmlformats.org/officeDocument/2006/relationships/hyperlink" Target="https://salesxceleration.com/news-events/sales-xceleration-advisor-michael-wills-presents-florida-atlantic-university/" TargetMode="External"/><Relationship Id="rId2569" Type="http://schemas.openxmlformats.org/officeDocument/2006/relationships/hyperlink" Target="https://salesxceleration.com/wp-content/uploads/elementor/css/post-14200.css?ver=1768846880" TargetMode="External"/><Relationship Id="rId3899" Type="http://schemas.openxmlformats.org/officeDocument/2006/relationships/hyperlink" Target="https://salesxceleration.com/wp-content/uploads/2020/04/Sales-Candidate-Interview-sm-300x200.jpg" TargetMode="External"/><Relationship Id="rId1239" Type="http://schemas.openxmlformats.org/officeDocument/2006/relationships/hyperlink" Target="https://salesxceleration.com/news-events/sales-xceleration-advisor-michael-wills-presents-florida-atlantic-university/" TargetMode="External"/><Relationship Id="rId3890" Type="http://schemas.openxmlformats.org/officeDocument/2006/relationships/hyperlink" Target="https://salesxceleration.com/wp-content/uploads/2020/05/hiring-skilled-sales-reps-image-300x300.jpg" TargetMode="External"/><Relationship Id="rId2560" Type="http://schemas.openxmlformats.org/officeDocument/2006/relationships/hyperlink" Target="https://salesxceleration.com/wp-content/plugins/gravityforms/assets/css/dist/gravity-forms-theme-framework.min.css?ver=2.9.24" TargetMode="External"/><Relationship Id="rId3892" Type="http://schemas.openxmlformats.org/officeDocument/2006/relationships/hyperlink" Target="https://salesxceleration.com/finding-the-right-people-for-your-sales-team/" TargetMode="External"/><Relationship Id="rId1230" Type="http://schemas.openxmlformats.org/officeDocument/2006/relationships/hyperlink" Target="https://salesxceleration.com/category/sales-consulting/" TargetMode="External"/><Relationship Id="rId2561" Type="http://schemas.openxmlformats.org/officeDocument/2006/relationships/hyperlink" Target="https://salesxceleration.com/wp-content/plugins/gravityforms/assets/css/dist/gravity-forms-theme-framework.min.css?ver=2.9.24" TargetMode="External"/><Relationship Id="rId3891" Type="http://schemas.openxmlformats.org/officeDocument/2006/relationships/hyperlink" Target="https://salesxceleration.com/wp-content/uploads/2020/05/hiring-skilled-sales-reps-image-300x300.jpg" TargetMode="External"/><Relationship Id="rId1231" Type="http://schemas.openxmlformats.org/officeDocument/2006/relationships/hyperlink" Target="https://salesxceleration.com/category/sales-consulting/" TargetMode="External"/><Relationship Id="rId2562" Type="http://schemas.openxmlformats.org/officeDocument/2006/relationships/hyperlink" Target="https://salesxceleration.com/wp-content/uploads/2024/07/Aerospace-Manufacturing-Turning-a-10-Decrease-in-Sales-into-a-14-Increase.pdf" TargetMode="External"/><Relationship Id="rId3894" Type="http://schemas.openxmlformats.org/officeDocument/2006/relationships/hyperlink" Target="https://salesxceleration.com/finding-the-right-people-for-your-sales-team/" TargetMode="External"/><Relationship Id="rId1232" Type="http://schemas.openxmlformats.org/officeDocument/2006/relationships/hyperlink" Target="https://salesxceleration.com/category/sales-consulting/page/2/" TargetMode="External"/><Relationship Id="rId2563" Type="http://schemas.openxmlformats.org/officeDocument/2006/relationships/hyperlink" Target="https://salesxceleration.com/wp-content/uploads/2024/07/Aerospace-Manufacturing-Turning-a-10-Decrease-in-Sales-into-a-14-Increase.pdf" TargetMode="External"/><Relationship Id="rId3893" Type="http://schemas.openxmlformats.org/officeDocument/2006/relationships/hyperlink" Target="https://salesxceleration.com/finding-the-right-people-for-your-sales-team/" TargetMode="External"/><Relationship Id="rId1233" Type="http://schemas.openxmlformats.org/officeDocument/2006/relationships/hyperlink" Target="https://salesxceleration.com/category/sales-consulting/" TargetMode="External"/><Relationship Id="rId2564" Type="http://schemas.openxmlformats.org/officeDocument/2006/relationships/hyperlink" Target="https://salesxceleration.com/wp-content/themes/salesxceleratione/assets/css/style.css?ver=1769123350" TargetMode="External"/><Relationship Id="rId3896" Type="http://schemas.openxmlformats.org/officeDocument/2006/relationships/hyperlink" Target="https://salesxceleration.com/author/johnlee/" TargetMode="External"/><Relationship Id="rId1234" Type="http://schemas.openxmlformats.org/officeDocument/2006/relationships/hyperlink" Target="https://salesxceleration.com/news-events/sales-xceleration-welcomes-top-fractional-sales-leaders-to-drive-business-growth/" TargetMode="External"/><Relationship Id="rId2565" Type="http://schemas.openxmlformats.org/officeDocument/2006/relationships/hyperlink" Target="https://salesxceleration.com/wp-content/themes/salesxceleratione/assets/css/style.css?ver=1769123350" TargetMode="External"/><Relationship Id="rId3895" Type="http://schemas.openxmlformats.org/officeDocument/2006/relationships/hyperlink" Target="https://salesxceleration.com/author/johnlee/" TargetMode="External"/><Relationship Id="rId1224" Type="http://schemas.openxmlformats.org/officeDocument/2006/relationships/hyperlink" Target="https://salesxceleration.com/wp-content/uploads/elementor/css/post-22234.css?ver=1768846103" TargetMode="External"/><Relationship Id="rId2555" Type="http://schemas.openxmlformats.org/officeDocument/2006/relationships/hyperlink" Target="https://salesxceleration.com/wp-content/plugins/gravityforms/assets/css/dist/gravity-forms-theme-reset.min.css?ver=2.9.24" TargetMode="External"/><Relationship Id="rId3887" Type="http://schemas.openxmlformats.org/officeDocument/2006/relationships/hyperlink" Target="https://salesxceleration.com/wp-content/uploads/2020/04/Businessman_virtually_evaluating_business_sales_processes-scaled-e1585932608979-300x200.jpg" TargetMode="External"/><Relationship Id="rId1225" Type="http://schemas.openxmlformats.org/officeDocument/2006/relationships/hyperlink" Target="https://salesxceleration.com/wp-content/uploads/2025/07/Sales-Xceleration_Build-Your-Own-Sales-Consultancy.pdf" TargetMode="External"/><Relationship Id="rId2556" Type="http://schemas.openxmlformats.org/officeDocument/2006/relationships/hyperlink" Target="https://salesxceleration.com/wp-content/uploads/elementor/css/post-21953.css?ver=1768846880" TargetMode="External"/><Relationship Id="rId3886" Type="http://schemas.openxmlformats.org/officeDocument/2006/relationships/hyperlink" Target="https://salesxceleration.com/wp-content/uploads/2020/04/Businessman_virtually_evaluating_business_sales_processes-scaled-e1585932608979-300x200.jpg" TargetMode="External"/><Relationship Id="rId1226" Type="http://schemas.openxmlformats.org/officeDocument/2006/relationships/hyperlink" Target="https://salesxceleration.com/wp-content/uploads/2025/07/Sales-Xceleration_Build-Your-Own-Sales-Consultancy.pdf" TargetMode="External"/><Relationship Id="rId2557" Type="http://schemas.openxmlformats.org/officeDocument/2006/relationships/hyperlink" Target="https://salesxceleration.com/wp-content/uploads/elementor/css/post-21953.css?ver=1768846880" TargetMode="External"/><Relationship Id="rId3889" Type="http://schemas.openxmlformats.org/officeDocument/2006/relationships/hyperlink" Target="https://salesxceleration.com/wp-content/uploads/2020/04/Businessman-leading-training-session-scaled-1-300x300.jpg" TargetMode="External"/><Relationship Id="rId1227" Type="http://schemas.openxmlformats.org/officeDocument/2006/relationships/hyperlink" Target="https://salesxceleration.com/become-a-consultant/contact-us/" TargetMode="External"/><Relationship Id="rId2558" Type="http://schemas.openxmlformats.org/officeDocument/2006/relationships/hyperlink" Target="https://salesxceleration.com/wp-content/plugins/gravityforms/assets/css/dist/gravity-forms-theme-foundation.min.css?ver=2.9.24" TargetMode="External"/><Relationship Id="rId3888" Type="http://schemas.openxmlformats.org/officeDocument/2006/relationships/hyperlink" Target="https://salesxceleration.com/wp-content/uploads/2020/04/Businessman-leading-training-session-scaled-1-300x300.jpg" TargetMode="External"/><Relationship Id="rId1228" Type="http://schemas.openxmlformats.org/officeDocument/2006/relationships/hyperlink" Target="https://salesxceleration.com/become-a-consultant/contact-us/" TargetMode="External"/><Relationship Id="rId2559" Type="http://schemas.openxmlformats.org/officeDocument/2006/relationships/hyperlink" Target="https://salesxceleration.com/wp-content/plugins/gravityforms/assets/css/dist/gravity-forms-theme-foundation.min.css?ver=2.9.24" TargetMode="External"/><Relationship Id="rId1229" Type="http://schemas.openxmlformats.org/officeDocument/2006/relationships/hyperlink" Target="https://salesxceleration.com/become-a-consultant/contact-us/" TargetMode="External"/><Relationship Id="rId3881" Type="http://schemas.openxmlformats.org/officeDocument/2006/relationships/hyperlink" Target="https://salesxceleration.com/sales-agility-assessment?locationid=22577447" TargetMode="External"/><Relationship Id="rId2550" Type="http://schemas.openxmlformats.org/officeDocument/2006/relationships/hyperlink" Target="https://salesxceleration.com/wp-content/uploads/elementor/css/post-47504.css?ver=1768862544" TargetMode="External"/><Relationship Id="rId3880" Type="http://schemas.openxmlformats.org/officeDocument/2006/relationships/hyperlink" Target="https://salesxceleration.com/author/klawson/" TargetMode="External"/><Relationship Id="rId1220" Type="http://schemas.openxmlformats.org/officeDocument/2006/relationships/hyperlink" Target="https://salesxceleration.com/wp-content/plugins/powerpack-elements/assets/js/min/frontend-video.min.js?ver=2.12.15" TargetMode="External"/><Relationship Id="rId2551" Type="http://schemas.openxmlformats.org/officeDocument/2006/relationships/hyperlink" Target="https://salesxceleration.com/?__hstc=264954448.5a75b0ce6ded236b1a525ae32d6f058b.1762363628984.1766428279618.1766479596590.6&amp;__hssc=264954448.6.1766479596590&amp;__hsfp=2277555685" TargetMode="External"/><Relationship Id="rId3883" Type="http://schemas.openxmlformats.org/officeDocument/2006/relationships/hyperlink" Target="https://salesxceleration.com/sales-agility-assessment?locationid=22577447" TargetMode="External"/><Relationship Id="rId1221" Type="http://schemas.openxmlformats.org/officeDocument/2006/relationships/hyperlink" Target="https://salesxceleration.com/wp-content/uploads/elementor/css/post-29331.css?ver=1768847260" TargetMode="External"/><Relationship Id="rId2552" Type="http://schemas.openxmlformats.org/officeDocument/2006/relationships/hyperlink" Target="https://salesxceleration.com/" TargetMode="External"/><Relationship Id="rId3882" Type="http://schemas.openxmlformats.org/officeDocument/2006/relationships/hyperlink" Target="https://salesxceleration.com/sales-agility-assessment/?locationid=22577447" TargetMode="External"/><Relationship Id="rId1222" Type="http://schemas.openxmlformats.org/officeDocument/2006/relationships/hyperlink" Target="https://salesxceleration.com/wp-content/uploads/elementor/css/post-29331.css?ver=1768847260" TargetMode="External"/><Relationship Id="rId2553" Type="http://schemas.openxmlformats.org/officeDocument/2006/relationships/hyperlink" Target="https://salesxceleration.com/?__hstc=264954448.5a75b0ce6ded236b1a525ae32d6f058b.1762363628984.1766428279618.1766479596590.6&amp;__hssc=264954448.6.1766479596590&amp;__hsfp=2277555685" TargetMode="External"/><Relationship Id="rId3885" Type="http://schemas.openxmlformats.org/officeDocument/2006/relationships/hyperlink" Target="https://salesxceleration.com/wp-content/uploads/2022/04/Lee-John-100x100.jpg" TargetMode="External"/><Relationship Id="rId1223" Type="http://schemas.openxmlformats.org/officeDocument/2006/relationships/hyperlink" Target="https://salesxceleration.com/wp-content/uploads/elementor/css/post-22234.css?ver=1768846103" TargetMode="External"/><Relationship Id="rId2554" Type="http://schemas.openxmlformats.org/officeDocument/2006/relationships/hyperlink" Target="https://salesxceleration.com/wp-content/plugins/gravityforms/assets/css/dist/gravity-forms-theme-reset.min.css?ver=2.9.24" TargetMode="External"/><Relationship Id="rId3884" Type="http://schemas.openxmlformats.org/officeDocument/2006/relationships/hyperlink" Target="https://salesxceleration.com/wp-content/uploads/2022/04/Lee-John-100x100.jpg" TargetMode="External"/><Relationship Id="rId2500" Type="http://schemas.openxmlformats.org/officeDocument/2006/relationships/hyperlink" Target="https://salesxceleration.com/wp-content/uploads/2025/09/AI-in-Sales-Forecasting.jpg" TargetMode="External"/><Relationship Id="rId3832" Type="http://schemas.openxmlformats.org/officeDocument/2006/relationships/hyperlink" Target="https://salesxceleration.com/what-are-sales-metrics-and-which-ones-are-essential-to-improving-sales-performance/" TargetMode="External"/><Relationship Id="rId2501" Type="http://schemas.openxmlformats.org/officeDocument/2006/relationships/hyperlink" Target="https://salesxceleration.com/wp-content/uploads/2025/09/AI-in-Sales-Forecasting.jpg" TargetMode="External"/><Relationship Id="rId3831" Type="http://schemas.openxmlformats.org/officeDocument/2006/relationships/hyperlink" Target="https://salesxceleration.com/how-smbs-should-address-inflation-in-5-key-steps/" TargetMode="External"/><Relationship Id="rId2502" Type="http://schemas.openxmlformats.org/officeDocument/2006/relationships/hyperlink" Target="https://salesxceleration.com/do-chatbots-increase-sales-what-you-need-to-know-about-using-ai-chatbots-for-sales-success/" TargetMode="External"/><Relationship Id="rId3834" Type="http://schemas.openxmlformats.org/officeDocument/2006/relationships/hyperlink" Target="https://salesxceleration.com/what-are-sales-metrics-and-which-ones-are-essential-to-improving-sales-performance/" TargetMode="External"/><Relationship Id="rId2503" Type="http://schemas.openxmlformats.org/officeDocument/2006/relationships/hyperlink" Target="https://salesxceleration.com/do-chatbots-increase-sales-what-you-need-to-know-about-using-ai-chatbots-for-sales-success/" TargetMode="External"/><Relationship Id="rId3833" Type="http://schemas.openxmlformats.org/officeDocument/2006/relationships/hyperlink" Target="https://salesxceleration.com/what-are-sales-metrics-and-which-ones-are-essential-to-improving-sales-performance/" TargetMode="External"/><Relationship Id="rId2504" Type="http://schemas.openxmlformats.org/officeDocument/2006/relationships/hyperlink" Target="https://salesxceleration.com/do-chatbots-increase-sales-what-you-need-to-know-about-using-ai-chatbots-for-sales-success/" TargetMode="External"/><Relationship Id="rId3836" Type="http://schemas.openxmlformats.org/officeDocument/2006/relationships/hyperlink" Target="https://salesxceleration.com/wp-content/themes/salesxceleratione/assets/css/style.css?ver=1769123512" TargetMode="External"/><Relationship Id="rId2505" Type="http://schemas.openxmlformats.org/officeDocument/2006/relationships/hyperlink" Target="https://salesxceleration.com/important-benefits-and-pitfalls-of-ai-for-sales/" TargetMode="External"/><Relationship Id="rId3835" Type="http://schemas.openxmlformats.org/officeDocument/2006/relationships/hyperlink" Target="https://salesxceleration.com/wp-content/themes/salesxceleratione/assets/css/style.css?ver=1769123512" TargetMode="External"/><Relationship Id="rId2506" Type="http://schemas.openxmlformats.org/officeDocument/2006/relationships/hyperlink" Target="https://salesxceleration.com/important-benefits-and-pitfalls-of-ai-for-sales/" TargetMode="External"/><Relationship Id="rId3838" Type="http://schemas.openxmlformats.org/officeDocument/2006/relationships/hyperlink" Target="https://salesxceleration.com/wp-content/uploads/2020/02/SX-Effective_Sales_Vision_Statement-2048x2048.jpg" TargetMode="External"/><Relationship Id="rId2507" Type="http://schemas.openxmlformats.org/officeDocument/2006/relationships/hyperlink" Target="https://salesxceleration.com/important-benefits-and-pitfalls-of-ai-for-sales/" TargetMode="External"/><Relationship Id="rId3837" Type="http://schemas.openxmlformats.org/officeDocument/2006/relationships/hyperlink" Target="https://salesxceleration.com/wp-content/uploads/2020/02/SX-Effective_Sales_Vision_Statement-2048x2048.jpg" TargetMode="External"/><Relationship Id="rId2508" Type="http://schemas.openxmlformats.org/officeDocument/2006/relationships/hyperlink" Target="https://salesxceleration.com/crm-definition-and-tips-for-success/" TargetMode="External"/><Relationship Id="rId2509" Type="http://schemas.openxmlformats.org/officeDocument/2006/relationships/hyperlink" Target="https://salesxceleration.com/crm-definition-and-tips-for-success/" TargetMode="External"/><Relationship Id="rId3839" Type="http://schemas.openxmlformats.org/officeDocument/2006/relationships/hyperlink" Target="https://salesxceleration.com/wp-content/uploads/2020/05/hiring-skilled-sales-reps-image-2048x2048.jpg" TargetMode="External"/><Relationship Id="rId3830" Type="http://schemas.openxmlformats.org/officeDocument/2006/relationships/hyperlink" Target="https://salesxceleration.com/how-smbs-should-address-inflation-in-5-key-steps/" TargetMode="External"/><Relationship Id="rId3821" Type="http://schemas.openxmlformats.org/officeDocument/2006/relationships/hyperlink" Target="https://salesxceleration.com/hiring-a-salesperson-start-with-a-better-sales-job-description/" TargetMode="External"/><Relationship Id="rId3820" Type="http://schemas.openxmlformats.org/officeDocument/2006/relationships/hyperlink" Target="https://salesxceleration.com/networking-is-worthless-netweaving-is-priceless/" TargetMode="External"/><Relationship Id="rId3823" Type="http://schemas.openxmlformats.org/officeDocument/2006/relationships/hyperlink" Target="https://salesxceleration.com/hiring-a-salesperson-start-with-a-better-sales-job-description/" TargetMode="External"/><Relationship Id="rId3822" Type="http://schemas.openxmlformats.org/officeDocument/2006/relationships/hyperlink" Target="https://salesxceleration.com/hiring-a-salesperson-start-with-a-better-sales-job-description/" TargetMode="External"/><Relationship Id="rId3825" Type="http://schemas.openxmlformats.org/officeDocument/2006/relationships/hyperlink" Target="https://salesxceleration.com/hiring-sales-reps-3-tips-for-better-faster-more-profitable-sales-hires/" TargetMode="External"/><Relationship Id="rId3824" Type="http://schemas.openxmlformats.org/officeDocument/2006/relationships/hyperlink" Target="https://salesxceleration.com/hiring-sales-reps-3-tips-for-better-faster-more-profitable-sales-hires/" TargetMode="External"/><Relationship Id="rId3827" Type="http://schemas.openxmlformats.org/officeDocument/2006/relationships/hyperlink" Target="https://salesxceleration.com/wp-content/uploads/2020/03/Tactics_for_Team_Dominance-1-scaled-1-2048x2048.jpg" TargetMode="External"/><Relationship Id="rId3826" Type="http://schemas.openxmlformats.org/officeDocument/2006/relationships/hyperlink" Target="https://salesxceleration.com/hiring-sales-reps-3-tips-for-better-faster-more-profitable-sales-hires/" TargetMode="External"/><Relationship Id="rId3829" Type="http://schemas.openxmlformats.org/officeDocument/2006/relationships/hyperlink" Target="https://salesxceleration.com/how-smbs-should-address-inflation-in-5-key-steps/" TargetMode="External"/><Relationship Id="rId3828" Type="http://schemas.openxmlformats.org/officeDocument/2006/relationships/hyperlink" Target="https://salesxceleration.com/wp-content/uploads/2020/03/Tactics_for_Team_Dominance-1-scaled-1-2048x2048.jpg" TargetMode="External"/><Relationship Id="rId6094" Type="http://schemas.openxmlformats.org/officeDocument/2006/relationships/hyperlink" Target="https://salesxceleration.com/talented-sales-performance/" TargetMode="External"/><Relationship Id="rId6095" Type="http://schemas.openxmlformats.org/officeDocument/2006/relationships/hyperlink" Target="https://salesxceleration.com/talented-sales-performance/" TargetMode="External"/><Relationship Id="rId6092" Type="http://schemas.openxmlformats.org/officeDocument/2006/relationships/hyperlink" Target="https://salesxceleration.com/if-6-feet-tall/" TargetMode="External"/><Relationship Id="rId6093" Type="http://schemas.openxmlformats.org/officeDocument/2006/relationships/hyperlink" Target="https://salesxceleration.com/talented-sales-performance/" TargetMode="External"/><Relationship Id="rId6098" Type="http://schemas.openxmlformats.org/officeDocument/2006/relationships/hyperlink" Target="https://salesxceleration.com/wp-content/uploads/2016/07/Find-the-Right-Lid-300x143.png" TargetMode="External"/><Relationship Id="rId6099" Type="http://schemas.openxmlformats.org/officeDocument/2006/relationships/hyperlink" Target="https://salesxceleration.com/wp-content/uploads/2016/07/Find-the-Right-Lid-300x143.png" TargetMode="External"/><Relationship Id="rId6096" Type="http://schemas.openxmlformats.org/officeDocument/2006/relationships/hyperlink" Target="https://salesxceleration.com/wp-content/uploads/2016/10/Screen-Shot-2016-10-12-at-2.11.04-PM-300x143.png" TargetMode="External"/><Relationship Id="rId6097" Type="http://schemas.openxmlformats.org/officeDocument/2006/relationships/hyperlink" Target="https://salesxceleration.com/wp-content/uploads/2016/10/Screen-Shot-2016-10-12-at-2.11.04-PM-300x143.png" TargetMode="External"/><Relationship Id="rId2522" Type="http://schemas.openxmlformats.org/officeDocument/2006/relationships/hyperlink" Target="https://salesxceleration.com/author/tdaly/" TargetMode="External"/><Relationship Id="rId3854" Type="http://schemas.openxmlformats.org/officeDocument/2006/relationships/hyperlink" Target="https://salesxceleration.com/sales-agility-assessment/?locationid=26671639" TargetMode="External"/><Relationship Id="rId2523" Type="http://schemas.openxmlformats.org/officeDocument/2006/relationships/hyperlink" Target="https://salesxceleration.com/wp-content/uploads/2025/12/Improving-Your-Sales-Recruitment-and-Hiring-Process.jpg" TargetMode="External"/><Relationship Id="rId3853" Type="http://schemas.openxmlformats.org/officeDocument/2006/relationships/hyperlink" Target="https://salesxceleration.com/sales-agility-assessment?locationid=26671639" TargetMode="External"/><Relationship Id="rId2524" Type="http://schemas.openxmlformats.org/officeDocument/2006/relationships/hyperlink" Target="https://salesxceleration.com/wp-content/uploads/2025/12/Improving-Your-Sales-Recruitment-and-Hiring-Process.jpg" TargetMode="External"/><Relationship Id="rId3856" Type="http://schemas.openxmlformats.org/officeDocument/2006/relationships/hyperlink" Target="https://salesxceleration.com/wp-content/uploads/2022/04/OShaughnessey-Sean-275x275-1-100x100.jpg" TargetMode="External"/><Relationship Id="rId2525" Type="http://schemas.openxmlformats.org/officeDocument/2006/relationships/hyperlink" Target="https://salesxceleration.com/wp-content/themes/salesxceleratione/assets/css/style.css?ver=1769123345" TargetMode="External"/><Relationship Id="rId3855" Type="http://schemas.openxmlformats.org/officeDocument/2006/relationships/hyperlink" Target="https://salesxceleration.com/sales-agility-assessment?locationid=26671639" TargetMode="External"/><Relationship Id="rId2526" Type="http://schemas.openxmlformats.org/officeDocument/2006/relationships/hyperlink" Target="https://salesxceleration.com/wp-content/themes/salesxceleratione/assets/css/style.css?ver=1769123345" TargetMode="External"/><Relationship Id="rId3858" Type="http://schemas.openxmlformats.org/officeDocument/2006/relationships/hyperlink" Target="https://salesxceleration.com/20-20-foresight-how-to-boost-sales-looking-forward/" TargetMode="External"/><Relationship Id="rId2527" Type="http://schemas.openxmlformats.org/officeDocument/2006/relationships/hyperlink" Target="https://salesxceleration.com/wp-content/uploads/2025/12/Comp-Plan-Error.jpg" TargetMode="External"/><Relationship Id="rId3857" Type="http://schemas.openxmlformats.org/officeDocument/2006/relationships/hyperlink" Target="https://salesxceleration.com/wp-content/uploads/2022/04/OShaughnessey-Sean-275x275-1-100x100.jpg" TargetMode="External"/><Relationship Id="rId2528" Type="http://schemas.openxmlformats.org/officeDocument/2006/relationships/hyperlink" Target="https://salesxceleration.com/wp-content/uploads/2025/12/Comp-Plan-Error.jpg" TargetMode="External"/><Relationship Id="rId2529" Type="http://schemas.openxmlformats.org/officeDocument/2006/relationships/hyperlink" Target="https://salesxceleration.com/technology-is-creating-new-ways-to-sell-to-prospects-heres-how/" TargetMode="External"/><Relationship Id="rId3859" Type="http://schemas.openxmlformats.org/officeDocument/2006/relationships/hyperlink" Target="https://salesxceleration.com/20-20-foresight-how-to-boost-sales-looking-forward/" TargetMode="External"/><Relationship Id="rId3850" Type="http://schemas.openxmlformats.org/officeDocument/2006/relationships/hyperlink" Target="https://salesxceleration.com/sales-agility-assessment?locationid=28995327" TargetMode="External"/><Relationship Id="rId2520" Type="http://schemas.openxmlformats.org/officeDocument/2006/relationships/hyperlink" Target="https://salesxceleration.com/author/tdaly/" TargetMode="External"/><Relationship Id="rId3852" Type="http://schemas.openxmlformats.org/officeDocument/2006/relationships/hyperlink" Target="https://salesxceleration.com/sales-agility-assessment?locationid=28995327" TargetMode="External"/><Relationship Id="rId2521" Type="http://schemas.openxmlformats.org/officeDocument/2006/relationships/hyperlink" Target="https://salesxceleration.com/author/tdaly/" TargetMode="External"/><Relationship Id="rId3851" Type="http://schemas.openxmlformats.org/officeDocument/2006/relationships/hyperlink" Target="https://salesxceleration.com/sales-agility-assessment/?locationid=28995327" TargetMode="External"/><Relationship Id="rId2511" Type="http://schemas.openxmlformats.org/officeDocument/2006/relationships/hyperlink" Target="https://salesxceleration.com/wp-content/uploads/2022/04/Daly-Tom-1-275x275-1-100x100.jpg" TargetMode="External"/><Relationship Id="rId3843" Type="http://schemas.openxmlformats.org/officeDocument/2006/relationships/hyperlink" Target="https://salesxceleration.com/wp-content/uploads/2022/12/Recession.jpg" TargetMode="External"/><Relationship Id="rId2512" Type="http://schemas.openxmlformats.org/officeDocument/2006/relationships/hyperlink" Target="https://salesxceleration.com/wp-content/uploads/2022/04/Daly-Tom-1-275x275-1-100x100.jpg" TargetMode="External"/><Relationship Id="rId3842" Type="http://schemas.openxmlformats.org/officeDocument/2006/relationships/hyperlink" Target="https://salesxceleration.com/wp-content/uploads/2020/03/What_are_Sales_Metrics-1-2048x2048.jpg" TargetMode="External"/><Relationship Id="rId2513" Type="http://schemas.openxmlformats.org/officeDocument/2006/relationships/hyperlink" Target="https://salesxceleration.com/wp-content/uploads/2023/05/AI-for-Sales.jpg" TargetMode="External"/><Relationship Id="rId3845" Type="http://schemas.openxmlformats.org/officeDocument/2006/relationships/hyperlink" Target="https://salesxceleration.com/tactics-to-guarantee-your-team-will-dominate-the-new-year/" TargetMode="External"/><Relationship Id="rId2514" Type="http://schemas.openxmlformats.org/officeDocument/2006/relationships/hyperlink" Target="https://salesxceleration.com/wp-content/uploads/2023/05/AI-for-Sales.jpg" TargetMode="External"/><Relationship Id="rId3844" Type="http://schemas.openxmlformats.org/officeDocument/2006/relationships/hyperlink" Target="https://salesxceleration.com/wp-content/uploads/2022/12/Recession.jpg" TargetMode="External"/><Relationship Id="rId2515" Type="http://schemas.openxmlformats.org/officeDocument/2006/relationships/hyperlink" Target="https://salesxceleration.com/wp-content/uploads/2023/08/Enhance-Sales-Using-AI.jpg" TargetMode="External"/><Relationship Id="rId3847" Type="http://schemas.openxmlformats.org/officeDocument/2006/relationships/hyperlink" Target="https://salesxceleration.com/tactics-to-guarantee-your-team-will-dominate-the-new-year/" TargetMode="External"/><Relationship Id="rId2516" Type="http://schemas.openxmlformats.org/officeDocument/2006/relationships/hyperlink" Target="https://salesxceleration.com/wp-content/uploads/2023/08/Enhance-Sales-Using-AI.jpg" TargetMode="External"/><Relationship Id="rId3846" Type="http://schemas.openxmlformats.org/officeDocument/2006/relationships/hyperlink" Target="https://salesxceleration.com/tactics-to-guarantee-your-team-will-dominate-the-new-year/" TargetMode="External"/><Relationship Id="rId2517" Type="http://schemas.openxmlformats.org/officeDocument/2006/relationships/hyperlink" Target="https://salesxceleration.com/sales-agility-assessment?locationid=29820526" TargetMode="External"/><Relationship Id="rId3849" Type="http://schemas.openxmlformats.org/officeDocument/2006/relationships/hyperlink" Target="https://salesxceleration.com/wp-content/uploads/2024/06/Lawson-Kevin-100x100.jpg" TargetMode="External"/><Relationship Id="rId2518" Type="http://schemas.openxmlformats.org/officeDocument/2006/relationships/hyperlink" Target="https://salesxceleration.com/sales-agility-assessment/?locationid=29820526" TargetMode="External"/><Relationship Id="rId3848" Type="http://schemas.openxmlformats.org/officeDocument/2006/relationships/hyperlink" Target="https://salesxceleration.com/wp-content/uploads/2024/06/Lawson-Kevin-100x100.jpg" TargetMode="External"/><Relationship Id="rId2519" Type="http://schemas.openxmlformats.org/officeDocument/2006/relationships/hyperlink" Target="https://salesxceleration.com/sales-agility-assessment?locationid=29820526" TargetMode="External"/><Relationship Id="rId3841" Type="http://schemas.openxmlformats.org/officeDocument/2006/relationships/hyperlink" Target="https://salesxceleration.com/wp-content/uploads/2020/03/What_are_Sales_Metrics-1-2048x2048.jpg" TargetMode="External"/><Relationship Id="rId2510" Type="http://schemas.openxmlformats.org/officeDocument/2006/relationships/hyperlink" Target="https://salesxceleration.com/crm-definition-and-tips-for-success/" TargetMode="External"/><Relationship Id="rId3840" Type="http://schemas.openxmlformats.org/officeDocument/2006/relationships/hyperlink" Target="https://salesxceleration.com/wp-content/uploads/2020/05/hiring-skilled-sales-reps-image-2048x2048.jpg" TargetMode="External"/><Relationship Id="rId1290" Type="http://schemas.openxmlformats.org/officeDocument/2006/relationships/hyperlink" Target="https://salesxceleration.com/news-events/transform-your-sales-performance-with-rain-group-and-sales-xceleration/" TargetMode="External"/><Relationship Id="rId1291" Type="http://schemas.openxmlformats.org/officeDocument/2006/relationships/hyperlink" Target="https://salesxceleration.com/news-events/transform-your-sales-performance-with-rain-group-and-sales-xceleration/" TargetMode="External"/><Relationship Id="rId1292" Type="http://schemas.openxmlformats.org/officeDocument/2006/relationships/hyperlink" Target="https://salesxceleration.com/news-events/sales-xceleration-continues-to-expand-footprint-adds-six-new-sales-consultants/" TargetMode="External"/><Relationship Id="rId1293" Type="http://schemas.openxmlformats.org/officeDocument/2006/relationships/hyperlink" Target="https://salesxceleration.com/news-events/sales-xceleration-continues-to-expand-footprint-adds-six-new-sales-consultants/" TargetMode="External"/><Relationship Id="rId1294" Type="http://schemas.openxmlformats.org/officeDocument/2006/relationships/hyperlink" Target="https://salesxceleration.com/news-events/sales-xceleration-continues-to-expand-footprint-adds-six-new-sales-consultants/" TargetMode="External"/><Relationship Id="rId1295" Type="http://schemas.openxmlformats.org/officeDocument/2006/relationships/hyperlink" Target="https://salesxceleration.com/news-events/sales-xceleration-named-one-of-silicon-reviews-50-fastest-growing-companies-of-2022/" TargetMode="External"/><Relationship Id="rId1296" Type="http://schemas.openxmlformats.org/officeDocument/2006/relationships/hyperlink" Target="https://salesxceleration.com/news-events/sales-xceleration-named-one-of-silicon-reviews-50-fastest-growing-companies-of-2022/" TargetMode="External"/><Relationship Id="rId1297" Type="http://schemas.openxmlformats.org/officeDocument/2006/relationships/hyperlink" Target="https://salesxceleration.com/news-events/sales-xceleration-named-one-of-silicon-reviews-50-fastest-growing-companies-of-2022/" TargetMode="External"/><Relationship Id="rId1298" Type="http://schemas.openxmlformats.org/officeDocument/2006/relationships/hyperlink" Target="https://salesxceleration.com/news-events/14-critical-features-to-include-for-an-effective-sales-page/" TargetMode="External"/><Relationship Id="rId1299" Type="http://schemas.openxmlformats.org/officeDocument/2006/relationships/hyperlink" Target="https://salesxceleration.com/news-events/14-critical-features-to-include-for-an-effective-sales-page/" TargetMode="External"/><Relationship Id="rId1280" Type="http://schemas.openxmlformats.org/officeDocument/2006/relationships/hyperlink" Target="https://salesxceleration.com/news-events/business-owners-continue-to-adopt-the-fractional-sales-model/" TargetMode="External"/><Relationship Id="rId1281" Type="http://schemas.openxmlformats.org/officeDocument/2006/relationships/hyperlink" Target="https://salesxceleration.com/news-events/business-owners-continue-to-adopt-the-fractional-sales-model/" TargetMode="External"/><Relationship Id="rId1282" Type="http://schemas.openxmlformats.org/officeDocument/2006/relationships/hyperlink" Target="https://salesxceleration.com/news-events/business-owners-continue-to-adopt-the-fractional-sales-model/" TargetMode="External"/><Relationship Id="rId1283" Type="http://schemas.openxmlformats.org/officeDocument/2006/relationships/hyperlink" Target="https://salesxceleration.com/news-events/new-outsourced-vps-of-sales-are-ready-to-build-a-path-to-more-sales/" TargetMode="External"/><Relationship Id="rId1284" Type="http://schemas.openxmlformats.org/officeDocument/2006/relationships/hyperlink" Target="https://salesxceleration.com/news-events/new-outsourced-vps-of-sales-are-ready-to-build-a-path-to-more-sales/" TargetMode="External"/><Relationship Id="rId1285" Type="http://schemas.openxmlformats.org/officeDocument/2006/relationships/hyperlink" Target="https://salesxceleration.com/news-events/new-outsourced-vps-of-sales-are-ready-to-build-a-path-to-more-sales/" TargetMode="External"/><Relationship Id="rId1286" Type="http://schemas.openxmlformats.org/officeDocument/2006/relationships/hyperlink" Target="https://salesxceleration.com/news-events/marks-new-book-hope-realized-available-now/" TargetMode="External"/><Relationship Id="rId1287" Type="http://schemas.openxmlformats.org/officeDocument/2006/relationships/hyperlink" Target="https://salesxceleration.com/news-events/marks-new-book-hope-realized-available-now/" TargetMode="External"/><Relationship Id="rId1288" Type="http://schemas.openxmlformats.org/officeDocument/2006/relationships/hyperlink" Target="https://salesxceleration.com/news-events/marks-new-book-hope-realized-available-now/" TargetMode="External"/><Relationship Id="rId1289" Type="http://schemas.openxmlformats.org/officeDocument/2006/relationships/hyperlink" Target="https://salesxceleration.com/news-events/transform-your-sales-performance-with-rain-group-and-sales-xceleration/" TargetMode="External"/><Relationship Id="rId1257" Type="http://schemas.openxmlformats.org/officeDocument/2006/relationships/hyperlink" Target="https://salesxceleration.com/news-events/press-release-inc-magazine-unveils-its-annual-list-of-americas-fastest-growing-private-companies-the-inc-5000/" TargetMode="External"/><Relationship Id="rId2588" Type="http://schemas.openxmlformats.org/officeDocument/2006/relationships/hyperlink" Target="https://salesxceleration.com/wp-content/themes/salesxceleratione/assets/css/style.css?ver=1769123354" TargetMode="External"/><Relationship Id="rId1258" Type="http://schemas.openxmlformats.org/officeDocument/2006/relationships/hyperlink" Target="https://salesxceleration.com/news-events/easy-online-sales-tool-helps-business-owners-assess-sales-deficiencies/" TargetMode="External"/><Relationship Id="rId2589" Type="http://schemas.openxmlformats.org/officeDocument/2006/relationships/hyperlink" Target="https://salesxceleration.com/wp-content/themes/salesxceleratione/assets/css/style.css?ver=1769123354" TargetMode="External"/><Relationship Id="rId1259" Type="http://schemas.openxmlformats.org/officeDocument/2006/relationships/hyperlink" Target="https://salesxceleration.com/news-events/easy-online-sales-tool-helps-business-owners-assess-sales-deficiencies/" TargetMode="External"/><Relationship Id="rId2580" Type="http://schemas.openxmlformats.org/officeDocument/2006/relationships/hyperlink" Target="https://salesxceleration.com/wp-content/uploads/2022/03/Case-Study_Healthcare_SX.pdf" TargetMode="External"/><Relationship Id="rId1250" Type="http://schemas.openxmlformats.org/officeDocument/2006/relationships/hyperlink" Target="https://salesxceleration.com/news-events/sales-xceleration-and-objective-management-group-partner-to-optimize-your-sales-team/" TargetMode="External"/><Relationship Id="rId2581" Type="http://schemas.openxmlformats.org/officeDocument/2006/relationships/hyperlink" Target="https://salesxceleration.com/wp-content/uploads/2022/03/Case-Study_Healthcare_SX.pdf" TargetMode="External"/><Relationship Id="rId1251" Type="http://schemas.openxmlformats.org/officeDocument/2006/relationships/hyperlink" Target="https://salesxceleration.com/news-events/sales-xceleration-and-objective-management-group-partner-to-optimize-your-sales-team/" TargetMode="External"/><Relationship Id="rId2582" Type="http://schemas.openxmlformats.org/officeDocument/2006/relationships/hyperlink" Target="https://salesxceleration.com/wp-content/uploads/2021/09/Case-Study_Manufacturing_Grew-6.2-YOY.pdf" TargetMode="External"/><Relationship Id="rId1252" Type="http://schemas.openxmlformats.org/officeDocument/2006/relationships/hyperlink" Target="https://salesxceleration.com/news-events/sales-xceleration-and-knowledgenet-ai-unveil-salesplaybookxpert-ai-the-ultimate-ai-assistant-for-sales-teams/" TargetMode="External"/><Relationship Id="rId2583" Type="http://schemas.openxmlformats.org/officeDocument/2006/relationships/hyperlink" Target="https://salesxceleration.com/wp-content/uploads/2021/09/Case-Study_Manufacturing_Grew-6.2-YOY.pdf" TargetMode="External"/><Relationship Id="rId1253" Type="http://schemas.openxmlformats.org/officeDocument/2006/relationships/hyperlink" Target="https://salesxceleration.com/news-events/sales-xceleration-and-knowledgenet-ai-unveil-salesplaybookxpert-ai-the-ultimate-ai-assistant-for-sales-teams/" TargetMode="External"/><Relationship Id="rId2584" Type="http://schemas.openxmlformats.org/officeDocument/2006/relationships/hyperlink" Target="https://salesxceleration.com/wp-content/uploads/elementor/css/post-16081.css?ver=1768853244" TargetMode="External"/><Relationship Id="rId1254" Type="http://schemas.openxmlformats.org/officeDocument/2006/relationships/hyperlink" Target="https://salesxceleration.com/news-events/sales-xceleration-and-knowledgenet-ai-unveil-salesplaybookxpert-ai-the-ultimate-ai-assistant-for-sales-teams/" TargetMode="External"/><Relationship Id="rId2585" Type="http://schemas.openxmlformats.org/officeDocument/2006/relationships/hyperlink" Target="https://salesxceleration.com/wp-content/uploads/elementor/css/post-16081.css?ver=1768853244" TargetMode="External"/><Relationship Id="rId1255" Type="http://schemas.openxmlformats.org/officeDocument/2006/relationships/hyperlink" Target="https://salesxceleration.com/news-events/press-release-inc-magazine-unveils-its-annual-list-of-americas-fastest-growing-private-companies-the-inc-5000/" TargetMode="External"/><Relationship Id="rId2586" Type="http://schemas.openxmlformats.org/officeDocument/2006/relationships/hyperlink" Target="https://salesxceleration.com/wp-content/uploads/2021/09/Case-Study_Technology_SX.pdf" TargetMode="External"/><Relationship Id="rId1256" Type="http://schemas.openxmlformats.org/officeDocument/2006/relationships/hyperlink" Target="https://salesxceleration.com/news-events/press-release-inc-magazine-unveils-its-annual-list-of-americas-fastest-growing-private-companies-the-inc-5000/" TargetMode="External"/><Relationship Id="rId2587" Type="http://schemas.openxmlformats.org/officeDocument/2006/relationships/hyperlink" Target="https://salesxceleration.com/wp-content/uploads/2021/09/Case-Study_Technology_SX.pdf" TargetMode="External"/><Relationship Id="rId1246" Type="http://schemas.openxmlformats.org/officeDocument/2006/relationships/hyperlink" Target="https://salesxceleration.com/news-events/sales-xceleration-achieves-4th-year-on-inc-5000-list-of-fastest-growing-companies/" TargetMode="External"/><Relationship Id="rId2577" Type="http://schemas.openxmlformats.org/officeDocument/2006/relationships/hyperlink" Target="https://salesxceleration.com/wp-content/uploads/elementor/css/post-25097.css?ver=1768864283" TargetMode="External"/><Relationship Id="rId1247" Type="http://schemas.openxmlformats.org/officeDocument/2006/relationships/hyperlink" Target="https://salesxceleration.com/news-events/sales-xceleration-achieves-4th-year-on-inc-5000-list-of-fastest-growing-companies/" TargetMode="External"/><Relationship Id="rId2578" Type="http://schemas.openxmlformats.org/officeDocument/2006/relationships/hyperlink" Target="https://salesxceleration.com/wp-content/uploads/2022/09/Technology-Case-Study-Thumbnail-2048x2048.jpg" TargetMode="External"/><Relationship Id="rId1248" Type="http://schemas.openxmlformats.org/officeDocument/2006/relationships/hyperlink" Target="https://salesxceleration.com/news-events/sales-xceleration-achieves-4th-year-on-inc-5000-list-of-fastest-growing-companies/" TargetMode="External"/><Relationship Id="rId2579" Type="http://schemas.openxmlformats.org/officeDocument/2006/relationships/hyperlink" Target="https://salesxceleration.com/wp-content/uploads/2022/09/Technology-Case-Study-Thumbnail-2048x2048.jpg" TargetMode="External"/><Relationship Id="rId1249" Type="http://schemas.openxmlformats.org/officeDocument/2006/relationships/hyperlink" Target="https://salesxceleration.com/news-events/sales-xceleration-and-objective-management-group-partner-to-optimize-your-sales-team/" TargetMode="External"/><Relationship Id="rId2570" Type="http://schemas.openxmlformats.org/officeDocument/2006/relationships/hyperlink" Target="https://salesxceleration.com/wp-content/uploads/elementor/css/post-70672.css?ver=1768864825" TargetMode="External"/><Relationship Id="rId1240" Type="http://schemas.openxmlformats.org/officeDocument/2006/relationships/hyperlink" Target="https://salesxceleration.com/news-events/raising-bar-higher-sales-xceleration-2018-annual-conference-recap/" TargetMode="External"/><Relationship Id="rId2571" Type="http://schemas.openxmlformats.org/officeDocument/2006/relationships/hyperlink" Target="https://salesxceleration.com/wp-content/uploads/elementor/css/post-70672.css?ver=1768864825" TargetMode="External"/><Relationship Id="rId1241" Type="http://schemas.openxmlformats.org/officeDocument/2006/relationships/hyperlink" Target="https://salesxceleration.com/news-events/raising-bar-higher-sales-xceleration-2018-annual-conference-recap/" TargetMode="External"/><Relationship Id="rId2572" Type="http://schemas.openxmlformats.org/officeDocument/2006/relationships/hyperlink" Target="https://salesxceleration.com/wp-content/themes/salesxceleratione/assets/css/style.css?ver=1769123352" TargetMode="External"/><Relationship Id="rId1242" Type="http://schemas.openxmlformats.org/officeDocument/2006/relationships/hyperlink" Target="https://salesxceleration.com/news-events/raising-bar-higher-sales-xceleration-2018-annual-conference-recap/" TargetMode="External"/><Relationship Id="rId2573" Type="http://schemas.openxmlformats.org/officeDocument/2006/relationships/hyperlink" Target="https://salesxceleration.com/wp-content/themes/salesxceleratione/assets/css/style.css?ver=1769123352" TargetMode="External"/><Relationship Id="rId1243" Type="http://schemas.openxmlformats.org/officeDocument/2006/relationships/hyperlink" Target="https://salesxceleration.com/news-events/sales-xceleration-welcomes-fractional-sales-leaders-across-key-markets/" TargetMode="External"/><Relationship Id="rId2574" Type="http://schemas.openxmlformats.org/officeDocument/2006/relationships/hyperlink" Target="https://salesxceleration.com/wp-content/themes/salesxceleratione/assets/css/style.css?ver=1769123353" TargetMode="External"/><Relationship Id="rId1244" Type="http://schemas.openxmlformats.org/officeDocument/2006/relationships/hyperlink" Target="https://salesxceleration.com/news-events/sales-xceleration-welcomes-fractional-sales-leaders-across-key-markets/" TargetMode="External"/><Relationship Id="rId2575" Type="http://schemas.openxmlformats.org/officeDocument/2006/relationships/hyperlink" Target="https://salesxceleration.com/wp-content/themes/salesxceleratione/assets/css/style.css?ver=1769123353" TargetMode="External"/><Relationship Id="rId1245" Type="http://schemas.openxmlformats.org/officeDocument/2006/relationships/hyperlink" Target="https://salesxceleration.com/news-events/sales-xceleration-welcomes-fractional-sales-leaders-across-key-markets/" TargetMode="External"/><Relationship Id="rId2576" Type="http://schemas.openxmlformats.org/officeDocument/2006/relationships/hyperlink" Target="https://salesxceleration.com/wp-content/uploads/elementor/css/post-25097.css?ver=1768864283" TargetMode="External"/><Relationship Id="rId1279" Type="http://schemas.openxmlformats.org/officeDocument/2006/relationships/hyperlink" Target="https://salesxceleration.com/news-events/eight-experienced-sales-leaders-join-sales-xceleration/" TargetMode="External"/><Relationship Id="rId1270" Type="http://schemas.openxmlformats.org/officeDocument/2006/relationships/hyperlink" Target="https://salesxceleration.com/news-events/kevin-shaughnessy-san-antonio-entrepreneurs/" TargetMode="External"/><Relationship Id="rId1271" Type="http://schemas.openxmlformats.org/officeDocument/2006/relationships/hyperlink" Target="https://salesxceleration.com/news-events/kevin-shaughnessy-san-antonio-entrepreneurs/" TargetMode="External"/><Relationship Id="rId1272" Type="http://schemas.openxmlformats.org/officeDocument/2006/relationships/hyperlink" Target="https://salesxceleration.com/news-events/kevin-shaughnessy-san-antonio-entrepreneurs/" TargetMode="External"/><Relationship Id="rId1273" Type="http://schemas.openxmlformats.org/officeDocument/2006/relationships/hyperlink" Target="https://salesxceleration.com/news-events/sales-xceleration-launches-sales-leadership-training-certification-program-genesis%E2%84%A0/" TargetMode="External"/><Relationship Id="rId1274" Type="http://schemas.openxmlformats.org/officeDocument/2006/relationships/hyperlink" Target="https://salesxceleration.com/news-events/the-firefly-group-invests-in-sales-xceleration-2/" TargetMode="External"/><Relationship Id="rId1275" Type="http://schemas.openxmlformats.org/officeDocument/2006/relationships/hyperlink" Target="https://salesxceleration.com/news-events/the-firefly-group-invests-in-sales-xceleration-2/" TargetMode="External"/><Relationship Id="rId1276" Type="http://schemas.openxmlformats.org/officeDocument/2006/relationships/hyperlink" Target="https://salesxceleration.com/news-events/the-firefly-group-invests-in-sales-xceleration-2/" TargetMode="External"/><Relationship Id="rId1277" Type="http://schemas.openxmlformats.org/officeDocument/2006/relationships/hyperlink" Target="https://salesxceleration.com/news-events/eight-experienced-sales-leaders-join-sales-xceleration/" TargetMode="External"/><Relationship Id="rId1278" Type="http://schemas.openxmlformats.org/officeDocument/2006/relationships/hyperlink" Target="https://salesxceleration.com/news-events/eight-experienced-sales-leaders-join-sales-xceleration/" TargetMode="External"/><Relationship Id="rId1268" Type="http://schemas.openxmlformats.org/officeDocument/2006/relationships/hyperlink" Target="https://salesxceleration.com/news-events/expansion-brings-time-tested-fractional-sales-leadership-to-australian-businesses-seeking-scalable-growth-solutions/" TargetMode="External"/><Relationship Id="rId2599" Type="http://schemas.openxmlformats.org/officeDocument/2006/relationships/hyperlink" Target="https://salesxceleration.com/wp-content/uploads/2019/12/manu-onepage-1.jpg" TargetMode="External"/><Relationship Id="rId1269" Type="http://schemas.openxmlformats.org/officeDocument/2006/relationships/hyperlink" Target="https://salesxceleration.com/news-events/expansion-brings-time-tested-fractional-sales-leadership-to-australian-businesses-seeking-scalable-growth-solutions/" TargetMode="External"/><Relationship Id="rId2590" Type="http://schemas.openxmlformats.org/officeDocument/2006/relationships/hyperlink" Target="https://salesxceleration.com/wp-content/uploads/2019/03/Case_Study_Manufacturing-page-1.jpg" TargetMode="External"/><Relationship Id="rId1260" Type="http://schemas.openxmlformats.org/officeDocument/2006/relationships/hyperlink" Target="https://salesxceleration.com/news-events/easy-online-sales-tool-helps-business-owners-assess-sales-deficiencies/" TargetMode="External"/><Relationship Id="rId2591" Type="http://schemas.openxmlformats.org/officeDocument/2006/relationships/hyperlink" Target="https://salesxceleration.com/wp-content/uploads/2019/03/Case_Study_Manufacturing-page-1.jpg" TargetMode="External"/><Relationship Id="rId1261" Type="http://schemas.openxmlformats.org/officeDocument/2006/relationships/hyperlink" Target="https://salesxceleration.com/news-events/sales-xceleration-advisors-dean-ash-chris-goade-team-dumas-capital-partners-present-sales-growth-series-8-drivers-company-value/" TargetMode="External"/><Relationship Id="rId2592" Type="http://schemas.openxmlformats.org/officeDocument/2006/relationships/hyperlink" Target="https://salesxceleration.com/wp-content/uploads/2019/12/streamline-manu-thumb-2048x2048.jpg" TargetMode="External"/><Relationship Id="rId1262" Type="http://schemas.openxmlformats.org/officeDocument/2006/relationships/hyperlink" Target="https://salesxceleration.com/news-events/sales-xceleration-advisors-dean-ash-chris-goade-team-dumas-capital-partners-present-sales-growth-series-8-drivers-company-value/" TargetMode="External"/><Relationship Id="rId2593" Type="http://schemas.openxmlformats.org/officeDocument/2006/relationships/hyperlink" Target="https://salesxceleration.com/wp-content/uploads/2019/12/streamline-manu-thumb-2048x2048.jpg" TargetMode="External"/><Relationship Id="rId1263" Type="http://schemas.openxmlformats.org/officeDocument/2006/relationships/hyperlink" Target="https://salesxceleration.com/news-events/sales-xceleration-advisors-dean-ash-chris-goade-team-dumas-capital-partners-present-sales-growth-series-8-drivers-company-value/" TargetMode="External"/><Relationship Id="rId2594" Type="http://schemas.openxmlformats.org/officeDocument/2006/relationships/hyperlink" Target="https://salesxceleration.com/wp-content/uploads/2019/12/Case-Study_Manufacturing-1.jpg" TargetMode="External"/><Relationship Id="rId1264" Type="http://schemas.openxmlformats.org/officeDocument/2006/relationships/hyperlink" Target="https://salesxceleration.com/news-events/sales-xceleration-responds-to-market-demand-with-new-advisors/" TargetMode="External"/><Relationship Id="rId2595" Type="http://schemas.openxmlformats.org/officeDocument/2006/relationships/hyperlink" Target="https://salesxceleration.com/wp-content/uploads/2019/12/Case-Study_Manufacturing-1.jpg" TargetMode="External"/><Relationship Id="rId1265" Type="http://schemas.openxmlformats.org/officeDocument/2006/relationships/hyperlink" Target="https://salesxceleration.com/news-events/sales-xceleration-responds-to-market-demand-with-new-advisors/" TargetMode="External"/><Relationship Id="rId2596" Type="http://schemas.openxmlformats.org/officeDocument/2006/relationships/hyperlink" Target="https://salesxceleration.com/wp-content/themes/salesxceleratione/assets/css/style.css?ver=1769123355" TargetMode="External"/><Relationship Id="rId1266" Type="http://schemas.openxmlformats.org/officeDocument/2006/relationships/hyperlink" Target="https://salesxceleration.com/news-events/sales-xceleration-responds-to-market-demand-with-new-advisors/" TargetMode="External"/><Relationship Id="rId2597" Type="http://schemas.openxmlformats.org/officeDocument/2006/relationships/hyperlink" Target="https://salesxceleration.com/wp-content/themes/salesxceleratione/assets/css/style.css?ver=1769123355" TargetMode="External"/><Relationship Id="rId1267" Type="http://schemas.openxmlformats.org/officeDocument/2006/relationships/hyperlink" Target="https://salesxceleration.com/news-events/expansion-brings-time-tested-fractional-sales-leadership-to-australian-businesses-seeking-scalable-growth-solutions/" TargetMode="External"/><Relationship Id="rId2598" Type="http://schemas.openxmlformats.org/officeDocument/2006/relationships/hyperlink" Target="https://salesxceleration.com/wp-content/uploads/2019/12/manu-onepage-1.jpg" TargetMode="External"/><Relationship Id="rId3070" Type="http://schemas.openxmlformats.org/officeDocument/2006/relationships/hyperlink" Target="https://salesxceleration.com/wp-content/themes/salesxceleratione/assets/css/style.css?ver=1769123493" TargetMode="External"/><Relationship Id="rId3072" Type="http://schemas.openxmlformats.org/officeDocument/2006/relationships/hyperlink" Target="https://salesxceleration.com/wp-content/uploads/elementor/css/post-65915.css?ver=1768878763" TargetMode="External"/><Relationship Id="rId3071" Type="http://schemas.openxmlformats.org/officeDocument/2006/relationships/hyperlink" Target="https://salesxceleration.com/wp-content/uploads/elementor/css/post-65915.css?ver=1768878763" TargetMode="External"/><Relationship Id="rId3074" Type="http://schemas.openxmlformats.org/officeDocument/2006/relationships/hyperlink" Target="https://salesxceleration.com/wp-content/uploads/elementor/thumbs/Fractional-Sales-Leader-working-with-Portfolio-Company-r21bbh5ybk2xbz3lorsb6g8hu0nek1luyclaw2bef4.jpg" TargetMode="External"/><Relationship Id="rId3073" Type="http://schemas.openxmlformats.org/officeDocument/2006/relationships/hyperlink" Target="https://salesxceleration.com/wp-content/uploads/elementor/thumbs/Fractional-Sales-Leader-working-with-Portfolio-Company-r21bbh5ybk2xbz3lorsb6g8hu0nek1luyclaw2bef4.jpg" TargetMode="External"/><Relationship Id="rId3076" Type="http://schemas.openxmlformats.org/officeDocument/2006/relationships/hyperlink" Target="https://salesxceleration.com/wp-content/uploads/2019/10/case-study-recruiting-1.jpg" TargetMode="External"/><Relationship Id="rId3075" Type="http://schemas.openxmlformats.org/officeDocument/2006/relationships/hyperlink" Target="https://salesxceleration.com/wp-content/uploads/2019/10/case-study-recruiting-1.jpg" TargetMode="External"/><Relationship Id="rId3078" Type="http://schemas.openxmlformats.org/officeDocument/2006/relationships/hyperlink" Target="https://salesxceleration.com/wp-content/uploads/2021/09/Case-Study_Recruiting.pdf" TargetMode="External"/><Relationship Id="rId3077" Type="http://schemas.openxmlformats.org/officeDocument/2006/relationships/hyperlink" Target="https://salesxceleration.com/wp-content/uploads/2021/09/Case-Study_Recruiting.pdf" TargetMode="External"/><Relationship Id="rId3079" Type="http://schemas.openxmlformats.org/officeDocument/2006/relationships/hyperlink" Target="https://salesxceleration.com/wp-content/themes/salesxceleratione/assets/css/style.css?ver=1769123494" TargetMode="External"/><Relationship Id="rId4390" Type="http://schemas.openxmlformats.org/officeDocument/2006/relationships/hyperlink" Target="https://salesxceleration.com/wp-content/themes/salesxceleratione/assets/css/style.css?ver=1769123522" TargetMode="External"/><Relationship Id="rId3061" Type="http://schemas.openxmlformats.org/officeDocument/2006/relationships/hyperlink" Target="https://salesxceleration.com/wp-content/plugins/elementor/assets/lib/animations/styles/slideInUp.min.css?ver=3.34.0" TargetMode="External"/><Relationship Id="rId4392" Type="http://schemas.openxmlformats.org/officeDocument/2006/relationships/hyperlink" Target="https://salesxceleration.com/wp-content/uploads/2022/04/Pila-Jay-100x100.jpg" TargetMode="External"/><Relationship Id="rId3060" Type="http://schemas.openxmlformats.org/officeDocument/2006/relationships/hyperlink" Target="https://salesxceleration.com/wp-content/plugins/elementor/assets/lib/animations/styles/slideInUp.min.css?ver=3.34.0" TargetMode="External"/><Relationship Id="rId4391" Type="http://schemas.openxmlformats.org/officeDocument/2006/relationships/hyperlink" Target="https://salesxceleration.com/wp-content/themes/salesxceleratione/assets/css/style.css?ver=1769123522" TargetMode="External"/><Relationship Id="rId3063" Type="http://schemas.openxmlformats.org/officeDocument/2006/relationships/hyperlink" Target="https://salesxceleration.com/wp-content/plugins/elementor-pro/assets/css/modules/motion-fx.min.css?ver=3.34.0" TargetMode="External"/><Relationship Id="rId4394" Type="http://schemas.openxmlformats.org/officeDocument/2006/relationships/hyperlink" Target="https://salesxceleration.com/wp-content/uploads/2024/09/Interviewing-Top-Sales-Talent.jpg" TargetMode="External"/><Relationship Id="rId3062" Type="http://schemas.openxmlformats.org/officeDocument/2006/relationships/hyperlink" Target="https://salesxceleration.com/wp-content/plugins/elementor-pro/assets/css/modules/motion-fx.min.css?ver=3.34.0" TargetMode="External"/><Relationship Id="rId4393" Type="http://schemas.openxmlformats.org/officeDocument/2006/relationships/hyperlink" Target="https://salesxceleration.com/wp-content/uploads/2022/04/Pila-Jay-100x100.jpg" TargetMode="External"/><Relationship Id="rId3065" Type="http://schemas.openxmlformats.org/officeDocument/2006/relationships/hyperlink" Target="https://salesxceleration.com/why-68-cant-trust-sales-forecasts-sales-xceleration/" TargetMode="External"/><Relationship Id="rId4396" Type="http://schemas.openxmlformats.org/officeDocument/2006/relationships/hyperlink" Target="https://salesxceleration.com/wp-content/uploads/2022/04/Spafford-Chris-275x275-1-100x100.jpg" TargetMode="External"/><Relationship Id="rId3064" Type="http://schemas.openxmlformats.org/officeDocument/2006/relationships/hyperlink" Target="https://salesxceleration.com/why-68-cant-trust-sales-forecasts-sales-xceleration/" TargetMode="External"/><Relationship Id="rId4395" Type="http://schemas.openxmlformats.org/officeDocument/2006/relationships/hyperlink" Target="https://salesxceleration.com/wp-content/uploads/2024/09/Interviewing-Top-Sales-Talent.jpg" TargetMode="External"/><Relationship Id="rId3067" Type="http://schemas.openxmlformats.org/officeDocument/2006/relationships/hyperlink" Target="https://salesxceleration.com/wp-content/uploads/elementor/thumbs/Strategy_Quarterly-Meetings-qsxwbixohdmoj0xm8y98p52eoutoxl6c26x557j2rk.jpg" TargetMode="External"/><Relationship Id="rId4398" Type="http://schemas.openxmlformats.org/officeDocument/2006/relationships/hyperlink" Target="https://salesxceleration.com/wp-content/uploads/2025/11/Attracting-Top-Tier-Sales-Professionals.jpg" TargetMode="External"/><Relationship Id="rId3066" Type="http://schemas.openxmlformats.org/officeDocument/2006/relationships/hyperlink" Target="https://salesxceleration.com/why-68-cant-trust-sales-forecasts-sales-xceleration/" TargetMode="External"/><Relationship Id="rId4397" Type="http://schemas.openxmlformats.org/officeDocument/2006/relationships/hyperlink" Target="https://salesxceleration.com/wp-content/uploads/2022/04/Spafford-Chris-275x275-1-100x100.jpg" TargetMode="External"/><Relationship Id="rId3069" Type="http://schemas.openxmlformats.org/officeDocument/2006/relationships/hyperlink" Target="https://salesxceleration.com/wp-content/themes/salesxceleratione/assets/css/style.css?ver=1769123493" TargetMode="External"/><Relationship Id="rId3068" Type="http://schemas.openxmlformats.org/officeDocument/2006/relationships/hyperlink" Target="https://salesxceleration.com/wp-content/uploads/elementor/thumbs/Strategy_Quarterly-Meetings-qsxwbixohdmoj0xm8y98p52eoutoxl6c26x557j2rk.jpg" TargetMode="External"/><Relationship Id="rId4399" Type="http://schemas.openxmlformats.org/officeDocument/2006/relationships/hyperlink" Target="https://salesxceleration.com/wp-content/uploads/2025/11/Attracting-Top-Tier-Sales-Professionals.jpg" TargetMode="External"/><Relationship Id="rId3090" Type="http://schemas.openxmlformats.org/officeDocument/2006/relationships/hyperlink" Target="https://salesxceleration.com/wp-content/themes/salesxceleratione/assets/css/style.css?ver=1769123495" TargetMode="External"/><Relationship Id="rId3092" Type="http://schemas.openxmlformats.org/officeDocument/2006/relationships/hyperlink" Target="https://salesxceleration.com/wp-content/uploads/2019/10/hvac-pageone.jpg" TargetMode="External"/><Relationship Id="rId3091" Type="http://schemas.openxmlformats.org/officeDocument/2006/relationships/hyperlink" Target="https://salesxceleration.com/wp-content/uploads/2019/10/hvac-pageone.jpg" TargetMode="External"/><Relationship Id="rId3094" Type="http://schemas.openxmlformats.org/officeDocument/2006/relationships/hyperlink" Target="https://salesxceleration.com/wp-content/uploads/2020/09/cs-hvac-full-1-2048x2048.jpg" TargetMode="External"/><Relationship Id="rId3093" Type="http://schemas.openxmlformats.org/officeDocument/2006/relationships/hyperlink" Target="https://salesxceleration.com/wp-content/uploads/2020/09/cs-hvac-full-1-2048x2048.jpg" TargetMode="External"/><Relationship Id="rId3096" Type="http://schemas.openxmlformats.org/officeDocument/2006/relationships/hyperlink" Target="https://salesxceleration.com/wp-content/uploads/elementor/css/post-17816.css?ver=1768858407" TargetMode="External"/><Relationship Id="rId3095" Type="http://schemas.openxmlformats.org/officeDocument/2006/relationships/hyperlink" Target="https://salesxceleration.com/wp-content/uploads/elementor/css/post-17816.css?ver=1768858407" TargetMode="External"/><Relationship Id="rId3098" Type="http://schemas.openxmlformats.org/officeDocument/2006/relationships/hyperlink" Target="https://salesxceleration.com/wp-content/uploads/2020/09/Case-Study_Industry_HVAC_SX-Website.pdf" TargetMode="External"/><Relationship Id="rId3097" Type="http://schemas.openxmlformats.org/officeDocument/2006/relationships/hyperlink" Target="https://salesxceleration.com/wp-content/uploads/2020/09/Case-Study_Industry_HVAC_SX-Website.pdf" TargetMode="External"/><Relationship Id="rId3099" Type="http://schemas.openxmlformats.org/officeDocument/2006/relationships/hyperlink" Target="https://salesxceleration.com/wp-content/uploads/elementor/css/post-16417.css?ver=1768870837" TargetMode="External"/><Relationship Id="rId3081" Type="http://schemas.openxmlformats.org/officeDocument/2006/relationships/hyperlink" Target="https://salesxceleration.com/wp-content/uploads/2021/09/Case_Study_Handheld_Equipment_Manufacturing.pdf" TargetMode="External"/><Relationship Id="rId3080" Type="http://schemas.openxmlformats.org/officeDocument/2006/relationships/hyperlink" Target="https://salesxceleration.com/wp-content/themes/salesxceleratione/assets/css/style.css?ver=1769123494" TargetMode="External"/><Relationship Id="rId3083" Type="http://schemas.openxmlformats.org/officeDocument/2006/relationships/hyperlink" Target="https://salesxceleration.com/wp-content/uploads/2019/12/streamline-manu-thumb.jpg-1.webp" TargetMode="External"/><Relationship Id="rId3082" Type="http://schemas.openxmlformats.org/officeDocument/2006/relationships/hyperlink" Target="https://salesxceleration.com/wp-content/uploads/2021/09/Case_Study_Handheld_Equipment_Manufacturing.pdf" TargetMode="External"/><Relationship Id="rId3085" Type="http://schemas.openxmlformats.org/officeDocument/2006/relationships/hyperlink" Target="https://salesxceleration.com/wp-content/uploads/elementor/css/post-15927.css?ver=1768862549" TargetMode="External"/><Relationship Id="rId3084" Type="http://schemas.openxmlformats.org/officeDocument/2006/relationships/hyperlink" Target="https://salesxceleration.com/wp-content/uploads/2019/12/streamline-manu-thumb.jpg-1.webp" TargetMode="External"/><Relationship Id="rId3087" Type="http://schemas.openxmlformats.org/officeDocument/2006/relationships/hyperlink" Target="https://salesxceleration.com/wp-content/uploads/elementor/thumbs/Healthcare-Managed-Services-Team-r21bbv9j62m864j4efvppuoeqspwri5u0adl37qhts.jpg" TargetMode="External"/><Relationship Id="rId3086" Type="http://schemas.openxmlformats.org/officeDocument/2006/relationships/hyperlink" Target="https://salesxceleration.com/wp-content/uploads/elementor/css/post-15927.css?ver=1768862549" TargetMode="External"/><Relationship Id="rId3089" Type="http://schemas.openxmlformats.org/officeDocument/2006/relationships/hyperlink" Target="https://salesxceleration.com/wp-content/themes/salesxceleratione/assets/css/style.css?ver=1769123495" TargetMode="External"/><Relationship Id="rId3088" Type="http://schemas.openxmlformats.org/officeDocument/2006/relationships/hyperlink" Target="https://salesxceleration.com/wp-content/uploads/elementor/thumbs/Healthcare-Managed-Services-Team-r21bbv9j62m864j4efvppuoeqspwri5u0adl37qhts.jpg" TargetMode="External"/><Relationship Id="rId3039" Type="http://schemas.openxmlformats.org/officeDocument/2006/relationships/hyperlink" Target="https://salesxceleration.com/wp-content/themes/salesxceleratione/assets/css/style.css?ver=1769123490" TargetMode="External"/><Relationship Id="rId5691" Type="http://schemas.openxmlformats.org/officeDocument/2006/relationships/hyperlink" Target="https://salesxceleration.com/wp-content/themes/salesxceleratione/assets/css/style.css?ver=1769123661" TargetMode="External"/><Relationship Id="rId5692" Type="http://schemas.openxmlformats.org/officeDocument/2006/relationships/hyperlink" Target="https://salesxceleration.com/wp-content/uploads/2021/06/competitive-analysis-500.jpg" TargetMode="External"/><Relationship Id="rId3030" Type="http://schemas.openxmlformats.org/officeDocument/2006/relationships/hyperlink" Target="https://salesxceleration.com/wp-content/uploads/2019/10/pr-case-study-thumb-2048x2048.jpg" TargetMode="External"/><Relationship Id="rId4361" Type="http://schemas.openxmlformats.org/officeDocument/2006/relationships/hyperlink" Target="https://salesxceleration.com/wp-content/uploads/2016/04/sales-compensation-plan-part-2-2048x2048.jpg" TargetMode="External"/><Relationship Id="rId4360" Type="http://schemas.openxmlformats.org/officeDocument/2006/relationships/hyperlink" Target="https://salesxceleration.com/wp-content/uploads/2016/04/sales-compensation-plan-part-2-2048x2048.jpg" TargetMode="External"/><Relationship Id="rId5690" Type="http://schemas.openxmlformats.org/officeDocument/2006/relationships/hyperlink" Target="https://salesxceleration.com/wp-content/themes/salesxceleratione/assets/css/style.css?ver=1769123661" TargetMode="External"/><Relationship Id="rId3032" Type="http://schemas.openxmlformats.org/officeDocument/2006/relationships/hyperlink" Target="https://salesxceleration.com/wp-content/uploads/2019/03/marketing-case-study1-2048x2048.jpg" TargetMode="External"/><Relationship Id="rId4363" Type="http://schemas.openxmlformats.org/officeDocument/2006/relationships/hyperlink" Target="https://salesxceleration.com/wp-content/uploads/2017/07/shutterstock_392367181-1-2048x2048.jpg" TargetMode="External"/><Relationship Id="rId5695" Type="http://schemas.openxmlformats.org/officeDocument/2006/relationships/hyperlink" Target="https://salesxceleration.com/no-access/" TargetMode="External"/><Relationship Id="rId3031" Type="http://schemas.openxmlformats.org/officeDocument/2006/relationships/hyperlink" Target="https://salesxceleration.com/wp-content/uploads/2019/10/pr-case-study-thumb-2048x2048.jpg" TargetMode="External"/><Relationship Id="rId4362" Type="http://schemas.openxmlformats.org/officeDocument/2006/relationships/hyperlink" Target="https://salesxceleration.com/wp-content/uploads/2017/07/shutterstock_392367181-1-2048x2048.jpg" TargetMode="External"/><Relationship Id="rId5696" Type="http://schemas.openxmlformats.org/officeDocument/2006/relationships/hyperlink" Target="https://salesxceleration.com/no-access/" TargetMode="External"/><Relationship Id="rId3034" Type="http://schemas.openxmlformats.org/officeDocument/2006/relationships/hyperlink" Target="https://salesxceleration.com/wp-content/uploads/2019/07/2019-07-18_161018-768x439.jpg" TargetMode="External"/><Relationship Id="rId4365" Type="http://schemas.openxmlformats.org/officeDocument/2006/relationships/hyperlink" Target="https://salesxceleration.com/wp-content/themes/salesxceleratione/assets/css/style.css?ver=1769123521" TargetMode="External"/><Relationship Id="rId5693" Type="http://schemas.openxmlformats.org/officeDocument/2006/relationships/hyperlink" Target="https://salesxceleration.com/wp-content/uploads/2021/06/competitive-analysis-500.jpg" TargetMode="External"/><Relationship Id="rId3033" Type="http://schemas.openxmlformats.org/officeDocument/2006/relationships/hyperlink" Target="https://salesxceleration.com/wp-content/uploads/2019/03/marketing-case-study1-2048x2048.jpg" TargetMode="External"/><Relationship Id="rId4364" Type="http://schemas.openxmlformats.org/officeDocument/2006/relationships/hyperlink" Target="https://salesxceleration.com/wp-content/themes/salesxceleratione/assets/css/style.css?ver=1769123521" TargetMode="External"/><Relationship Id="rId5694" Type="http://schemas.openxmlformats.org/officeDocument/2006/relationships/hyperlink" Target="https://salesxceleration.com/no-access/" TargetMode="External"/><Relationship Id="rId3036" Type="http://schemas.openxmlformats.org/officeDocument/2006/relationships/hyperlink" Target="https://salesxceleration.com/wp-content/uploads/elementor/css/post-27203.css?ver=1768846144" TargetMode="External"/><Relationship Id="rId4367" Type="http://schemas.openxmlformats.org/officeDocument/2006/relationships/hyperlink" Target="https://salesxceleration.com/cant-get-no-sales-satisfaction-sales-lessons-learned-rolling-stones-part-2/" TargetMode="External"/><Relationship Id="rId5699" Type="http://schemas.openxmlformats.org/officeDocument/2006/relationships/hyperlink" Target="https://salesxceleration.com/sales-agility-assessment/?locationid=27833113" TargetMode="External"/><Relationship Id="rId3035" Type="http://schemas.openxmlformats.org/officeDocument/2006/relationships/hyperlink" Target="https://salesxceleration.com/wp-content/uploads/2019/07/2019-07-18_161018-768x439.jpg" TargetMode="External"/><Relationship Id="rId4366" Type="http://schemas.openxmlformats.org/officeDocument/2006/relationships/hyperlink" Target="https://salesxceleration.com/cant-get-no-sales-satisfaction-sales-lessons-learned-rolling-stones-part-2/" TargetMode="External"/><Relationship Id="rId3038" Type="http://schemas.openxmlformats.org/officeDocument/2006/relationships/hyperlink" Target="https://salesxceleration.com/wp-content/themes/salesxceleratione/assets/css/style.css?ver=1769123490" TargetMode="External"/><Relationship Id="rId4369" Type="http://schemas.openxmlformats.org/officeDocument/2006/relationships/hyperlink" Target="https://salesxceleration.com/wp-content/uploads/2017/04/RSpt2-1-2048x2048.jpg" TargetMode="External"/><Relationship Id="rId5697" Type="http://schemas.openxmlformats.org/officeDocument/2006/relationships/hyperlink" Target="https://salesxceleration.com/sales-agility-assessment/?locationid=27833113" TargetMode="External"/><Relationship Id="rId3037" Type="http://schemas.openxmlformats.org/officeDocument/2006/relationships/hyperlink" Target="https://salesxceleration.com/wp-content/uploads/elementor/css/post-27203.css?ver=1768846144" TargetMode="External"/><Relationship Id="rId4368" Type="http://schemas.openxmlformats.org/officeDocument/2006/relationships/hyperlink" Target="https://salesxceleration.com/cant-get-no-sales-satisfaction-sales-lessons-learned-rolling-stones-part-2/" TargetMode="External"/><Relationship Id="rId5698" Type="http://schemas.openxmlformats.org/officeDocument/2006/relationships/hyperlink" Target="https://salesxceleration.com/sales-agility-assessment/" TargetMode="External"/><Relationship Id="rId3029" Type="http://schemas.openxmlformats.org/officeDocument/2006/relationships/hyperlink" Target="https://salesxceleration.com/wp-content/uploads/elementor/css/post-46203.css?ver=1768864040" TargetMode="External"/><Relationship Id="rId3028" Type="http://schemas.openxmlformats.org/officeDocument/2006/relationships/hyperlink" Target="https://salesxceleration.com/wp-content/uploads/elementor/css/post-46203.css?ver=1768864040" TargetMode="External"/><Relationship Id="rId4359" Type="http://schemas.openxmlformats.org/officeDocument/2006/relationships/hyperlink" Target="https://salesxceleration.com/wp-content/uploads/2023/10/Hire-Top-Sales-Talent.jpg" TargetMode="External"/><Relationship Id="rId5680" Type="http://schemas.openxmlformats.org/officeDocument/2006/relationships/hyperlink" Target="https://salesxceleration.com/wp-content/uploads/2023/06/Target-Market-Analysis-Checklist.pdf" TargetMode="External"/><Relationship Id="rId5681" Type="http://schemas.openxmlformats.org/officeDocument/2006/relationships/hyperlink" Target="https://salesxceleration.com/wp-content/uploads/2023/06/Target-Market-Analysis-Checklist.pdf" TargetMode="External"/><Relationship Id="rId4350" Type="http://schemas.openxmlformats.org/officeDocument/2006/relationships/hyperlink" Target="https://salesxceleration.com/the-success-formula-for-your-next-chapter-as-a-sales-leadership-professional/" TargetMode="External"/><Relationship Id="rId3021" Type="http://schemas.openxmlformats.org/officeDocument/2006/relationships/hyperlink" Target="https://salesxceleration.com/wp-content/uploads/2025/12/Influencer-Marketing-Agency-Building-a-Future-Proof-Sales-Infrastructure-Jackie-Beatty-Updated-12.4.25-2.pdf" TargetMode="External"/><Relationship Id="rId4352" Type="http://schemas.openxmlformats.org/officeDocument/2006/relationships/hyperlink" Target="https://salesxceleration.com/?download=27869" TargetMode="External"/><Relationship Id="rId5684" Type="http://schemas.openxmlformats.org/officeDocument/2006/relationships/hyperlink" Target="https://salesxceleration.com/wp-content/themes/salesxceleratione/assets/css/style.css?ver=1769123664" TargetMode="External"/><Relationship Id="rId3020" Type="http://schemas.openxmlformats.org/officeDocument/2006/relationships/hyperlink" Target="https://salesxceleration.com/wp-content/uploads/2024/06/Medical-Equipment-Healthcare-Improving-Sales-Infrastructure-for-Long-Term-Success.pdf" TargetMode="External"/><Relationship Id="rId4351" Type="http://schemas.openxmlformats.org/officeDocument/2006/relationships/hyperlink" Target="https://salesxceleration.com/infographics/job-description-template/" TargetMode="External"/><Relationship Id="rId5685" Type="http://schemas.openxmlformats.org/officeDocument/2006/relationships/hyperlink" Target="https://salesxceleration.com/wp-content/themes/salesxceleratione/assets/css/style.css?ver=1769123664" TargetMode="External"/><Relationship Id="rId3023" Type="http://schemas.openxmlformats.org/officeDocument/2006/relationships/hyperlink" Target="https://salesxceleration.com/five-steps-to-master-personalization-in-sales/" TargetMode="External"/><Relationship Id="rId4354" Type="http://schemas.openxmlformats.org/officeDocument/2006/relationships/hyperlink" Target="https://salesxceleration.com/wp-content/uploads/2023/10/Download-Onboarding-Guides.jpg" TargetMode="External"/><Relationship Id="rId5682" Type="http://schemas.openxmlformats.org/officeDocument/2006/relationships/hyperlink" Target="https://salesxceleration.com/wp-content/uploads/2023/06/Image.jpg" TargetMode="External"/><Relationship Id="rId3022" Type="http://schemas.openxmlformats.org/officeDocument/2006/relationships/hyperlink" Target="https://salesxceleration.com/wp-content/uploads/2025/12/Influencer-Marketing-Agency-Building-a-Future-Proof-Sales-Infrastructure-Jackie-Beatty-Updated-12.4.25-2.pdf" TargetMode="External"/><Relationship Id="rId4353" Type="http://schemas.openxmlformats.org/officeDocument/2006/relationships/hyperlink" Target="https://salesxceleration.com/infographics/job-description-template/" TargetMode="External"/><Relationship Id="rId5683" Type="http://schemas.openxmlformats.org/officeDocument/2006/relationships/hyperlink" Target="https://salesxceleration.com/wp-content/uploads/2023/06/Image.jpg" TargetMode="External"/><Relationship Id="rId3025" Type="http://schemas.openxmlformats.org/officeDocument/2006/relationships/hyperlink" Target="https://salesxceleration.com/five-steps-to-master-personalization-in-sales/" TargetMode="External"/><Relationship Id="rId4356" Type="http://schemas.openxmlformats.org/officeDocument/2006/relationships/hyperlink" Target="https://salesxceleration.com/wp-content/uploads/2016/08/Life-support-2048x2048.png" TargetMode="External"/><Relationship Id="rId5688" Type="http://schemas.openxmlformats.org/officeDocument/2006/relationships/hyperlink" Target="https://salesxceleration.com/wp-content/uploads/2022/12/Recession-Proof-Sales-Strategy.jpg" TargetMode="External"/><Relationship Id="rId3024" Type="http://schemas.openxmlformats.org/officeDocument/2006/relationships/hyperlink" Target="https://salesxceleration.com/five-steps-to-master-personalization-in-sales/" TargetMode="External"/><Relationship Id="rId4355" Type="http://schemas.openxmlformats.org/officeDocument/2006/relationships/hyperlink" Target="https://salesxceleration.com/wp-content/uploads/2023/10/Download-Onboarding-Guides.jpg" TargetMode="External"/><Relationship Id="rId5689" Type="http://schemas.openxmlformats.org/officeDocument/2006/relationships/hyperlink" Target="https://salesxceleration.com/wp-content/uploads/2022/12/Recession-Proof-Sales-Strategy.jpg" TargetMode="External"/><Relationship Id="rId3027" Type="http://schemas.openxmlformats.org/officeDocument/2006/relationships/hyperlink" Target="https://salesxceleration.com/wp-content/uploads/2019/11/marketing-thumb-2048x2048.jpg" TargetMode="External"/><Relationship Id="rId4358" Type="http://schemas.openxmlformats.org/officeDocument/2006/relationships/hyperlink" Target="https://salesxceleration.com/wp-content/uploads/2023/10/Hire-Top-Sales-Talent.jpg" TargetMode="External"/><Relationship Id="rId5686" Type="http://schemas.openxmlformats.org/officeDocument/2006/relationships/hyperlink" Target="https://salesxceleration.com/wp-content/themes/salesxceleratione/assets/css/style.css?ver=1769123662" TargetMode="External"/><Relationship Id="rId3026" Type="http://schemas.openxmlformats.org/officeDocument/2006/relationships/hyperlink" Target="https://salesxceleration.com/wp-content/uploads/2019/11/marketing-thumb-2048x2048.jpg" TargetMode="External"/><Relationship Id="rId4357" Type="http://schemas.openxmlformats.org/officeDocument/2006/relationships/hyperlink" Target="https://salesxceleration.com/wp-content/uploads/2016/08/Life-support-2048x2048.png" TargetMode="External"/><Relationship Id="rId5687" Type="http://schemas.openxmlformats.org/officeDocument/2006/relationships/hyperlink" Target="https://salesxceleration.com/wp-content/themes/salesxceleratione/assets/css/style.css?ver=1769123662" TargetMode="External"/><Relationship Id="rId3050" Type="http://schemas.openxmlformats.org/officeDocument/2006/relationships/hyperlink" Target="https://salesxceleration.com/wp-content/uploads/2019/11/retail-thumb-768x439.jpg" TargetMode="External"/><Relationship Id="rId4381" Type="http://schemas.openxmlformats.org/officeDocument/2006/relationships/hyperlink" Target="https://salesxceleration.com/wp-content/uploads/elementor/css/post-27773.css?ver=1768919942" TargetMode="External"/><Relationship Id="rId4380" Type="http://schemas.openxmlformats.org/officeDocument/2006/relationships/hyperlink" Target="https://salesxceleration.com/wp-content/uploads/2024/11/Hiring-Strategies-to-Avoid-the-Wrong-Hire.jpg" TargetMode="External"/><Relationship Id="rId3052" Type="http://schemas.openxmlformats.org/officeDocument/2006/relationships/hyperlink" Target="https://salesxceleration.com/wp-content/uploads/2026/01/Why-68-of-Companies-Cant-Trust-Their-Sales-Forecasts-300x200.jpg" TargetMode="External"/><Relationship Id="rId4383" Type="http://schemas.openxmlformats.org/officeDocument/2006/relationships/hyperlink" Target="https://salesxceleration.com/wp-content/uploads/2023/05/pod-thumb.jpg" TargetMode="External"/><Relationship Id="rId3051" Type="http://schemas.openxmlformats.org/officeDocument/2006/relationships/hyperlink" Target="https://salesxceleration.com/wp-content/uploads/2019/11/retail-thumb-768x439.jpg" TargetMode="External"/><Relationship Id="rId4382" Type="http://schemas.openxmlformats.org/officeDocument/2006/relationships/hyperlink" Target="https://salesxceleration.com/wp-content/uploads/elementor/css/post-27773.css?ver=1768919942" TargetMode="External"/><Relationship Id="rId3054" Type="http://schemas.openxmlformats.org/officeDocument/2006/relationships/hyperlink" Target="https://salesxceleration.com/wp-content/uploads/2019/05/case-study-thumb-768x440.jpg" TargetMode="External"/><Relationship Id="rId4385" Type="http://schemas.openxmlformats.org/officeDocument/2006/relationships/hyperlink" Target="https://salesxceleration.com/wp-content/uploads/2020/12/shutterstock_633365168-scaled-1-2048x2048.jpg" TargetMode="External"/><Relationship Id="rId3053" Type="http://schemas.openxmlformats.org/officeDocument/2006/relationships/hyperlink" Target="https://salesxceleration.com/wp-content/uploads/2026/01/Why-68-of-Companies-Cant-Trust-Their-Sales-Forecasts-300x200.jpg" TargetMode="External"/><Relationship Id="rId4384" Type="http://schemas.openxmlformats.org/officeDocument/2006/relationships/hyperlink" Target="https://salesxceleration.com/wp-content/uploads/2023/05/pod-thumb.jpg" TargetMode="External"/><Relationship Id="rId3056" Type="http://schemas.openxmlformats.org/officeDocument/2006/relationships/hyperlink" Target="https://salesxceleration.com/wp-content/uploads/2019/11/construction-thumb-768x430.jpg" TargetMode="External"/><Relationship Id="rId4387" Type="http://schemas.openxmlformats.org/officeDocument/2006/relationships/hyperlink" Target="https://salesxceleration.com/throwback-old-school-sales-5-foundational-steps-always-hold-true/" TargetMode="External"/><Relationship Id="rId3055" Type="http://schemas.openxmlformats.org/officeDocument/2006/relationships/hyperlink" Target="https://salesxceleration.com/wp-content/uploads/2019/05/case-study-thumb-768x440.jpg" TargetMode="External"/><Relationship Id="rId4386" Type="http://schemas.openxmlformats.org/officeDocument/2006/relationships/hyperlink" Target="https://salesxceleration.com/wp-content/uploads/2020/12/shutterstock_633365168-scaled-1-2048x2048.jpg" TargetMode="External"/><Relationship Id="rId3058" Type="http://schemas.openxmlformats.org/officeDocument/2006/relationships/hyperlink" Target="https://salesxceleration.com/wp-content/uploads/elementor/css/post-52090.css?ver=1768847962" TargetMode="External"/><Relationship Id="rId4389" Type="http://schemas.openxmlformats.org/officeDocument/2006/relationships/hyperlink" Target="https://salesxceleration.com/throwback-old-school-sales-5-foundational-steps-always-hold-true/" TargetMode="External"/><Relationship Id="rId3057" Type="http://schemas.openxmlformats.org/officeDocument/2006/relationships/hyperlink" Target="https://salesxceleration.com/wp-content/uploads/2019/11/construction-thumb-768x430.jpg" TargetMode="External"/><Relationship Id="rId4388" Type="http://schemas.openxmlformats.org/officeDocument/2006/relationships/hyperlink" Target="https://salesxceleration.com/throwback-old-school-sales-5-foundational-steps-always-hold-true/" TargetMode="External"/><Relationship Id="rId3059" Type="http://schemas.openxmlformats.org/officeDocument/2006/relationships/hyperlink" Target="https://salesxceleration.com/wp-content/uploads/elementor/css/post-52090.css?ver=1768847962" TargetMode="External"/><Relationship Id="rId4370" Type="http://schemas.openxmlformats.org/officeDocument/2006/relationships/hyperlink" Target="https://salesxceleration.com/wp-content/uploads/2017/04/RSpt2-1-2048x2048.jpg" TargetMode="External"/><Relationship Id="rId3041" Type="http://schemas.openxmlformats.org/officeDocument/2006/relationships/hyperlink" Target="https://salesxceleration.com/wp-content/uploads/2019/12/manu-case-thumb-768x440.jpg" TargetMode="External"/><Relationship Id="rId4372" Type="http://schemas.openxmlformats.org/officeDocument/2006/relationships/hyperlink" Target="https://salesxceleration.com/sales-compensation-plans-part-2-sales-comp-plan-look-like/" TargetMode="External"/><Relationship Id="rId3040" Type="http://schemas.openxmlformats.org/officeDocument/2006/relationships/hyperlink" Target="https://salesxceleration.com/wp-content/uploads/2019/12/manu-case-thumb-768x440.jpg" TargetMode="External"/><Relationship Id="rId4371" Type="http://schemas.openxmlformats.org/officeDocument/2006/relationships/hyperlink" Target="https://salesxceleration.com/sales-compensation-plans-part-2-sales-comp-plan-look-like/" TargetMode="External"/><Relationship Id="rId3043" Type="http://schemas.openxmlformats.org/officeDocument/2006/relationships/hyperlink" Target="https://salesxceleration.com/wp-content/uploads/2021/07/thumb-Case-Study_Manufacturing_Grew-6-768x421.jpg" TargetMode="External"/><Relationship Id="rId4374" Type="http://schemas.openxmlformats.org/officeDocument/2006/relationships/hyperlink" Target="https://salesxceleration.com/sales-compensation-plan-life-support/" TargetMode="External"/><Relationship Id="rId3042" Type="http://schemas.openxmlformats.org/officeDocument/2006/relationships/hyperlink" Target="https://salesxceleration.com/wp-content/uploads/2021/07/thumb-Case-Study_Manufacturing_Grew-6-768x421.jpg" TargetMode="External"/><Relationship Id="rId4373" Type="http://schemas.openxmlformats.org/officeDocument/2006/relationships/hyperlink" Target="https://salesxceleration.com/sales-compensation-plans-part-2-sales-comp-plan-look-like/" TargetMode="External"/><Relationship Id="rId3045" Type="http://schemas.openxmlformats.org/officeDocument/2006/relationships/hyperlink" Target="https://salesxceleration.com/wp-content/plugins/elementor-pro/assets/css/widget-author-box.min.css?ver=3.34.0" TargetMode="External"/><Relationship Id="rId4376" Type="http://schemas.openxmlformats.org/officeDocument/2006/relationships/hyperlink" Target="https://salesxceleration.com/sales-compensation-plan-life-support/" TargetMode="External"/><Relationship Id="rId3044" Type="http://schemas.openxmlformats.org/officeDocument/2006/relationships/hyperlink" Target="https://salesxceleration.com/wp-content/plugins/elementor-pro/assets/css/widget-author-box.min.css?ver=3.34.0" TargetMode="External"/><Relationship Id="rId4375" Type="http://schemas.openxmlformats.org/officeDocument/2006/relationships/hyperlink" Target="https://salesxceleration.com/sales-compensation-plan-life-support/" TargetMode="External"/><Relationship Id="rId3047" Type="http://schemas.openxmlformats.org/officeDocument/2006/relationships/hyperlink" Target="https://salesxceleration.com/wp-content/uploads/2019/10/pr-case-study-thumb-768x443.jpg" TargetMode="External"/><Relationship Id="rId4378" Type="http://schemas.openxmlformats.org/officeDocument/2006/relationships/hyperlink" Target="https://salesxceleration.com/wp-content/uploads/2021/11/Job-Description-Template-1-1.pdf" TargetMode="External"/><Relationship Id="rId3046" Type="http://schemas.openxmlformats.org/officeDocument/2006/relationships/hyperlink" Target="https://salesxceleration.com/wp-content/uploads/2019/10/pr-case-study-thumb-768x443.jpg" TargetMode="External"/><Relationship Id="rId4377" Type="http://schemas.openxmlformats.org/officeDocument/2006/relationships/hyperlink" Target="https://salesxceleration.com/wp-content/uploads/2021/11/Job-Description-Template-1-1.pdf" TargetMode="External"/><Relationship Id="rId3049" Type="http://schemas.openxmlformats.org/officeDocument/2006/relationships/hyperlink" Target="https://salesxceleration.com/wp-content/uploads/2019/03/tech-case-study1-768x439.jpg" TargetMode="External"/><Relationship Id="rId3048" Type="http://schemas.openxmlformats.org/officeDocument/2006/relationships/hyperlink" Target="https://salesxceleration.com/wp-content/uploads/2019/03/tech-case-study1-768x439.jpg" TargetMode="External"/><Relationship Id="rId4379" Type="http://schemas.openxmlformats.org/officeDocument/2006/relationships/hyperlink" Target="https://salesxceleration.com/wp-content/uploads/2024/11/Hiring-Strategies-to-Avoid-the-Wrong-Hire.jpg" TargetMode="External"/><Relationship Id="rId5714" Type="http://schemas.openxmlformats.org/officeDocument/2006/relationships/hyperlink" Target="https://salesxceleration.com/should-your-salesperson-be-in-the-game-on-the-bench-or-off-the-team/" TargetMode="External"/><Relationship Id="rId5715" Type="http://schemas.openxmlformats.org/officeDocument/2006/relationships/hyperlink" Target="https://salesxceleration.com/should-your-salesperson-be-in-the-game-on-the-bench-or-off-the-team/" TargetMode="External"/><Relationship Id="rId5712" Type="http://schemas.openxmlformats.org/officeDocument/2006/relationships/hyperlink" Target="https://salesxceleration.com/wp-content/themes/salesxceleratione/assets/css/style.css?ver=1769123660" TargetMode="External"/><Relationship Id="rId5713" Type="http://schemas.openxmlformats.org/officeDocument/2006/relationships/hyperlink" Target="https://salesxceleration.com/should-your-salesperson-be-in-the-game-on-the-bench-or-off-the-team/" TargetMode="External"/><Relationship Id="rId5718" Type="http://schemas.openxmlformats.org/officeDocument/2006/relationships/hyperlink" Target="https://salesxceleration.com/active-listening-in-sales/" TargetMode="External"/><Relationship Id="rId5719" Type="http://schemas.openxmlformats.org/officeDocument/2006/relationships/hyperlink" Target="https://salesxceleration.com/wp-content/uploads/2023/03/Future-of-Sales-Disruptors.jpg" TargetMode="External"/><Relationship Id="rId5716" Type="http://schemas.openxmlformats.org/officeDocument/2006/relationships/hyperlink" Target="https://salesxceleration.com/active-listening-in-sales/" TargetMode="External"/><Relationship Id="rId5717" Type="http://schemas.openxmlformats.org/officeDocument/2006/relationships/hyperlink" Target="https://salesxceleration.com/active-listening-in-sales/" TargetMode="External"/><Relationship Id="rId5710" Type="http://schemas.openxmlformats.org/officeDocument/2006/relationships/hyperlink" Target="https://salesxceleration.com/wp-content/uploads/2018/03/shutterstock_231289921.jpg" TargetMode="External"/><Relationship Id="rId5711" Type="http://schemas.openxmlformats.org/officeDocument/2006/relationships/hyperlink" Target="https://salesxceleration.com/wp-content/themes/salesxceleratione/assets/css/style.css?ver=1769123660" TargetMode="External"/><Relationship Id="rId5703" Type="http://schemas.openxmlformats.org/officeDocument/2006/relationships/hyperlink" Target="https://salesxceleration.com/wp-content/uploads/2023/02/Remote-Work.jpeg" TargetMode="External"/><Relationship Id="rId5704" Type="http://schemas.openxmlformats.org/officeDocument/2006/relationships/hyperlink" Target="https://salesxceleration.com/wp-content/uploads/2019/06/shutterstock_387729373-resized-2048x2048.jpg" TargetMode="External"/><Relationship Id="rId5701" Type="http://schemas.openxmlformats.org/officeDocument/2006/relationships/hyperlink" Target="https://salesxceleration.com/wp-content/uploads/2018/11/shutterstock_145160692-scaled-2048x2048.jpg" TargetMode="External"/><Relationship Id="rId5702" Type="http://schemas.openxmlformats.org/officeDocument/2006/relationships/hyperlink" Target="https://salesxceleration.com/wp-content/uploads/2023/02/Remote-Work.jpeg" TargetMode="External"/><Relationship Id="rId5707" Type="http://schemas.openxmlformats.org/officeDocument/2006/relationships/hyperlink" Target="https://salesxceleration.com/why-sales-leadership-training-is-worth-the-investment/" TargetMode="External"/><Relationship Id="rId5708" Type="http://schemas.openxmlformats.org/officeDocument/2006/relationships/hyperlink" Target="https://salesxceleration.com/why-sales-leadership-training-is-worth-the-investment/" TargetMode="External"/><Relationship Id="rId5705" Type="http://schemas.openxmlformats.org/officeDocument/2006/relationships/hyperlink" Target="https://salesxceleration.com/wp-content/uploads/2019/06/shutterstock_387729373-resized-2048x2048.jpg" TargetMode="External"/><Relationship Id="rId5706" Type="http://schemas.openxmlformats.org/officeDocument/2006/relationships/hyperlink" Target="https://salesxceleration.com/why-sales-leadership-training-is-worth-the-investment/" TargetMode="External"/><Relationship Id="rId5709" Type="http://schemas.openxmlformats.org/officeDocument/2006/relationships/hyperlink" Target="https://salesxceleration.com/wp-content/uploads/2018/03/shutterstock_231289921.jpg" TargetMode="External"/><Relationship Id="rId5700" Type="http://schemas.openxmlformats.org/officeDocument/2006/relationships/hyperlink" Target="https://salesxceleration.com/wp-content/uploads/2018/11/shutterstock_145160692-scaled-2048x2048.jpg" TargetMode="External"/><Relationship Id="rId3117" Type="http://schemas.openxmlformats.org/officeDocument/2006/relationships/hyperlink" Target="https://salesxceleration.com/wp-content/uploads/elementor/css/post-25741.css?ver=1768901001" TargetMode="External"/><Relationship Id="rId4448" Type="http://schemas.openxmlformats.org/officeDocument/2006/relationships/hyperlink" Target="https://salesxceleration.com/is-poor-onboarding-sabotaging-your-sales-teams-success/" TargetMode="External"/><Relationship Id="rId3116" Type="http://schemas.openxmlformats.org/officeDocument/2006/relationships/hyperlink" Target="https://salesxceleration.com/wp-content/uploads/2020/02/Case_Study_Food___Agriculture.pdf" TargetMode="External"/><Relationship Id="rId4447" Type="http://schemas.openxmlformats.org/officeDocument/2006/relationships/hyperlink" Target="https://salesxceleration.com/how-to-secure-sales-talent-by-talking-compensation-during-recruiting/" TargetMode="External"/><Relationship Id="rId3119" Type="http://schemas.openxmlformats.org/officeDocument/2006/relationships/hyperlink" Target="https://salesxceleration.com/wp-content/uploads/2019/11/construction-thumb-2048x2048.jpg" TargetMode="External"/><Relationship Id="rId5778" Type="http://schemas.openxmlformats.org/officeDocument/2006/relationships/hyperlink" Target="https://salesxceleration.com/wp-content/themes/salesxceleratione/assets/css/style.css?ver=1769123656" TargetMode="External"/><Relationship Id="rId3118" Type="http://schemas.openxmlformats.org/officeDocument/2006/relationships/hyperlink" Target="https://salesxceleration.com/wp-content/uploads/elementor/css/post-25741.css?ver=1768901001" TargetMode="External"/><Relationship Id="rId4449" Type="http://schemas.openxmlformats.org/officeDocument/2006/relationships/hyperlink" Target="https://salesxceleration.com/is-poor-onboarding-sabotaging-your-sales-teams-success/" TargetMode="External"/><Relationship Id="rId5779" Type="http://schemas.openxmlformats.org/officeDocument/2006/relationships/hyperlink" Target="https://salesxceleration.com/wp-content/themes/salesxceleratione/assets/css/style.css?ver=1769123656" TargetMode="External"/><Relationship Id="rId4440" Type="http://schemas.openxmlformats.org/officeDocument/2006/relationships/hyperlink" Target="https://salesxceleration.com/hiring-smarter-the-importance-of-understanding-an-ideal-candidate-profile/" TargetMode="External"/><Relationship Id="rId5772" Type="http://schemas.openxmlformats.org/officeDocument/2006/relationships/hyperlink" Target="https://salesxceleration.com/wp-content/uploads/2020/03/sales-marketing-meeting-1.jpg" TargetMode="External"/><Relationship Id="rId5773" Type="http://schemas.openxmlformats.org/officeDocument/2006/relationships/hyperlink" Target="https://salesxceleration.com/how-to-create-a-contingency-plan-for-your-business/" TargetMode="External"/><Relationship Id="rId3111" Type="http://schemas.openxmlformats.org/officeDocument/2006/relationships/hyperlink" Target="https://salesxceleration.com/wp-content/uploads/2021/02/case-study-sx1-thumb-2048x2048.jpg" TargetMode="External"/><Relationship Id="rId4442" Type="http://schemas.openxmlformats.org/officeDocument/2006/relationships/hyperlink" Target="https://salesxceleration.com/sales-jobs-are-changing-how-to-keep-up-and-keep-talent/" TargetMode="External"/><Relationship Id="rId5770" Type="http://schemas.openxmlformats.org/officeDocument/2006/relationships/hyperlink" Target="https://salesxceleration.com/grace-under-fire-how-to-prepare-your-sales-pipeline-for-2021/" TargetMode="External"/><Relationship Id="rId3110" Type="http://schemas.openxmlformats.org/officeDocument/2006/relationships/hyperlink" Target="https://salesxceleration.com/wp-content/themes/salesxceleratione/assets/css/style.css?ver=1769123497" TargetMode="External"/><Relationship Id="rId4441" Type="http://schemas.openxmlformats.org/officeDocument/2006/relationships/hyperlink" Target="https://salesxceleration.com/hiring-smarter-the-importance-of-understanding-an-ideal-candidate-profile/" TargetMode="External"/><Relationship Id="rId5771" Type="http://schemas.openxmlformats.org/officeDocument/2006/relationships/hyperlink" Target="https://salesxceleration.com/wp-content/uploads/2020/03/sales-marketing-meeting-1.jpg" TargetMode="External"/><Relationship Id="rId3113" Type="http://schemas.openxmlformats.org/officeDocument/2006/relationships/hyperlink" Target="https://salesxceleration.com/wp-content/uploads/2019/03/marketing-case-study1-1.jpg" TargetMode="External"/><Relationship Id="rId4444" Type="http://schemas.openxmlformats.org/officeDocument/2006/relationships/hyperlink" Target="https://salesxceleration.com/sales-jobs-are-changing-how-to-keep-up-and-keep-talent/" TargetMode="External"/><Relationship Id="rId5776" Type="http://schemas.openxmlformats.org/officeDocument/2006/relationships/hyperlink" Target="https://salesxceleration.com/wp-content/uploads/elementor/css/post-28923.css?ver=1768910458" TargetMode="External"/><Relationship Id="rId3112" Type="http://schemas.openxmlformats.org/officeDocument/2006/relationships/hyperlink" Target="https://salesxceleration.com/wp-content/uploads/2021/02/case-study-sx1-thumb-2048x2048.jpg" TargetMode="External"/><Relationship Id="rId4443" Type="http://schemas.openxmlformats.org/officeDocument/2006/relationships/hyperlink" Target="https://salesxceleration.com/sales-jobs-are-changing-how-to-keep-up-and-keep-talent/" TargetMode="External"/><Relationship Id="rId5777" Type="http://schemas.openxmlformats.org/officeDocument/2006/relationships/hyperlink" Target="https://salesxceleration.com/wp-content/uploads/elementor/css/post-28923.css?ver=1768910458" TargetMode="External"/><Relationship Id="rId3115" Type="http://schemas.openxmlformats.org/officeDocument/2006/relationships/hyperlink" Target="https://salesxceleration.com/wp-content/uploads/2020/02/Case_Study_Food___Agriculture.pdf" TargetMode="External"/><Relationship Id="rId4446" Type="http://schemas.openxmlformats.org/officeDocument/2006/relationships/hyperlink" Target="https://salesxceleration.com/how-to-secure-sales-talent-by-talking-compensation-during-recruiting/" TargetMode="External"/><Relationship Id="rId5774" Type="http://schemas.openxmlformats.org/officeDocument/2006/relationships/hyperlink" Target="https://salesxceleration.com/how-to-create-a-contingency-plan-for-your-business/" TargetMode="External"/><Relationship Id="rId3114" Type="http://schemas.openxmlformats.org/officeDocument/2006/relationships/hyperlink" Target="https://salesxceleration.com/wp-content/uploads/2019/03/marketing-case-study1-1.jpg" TargetMode="External"/><Relationship Id="rId4445" Type="http://schemas.openxmlformats.org/officeDocument/2006/relationships/hyperlink" Target="https://salesxceleration.com/how-to-secure-sales-talent-by-talking-compensation-during-recruiting/" TargetMode="External"/><Relationship Id="rId5775" Type="http://schemas.openxmlformats.org/officeDocument/2006/relationships/hyperlink" Target="https://salesxceleration.com/how-to-create-a-contingency-plan-for-your-business/" TargetMode="External"/><Relationship Id="rId3106" Type="http://schemas.openxmlformats.org/officeDocument/2006/relationships/hyperlink" Target="https://salesxceleration.com/wp-content/themes/salesxceleratione/assets/css/style.css?ver=1769123496" TargetMode="External"/><Relationship Id="rId4437" Type="http://schemas.openxmlformats.org/officeDocument/2006/relationships/hyperlink" Target="https://salesxceleration.com/fueling-sales-by-building-the-best-sales-engine-part-2/" TargetMode="External"/><Relationship Id="rId5769" Type="http://schemas.openxmlformats.org/officeDocument/2006/relationships/hyperlink" Target="https://salesxceleration.com/grace-under-fire-how-to-prepare-your-sales-pipeline-for-2021/" TargetMode="External"/><Relationship Id="rId3105" Type="http://schemas.openxmlformats.org/officeDocument/2006/relationships/hyperlink" Target="https://salesxceleration.com/wp-content/themes/salesxceleratione/assets/css/style.css?ver=1769123496" TargetMode="External"/><Relationship Id="rId4436" Type="http://schemas.openxmlformats.org/officeDocument/2006/relationships/hyperlink" Target="https://salesxceleration.com/fueling-sales-by-building-the-best-sales-engine-part-2/" TargetMode="External"/><Relationship Id="rId3108" Type="http://schemas.openxmlformats.org/officeDocument/2006/relationships/hyperlink" Target="https://salesxceleration.com/wp-content/uploads/2022/03/Case-Study_Professional-Services_JL_SX.pdf" TargetMode="External"/><Relationship Id="rId4439" Type="http://schemas.openxmlformats.org/officeDocument/2006/relationships/hyperlink" Target="https://salesxceleration.com/hiring-smarter-the-importance-of-understanding-an-ideal-candidate-profile/" TargetMode="External"/><Relationship Id="rId5767" Type="http://schemas.openxmlformats.org/officeDocument/2006/relationships/hyperlink" Target="https://salesxceleration.com/wp-content/uploads/2020/12/Sales-Team-Building-a-Plan-scaled-1-2048x2048.jpg" TargetMode="External"/><Relationship Id="rId3107" Type="http://schemas.openxmlformats.org/officeDocument/2006/relationships/hyperlink" Target="https://salesxceleration.com/wp-content/uploads/2022/03/Case-Study_Professional-Services_JL_SX.pdf" TargetMode="External"/><Relationship Id="rId4438" Type="http://schemas.openxmlformats.org/officeDocument/2006/relationships/hyperlink" Target="https://salesxceleration.com/fueling-sales-by-building-the-best-sales-engine-part-2/" TargetMode="External"/><Relationship Id="rId5768" Type="http://schemas.openxmlformats.org/officeDocument/2006/relationships/hyperlink" Target="https://salesxceleration.com/grace-under-fire-how-to-prepare-your-sales-pipeline-for-2021/" TargetMode="External"/><Relationship Id="rId3109" Type="http://schemas.openxmlformats.org/officeDocument/2006/relationships/hyperlink" Target="https://salesxceleration.com/wp-content/themes/salesxceleratione/assets/css/style.css?ver=1769123497" TargetMode="External"/><Relationship Id="rId5761" Type="http://schemas.openxmlformats.org/officeDocument/2006/relationships/hyperlink" Target="https://salesxceleration.com/the-high-performance-traits-that-power-a-high-performance-sales-team/" TargetMode="External"/><Relationship Id="rId5762" Type="http://schemas.openxmlformats.org/officeDocument/2006/relationships/hyperlink" Target="https://salesxceleration.com/the-high-performance-traits-that-power-a-high-performance-sales-team/" TargetMode="External"/><Relationship Id="rId3100" Type="http://schemas.openxmlformats.org/officeDocument/2006/relationships/hyperlink" Target="https://salesxceleration.com/wp-content/uploads/elementor/css/post-16417.css?ver=1768870837" TargetMode="External"/><Relationship Id="rId4431" Type="http://schemas.openxmlformats.org/officeDocument/2006/relationships/hyperlink" Target="https://salesxceleration.com/hiring-a-sales-professional-use-fresh-strategies-to-sell-your-organization-to-top-talent/" TargetMode="External"/><Relationship Id="rId4430" Type="http://schemas.openxmlformats.org/officeDocument/2006/relationships/hyperlink" Target="https://salesxceleration.com/wp-content/uploads/2022/12/Job-Hopping-300x200.jpg" TargetMode="External"/><Relationship Id="rId5760" Type="http://schemas.openxmlformats.org/officeDocument/2006/relationships/hyperlink" Target="https://salesxceleration.com/wp-content/uploads/2020/11/sales-pipeline-2048x2048.jpg" TargetMode="External"/><Relationship Id="rId3102" Type="http://schemas.openxmlformats.org/officeDocument/2006/relationships/hyperlink" Target="https://salesxceleration.com/wp-content/uploads/2019/10/Case_Study_HVAC.pdf" TargetMode="External"/><Relationship Id="rId4433" Type="http://schemas.openxmlformats.org/officeDocument/2006/relationships/hyperlink" Target="https://salesxceleration.com/hiring-a-sales-professional-use-fresh-strategies-to-sell-your-organization-to-top-talent/" TargetMode="External"/><Relationship Id="rId5765" Type="http://schemas.openxmlformats.org/officeDocument/2006/relationships/hyperlink" Target="https://salesxceleration.com/wp-content/themes/salesxceleratione/assets/css/style.css?ver=1769123657" TargetMode="External"/><Relationship Id="rId3101" Type="http://schemas.openxmlformats.org/officeDocument/2006/relationships/hyperlink" Target="https://salesxceleration.com/wp-content/uploads/2019/10/Case_Study_HVAC.pdf" TargetMode="External"/><Relationship Id="rId4432" Type="http://schemas.openxmlformats.org/officeDocument/2006/relationships/hyperlink" Target="https://salesxceleration.com/hiring-a-sales-professional-use-fresh-strategies-to-sell-your-organization-to-top-talent/" TargetMode="External"/><Relationship Id="rId5766" Type="http://schemas.openxmlformats.org/officeDocument/2006/relationships/hyperlink" Target="https://salesxceleration.com/wp-content/uploads/2020/12/Sales-Team-Building-a-Plan-scaled-1-2048x2048.jpg" TargetMode="External"/><Relationship Id="rId3104" Type="http://schemas.openxmlformats.org/officeDocument/2006/relationships/hyperlink" Target="https://salesxceleration.com/wp-content/uploads/elementor/css/post-25098.css?ver=1768862526" TargetMode="External"/><Relationship Id="rId4435" Type="http://schemas.openxmlformats.org/officeDocument/2006/relationships/hyperlink" Target="https://salesxceleration.com/wp-content/uploads/2023/02/Hiring-Smarter-300x148.jpg" TargetMode="External"/><Relationship Id="rId5763" Type="http://schemas.openxmlformats.org/officeDocument/2006/relationships/hyperlink" Target="https://salesxceleration.com/the-high-performance-traits-that-power-a-high-performance-sales-team/" TargetMode="External"/><Relationship Id="rId3103" Type="http://schemas.openxmlformats.org/officeDocument/2006/relationships/hyperlink" Target="https://salesxceleration.com/wp-content/uploads/elementor/css/post-25098.css?ver=1768862526" TargetMode="External"/><Relationship Id="rId4434" Type="http://schemas.openxmlformats.org/officeDocument/2006/relationships/hyperlink" Target="https://salesxceleration.com/wp-content/uploads/2023/02/Hiring-Smarter-300x148.jpg" TargetMode="External"/><Relationship Id="rId5764" Type="http://schemas.openxmlformats.org/officeDocument/2006/relationships/hyperlink" Target="https://salesxceleration.com/wp-content/themes/salesxceleratione/assets/css/style.css?ver=1769123657" TargetMode="External"/><Relationship Id="rId3139" Type="http://schemas.openxmlformats.org/officeDocument/2006/relationships/hyperlink" Target="https://salesxceleration.com/wp-content/uploads/elementor/css/post-18658.css?ver=1768864365" TargetMode="External"/><Relationship Id="rId3138" Type="http://schemas.openxmlformats.org/officeDocument/2006/relationships/hyperlink" Target="https://salesxceleration.com/wp-content/uploads/2022/05/thumb-Case-Study_Construction-Paving_SX-1-2048x2048.jpg" TargetMode="External"/><Relationship Id="rId4469" Type="http://schemas.openxmlformats.org/officeDocument/2006/relationships/hyperlink" Target="https://salesxceleration.com/how-sales-teams-can-practice-proactive-rather-than-reactive-hiring/" TargetMode="External"/><Relationship Id="rId5790" Type="http://schemas.openxmlformats.org/officeDocument/2006/relationships/hyperlink" Target="https://salesxceleration.com/wp-content/uploads/2021/01/scrabble-4958237_1280-820x550-1-2048x2048.jpg" TargetMode="External"/><Relationship Id="rId5791" Type="http://schemas.openxmlformats.org/officeDocument/2006/relationships/hyperlink" Target="https://salesxceleration.com/wp-content/uploads/2021/01/scrabble-4958237_1280-820x550-1-2048x2048.jpg" TargetMode="External"/><Relationship Id="rId4460" Type="http://schemas.openxmlformats.org/officeDocument/2006/relationships/hyperlink" Target="https://salesxceleration.com/wp-content/uploads/2022/08/sales-jobs-are-changing-300x300.jpg" TargetMode="External"/><Relationship Id="rId3131" Type="http://schemas.openxmlformats.org/officeDocument/2006/relationships/hyperlink" Target="https://salesxceleration.com/wp-content/themes/salesxceleratione/assets/css/style.css?ver=1769123498" TargetMode="External"/><Relationship Id="rId4462" Type="http://schemas.openxmlformats.org/officeDocument/2006/relationships/hyperlink" Target="https://salesxceleration.com/wp-content/uploads/2022/04/Recruiting-Candidate-300x300.jpg" TargetMode="External"/><Relationship Id="rId5794" Type="http://schemas.openxmlformats.org/officeDocument/2006/relationships/hyperlink" Target="https://salesxceleration.com/wp-content/uploads/2020/09/Career-Crossroads-scaled-1.jpg" TargetMode="External"/><Relationship Id="rId3130" Type="http://schemas.openxmlformats.org/officeDocument/2006/relationships/hyperlink" Target="https://salesxceleration.com/wp-content/uploads/elementor/css/post-22928.css?ver=1768861625" TargetMode="External"/><Relationship Id="rId4461" Type="http://schemas.openxmlformats.org/officeDocument/2006/relationships/hyperlink" Target="https://salesxceleration.com/wp-content/uploads/2022/04/Recruiting-Candidate-300x300.jpg" TargetMode="External"/><Relationship Id="rId5795" Type="http://schemas.openxmlformats.org/officeDocument/2006/relationships/hyperlink" Target="https://salesxceleration.com/wp-content/uploads/2020/09/Career-Crossroads-scaled-1.jpg" TargetMode="External"/><Relationship Id="rId3133" Type="http://schemas.openxmlformats.org/officeDocument/2006/relationships/hyperlink" Target="https://salesxceleration.com/wp-content/uploads/elementor/css/post-25728.css?ver=1768865722" TargetMode="External"/><Relationship Id="rId4464" Type="http://schemas.openxmlformats.org/officeDocument/2006/relationships/hyperlink" Target="https://salesxceleration.com/how-job-hopping-is-hurting-your-sales/" TargetMode="External"/><Relationship Id="rId5792" Type="http://schemas.openxmlformats.org/officeDocument/2006/relationships/hyperlink" Target="https://salesxceleration.com/wp-content/uploads/2021/01/960x0.jpg" TargetMode="External"/><Relationship Id="rId3132" Type="http://schemas.openxmlformats.org/officeDocument/2006/relationships/hyperlink" Target="https://salesxceleration.com/wp-content/themes/salesxceleratione/assets/css/style.css?ver=1769123498" TargetMode="External"/><Relationship Id="rId4463" Type="http://schemas.openxmlformats.org/officeDocument/2006/relationships/hyperlink" Target="https://salesxceleration.com/how-job-hopping-is-hurting-your-sales/" TargetMode="External"/><Relationship Id="rId5793" Type="http://schemas.openxmlformats.org/officeDocument/2006/relationships/hyperlink" Target="https://salesxceleration.com/wp-content/uploads/2021/01/960x0.jpg" TargetMode="External"/><Relationship Id="rId3135" Type="http://schemas.openxmlformats.org/officeDocument/2006/relationships/hyperlink" Target="https://salesxceleration.com/wp-content/uploads/2022/04/Case-Study_Manufacturing_Calibration.pdf" TargetMode="External"/><Relationship Id="rId4466" Type="http://schemas.openxmlformats.org/officeDocument/2006/relationships/hyperlink" Target="https://salesxceleration.com/wp-content/uploads/2022/04/hiring-sales-talent-500-1-300x300.jpeg" TargetMode="External"/><Relationship Id="rId5798" Type="http://schemas.openxmlformats.org/officeDocument/2006/relationships/hyperlink" Target="https://salesxceleration.com/wp-content/uploads/2020/11/Stressed-Sales-Leader-scaled-1.jpg" TargetMode="External"/><Relationship Id="rId3134" Type="http://schemas.openxmlformats.org/officeDocument/2006/relationships/hyperlink" Target="https://salesxceleration.com/wp-content/uploads/elementor/css/post-25728.css?ver=1768865722" TargetMode="External"/><Relationship Id="rId4465" Type="http://schemas.openxmlformats.org/officeDocument/2006/relationships/hyperlink" Target="https://salesxceleration.com/how-job-hopping-is-hurting-your-sales/" TargetMode="External"/><Relationship Id="rId5799" Type="http://schemas.openxmlformats.org/officeDocument/2006/relationships/hyperlink" Target="https://salesxceleration.com/wp-content/uploads/2020/11/Stressed-Sales-Leader-scaled-1.jpg" TargetMode="External"/><Relationship Id="rId3137" Type="http://schemas.openxmlformats.org/officeDocument/2006/relationships/hyperlink" Target="https://salesxceleration.com/wp-content/uploads/2022/05/thumb-Case-Study_Construction-Paving_SX-1-2048x2048.jpg" TargetMode="External"/><Relationship Id="rId4468" Type="http://schemas.openxmlformats.org/officeDocument/2006/relationships/hyperlink" Target="https://salesxceleration.com/how-sales-teams-can-practice-proactive-rather-than-reactive-hiring/" TargetMode="External"/><Relationship Id="rId5796" Type="http://schemas.openxmlformats.org/officeDocument/2006/relationships/hyperlink" Target="https://salesxceleration.com/wp-content/uploads/2020/11/Happy-Sales-Leader-Leading-a-Meeting-scaled-1.jpg" TargetMode="External"/><Relationship Id="rId3136" Type="http://schemas.openxmlformats.org/officeDocument/2006/relationships/hyperlink" Target="https://salesxceleration.com/wp-content/uploads/2022/04/Case-Study_Manufacturing_Calibration.pdf" TargetMode="External"/><Relationship Id="rId4467" Type="http://schemas.openxmlformats.org/officeDocument/2006/relationships/hyperlink" Target="https://salesxceleration.com/wp-content/uploads/2022/04/hiring-sales-talent-500-1-300x300.jpeg" TargetMode="External"/><Relationship Id="rId5797" Type="http://schemas.openxmlformats.org/officeDocument/2006/relationships/hyperlink" Target="https://salesxceleration.com/wp-content/uploads/2020/11/Happy-Sales-Leader-Leading-a-Meeting-scaled-1.jpg" TargetMode="External"/><Relationship Id="rId3128" Type="http://schemas.openxmlformats.org/officeDocument/2006/relationships/hyperlink" Target="https://salesxceleration.com/wp-content/uploads/2022/05/Case-Study_Construction-Paving_SX-1.pdf" TargetMode="External"/><Relationship Id="rId4459" Type="http://schemas.openxmlformats.org/officeDocument/2006/relationships/hyperlink" Target="https://salesxceleration.com/wp-content/uploads/2022/08/sales-jobs-are-changing-300x300.jpg" TargetMode="External"/><Relationship Id="rId3127" Type="http://schemas.openxmlformats.org/officeDocument/2006/relationships/hyperlink" Target="https://salesxceleration.com/wp-content/uploads/2022/05/Case-Study_Construction-Paving_SX-1.pdf" TargetMode="External"/><Relationship Id="rId4458" Type="http://schemas.openxmlformats.org/officeDocument/2006/relationships/hyperlink" Target="https://salesxceleration.com/wp-content/uploads/2022/06/Proactive-Hiring-300x189.jpg" TargetMode="External"/><Relationship Id="rId5789" Type="http://schemas.openxmlformats.org/officeDocument/2006/relationships/hyperlink" Target="https://salesxceleration.com/5-tips-to-boost-your-sales-performance/" TargetMode="External"/><Relationship Id="rId3129" Type="http://schemas.openxmlformats.org/officeDocument/2006/relationships/hyperlink" Target="https://salesxceleration.com/wp-content/uploads/elementor/css/post-22928.css?ver=1768861625" TargetMode="External"/><Relationship Id="rId5780" Type="http://schemas.openxmlformats.org/officeDocument/2006/relationships/hyperlink" Target="https://salesxceleration.com/wp-content/uploads/elementor/css/post-72771.css?ver=1768848012" TargetMode="External"/><Relationship Id="rId3120" Type="http://schemas.openxmlformats.org/officeDocument/2006/relationships/hyperlink" Target="https://salesxceleration.com/wp-content/uploads/2019/11/construction-thumb-2048x2048.jpg" TargetMode="External"/><Relationship Id="rId4451" Type="http://schemas.openxmlformats.org/officeDocument/2006/relationships/hyperlink" Target="https://salesxceleration.com/wp-content/uploads/2023/04/Onboarding-for-Sales-Success-300x199.jpg" TargetMode="External"/><Relationship Id="rId5783" Type="http://schemas.openxmlformats.org/officeDocument/2006/relationships/hyperlink" Target="https://salesxceleration.com/out-with-the-old-in-with-the-new-rethinking-your-sales-framework/" TargetMode="External"/><Relationship Id="rId4450" Type="http://schemas.openxmlformats.org/officeDocument/2006/relationships/hyperlink" Target="https://salesxceleration.com/is-poor-onboarding-sabotaging-your-sales-teams-success/" TargetMode="External"/><Relationship Id="rId5784" Type="http://schemas.openxmlformats.org/officeDocument/2006/relationships/hyperlink" Target="https://salesxceleration.com/out-with-the-old-in-with-the-new-rethinking-your-sales-framework/" TargetMode="External"/><Relationship Id="rId3122" Type="http://schemas.openxmlformats.org/officeDocument/2006/relationships/hyperlink" Target="https://salesxceleration.com/wp-content/uploads/2020/01/manu_thumbnail-2048x2048.jpg" TargetMode="External"/><Relationship Id="rId4453" Type="http://schemas.openxmlformats.org/officeDocument/2006/relationships/hyperlink" Target="https://salesxceleration.com/wp-content/uploads/2022/10/Onboarding-300x300.jpg" TargetMode="External"/><Relationship Id="rId5781" Type="http://schemas.openxmlformats.org/officeDocument/2006/relationships/hyperlink" Target="https://salesxceleration.com/wp-content/uploads/elementor/css/post-72771.css?ver=1768848012" TargetMode="External"/><Relationship Id="rId3121" Type="http://schemas.openxmlformats.org/officeDocument/2006/relationships/hyperlink" Target="https://salesxceleration.com/wp-content/uploads/2020/01/manu_thumbnail-2048x2048.jpg" TargetMode="External"/><Relationship Id="rId4452" Type="http://schemas.openxmlformats.org/officeDocument/2006/relationships/hyperlink" Target="https://salesxceleration.com/wp-content/uploads/2023/04/Onboarding-for-Sales-Success-300x199.jpg" TargetMode="External"/><Relationship Id="rId5782" Type="http://schemas.openxmlformats.org/officeDocument/2006/relationships/hyperlink" Target="https://salesxceleration.com/out-with-the-old-in-with-the-new-rethinking-your-sales-framework/" TargetMode="External"/><Relationship Id="rId3124" Type="http://schemas.openxmlformats.org/officeDocument/2006/relationships/hyperlink" Target="https://salesxceleration.com/wp-content/uploads/2021/09/Case-Study_Marketing_March.pdf" TargetMode="External"/><Relationship Id="rId4455" Type="http://schemas.openxmlformats.org/officeDocument/2006/relationships/hyperlink" Target="https://salesxceleration.com/wp-content/uploads/2022/12/hiring-in-a-recession-300x180.jpg" TargetMode="External"/><Relationship Id="rId5787" Type="http://schemas.openxmlformats.org/officeDocument/2006/relationships/hyperlink" Target="https://salesxceleration.com/5-tips-to-boost-your-sales-performance/" TargetMode="External"/><Relationship Id="rId3123" Type="http://schemas.openxmlformats.org/officeDocument/2006/relationships/hyperlink" Target="https://salesxceleration.com/wp-content/uploads/2021/09/Case-Study_Marketing_March.pdf" TargetMode="External"/><Relationship Id="rId4454" Type="http://schemas.openxmlformats.org/officeDocument/2006/relationships/hyperlink" Target="https://salesxceleration.com/wp-content/uploads/2022/10/Onboarding-300x300.jpg" TargetMode="External"/><Relationship Id="rId5788" Type="http://schemas.openxmlformats.org/officeDocument/2006/relationships/hyperlink" Target="https://salesxceleration.com/5-tips-to-boost-your-sales-performance/" TargetMode="External"/><Relationship Id="rId3126" Type="http://schemas.openxmlformats.org/officeDocument/2006/relationships/hyperlink" Target="https://salesxceleration.com/wp-content/uploads/2022/05/thumb-Case-Study_Construction_SX-1-2048x2048.jpg" TargetMode="External"/><Relationship Id="rId4457" Type="http://schemas.openxmlformats.org/officeDocument/2006/relationships/hyperlink" Target="https://salesxceleration.com/wp-content/uploads/2022/06/Proactive-Hiring-300x189.jpg" TargetMode="External"/><Relationship Id="rId5785" Type="http://schemas.openxmlformats.org/officeDocument/2006/relationships/hyperlink" Target="https://salesxceleration.com/wp-content/themes/salesxceleratione/assets/css/style.css?ver=1769123654" TargetMode="External"/><Relationship Id="rId3125" Type="http://schemas.openxmlformats.org/officeDocument/2006/relationships/hyperlink" Target="https://salesxceleration.com/wp-content/uploads/2022/05/thumb-Case-Study_Construction_SX-1-2048x2048.jpg" TargetMode="External"/><Relationship Id="rId4456" Type="http://schemas.openxmlformats.org/officeDocument/2006/relationships/hyperlink" Target="https://salesxceleration.com/wp-content/uploads/2022/12/hiring-in-a-recession-300x180.jpg" TargetMode="External"/><Relationship Id="rId5786" Type="http://schemas.openxmlformats.org/officeDocument/2006/relationships/hyperlink" Target="https://salesxceleration.com/wp-content/themes/salesxceleratione/assets/css/style.css?ver=1769123654" TargetMode="External"/><Relationship Id="rId4404" Type="http://schemas.openxmlformats.org/officeDocument/2006/relationships/hyperlink" Target="https://salesxceleration.com/4-signs-it-might-be-time-to-outsource-sales-leadership/" TargetMode="External"/><Relationship Id="rId5736" Type="http://schemas.openxmlformats.org/officeDocument/2006/relationships/hyperlink" Target="https://salesxceleration.com/why-a-proper-sales-infrastructure-is-crucial-to-selling-your-business/" TargetMode="External"/><Relationship Id="rId4403" Type="http://schemas.openxmlformats.org/officeDocument/2006/relationships/hyperlink" Target="https://salesxceleration.com/4-signs-it-might-be-time-to-outsource-sales-leadership/" TargetMode="External"/><Relationship Id="rId5737" Type="http://schemas.openxmlformats.org/officeDocument/2006/relationships/hyperlink" Target="https://salesxceleration.com/why-a-proper-sales-infrastructure-is-crucial-to-selling-your-business/" TargetMode="External"/><Relationship Id="rId4406" Type="http://schemas.openxmlformats.org/officeDocument/2006/relationships/hyperlink" Target="https://salesxceleration.com/author/jpila/" TargetMode="External"/><Relationship Id="rId5734" Type="http://schemas.openxmlformats.org/officeDocument/2006/relationships/hyperlink" Target="https://salesxceleration.com/wp-content/uploads/2022/05/AI-in-Sales.jpg" TargetMode="External"/><Relationship Id="rId4405" Type="http://schemas.openxmlformats.org/officeDocument/2006/relationships/hyperlink" Target="https://salesxceleration.com/4-signs-it-might-be-time-to-outsource-sales-leadership/" TargetMode="External"/><Relationship Id="rId5735" Type="http://schemas.openxmlformats.org/officeDocument/2006/relationships/hyperlink" Target="https://salesxceleration.com/wp-content/uploads/2022/05/AI-in-Sales.jpg" TargetMode="External"/><Relationship Id="rId4408" Type="http://schemas.openxmlformats.org/officeDocument/2006/relationships/hyperlink" Target="https://salesxceleration.com/author/jpila/" TargetMode="External"/><Relationship Id="rId4407" Type="http://schemas.openxmlformats.org/officeDocument/2006/relationships/hyperlink" Target="https://salesxceleration.com/author/jpila/" TargetMode="External"/><Relationship Id="rId5738" Type="http://schemas.openxmlformats.org/officeDocument/2006/relationships/hyperlink" Target="https://salesxceleration.com/why-a-proper-sales-infrastructure-is-crucial-to-selling-your-business/" TargetMode="External"/><Relationship Id="rId4409" Type="http://schemas.openxmlformats.org/officeDocument/2006/relationships/hyperlink" Target="https://salesxceleration.com/wp-content/uploads/2022/03/Sales-Group-Meeting-300x300.jpg" TargetMode="External"/><Relationship Id="rId5739" Type="http://schemas.openxmlformats.org/officeDocument/2006/relationships/hyperlink" Target="https://salesxceleration.com/wp-content/uploads/2023/07/Overcome-Sales-Challenges.jpg" TargetMode="External"/><Relationship Id="rId4400" Type="http://schemas.openxmlformats.org/officeDocument/2006/relationships/hyperlink" Target="https://salesxceleration.com/sales-agility-assessment?locationid=29359900" TargetMode="External"/><Relationship Id="rId5732" Type="http://schemas.openxmlformats.org/officeDocument/2006/relationships/hyperlink" Target="https://salesxceleration.com/wp-content/uploads/2021/11/backpack-2048x2048.jpeg" TargetMode="External"/><Relationship Id="rId5733" Type="http://schemas.openxmlformats.org/officeDocument/2006/relationships/hyperlink" Target="https://salesxceleration.com/wp-content/uploads/2021/11/backpack-2048x2048.jpeg" TargetMode="External"/><Relationship Id="rId4402" Type="http://schemas.openxmlformats.org/officeDocument/2006/relationships/hyperlink" Target="https://salesxceleration.com/sales-agility-assessment?locationid=29359900" TargetMode="External"/><Relationship Id="rId5730" Type="http://schemas.openxmlformats.org/officeDocument/2006/relationships/hyperlink" Target="https://salesxceleration.com/4-leadership-lessons-i-learned-from-a-mountain-climbing-crisis/" TargetMode="External"/><Relationship Id="rId4401" Type="http://schemas.openxmlformats.org/officeDocument/2006/relationships/hyperlink" Target="https://salesxceleration.com/sales-agility-assessment/?locationid=29359900" TargetMode="External"/><Relationship Id="rId5731" Type="http://schemas.openxmlformats.org/officeDocument/2006/relationships/hyperlink" Target="https://salesxceleration.com/4-leadership-lessons-i-learned-from-a-mountain-climbing-crisis/" TargetMode="External"/><Relationship Id="rId5725" Type="http://schemas.openxmlformats.org/officeDocument/2006/relationships/hyperlink" Target="https://salesxceleration.com/wp-content/uploads/2022/09/Climbing-Mount-Whitney-California.jpg" TargetMode="External"/><Relationship Id="rId5726" Type="http://schemas.openxmlformats.org/officeDocument/2006/relationships/hyperlink" Target="https://salesxceleration.com/wp-content/uploads/2022/09/Climbing-Mount-Whitney-California.jpg" TargetMode="External"/><Relationship Id="rId5723" Type="http://schemas.openxmlformats.org/officeDocument/2006/relationships/hyperlink" Target="https://salesxceleration.com/wp-content/uploads/2021/08/choppy-blue-sea-with-blue-sky-and-sun-2048x2048.jpg" TargetMode="External"/><Relationship Id="rId5724" Type="http://schemas.openxmlformats.org/officeDocument/2006/relationships/hyperlink" Target="https://salesxceleration.com/wp-content/uploads/2021/08/choppy-blue-sea-with-blue-sky-and-sun-2048x2048.jpg" TargetMode="External"/><Relationship Id="rId5729" Type="http://schemas.openxmlformats.org/officeDocument/2006/relationships/hyperlink" Target="https://salesxceleration.com/4-leadership-lessons-i-learned-from-a-mountain-climbing-crisis/" TargetMode="External"/><Relationship Id="rId5727" Type="http://schemas.openxmlformats.org/officeDocument/2006/relationships/hyperlink" Target="https://salesxceleration.com/wp-content/uploads/2022/08/Remote-Sales-Team.jpg" TargetMode="External"/><Relationship Id="rId5728" Type="http://schemas.openxmlformats.org/officeDocument/2006/relationships/hyperlink" Target="https://salesxceleration.com/wp-content/uploads/2022/08/Remote-Sales-Team.jpg" TargetMode="External"/><Relationship Id="rId5721" Type="http://schemas.openxmlformats.org/officeDocument/2006/relationships/hyperlink" Target="https://salesxceleration.com/wp-content/uploads/2021/07/Exit-Strategy-scaled-1-2048x2048.jpg" TargetMode="External"/><Relationship Id="rId5722" Type="http://schemas.openxmlformats.org/officeDocument/2006/relationships/hyperlink" Target="https://salesxceleration.com/wp-content/uploads/2021/07/Exit-Strategy-scaled-1-2048x2048.jpg" TargetMode="External"/><Relationship Id="rId5720" Type="http://schemas.openxmlformats.org/officeDocument/2006/relationships/hyperlink" Target="https://salesxceleration.com/wp-content/uploads/2023/03/Future-of-Sales-Disruptors.jpg" TargetMode="External"/><Relationship Id="rId4426" Type="http://schemas.openxmlformats.org/officeDocument/2006/relationships/hyperlink" Target="https://salesxceleration.com/five-sales-recruiting-strategies-for-finding-top-sales-talent/" TargetMode="External"/><Relationship Id="rId5758" Type="http://schemas.openxmlformats.org/officeDocument/2006/relationships/hyperlink" Target="https://salesxceleration.com/wp-content/uploads/2021/01/working-at-desk-e1608576587284-1024x543-1-2048x2048.jpg" TargetMode="External"/><Relationship Id="rId4425" Type="http://schemas.openxmlformats.org/officeDocument/2006/relationships/hyperlink" Target="https://salesxceleration.com/five-sales-recruiting-strategies-for-finding-top-sales-talent/" TargetMode="External"/><Relationship Id="rId5759" Type="http://schemas.openxmlformats.org/officeDocument/2006/relationships/hyperlink" Target="https://salesxceleration.com/wp-content/uploads/2020/11/sales-pipeline-2048x2048.jpg" TargetMode="External"/><Relationship Id="rId4428" Type="http://schemas.openxmlformats.org/officeDocument/2006/relationships/hyperlink" Target="https://salesxceleration.com/wp-content/themes/salesxceleratione/assets/css/style.css?ver=1769123523" TargetMode="External"/><Relationship Id="rId5756" Type="http://schemas.openxmlformats.org/officeDocument/2006/relationships/hyperlink" Target="https://salesxceleration.com/six-essential-rules-for-motivating-your-sales-team-to-win-big/" TargetMode="External"/><Relationship Id="rId4427" Type="http://schemas.openxmlformats.org/officeDocument/2006/relationships/hyperlink" Target="https://salesxceleration.com/wp-content/themes/salesxceleratione/assets/css/style.css?ver=1769123523" TargetMode="External"/><Relationship Id="rId5757" Type="http://schemas.openxmlformats.org/officeDocument/2006/relationships/hyperlink" Target="https://salesxceleration.com/wp-content/uploads/2021/01/working-at-desk-e1608576587284-1024x543-1-2048x2048.jpg" TargetMode="External"/><Relationship Id="rId4429" Type="http://schemas.openxmlformats.org/officeDocument/2006/relationships/hyperlink" Target="https://salesxceleration.com/wp-content/uploads/2022/12/Job-Hopping-300x200.jpg" TargetMode="External"/><Relationship Id="rId5750" Type="http://schemas.openxmlformats.org/officeDocument/2006/relationships/hyperlink" Target="https://salesxceleration.com/wp-content/uploads/2020/03/Succeeding_as_a_sales_leader-1.jpg" TargetMode="External"/><Relationship Id="rId5751" Type="http://schemas.openxmlformats.org/officeDocument/2006/relationships/hyperlink" Target="https://salesxceleration.com/wp-content/uploads/2020/03/Succeeding_as_a_sales_leader-1.jpg" TargetMode="External"/><Relationship Id="rId4420" Type="http://schemas.openxmlformats.org/officeDocument/2006/relationships/hyperlink" Target="https://salesxceleration.com/in-person-vs-virtual-onboarding-which-is-best-for-your-team/" TargetMode="External"/><Relationship Id="rId4422" Type="http://schemas.openxmlformats.org/officeDocument/2006/relationships/hyperlink" Target="https://salesxceleration.com/wp-content/uploads/2022/03/Sales-Infrastructure-Meeting-300x300.jpg" TargetMode="External"/><Relationship Id="rId5754" Type="http://schemas.openxmlformats.org/officeDocument/2006/relationships/hyperlink" Target="https://salesxceleration.com/six-essential-rules-for-motivating-your-sales-team-to-win-big/" TargetMode="External"/><Relationship Id="rId4421" Type="http://schemas.openxmlformats.org/officeDocument/2006/relationships/hyperlink" Target="https://salesxceleration.com/in-person-vs-virtual-onboarding-which-is-best-for-your-team/" TargetMode="External"/><Relationship Id="rId5755" Type="http://schemas.openxmlformats.org/officeDocument/2006/relationships/hyperlink" Target="https://salesxceleration.com/six-essential-rules-for-motivating-your-sales-team-to-win-big/" TargetMode="External"/><Relationship Id="rId4424" Type="http://schemas.openxmlformats.org/officeDocument/2006/relationships/hyperlink" Target="https://salesxceleration.com/five-sales-recruiting-strategies-for-finding-top-sales-talent/" TargetMode="External"/><Relationship Id="rId5752" Type="http://schemas.openxmlformats.org/officeDocument/2006/relationships/hyperlink" Target="https://salesxceleration.com/wp-content/uploads/2020/11/sales-team-2048x2048.jpg" TargetMode="External"/><Relationship Id="rId4423" Type="http://schemas.openxmlformats.org/officeDocument/2006/relationships/hyperlink" Target="https://salesxceleration.com/wp-content/uploads/2022/03/Sales-Infrastructure-Meeting-300x300.jpg" TargetMode="External"/><Relationship Id="rId5753" Type="http://schemas.openxmlformats.org/officeDocument/2006/relationships/hyperlink" Target="https://salesxceleration.com/wp-content/uploads/2020/11/sales-team-2048x2048.jpg" TargetMode="External"/><Relationship Id="rId4415" Type="http://schemas.openxmlformats.org/officeDocument/2006/relationships/hyperlink" Target="https://salesxceleration.com/author/cspafford/" TargetMode="External"/><Relationship Id="rId5747" Type="http://schemas.openxmlformats.org/officeDocument/2006/relationships/hyperlink" Target="https://salesxceleration.com/wp-content/uploads/2019/10/https___specials-images.forbesimg.com_dam_imageserve_690357502_960x0-2048x2048.jpg" TargetMode="External"/><Relationship Id="rId4414" Type="http://schemas.openxmlformats.org/officeDocument/2006/relationships/hyperlink" Target="https://salesxceleration.com/author/cspafford/" TargetMode="External"/><Relationship Id="rId5748" Type="http://schemas.openxmlformats.org/officeDocument/2006/relationships/hyperlink" Target="https://salesxceleration.com/wp-content/themes/salesxceleratione/assets/css/style.css?ver=1769123658" TargetMode="External"/><Relationship Id="rId4417" Type="http://schemas.openxmlformats.org/officeDocument/2006/relationships/hyperlink" Target="https://salesxceleration.com/wp-content/uploads/2022/04/Finding-top-sales-talent-300x200.jpg" TargetMode="External"/><Relationship Id="rId5745" Type="http://schemas.openxmlformats.org/officeDocument/2006/relationships/hyperlink" Target="https://salesxceleration.com/why-you-must-start-the-new-year-with-a-well-defined-sales-plan/" TargetMode="External"/><Relationship Id="rId4416" Type="http://schemas.openxmlformats.org/officeDocument/2006/relationships/hyperlink" Target="https://salesxceleration.com/author/cspafford/" TargetMode="External"/><Relationship Id="rId5746" Type="http://schemas.openxmlformats.org/officeDocument/2006/relationships/hyperlink" Target="https://salesxceleration.com/wp-content/uploads/2019/10/https___specials-images.forbesimg.com_dam_imageserve_690357502_960x0-2048x2048.jpg" TargetMode="External"/><Relationship Id="rId4419" Type="http://schemas.openxmlformats.org/officeDocument/2006/relationships/hyperlink" Target="https://salesxceleration.com/in-person-vs-virtual-onboarding-which-is-best-for-your-team/" TargetMode="External"/><Relationship Id="rId4418" Type="http://schemas.openxmlformats.org/officeDocument/2006/relationships/hyperlink" Target="https://salesxceleration.com/wp-content/uploads/2022/04/Finding-top-sales-talent-300x200.jpg" TargetMode="External"/><Relationship Id="rId5749" Type="http://schemas.openxmlformats.org/officeDocument/2006/relationships/hyperlink" Target="https://salesxceleration.com/wp-content/themes/salesxceleratione/assets/css/style.css?ver=1769123658" TargetMode="External"/><Relationship Id="rId5740" Type="http://schemas.openxmlformats.org/officeDocument/2006/relationships/hyperlink" Target="https://salesxceleration.com/wp-content/uploads/2023/07/Overcome-Sales-Challenges.jpg" TargetMode="External"/><Relationship Id="rId4411" Type="http://schemas.openxmlformats.org/officeDocument/2006/relationships/hyperlink" Target="https://salesxceleration.com/sales-agility-assessment/?locationid=23153235" TargetMode="External"/><Relationship Id="rId5743" Type="http://schemas.openxmlformats.org/officeDocument/2006/relationships/hyperlink" Target="https://salesxceleration.com/why-you-must-start-the-new-year-with-a-well-defined-sales-plan/" TargetMode="External"/><Relationship Id="rId4410" Type="http://schemas.openxmlformats.org/officeDocument/2006/relationships/hyperlink" Target="https://salesxceleration.com/wp-content/uploads/2022/03/Sales-Group-Meeting-300x300.jpg" TargetMode="External"/><Relationship Id="rId5744" Type="http://schemas.openxmlformats.org/officeDocument/2006/relationships/hyperlink" Target="https://salesxceleration.com/why-you-must-start-the-new-year-with-a-well-defined-sales-plan/" TargetMode="External"/><Relationship Id="rId4413" Type="http://schemas.openxmlformats.org/officeDocument/2006/relationships/hyperlink" Target="https://salesxceleration.com/sales-agility-assessment/?locationid=23153235" TargetMode="External"/><Relationship Id="rId5741" Type="http://schemas.openxmlformats.org/officeDocument/2006/relationships/hyperlink" Target="https://salesxceleration.com/wp-content/themes/salesxceleratione/assets/css/style.css?ver=1769123659" TargetMode="External"/><Relationship Id="rId4412" Type="http://schemas.openxmlformats.org/officeDocument/2006/relationships/hyperlink" Target="https://salesxceleration.com/sales-agility-assessment/" TargetMode="External"/><Relationship Id="rId5742" Type="http://schemas.openxmlformats.org/officeDocument/2006/relationships/hyperlink" Target="https://salesxceleration.com/wp-content/themes/salesxceleratione/assets/css/style.css?ver=1769123659" TargetMode="External"/><Relationship Id="rId3191" Type="http://schemas.openxmlformats.org/officeDocument/2006/relationships/hyperlink" Target="https://salesxceleration.com/wp-content/uploads/2019/07/Case-Study_Logistics-1.pdf" TargetMode="External"/><Relationship Id="rId3190" Type="http://schemas.openxmlformats.org/officeDocument/2006/relationships/hyperlink" Target="https://salesxceleration.com/wp-content/uploads/2019/07/Case-Study_Logistics-1-1.jpg" TargetMode="External"/><Relationship Id="rId3193" Type="http://schemas.openxmlformats.org/officeDocument/2006/relationships/hyperlink" Target="https://salesxceleration.com/wp-content/themes/salesxceleratione/assets/css/style.css?ver=1769123502" TargetMode="External"/><Relationship Id="rId3192" Type="http://schemas.openxmlformats.org/officeDocument/2006/relationships/hyperlink" Target="https://salesxceleration.com/wp-content/uploads/2019/07/Case-Study_Logistics-1.pdf" TargetMode="External"/><Relationship Id="rId3195" Type="http://schemas.openxmlformats.org/officeDocument/2006/relationships/hyperlink" Target="https://salesxceleration.com/wp-content/uploads/2020/09/cs-distrib-full-1-2048x2048.jpg" TargetMode="External"/><Relationship Id="rId3194" Type="http://schemas.openxmlformats.org/officeDocument/2006/relationships/hyperlink" Target="https://salesxceleration.com/wp-content/themes/salesxceleratione/assets/css/style.css?ver=1769123502" TargetMode="External"/><Relationship Id="rId3197" Type="http://schemas.openxmlformats.org/officeDocument/2006/relationships/hyperlink" Target="https://salesxceleration.com/wp-content/uploads/elementor/css/post-28525.css?ver=1768860984" TargetMode="External"/><Relationship Id="rId3196" Type="http://schemas.openxmlformats.org/officeDocument/2006/relationships/hyperlink" Target="https://salesxceleration.com/wp-content/uploads/2020/09/cs-distrib-full-1-2048x2048.jpg" TargetMode="External"/><Relationship Id="rId3199" Type="http://schemas.openxmlformats.org/officeDocument/2006/relationships/hyperlink" Target="https://salesxceleration.com/wp-content/uploads/2021/09/Case_Study_Public_Relations.pdf" TargetMode="External"/><Relationship Id="rId3198" Type="http://schemas.openxmlformats.org/officeDocument/2006/relationships/hyperlink" Target="https://salesxceleration.com/wp-content/uploads/elementor/css/post-28525.css?ver=1768860984" TargetMode="External"/><Relationship Id="rId3180" Type="http://schemas.openxmlformats.org/officeDocument/2006/relationships/hyperlink" Target="https://salesxceleration.com/wp-content/uploads/elementor/css/post-18508.css?ver=1768854537" TargetMode="External"/><Relationship Id="rId3182" Type="http://schemas.openxmlformats.org/officeDocument/2006/relationships/hyperlink" Target="https://salesxceleration.com/wp-content/uploads/2020/09/Case-Study_Distribution_SX-Web.pdf" TargetMode="External"/><Relationship Id="rId3181" Type="http://schemas.openxmlformats.org/officeDocument/2006/relationships/hyperlink" Target="https://salesxceleration.com/wp-content/uploads/2020/09/Case-Study_Distribution_SX-Web.pdf" TargetMode="External"/><Relationship Id="rId3184" Type="http://schemas.openxmlformats.org/officeDocument/2006/relationships/hyperlink" Target="https://salesxceleration.com/wp-content/uploads/2021/02/Case-Study_Marketing_SX.pdf" TargetMode="External"/><Relationship Id="rId3183" Type="http://schemas.openxmlformats.org/officeDocument/2006/relationships/hyperlink" Target="https://salesxceleration.com/wp-content/uploads/2021/02/Case-Study_Marketing_SX.pdf" TargetMode="External"/><Relationship Id="rId3186" Type="http://schemas.openxmlformats.org/officeDocument/2006/relationships/hyperlink" Target="https://salesxceleration.com/wp-content/uploads/2022/06/Case-Study_Security_SX.pdf" TargetMode="External"/><Relationship Id="rId3185" Type="http://schemas.openxmlformats.org/officeDocument/2006/relationships/hyperlink" Target="https://salesxceleration.com/wp-content/uploads/2022/06/Case-Study_Security_SX.pdf" TargetMode="External"/><Relationship Id="rId3188" Type="http://schemas.openxmlformats.org/officeDocument/2006/relationships/hyperlink" Target="https://salesxceleration.com/wp-content/uploads/elementor/css/post-25843.css?ver=1768862551" TargetMode="External"/><Relationship Id="rId3187" Type="http://schemas.openxmlformats.org/officeDocument/2006/relationships/hyperlink" Target="https://salesxceleration.com/wp-content/uploads/elementor/css/post-25843.css?ver=1768862551" TargetMode="External"/><Relationship Id="rId3189" Type="http://schemas.openxmlformats.org/officeDocument/2006/relationships/hyperlink" Target="https://salesxceleration.com/wp-content/uploads/2019/07/Case-Study_Logistics-1-1.jpg" TargetMode="External"/><Relationship Id="rId4480" Type="http://schemas.openxmlformats.org/officeDocument/2006/relationships/hyperlink" Target="https://salesxceleration.com/what-you-need-to-know-about-hiring-during-a-recession/" TargetMode="External"/><Relationship Id="rId3151" Type="http://schemas.openxmlformats.org/officeDocument/2006/relationships/hyperlink" Target="https://salesxceleration.com/wp-content/uploads/2019/11/Case_Study_Marketing_Case-Study-1.pdf" TargetMode="External"/><Relationship Id="rId4482" Type="http://schemas.openxmlformats.org/officeDocument/2006/relationships/hyperlink" Target="https://salesxceleration.com/will-you-spring-forward-to-seize-the-day-in-your-sales-leadership-career/" TargetMode="External"/><Relationship Id="rId3150" Type="http://schemas.openxmlformats.org/officeDocument/2006/relationships/hyperlink" Target="https://salesxceleration.com/wp-content/uploads/2019/11/marketing-casestudy-onepage-1.jpg" TargetMode="External"/><Relationship Id="rId4481" Type="http://schemas.openxmlformats.org/officeDocument/2006/relationships/hyperlink" Target="https://salesxceleration.com/will-you-spring-forward-to-seize-the-day-in-your-sales-leadership-career/" TargetMode="External"/><Relationship Id="rId3153" Type="http://schemas.openxmlformats.org/officeDocument/2006/relationships/hyperlink" Target="https://salesxceleration.com/wp-content/uploads/2019/03/tech-case-study1-1.jpg" TargetMode="External"/><Relationship Id="rId4484" Type="http://schemas.openxmlformats.org/officeDocument/2006/relationships/hyperlink" Target="https://salesxceleration.com/wp-content/uploads/2021/01/scrabble-4958237_1280-820x550-1-300x300.jpg" TargetMode="External"/><Relationship Id="rId3152" Type="http://schemas.openxmlformats.org/officeDocument/2006/relationships/hyperlink" Target="https://salesxceleration.com/wp-content/uploads/2019/11/Case_Study_Marketing_Case-Study-1.pdf" TargetMode="External"/><Relationship Id="rId4483" Type="http://schemas.openxmlformats.org/officeDocument/2006/relationships/hyperlink" Target="https://salesxceleration.com/will-you-spring-forward-to-seize-the-day-in-your-sales-leadership-career/" TargetMode="External"/><Relationship Id="rId3155" Type="http://schemas.openxmlformats.org/officeDocument/2006/relationships/hyperlink" Target="https://salesxceleration.com/wp-content/uploads/2022/05/Case-Study_Construction_SX.pdf" TargetMode="External"/><Relationship Id="rId4486" Type="http://schemas.openxmlformats.org/officeDocument/2006/relationships/hyperlink" Target="https://salesxceleration.com/wp-content/uploads/2021/02/Time-for-Change-scaled-1-300x200.jpg" TargetMode="External"/><Relationship Id="rId3154" Type="http://schemas.openxmlformats.org/officeDocument/2006/relationships/hyperlink" Target="https://salesxceleration.com/wp-content/uploads/2019/03/tech-case-study1-1.jpg" TargetMode="External"/><Relationship Id="rId4485" Type="http://schemas.openxmlformats.org/officeDocument/2006/relationships/hyperlink" Target="https://salesxceleration.com/wp-content/uploads/2021/01/scrabble-4958237_1280-820x550-1-300x300.jpg" TargetMode="External"/><Relationship Id="rId3157" Type="http://schemas.openxmlformats.org/officeDocument/2006/relationships/hyperlink" Target="https://salesxceleration.com/wp-content/themes/salesxceleratione/assets/css/style.css?ver=1769123500" TargetMode="External"/><Relationship Id="rId4488" Type="http://schemas.openxmlformats.org/officeDocument/2006/relationships/hyperlink" Target="https://salesxceleration.com/why-the-remote-work-revolution-should-squash-the-stigma-surrounding-part-time-leaders/" TargetMode="External"/><Relationship Id="rId3156" Type="http://schemas.openxmlformats.org/officeDocument/2006/relationships/hyperlink" Target="https://salesxceleration.com/wp-content/uploads/2022/05/Case-Study_Construction_SX.pdf" TargetMode="External"/><Relationship Id="rId4487" Type="http://schemas.openxmlformats.org/officeDocument/2006/relationships/hyperlink" Target="https://salesxceleration.com/wp-content/uploads/2021/02/Time-for-Change-scaled-1-300x200.jpg" TargetMode="External"/><Relationship Id="rId3159" Type="http://schemas.openxmlformats.org/officeDocument/2006/relationships/hyperlink" Target="https://salesxceleration.com/wp-content/uploads/elementor/css/post-13656.css?ver=1768856712" TargetMode="External"/><Relationship Id="rId3158" Type="http://schemas.openxmlformats.org/officeDocument/2006/relationships/hyperlink" Target="https://salesxceleration.com/wp-content/themes/salesxceleratione/assets/css/style.css?ver=1769123500" TargetMode="External"/><Relationship Id="rId4489" Type="http://schemas.openxmlformats.org/officeDocument/2006/relationships/hyperlink" Target="https://salesxceleration.com/why-the-remote-work-revolution-should-squash-the-stigma-surrounding-part-time-leaders/" TargetMode="External"/><Relationship Id="rId3149" Type="http://schemas.openxmlformats.org/officeDocument/2006/relationships/hyperlink" Target="https://salesxceleration.com/wp-content/uploads/2019/11/marketing-casestudy-onepage-1.jpg" TargetMode="External"/><Relationship Id="rId3140" Type="http://schemas.openxmlformats.org/officeDocument/2006/relationships/hyperlink" Target="https://salesxceleration.com/wp-content/uploads/elementor/css/post-18658.css?ver=1768864365" TargetMode="External"/><Relationship Id="rId4471" Type="http://schemas.openxmlformats.org/officeDocument/2006/relationships/hyperlink" Target="https://salesxceleration.com/wp-content/uploads/2021/01/Businessman-Taking-Time-to-Relax-scaled-1-300x200.jpg" TargetMode="External"/><Relationship Id="rId4470" Type="http://schemas.openxmlformats.org/officeDocument/2006/relationships/hyperlink" Target="https://salesxceleration.com/how-sales-teams-can-practice-proactive-rather-than-reactive-hiring/" TargetMode="External"/><Relationship Id="rId3142" Type="http://schemas.openxmlformats.org/officeDocument/2006/relationships/hyperlink" Target="https://salesxceleration.com/wp-content/uploads/2021/09/Case-Study_Manufacturing_SX_041221.pdf" TargetMode="External"/><Relationship Id="rId4473" Type="http://schemas.openxmlformats.org/officeDocument/2006/relationships/hyperlink" Target="https://salesxceleration.com/fueling-sales-by-building-the-best-sales-engine-part-1/" TargetMode="External"/><Relationship Id="rId3141" Type="http://schemas.openxmlformats.org/officeDocument/2006/relationships/hyperlink" Target="https://salesxceleration.com/wp-content/uploads/2021/09/Case-Study_Manufacturing_SX_041221.pdf" TargetMode="External"/><Relationship Id="rId4472" Type="http://schemas.openxmlformats.org/officeDocument/2006/relationships/hyperlink" Target="https://salesxceleration.com/wp-content/uploads/2021/01/Businessman-Taking-Time-to-Relax-scaled-1-300x200.jpg" TargetMode="External"/><Relationship Id="rId3144" Type="http://schemas.openxmlformats.org/officeDocument/2006/relationships/hyperlink" Target="https://salesxceleration.com/wp-content/themes/salesxceleratione/assets/css/style.css?ver=1769123499" TargetMode="External"/><Relationship Id="rId4475" Type="http://schemas.openxmlformats.org/officeDocument/2006/relationships/hyperlink" Target="https://salesxceleration.com/fueling-sales-by-building-the-best-sales-engine-part-1/" TargetMode="External"/><Relationship Id="rId3143" Type="http://schemas.openxmlformats.org/officeDocument/2006/relationships/hyperlink" Target="https://salesxceleration.com/wp-content/themes/salesxceleratione/assets/css/style.css?ver=1769123499" TargetMode="External"/><Relationship Id="rId4474" Type="http://schemas.openxmlformats.org/officeDocument/2006/relationships/hyperlink" Target="https://salesxceleration.com/fueling-sales-by-building-the-best-sales-engine-part-1/" TargetMode="External"/><Relationship Id="rId3146" Type="http://schemas.openxmlformats.org/officeDocument/2006/relationships/hyperlink" Target="https://salesxceleration.com/wp-content/uploads/2019/11/payroll-casestudy-onepage-1.jpg" TargetMode="External"/><Relationship Id="rId4477" Type="http://schemas.openxmlformats.org/officeDocument/2006/relationships/hyperlink" Target="https://salesxceleration.com/wp-content/uploads/2020/11/Happy-Sales-Leader-Leading-a-Meeting-scaled-1-300x300.jpg" TargetMode="External"/><Relationship Id="rId3145" Type="http://schemas.openxmlformats.org/officeDocument/2006/relationships/hyperlink" Target="https://salesxceleration.com/wp-content/uploads/2019/11/payroll-casestudy-onepage-1.jpg" TargetMode="External"/><Relationship Id="rId4476" Type="http://schemas.openxmlformats.org/officeDocument/2006/relationships/hyperlink" Target="https://salesxceleration.com/wp-content/uploads/2020/11/Happy-Sales-Leader-Leading-a-Meeting-scaled-1-300x300.jpg" TargetMode="External"/><Relationship Id="rId3148" Type="http://schemas.openxmlformats.org/officeDocument/2006/relationships/hyperlink" Target="https://salesxceleration.com/wp-content/uploads/2021/09/Case_Study_PEO_Payroll_Case-Study.pdf" TargetMode="External"/><Relationship Id="rId4479" Type="http://schemas.openxmlformats.org/officeDocument/2006/relationships/hyperlink" Target="https://salesxceleration.com/what-you-need-to-know-about-hiring-during-a-recession/" TargetMode="External"/><Relationship Id="rId3147" Type="http://schemas.openxmlformats.org/officeDocument/2006/relationships/hyperlink" Target="https://salesxceleration.com/wp-content/uploads/2021/09/Case_Study_PEO_Payroll_Case-Study.pdf" TargetMode="External"/><Relationship Id="rId4478" Type="http://schemas.openxmlformats.org/officeDocument/2006/relationships/hyperlink" Target="https://salesxceleration.com/what-you-need-to-know-about-hiring-during-a-recession/" TargetMode="External"/><Relationship Id="rId3171" Type="http://schemas.openxmlformats.org/officeDocument/2006/relationships/hyperlink" Target="https://salesxceleration.com/wp-content/uploads/2022/05/thumb-Case-Study_Food-Industry_SX-1-2048x2048.jpg" TargetMode="External"/><Relationship Id="rId3170" Type="http://schemas.openxmlformats.org/officeDocument/2006/relationships/hyperlink" Target="https://salesxceleration.com/wp-content/uploads/elementor/css/post-17815.css?ver=1768850108" TargetMode="External"/><Relationship Id="rId3173" Type="http://schemas.openxmlformats.org/officeDocument/2006/relationships/hyperlink" Target="https://salesxceleration.com/wp-content/uploads/2019/11/marketing-2.jpg" TargetMode="External"/><Relationship Id="rId3172" Type="http://schemas.openxmlformats.org/officeDocument/2006/relationships/hyperlink" Target="https://salesxceleration.com/wp-content/uploads/2022/05/thumb-Case-Study_Food-Industry_SX-1-2048x2048.jpg" TargetMode="External"/><Relationship Id="rId3175" Type="http://schemas.openxmlformats.org/officeDocument/2006/relationships/hyperlink" Target="https://salesxceleration.com/wp-content/uploads/2019/11/Case_Study_Marketing-2.pdf" TargetMode="External"/><Relationship Id="rId3174" Type="http://schemas.openxmlformats.org/officeDocument/2006/relationships/hyperlink" Target="https://salesxceleration.com/wp-content/uploads/2019/11/marketing-2.jpg" TargetMode="External"/><Relationship Id="rId3177" Type="http://schemas.openxmlformats.org/officeDocument/2006/relationships/hyperlink" Target="https://salesxceleration.com/wp-content/themes/salesxceleratione/assets/css/style.css?ver=1769123501" TargetMode="External"/><Relationship Id="rId3176" Type="http://schemas.openxmlformats.org/officeDocument/2006/relationships/hyperlink" Target="https://salesxceleration.com/wp-content/uploads/2019/11/Case_Study_Marketing-2.pdf" TargetMode="External"/><Relationship Id="rId3179" Type="http://schemas.openxmlformats.org/officeDocument/2006/relationships/hyperlink" Target="https://salesxceleration.com/wp-content/uploads/elementor/css/post-18508.css?ver=1768854537" TargetMode="External"/><Relationship Id="rId3178" Type="http://schemas.openxmlformats.org/officeDocument/2006/relationships/hyperlink" Target="https://salesxceleration.com/wp-content/themes/salesxceleratione/assets/css/style.css?ver=1769123501" TargetMode="External"/><Relationship Id="rId3160" Type="http://schemas.openxmlformats.org/officeDocument/2006/relationships/hyperlink" Target="https://salesxceleration.com/wp-content/uploads/elementor/css/post-13656.css?ver=1768856712" TargetMode="External"/><Relationship Id="rId4491" Type="http://schemas.openxmlformats.org/officeDocument/2006/relationships/hyperlink" Target="https://salesxceleration.com/wp-content/uploads/2020/12/shutterstock_633365168-scaled-1-300x300.jpg" TargetMode="External"/><Relationship Id="rId4490" Type="http://schemas.openxmlformats.org/officeDocument/2006/relationships/hyperlink" Target="https://salesxceleration.com/why-the-remote-work-revolution-should-squash-the-stigma-surrounding-part-time-leaders/" TargetMode="External"/><Relationship Id="rId3162" Type="http://schemas.openxmlformats.org/officeDocument/2006/relationships/hyperlink" Target="https://salesxceleration.com/wp-content/uploads/2019/07/2019-05-10_145944.jpg" TargetMode="External"/><Relationship Id="rId4493" Type="http://schemas.openxmlformats.org/officeDocument/2006/relationships/hyperlink" Target="https://salesxceleration.com/turning-thanks-into-giving-how-an-attitude-of-gratitude-creates-career-altitude/" TargetMode="External"/><Relationship Id="rId3161" Type="http://schemas.openxmlformats.org/officeDocument/2006/relationships/hyperlink" Target="https://salesxceleration.com/wp-content/uploads/2019/07/2019-05-10_145944.jpg" TargetMode="External"/><Relationship Id="rId4492" Type="http://schemas.openxmlformats.org/officeDocument/2006/relationships/hyperlink" Target="https://salesxceleration.com/wp-content/uploads/2020/12/shutterstock_633365168-scaled-1-300x300.jpg" TargetMode="External"/><Relationship Id="rId3164" Type="http://schemas.openxmlformats.org/officeDocument/2006/relationships/hyperlink" Target="https://salesxceleration.com/wp-content/uploads/2019/07/Case-Study_Finance_093020.pdf" TargetMode="External"/><Relationship Id="rId4495" Type="http://schemas.openxmlformats.org/officeDocument/2006/relationships/hyperlink" Target="https://salesxceleration.com/turning-thanks-into-giving-how-an-attitude-of-gratitude-creates-career-altitude/" TargetMode="External"/><Relationship Id="rId3163" Type="http://schemas.openxmlformats.org/officeDocument/2006/relationships/hyperlink" Target="https://salesxceleration.com/wp-content/uploads/2019/07/Case-Study_Finance_093020.pdf" TargetMode="External"/><Relationship Id="rId4494" Type="http://schemas.openxmlformats.org/officeDocument/2006/relationships/hyperlink" Target="https://salesxceleration.com/turning-thanks-into-giving-how-an-attitude-of-gratitude-creates-career-altitude/" TargetMode="External"/><Relationship Id="rId3166" Type="http://schemas.openxmlformats.org/officeDocument/2006/relationships/hyperlink" Target="https://salesxceleration.com/wp-content/uploads/2019/03/Case-Study_Technology_March.pdf" TargetMode="External"/><Relationship Id="rId4497" Type="http://schemas.openxmlformats.org/officeDocument/2006/relationships/hyperlink" Target="https://salesxceleration.com/wp-content/uploads/2021/01/Businessman-Climing-the-Steps-scaled-1-300x200.jpg" TargetMode="External"/><Relationship Id="rId3165" Type="http://schemas.openxmlformats.org/officeDocument/2006/relationships/hyperlink" Target="https://salesxceleration.com/wp-content/uploads/2019/03/Case-Study_Technology_March.pdf" TargetMode="External"/><Relationship Id="rId4496" Type="http://schemas.openxmlformats.org/officeDocument/2006/relationships/hyperlink" Target="https://salesxceleration.com/wp-content/uploads/2021/01/Businessman-Climing-the-Steps-scaled-1-300x200.jpg" TargetMode="External"/><Relationship Id="rId3168" Type="http://schemas.openxmlformats.org/officeDocument/2006/relationships/hyperlink" Target="https://salesxceleration.com/wp-content/uploads/2019/07/2019-07-18_161018-2048x2048.jpg" TargetMode="External"/><Relationship Id="rId4499" Type="http://schemas.openxmlformats.org/officeDocument/2006/relationships/hyperlink" Target="https://salesxceleration.com/every-enlightened-journey-and-every-meaningful-climb-begins-with-a-single-step/" TargetMode="External"/><Relationship Id="rId3167" Type="http://schemas.openxmlformats.org/officeDocument/2006/relationships/hyperlink" Target="https://salesxceleration.com/wp-content/uploads/2019/07/2019-07-18_161018-2048x2048.jpg" TargetMode="External"/><Relationship Id="rId4498" Type="http://schemas.openxmlformats.org/officeDocument/2006/relationships/hyperlink" Target="https://salesxceleration.com/every-enlightened-journey-and-every-meaningful-climb-begins-with-a-single-step/" TargetMode="External"/><Relationship Id="rId3169" Type="http://schemas.openxmlformats.org/officeDocument/2006/relationships/hyperlink" Target="https://salesxceleration.com/wp-content/uploads/elementor/css/post-17815.css?ver=1768850108" TargetMode="External"/><Relationship Id="rId5813" Type="http://schemas.openxmlformats.org/officeDocument/2006/relationships/hyperlink" Target="https://salesxceleration.com/wp-content/uploads/2020/10/Sales-Leadership-Consultant-Leading-a-Sales-Meeting-scaled-1.jpg" TargetMode="External"/><Relationship Id="rId5814" Type="http://schemas.openxmlformats.org/officeDocument/2006/relationships/hyperlink" Target="https://salesxceleration.com/wp-content/uploads/2020/10/Sales-Leadership-Consultant-Leading-a-Sales-Meeting-scaled-1.jpg" TargetMode="External"/><Relationship Id="rId5811" Type="http://schemas.openxmlformats.org/officeDocument/2006/relationships/hyperlink" Target="https://salesxceleration.com/state-of-sales/" TargetMode="External"/><Relationship Id="rId5812" Type="http://schemas.openxmlformats.org/officeDocument/2006/relationships/hyperlink" Target="https://salesxceleration.com/state-of-sales/?__hstc=264954448.5a75b0ce6ded236b1a525ae32d6f058b.1762363628984.1762363628984.1762460367118.2&amp;__hssc=264954448.17.1762460367118&amp;__hsfp=1415230760" TargetMode="External"/><Relationship Id="rId5817" Type="http://schemas.openxmlformats.org/officeDocument/2006/relationships/hyperlink" Target="https://salesxceleration.com/hope-realized-book-excerpt-gives-insights-into-sales-management-consultant-role/" TargetMode="External"/><Relationship Id="rId5818" Type="http://schemas.openxmlformats.org/officeDocument/2006/relationships/hyperlink" Target="https://salesxceleration.com/wp-content/uploads/2021/01/960x0-2048x2048.jpg" TargetMode="External"/><Relationship Id="rId5815" Type="http://schemas.openxmlformats.org/officeDocument/2006/relationships/hyperlink" Target="https://salesxceleration.com/hope-realized-book-excerpt-gives-insights-into-sales-management-consultant-role/" TargetMode="External"/><Relationship Id="rId5816" Type="http://schemas.openxmlformats.org/officeDocument/2006/relationships/hyperlink" Target="https://salesxceleration.com/hope-realized-book-excerpt-gives-insights-into-sales-management-consultant-role/" TargetMode="External"/><Relationship Id="rId5819" Type="http://schemas.openxmlformats.org/officeDocument/2006/relationships/hyperlink" Target="https://salesxceleration.com/wp-content/uploads/2021/01/960x0-2048x2048.jpg" TargetMode="External"/><Relationship Id="rId5810" Type="http://schemas.openxmlformats.org/officeDocument/2006/relationships/hyperlink" Target="https://salesxceleration.com/state-of-sales/?__hstc=264954448.5a75b0ce6ded236b1a525ae32d6f058b.1762363628984.1762363628984.1762460367118.2&amp;__hssc=264954448.17.1762460367118&amp;__hsfp=1415230760" TargetMode="External"/><Relationship Id="rId5802" Type="http://schemas.openxmlformats.org/officeDocument/2006/relationships/hyperlink" Target="https://salesxceleration.com/wp-content/uploads/2020/12/Woman-Sales-VP-Thinking-About-the-Future-scaled-1.jpg" TargetMode="External"/><Relationship Id="rId5803" Type="http://schemas.openxmlformats.org/officeDocument/2006/relationships/hyperlink" Target="https://salesxceleration.com/wp-content/uploads/2020/12/Woman-Sales-VP-Thinking-About-the-Future-scaled-1.jpg" TargetMode="External"/><Relationship Id="rId5800" Type="http://schemas.openxmlformats.org/officeDocument/2006/relationships/hyperlink" Target="https://salesxceleration.com/wp-content/themes/salesxceleratione/assets/css/style.css?ver=1769123653" TargetMode="External"/><Relationship Id="rId5801" Type="http://schemas.openxmlformats.org/officeDocument/2006/relationships/hyperlink" Target="https://salesxceleration.com/wp-content/themes/salesxceleratione/assets/css/style.css?ver=1769123653" TargetMode="External"/><Relationship Id="rId5806" Type="http://schemas.openxmlformats.org/officeDocument/2006/relationships/hyperlink" Target="https://salesxceleration.com/wp-content/uploads/2021/01/Businessman-Climing-the-Steps-scaled-1.jpg" TargetMode="External"/><Relationship Id="rId5807" Type="http://schemas.openxmlformats.org/officeDocument/2006/relationships/hyperlink" Target="https://salesxceleration.com/wp-content/uploads/2021/01/Businessman-Climing-the-Steps-scaled-1.jpg" TargetMode="External"/><Relationship Id="rId5804" Type="http://schemas.openxmlformats.org/officeDocument/2006/relationships/hyperlink" Target="https://salesxceleration.com/wp-content/uploads/2021/01/Businessman-Taking-Time-to-Relax-scaled-1.jpg" TargetMode="External"/><Relationship Id="rId5805" Type="http://schemas.openxmlformats.org/officeDocument/2006/relationships/hyperlink" Target="https://salesxceleration.com/wp-content/uploads/2021/01/Businessman-Taking-Time-to-Relax-scaled-1.jpg" TargetMode="External"/><Relationship Id="rId5808" Type="http://schemas.openxmlformats.org/officeDocument/2006/relationships/hyperlink" Target="https://salesxceleration.com/wp-content/themes/salesxceleratione/assets/css/style.css?ver=1769123652" TargetMode="External"/><Relationship Id="rId5809" Type="http://schemas.openxmlformats.org/officeDocument/2006/relationships/hyperlink" Target="https://salesxceleration.com/wp-content/themes/salesxceleratione/assets/css/style.css?ver=1769123652" TargetMode="External"/><Relationship Id="rId4503" Type="http://schemas.openxmlformats.org/officeDocument/2006/relationships/hyperlink" Target="https://salesxceleration.com/wp-content/uploads/2021/01/960x0-300x300.jpg" TargetMode="External"/><Relationship Id="rId5835" Type="http://schemas.openxmlformats.org/officeDocument/2006/relationships/hyperlink" Target="https://salesxceleration.com/wp-content/uploads/elementor/css/post-26774.css?ver=1768898586" TargetMode="External"/><Relationship Id="rId4502" Type="http://schemas.openxmlformats.org/officeDocument/2006/relationships/hyperlink" Target="https://salesxceleration.com/wp-content/uploads/2020/11/Stressed-Sales-Leader-scaled-1-300x200.jpg" TargetMode="External"/><Relationship Id="rId5836" Type="http://schemas.openxmlformats.org/officeDocument/2006/relationships/hyperlink" Target="https://salesxceleration.com/wp-content/uploads/2022/03/Sales-Group-Meeting.jpg" TargetMode="External"/><Relationship Id="rId4505" Type="http://schemas.openxmlformats.org/officeDocument/2006/relationships/hyperlink" Target="https://salesxceleration.com/no-time-like-the-present-to-give-yourself-the-present-of-time/" TargetMode="External"/><Relationship Id="rId5833" Type="http://schemas.openxmlformats.org/officeDocument/2006/relationships/hyperlink" Target="https://salesxceleration.com/wp-content/themes/salesxceleratione/assets/css/style.css?ver=1769123651" TargetMode="External"/><Relationship Id="rId4504" Type="http://schemas.openxmlformats.org/officeDocument/2006/relationships/hyperlink" Target="https://salesxceleration.com/wp-content/uploads/2021/01/960x0-300x300.jpg" TargetMode="External"/><Relationship Id="rId5834" Type="http://schemas.openxmlformats.org/officeDocument/2006/relationships/hyperlink" Target="https://salesxceleration.com/wp-content/uploads/elementor/css/post-26774.css?ver=1768898586" TargetMode="External"/><Relationship Id="rId4507" Type="http://schemas.openxmlformats.org/officeDocument/2006/relationships/hyperlink" Target="https://salesxceleration.com/no-time-like-the-present-to-give-yourself-the-present-of-time/" TargetMode="External"/><Relationship Id="rId5839" Type="http://schemas.openxmlformats.org/officeDocument/2006/relationships/hyperlink" Target="https://salesxceleration.com/wp-content/uploads/2022/06/Proactive-Hiring.jpg" TargetMode="External"/><Relationship Id="rId4506" Type="http://schemas.openxmlformats.org/officeDocument/2006/relationships/hyperlink" Target="https://salesxceleration.com/no-time-like-the-present-to-give-yourself-the-present-of-time/" TargetMode="External"/><Relationship Id="rId4509" Type="http://schemas.openxmlformats.org/officeDocument/2006/relationships/hyperlink" Target="https://salesxceleration.com/a-new-beginning-after-all-these-years/" TargetMode="External"/><Relationship Id="rId5837" Type="http://schemas.openxmlformats.org/officeDocument/2006/relationships/hyperlink" Target="https://salesxceleration.com/wp-content/uploads/2022/03/Sales-Group-Meeting.jpg" TargetMode="External"/><Relationship Id="rId4508" Type="http://schemas.openxmlformats.org/officeDocument/2006/relationships/hyperlink" Target="https://salesxceleration.com/a-new-beginning-after-all-these-years/" TargetMode="External"/><Relationship Id="rId5838" Type="http://schemas.openxmlformats.org/officeDocument/2006/relationships/hyperlink" Target="https://salesxceleration.com/wp-content/uploads/2022/06/Proactive-Hiring.jpg" TargetMode="External"/><Relationship Id="rId5831" Type="http://schemas.openxmlformats.org/officeDocument/2006/relationships/hyperlink" Target="https://salesxceleration.com/wp-content/uploads/2022/12/hiring-in-a-recession.jpg" TargetMode="External"/><Relationship Id="rId5832" Type="http://schemas.openxmlformats.org/officeDocument/2006/relationships/hyperlink" Target="https://salesxceleration.com/wp-content/themes/salesxceleratione/assets/css/style.css?ver=1769123651" TargetMode="External"/><Relationship Id="rId4501" Type="http://schemas.openxmlformats.org/officeDocument/2006/relationships/hyperlink" Target="https://salesxceleration.com/wp-content/uploads/2020/11/Stressed-Sales-Leader-scaled-1-300x200.jpg" TargetMode="External"/><Relationship Id="rId4500" Type="http://schemas.openxmlformats.org/officeDocument/2006/relationships/hyperlink" Target="https://salesxceleration.com/every-enlightened-journey-and-every-meaningful-climb-begins-with-a-single-step/" TargetMode="External"/><Relationship Id="rId5830" Type="http://schemas.openxmlformats.org/officeDocument/2006/relationships/hyperlink" Target="https://salesxceleration.com/wp-content/uploads/2022/12/hiring-in-a-recession.jpg" TargetMode="External"/><Relationship Id="rId5824" Type="http://schemas.openxmlformats.org/officeDocument/2006/relationships/hyperlink" Target="https://salesxceleration.com/ready-to-take-the-steve-harvey-jump-into-sales-consulting/" TargetMode="External"/><Relationship Id="rId5825" Type="http://schemas.openxmlformats.org/officeDocument/2006/relationships/hyperlink" Target="https://salesxceleration.com/ready-to-take-the-steve-harvey-jump-into-sales-consulting/" TargetMode="External"/><Relationship Id="rId5822" Type="http://schemas.openxmlformats.org/officeDocument/2006/relationships/hyperlink" Target="https://salesxceleration.com/how-to-start-your-second-half-of-significance-and-fulfilling-your-life-purpose/" TargetMode="External"/><Relationship Id="rId5823" Type="http://schemas.openxmlformats.org/officeDocument/2006/relationships/hyperlink" Target="https://salesxceleration.com/ready-to-take-the-steve-harvey-jump-into-sales-consulting/" TargetMode="External"/><Relationship Id="rId5828" Type="http://schemas.openxmlformats.org/officeDocument/2006/relationships/hyperlink" Target="https://salesxceleration.com/wp-content/uploads/2021/02/Time-for-Change-scaled-1.jpg" TargetMode="External"/><Relationship Id="rId5829" Type="http://schemas.openxmlformats.org/officeDocument/2006/relationships/hyperlink" Target="https://salesxceleration.com/wp-content/uploads/2021/02/Time-for-Change-scaled-1.jpg" TargetMode="External"/><Relationship Id="rId5826" Type="http://schemas.openxmlformats.org/officeDocument/2006/relationships/hyperlink" Target="https://salesxceleration.com/wp-content/uploads/2021/01/scrabble-4958237_1280-820x550-1.jpg" TargetMode="External"/><Relationship Id="rId5827" Type="http://schemas.openxmlformats.org/officeDocument/2006/relationships/hyperlink" Target="https://salesxceleration.com/wp-content/uploads/2021/01/scrabble-4958237_1280-820x550-1.jpg" TargetMode="External"/><Relationship Id="rId5820" Type="http://schemas.openxmlformats.org/officeDocument/2006/relationships/hyperlink" Target="https://salesxceleration.com/how-to-start-your-second-half-of-significance-and-fulfilling-your-life-purpose/" TargetMode="External"/><Relationship Id="rId5821" Type="http://schemas.openxmlformats.org/officeDocument/2006/relationships/hyperlink" Target="https://salesxceleration.com/how-to-start-your-second-half-of-significance-and-fulfilling-your-life-purpose/" TargetMode="External"/><Relationship Id="rId3238" Type="http://schemas.openxmlformats.org/officeDocument/2006/relationships/hyperlink" Target="https://salesxceleration.com/wp-content/uploads/elementor/css/post-25674.css?ver=1768859045" TargetMode="External"/><Relationship Id="rId4569" Type="http://schemas.openxmlformats.org/officeDocument/2006/relationships/hyperlink" Target="https://salesxceleration.com/3-ways-to-smooth-the-friction-between-sales-and-marketing/" TargetMode="External"/><Relationship Id="rId3237" Type="http://schemas.openxmlformats.org/officeDocument/2006/relationships/hyperlink" Target="https://salesxceleration.com/wp-content/uploads/elementor/css/post-25674.css?ver=1768859045" TargetMode="External"/><Relationship Id="rId4568" Type="http://schemas.openxmlformats.org/officeDocument/2006/relationships/hyperlink" Target="https://salesxceleration.com/3-ways-to-smooth-the-friction-between-sales-and-marketing/" TargetMode="External"/><Relationship Id="rId5899" Type="http://schemas.openxmlformats.org/officeDocument/2006/relationships/hyperlink" Target="https://salesxceleration.com/wp-content/uploads/2021/02/case-study-jp-thumb-768x440.jpg" TargetMode="External"/><Relationship Id="rId3239" Type="http://schemas.openxmlformats.org/officeDocument/2006/relationships/hyperlink" Target="https://salesxceleration.com/wp-content/uploads/elementor/css/post-18507.css?ver=1768880060" TargetMode="External"/><Relationship Id="rId5890" Type="http://schemas.openxmlformats.org/officeDocument/2006/relationships/hyperlink" Target="https://salesxceleration.com/wp-content/uploads/2022/10/Onboarding.jpg" TargetMode="External"/><Relationship Id="rId3230" Type="http://schemas.openxmlformats.org/officeDocument/2006/relationships/hyperlink" Target="https://salesxceleration.com/wp-content/themes/salesxceleratione/assets/css/style.css?ver=1769123504" TargetMode="External"/><Relationship Id="rId4561" Type="http://schemas.openxmlformats.org/officeDocument/2006/relationships/hyperlink" Target="https://salesxceleration.com/wp-content/themes/salesxceleratione/assets/css/style.css?ver=1769123527" TargetMode="External"/><Relationship Id="rId5893" Type="http://schemas.openxmlformats.org/officeDocument/2006/relationships/hyperlink" Target="https://salesxceleration.com/wp-content/uploads/2022/12/Job-Hopping.jpg" TargetMode="External"/><Relationship Id="rId4560" Type="http://schemas.openxmlformats.org/officeDocument/2006/relationships/hyperlink" Target="https://salesxceleration.com/wp-content/themes/salesxceleratione/assets/css/style.css?ver=1769123527" TargetMode="External"/><Relationship Id="rId5894" Type="http://schemas.openxmlformats.org/officeDocument/2006/relationships/hyperlink" Target="https://salesxceleration.com/wp-content/themes/salesxceleratione/assets/css/style.css?ver=1769123646" TargetMode="External"/><Relationship Id="rId3232" Type="http://schemas.openxmlformats.org/officeDocument/2006/relationships/hyperlink" Target="https://salesxceleration.com/wp-content/uploads/2019/11/retail-page-one-1.jpg" TargetMode="External"/><Relationship Id="rId4563" Type="http://schemas.openxmlformats.org/officeDocument/2006/relationships/hyperlink" Target="https://salesxceleration.com/wp-content/themes/salesxceleratione/assets/css/style.css?ver=1769123528" TargetMode="External"/><Relationship Id="rId5891" Type="http://schemas.openxmlformats.org/officeDocument/2006/relationships/hyperlink" Target="https://salesxceleration.com/wp-content/uploads/2022/10/Onboarding.jpg" TargetMode="External"/><Relationship Id="rId3231" Type="http://schemas.openxmlformats.org/officeDocument/2006/relationships/hyperlink" Target="https://salesxceleration.com/wp-content/uploads/2019/11/retail-page-one-1.jpg" TargetMode="External"/><Relationship Id="rId4562" Type="http://schemas.openxmlformats.org/officeDocument/2006/relationships/hyperlink" Target="https://salesxceleration.com/wp-content/themes/salesxceleratione/assets/css/style.css?ver=1769123528" TargetMode="External"/><Relationship Id="rId5892" Type="http://schemas.openxmlformats.org/officeDocument/2006/relationships/hyperlink" Target="https://salesxceleration.com/wp-content/uploads/2022/12/Job-Hopping.jpg" TargetMode="External"/><Relationship Id="rId3234" Type="http://schemas.openxmlformats.org/officeDocument/2006/relationships/hyperlink" Target="https://salesxceleration.com/wp-content/uploads/2021/09/Case-Study_Manufacturing_SX.pdf" TargetMode="External"/><Relationship Id="rId4565" Type="http://schemas.openxmlformats.org/officeDocument/2006/relationships/hyperlink" Target="https://salesxceleration.com/wp-content/uploads/2020/03/sales-marketing-meeting-1-2048x2048.jpg" TargetMode="External"/><Relationship Id="rId5897" Type="http://schemas.openxmlformats.org/officeDocument/2006/relationships/hyperlink" Target="https://salesxceleration.com/wp-content/uploads/2022/04/Recruiting-Candidate.jpg" TargetMode="External"/><Relationship Id="rId3233" Type="http://schemas.openxmlformats.org/officeDocument/2006/relationships/hyperlink" Target="https://salesxceleration.com/wp-content/uploads/2021/09/Case-Study_Manufacturing_SX.pdf" TargetMode="External"/><Relationship Id="rId4564" Type="http://schemas.openxmlformats.org/officeDocument/2006/relationships/hyperlink" Target="https://salesxceleration.com/wp-content/uploads/2020/03/sales-marketing-meeting-1-2048x2048.jpg" TargetMode="External"/><Relationship Id="rId5898" Type="http://schemas.openxmlformats.org/officeDocument/2006/relationships/hyperlink" Target="https://salesxceleration.com/wp-content/uploads/2021/02/case-study-jp-thumb-768x440.jpg" TargetMode="External"/><Relationship Id="rId3236" Type="http://schemas.openxmlformats.org/officeDocument/2006/relationships/hyperlink" Target="https://salesxceleration.com/wp-content/uploads/2021/09/Case_Study_Retail.pdf" TargetMode="External"/><Relationship Id="rId4567" Type="http://schemas.openxmlformats.org/officeDocument/2006/relationships/hyperlink" Target="https://salesxceleration.com/wp-content/uploads/2020/03/Succeeding_as_a_sales_leader-1-2048x2048.jpg" TargetMode="External"/><Relationship Id="rId5895" Type="http://schemas.openxmlformats.org/officeDocument/2006/relationships/hyperlink" Target="https://salesxceleration.com/wp-content/themes/salesxceleratione/assets/css/style.css?ver=1769123646" TargetMode="External"/><Relationship Id="rId3235" Type="http://schemas.openxmlformats.org/officeDocument/2006/relationships/hyperlink" Target="https://salesxceleration.com/wp-content/uploads/2021/09/Case_Study_Retail.pdf" TargetMode="External"/><Relationship Id="rId4566" Type="http://schemas.openxmlformats.org/officeDocument/2006/relationships/hyperlink" Target="https://salesxceleration.com/wp-content/uploads/2020/03/Succeeding_as_a_sales_leader-1-2048x2048.jpg" TargetMode="External"/><Relationship Id="rId5896" Type="http://schemas.openxmlformats.org/officeDocument/2006/relationships/hyperlink" Target="https://salesxceleration.com/wp-content/uploads/2022/04/Recruiting-Candidate.jpg" TargetMode="External"/><Relationship Id="rId3227" Type="http://schemas.openxmlformats.org/officeDocument/2006/relationships/hyperlink" Target="https://salesxceleration.com/wp-content/uploads/2019/11/Case_Study_Construction-1.pdf" TargetMode="External"/><Relationship Id="rId4558" Type="http://schemas.openxmlformats.org/officeDocument/2006/relationships/hyperlink" Target="https://salesxceleration.com/wp-content/uploads/2015/03/CRM-Sales-xceleration.png" TargetMode="External"/><Relationship Id="rId3226" Type="http://schemas.openxmlformats.org/officeDocument/2006/relationships/hyperlink" Target="https://salesxceleration.com/wp-content/uploads/elementor/css/post-16005.css?ver=1768862533" TargetMode="External"/><Relationship Id="rId4557" Type="http://schemas.openxmlformats.org/officeDocument/2006/relationships/hyperlink" Target="https://salesxceleration.com/wp-content/uploads/2015/03/CRM.jpg" TargetMode="External"/><Relationship Id="rId3229" Type="http://schemas.openxmlformats.org/officeDocument/2006/relationships/hyperlink" Target="https://salesxceleration.com/wp-content/themes/salesxceleratione/assets/css/style.css?ver=1769123504" TargetMode="External"/><Relationship Id="rId5888" Type="http://schemas.openxmlformats.org/officeDocument/2006/relationships/hyperlink" Target="https://salesxceleration.com/author/tcallen/" TargetMode="External"/><Relationship Id="rId3228" Type="http://schemas.openxmlformats.org/officeDocument/2006/relationships/hyperlink" Target="https://salesxceleration.com/wp-content/uploads/2019/11/Case_Study_Construction-1.pdf" TargetMode="External"/><Relationship Id="rId4559" Type="http://schemas.openxmlformats.org/officeDocument/2006/relationships/hyperlink" Target="https://salesxceleration.com/wp-content/uploads/2015/03/CRM-Sales-xceleration.png" TargetMode="External"/><Relationship Id="rId5889" Type="http://schemas.openxmlformats.org/officeDocument/2006/relationships/hyperlink" Target="https://salesxceleration.com/author/tcallen/" TargetMode="External"/><Relationship Id="rId4550" Type="http://schemas.openxmlformats.org/officeDocument/2006/relationships/hyperlink" Target="https://salesxceleration.com/wp-content/uploads/2023/10/Harness-the-Power-of-AI.jpg" TargetMode="External"/><Relationship Id="rId5882" Type="http://schemas.openxmlformats.org/officeDocument/2006/relationships/hyperlink" Target="https://salesxceleration.com/sales-hiring-skills-assessment/" TargetMode="External"/><Relationship Id="rId5883" Type="http://schemas.openxmlformats.org/officeDocument/2006/relationships/hyperlink" Target="https://salesxceleration.com/wp-content/uploads/2022/04/hiring-sales-talent-500-1-2048x2048.jpeg" TargetMode="External"/><Relationship Id="rId3221" Type="http://schemas.openxmlformats.org/officeDocument/2006/relationships/hyperlink" Target="https://salesxceleration.com/wp-content/uploads/2025/01/go-to-market-manufacturing-case-study.pdf" TargetMode="External"/><Relationship Id="rId4552" Type="http://schemas.openxmlformats.org/officeDocument/2006/relationships/hyperlink" Target="https://salesxceleration.com/wp-content/uploads/2023/05/How-AI-can-change-the-sales-game.png" TargetMode="External"/><Relationship Id="rId5880" Type="http://schemas.openxmlformats.org/officeDocument/2006/relationships/hyperlink" Target="https://salesxceleration.com/sales-hiring-skills-assessment/" TargetMode="External"/><Relationship Id="rId3220" Type="http://schemas.openxmlformats.org/officeDocument/2006/relationships/hyperlink" Target="https://salesxceleration.com/wp-content/uploads/elementor/css/post-18447.css?ver=1768914655" TargetMode="External"/><Relationship Id="rId4551" Type="http://schemas.openxmlformats.org/officeDocument/2006/relationships/hyperlink" Target="https://salesxceleration.com/wp-content/uploads/2023/05/How-AI-can-change-the-sales-game.png" TargetMode="External"/><Relationship Id="rId5881" Type="http://schemas.openxmlformats.org/officeDocument/2006/relationships/hyperlink" Target="https://salesxceleration.com/hiring-skills-assessment" TargetMode="External"/><Relationship Id="rId3223" Type="http://schemas.openxmlformats.org/officeDocument/2006/relationships/hyperlink" Target="https://salesxceleration.com/wp-content/uploads/2021/09/Case_Study_Manufacturing2.pdf" TargetMode="External"/><Relationship Id="rId4554" Type="http://schemas.openxmlformats.org/officeDocument/2006/relationships/hyperlink" Target="https://salesxceleration.com/harness-the-power-of-artificial-intelligence-to-drive-sales/" TargetMode="External"/><Relationship Id="rId5886" Type="http://schemas.openxmlformats.org/officeDocument/2006/relationships/hyperlink" Target="https://salesxceleration.com/wp-content/themes/salesxceleratione/assets/css/style.css?ver=1769123647" TargetMode="External"/><Relationship Id="rId3222" Type="http://schemas.openxmlformats.org/officeDocument/2006/relationships/hyperlink" Target="https://salesxceleration.com/wp-content/uploads/2025/01/go-to-market-manufacturing-case-study.pdf" TargetMode="External"/><Relationship Id="rId4553" Type="http://schemas.openxmlformats.org/officeDocument/2006/relationships/hyperlink" Target="https://salesxceleration.com/harness-the-power-of-artificial-intelligence-to-drive-sales/" TargetMode="External"/><Relationship Id="rId5887" Type="http://schemas.openxmlformats.org/officeDocument/2006/relationships/hyperlink" Target="https://salesxceleration.com/author/tcallen/" TargetMode="External"/><Relationship Id="rId3225" Type="http://schemas.openxmlformats.org/officeDocument/2006/relationships/hyperlink" Target="https://salesxceleration.com/wp-content/uploads/elementor/css/post-16005.css?ver=1768862533" TargetMode="External"/><Relationship Id="rId4556" Type="http://schemas.openxmlformats.org/officeDocument/2006/relationships/hyperlink" Target="https://salesxceleration.com/wp-content/uploads/2015/03/CRM.jpg" TargetMode="External"/><Relationship Id="rId5884" Type="http://schemas.openxmlformats.org/officeDocument/2006/relationships/hyperlink" Target="https://salesxceleration.com/wp-content/uploads/2022/04/hiring-sales-talent-500-1-2048x2048.jpeg" TargetMode="External"/><Relationship Id="rId3224" Type="http://schemas.openxmlformats.org/officeDocument/2006/relationships/hyperlink" Target="https://salesxceleration.com/wp-content/uploads/2021/09/Case_Study_Manufacturing2.pdf" TargetMode="External"/><Relationship Id="rId4555" Type="http://schemas.openxmlformats.org/officeDocument/2006/relationships/hyperlink" Target="https://salesxceleration.com/harness-the-power-of-artificial-intelligence-to-drive-sales/" TargetMode="External"/><Relationship Id="rId5885" Type="http://schemas.openxmlformats.org/officeDocument/2006/relationships/hyperlink" Target="https://salesxceleration.com/wp-content/themes/salesxceleratione/assets/css/style.css?ver=1769123647" TargetMode="External"/><Relationship Id="rId3259" Type="http://schemas.openxmlformats.org/officeDocument/2006/relationships/hyperlink" Target="https://salesxceleration.com/wp-content/themes/salesxceleratione/assets/css/style.css?ver=1769123356" TargetMode="External"/><Relationship Id="rId3250" Type="http://schemas.openxmlformats.org/officeDocument/2006/relationships/hyperlink" Target="https://salesxceleration.com/wp-content/uploads/2020/01/Case_Study_Construction-Manufacturing.pdf" TargetMode="External"/><Relationship Id="rId4581" Type="http://schemas.openxmlformats.org/officeDocument/2006/relationships/hyperlink" Target="https://salesxceleration.com/wp-content/themes/salesxceleratione/assets/css/style.css?ver=1769123535" TargetMode="External"/><Relationship Id="rId4580" Type="http://schemas.openxmlformats.org/officeDocument/2006/relationships/hyperlink" Target="https://salesxceleration.com/wp-content/themes/salesxceleratione/assets/css/style.css?ver=1769123535" TargetMode="External"/><Relationship Id="rId3252" Type="http://schemas.openxmlformats.org/officeDocument/2006/relationships/hyperlink" Target="https://salesxceleration.com/wp-content/uploads/2022/05/Case-Study_Food-Industry_SX.pdf" TargetMode="External"/><Relationship Id="rId4583" Type="http://schemas.openxmlformats.org/officeDocument/2006/relationships/hyperlink" Target="https://salesxceleration.com/sales-agility-assessment/" TargetMode="External"/><Relationship Id="rId3251" Type="http://schemas.openxmlformats.org/officeDocument/2006/relationships/hyperlink" Target="https://salesxceleration.com/wp-content/uploads/2022/05/Case-Study_Food-Industry_SX.pdf" TargetMode="External"/><Relationship Id="rId4582" Type="http://schemas.openxmlformats.org/officeDocument/2006/relationships/hyperlink" Target="https://salesxceleration.com/sales-agility-assessment/?locationid=29820526" TargetMode="External"/><Relationship Id="rId3254" Type="http://schemas.openxmlformats.org/officeDocument/2006/relationships/hyperlink" Target="https://salesxceleration.com/wp-content/uploads/2021/10/Metal-Fab.pdf" TargetMode="External"/><Relationship Id="rId4585" Type="http://schemas.openxmlformats.org/officeDocument/2006/relationships/hyperlink" Target="https://salesxceleration.com/wp-content/themes/salesxceleratione/assets/css/style.css?ver=1769123537" TargetMode="External"/><Relationship Id="rId3253" Type="http://schemas.openxmlformats.org/officeDocument/2006/relationships/hyperlink" Target="https://salesxceleration.com/wp-content/uploads/2021/10/Metal-Fab.pdf" TargetMode="External"/><Relationship Id="rId4584" Type="http://schemas.openxmlformats.org/officeDocument/2006/relationships/hyperlink" Target="https://salesxceleration.com/sales-agility-assessment/?locationid=29820526" TargetMode="External"/><Relationship Id="rId3256" Type="http://schemas.openxmlformats.org/officeDocument/2006/relationships/hyperlink" Target="https://salesxceleration.com/wp-content/uploads/2019/11/healthcare-casestudy-onepage-1.jpg" TargetMode="External"/><Relationship Id="rId4587" Type="http://schemas.openxmlformats.org/officeDocument/2006/relationships/hyperlink" Target="https://salesxceleration.com/wp-content/uploads/2022/03/Case-Study_Healthcare_SX-1-thumb-768x429.jpg" TargetMode="External"/><Relationship Id="rId3255" Type="http://schemas.openxmlformats.org/officeDocument/2006/relationships/hyperlink" Target="https://salesxceleration.com/wp-content/uploads/2019/11/healthcare-casestudy-onepage-1.jpg" TargetMode="External"/><Relationship Id="rId4586" Type="http://schemas.openxmlformats.org/officeDocument/2006/relationships/hyperlink" Target="https://salesxceleration.com/wp-content/themes/salesxceleratione/assets/css/style.css?ver=1769123537" TargetMode="External"/><Relationship Id="rId3258" Type="http://schemas.openxmlformats.org/officeDocument/2006/relationships/hyperlink" Target="https://salesxceleration.com/wp-content/uploads/2021/09/Case_Study_Technology.pdf" TargetMode="External"/><Relationship Id="rId4589" Type="http://schemas.openxmlformats.org/officeDocument/2006/relationships/hyperlink" Target="https://salesxceleration.com/wp-content/uploads/2020/01/turning-flat-thumb-768x442.jpg" TargetMode="External"/><Relationship Id="rId3257" Type="http://schemas.openxmlformats.org/officeDocument/2006/relationships/hyperlink" Target="https://salesxceleration.com/wp-content/uploads/2021/09/Case_Study_Technology.pdf" TargetMode="External"/><Relationship Id="rId4588" Type="http://schemas.openxmlformats.org/officeDocument/2006/relationships/hyperlink" Target="https://salesxceleration.com/wp-content/uploads/2022/03/Case-Study_Healthcare_SX-1-thumb-768x429.jpg" TargetMode="External"/><Relationship Id="rId3249" Type="http://schemas.openxmlformats.org/officeDocument/2006/relationships/hyperlink" Target="https://salesxceleration.com/wp-content/uploads/2020/01/Case_Study_Construction-Manufacturing.pdf" TargetMode="External"/><Relationship Id="rId3248" Type="http://schemas.openxmlformats.org/officeDocument/2006/relationships/hyperlink" Target="https://salesxceleration.com/wp-content/uploads/elementor/css/post-22925.css?ver=1768862537" TargetMode="External"/><Relationship Id="rId4579" Type="http://schemas.openxmlformats.org/officeDocument/2006/relationships/hyperlink" Target="https://salesxceleration.com/wp-content/themes/salesxceleratione/assets/css/style.css?ver=1769123534" TargetMode="External"/><Relationship Id="rId4570" Type="http://schemas.openxmlformats.org/officeDocument/2006/relationships/hyperlink" Target="https://salesxceleration.com/3-ways-to-smooth-the-friction-between-sales-and-marketing/" TargetMode="External"/><Relationship Id="rId3241" Type="http://schemas.openxmlformats.org/officeDocument/2006/relationships/hyperlink" Target="https://salesxceleration.com/wp-content/themes/salesxceleratione/assets/css/style.css?ver=1769123505" TargetMode="External"/><Relationship Id="rId4572" Type="http://schemas.openxmlformats.org/officeDocument/2006/relationships/hyperlink" Target="https://salesxceleration.com/wp-content/uploads/2018/03/playbook.jpg" TargetMode="External"/><Relationship Id="rId3240" Type="http://schemas.openxmlformats.org/officeDocument/2006/relationships/hyperlink" Target="https://salesxceleration.com/wp-content/uploads/elementor/css/post-18507.css?ver=1768880060" TargetMode="External"/><Relationship Id="rId4571" Type="http://schemas.openxmlformats.org/officeDocument/2006/relationships/hyperlink" Target="https://salesxceleration.com/wp-content/uploads/2018/03/playbook.jpg" TargetMode="External"/><Relationship Id="rId3243" Type="http://schemas.openxmlformats.org/officeDocument/2006/relationships/hyperlink" Target="https://salesxceleration.com/wp-content/uploads/2021/09/Case-Study_JP_Technology_SX.pdf" TargetMode="External"/><Relationship Id="rId4574" Type="http://schemas.openxmlformats.org/officeDocument/2006/relationships/hyperlink" Target="https://salesxceleration.com/wp-content/themes/salesxceleratione/assets/css/style.css?ver=1769123532" TargetMode="External"/><Relationship Id="rId3242" Type="http://schemas.openxmlformats.org/officeDocument/2006/relationships/hyperlink" Target="https://salesxceleration.com/wp-content/themes/salesxceleratione/assets/css/style.css?ver=1769123505" TargetMode="External"/><Relationship Id="rId4573" Type="http://schemas.openxmlformats.org/officeDocument/2006/relationships/hyperlink" Target="https://salesxceleration.com/wp-content/themes/salesxceleratione/assets/css/style.css?ver=1769123532" TargetMode="External"/><Relationship Id="rId3245" Type="http://schemas.openxmlformats.org/officeDocument/2006/relationships/hyperlink" Target="https://salesxceleration.com/wp-content/uploads/elementor/css/post-16019.css?ver=1768848826" TargetMode="External"/><Relationship Id="rId4576" Type="http://schemas.openxmlformats.org/officeDocument/2006/relationships/hyperlink" Target="https://salesxceleration.com/4-tips-for-succeeding-as-a-new-sales-manager/" TargetMode="External"/><Relationship Id="rId3244" Type="http://schemas.openxmlformats.org/officeDocument/2006/relationships/hyperlink" Target="https://salesxceleration.com/wp-content/uploads/2021/09/Case-Study_JP_Technology_SX.pdf" TargetMode="External"/><Relationship Id="rId4575" Type="http://schemas.openxmlformats.org/officeDocument/2006/relationships/hyperlink" Target="https://salesxceleration.com/4-tips-for-succeeding-as-a-new-sales-manager/" TargetMode="External"/><Relationship Id="rId3247" Type="http://schemas.openxmlformats.org/officeDocument/2006/relationships/hyperlink" Target="https://salesxceleration.com/wp-content/uploads/elementor/css/post-22925.css?ver=1768862537" TargetMode="External"/><Relationship Id="rId4578" Type="http://schemas.openxmlformats.org/officeDocument/2006/relationships/hyperlink" Target="https://salesxceleration.com/wp-content/themes/salesxceleratione/assets/css/style.css?ver=1769123534" TargetMode="External"/><Relationship Id="rId3246" Type="http://schemas.openxmlformats.org/officeDocument/2006/relationships/hyperlink" Target="https://salesxceleration.com/wp-content/uploads/elementor/css/post-16019.css?ver=1768848826" TargetMode="External"/><Relationship Id="rId4577" Type="http://schemas.openxmlformats.org/officeDocument/2006/relationships/hyperlink" Target="https://salesxceleration.com/4-tips-for-succeeding-as-a-new-sales-manager/" TargetMode="External"/><Relationship Id="rId4525" Type="http://schemas.openxmlformats.org/officeDocument/2006/relationships/hyperlink" Target="https://salesxceleration.com/turn-turn-turn-making-the-pivot-to-a-new-season-in-your-professional-life/" TargetMode="External"/><Relationship Id="rId5857" Type="http://schemas.openxmlformats.org/officeDocument/2006/relationships/hyperlink" Target="https://salesxceleration.com/one-year-salesperson-onboarding-plan/" TargetMode="External"/><Relationship Id="rId4524" Type="http://schemas.openxmlformats.org/officeDocument/2006/relationships/hyperlink" Target="https://salesxceleration.com/turn-turn-turn-making-the-pivot-to-a-new-season-in-your-professional-life/" TargetMode="External"/><Relationship Id="rId5858" Type="http://schemas.openxmlformats.org/officeDocument/2006/relationships/hyperlink" Target="https://salesxceleration.com/one-year-salesperson-onboarding-plan/" TargetMode="External"/><Relationship Id="rId4527" Type="http://schemas.openxmlformats.org/officeDocument/2006/relationships/hyperlink" Target="https://salesxceleration.com/wp-content/uploads/2025/11/hire-outside-of-industry-1030x579-1-1024x576-1.jpg" TargetMode="External"/><Relationship Id="rId5855" Type="http://schemas.openxmlformats.org/officeDocument/2006/relationships/hyperlink" Target="https://salesxceleration.com/wp-content/uploads/2022/10/Onboarding-2048x2048.jpg" TargetMode="External"/><Relationship Id="rId4526" Type="http://schemas.openxmlformats.org/officeDocument/2006/relationships/hyperlink" Target="https://salesxceleration.com/wp-content/uploads/2025/11/hire-outside-of-industry-1030x579-1-1024x576-1.jpg" TargetMode="External"/><Relationship Id="rId5856" Type="http://schemas.openxmlformats.org/officeDocument/2006/relationships/hyperlink" Target="https://salesxceleration.com/wp-content/uploads/2022/10/Onboarding-2048x2048.jpg" TargetMode="External"/><Relationship Id="rId4529" Type="http://schemas.openxmlformats.org/officeDocument/2006/relationships/hyperlink" Target="https://salesxceleration.com/wp-content/themes/salesxceleratione/assets/css/style.css?ver=1769123524" TargetMode="External"/><Relationship Id="rId4528" Type="http://schemas.openxmlformats.org/officeDocument/2006/relationships/hyperlink" Target="https://salesxceleration.com/wp-content/themes/salesxceleratione/assets/css/style.css?ver=1769123524" TargetMode="External"/><Relationship Id="rId5859" Type="http://schemas.openxmlformats.org/officeDocument/2006/relationships/hyperlink" Target="https://salesxceleration.com/one-year-salesperson-onboarding-plan/" TargetMode="External"/><Relationship Id="rId5850" Type="http://schemas.openxmlformats.org/officeDocument/2006/relationships/hyperlink" Target="https://salesxceleration.com/wp-content/themes/salesxceleratione/assets/css/style.css?ver=1769123649" TargetMode="External"/><Relationship Id="rId4521" Type="http://schemas.openxmlformats.org/officeDocument/2006/relationships/hyperlink" Target="https://salesxceleration.com/wp-content/uploads/2020/12/Woman-Sales-VP-Thinking-About-the-Future-scaled-1-300x300.jpg" TargetMode="External"/><Relationship Id="rId5853" Type="http://schemas.openxmlformats.org/officeDocument/2006/relationships/hyperlink" Target="https://salesxceleration.com/wp-content/uploads/2022/04/hiring-sales-talent-500-1.jpeg" TargetMode="External"/><Relationship Id="rId4520" Type="http://schemas.openxmlformats.org/officeDocument/2006/relationships/hyperlink" Target="https://salesxceleration.com/give-yourself-the-gift-of-making-a-difference/" TargetMode="External"/><Relationship Id="rId5854" Type="http://schemas.openxmlformats.org/officeDocument/2006/relationships/hyperlink" Target="https://salesxceleration.com/wp-content/uploads/2022/04/hiring-sales-talent-500-1.jpeg" TargetMode="External"/><Relationship Id="rId4523" Type="http://schemas.openxmlformats.org/officeDocument/2006/relationships/hyperlink" Target="https://salesxceleration.com/turn-turn-turn-making-the-pivot-to-a-new-season-in-your-professional-life/" TargetMode="External"/><Relationship Id="rId5851" Type="http://schemas.openxmlformats.org/officeDocument/2006/relationships/hyperlink" Target="https://salesxceleration.com/wp-content/uploads/2022/03/Sales-Infrastructure-Meeting-2048x2048.jpg" TargetMode="External"/><Relationship Id="rId4522" Type="http://schemas.openxmlformats.org/officeDocument/2006/relationships/hyperlink" Target="https://salesxceleration.com/wp-content/uploads/2020/12/Woman-Sales-VP-Thinking-About-the-Future-scaled-1-300x300.jpg" TargetMode="External"/><Relationship Id="rId5852" Type="http://schemas.openxmlformats.org/officeDocument/2006/relationships/hyperlink" Target="https://salesxceleration.com/wp-content/uploads/2022/03/Sales-Infrastructure-Meeting-2048x2048.jpg" TargetMode="External"/><Relationship Id="rId4514" Type="http://schemas.openxmlformats.org/officeDocument/2006/relationships/hyperlink" Target="https://salesxceleration.com/wp-content/uploads/2020/09/Career-Crossroads-scaled-1-300x300.jpg" TargetMode="External"/><Relationship Id="rId5846" Type="http://schemas.openxmlformats.org/officeDocument/2006/relationships/hyperlink" Target="https://salesxceleration.com/wp-content/uploads/2022/04/Recruiting-Candidate-2048x2048.jpg" TargetMode="External"/><Relationship Id="rId4513" Type="http://schemas.openxmlformats.org/officeDocument/2006/relationships/hyperlink" Target="https://salesxceleration.com/wp-content/uploads/2020/09/Career-Crossroads-scaled-1-300x300.jpg" TargetMode="External"/><Relationship Id="rId5847" Type="http://schemas.openxmlformats.org/officeDocument/2006/relationships/hyperlink" Target="https://salesxceleration.com/wp-content/uploads/2023/04/Onboarding-for-Sales-Success.jpg" TargetMode="External"/><Relationship Id="rId4516" Type="http://schemas.openxmlformats.org/officeDocument/2006/relationships/hyperlink" Target="https://salesxceleration.com/feeling-out-of-control-take-charge-of-your-next-career-act/" TargetMode="External"/><Relationship Id="rId5844" Type="http://schemas.openxmlformats.org/officeDocument/2006/relationships/hyperlink" Target="https://salesxceleration.com/breakaway-sales-recruiting/case-study-download/" TargetMode="External"/><Relationship Id="rId4515" Type="http://schemas.openxmlformats.org/officeDocument/2006/relationships/hyperlink" Target="https://salesxceleration.com/feeling-out-of-control-take-charge-of-your-next-career-act/" TargetMode="External"/><Relationship Id="rId5845" Type="http://schemas.openxmlformats.org/officeDocument/2006/relationships/hyperlink" Target="https://salesxceleration.com/wp-content/uploads/2022/04/Recruiting-Candidate-2048x2048.jpg" TargetMode="External"/><Relationship Id="rId4518" Type="http://schemas.openxmlformats.org/officeDocument/2006/relationships/hyperlink" Target="https://salesxceleration.com/give-yourself-the-gift-of-making-a-difference/" TargetMode="External"/><Relationship Id="rId4517" Type="http://schemas.openxmlformats.org/officeDocument/2006/relationships/hyperlink" Target="https://salesxceleration.com/feeling-out-of-control-take-charge-of-your-next-career-act/" TargetMode="External"/><Relationship Id="rId5848" Type="http://schemas.openxmlformats.org/officeDocument/2006/relationships/hyperlink" Target="https://salesxceleration.com/wp-content/uploads/2023/04/Onboarding-for-Sales-Success.jpg" TargetMode="External"/><Relationship Id="rId4519" Type="http://schemas.openxmlformats.org/officeDocument/2006/relationships/hyperlink" Target="https://salesxceleration.com/give-yourself-the-gift-of-making-a-difference/" TargetMode="External"/><Relationship Id="rId5849" Type="http://schemas.openxmlformats.org/officeDocument/2006/relationships/hyperlink" Target="https://salesxceleration.com/wp-content/themes/salesxceleratione/assets/css/style.css?ver=1769123649" TargetMode="External"/><Relationship Id="rId4510" Type="http://schemas.openxmlformats.org/officeDocument/2006/relationships/hyperlink" Target="https://salesxceleration.com/a-new-beginning-after-all-these-years/" TargetMode="External"/><Relationship Id="rId5842" Type="http://schemas.openxmlformats.org/officeDocument/2006/relationships/hyperlink" Target="https://salesxceleration.com/breakaway-sales-recruiting/case-study-download/" TargetMode="External"/><Relationship Id="rId5843" Type="http://schemas.openxmlformats.org/officeDocument/2006/relationships/hyperlink" Target="https://salesxceleration.com/breakaway-sales-recruiting/case-study-download/" TargetMode="External"/><Relationship Id="rId4512" Type="http://schemas.openxmlformats.org/officeDocument/2006/relationships/hyperlink" Target="https://salesxceleration.com/wp-content/uploads/2020/10/Sales-Leadership-Consultant-Leading-a-Sales-Meeting-scaled-1-300x300.jpg" TargetMode="External"/><Relationship Id="rId5840" Type="http://schemas.openxmlformats.org/officeDocument/2006/relationships/hyperlink" Target="https://salesxceleration.com/wp-content/themes/salesxceleratione/assets/css/style.css?ver=1769123650" TargetMode="External"/><Relationship Id="rId4511" Type="http://schemas.openxmlformats.org/officeDocument/2006/relationships/hyperlink" Target="https://salesxceleration.com/wp-content/uploads/2020/10/Sales-Leadership-Consultant-Leading-a-Sales-Meeting-scaled-1-300x300.jpg" TargetMode="External"/><Relationship Id="rId5841" Type="http://schemas.openxmlformats.org/officeDocument/2006/relationships/hyperlink" Target="https://salesxceleration.com/wp-content/themes/salesxceleratione/assets/css/style.css?ver=1769123650" TargetMode="External"/><Relationship Id="rId3216" Type="http://schemas.openxmlformats.org/officeDocument/2006/relationships/hyperlink" Target="https://salesxceleration.com/wp-content/uploads/elementor/css/post-26154.css?ver=1768858960" TargetMode="External"/><Relationship Id="rId4547" Type="http://schemas.openxmlformats.org/officeDocument/2006/relationships/hyperlink" Target="https://salesxceleration.com/wp-content/themes/salesxceleratione/assets/css/style.css?ver=1769123526" TargetMode="External"/><Relationship Id="rId5879" Type="http://schemas.openxmlformats.org/officeDocument/2006/relationships/hyperlink" Target="https://salesxceleration.com/sales-agility-assessment/?locationid=29377935" TargetMode="External"/><Relationship Id="rId3215" Type="http://schemas.openxmlformats.org/officeDocument/2006/relationships/hyperlink" Target="https://salesxceleration.com/wp-content/uploads/elementor/css/post-26154.css?ver=1768858960" TargetMode="External"/><Relationship Id="rId4546" Type="http://schemas.openxmlformats.org/officeDocument/2006/relationships/hyperlink" Target="https://salesxceleration.com/5-tips-to-sales-leaders-to-kickstart-hiring/" TargetMode="External"/><Relationship Id="rId3218" Type="http://schemas.openxmlformats.org/officeDocument/2006/relationships/hyperlink" Target="https://salesxceleration.com/wp-content/uploads/2025/07/Transforming-Early-Education-Sales-Success-18-Year-Over-Year-Revenue-Growth.pdf" TargetMode="External"/><Relationship Id="rId4549" Type="http://schemas.openxmlformats.org/officeDocument/2006/relationships/hyperlink" Target="https://salesxceleration.com/wp-content/uploads/2023/10/Harness-the-Power-of-AI.jpg" TargetMode="External"/><Relationship Id="rId5877" Type="http://schemas.openxmlformats.org/officeDocument/2006/relationships/hyperlink" Target="https://salesxceleration.com/sales-agility-assessment/?locationid=29377935" TargetMode="External"/><Relationship Id="rId3217" Type="http://schemas.openxmlformats.org/officeDocument/2006/relationships/hyperlink" Target="https://salesxceleration.com/wp-content/uploads/2025/07/Transforming-Early-Education-Sales-Success-18-Year-Over-Year-Revenue-Growth.pdf" TargetMode="External"/><Relationship Id="rId4548" Type="http://schemas.openxmlformats.org/officeDocument/2006/relationships/hyperlink" Target="https://salesxceleration.com/wp-content/themes/salesxceleratione/assets/css/style.css?ver=1769123526" TargetMode="External"/><Relationship Id="rId5878" Type="http://schemas.openxmlformats.org/officeDocument/2006/relationships/hyperlink" Target="https://salesxceleration.com/sales-agility-assessment/" TargetMode="External"/><Relationship Id="rId3219" Type="http://schemas.openxmlformats.org/officeDocument/2006/relationships/hyperlink" Target="https://salesxceleration.com/wp-content/uploads/elementor/css/post-18447.css?ver=1768914655" TargetMode="External"/><Relationship Id="rId5871" Type="http://schemas.openxmlformats.org/officeDocument/2006/relationships/hyperlink" Target="https://salesxceleration.com/wp-content/uploads/2022/03/Sales-Infrastructure-Meeting.jpg" TargetMode="External"/><Relationship Id="rId5872" Type="http://schemas.openxmlformats.org/officeDocument/2006/relationships/hyperlink" Target="https://salesxceleration.com/wp-content/uploads/2022/04/Finding-top-sales-talent.jpg" TargetMode="External"/><Relationship Id="rId3210" Type="http://schemas.openxmlformats.org/officeDocument/2006/relationships/hyperlink" Target="https://salesxceleration.com/wp-content/uploads/2019/11/construction-onepage-1.jpg" TargetMode="External"/><Relationship Id="rId4541" Type="http://schemas.openxmlformats.org/officeDocument/2006/relationships/hyperlink" Target="https://salesxceleration.com/the-business-process-outsourcing-trend-how-bpo-benefits-businesses-of-all-sizes/" TargetMode="External"/><Relationship Id="rId4540" Type="http://schemas.openxmlformats.org/officeDocument/2006/relationships/hyperlink" Target="https://salesxceleration.com/wp-content/themes/salesxceleratione/assets/css/style.css?ver=1769123525" TargetMode="External"/><Relationship Id="rId5870" Type="http://schemas.openxmlformats.org/officeDocument/2006/relationships/hyperlink" Target="https://salesxceleration.com/wp-content/uploads/2022/03/Sales-Infrastructure-Meeting.jpg" TargetMode="External"/><Relationship Id="rId3212" Type="http://schemas.openxmlformats.org/officeDocument/2006/relationships/hyperlink" Target="https://salesxceleration.com/wp-content/uploads/elementor/css/post-69843.css?ver=1768862530" TargetMode="External"/><Relationship Id="rId4543" Type="http://schemas.openxmlformats.org/officeDocument/2006/relationships/hyperlink" Target="https://salesxceleration.com/the-business-process-outsourcing-trend-how-bpo-benefits-businesses-of-all-sizes/" TargetMode="External"/><Relationship Id="rId5875" Type="http://schemas.openxmlformats.org/officeDocument/2006/relationships/hyperlink" Target="https://salesxceleration.com/fueling-sales-by-building-the-best-sales-engine-part-1" TargetMode="External"/><Relationship Id="rId3211" Type="http://schemas.openxmlformats.org/officeDocument/2006/relationships/hyperlink" Target="https://salesxceleration.com/wp-content/uploads/elementor/css/post-69843.css?ver=1768862530" TargetMode="External"/><Relationship Id="rId4542" Type="http://schemas.openxmlformats.org/officeDocument/2006/relationships/hyperlink" Target="https://salesxceleration.com/the-business-process-outsourcing-trend-how-bpo-benefits-businesses-of-all-sizes/" TargetMode="External"/><Relationship Id="rId5876" Type="http://schemas.openxmlformats.org/officeDocument/2006/relationships/hyperlink" Target="https://salesxceleration.com/fueling-sales-by-building-the-best-sales-engine/" TargetMode="External"/><Relationship Id="rId3214" Type="http://schemas.openxmlformats.org/officeDocument/2006/relationships/hyperlink" Target="https://salesxceleration.com/wp-content/uploads/2025/07/Early-Education-Thumbnail.jpg" TargetMode="External"/><Relationship Id="rId4545" Type="http://schemas.openxmlformats.org/officeDocument/2006/relationships/hyperlink" Target="https://salesxceleration.com/5-tips-to-sales-leaders-to-kickstart-hiring/" TargetMode="External"/><Relationship Id="rId5873" Type="http://schemas.openxmlformats.org/officeDocument/2006/relationships/hyperlink" Target="https://salesxceleration.com/wp-content/uploads/2022/04/Finding-top-sales-talent.jpg" TargetMode="External"/><Relationship Id="rId3213" Type="http://schemas.openxmlformats.org/officeDocument/2006/relationships/hyperlink" Target="https://salesxceleration.com/wp-content/uploads/2025/07/Early-Education-Thumbnail.jpg" TargetMode="External"/><Relationship Id="rId4544" Type="http://schemas.openxmlformats.org/officeDocument/2006/relationships/hyperlink" Target="https://salesxceleration.com/5-tips-to-sales-leaders-to-kickstart-hiring/" TargetMode="External"/><Relationship Id="rId5874" Type="http://schemas.openxmlformats.org/officeDocument/2006/relationships/hyperlink" Target="https://salesxceleration.com/fueling-sales-by-building-the-best-sales-engine/" TargetMode="External"/><Relationship Id="rId3205" Type="http://schemas.openxmlformats.org/officeDocument/2006/relationships/hyperlink" Target="https://salesxceleration.com/wp-content/uploads/2023/08/Driving-Sales-Efficiency-Through-Strategic-Transformation-Manufacturing-Case-Study_SX.pdf" TargetMode="External"/><Relationship Id="rId4536" Type="http://schemas.openxmlformats.org/officeDocument/2006/relationships/hyperlink" Target="https://salesxceleration.com/resources/state-of-sales/?__hstc=264954448.5a75b0ce6ded236b1a525ae32d6f058b.1762363628984.1762363628984.1762460367118.2&amp;__hssc=264954448.17.1762460367118&amp;__hsfp=1415230760" TargetMode="External"/><Relationship Id="rId5868" Type="http://schemas.openxmlformats.org/officeDocument/2006/relationships/hyperlink" Target="https://salesxceleration.com/wp-content/themes/salesxceleratione/assets/css/style.css?ver=1769123648" TargetMode="External"/><Relationship Id="rId3204" Type="http://schemas.openxmlformats.org/officeDocument/2006/relationships/hyperlink" Target="https://salesxceleration.com/wp-content/uploads/elementor/css/post-19018.css?ver=1768862536" TargetMode="External"/><Relationship Id="rId4535" Type="http://schemas.openxmlformats.org/officeDocument/2006/relationships/hyperlink" Target="https://salesxceleration.com/state-of-sales/?__hstc=264954448.5a75b0ce6ded236b1a525ae32d6f058b.1762363628984.1762363628984.1762460367118.2&amp;__hssc=264954448.17.1762460367118&amp;__hsfp=1415230760" TargetMode="External"/><Relationship Id="rId5869" Type="http://schemas.openxmlformats.org/officeDocument/2006/relationships/hyperlink" Target="https://salesxceleration.com/wp-content/themes/salesxceleratione/assets/css/style.css?ver=1769123648" TargetMode="External"/><Relationship Id="rId3207" Type="http://schemas.openxmlformats.org/officeDocument/2006/relationships/hyperlink" Target="https://salesxceleration.com/wp-content/themes/salesxceleratione/assets/css/style.css?ver=1769123503" TargetMode="External"/><Relationship Id="rId4538" Type="http://schemas.openxmlformats.org/officeDocument/2006/relationships/hyperlink" Target="https://salesxceleration.com/wp-content/uploads/2025/12/how-firing-your-topsales.jpg" TargetMode="External"/><Relationship Id="rId5866" Type="http://schemas.openxmlformats.org/officeDocument/2006/relationships/hyperlink" Target="https://salesxceleration.com/wp-content/uploads/2022/03/Sales-Group-Meeting-2048x2048.jpg" TargetMode="External"/><Relationship Id="rId3206" Type="http://schemas.openxmlformats.org/officeDocument/2006/relationships/hyperlink" Target="https://salesxceleration.com/wp-content/uploads/2023/08/Driving-Sales-Efficiency-Through-Strategic-Transformation-Manufacturing-Case-Study_SX.pdf" TargetMode="External"/><Relationship Id="rId4537" Type="http://schemas.openxmlformats.org/officeDocument/2006/relationships/hyperlink" Target="https://salesxceleration.com/wp-content/uploads/2025/12/how-firing-your-topsales.jpg" TargetMode="External"/><Relationship Id="rId5867" Type="http://schemas.openxmlformats.org/officeDocument/2006/relationships/hyperlink" Target="https://salesxceleration.com/wp-content/uploads/2022/03/Sales-Group-Meeting-2048x2048.jpg" TargetMode="External"/><Relationship Id="rId3209" Type="http://schemas.openxmlformats.org/officeDocument/2006/relationships/hyperlink" Target="https://salesxceleration.com/wp-content/uploads/2019/11/construction-onepage-1.jpg" TargetMode="External"/><Relationship Id="rId3208" Type="http://schemas.openxmlformats.org/officeDocument/2006/relationships/hyperlink" Target="https://salesxceleration.com/wp-content/themes/salesxceleratione/assets/css/style.css?ver=1769123503" TargetMode="External"/><Relationship Id="rId4539" Type="http://schemas.openxmlformats.org/officeDocument/2006/relationships/hyperlink" Target="https://salesxceleration.com/wp-content/themes/salesxceleratione/assets/css/style.css?ver=1769123525" TargetMode="External"/><Relationship Id="rId5860" Type="http://schemas.openxmlformats.org/officeDocument/2006/relationships/hyperlink" Target="https://salesxceleration.com/wp-content/uploads/2023/02/Hiring-Smarter.jpg" TargetMode="External"/><Relationship Id="rId5861" Type="http://schemas.openxmlformats.org/officeDocument/2006/relationships/hyperlink" Target="https://salesxceleration.com/wp-content/uploads/2023/02/Hiring-Smarter.jpg" TargetMode="External"/><Relationship Id="rId4530" Type="http://schemas.openxmlformats.org/officeDocument/2006/relationships/hyperlink" Target="https://salesxceleration.com/wp-content/uploads/2025/11/61-of-companies-do-not-provide-performance-reviews-1024x536-1.jpg" TargetMode="External"/><Relationship Id="rId3201" Type="http://schemas.openxmlformats.org/officeDocument/2006/relationships/hyperlink" Target="https://salesxceleration.com/wp-content/uploads/2019/10/pr-case-study-1.jpg" TargetMode="External"/><Relationship Id="rId4532" Type="http://schemas.openxmlformats.org/officeDocument/2006/relationships/hyperlink" Target="https://salesxceleration.com/wp-content/uploads/2025/11/91-of-companies-do-not-offer-any-sales-training-1024x536-1.jpg" TargetMode="External"/><Relationship Id="rId5864" Type="http://schemas.openxmlformats.org/officeDocument/2006/relationships/hyperlink" Target="https://salesxceleration.com/wp-content/uploads/2022/04/Callen-Todd-275x275-1-100x100.jpg" TargetMode="External"/><Relationship Id="rId3200" Type="http://schemas.openxmlformats.org/officeDocument/2006/relationships/hyperlink" Target="https://salesxceleration.com/wp-content/uploads/2021/09/Case_Study_Public_Relations.pdf" TargetMode="External"/><Relationship Id="rId4531" Type="http://schemas.openxmlformats.org/officeDocument/2006/relationships/hyperlink" Target="https://salesxceleration.com/wp-content/uploads/2025/11/61-of-companies-do-not-provide-performance-reviews-1024x536-1.jpg" TargetMode="External"/><Relationship Id="rId5865" Type="http://schemas.openxmlformats.org/officeDocument/2006/relationships/hyperlink" Target="https://salesxceleration.com/wp-content/uploads/2022/04/Callen-Todd-275x275-1-100x100.jpg" TargetMode="External"/><Relationship Id="rId3203" Type="http://schemas.openxmlformats.org/officeDocument/2006/relationships/hyperlink" Target="https://salesxceleration.com/wp-content/uploads/elementor/css/post-19018.css?ver=1768862536" TargetMode="External"/><Relationship Id="rId4534" Type="http://schemas.openxmlformats.org/officeDocument/2006/relationships/hyperlink" Target="https://salesxceleration.com/resources/state-of-sales/?__hstc=264954448.5a75b0ce6ded236b1a525ae32d6f058b.1762363628984.1762363628984.1762460367118.2&amp;__hssc=264954448.17.1762460367118&amp;__hsfp=1415230760" TargetMode="External"/><Relationship Id="rId5862" Type="http://schemas.openxmlformats.org/officeDocument/2006/relationships/hyperlink" Target="https://salesxceleration.com/wp-content/uploads/2022/08/sales-jobs-are-changing.jpg" TargetMode="External"/><Relationship Id="rId3202" Type="http://schemas.openxmlformats.org/officeDocument/2006/relationships/hyperlink" Target="https://salesxceleration.com/wp-content/uploads/2019/10/pr-case-study-1.jpg" TargetMode="External"/><Relationship Id="rId4533" Type="http://schemas.openxmlformats.org/officeDocument/2006/relationships/hyperlink" Target="https://salesxceleration.com/wp-content/uploads/2025/11/91-of-companies-do-not-offer-any-sales-training-1024x536-1.jpg" TargetMode="External"/><Relationship Id="rId5863" Type="http://schemas.openxmlformats.org/officeDocument/2006/relationships/hyperlink" Target="https://salesxceleration.com/wp-content/uploads/2022/08/sales-jobs-are-changing.jpg" TargetMode="External"/><Relationship Id="rId190" Type="http://schemas.openxmlformats.org/officeDocument/2006/relationships/hyperlink" Target="https://salesxceleration.com/wp-content/uploads/2025/02/Untitled-design-13.png" TargetMode="External"/><Relationship Id="rId194" Type="http://schemas.openxmlformats.org/officeDocument/2006/relationships/hyperlink" Target="https://salesxceleration.com/wp-includes/js/jquery/jquery-migrate.min.js?ver=3.4.1" TargetMode="External"/><Relationship Id="rId193" Type="http://schemas.openxmlformats.org/officeDocument/2006/relationships/hyperlink" Target="https://salesxceleration.com/wp-content/uploads/2025/03/mask-1024x978.png" TargetMode="External"/><Relationship Id="rId192" Type="http://schemas.openxmlformats.org/officeDocument/2006/relationships/hyperlink" Target="https://salesxceleration.com/wp-content/uploads/2025/03/mask-1024x978.png" TargetMode="External"/><Relationship Id="rId191" Type="http://schemas.openxmlformats.org/officeDocument/2006/relationships/hyperlink" Target="https://salesxceleration.com/wp-content/uploads/2025/02/Untitled-design-13.png" TargetMode="External"/><Relationship Id="rId187" Type="http://schemas.openxmlformats.org/officeDocument/2006/relationships/hyperlink" Target="https://salesxceleration.com/wp-content/plugins/powerpack-elements/assets/js/min/pp-bg-effects.min.js?ver=1.0.0" TargetMode="External"/><Relationship Id="rId186" Type="http://schemas.openxmlformats.org/officeDocument/2006/relationships/hyperlink" Target="https://salesxceleration.com/wp-content/plugins/powerpack-elements/assets/js/min/pp-bg-effects.min.js?ver=1.0.0" TargetMode="External"/><Relationship Id="rId185" Type="http://schemas.openxmlformats.org/officeDocument/2006/relationships/hyperlink" Target="https://salesxceleration.com/wp-content/uploads/elementor/css/post-51707.css?ver=1768845927" TargetMode="External"/><Relationship Id="rId184" Type="http://schemas.openxmlformats.org/officeDocument/2006/relationships/hyperlink" Target="https://salesxceleration.com/wp-content/uploads/elementor/css/post-51707.css?ver=1768845927" TargetMode="External"/><Relationship Id="rId189" Type="http://schemas.openxmlformats.org/officeDocument/2006/relationships/hyperlink" Target="https://salesxceleration.com/wp-content/plugins/elementor/assets/css/widget-image.min.css?ver=3.34.0" TargetMode="External"/><Relationship Id="rId188" Type="http://schemas.openxmlformats.org/officeDocument/2006/relationships/hyperlink" Target="https://salesxceleration.com/wp-content/plugins/elementor/assets/css/widget-image.min.css?ver=3.34.0" TargetMode="External"/><Relationship Id="rId183" Type="http://schemas.openxmlformats.org/officeDocument/2006/relationships/hyperlink" Target="https://salesxceleration.com/frequently-asked-questions/" TargetMode="External"/><Relationship Id="rId182" Type="http://schemas.openxmlformats.org/officeDocument/2006/relationships/hyperlink" Target="https://salesxceleration.com/frequently-asked-questions/" TargetMode="External"/><Relationship Id="rId181" Type="http://schemas.openxmlformats.org/officeDocument/2006/relationships/hyperlink" Target="https://salesxceleration.com/frequently-asked-questions/" TargetMode="External"/><Relationship Id="rId180" Type="http://schemas.openxmlformats.org/officeDocument/2006/relationships/hyperlink" Target="https://salesxceleration.com/wp-content/uploads/2025/02/SX-2-1024x684.jpg" TargetMode="External"/><Relationship Id="rId176" Type="http://schemas.openxmlformats.org/officeDocument/2006/relationships/hyperlink" Target="https://salesxceleration.com/wp-content/plugins/elementor/assets/css/widget-heading.min.css?ver=3.34.0" TargetMode="External"/><Relationship Id="rId175" Type="http://schemas.openxmlformats.org/officeDocument/2006/relationships/hyperlink" Target="https://salesxceleration.com/wp-content/plugins/elementor/assets/css/widget-heading.min.css?ver=3.34.0" TargetMode="External"/><Relationship Id="rId174" Type="http://schemas.openxmlformats.org/officeDocument/2006/relationships/hyperlink" Target="https://salesxceleration.com/wp-content/uploads/2021/11/Canda-shadow.png" TargetMode="External"/><Relationship Id="rId173" Type="http://schemas.openxmlformats.org/officeDocument/2006/relationships/hyperlink" Target="https://salesxceleration.com/wp-content/uploads/2021/11/Canda-shadow.png" TargetMode="External"/><Relationship Id="rId179" Type="http://schemas.openxmlformats.org/officeDocument/2006/relationships/hyperlink" Target="https://salesxceleration.com/wp-content/uploads/2025/02/SX-2-1024x684.jpg" TargetMode="External"/><Relationship Id="rId178" Type="http://schemas.openxmlformats.org/officeDocument/2006/relationships/hyperlink" Target="https://salesxceleration.com/wp-content/uploads/2025/03/nomask-1024x578.jpg" TargetMode="External"/><Relationship Id="rId177" Type="http://schemas.openxmlformats.org/officeDocument/2006/relationships/hyperlink" Target="https://salesxceleration.com/wp-content/uploads/2025/03/nomask-1024x578.jpg" TargetMode="External"/><Relationship Id="rId198" Type="http://schemas.openxmlformats.org/officeDocument/2006/relationships/hyperlink" Target="https://salesxceleration.com/private-equity-solutions/private-equity/" TargetMode="External"/><Relationship Id="rId197" Type="http://schemas.openxmlformats.org/officeDocument/2006/relationships/hyperlink" Target="https://salesxceleration.com/wp-content/uploads/elementor/css/post-208.css?ver=1768845927" TargetMode="External"/><Relationship Id="rId196" Type="http://schemas.openxmlformats.org/officeDocument/2006/relationships/hyperlink" Target="https://salesxceleration.com/wp-content/uploads/elementor/css/post-208.css?ver=1768845927" TargetMode="External"/><Relationship Id="rId195" Type="http://schemas.openxmlformats.org/officeDocument/2006/relationships/hyperlink" Target="https://salesxceleration.com/wp-includes/js/jquery/jquery-migrate.min.js?ver=3.4.1" TargetMode="External"/><Relationship Id="rId199" Type="http://schemas.openxmlformats.org/officeDocument/2006/relationships/hyperlink" Target="https://salesxceleration.com/private-equity-solutions/private-equity/" TargetMode="External"/><Relationship Id="rId150" Type="http://schemas.openxmlformats.org/officeDocument/2006/relationships/hyperlink" Target="https://salesxceleration.com/wp-content/themes/salesxceleratione/assets/js/slick-1.8.1.min.js?ver=1.8.1" TargetMode="External"/><Relationship Id="rId149" Type="http://schemas.openxmlformats.org/officeDocument/2006/relationships/hyperlink" Target="https://salesxceleration.com/wp-content/themes/salesxceleratione/assets/js/slick-1.8.1.min.js?ver=1.8.1" TargetMode="External"/><Relationship Id="rId148" Type="http://schemas.openxmlformats.org/officeDocument/2006/relationships/hyperlink" Target="https://salesxceleration.com/industries/manufacturing/" TargetMode="External"/><Relationship Id="rId3270" Type="http://schemas.openxmlformats.org/officeDocument/2006/relationships/hyperlink" Target="https://salesxceleration.com/wp-content/uploads/2019/11/Case_Study_Home_Healthcare-1.pdf" TargetMode="External"/><Relationship Id="rId3272" Type="http://schemas.openxmlformats.org/officeDocument/2006/relationships/hyperlink" Target="https://salesxceleration.com/wp-content/themes/salesxceleratione/assets/css/style.css?ver=1769123357" TargetMode="External"/><Relationship Id="rId3271" Type="http://schemas.openxmlformats.org/officeDocument/2006/relationships/hyperlink" Target="https://salesxceleration.com/wp-content/themes/salesxceleratione/assets/css/style.css?ver=1769123357" TargetMode="External"/><Relationship Id="rId143" Type="http://schemas.openxmlformats.org/officeDocument/2006/relationships/hyperlink" Target="https://salesxceleration.com/wp-content/plugins/elementor/assets/lib/animations/styles/fadeInUp.min.css?ver=3.34.0" TargetMode="External"/><Relationship Id="rId3274" Type="http://schemas.openxmlformats.org/officeDocument/2006/relationships/hyperlink" Target="https://salesxceleration.com/sales-training-alone-wont-improve-businesss-revenue/" TargetMode="External"/><Relationship Id="rId142" Type="http://schemas.openxmlformats.org/officeDocument/2006/relationships/hyperlink" Target="https://salesxceleration.com/wp-content/plugins/elementor/assets/lib/animations/styles/fadeInUp.min.css?ver=3.34.0" TargetMode="External"/><Relationship Id="rId3273" Type="http://schemas.openxmlformats.org/officeDocument/2006/relationships/hyperlink" Target="https://salesxceleration.com/sales-training-alone-wont-improve-businesss-revenue/" TargetMode="External"/><Relationship Id="rId141" Type="http://schemas.openxmlformats.org/officeDocument/2006/relationships/hyperlink" Target="https://salesxceleration.com/wp-content/uploads/2024/04/Revitalizing-Sales-Strategy-for-Sustained-Growth-Cover.jpg" TargetMode="External"/><Relationship Id="rId3276" Type="http://schemas.openxmlformats.org/officeDocument/2006/relationships/hyperlink" Target="https://salesxceleration.com/wp-content/uploads/2024/05/Mastering-AI-for-Sales-Prospecting.jpg" TargetMode="External"/><Relationship Id="rId140" Type="http://schemas.openxmlformats.org/officeDocument/2006/relationships/hyperlink" Target="https://salesxceleration.com/wp-content/uploads/2024/04/Revitalizing-Sales-Strategy-for-Sustained-Growth-Cover.jpg" TargetMode="External"/><Relationship Id="rId3275" Type="http://schemas.openxmlformats.org/officeDocument/2006/relationships/hyperlink" Target="https://salesxceleration.com/sales-training-alone-wont-improve-businesss-revenue/" TargetMode="External"/><Relationship Id="rId147" Type="http://schemas.openxmlformats.org/officeDocument/2006/relationships/hyperlink" Target="https://salesxceleration.com/industries/manufacturing/" TargetMode="External"/><Relationship Id="rId3278" Type="http://schemas.openxmlformats.org/officeDocument/2006/relationships/hyperlink" Target="https://salesxceleration.com/wp-content/uploads/elementor/css/post-72624.css?ver=1768862553" TargetMode="External"/><Relationship Id="rId146" Type="http://schemas.openxmlformats.org/officeDocument/2006/relationships/hyperlink" Target="https://salesxceleration.com/industries/manufacturing/" TargetMode="External"/><Relationship Id="rId3277" Type="http://schemas.openxmlformats.org/officeDocument/2006/relationships/hyperlink" Target="https://salesxceleration.com/wp-content/uploads/2024/05/Mastering-AI-for-Sales-Prospecting.jpg" TargetMode="External"/><Relationship Id="rId145" Type="http://schemas.openxmlformats.org/officeDocument/2006/relationships/hyperlink" Target="https://salesxceleration.com/wp-content/plugins/elementor/assets/css/widget-divider.min.css?ver=3.34.0" TargetMode="External"/><Relationship Id="rId144" Type="http://schemas.openxmlformats.org/officeDocument/2006/relationships/hyperlink" Target="https://salesxceleration.com/wp-content/plugins/elementor/assets/css/widget-divider.min.css?ver=3.34.0" TargetMode="External"/><Relationship Id="rId3279" Type="http://schemas.openxmlformats.org/officeDocument/2006/relationships/hyperlink" Target="https://salesxceleration.com/wp-content/uploads/elementor/css/post-72624.css?ver=1768862553" TargetMode="External"/><Relationship Id="rId139" Type="http://schemas.openxmlformats.org/officeDocument/2006/relationships/hyperlink" Target="https://salesxceleration.com/wp-content/plugins/elementor/assets/js/frontend.min.js?ver=3.34.0" TargetMode="External"/><Relationship Id="rId138" Type="http://schemas.openxmlformats.org/officeDocument/2006/relationships/hyperlink" Target="https://salesxceleration.com/wp-content/plugins/elementor/assets/js/frontend.min.js?ver=3.34.0" TargetMode="External"/><Relationship Id="rId137" Type="http://schemas.openxmlformats.org/officeDocument/2006/relationships/hyperlink" Target="https://salesxceleration.com/industries/technology/" TargetMode="External"/><Relationship Id="rId4590" Type="http://schemas.openxmlformats.org/officeDocument/2006/relationships/hyperlink" Target="https://salesxceleration.com/wp-content/uploads/2020/01/turning-flat-thumb-768x442.jpg" TargetMode="External"/><Relationship Id="rId3261" Type="http://schemas.openxmlformats.org/officeDocument/2006/relationships/hyperlink" Target="https://salesxceleration.com/wp-content/uploads/2019/11/healthcare-case-one-page-1.jpg" TargetMode="External"/><Relationship Id="rId4592" Type="http://schemas.openxmlformats.org/officeDocument/2006/relationships/hyperlink" Target="https://salesxceleration.com/wp-content/uploads/2022/05/AI-in-Sales-300x169.jpg" TargetMode="External"/><Relationship Id="rId3260" Type="http://schemas.openxmlformats.org/officeDocument/2006/relationships/hyperlink" Target="https://salesxceleration.com/wp-content/themes/salesxceleratione/assets/css/style.css?ver=1769123356" TargetMode="External"/><Relationship Id="rId4591" Type="http://schemas.openxmlformats.org/officeDocument/2006/relationships/hyperlink" Target="https://salesxceleration.com/wp-content/uploads/2022/05/AI-in-Sales-300x169.jpg" TargetMode="External"/><Relationship Id="rId132" Type="http://schemas.openxmlformats.org/officeDocument/2006/relationships/hyperlink" Target="https://salesxceleration.com/ebooks/" TargetMode="External"/><Relationship Id="rId3263" Type="http://schemas.openxmlformats.org/officeDocument/2006/relationships/hyperlink" Target="https://salesxceleration.com/wp-content/uploads/2023/03/Developing-a-Strategy-for-Ensured-Success.pdf" TargetMode="External"/><Relationship Id="rId4594" Type="http://schemas.openxmlformats.org/officeDocument/2006/relationships/hyperlink" Target="https://salesxceleration.com/wp-content/uploads/2023/02/Remote-Work-300x200.jpeg" TargetMode="External"/><Relationship Id="rId131" Type="http://schemas.openxmlformats.org/officeDocument/2006/relationships/hyperlink" Target="https://salesxceleration.com/sales-management/" TargetMode="External"/><Relationship Id="rId3262" Type="http://schemas.openxmlformats.org/officeDocument/2006/relationships/hyperlink" Target="https://salesxceleration.com/wp-content/uploads/2019/11/healthcare-case-one-page-1.jpg" TargetMode="External"/><Relationship Id="rId4593" Type="http://schemas.openxmlformats.org/officeDocument/2006/relationships/hyperlink" Target="https://salesxceleration.com/wp-content/uploads/2023/02/Remote-Work-300x200.jpeg" TargetMode="External"/><Relationship Id="rId130" Type="http://schemas.openxmlformats.org/officeDocument/2006/relationships/hyperlink" Target="https://salesxceleration.com/sales-management/" TargetMode="External"/><Relationship Id="rId3265" Type="http://schemas.openxmlformats.org/officeDocument/2006/relationships/hyperlink" Target="https://salesxceleration.com/wp-content/uploads/2025/11/SAO-YT-Thumbnail-Tom-Gardner.jpg" TargetMode="External"/><Relationship Id="rId4596" Type="http://schemas.openxmlformats.org/officeDocument/2006/relationships/hyperlink" Target="https://salesxceleration.com/wp-content/uploads/2023/03/Future-of-Sales-Disruptors-300x208.jpg" TargetMode="External"/><Relationship Id="rId3264" Type="http://schemas.openxmlformats.org/officeDocument/2006/relationships/hyperlink" Target="https://salesxceleration.com/wp-content/uploads/2023/03/Developing-a-Strategy-for-Ensured-Success.pdf" TargetMode="External"/><Relationship Id="rId4595" Type="http://schemas.openxmlformats.org/officeDocument/2006/relationships/hyperlink" Target="https://salesxceleration.com/wp-content/uploads/2023/03/Future-of-Sales-Disruptors-300x208.jpg" TargetMode="External"/><Relationship Id="rId136" Type="http://schemas.openxmlformats.org/officeDocument/2006/relationships/hyperlink" Target="https://salesxceleration.com/technology/" TargetMode="External"/><Relationship Id="rId3267" Type="http://schemas.openxmlformats.org/officeDocument/2006/relationships/hyperlink" Target="https://salesxceleration.com/wp-content/uploads/2025/10/SAO-YT-Thumbnail-John-Hirsh.jpg" TargetMode="External"/><Relationship Id="rId4598" Type="http://schemas.openxmlformats.org/officeDocument/2006/relationships/hyperlink" Target="https://salesxceleration.com/advisors/dan-mahony/" TargetMode="External"/><Relationship Id="rId135" Type="http://schemas.openxmlformats.org/officeDocument/2006/relationships/hyperlink" Target="https://salesxceleration.com/industries/technology/" TargetMode="External"/><Relationship Id="rId3266" Type="http://schemas.openxmlformats.org/officeDocument/2006/relationships/hyperlink" Target="https://salesxceleration.com/wp-content/uploads/2025/11/SAO-YT-Thumbnail-Tom-Gardner.jpg" TargetMode="External"/><Relationship Id="rId4597" Type="http://schemas.openxmlformats.org/officeDocument/2006/relationships/hyperlink" Target="https://salesxceleration.com/advisors/dan-mahony/" TargetMode="External"/><Relationship Id="rId134" Type="http://schemas.openxmlformats.org/officeDocument/2006/relationships/hyperlink" Target="https://salesxceleration.com/ebooks/" TargetMode="External"/><Relationship Id="rId3269" Type="http://schemas.openxmlformats.org/officeDocument/2006/relationships/hyperlink" Target="https://salesxceleration.com/wp-content/uploads/2019/11/Case_Study_Home_Healthcare-1.pdf" TargetMode="External"/><Relationship Id="rId133" Type="http://schemas.openxmlformats.org/officeDocument/2006/relationships/hyperlink" Target="https://salesxceleration.com/ebooks/" TargetMode="External"/><Relationship Id="rId3268" Type="http://schemas.openxmlformats.org/officeDocument/2006/relationships/hyperlink" Target="https://salesxceleration.com/wp-content/uploads/2025/10/SAO-YT-Thumbnail-John-Hirsh.jpg" TargetMode="External"/><Relationship Id="rId4599" Type="http://schemas.openxmlformats.org/officeDocument/2006/relationships/hyperlink" Target="https://salesxceleration.com/advisors/dan-mahony/" TargetMode="External"/><Relationship Id="rId172" Type="http://schemas.openxmlformats.org/officeDocument/2006/relationships/hyperlink" Target="https://salesxceleration.com/how-we-serve/" TargetMode="External"/><Relationship Id="rId171" Type="http://schemas.openxmlformats.org/officeDocument/2006/relationships/hyperlink" Target="https://salesxceleration.com/how-we-serve/" TargetMode="External"/><Relationship Id="rId170" Type="http://schemas.openxmlformats.org/officeDocument/2006/relationships/hyperlink" Target="https://salesxceleration.com/how-we-serve/" TargetMode="External"/><Relationship Id="rId3290" Type="http://schemas.openxmlformats.org/officeDocument/2006/relationships/hyperlink" Target="https://salesxceleration.com/how-do-you-keep-sales-human-in-an-ai-driven-world/" TargetMode="External"/><Relationship Id="rId3292" Type="http://schemas.openxmlformats.org/officeDocument/2006/relationships/hyperlink" Target="https://salesxceleration.com/how-do-you-keep-sales-human-in-an-ai-driven-world/" TargetMode="External"/><Relationship Id="rId3291" Type="http://schemas.openxmlformats.org/officeDocument/2006/relationships/hyperlink" Target="https://salesxceleration.com/how-do-you-keep-sales-human-in-an-ai-driven-world/" TargetMode="External"/><Relationship Id="rId3294" Type="http://schemas.openxmlformats.org/officeDocument/2006/relationships/hyperlink" Target="https://salesxceleration.com/wp-content/uploads/2022/02/It-is-my-passion-2048x2048.jpg" TargetMode="External"/><Relationship Id="rId3293" Type="http://schemas.openxmlformats.org/officeDocument/2006/relationships/hyperlink" Target="https://salesxceleration.com/wp-content/uploads/2022/02/It-is-my-passion-2048x2048.jpg" TargetMode="External"/><Relationship Id="rId165" Type="http://schemas.openxmlformats.org/officeDocument/2006/relationships/hyperlink" Target="https://salesxceleration.com/private-equity-solutions/" TargetMode="External"/><Relationship Id="rId3296" Type="http://schemas.openxmlformats.org/officeDocument/2006/relationships/hyperlink" Target="https://salesxceleration.com/wp-content/uploads/2015/03/top-20-percent-sales-xceleration-2048x2048.png" TargetMode="External"/><Relationship Id="rId164" Type="http://schemas.openxmlformats.org/officeDocument/2006/relationships/hyperlink" Target="https://salesxceleration.com/private-equity-solutions/" TargetMode="External"/><Relationship Id="rId3295" Type="http://schemas.openxmlformats.org/officeDocument/2006/relationships/hyperlink" Target="https://salesxceleration.com/wp-content/uploads/2015/03/top-20-percent-sales-xceleration-2048x2048.png" TargetMode="External"/><Relationship Id="rId163" Type="http://schemas.openxmlformats.org/officeDocument/2006/relationships/hyperlink" Target="https://salesxceleration.com/industries/franchises/" TargetMode="External"/><Relationship Id="rId3298" Type="http://schemas.openxmlformats.org/officeDocument/2006/relationships/hyperlink" Target="https://salesxceleration.com/wp-content/uploads/2025/11/SAO-YT-Thumbnail-Nick-Friedman.jpg" TargetMode="External"/><Relationship Id="rId162" Type="http://schemas.openxmlformats.org/officeDocument/2006/relationships/hyperlink" Target="https://salesxceleration.com/industries/franchises/" TargetMode="External"/><Relationship Id="rId3297" Type="http://schemas.openxmlformats.org/officeDocument/2006/relationships/hyperlink" Target="https://salesxceleration.com/wp-content/uploads/2025/11/SAO-YT-Thumbnail-Nick-Friedman.jpg" TargetMode="External"/><Relationship Id="rId169" Type="http://schemas.openxmlformats.org/officeDocument/2006/relationships/hyperlink" Target="https://salesxceleration.com/ai-for-sales/" TargetMode="External"/><Relationship Id="rId168" Type="http://schemas.openxmlformats.org/officeDocument/2006/relationships/hyperlink" Target="https://salesxceleration.com/ai-for-sales/" TargetMode="External"/><Relationship Id="rId3299" Type="http://schemas.openxmlformats.org/officeDocument/2006/relationships/hyperlink" Target="https://salesxceleration.com/wp-content/uploads/elementor/css/post-72614.css?ver=1768846336" TargetMode="External"/><Relationship Id="rId167" Type="http://schemas.openxmlformats.org/officeDocument/2006/relationships/hyperlink" Target="https://salesxceleration.com/ai-for-sales/" TargetMode="External"/><Relationship Id="rId166" Type="http://schemas.openxmlformats.org/officeDocument/2006/relationships/hyperlink" Target="https://salesxceleration.com/private-equity-solutions/" TargetMode="External"/><Relationship Id="rId161" Type="http://schemas.openxmlformats.org/officeDocument/2006/relationships/hyperlink" Target="https://salesxceleration.com/industries/franchises/" TargetMode="External"/><Relationship Id="rId160" Type="http://schemas.openxmlformats.org/officeDocument/2006/relationships/hyperlink" Target="https://salesxceleration.com/wp-includes/js/dist/i18n.min.js?ver=c26c3dc7bed366793375" TargetMode="External"/><Relationship Id="rId159" Type="http://schemas.openxmlformats.org/officeDocument/2006/relationships/hyperlink" Target="https://salesxceleration.com/wp-includes/js/dist/i18n.min.js?ver=c26c3dc7bed366793375" TargetMode="External"/><Relationship Id="rId3281" Type="http://schemas.openxmlformats.org/officeDocument/2006/relationships/hyperlink" Target="https://salesxceleration.com/wp-content/uploads/2014/09/Leading-lagging-sales-2048x2048.jpg" TargetMode="External"/><Relationship Id="rId3280" Type="http://schemas.openxmlformats.org/officeDocument/2006/relationships/hyperlink" Target="https://salesxceleration.com/wp-content/uploads/2014/09/Leading-lagging-sales-2048x2048.jpg" TargetMode="External"/><Relationship Id="rId3283" Type="http://schemas.openxmlformats.org/officeDocument/2006/relationships/hyperlink" Target="https://salesxceleration.com/wp-content/uploads/2025/12/SAO-YT-Thumbnail-Kurt-Schneiber.jpg" TargetMode="External"/><Relationship Id="rId3282" Type="http://schemas.openxmlformats.org/officeDocument/2006/relationships/hyperlink" Target="https://salesxceleration.com/wp-content/uploads/2025/12/SAO-YT-Thumbnail-Kurt-Schneiber.jpg" TargetMode="External"/><Relationship Id="rId154" Type="http://schemas.openxmlformats.org/officeDocument/2006/relationships/hyperlink" Target="https://salesxceleration.com/wp-content/uploads/2021/02/thumb-consulting-cs.jpg" TargetMode="External"/><Relationship Id="rId3285" Type="http://schemas.openxmlformats.org/officeDocument/2006/relationships/hyperlink" Target="https://salesxceleration.com/mastering-ai-for-sales-prospecting/" TargetMode="External"/><Relationship Id="rId153" Type="http://schemas.openxmlformats.org/officeDocument/2006/relationships/hyperlink" Target="https://salesxceleration.com/wp-content/uploads/2021/02/thumb-consulting-cs.jpg" TargetMode="External"/><Relationship Id="rId3284" Type="http://schemas.openxmlformats.org/officeDocument/2006/relationships/hyperlink" Target="https://salesxceleration.com/mastering-ai-for-sales-prospecting/" TargetMode="External"/><Relationship Id="rId152" Type="http://schemas.openxmlformats.org/officeDocument/2006/relationships/hyperlink" Target="https://salesxceleration.com/wp-content/plugins/powerpack-elements/assets/css/min/extensions.min.css?ver=2.12.15" TargetMode="External"/><Relationship Id="rId3287" Type="http://schemas.openxmlformats.org/officeDocument/2006/relationships/hyperlink" Target="https://salesxceleration.com/are-you-leading-or-lagging-in-sales-why-your-metrics-should-berevolutionary/" TargetMode="External"/><Relationship Id="rId151" Type="http://schemas.openxmlformats.org/officeDocument/2006/relationships/hyperlink" Target="https://salesxceleration.com/wp-content/plugins/powerpack-elements/assets/css/min/extensions.min.css?ver=2.12.15" TargetMode="External"/><Relationship Id="rId3286" Type="http://schemas.openxmlformats.org/officeDocument/2006/relationships/hyperlink" Target="https://salesxceleration.com/mastering-ai-for-sales-prospecting/" TargetMode="External"/><Relationship Id="rId158" Type="http://schemas.openxmlformats.org/officeDocument/2006/relationships/hyperlink" Target="https://salesxceleration.com/wp-content/uploads/2021/06/logo-sales-xceleration-ko-1024x231.png" TargetMode="External"/><Relationship Id="rId3289" Type="http://schemas.openxmlformats.org/officeDocument/2006/relationships/hyperlink" Target="https://salesxceleration.com/are-you-leading-or-lagging-in-sales-why-your-metrics-should-berevolutionary/" TargetMode="External"/><Relationship Id="rId157" Type="http://schemas.openxmlformats.org/officeDocument/2006/relationships/hyperlink" Target="https://salesxceleration.com/wp-content/uploads/2021/06/logo-sales-xceleration-ko-1024x231.png" TargetMode="External"/><Relationship Id="rId3288" Type="http://schemas.openxmlformats.org/officeDocument/2006/relationships/hyperlink" Target="https://salesxceleration.com/are-you-leading-or-lagging-in-sales-why-your-metrics-should-berevolutionary/" TargetMode="External"/><Relationship Id="rId156" Type="http://schemas.openxmlformats.org/officeDocument/2006/relationships/hyperlink" Target="https://salesxceleration.com/wp-content/uploads/elementor/css/post-68977.css?ver=1768845999" TargetMode="External"/><Relationship Id="rId155" Type="http://schemas.openxmlformats.org/officeDocument/2006/relationships/hyperlink" Target="https://salesxceleration.com/wp-content/uploads/elementor/css/post-68977.css?ver=1768845999" TargetMode="External"/><Relationship Id="rId4602" Type="http://schemas.openxmlformats.org/officeDocument/2006/relationships/hyperlink" Target="https://salesxceleration.com/wondering-how-to-overcome-sales-challenges-focus-on-these-3-areas/" TargetMode="External"/><Relationship Id="rId5934" Type="http://schemas.openxmlformats.org/officeDocument/2006/relationships/hyperlink" Target="https://salesxceleration.com/the-win-loss-paradox/" TargetMode="External"/><Relationship Id="rId4601" Type="http://schemas.openxmlformats.org/officeDocument/2006/relationships/hyperlink" Target="https://salesxceleration.com/wp-content/uploads/2023/07/Overcome-Sales-Challenges-300x180.jpg" TargetMode="External"/><Relationship Id="rId5935" Type="http://schemas.openxmlformats.org/officeDocument/2006/relationships/hyperlink" Target="https://salesxceleration.com/the-win-loss-paradox/" TargetMode="External"/><Relationship Id="rId4604" Type="http://schemas.openxmlformats.org/officeDocument/2006/relationships/hyperlink" Target="https://salesxceleration.com/wondering-how-to-overcome-sales-challenges-focus-on-these-3-areas/" TargetMode="External"/><Relationship Id="rId5932" Type="http://schemas.openxmlformats.org/officeDocument/2006/relationships/hyperlink" Target="https://salesxceleration.com/sales-agility-assessment/?locationid=29359900" TargetMode="External"/><Relationship Id="rId4603" Type="http://schemas.openxmlformats.org/officeDocument/2006/relationships/hyperlink" Target="https://salesxceleration.com/wondering-how-to-overcome-sales-challenges-focus-on-these-3-areas/" TargetMode="External"/><Relationship Id="rId5933" Type="http://schemas.openxmlformats.org/officeDocument/2006/relationships/hyperlink" Target="https://salesxceleration.com/the-win-loss-paradox/" TargetMode="External"/><Relationship Id="rId4606" Type="http://schemas.openxmlformats.org/officeDocument/2006/relationships/hyperlink" Target="https://salesxceleration.com/wp-content/uploads/2022/08/Remote-Sales-Team-300x300.jpg" TargetMode="External"/><Relationship Id="rId5938" Type="http://schemas.openxmlformats.org/officeDocument/2006/relationships/hyperlink" Target="https://salesxceleration.com/wp-content/themes/salesxceleratione/assets/css/style.css?ver=1769123736" TargetMode="External"/><Relationship Id="rId4605" Type="http://schemas.openxmlformats.org/officeDocument/2006/relationships/hyperlink" Target="https://salesxceleration.com/wp-content/uploads/2022/08/Remote-Sales-Team-300x300.jpg" TargetMode="External"/><Relationship Id="rId5939" Type="http://schemas.openxmlformats.org/officeDocument/2006/relationships/hyperlink" Target="https://salesxceleration.com/wp-content/themes/salesxceleratione/assets/css/style.css?ver=1769123736" TargetMode="External"/><Relationship Id="rId4608" Type="http://schemas.openxmlformats.org/officeDocument/2006/relationships/hyperlink" Target="https://salesxceleration.com/wp-content/uploads/2022/12/Recession-Proof-Sales-Strategy-300x200.jpg" TargetMode="External"/><Relationship Id="rId5936" Type="http://schemas.openxmlformats.org/officeDocument/2006/relationships/hyperlink" Target="https://salesxceleration.com/wp-content/uploads/2016/11/Trapped.jpg" TargetMode="External"/><Relationship Id="rId4607" Type="http://schemas.openxmlformats.org/officeDocument/2006/relationships/hyperlink" Target="https://salesxceleration.com/wp-content/uploads/2022/12/Recession-Proof-Sales-Strategy-300x200.jpg" TargetMode="External"/><Relationship Id="rId5937" Type="http://schemas.openxmlformats.org/officeDocument/2006/relationships/hyperlink" Target="https://salesxceleration.com/wp-content/uploads/2016/11/Trapped.jpg" TargetMode="External"/><Relationship Id="rId4609" Type="http://schemas.openxmlformats.org/officeDocument/2006/relationships/hyperlink" Target="https://salesxceleration.com/how-ai-can-act-as-the-perfect-complement-to-sales-teams/" TargetMode="External"/><Relationship Id="rId5930" Type="http://schemas.openxmlformats.org/officeDocument/2006/relationships/hyperlink" Target="https://salesxceleration.com/sales-agility-assessment/?locationid=29359900" TargetMode="External"/><Relationship Id="rId5931" Type="http://schemas.openxmlformats.org/officeDocument/2006/relationships/hyperlink" Target="https://salesxceleration.com/sales-agility-assessment/" TargetMode="External"/><Relationship Id="rId4600" Type="http://schemas.openxmlformats.org/officeDocument/2006/relationships/hyperlink" Target="https://salesxceleration.com/wp-content/uploads/2023/07/Overcome-Sales-Challenges-300x180.jpg" TargetMode="External"/><Relationship Id="rId5923" Type="http://schemas.openxmlformats.org/officeDocument/2006/relationships/hyperlink" Target="https://salesxceleration.com/wp-content/uploads/2016/07/Hiring-Outsourcing-RS-72-560-x-225-2048x2048.jpg" TargetMode="External"/><Relationship Id="rId5924" Type="http://schemas.openxmlformats.org/officeDocument/2006/relationships/hyperlink" Target="https://salesxceleration.com/wp-content/uploads/2015/11/Do-You-Need-a-Sales-Consultant-or-a-Sales-Builder-.jpg" TargetMode="External"/><Relationship Id="rId5921" Type="http://schemas.openxmlformats.org/officeDocument/2006/relationships/hyperlink" Target="https://salesxceleration.com/wp-content/uploads/2015/10/writing-933262_640-2048x2048.jpg" TargetMode="External"/><Relationship Id="rId5922" Type="http://schemas.openxmlformats.org/officeDocument/2006/relationships/hyperlink" Target="https://salesxceleration.com/wp-content/uploads/2016/07/Hiring-Outsourcing-RS-72-560-x-225-2048x2048.jpg" TargetMode="External"/><Relationship Id="rId5927" Type="http://schemas.openxmlformats.org/officeDocument/2006/relationships/hyperlink" Target="https://salesxceleration.com/wp-content/themes/salesxceleratione/assets/css/style.css?ver=1769123740" TargetMode="External"/><Relationship Id="rId5928" Type="http://schemas.openxmlformats.org/officeDocument/2006/relationships/hyperlink" Target="https://salesxceleration.com/wp-content/themes/salesxceleratione/assets/css/style.css?ver=1769123738" TargetMode="External"/><Relationship Id="rId5925" Type="http://schemas.openxmlformats.org/officeDocument/2006/relationships/hyperlink" Target="https://salesxceleration.com/wp-content/uploads/2015/11/Do-You-Need-a-Sales-Consultant-or-a-Sales-Builder-.jpg" TargetMode="External"/><Relationship Id="rId5926" Type="http://schemas.openxmlformats.org/officeDocument/2006/relationships/hyperlink" Target="https://salesxceleration.com/wp-content/themes/salesxceleratione/assets/css/style.css?ver=1769123740" TargetMode="External"/><Relationship Id="rId5929" Type="http://schemas.openxmlformats.org/officeDocument/2006/relationships/hyperlink" Target="https://salesxceleration.com/wp-content/themes/salesxceleratione/assets/css/style.css?ver=1769123738" TargetMode="External"/><Relationship Id="rId5920" Type="http://schemas.openxmlformats.org/officeDocument/2006/relationships/hyperlink" Target="https://salesxceleration.com/wp-content/uploads/2015/10/writing-933262_640-2048x2048.jpg" TargetMode="External"/><Relationship Id="rId4624" Type="http://schemas.openxmlformats.org/officeDocument/2006/relationships/hyperlink" Target="https://salesxceleration.com/wp-content/themes/salesxceleratione/assets/css/style.css?ver=1769123539" TargetMode="External"/><Relationship Id="rId5956" Type="http://schemas.openxmlformats.org/officeDocument/2006/relationships/hyperlink" Target="https://salesxceleration.com/how-to-implement-a-crisis-sales-plan/" TargetMode="External"/><Relationship Id="rId4623" Type="http://schemas.openxmlformats.org/officeDocument/2006/relationships/hyperlink" Target="https://salesxceleration.com/wp-content/uploads/2023/09/Technology-is-Creating-New-Ways-to-Sell-to-Prospects-300x158.jpg" TargetMode="External"/><Relationship Id="rId5957" Type="http://schemas.openxmlformats.org/officeDocument/2006/relationships/hyperlink" Target="https://salesxceleration.com/how-to-implement-a-crisis-sales-plan/" TargetMode="External"/><Relationship Id="rId4626" Type="http://schemas.openxmlformats.org/officeDocument/2006/relationships/hyperlink" Target="https://salesxceleration.com/wp-content/themes/salesxceleratione/assets/css/style.css?ver=1769123553" TargetMode="External"/><Relationship Id="rId5954" Type="http://schemas.openxmlformats.org/officeDocument/2006/relationships/hyperlink" Target="https://salesxceleration.com/no-access/" TargetMode="External"/><Relationship Id="rId4625" Type="http://schemas.openxmlformats.org/officeDocument/2006/relationships/hyperlink" Target="https://salesxceleration.com/wp-content/themes/salesxceleratione/assets/css/style.css?ver=1769123539" TargetMode="External"/><Relationship Id="rId5955" Type="http://schemas.openxmlformats.org/officeDocument/2006/relationships/hyperlink" Target="https://salesxceleration.com/no-access/download-id/27869/" TargetMode="External"/><Relationship Id="rId4628" Type="http://schemas.openxmlformats.org/officeDocument/2006/relationships/hyperlink" Target="https://salesxceleration.com/professionalism-in-virtual-meetings-how-it-impacts-the-remote-work-debate/" TargetMode="External"/><Relationship Id="rId4627" Type="http://schemas.openxmlformats.org/officeDocument/2006/relationships/hyperlink" Target="https://salesxceleration.com/wp-content/themes/salesxceleratione/assets/css/style.css?ver=1769123553" TargetMode="External"/><Relationship Id="rId5958" Type="http://schemas.openxmlformats.org/officeDocument/2006/relationships/hyperlink" Target="https://salesxceleration.com/how-to-implement-a-crisis-sales-plan/" TargetMode="External"/><Relationship Id="rId4629" Type="http://schemas.openxmlformats.org/officeDocument/2006/relationships/hyperlink" Target="https://salesxceleration.com/professionalism-in-virtual-meetings-how-it-impacts-the-remote-work-debate/" TargetMode="External"/><Relationship Id="rId5959" Type="http://schemas.openxmlformats.org/officeDocument/2006/relationships/hyperlink" Target="https://salesxceleration.com/wp-content/uploads/2015/07/Profit-Article-Image-2048x2048.jpg" TargetMode="External"/><Relationship Id="rId4620" Type="http://schemas.openxmlformats.org/officeDocument/2006/relationships/hyperlink" Target="https://salesxceleration.com/top-4-disruptors-in-the-future-of-sales-are-you-ready/" TargetMode="External"/><Relationship Id="rId5952" Type="http://schemas.openxmlformats.org/officeDocument/2006/relationships/hyperlink" Target="https://salesxceleration.com/wp-content/uploads/2015/11/Sales-Plan-RS-72-dpi-560-x-225.jpg" TargetMode="External"/><Relationship Id="rId5953" Type="http://schemas.openxmlformats.org/officeDocument/2006/relationships/hyperlink" Target="https://salesxceleration.com/no-access/download-id/27869/" TargetMode="External"/><Relationship Id="rId4622" Type="http://schemas.openxmlformats.org/officeDocument/2006/relationships/hyperlink" Target="https://salesxceleration.com/wp-content/uploads/2023/09/Technology-is-Creating-New-Ways-to-Sell-to-Prospects-300x158.jpg" TargetMode="External"/><Relationship Id="rId5950" Type="http://schemas.openxmlformats.org/officeDocument/2006/relationships/hyperlink" Target="https://salesxceleration.com/wp-content/themes/salesxceleratione/assets/css/style.css?ver=1769123733" TargetMode="External"/><Relationship Id="rId4621" Type="http://schemas.openxmlformats.org/officeDocument/2006/relationships/hyperlink" Target="https://salesxceleration.com/top-4-disruptors-in-the-future-of-sales-are-you-ready/" TargetMode="External"/><Relationship Id="rId5951" Type="http://schemas.openxmlformats.org/officeDocument/2006/relationships/hyperlink" Target="https://salesxceleration.com/wp-content/uploads/2015/11/Sales-Plan-RS-72-dpi-560-x-225.jpg" TargetMode="External"/><Relationship Id="rId4613" Type="http://schemas.openxmlformats.org/officeDocument/2006/relationships/hyperlink" Target="https://salesxceleration.com/how-to-build-a-strong-culture-while-managing-a-remote-sales-team/" TargetMode="External"/><Relationship Id="rId5945" Type="http://schemas.openxmlformats.org/officeDocument/2006/relationships/hyperlink" Target="https://salesxceleration.com/wp-content/uploads/2019/12/Business_Man_Looking_to_Future_Success.jpg" TargetMode="External"/><Relationship Id="rId4612" Type="http://schemas.openxmlformats.org/officeDocument/2006/relationships/hyperlink" Target="https://salesxceleration.com/how-to-build-a-strong-culture-while-managing-a-remote-sales-team/" TargetMode="External"/><Relationship Id="rId5946" Type="http://schemas.openxmlformats.org/officeDocument/2006/relationships/hyperlink" Target="https://salesxceleration.com/small-business-owners-outsource/" TargetMode="External"/><Relationship Id="rId4615" Type="http://schemas.openxmlformats.org/officeDocument/2006/relationships/hyperlink" Target="https://salesxceleration.com/wp-content/uploads/2021/06/competitive-analysis-500-300x300.jpg" TargetMode="External"/><Relationship Id="rId5943" Type="http://schemas.openxmlformats.org/officeDocument/2006/relationships/hyperlink" Target="https://salesxceleration.com/wp-content/uploads/2019/05/38f6cdfc-764f-11e9-87e1-d2f370493534-1.jpg" TargetMode="External"/><Relationship Id="rId4614" Type="http://schemas.openxmlformats.org/officeDocument/2006/relationships/hyperlink" Target="https://salesxceleration.com/how-to-build-a-strong-culture-while-managing-a-remote-sales-team/" TargetMode="External"/><Relationship Id="rId5944" Type="http://schemas.openxmlformats.org/officeDocument/2006/relationships/hyperlink" Target="https://salesxceleration.com/wp-content/uploads/2019/12/Business_Man_Looking_to_Future_Success.jpg" TargetMode="External"/><Relationship Id="rId4617" Type="http://schemas.openxmlformats.org/officeDocument/2006/relationships/hyperlink" Target="https://salesxceleration.com/wp-content/themes/salesxceleratione/assets/css/style.css?ver=1769123538" TargetMode="External"/><Relationship Id="rId5949" Type="http://schemas.openxmlformats.org/officeDocument/2006/relationships/hyperlink" Target="https://salesxceleration.com/wp-content/themes/salesxceleratione/assets/css/style.css?ver=1769123733" TargetMode="External"/><Relationship Id="rId4616" Type="http://schemas.openxmlformats.org/officeDocument/2006/relationships/hyperlink" Target="https://salesxceleration.com/wp-content/uploads/2021/06/competitive-analysis-500-300x300.jpg" TargetMode="External"/><Relationship Id="rId4619" Type="http://schemas.openxmlformats.org/officeDocument/2006/relationships/hyperlink" Target="https://salesxceleration.com/top-4-disruptors-in-the-future-of-sales-are-you-ready/" TargetMode="External"/><Relationship Id="rId5947" Type="http://schemas.openxmlformats.org/officeDocument/2006/relationships/hyperlink" Target="https://salesxceleration.com/small-business-owners-outsource/" TargetMode="External"/><Relationship Id="rId4618" Type="http://schemas.openxmlformats.org/officeDocument/2006/relationships/hyperlink" Target="https://salesxceleration.com/wp-content/themes/salesxceleratione/assets/css/style.css?ver=1769123538" TargetMode="External"/><Relationship Id="rId5948" Type="http://schemas.openxmlformats.org/officeDocument/2006/relationships/hyperlink" Target="https://salesxceleration.com/small-business-owners-outsource/" TargetMode="External"/><Relationship Id="rId5941" Type="http://schemas.openxmlformats.org/officeDocument/2006/relationships/hyperlink" Target="https://salesxceleration.com/wp-content/uploads/2020/03/Buinesswoman_leading_a_team-1-scaled-1.jpg" TargetMode="External"/><Relationship Id="rId5942" Type="http://schemas.openxmlformats.org/officeDocument/2006/relationships/hyperlink" Target="https://salesxceleration.com/wp-content/uploads/2019/05/38f6cdfc-764f-11e9-87e1-d2f370493534-1.jpg" TargetMode="External"/><Relationship Id="rId4611" Type="http://schemas.openxmlformats.org/officeDocument/2006/relationships/hyperlink" Target="https://salesxceleration.com/how-ai-can-act-as-the-perfect-complement-to-sales-teams/" TargetMode="External"/><Relationship Id="rId4610" Type="http://schemas.openxmlformats.org/officeDocument/2006/relationships/hyperlink" Target="https://salesxceleration.com/how-ai-can-act-as-the-perfect-complement-to-sales-teams/" TargetMode="External"/><Relationship Id="rId5940" Type="http://schemas.openxmlformats.org/officeDocument/2006/relationships/hyperlink" Target="https://salesxceleration.com/wp-content/uploads/2020/03/Buinesswoman_leading_a_team-1-scaled-1.jpg" TargetMode="External"/><Relationship Id="rId5912" Type="http://schemas.openxmlformats.org/officeDocument/2006/relationships/hyperlink" Target="https://salesxceleration.com/wp-content/uploads/2016/03/Make-a-Difference-RS-72-560-x-225.jpg" TargetMode="External"/><Relationship Id="rId5913" Type="http://schemas.openxmlformats.org/officeDocument/2006/relationships/hyperlink" Target="https://salesxceleration.com/wp-content/uploads/2016/03/Make-a-Difference-RS-72-560-x-225.jpg" TargetMode="External"/><Relationship Id="rId5910" Type="http://schemas.openxmlformats.org/officeDocument/2006/relationships/hyperlink" Target="https://salesxceleration.com/wp-content/uploads/2017/07/shutterstock_392367181-1.jpg" TargetMode="External"/><Relationship Id="rId5911" Type="http://schemas.openxmlformats.org/officeDocument/2006/relationships/hyperlink" Target="https://salesxceleration.com/wp-content/uploads/2017/07/shutterstock_392367181-1.jpg" TargetMode="External"/><Relationship Id="rId5916" Type="http://schemas.openxmlformats.org/officeDocument/2006/relationships/hyperlink" Target="https://salesxceleration.com/wp-content/uploads/2019/12/Irritated_Businessman_Holding_Phone.jpg" TargetMode="External"/><Relationship Id="rId5917" Type="http://schemas.openxmlformats.org/officeDocument/2006/relationships/hyperlink" Target="https://salesxceleration.com/wp-content/uploads/2019/12/Irritated_Businessman_Holding_Phone.jpg" TargetMode="External"/><Relationship Id="rId5914" Type="http://schemas.openxmlformats.org/officeDocument/2006/relationships/hyperlink" Target="https://salesxceleration.com/wp-content/themes/salesxceleratione/assets/css/style.css?ver=1769123741" TargetMode="External"/><Relationship Id="rId5915" Type="http://schemas.openxmlformats.org/officeDocument/2006/relationships/hyperlink" Target="https://salesxceleration.com/wp-content/themes/salesxceleratione/assets/css/style.css?ver=1769123741" TargetMode="External"/><Relationship Id="rId5918" Type="http://schemas.openxmlformats.org/officeDocument/2006/relationships/hyperlink" Target="https://salesxceleration.com/wp-content/uploads/2017/04/rolling.jpg" TargetMode="External"/><Relationship Id="rId5919" Type="http://schemas.openxmlformats.org/officeDocument/2006/relationships/hyperlink" Target="https://salesxceleration.com/wp-content/uploads/2017/04/rolling.jpg" TargetMode="External"/><Relationship Id="rId5901" Type="http://schemas.openxmlformats.org/officeDocument/2006/relationships/hyperlink" Target="https://salesxceleration.com/wp-content/uploads/2021/02/case-study-sx1-thumb-768x440.jpg" TargetMode="External"/><Relationship Id="rId5902" Type="http://schemas.openxmlformats.org/officeDocument/2006/relationships/hyperlink" Target="https://salesxceleration.com/author/neptuneweb/" TargetMode="External"/><Relationship Id="rId5900" Type="http://schemas.openxmlformats.org/officeDocument/2006/relationships/hyperlink" Target="https://salesxceleration.com/wp-content/uploads/2021/02/case-study-sx1-thumb-768x440.jpg" TargetMode="External"/><Relationship Id="rId5905" Type="http://schemas.openxmlformats.org/officeDocument/2006/relationships/hyperlink" Target="https://salesxceleration.com/author/neptuneweb/" TargetMode="External"/><Relationship Id="rId5906" Type="http://schemas.openxmlformats.org/officeDocument/2006/relationships/hyperlink" Target="https://salesxceleration.com/wp-content/themes/salesxceleratione/assets/css/style.css?ver=1769123645" TargetMode="External"/><Relationship Id="rId5903" Type="http://schemas.openxmlformats.org/officeDocument/2006/relationships/hyperlink" Target="https://salesxceleration.com/author/neptuneweb/" TargetMode="External"/><Relationship Id="rId5904" Type="http://schemas.openxmlformats.org/officeDocument/2006/relationships/hyperlink" Target="https://salesxceleration.com/author/neptuneweb/page/2/" TargetMode="External"/><Relationship Id="rId5909" Type="http://schemas.openxmlformats.org/officeDocument/2006/relationships/hyperlink" Target="https://salesxceleration.com/wp-content/uploads/2020/12/shutterstock_633365168-scaled-1.jpg" TargetMode="External"/><Relationship Id="rId5907" Type="http://schemas.openxmlformats.org/officeDocument/2006/relationships/hyperlink" Target="https://salesxceleration.com/wp-content/themes/salesxceleratione/assets/css/style.css?ver=1769123645" TargetMode="External"/><Relationship Id="rId5908" Type="http://schemas.openxmlformats.org/officeDocument/2006/relationships/hyperlink" Target="https://salesxceleration.com/wp-content/uploads/2020/12/shutterstock_633365168-scaled-1.jpg" TargetMode="External"/><Relationship Id="rId2027" Type="http://schemas.openxmlformats.org/officeDocument/2006/relationships/hyperlink" Target="https://salesxceleration.com/case-study/marketing/" TargetMode="External"/><Relationship Id="rId3359" Type="http://schemas.openxmlformats.org/officeDocument/2006/relationships/hyperlink" Target="http://salesxceleration.com/" TargetMode="External"/><Relationship Id="rId2028" Type="http://schemas.openxmlformats.org/officeDocument/2006/relationships/hyperlink" Target="https://salesxceleration.com/case-study/marketing/" TargetMode="External"/><Relationship Id="rId3358" Type="http://schemas.openxmlformats.org/officeDocument/2006/relationships/hyperlink" Target="https://salesxceleration.com/" TargetMode="External"/><Relationship Id="rId4689" Type="http://schemas.openxmlformats.org/officeDocument/2006/relationships/hyperlink" Target="https://salesxceleration.com/wp-content/uploads/2023/10/Harness-the-Power-of-AI-300x145.jpg" TargetMode="External"/><Relationship Id="rId2029" Type="http://schemas.openxmlformats.org/officeDocument/2006/relationships/hyperlink" Target="https://salesxceleration.com/wp-content/uploads/2019/10/pr-case-study-thumb.jpg" TargetMode="External"/><Relationship Id="rId107" Type="http://schemas.openxmlformats.org/officeDocument/2006/relationships/hyperlink" Target="https://salesxceleration.com/free-sales-resources/" TargetMode="External"/><Relationship Id="rId106" Type="http://schemas.openxmlformats.org/officeDocument/2006/relationships/hyperlink" Target="https://salesxceleration.com/free-sales-resources/" TargetMode="External"/><Relationship Id="rId105" Type="http://schemas.openxmlformats.org/officeDocument/2006/relationships/hyperlink" Target="https://salesxceleration.com/free-sales-resources/" TargetMode="External"/><Relationship Id="rId104" Type="http://schemas.openxmlformats.org/officeDocument/2006/relationships/hyperlink" Target="https://salesxceleration.com/wp-content/uploads/elementor/thumbs/Flag_of_Australia.svg-r4g46qz9ltlqws3p70qavt5l3jm99riysjikntibkm.png" TargetMode="External"/><Relationship Id="rId109" Type="http://schemas.openxmlformats.org/officeDocument/2006/relationships/hyperlink" Target="https://salesxceleration.com/about-sales-xceleration/" TargetMode="External"/><Relationship Id="rId4680" Type="http://schemas.openxmlformats.org/officeDocument/2006/relationships/hyperlink" Target="https://salesxceleration.com/wp-content/uploads/2024/01/light-150x150.png" TargetMode="External"/><Relationship Id="rId108" Type="http://schemas.openxmlformats.org/officeDocument/2006/relationships/hyperlink" Target="https://salesxceleration.com/about-sales-xceleration/" TargetMode="External"/><Relationship Id="rId3351" Type="http://schemas.openxmlformats.org/officeDocument/2006/relationships/hyperlink" Target="https://salesxceleration.com/wp-content/themes/salesxceleratione/assets/css/style.css?ver=1769123368" TargetMode="External"/><Relationship Id="rId4682" Type="http://schemas.openxmlformats.org/officeDocument/2006/relationships/hyperlink" Target="https://salesxceleration.com/wp-content/uploads/2024/01/AI-is-1024x768.jpg" TargetMode="External"/><Relationship Id="rId2020" Type="http://schemas.openxmlformats.org/officeDocument/2006/relationships/hyperlink" Target="https://salesxceleration.com/wp-content/uploads/2019/10/thumb-recruiting-cs.jpg" TargetMode="External"/><Relationship Id="rId3350" Type="http://schemas.openxmlformats.org/officeDocument/2006/relationships/hyperlink" Target="https://salesxceleration.com/wp-content/themes/salesxceleratione/assets/css/style.css?ver=1769123368" TargetMode="External"/><Relationship Id="rId4681" Type="http://schemas.openxmlformats.org/officeDocument/2006/relationships/hyperlink" Target="https://salesxceleration.com/wp-content/uploads/2024/01/AI-is-1024x768.jpg" TargetMode="External"/><Relationship Id="rId2021" Type="http://schemas.openxmlformats.org/officeDocument/2006/relationships/hyperlink" Target="https://salesxceleration.com/case-study/medical-interpretation-and-language-translation-company/" TargetMode="External"/><Relationship Id="rId3353" Type="http://schemas.openxmlformats.org/officeDocument/2006/relationships/hyperlink" Target="https://salesxceleration.com/wp-content/themes/salesxceleratione/assets/css/style.css?ver=1769123389" TargetMode="External"/><Relationship Id="rId4684" Type="http://schemas.openxmlformats.org/officeDocument/2006/relationships/hyperlink" Target="https://salesxceleration.com/wp-content/uploads/2024/01/New-AI-Sales-Trends.jpg" TargetMode="External"/><Relationship Id="rId2022" Type="http://schemas.openxmlformats.org/officeDocument/2006/relationships/hyperlink" Target="https://salesxceleration.com/case-study/medical-interpretation-and-language-translation-company/" TargetMode="External"/><Relationship Id="rId3352" Type="http://schemas.openxmlformats.org/officeDocument/2006/relationships/hyperlink" Target="https://salesxceleration.com/wp-content/themes/salesxceleratione/assets/css/style.css?ver=1769123389" TargetMode="External"/><Relationship Id="rId4683" Type="http://schemas.openxmlformats.org/officeDocument/2006/relationships/hyperlink" Target="https://salesxceleration.com/wp-content/uploads/2024/01/New-AI-Sales-Trends.jpg" TargetMode="External"/><Relationship Id="rId103" Type="http://schemas.openxmlformats.org/officeDocument/2006/relationships/hyperlink" Target="https://salesxceleration.com/wp-content/uploads/elementor/thumbs/Flag_of_Australia.svg-r4g46qz9ltlqws3p70qavt5l3jm99riysjikntibkm.png" TargetMode="External"/><Relationship Id="rId2023" Type="http://schemas.openxmlformats.org/officeDocument/2006/relationships/hyperlink" Target="https://salesxceleration.com/case-study/medical-interpretation-and-language-translation-company/" TargetMode="External"/><Relationship Id="rId3355" Type="http://schemas.openxmlformats.org/officeDocument/2006/relationships/hyperlink" Target="https://salesxceleration.com/contact-us" TargetMode="External"/><Relationship Id="rId4686" Type="http://schemas.openxmlformats.org/officeDocument/2006/relationships/hyperlink" Target="https://salesxceleration.com/wp-content/uploads/2023/08/businessman-using-digital-300x156.jpg" TargetMode="External"/><Relationship Id="rId102" Type="http://schemas.openxmlformats.org/officeDocument/2006/relationships/hyperlink" Target="https://salesxceleration.com/wp-content/plugins/cookie-law-info/legacy/public/css/cookie-law-info-public.css?ver=3.3.9.1" TargetMode="External"/><Relationship Id="rId2024" Type="http://schemas.openxmlformats.org/officeDocument/2006/relationships/hyperlink" Target="https://salesxceleration.com/wp-content/uploads/2022/05/thumb-Case-Study_Construction-Paving_SX-1.jpg" TargetMode="External"/><Relationship Id="rId3354" Type="http://schemas.openxmlformats.org/officeDocument/2006/relationships/hyperlink" Target="http://salesxceleration.com/contact-us" TargetMode="External"/><Relationship Id="rId4685" Type="http://schemas.openxmlformats.org/officeDocument/2006/relationships/hyperlink" Target="https://salesxceleration.com/wp-content/uploads/2023/08/businessman-using-digital-300x156.jpg" TargetMode="External"/><Relationship Id="rId101" Type="http://schemas.openxmlformats.org/officeDocument/2006/relationships/hyperlink" Target="https://salesxceleration.com/wp-content/plugins/cookie-law-info/legacy/public/css/cookie-law-info-public.css?ver=3.3.9.1" TargetMode="External"/><Relationship Id="rId2025" Type="http://schemas.openxmlformats.org/officeDocument/2006/relationships/hyperlink" Target="https://salesxceleration.com/wp-content/uploads/2022/05/thumb-Case-Study_Construction-Paving_SX-1.jpg" TargetMode="External"/><Relationship Id="rId3357" Type="http://schemas.openxmlformats.org/officeDocument/2006/relationships/hyperlink" Target="http://salesxceleration.com/" TargetMode="External"/><Relationship Id="rId4688" Type="http://schemas.openxmlformats.org/officeDocument/2006/relationships/hyperlink" Target="https://salesxceleration.com/wp-content/themes/salesxceleratione/assets/css/style.css?ver=1769123561" TargetMode="External"/><Relationship Id="rId100" Type="http://schemas.openxmlformats.org/officeDocument/2006/relationships/hyperlink" Target="https://salesxceleration.com/private-equity-solutions/portfolio-company/" TargetMode="External"/><Relationship Id="rId2026" Type="http://schemas.openxmlformats.org/officeDocument/2006/relationships/hyperlink" Target="https://salesxceleration.com/case-study/marketing/" TargetMode="External"/><Relationship Id="rId3356" Type="http://schemas.openxmlformats.org/officeDocument/2006/relationships/hyperlink" Target="http://salesxceleration.com/contact-us" TargetMode="External"/><Relationship Id="rId4687" Type="http://schemas.openxmlformats.org/officeDocument/2006/relationships/hyperlink" Target="https://salesxceleration.com/wp-content/themes/salesxceleratione/assets/css/style.css?ver=1769123561" TargetMode="External"/><Relationship Id="rId2016" Type="http://schemas.openxmlformats.org/officeDocument/2006/relationships/hyperlink" Target="https://salesxceleration.com/wp-content/uploads/2019/10/food-thumb.jpg" TargetMode="External"/><Relationship Id="rId3348" Type="http://schemas.openxmlformats.org/officeDocument/2006/relationships/hyperlink" Target="https://salesxceleration.com/wp-content/uploads/elementor/css/post-26692.css?ver=1768846160" TargetMode="External"/><Relationship Id="rId4679" Type="http://schemas.openxmlformats.org/officeDocument/2006/relationships/hyperlink" Target="https://salesxceleration.com/wp-content/uploads/2024/01/light-150x150.png" TargetMode="External"/><Relationship Id="rId2017" Type="http://schemas.openxmlformats.org/officeDocument/2006/relationships/hyperlink" Target="https://salesxceleration.com/wp-content/uploads/2021/02/case-study-jp-thumb.jpg" TargetMode="External"/><Relationship Id="rId3347" Type="http://schemas.openxmlformats.org/officeDocument/2006/relationships/hyperlink" Target="https://salesxceleration.com/wp-content/themes/salesxceleratione/assets/css/style.css?ver=1769123364" TargetMode="External"/><Relationship Id="rId4678" Type="http://schemas.openxmlformats.org/officeDocument/2006/relationships/hyperlink" Target="https://salesxceleration.com/wp-content/uploads/elementor/css/post-29314.css?ver=1768910670" TargetMode="External"/><Relationship Id="rId2018" Type="http://schemas.openxmlformats.org/officeDocument/2006/relationships/hyperlink" Target="https://salesxceleration.com/wp-content/uploads/2021/02/case-study-jp-thumb.jpg" TargetMode="External"/><Relationship Id="rId2019" Type="http://schemas.openxmlformats.org/officeDocument/2006/relationships/hyperlink" Target="https://salesxceleration.com/wp-content/uploads/2019/10/thumb-recruiting-cs.jpg" TargetMode="External"/><Relationship Id="rId3349" Type="http://schemas.openxmlformats.org/officeDocument/2006/relationships/hyperlink" Target="https://salesxceleration.com/wp-content/uploads/elementor/css/post-26692.css?ver=1768846160" TargetMode="External"/><Relationship Id="rId3340" Type="http://schemas.openxmlformats.org/officeDocument/2006/relationships/hyperlink" Target="https://salesxceleration.com/wp-content/themes/salesxceleratione/assets/css/style.css?ver=1769123362" TargetMode="External"/><Relationship Id="rId4671" Type="http://schemas.openxmlformats.org/officeDocument/2006/relationships/hyperlink" Target="https://salesxceleration.com/wp-content/uploads/2024/01/AIChatGPT-Poll-Graphic-1024x1024.jpg" TargetMode="External"/><Relationship Id="rId4670" Type="http://schemas.openxmlformats.org/officeDocument/2006/relationships/hyperlink" Target="https://salesxceleration.com/wp-content/uploads/2024/01/AIChatGPT-Poll-Graphic-1024x1024.jpg" TargetMode="External"/><Relationship Id="rId2010" Type="http://schemas.openxmlformats.org/officeDocument/2006/relationships/hyperlink" Target="https://salesxceleration.com/case-study/food-agriculture-company/" TargetMode="External"/><Relationship Id="rId3342" Type="http://schemas.openxmlformats.org/officeDocument/2006/relationships/hyperlink" Target="https://salesxceleration.com/wp-content/themes/salesxceleratione/assets/css/style.css?ver=1769123363" TargetMode="External"/><Relationship Id="rId4673" Type="http://schemas.openxmlformats.org/officeDocument/2006/relationships/hyperlink" Target="https://salesxceleration.com/no-access/" TargetMode="External"/><Relationship Id="rId2011" Type="http://schemas.openxmlformats.org/officeDocument/2006/relationships/hyperlink" Target="https://salesxceleration.com/wp-content/uploads/2019/03/tech-case-study1.jpg" TargetMode="External"/><Relationship Id="rId3341" Type="http://schemas.openxmlformats.org/officeDocument/2006/relationships/hyperlink" Target="https://salesxceleration.com/wp-content/themes/salesxceleratione/assets/css/style.css?ver=1769123362" TargetMode="External"/><Relationship Id="rId4672" Type="http://schemas.openxmlformats.org/officeDocument/2006/relationships/hyperlink" Target="https://salesxceleration.com/no-access/download-id/68073/" TargetMode="External"/><Relationship Id="rId2012" Type="http://schemas.openxmlformats.org/officeDocument/2006/relationships/hyperlink" Target="https://salesxceleration.com/wp-content/uploads/2019/03/tech-case-study1.jpg" TargetMode="External"/><Relationship Id="rId3344" Type="http://schemas.openxmlformats.org/officeDocument/2006/relationships/hyperlink" Target="https://salesxceleration.com/wp-content/uploads/elementor/css/post-71337.css?ver=1768862523" TargetMode="External"/><Relationship Id="rId4675" Type="http://schemas.openxmlformats.org/officeDocument/2006/relationships/hyperlink" Target="https://salesxceleration.com/wp-content/uploads/2024/01/logo-selling-power.png" TargetMode="External"/><Relationship Id="rId2013" Type="http://schemas.openxmlformats.org/officeDocument/2006/relationships/hyperlink" Target="https://salesxceleration.com/wp-content/uploads/2025/07/Driving-25-Higher-Topline-Revenue-for-a-Compostable-Packaging-Company-300x172.jpg" TargetMode="External"/><Relationship Id="rId3343" Type="http://schemas.openxmlformats.org/officeDocument/2006/relationships/hyperlink" Target="https://salesxceleration.com/wp-content/themes/salesxceleratione/assets/css/style.css?ver=1769123363" TargetMode="External"/><Relationship Id="rId4674" Type="http://schemas.openxmlformats.org/officeDocument/2006/relationships/hyperlink" Target="https://salesxceleration.com/no-access/download-id/68073/" TargetMode="External"/><Relationship Id="rId2014" Type="http://schemas.openxmlformats.org/officeDocument/2006/relationships/hyperlink" Target="https://salesxceleration.com/wp-content/uploads/2025/07/Driving-25-Higher-Topline-Revenue-for-a-Compostable-Packaging-Company-300x172.jpg" TargetMode="External"/><Relationship Id="rId3346" Type="http://schemas.openxmlformats.org/officeDocument/2006/relationships/hyperlink" Target="https://salesxceleration.com/wp-content/themes/salesxceleratione/assets/css/style.css?ver=1769123364" TargetMode="External"/><Relationship Id="rId4677" Type="http://schemas.openxmlformats.org/officeDocument/2006/relationships/hyperlink" Target="https://salesxceleration.com/wp-content/uploads/elementor/css/post-29314.css?ver=1768910670" TargetMode="External"/><Relationship Id="rId2015" Type="http://schemas.openxmlformats.org/officeDocument/2006/relationships/hyperlink" Target="https://salesxceleration.com/wp-content/uploads/2019/10/food-thumb.jpg" TargetMode="External"/><Relationship Id="rId3345" Type="http://schemas.openxmlformats.org/officeDocument/2006/relationships/hyperlink" Target="https://salesxceleration.com/wp-content/uploads/elementor/css/post-71337.css?ver=1768862523" TargetMode="External"/><Relationship Id="rId4676" Type="http://schemas.openxmlformats.org/officeDocument/2006/relationships/hyperlink" Target="https://salesxceleration.com/wp-content/uploads/2024/01/logo-selling-power.png" TargetMode="External"/><Relationship Id="rId2049" Type="http://schemas.openxmlformats.org/officeDocument/2006/relationships/hyperlink" Target="https://salesxceleration.com/case-study/residential-wall-manufacturer/" TargetMode="External"/><Relationship Id="rId129" Type="http://schemas.openxmlformats.org/officeDocument/2006/relationships/hyperlink" Target="https://salesxceleration.com/sales-management/" TargetMode="External"/><Relationship Id="rId128" Type="http://schemas.openxmlformats.org/officeDocument/2006/relationships/hyperlink" Target="https://salesxceleration.com/wp-content/plugins/elementor/assets/js/frontend-modules.min.js?ver=3.34.0" TargetMode="External"/><Relationship Id="rId127" Type="http://schemas.openxmlformats.org/officeDocument/2006/relationships/hyperlink" Target="https://salesxceleration.com/wp-content/plugins/elementor/assets/js/frontend-modules.min.js?ver=3.34.0" TargetMode="External"/><Relationship Id="rId126" Type="http://schemas.openxmlformats.org/officeDocument/2006/relationships/hyperlink" Target="https://salesxceleration.com/wp-content/plugins/elementor/assets/css/widget-icon-list.min.css?ver=3.34.0" TargetMode="External"/><Relationship Id="rId3371" Type="http://schemas.openxmlformats.org/officeDocument/2006/relationships/hyperlink" Target="https://salesxceleration.com/wp-content/uploads/2023/10/The-Power-of-Serving-Versus-Selling-300x200.jpg" TargetMode="External"/><Relationship Id="rId2040" Type="http://schemas.openxmlformats.org/officeDocument/2006/relationships/hyperlink" Target="https://salesxceleration.com/wp-content/uploads/2025/07/Early-Education-Thumbnail-300x172.jpg" TargetMode="External"/><Relationship Id="rId3370" Type="http://schemas.openxmlformats.org/officeDocument/2006/relationships/hyperlink" Target="https://salesxceleration.com/wp-content/themes/salesxceleratione/assets/css/style.css?ver=1769123416" TargetMode="External"/><Relationship Id="rId121" Type="http://schemas.openxmlformats.org/officeDocument/2006/relationships/hyperlink" Target="https://salesxceleration.com/wp-content/plugins/powerpack-elements/assets/lib/tooltipster/tooltipster.min.js?ver=2.12.15" TargetMode="External"/><Relationship Id="rId2041" Type="http://schemas.openxmlformats.org/officeDocument/2006/relationships/hyperlink" Target="https://salesxceleration.com/wp-content/uploads/2025/07/Early-Education-Thumbnail-300x172.jpg" TargetMode="External"/><Relationship Id="rId3373" Type="http://schemas.openxmlformats.org/officeDocument/2006/relationships/hyperlink" Target="https://salesxceleration.com/wp-content/uploads/2023/11/Fractional-Work-300x200.jpg" TargetMode="External"/><Relationship Id="rId120" Type="http://schemas.openxmlformats.org/officeDocument/2006/relationships/hyperlink" Target="https://salesxceleration.com/html-sitemap/" TargetMode="External"/><Relationship Id="rId2042" Type="http://schemas.openxmlformats.org/officeDocument/2006/relationships/hyperlink" Target="https://salesxceleration.com/case-study/calibration-manufacturing-company/" TargetMode="External"/><Relationship Id="rId3372" Type="http://schemas.openxmlformats.org/officeDocument/2006/relationships/hyperlink" Target="https://salesxceleration.com/wp-content/uploads/2023/10/The-Power-of-Serving-Versus-Selling-300x200.jpg" TargetMode="External"/><Relationship Id="rId2043" Type="http://schemas.openxmlformats.org/officeDocument/2006/relationships/hyperlink" Target="https://salesxceleration.com/case-study/calibration-manufacturing-company/" TargetMode="External"/><Relationship Id="rId3375" Type="http://schemas.openxmlformats.org/officeDocument/2006/relationships/hyperlink" Target="https://salesxceleration.com/wp-content/uploads/2022/12/Business-Opportunity-300x200.jpg" TargetMode="External"/><Relationship Id="rId2044" Type="http://schemas.openxmlformats.org/officeDocument/2006/relationships/hyperlink" Target="https://salesxceleration.com/case-study/calibration-manufacturing-company/" TargetMode="External"/><Relationship Id="rId3374" Type="http://schemas.openxmlformats.org/officeDocument/2006/relationships/hyperlink" Target="https://salesxceleration.com/wp-content/uploads/2023/11/Fractional-Work-300x200.jpg" TargetMode="External"/><Relationship Id="rId125" Type="http://schemas.openxmlformats.org/officeDocument/2006/relationships/hyperlink" Target="https://salesxceleration.com/wp-content/plugins/elementor/assets/css/widget-icon-list.min.css?ver=3.34.0" TargetMode="External"/><Relationship Id="rId2045" Type="http://schemas.openxmlformats.org/officeDocument/2006/relationships/hyperlink" Target="https://salesxceleration.com/wp-content/uploads/2019/03/manufacturing-case-study1.jpg" TargetMode="External"/><Relationship Id="rId3377" Type="http://schemas.openxmlformats.org/officeDocument/2006/relationships/hyperlink" Target="https://salesxceleration.com/wp-content/uploads/2023/03/Fractional-Sales-Leadership-Consultants-300x200.jpg" TargetMode="External"/><Relationship Id="rId124" Type="http://schemas.openxmlformats.org/officeDocument/2006/relationships/hyperlink" Target="https://salesxceleration.com/wp-content/uploads/elementor/css/post-40969.css?ver=1768845972" TargetMode="External"/><Relationship Id="rId2046" Type="http://schemas.openxmlformats.org/officeDocument/2006/relationships/hyperlink" Target="https://salesxceleration.com/wp-content/uploads/2019/03/manufacturing-case-study1.jpg" TargetMode="External"/><Relationship Id="rId3376" Type="http://schemas.openxmlformats.org/officeDocument/2006/relationships/hyperlink" Target="https://salesxceleration.com/wp-content/uploads/2022/12/Business-Opportunity-300x200.jpg" TargetMode="External"/><Relationship Id="rId123" Type="http://schemas.openxmlformats.org/officeDocument/2006/relationships/hyperlink" Target="https://salesxceleration.com/wp-content/uploads/elementor/css/post-40969.css?ver=1768845972" TargetMode="External"/><Relationship Id="rId2047" Type="http://schemas.openxmlformats.org/officeDocument/2006/relationships/hyperlink" Target="https://salesxceleration.com/wp-content/uploads/2019/07/cs-finance.jpg" TargetMode="External"/><Relationship Id="rId3379" Type="http://schemas.openxmlformats.org/officeDocument/2006/relationships/hyperlink" Target="https://salesxceleration.com/wp-content/uploads/2023/04/Business-Ninjas-WriteForMe-178-SalesXceleration-300x169.jpg" TargetMode="External"/><Relationship Id="rId122" Type="http://schemas.openxmlformats.org/officeDocument/2006/relationships/hyperlink" Target="https://salesxceleration.com/wp-content/plugins/powerpack-elements/assets/lib/tooltipster/tooltipster.min.js?ver=2.12.15" TargetMode="External"/><Relationship Id="rId2048" Type="http://schemas.openxmlformats.org/officeDocument/2006/relationships/hyperlink" Target="https://salesxceleration.com/wp-content/uploads/2019/07/cs-finance.jpg" TargetMode="External"/><Relationship Id="rId3378" Type="http://schemas.openxmlformats.org/officeDocument/2006/relationships/hyperlink" Target="https://salesxceleration.com/wp-content/uploads/2023/03/Fractional-Sales-Leadership-Consultants-300x200.jpg" TargetMode="External"/><Relationship Id="rId2038" Type="http://schemas.openxmlformats.org/officeDocument/2006/relationships/hyperlink" Target="https://salesxceleration.com/case-study/commercial-and-residential-paving/" TargetMode="External"/><Relationship Id="rId2039" Type="http://schemas.openxmlformats.org/officeDocument/2006/relationships/hyperlink" Target="https://salesxceleration.com/case-study/commercial-and-residential-paving/" TargetMode="External"/><Relationship Id="rId3369" Type="http://schemas.openxmlformats.org/officeDocument/2006/relationships/hyperlink" Target="https://salesxceleration.com/wp-content/themes/salesxceleratione/assets/css/style.css?ver=1769123416" TargetMode="External"/><Relationship Id="rId118" Type="http://schemas.openxmlformats.org/officeDocument/2006/relationships/hyperlink" Target="https://salesxceleration.com/html-sitemap/" TargetMode="External"/><Relationship Id="rId117" Type="http://schemas.openxmlformats.org/officeDocument/2006/relationships/hyperlink" Target="https://salesxceleration.com/wp-content/plugins/elementor/assets/css/conditionals/apple-webkit.min.css?ver=3.34.0" TargetMode="External"/><Relationship Id="rId116" Type="http://schemas.openxmlformats.org/officeDocument/2006/relationships/hyperlink" Target="https://salesxceleration.com/wp-content/plugins/elementor/assets/css/conditionals/apple-webkit.min.css?ver=3.34.0" TargetMode="External"/><Relationship Id="rId115" Type="http://schemas.openxmlformats.org/officeDocument/2006/relationships/hyperlink" Target="https://salesxceleration.com/sales-leadership-training/" TargetMode="External"/><Relationship Id="rId3360" Type="http://schemas.openxmlformats.org/officeDocument/2006/relationships/hyperlink" Target="https://salesxceleration.com/wp-content/themes/salesxceleratione/assets/css/style.css?ver=1769123411" TargetMode="External"/><Relationship Id="rId4691" Type="http://schemas.openxmlformats.org/officeDocument/2006/relationships/hyperlink" Target="https://salesxceleration.com/wp-content/uploads/2023/05/AI-for-Sales-300x165.jpg" TargetMode="External"/><Relationship Id="rId119" Type="http://schemas.openxmlformats.org/officeDocument/2006/relationships/hyperlink" Target="https://salesxceleration.com/html-sitemap/" TargetMode="External"/><Relationship Id="rId4690" Type="http://schemas.openxmlformats.org/officeDocument/2006/relationships/hyperlink" Target="https://salesxceleration.com/wp-content/uploads/2023/10/Harness-the-Power-of-AI-300x145.jpg" TargetMode="External"/><Relationship Id="rId110" Type="http://schemas.openxmlformats.org/officeDocument/2006/relationships/hyperlink" Target="https://salesxceleration.com/about-sales-xceleration/" TargetMode="External"/><Relationship Id="rId2030" Type="http://schemas.openxmlformats.org/officeDocument/2006/relationships/hyperlink" Target="https://salesxceleration.com/wp-content/uploads/2019/10/pr-case-study-thumb.jpg" TargetMode="External"/><Relationship Id="rId3362" Type="http://schemas.openxmlformats.org/officeDocument/2006/relationships/hyperlink" Target="https://www.salesxceleration.com/" TargetMode="External"/><Relationship Id="rId4693" Type="http://schemas.openxmlformats.org/officeDocument/2006/relationships/hyperlink" Target="https://salesxceleration.com/wp-content/uploads/2025/10/AI-Powered-Sales-Assistant.jpg" TargetMode="External"/><Relationship Id="rId2031" Type="http://schemas.openxmlformats.org/officeDocument/2006/relationships/hyperlink" Target="https://salesxceleration.com/wp-content/uploads/2021/10/Calibration_Manufacturing.jpg" TargetMode="External"/><Relationship Id="rId3361" Type="http://schemas.openxmlformats.org/officeDocument/2006/relationships/hyperlink" Target="https://salesxceleration.com/wp-content/themes/salesxceleratione/assets/css/style.css?ver=1769123411" TargetMode="External"/><Relationship Id="rId4692" Type="http://schemas.openxmlformats.org/officeDocument/2006/relationships/hyperlink" Target="https://salesxceleration.com/wp-content/uploads/2023/05/AI-for-Sales-300x165.jpg" TargetMode="External"/><Relationship Id="rId2032" Type="http://schemas.openxmlformats.org/officeDocument/2006/relationships/hyperlink" Target="https://salesxceleration.com/wp-content/uploads/2021/10/Calibration_Manufacturing.jpg" TargetMode="External"/><Relationship Id="rId3364" Type="http://schemas.openxmlformats.org/officeDocument/2006/relationships/hyperlink" Target="https://www.salesxceleration.com/" TargetMode="External"/><Relationship Id="rId4695" Type="http://schemas.openxmlformats.org/officeDocument/2006/relationships/hyperlink" Target="https://salesxceleration.com/wp-content/uploads/2022/04/Tappan-Scott-275x275-1-100x100.jpg" TargetMode="External"/><Relationship Id="rId2033" Type="http://schemas.openxmlformats.org/officeDocument/2006/relationships/hyperlink" Target="https://salesxceleration.com/wp-content/uploads/2024/11/Internet-Service-Provider-Improving-Close-Rates-to-44.jpg" TargetMode="External"/><Relationship Id="rId3363" Type="http://schemas.openxmlformats.org/officeDocument/2006/relationships/hyperlink" Target="https://salesxceleration.com/" TargetMode="External"/><Relationship Id="rId4694" Type="http://schemas.openxmlformats.org/officeDocument/2006/relationships/hyperlink" Target="https://salesxceleration.com/wp-content/uploads/2025/10/AI-Powered-Sales-Assistant.jpg" TargetMode="External"/><Relationship Id="rId114" Type="http://schemas.openxmlformats.org/officeDocument/2006/relationships/hyperlink" Target="https://salesxceleration.com/sales-leadership-training/" TargetMode="External"/><Relationship Id="rId2034" Type="http://schemas.openxmlformats.org/officeDocument/2006/relationships/hyperlink" Target="https://salesxceleration.com/wp-content/uploads/2024/11/Internet-Service-Provider-Improving-Close-Rates-to-44.jpg" TargetMode="External"/><Relationship Id="rId3366" Type="http://schemas.openxmlformats.org/officeDocument/2006/relationships/hyperlink" Target="https://salesxceleration.com/wp-content/themes/salesxceleratione/assets/css/style.css?ver=1769123413" TargetMode="External"/><Relationship Id="rId4697" Type="http://schemas.openxmlformats.org/officeDocument/2006/relationships/hyperlink" Target="https://salesxceleration.com/wp-content/uploads/2024/09/Mastering-Personalization-in-Sales.jpg" TargetMode="External"/><Relationship Id="rId113" Type="http://schemas.openxmlformats.org/officeDocument/2006/relationships/hyperlink" Target="https://salesxceleration.com/sales-leadership-training/" TargetMode="External"/><Relationship Id="rId2035" Type="http://schemas.openxmlformats.org/officeDocument/2006/relationships/hyperlink" Target="https://salesxceleration.com/wp-content/uploads/2020/09/cs-hvac-full-1.jpg" TargetMode="External"/><Relationship Id="rId3365" Type="http://schemas.openxmlformats.org/officeDocument/2006/relationships/hyperlink" Target="https://salesxceleration.com/wp-content/themes/salesxceleratione/assets/css/style.css?ver=1769123413" TargetMode="External"/><Relationship Id="rId4696" Type="http://schemas.openxmlformats.org/officeDocument/2006/relationships/hyperlink" Target="https://salesxceleration.com/wp-content/uploads/2022/04/Tappan-Scott-275x275-1-100x100.jpg" TargetMode="External"/><Relationship Id="rId112" Type="http://schemas.openxmlformats.org/officeDocument/2006/relationships/hyperlink" Target="https://salesxceleration.com/wp-content/plugins/elementor/assets/css/widget-social-icons.min.css?ver=3.34.0" TargetMode="External"/><Relationship Id="rId2036" Type="http://schemas.openxmlformats.org/officeDocument/2006/relationships/hyperlink" Target="https://salesxceleration.com/wp-content/uploads/2020/09/cs-hvac-full-1.jpg" TargetMode="External"/><Relationship Id="rId3368" Type="http://schemas.openxmlformats.org/officeDocument/2006/relationships/hyperlink" Target="https://salesxceleration.com/wp-content/uploads/elementor/css/post-21524.css?ver=1768849081" TargetMode="External"/><Relationship Id="rId4699" Type="http://schemas.openxmlformats.org/officeDocument/2006/relationships/hyperlink" Target="https://salesxceleration.com/sales-agility-assessment?locationid=27833113" TargetMode="External"/><Relationship Id="rId111" Type="http://schemas.openxmlformats.org/officeDocument/2006/relationships/hyperlink" Target="https://salesxceleration.com/wp-content/plugins/elementor/assets/css/widget-social-icons.min.css?ver=3.34.0" TargetMode="External"/><Relationship Id="rId2037" Type="http://schemas.openxmlformats.org/officeDocument/2006/relationships/hyperlink" Target="https://salesxceleration.com/case-study/commercial-and-residential-paving/" TargetMode="External"/><Relationship Id="rId3367" Type="http://schemas.openxmlformats.org/officeDocument/2006/relationships/hyperlink" Target="https://salesxceleration.com/wp-content/uploads/elementor/css/post-21524.css?ver=1768849081" TargetMode="External"/><Relationship Id="rId4698" Type="http://schemas.openxmlformats.org/officeDocument/2006/relationships/hyperlink" Target="https://salesxceleration.com/wp-content/uploads/2024/09/Mastering-Personalization-in-Sales.jpg" TargetMode="External"/><Relationship Id="rId3315" Type="http://schemas.openxmlformats.org/officeDocument/2006/relationships/hyperlink" Target="https://salesxceleration.com/looking-forward-to-endless-hours-in-planes-trains-and-automobiles-heres-an-alternative/" TargetMode="External"/><Relationship Id="rId4646" Type="http://schemas.openxmlformats.org/officeDocument/2006/relationships/hyperlink" Target="https://salesxceleration.com/wp-content/uploads/elementor/css/post-70498.css?ver=1768847321" TargetMode="External"/><Relationship Id="rId5978" Type="http://schemas.openxmlformats.org/officeDocument/2006/relationships/hyperlink" Target="https://salesxceleration.com/wp-content/uploads/2020/06/shutterstock_738625801-scaled-1-2048x2048.jpg" TargetMode="External"/><Relationship Id="rId3314" Type="http://schemas.openxmlformats.org/officeDocument/2006/relationships/hyperlink" Target="https://salesxceleration.com/what-are-you-passionate-about-and-what-are-you-doing-about-it/" TargetMode="External"/><Relationship Id="rId4645" Type="http://schemas.openxmlformats.org/officeDocument/2006/relationships/hyperlink" Target="https://salesxceleration.com/no-access/download-id/68883/" TargetMode="External"/><Relationship Id="rId5979" Type="http://schemas.openxmlformats.org/officeDocument/2006/relationships/hyperlink" Target="https://salesxceleration.com/its-about-profit-not-sales/" TargetMode="External"/><Relationship Id="rId3317" Type="http://schemas.openxmlformats.org/officeDocument/2006/relationships/hyperlink" Target="https://salesxceleration.com/looking-forward-to-endless-hours-in-planes-trains-and-automobiles-heres-an-alternative/" TargetMode="External"/><Relationship Id="rId4648" Type="http://schemas.openxmlformats.org/officeDocument/2006/relationships/hyperlink" Target="https://salesxceleration.com/wp-content/themes/salesxceleratione/assets/css/style.css?ver=1769123559" TargetMode="External"/><Relationship Id="rId5976" Type="http://schemas.openxmlformats.org/officeDocument/2006/relationships/hyperlink" Target="https://salesxceleration.com/how-strategic-sales-planning-can-keep-your-business-on-track-for-success/" TargetMode="External"/><Relationship Id="rId3316" Type="http://schemas.openxmlformats.org/officeDocument/2006/relationships/hyperlink" Target="https://salesxceleration.com/looking-forward-to-endless-hours-in-planes-trains-and-automobiles-heres-an-alternative/" TargetMode="External"/><Relationship Id="rId4647" Type="http://schemas.openxmlformats.org/officeDocument/2006/relationships/hyperlink" Target="https://salesxceleration.com/wp-content/uploads/elementor/css/post-70498.css?ver=1768847321" TargetMode="External"/><Relationship Id="rId5977" Type="http://schemas.openxmlformats.org/officeDocument/2006/relationships/hyperlink" Target="https://salesxceleration.com/wp-content/uploads/2020/06/shutterstock_738625801-scaled-1-2048x2048.jpg" TargetMode="External"/><Relationship Id="rId3319" Type="http://schemas.openxmlformats.org/officeDocument/2006/relationships/hyperlink" Target="https://salesxceleration.com/wp-content/uploads/2025/12/SAO-YT-Thumbnail-Bryan-Cressey.jpg" TargetMode="External"/><Relationship Id="rId3318" Type="http://schemas.openxmlformats.org/officeDocument/2006/relationships/hyperlink" Target="https://salesxceleration.com/wp-content/uploads/2025/12/SAO-YT-Thumbnail-Bryan-Cressey.jpg" TargetMode="External"/><Relationship Id="rId4649" Type="http://schemas.openxmlformats.org/officeDocument/2006/relationships/hyperlink" Target="https://salesxceleration.com/wp-content/themes/salesxceleratione/assets/css/style.css?ver=1769123559" TargetMode="External"/><Relationship Id="rId5970" Type="http://schemas.openxmlformats.org/officeDocument/2006/relationships/hyperlink" Target="https://salesxceleration.com/wp-content/themes/salesxceleratione/assets/css/style.css?ver=1769123731" TargetMode="External"/><Relationship Id="rId5971" Type="http://schemas.openxmlformats.org/officeDocument/2006/relationships/hyperlink" Target="https://salesxceleration.com/wp-content/themes/salesxceleratione/assets/css/style.css?ver=1769123731" TargetMode="External"/><Relationship Id="rId4640" Type="http://schemas.openxmlformats.org/officeDocument/2006/relationships/hyperlink" Target="https://salesxceleration.com/no-access/download-id/63802/" TargetMode="External"/><Relationship Id="rId3311" Type="http://schemas.openxmlformats.org/officeDocument/2006/relationships/hyperlink" Target="https://salesxceleration.com/wp-content/themes/salesxceleratione/assets/css/style.css?ver=1769123358" TargetMode="External"/><Relationship Id="rId4642" Type="http://schemas.openxmlformats.org/officeDocument/2006/relationships/hyperlink" Target="https://salesxceleration.com/no-access/download-id/63802/" TargetMode="External"/><Relationship Id="rId5974" Type="http://schemas.openxmlformats.org/officeDocument/2006/relationships/hyperlink" Target="https://salesxceleration.com/how-strategic-sales-planning-can-keep-your-business-on-track-for-success/" TargetMode="External"/><Relationship Id="rId3310" Type="http://schemas.openxmlformats.org/officeDocument/2006/relationships/hyperlink" Target="https://salesxceleration.com/wp-content/themes/salesxceleratione/assets/css/style.css?ver=1769123358" TargetMode="External"/><Relationship Id="rId4641" Type="http://schemas.openxmlformats.org/officeDocument/2006/relationships/hyperlink" Target="https://salesxceleration.com/no-access/" TargetMode="External"/><Relationship Id="rId5975" Type="http://schemas.openxmlformats.org/officeDocument/2006/relationships/hyperlink" Target="https://salesxceleration.com/how-strategic-sales-planning-can-keep-your-business-on-track-for-success/" TargetMode="External"/><Relationship Id="rId3313" Type="http://schemas.openxmlformats.org/officeDocument/2006/relationships/hyperlink" Target="https://salesxceleration.com/what-are-you-passionate-about-and-what-are-you-doing-about-it/" TargetMode="External"/><Relationship Id="rId4644" Type="http://schemas.openxmlformats.org/officeDocument/2006/relationships/hyperlink" Target="https://salesxceleration.com/no-access/" TargetMode="External"/><Relationship Id="rId5972" Type="http://schemas.openxmlformats.org/officeDocument/2006/relationships/hyperlink" Target="https://salesxceleration.com/wp-content/uploads/2021/08/choppy-blue-sea-with-blue-sky-and-sun.jpg" TargetMode="External"/><Relationship Id="rId3312" Type="http://schemas.openxmlformats.org/officeDocument/2006/relationships/hyperlink" Target="https://salesxceleration.com/what-are-you-passionate-about-and-what-are-you-doing-about-it/" TargetMode="External"/><Relationship Id="rId4643" Type="http://schemas.openxmlformats.org/officeDocument/2006/relationships/hyperlink" Target="https://salesxceleration.com/no-access/download-id/68883/" TargetMode="External"/><Relationship Id="rId5973" Type="http://schemas.openxmlformats.org/officeDocument/2006/relationships/hyperlink" Target="https://salesxceleration.com/wp-content/uploads/2021/08/choppy-blue-sea-with-blue-sky-and-sun.jpg" TargetMode="External"/><Relationship Id="rId3304" Type="http://schemas.openxmlformats.org/officeDocument/2006/relationships/hyperlink" Target="https://salesxceleration.com/how-do-i-join-the-20-and-not-the-80/" TargetMode="External"/><Relationship Id="rId4635" Type="http://schemas.openxmlformats.org/officeDocument/2006/relationships/hyperlink" Target="https://salesxceleration.com/how-to-recession-proof-your-sales-strategy/" TargetMode="External"/><Relationship Id="rId5967" Type="http://schemas.openxmlformats.org/officeDocument/2006/relationships/hyperlink" Target="https://salesxceleration.com/halftime-is-prime-time-to-move-from-success-to-significance/" TargetMode="External"/><Relationship Id="rId3303" Type="http://schemas.openxmlformats.org/officeDocument/2006/relationships/hyperlink" Target="https://salesxceleration.com/how-do-i-join-the-20-and-not-the-80/" TargetMode="External"/><Relationship Id="rId4634" Type="http://schemas.openxmlformats.org/officeDocument/2006/relationships/hyperlink" Target="https://salesxceleration.com/how-to-recession-proof-your-sales-strategy/" TargetMode="External"/><Relationship Id="rId5968" Type="http://schemas.openxmlformats.org/officeDocument/2006/relationships/hyperlink" Target="https://salesxceleration.com/halftime-is-prime-time-to-move-from-success-to-significance/" TargetMode="External"/><Relationship Id="rId3306" Type="http://schemas.openxmlformats.org/officeDocument/2006/relationships/hyperlink" Target="https://salesxceleration.com/wp-content/uploads/2022/05/Business-Lifeline-2048x2048.jpg" TargetMode="External"/><Relationship Id="rId4637" Type="http://schemas.openxmlformats.org/officeDocument/2006/relationships/hyperlink" Target="https://salesxceleration.com/no-access/download-id/66961/" TargetMode="External"/><Relationship Id="rId5965" Type="http://schemas.openxmlformats.org/officeDocument/2006/relationships/hyperlink" Target="https://salesxceleration.com/wp-content/uploads/2022/01/https___specials-images.forbesimg.com_imageserve_61e0352da916d2d434a29ba3_Choice-Concept-With-Doors-In-Maze_960x0.jpg" TargetMode="External"/><Relationship Id="rId3305" Type="http://schemas.openxmlformats.org/officeDocument/2006/relationships/hyperlink" Target="https://salesxceleration.com/how-do-i-join-the-20-and-not-the-80/" TargetMode="External"/><Relationship Id="rId4636" Type="http://schemas.openxmlformats.org/officeDocument/2006/relationships/hyperlink" Target="https://salesxceleration.com/how-to-recession-proof-your-sales-strategy/" TargetMode="External"/><Relationship Id="rId5966" Type="http://schemas.openxmlformats.org/officeDocument/2006/relationships/hyperlink" Target="https://salesxceleration.com/wp-content/uploads/2022/01/https___specials-images.forbesimg.com_imageserve_61e0352da916d2d434a29ba3_Choice-Concept-With-Doors-In-Maze_960x0.jpg" TargetMode="External"/><Relationship Id="rId3308" Type="http://schemas.openxmlformats.org/officeDocument/2006/relationships/hyperlink" Target="https://salesxceleration.com/wp-content/uploads/elementor/css/post-72931.css?ver=1768855127" TargetMode="External"/><Relationship Id="rId4639" Type="http://schemas.openxmlformats.org/officeDocument/2006/relationships/hyperlink" Target="https://salesxceleration.com/no-access/download-id/66961/" TargetMode="External"/><Relationship Id="rId3307" Type="http://schemas.openxmlformats.org/officeDocument/2006/relationships/hyperlink" Target="https://salesxceleration.com/wp-content/uploads/2022/05/Business-Lifeline-2048x2048.jpg" TargetMode="External"/><Relationship Id="rId4638" Type="http://schemas.openxmlformats.org/officeDocument/2006/relationships/hyperlink" Target="https://salesxceleration.com/no-access/" TargetMode="External"/><Relationship Id="rId5969" Type="http://schemas.openxmlformats.org/officeDocument/2006/relationships/hyperlink" Target="https://salesxceleration.com/halftime-is-prime-time-to-move-from-success-to-significance/" TargetMode="External"/><Relationship Id="rId3309" Type="http://schemas.openxmlformats.org/officeDocument/2006/relationships/hyperlink" Target="https://salesxceleration.com/wp-content/uploads/elementor/css/post-72931.css?ver=1768855127" TargetMode="External"/><Relationship Id="rId5960" Type="http://schemas.openxmlformats.org/officeDocument/2006/relationships/hyperlink" Target="https://salesxceleration.com/wp-content/uploads/2015/07/Profit-Article-Image-2048x2048.jpg" TargetMode="External"/><Relationship Id="rId3300" Type="http://schemas.openxmlformats.org/officeDocument/2006/relationships/hyperlink" Target="https://salesxceleration.com/wp-content/uploads/elementor/css/post-72614.css?ver=1768846336" TargetMode="External"/><Relationship Id="rId4631" Type="http://schemas.openxmlformats.org/officeDocument/2006/relationships/hyperlink" Target="https://salesxceleration.com/how-to-leverage-a-competitor-sales-analysis-to-grow-your-business/" TargetMode="External"/><Relationship Id="rId5963" Type="http://schemas.openxmlformats.org/officeDocument/2006/relationships/hyperlink" Target="https://salesxceleration.com/wp-content/uploads/2015/03/strategic-sales-planning-business-on-track-sales-xcerleation-2048x2048.png" TargetMode="External"/><Relationship Id="rId4630" Type="http://schemas.openxmlformats.org/officeDocument/2006/relationships/hyperlink" Target="https://salesxceleration.com/professionalism-in-virtual-meetings-how-it-impacts-the-remote-work-debate/" TargetMode="External"/><Relationship Id="rId5964" Type="http://schemas.openxmlformats.org/officeDocument/2006/relationships/hyperlink" Target="https://salesxceleration.com/wp-content/uploads/2015/03/strategic-sales-planning-business-on-track-sales-xcerleation-2048x2048.png" TargetMode="External"/><Relationship Id="rId3302" Type="http://schemas.openxmlformats.org/officeDocument/2006/relationships/hyperlink" Target="https://salesxceleration.com/wp-content/uploads/2022/03/Corporate-Travel-2048x2048.jpg" TargetMode="External"/><Relationship Id="rId4633" Type="http://schemas.openxmlformats.org/officeDocument/2006/relationships/hyperlink" Target="https://salesxceleration.com/how-to-leverage-a-competitor-sales-analysis-to-grow-your-business/" TargetMode="External"/><Relationship Id="rId5961" Type="http://schemas.openxmlformats.org/officeDocument/2006/relationships/hyperlink" Target="https://salesxceleration.com/wp-content/themes/salesxceleratione/assets/css/style.css?ver=1769123732" TargetMode="External"/><Relationship Id="rId3301" Type="http://schemas.openxmlformats.org/officeDocument/2006/relationships/hyperlink" Target="https://salesxceleration.com/wp-content/uploads/2022/03/Corporate-Travel-2048x2048.jpg" TargetMode="External"/><Relationship Id="rId4632" Type="http://schemas.openxmlformats.org/officeDocument/2006/relationships/hyperlink" Target="https://salesxceleration.com/how-to-leverage-a-competitor-sales-analysis-to-grow-your-business/" TargetMode="External"/><Relationship Id="rId5962" Type="http://schemas.openxmlformats.org/officeDocument/2006/relationships/hyperlink" Target="https://salesxceleration.com/wp-content/themes/salesxceleratione/assets/css/style.css?ver=1769123732" TargetMode="External"/><Relationship Id="rId2005" Type="http://schemas.openxmlformats.org/officeDocument/2006/relationships/hyperlink" Target="https://salesxceleration.com/wp-content/uploads/2019/11/healthcare-thumb.jpg" TargetMode="External"/><Relationship Id="rId3337" Type="http://schemas.openxmlformats.org/officeDocument/2006/relationships/hyperlink" Target="https://salesxceleration.com/wp-content/themes/salesxceleratione/assets/css/style.css?ver=1769123360" TargetMode="External"/><Relationship Id="rId4668" Type="http://schemas.openxmlformats.org/officeDocument/2006/relationships/hyperlink" Target="https://salesxceleration.com/wp-content/uploads/2024/06/Future-Proof-Your-Sales.jpg" TargetMode="External"/><Relationship Id="rId2006" Type="http://schemas.openxmlformats.org/officeDocument/2006/relationships/hyperlink" Target="https://salesxceleration.com/wp-content/uploads/2023/08/Driving-Sales-Efficiency-Through-Strategic-Transformation-Manufacturing-Case-Study_Cover-Image.jpg" TargetMode="External"/><Relationship Id="rId3336" Type="http://schemas.openxmlformats.org/officeDocument/2006/relationships/hyperlink" Target="https://salesxceleration.com/wp-content/themes/salesxceleratione/assets/css/style.css?ver=1769123360" TargetMode="External"/><Relationship Id="rId4667" Type="http://schemas.openxmlformats.org/officeDocument/2006/relationships/hyperlink" Target="https://salesxceleration.com/wp-content/uploads/elementor/css/post-45180.css?ver=1768857800" TargetMode="External"/><Relationship Id="rId2007" Type="http://schemas.openxmlformats.org/officeDocument/2006/relationships/hyperlink" Target="https://salesxceleration.com/wp-content/uploads/2023/08/Driving-Sales-Efficiency-Through-Strategic-Transformation-Manufacturing-Case-Study_Cover-Image.jpg" TargetMode="External"/><Relationship Id="rId3339" Type="http://schemas.openxmlformats.org/officeDocument/2006/relationships/hyperlink" Target="https://salesxceleration.com/wp-content/themes/salesxceleratione/assets/css/style.css?ver=1769123361" TargetMode="External"/><Relationship Id="rId5998" Type="http://schemas.openxmlformats.org/officeDocument/2006/relationships/hyperlink" Target="https://salesxceleration.com/wp-content/uploads/2022/04/Sales-Strategies-to-Close-the-Deal.jpg" TargetMode="External"/><Relationship Id="rId2008" Type="http://schemas.openxmlformats.org/officeDocument/2006/relationships/hyperlink" Target="https://salesxceleration.com/case-study/food-agriculture-company/" TargetMode="External"/><Relationship Id="rId3338" Type="http://schemas.openxmlformats.org/officeDocument/2006/relationships/hyperlink" Target="https://salesxceleration.com/wp-content/themes/salesxceleratione/assets/css/style.css?ver=1769123361" TargetMode="External"/><Relationship Id="rId4669" Type="http://schemas.openxmlformats.org/officeDocument/2006/relationships/hyperlink" Target="https://salesxceleration.com/wp-content/uploads/2024/06/Future-Proof-Your-Sales.jpg" TargetMode="External"/><Relationship Id="rId5999" Type="http://schemas.openxmlformats.org/officeDocument/2006/relationships/hyperlink" Target="https://salesxceleration.com/wp-content/themes/salesxceleratione/assets/css/style.css?ver=1769123730" TargetMode="External"/><Relationship Id="rId2009" Type="http://schemas.openxmlformats.org/officeDocument/2006/relationships/hyperlink" Target="https://salesxceleration.com/case-study/food-agriculture-company/" TargetMode="External"/><Relationship Id="rId4660" Type="http://schemas.openxmlformats.org/officeDocument/2006/relationships/hyperlink" Target="https://salesxceleration.com/wp-content/uploads/2025/01/The-AI-Advantage.jpg" TargetMode="External"/><Relationship Id="rId5992" Type="http://schemas.openxmlformats.org/officeDocument/2006/relationships/hyperlink" Target="https://salesxceleration.com/manage-sales-success-compensation/" TargetMode="External"/><Relationship Id="rId5993" Type="http://schemas.openxmlformats.org/officeDocument/2006/relationships/hyperlink" Target="https://salesxceleration.com/manage-sales-success-compensation/" TargetMode="External"/><Relationship Id="rId3331" Type="http://schemas.openxmlformats.org/officeDocument/2006/relationships/hyperlink" Target="https://salesxceleration.com/focus-on-sales-growth-the-accountability-factor/" TargetMode="External"/><Relationship Id="rId4662" Type="http://schemas.openxmlformats.org/officeDocument/2006/relationships/hyperlink" Target="https://salesxceleration.com/wp-content/uploads/2025/01/Streamlining-Sales-Processes-with-AI.jpg" TargetMode="External"/><Relationship Id="rId5990" Type="http://schemas.openxmlformats.org/officeDocument/2006/relationships/hyperlink" Target="https://salesxceleration.com/wp-content/uploads/2022/03/Exit-Planning.jpg" TargetMode="External"/><Relationship Id="rId2000" Type="http://schemas.openxmlformats.org/officeDocument/2006/relationships/hyperlink" Target="https://salesxceleration.com/case-study/air-purification-systems-company/" TargetMode="External"/><Relationship Id="rId3330" Type="http://schemas.openxmlformats.org/officeDocument/2006/relationships/hyperlink" Target="https://salesxceleration.com/wp-content/uploads/2026/01/SAO-YT-Thumbnail-Tim-Van-Mieghem.jpg" TargetMode="External"/><Relationship Id="rId4661" Type="http://schemas.openxmlformats.org/officeDocument/2006/relationships/hyperlink" Target="https://salesxceleration.com/wp-content/uploads/2025/01/The-AI-Advantage.jpg" TargetMode="External"/><Relationship Id="rId5991" Type="http://schemas.openxmlformats.org/officeDocument/2006/relationships/hyperlink" Target="https://salesxceleration.com/manage-sales-success-compensation/" TargetMode="External"/><Relationship Id="rId2001" Type="http://schemas.openxmlformats.org/officeDocument/2006/relationships/hyperlink" Target="https://salesxceleration.com/case-study/air-purification-systems-company/" TargetMode="External"/><Relationship Id="rId3333" Type="http://schemas.openxmlformats.org/officeDocument/2006/relationships/hyperlink" Target="https://salesxceleration.com/focus-on-sales-growth-the-accountability-factor/" TargetMode="External"/><Relationship Id="rId4664" Type="http://schemas.openxmlformats.org/officeDocument/2006/relationships/hyperlink" Target="https://salesxceleration.com/wp-content/uploads/2024/06/Benefits-of-Virtual-Selling.jpg" TargetMode="External"/><Relationship Id="rId5996" Type="http://schemas.openxmlformats.org/officeDocument/2006/relationships/hyperlink" Target="https://salesxceleration.com/a-business-leaders-guide-to-a-seamless-exit-strategy/" TargetMode="External"/><Relationship Id="rId2002" Type="http://schemas.openxmlformats.org/officeDocument/2006/relationships/hyperlink" Target="https://salesxceleration.com/wp-content/uploads/2022/03/Case-Study_Professional-Services_JL_SX-1-thumb.jpg" TargetMode="External"/><Relationship Id="rId3332" Type="http://schemas.openxmlformats.org/officeDocument/2006/relationships/hyperlink" Target="https://salesxceleration.com/focus-on-sales-growth-the-accountability-factor/" TargetMode="External"/><Relationship Id="rId4663" Type="http://schemas.openxmlformats.org/officeDocument/2006/relationships/hyperlink" Target="https://salesxceleration.com/wp-content/uploads/2025/01/Streamlining-Sales-Processes-with-AI.jpg" TargetMode="External"/><Relationship Id="rId5997" Type="http://schemas.openxmlformats.org/officeDocument/2006/relationships/hyperlink" Target="https://salesxceleration.com/wp-content/uploads/2022/04/Sales-Strategies-to-Close-the-Deal.jpg" TargetMode="External"/><Relationship Id="rId2003" Type="http://schemas.openxmlformats.org/officeDocument/2006/relationships/hyperlink" Target="https://salesxceleration.com/wp-content/uploads/2022/03/Case-Study_Professional-Services_JL_SX-1-thumb.jpg" TargetMode="External"/><Relationship Id="rId3335" Type="http://schemas.openxmlformats.org/officeDocument/2006/relationships/hyperlink" Target="https://salesxceleration.com/wp-content/plugins/wp-job-manager/assets/dist/js/job-application.js?ver=f98f84a4980682498065" TargetMode="External"/><Relationship Id="rId4666" Type="http://schemas.openxmlformats.org/officeDocument/2006/relationships/hyperlink" Target="https://salesxceleration.com/wp-content/uploads/elementor/css/post-45180.css?ver=1768857800" TargetMode="External"/><Relationship Id="rId5994" Type="http://schemas.openxmlformats.org/officeDocument/2006/relationships/hyperlink" Target="https://salesxceleration.com/a-business-leaders-guide-to-a-seamless-exit-strategy/" TargetMode="External"/><Relationship Id="rId2004" Type="http://schemas.openxmlformats.org/officeDocument/2006/relationships/hyperlink" Target="https://salesxceleration.com/wp-content/uploads/2019/11/healthcare-thumb.jpg" TargetMode="External"/><Relationship Id="rId3334" Type="http://schemas.openxmlformats.org/officeDocument/2006/relationships/hyperlink" Target="https://salesxceleration.com/wp-content/plugins/wp-job-manager/assets/dist/js/job-application.js?ver=f98f84a4980682498065" TargetMode="External"/><Relationship Id="rId4665" Type="http://schemas.openxmlformats.org/officeDocument/2006/relationships/hyperlink" Target="https://salesxceleration.com/wp-content/uploads/2024/06/Benefits-of-Virtual-Selling.jpg" TargetMode="External"/><Relationship Id="rId5995" Type="http://schemas.openxmlformats.org/officeDocument/2006/relationships/hyperlink" Target="https://salesxceleration.com/a-business-leaders-guide-to-a-seamless-exit-strategy/" TargetMode="External"/><Relationship Id="rId3326" Type="http://schemas.openxmlformats.org/officeDocument/2006/relationships/hyperlink" Target="https://salesxceleration.com/looking-for-a-lifeline-maybe-you-are-the-lifeline-for-businesses-in-need/" TargetMode="External"/><Relationship Id="rId4657" Type="http://schemas.openxmlformats.org/officeDocument/2006/relationships/hyperlink" Target="https://salesxceleration.com/no-access/download-id/70147/" TargetMode="External"/><Relationship Id="rId5989" Type="http://schemas.openxmlformats.org/officeDocument/2006/relationships/hyperlink" Target="https://salesxceleration.com/wp-content/uploads/2022/03/Exit-Planning.jpg" TargetMode="External"/><Relationship Id="rId3325" Type="http://schemas.openxmlformats.org/officeDocument/2006/relationships/hyperlink" Target="https://salesxceleration.com/looking-for-a-lifeline-maybe-you-are-the-lifeline-for-businesses-in-need/" TargetMode="External"/><Relationship Id="rId4656" Type="http://schemas.openxmlformats.org/officeDocument/2006/relationships/hyperlink" Target="https://salesxceleration.com/no-access/" TargetMode="External"/><Relationship Id="rId3328" Type="http://schemas.openxmlformats.org/officeDocument/2006/relationships/hyperlink" Target="https://salesxceleration.com/wp-content/uploads/elementor/css/post-73141.css?ver=1768846288" TargetMode="External"/><Relationship Id="rId4659" Type="http://schemas.openxmlformats.org/officeDocument/2006/relationships/hyperlink" Target="https://salesxceleration.com/wp-content/themes/salesxceleratione/assets/css/style.css?ver=1769123560" TargetMode="External"/><Relationship Id="rId5987" Type="http://schemas.openxmlformats.org/officeDocument/2006/relationships/hyperlink" Target="https://salesxceleration.com/5-ways-to-assess-sales-performance-amid-a-global-pandemic/" TargetMode="External"/><Relationship Id="rId3327" Type="http://schemas.openxmlformats.org/officeDocument/2006/relationships/hyperlink" Target="https://salesxceleration.com/wp-content/uploads/elementor/css/post-73141.css?ver=1768846288" TargetMode="External"/><Relationship Id="rId4658" Type="http://schemas.openxmlformats.org/officeDocument/2006/relationships/hyperlink" Target="https://salesxceleration.com/wp-content/themes/salesxceleratione/assets/css/style.css?ver=1769123560" TargetMode="External"/><Relationship Id="rId5988" Type="http://schemas.openxmlformats.org/officeDocument/2006/relationships/hyperlink" Target="https://salesxceleration.com/5-ways-to-assess-sales-performance-amid-a-global-pandemic/" TargetMode="External"/><Relationship Id="rId3329" Type="http://schemas.openxmlformats.org/officeDocument/2006/relationships/hyperlink" Target="https://salesxceleration.com/wp-content/uploads/2026/01/SAO-YT-Thumbnail-Tim-Van-Mieghem.jpg" TargetMode="External"/><Relationship Id="rId5981" Type="http://schemas.openxmlformats.org/officeDocument/2006/relationships/hyperlink" Target="https://salesxceleration.com/its-about-profit-not-sales/" TargetMode="External"/><Relationship Id="rId5982" Type="http://schemas.openxmlformats.org/officeDocument/2006/relationships/hyperlink" Target="https://salesxceleration.com/wp-content/uploads/2022/01/assessment.jpg" TargetMode="External"/><Relationship Id="rId3320" Type="http://schemas.openxmlformats.org/officeDocument/2006/relationships/hyperlink" Target="https://salesxceleration.com/wp-content/uploads/elementor/css/post-72821.css?ver=1768862524" TargetMode="External"/><Relationship Id="rId4651" Type="http://schemas.openxmlformats.org/officeDocument/2006/relationships/hyperlink" Target="https://salesxceleration.com/no-access/" TargetMode="External"/><Relationship Id="rId4650" Type="http://schemas.openxmlformats.org/officeDocument/2006/relationships/hyperlink" Target="https://salesxceleration.com/no-access/download-id/36876/" TargetMode="External"/><Relationship Id="rId5980" Type="http://schemas.openxmlformats.org/officeDocument/2006/relationships/hyperlink" Target="https://salesxceleration.com/its-about-profit-not-sales/" TargetMode="External"/><Relationship Id="rId3322" Type="http://schemas.openxmlformats.org/officeDocument/2006/relationships/hyperlink" Target="https://salesxceleration.com/wp-content/uploads/2014/09/Sales-Growth-accountability-2048x2048.jpg" TargetMode="External"/><Relationship Id="rId4653" Type="http://schemas.openxmlformats.org/officeDocument/2006/relationships/hyperlink" Target="https://salesxceleration.com/wp-content/uploads/2025/01/A-Real-World-AI-Success-Story.jpg" TargetMode="External"/><Relationship Id="rId5985" Type="http://schemas.openxmlformats.org/officeDocument/2006/relationships/hyperlink" Target="https://salesxceleration.com/wp-content/uploads/2016/05/Compensation-Payment-Plan--2048x2048.jpg" TargetMode="External"/><Relationship Id="rId3321" Type="http://schemas.openxmlformats.org/officeDocument/2006/relationships/hyperlink" Target="https://salesxceleration.com/wp-content/uploads/elementor/css/post-72821.css?ver=1768862524" TargetMode="External"/><Relationship Id="rId4652" Type="http://schemas.openxmlformats.org/officeDocument/2006/relationships/hyperlink" Target="https://salesxceleration.com/no-access/download-id/36876/" TargetMode="External"/><Relationship Id="rId5986" Type="http://schemas.openxmlformats.org/officeDocument/2006/relationships/hyperlink" Target="https://salesxceleration.com/5-ways-to-assess-sales-performance-amid-a-global-pandemic/" TargetMode="External"/><Relationship Id="rId3324" Type="http://schemas.openxmlformats.org/officeDocument/2006/relationships/hyperlink" Target="https://salesxceleration.com/looking-for-a-lifeline-maybe-you-are-the-lifeline-for-businesses-in-need/" TargetMode="External"/><Relationship Id="rId4655" Type="http://schemas.openxmlformats.org/officeDocument/2006/relationships/hyperlink" Target="https://salesxceleration.com/no-access/download-id/70147/" TargetMode="External"/><Relationship Id="rId5983" Type="http://schemas.openxmlformats.org/officeDocument/2006/relationships/hyperlink" Target="https://salesxceleration.com/wp-content/uploads/2022/01/assessment.jpg" TargetMode="External"/><Relationship Id="rId3323" Type="http://schemas.openxmlformats.org/officeDocument/2006/relationships/hyperlink" Target="https://salesxceleration.com/wp-content/uploads/2014/09/Sales-Growth-accountability-2048x2048.jpg" TargetMode="External"/><Relationship Id="rId4654" Type="http://schemas.openxmlformats.org/officeDocument/2006/relationships/hyperlink" Target="https://salesxceleration.com/wp-content/uploads/2025/01/A-Real-World-AI-Success-Story.jpg" TargetMode="External"/><Relationship Id="rId5984" Type="http://schemas.openxmlformats.org/officeDocument/2006/relationships/hyperlink" Target="https://salesxceleration.com/wp-content/uploads/2016/05/Compensation-Payment-Plan--2048x2048.jpg" TargetMode="External"/><Relationship Id="rId2090" Type="http://schemas.openxmlformats.org/officeDocument/2006/relationships/hyperlink" Target="https://salesxceleration.com/wp-content/uploads/2020/09/cs-distrib-full-1.jpg" TargetMode="External"/><Relationship Id="rId2091" Type="http://schemas.openxmlformats.org/officeDocument/2006/relationships/hyperlink" Target="https://salesxceleration.com/case-study/full-service-marketing-agency/" TargetMode="External"/><Relationship Id="rId2092" Type="http://schemas.openxmlformats.org/officeDocument/2006/relationships/hyperlink" Target="https://salesxceleration.com/case-study/full-service-marketing-agency/" TargetMode="External"/><Relationship Id="rId2093" Type="http://schemas.openxmlformats.org/officeDocument/2006/relationships/hyperlink" Target="https://salesxceleration.com/case-study/full-service-marketing-agency/" TargetMode="External"/><Relationship Id="rId2094" Type="http://schemas.openxmlformats.org/officeDocument/2006/relationships/hyperlink" Target="https://salesxceleration.com/wp-content/uploads/2021/02/thumb-mfg-cs.jpg" TargetMode="External"/><Relationship Id="rId2095" Type="http://schemas.openxmlformats.org/officeDocument/2006/relationships/hyperlink" Target="https://salesxceleration.com/wp-content/uploads/2021/02/thumb-mfg-cs.jpg" TargetMode="External"/><Relationship Id="rId2096" Type="http://schemas.openxmlformats.org/officeDocument/2006/relationships/hyperlink" Target="https://salesxceleration.com/case-study/alarm-and-security/" TargetMode="External"/><Relationship Id="rId2097" Type="http://schemas.openxmlformats.org/officeDocument/2006/relationships/hyperlink" Target="https://salesxceleration.com/case-study/alarm-and-security/" TargetMode="External"/><Relationship Id="rId2098" Type="http://schemas.openxmlformats.org/officeDocument/2006/relationships/hyperlink" Target="https://salesxceleration.com/case-study/alarm-and-security/" TargetMode="External"/><Relationship Id="rId2099" Type="http://schemas.openxmlformats.org/officeDocument/2006/relationships/hyperlink" Target="https://salesxceleration.com/wp-content/uploads/2020/02/foodagthumb.jpg" TargetMode="External"/><Relationship Id="rId3391" Type="http://schemas.openxmlformats.org/officeDocument/2006/relationships/hyperlink" Target="https://salesxceleration.com/leading-with-heart-sales-marketing-and-servant-leadership/" TargetMode="External"/><Relationship Id="rId2060" Type="http://schemas.openxmlformats.org/officeDocument/2006/relationships/hyperlink" Target="https://salesxceleration.com/wp-content/uploads/2019/10/hvac-thumbnail.jpg" TargetMode="External"/><Relationship Id="rId3390" Type="http://schemas.openxmlformats.org/officeDocument/2006/relationships/hyperlink" Target="https://salesxceleration.com/leading-with-heart-sales-marketing-and-servant-leadership/" TargetMode="External"/><Relationship Id="rId2061" Type="http://schemas.openxmlformats.org/officeDocument/2006/relationships/hyperlink" Target="https://salesxceleration.com/wp-content/uploads/2021/10/Metal-Fab.jpg" TargetMode="External"/><Relationship Id="rId3393" Type="http://schemas.openxmlformats.org/officeDocument/2006/relationships/hyperlink" Target="https://salesxceleration.com/thriving-with-outsourced-sales-leadership/" TargetMode="External"/><Relationship Id="rId2062" Type="http://schemas.openxmlformats.org/officeDocument/2006/relationships/hyperlink" Target="https://salesxceleration.com/wp-content/uploads/2021/10/Metal-Fab.jpg" TargetMode="External"/><Relationship Id="rId3392" Type="http://schemas.openxmlformats.org/officeDocument/2006/relationships/hyperlink" Target="https://salesxceleration.com/thriving-with-outsourced-sales-leadership/" TargetMode="External"/><Relationship Id="rId2063" Type="http://schemas.openxmlformats.org/officeDocument/2006/relationships/hyperlink" Target="https://salesxceleration.com/case-study/peo-payroll/" TargetMode="External"/><Relationship Id="rId3395" Type="http://schemas.openxmlformats.org/officeDocument/2006/relationships/hyperlink" Target="https://salesxceleration.com/wp-content/uploads/2023/03/Fractional-Sales-Leader-300x200.jpg" TargetMode="External"/><Relationship Id="rId2064" Type="http://schemas.openxmlformats.org/officeDocument/2006/relationships/hyperlink" Target="https://salesxceleration.com/case-study/peo-payroll/" TargetMode="External"/><Relationship Id="rId3394" Type="http://schemas.openxmlformats.org/officeDocument/2006/relationships/hyperlink" Target="https://salesxceleration.com/thriving-with-outsourced-sales-leadership/" TargetMode="External"/><Relationship Id="rId2065" Type="http://schemas.openxmlformats.org/officeDocument/2006/relationships/hyperlink" Target="https://salesxceleration.com/case-study/peo-payroll/" TargetMode="External"/><Relationship Id="rId3397" Type="http://schemas.openxmlformats.org/officeDocument/2006/relationships/hyperlink" Target="https://salesxceleration.com/wp-content/uploads/2024/02/Outsourced-Sales-Leadership-300x200.jpg" TargetMode="External"/><Relationship Id="rId2066" Type="http://schemas.openxmlformats.org/officeDocument/2006/relationships/hyperlink" Target="https://salesxceleration.com/case-study/promotional-products-marketing/" TargetMode="External"/><Relationship Id="rId3396" Type="http://schemas.openxmlformats.org/officeDocument/2006/relationships/hyperlink" Target="https://salesxceleration.com/wp-content/uploads/2023/03/Fractional-Sales-Leader-300x200.jpg" TargetMode="External"/><Relationship Id="rId2067" Type="http://schemas.openxmlformats.org/officeDocument/2006/relationships/hyperlink" Target="https://salesxceleration.com/case-study/promotional-products-marketing/" TargetMode="External"/><Relationship Id="rId3399" Type="http://schemas.openxmlformats.org/officeDocument/2006/relationships/hyperlink" Target="https://salesxceleration.com/wp-content/uploads/2024/01/Leading-with-Heart_Podcast-300x300.jpg" TargetMode="External"/><Relationship Id="rId2068" Type="http://schemas.openxmlformats.org/officeDocument/2006/relationships/hyperlink" Target="https://salesxceleration.com/case-study/promotional-products-marketing/" TargetMode="External"/><Relationship Id="rId3398" Type="http://schemas.openxmlformats.org/officeDocument/2006/relationships/hyperlink" Target="https://salesxceleration.com/wp-content/uploads/2024/02/Outsourced-Sales-Leadership-300x200.jpg" TargetMode="External"/><Relationship Id="rId2069" Type="http://schemas.openxmlformats.org/officeDocument/2006/relationships/hyperlink" Target="https://salesxceleration.com/wp-content/uploads/2019/12/manu-case-thumb.jpg" TargetMode="External"/><Relationship Id="rId3380" Type="http://schemas.openxmlformats.org/officeDocument/2006/relationships/hyperlink" Target="https://salesxceleration.com/wp-content/uploads/2023/04/Business-Ninjas-WriteForMe-178-SalesXceleration-300x169.jpg" TargetMode="External"/><Relationship Id="rId2050" Type="http://schemas.openxmlformats.org/officeDocument/2006/relationships/hyperlink" Target="https://salesxceleration.com/case-study/residential-wall-manufacturer/" TargetMode="External"/><Relationship Id="rId3382" Type="http://schemas.openxmlformats.org/officeDocument/2006/relationships/hyperlink" Target="https://salesxceleration.com/wp-content/uploads/2025/02/Podcast-Episode_Transforming-Sales-for-Growth-300x169.png" TargetMode="External"/><Relationship Id="rId2051" Type="http://schemas.openxmlformats.org/officeDocument/2006/relationships/hyperlink" Target="https://salesxceleration.com/case-study/residential-wall-manufacturer/" TargetMode="External"/><Relationship Id="rId3381" Type="http://schemas.openxmlformats.org/officeDocument/2006/relationships/hyperlink" Target="https://salesxceleration.com/wp-content/uploads/2025/02/Podcast-Episode_Transforming-Sales-for-Growth-300x169.png" TargetMode="External"/><Relationship Id="rId2052" Type="http://schemas.openxmlformats.org/officeDocument/2006/relationships/hyperlink" Target="https://salesxceleration.com/wp-content/uploads/elementor/css/post-19072.css?ver=1768856938" TargetMode="External"/><Relationship Id="rId3384" Type="http://schemas.openxmlformats.org/officeDocument/2006/relationships/hyperlink" Target="https://salesxceleration.com/why-our-advisors-chose-fractional-sales-leadership-consulting/" TargetMode="External"/><Relationship Id="rId2053" Type="http://schemas.openxmlformats.org/officeDocument/2006/relationships/hyperlink" Target="https://salesxceleration.com/wp-content/uploads/elementor/css/post-19072.css?ver=1768856938" TargetMode="External"/><Relationship Id="rId3383" Type="http://schemas.openxmlformats.org/officeDocument/2006/relationships/hyperlink" Target="https://salesxceleration.com/why-our-advisors-chose-fractional-sales-leadership-consulting/" TargetMode="External"/><Relationship Id="rId2054" Type="http://schemas.openxmlformats.org/officeDocument/2006/relationships/hyperlink" Target="https://salesxceleration.com/wp-content/uploads/2019/12/streamline-manu-thumb.jpg" TargetMode="External"/><Relationship Id="rId3386" Type="http://schemas.openxmlformats.org/officeDocument/2006/relationships/hyperlink" Target="https://salesxceleration.com/can-being-too-resilient-keep-you-from-realizing-opportunity/" TargetMode="External"/><Relationship Id="rId2055" Type="http://schemas.openxmlformats.org/officeDocument/2006/relationships/hyperlink" Target="https://salesxceleration.com/wp-content/uploads/2019/12/streamline-manu-thumb.jpg" TargetMode="External"/><Relationship Id="rId3385" Type="http://schemas.openxmlformats.org/officeDocument/2006/relationships/hyperlink" Target="https://salesxceleration.com/why-our-advisors-chose-fractional-sales-leadership-consulting/" TargetMode="External"/><Relationship Id="rId2056" Type="http://schemas.openxmlformats.org/officeDocument/2006/relationships/hyperlink" Target="https://salesxceleration.com/case-study/hand-crafted-brick-oven-manufacturer/" TargetMode="External"/><Relationship Id="rId3388" Type="http://schemas.openxmlformats.org/officeDocument/2006/relationships/hyperlink" Target="https://salesxceleration.com/can-being-too-resilient-keep-you-from-realizing-opportunity/" TargetMode="External"/><Relationship Id="rId2057" Type="http://schemas.openxmlformats.org/officeDocument/2006/relationships/hyperlink" Target="https://salesxceleration.com/case-study/hand-crafted-brick-oven-manufacturer/" TargetMode="External"/><Relationship Id="rId3387" Type="http://schemas.openxmlformats.org/officeDocument/2006/relationships/hyperlink" Target="https://salesxceleration.com/can-being-too-resilient-keep-you-from-realizing-opportunity/" TargetMode="External"/><Relationship Id="rId2058" Type="http://schemas.openxmlformats.org/officeDocument/2006/relationships/hyperlink" Target="https://salesxceleration.com/case-study/hand-crafted-brick-oven-manufacturer/" TargetMode="External"/><Relationship Id="rId2059" Type="http://schemas.openxmlformats.org/officeDocument/2006/relationships/hyperlink" Target="https://salesxceleration.com/wp-content/uploads/2019/10/hvac-thumbnail.jpg" TargetMode="External"/><Relationship Id="rId3389" Type="http://schemas.openxmlformats.org/officeDocument/2006/relationships/hyperlink" Target="https://salesxceleration.com/leading-with-heart-sales-marketing-and-servant-leadership/" TargetMode="External"/><Relationship Id="rId2080" Type="http://schemas.openxmlformats.org/officeDocument/2006/relationships/hyperlink" Target="https://salesxceleration.com/case-study/specialty-electrical-component-distributor/" TargetMode="External"/><Relationship Id="rId2081" Type="http://schemas.openxmlformats.org/officeDocument/2006/relationships/hyperlink" Target="https://salesxceleration.com/case-study/specialty-electrical-component-distributor/" TargetMode="External"/><Relationship Id="rId2082" Type="http://schemas.openxmlformats.org/officeDocument/2006/relationships/hyperlink" Target="https://salesxceleration.com/wp-content/uploads/2022/08/Developing-a-Go-to-Market-Strategy-for-Unparalleled-Success-Manufacturing-Case-Study-Thumbnail.jpg" TargetMode="External"/><Relationship Id="rId2083" Type="http://schemas.openxmlformats.org/officeDocument/2006/relationships/hyperlink" Target="https://salesxceleration.com/wp-content/uploads/2022/08/Developing-a-Go-to-Market-Strategy-for-Unparalleled-Success-Manufacturing-Case-Study-Thumbnail.jpg" TargetMode="External"/><Relationship Id="rId2084" Type="http://schemas.openxmlformats.org/officeDocument/2006/relationships/hyperlink" Target="https://salesxceleration.com/wp-content/uploads/2024/09/Plastic-Manufacturing-22-Sales-Growth-Achieved-with-Expert-Sales-Leadership-Cover.jpg" TargetMode="External"/><Relationship Id="rId2085" Type="http://schemas.openxmlformats.org/officeDocument/2006/relationships/hyperlink" Target="https://salesxceleration.com/wp-content/uploads/2024/09/Plastic-Manufacturing-22-Sales-Growth-Achieved-with-Expert-Sales-Leadership-Cover.jpg" TargetMode="External"/><Relationship Id="rId2086" Type="http://schemas.openxmlformats.org/officeDocument/2006/relationships/hyperlink" Target="https://salesxceleration.com/case-study/marketing-growth/" TargetMode="External"/><Relationship Id="rId2087" Type="http://schemas.openxmlformats.org/officeDocument/2006/relationships/hyperlink" Target="https://salesxceleration.com/case-study/marketing-growth/" TargetMode="External"/><Relationship Id="rId2088" Type="http://schemas.openxmlformats.org/officeDocument/2006/relationships/hyperlink" Target="https://salesxceleration.com/case-study/marketing-growth/" TargetMode="External"/><Relationship Id="rId2089" Type="http://schemas.openxmlformats.org/officeDocument/2006/relationships/hyperlink" Target="https://salesxceleration.com/wp-content/uploads/2020/09/cs-distrib-full-1.jpg" TargetMode="External"/><Relationship Id="rId2070" Type="http://schemas.openxmlformats.org/officeDocument/2006/relationships/hyperlink" Target="https://salesxceleration.com/wp-content/uploads/2019/12/manu-case-thumb.jpg" TargetMode="External"/><Relationship Id="rId2071" Type="http://schemas.openxmlformats.org/officeDocument/2006/relationships/hyperlink" Target="https://salesxceleration.com/wp-content/uploads/2019/11/healthcare-thumb-1.jpg" TargetMode="External"/><Relationship Id="rId2072" Type="http://schemas.openxmlformats.org/officeDocument/2006/relationships/hyperlink" Target="https://salesxceleration.com/wp-content/uploads/2019/11/healthcare-thumb-1.jpg" TargetMode="External"/><Relationship Id="rId2073" Type="http://schemas.openxmlformats.org/officeDocument/2006/relationships/hyperlink" Target="https://salesxceleration.com/case-study/technology/" TargetMode="External"/><Relationship Id="rId2074" Type="http://schemas.openxmlformats.org/officeDocument/2006/relationships/hyperlink" Target="https://salesxceleration.com/case-study/technology/" TargetMode="External"/><Relationship Id="rId2075" Type="http://schemas.openxmlformats.org/officeDocument/2006/relationships/hyperlink" Target="https://salesxceleration.com/case-study/technology/" TargetMode="External"/><Relationship Id="rId2076" Type="http://schemas.openxmlformats.org/officeDocument/2006/relationships/hyperlink" Target="https://salesxceleration.com/case-study/finance/" TargetMode="External"/><Relationship Id="rId2077" Type="http://schemas.openxmlformats.org/officeDocument/2006/relationships/hyperlink" Target="https://salesxceleration.com/case-study/finance/" TargetMode="External"/><Relationship Id="rId2078" Type="http://schemas.openxmlformats.org/officeDocument/2006/relationships/hyperlink" Target="https://salesxceleration.com/case-study/finance/" TargetMode="External"/><Relationship Id="rId2079" Type="http://schemas.openxmlformats.org/officeDocument/2006/relationships/hyperlink" Target="https://salesxceleration.com/case-study/specialty-electrical-component-distributor/" TargetMode="External"/><Relationship Id="rId4723" Type="http://schemas.openxmlformats.org/officeDocument/2006/relationships/hyperlink" Target="https://salesxceleration.com/wp-content/uploads/2015/03/Three-Cs-Sales-xceleration-2048x2048.png" TargetMode="External"/><Relationship Id="rId4722" Type="http://schemas.openxmlformats.org/officeDocument/2006/relationships/hyperlink" Target="https://salesxceleration.com/wp-content/uploads/2015/03/Three-Cs-Sales-xceleration-2048x2048.png" TargetMode="External"/><Relationship Id="rId4725" Type="http://schemas.openxmlformats.org/officeDocument/2006/relationships/hyperlink" Target="https://salesxceleration.com/wp-content/uploads/2015/03/Sales-rollercoaster-go-fishing-sales-xceleration-2048x2048.png" TargetMode="External"/><Relationship Id="rId4724" Type="http://schemas.openxmlformats.org/officeDocument/2006/relationships/hyperlink" Target="https://salesxceleration.com/wp-content/uploads/2015/03/Sales-rollercoaster-go-fishing-sales-xceleration-2048x2048.png" TargetMode="External"/><Relationship Id="rId4727" Type="http://schemas.openxmlformats.org/officeDocument/2006/relationships/hyperlink" Target="https://salesxceleration.com/wp-content/uploads/2017/08/shutterstock_421484053.jpg" TargetMode="External"/><Relationship Id="rId4726" Type="http://schemas.openxmlformats.org/officeDocument/2006/relationships/hyperlink" Target="https://salesxceleration.com/wp-content/uploads/2017/08/shutterstock_421484053.jpg" TargetMode="External"/><Relationship Id="rId4729" Type="http://schemas.openxmlformats.org/officeDocument/2006/relationships/hyperlink" Target="https://salesxceleration.com/wp-content/uploads/2015/03/When-Why-Sales-Manager-Should-Simply-Be-Quiet-Sales-Xceleration-2048x2048.png" TargetMode="External"/><Relationship Id="rId4728" Type="http://schemas.openxmlformats.org/officeDocument/2006/relationships/hyperlink" Target="https://salesxceleration.com/wp-content/uploads/2015/03/When-Why-Sales-Manager-Should-Simply-Be-Quiet-Sales-Xceleration-2048x2048.png" TargetMode="External"/><Relationship Id="rId4721" Type="http://schemas.openxmlformats.org/officeDocument/2006/relationships/hyperlink" Target="https://salesxceleration.com/wp-content/uploads/2015/03/fishing-grandpa-sales-lessons-family-wisdom-2048x2048.png" TargetMode="External"/><Relationship Id="rId4720" Type="http://schemas.openxmlformats.org/officeDocument/2006/relationships/hyperlink" Target="https://salesxceleration.com/wp-content/uploads/2015/03/fishing-grandpa-sales-lessons-family-wisdom-2048x2048.png" TargetMode="External"/><Relationship Id="rId4712" Type="http://schemas.openxmlformats.org/officeDocument/2006/relationships/hyperlink" Target="https://salesxceleration.com/wp-content/uploads/2026/01/Why-68-of-Companies-Cant-Trust-Their-Sales-Forecasts.jpg" TargetMode="External"/><Relationship Id="rId4711" Type="http://schemas.openxmlformats.org/officeDocument/2006/relationships/hyperlink" Target="https://salesxceleration.com/wp-content/uploads/2026/01/Why-68-of-Companies-Cant-Trust-Their-Sales-Forecasts.jpg" TargetMode="External"/><Relationship Id="rId4714" Type="http://schemas.openxmlformats.org/officeDocument/2006/relationships/hyperlink" Target="https://salesxceleration.com/how-to-define-and-analyze-your-target-market-for-growth/" TargetMode="External"/><Relationship Id="rId4713" Type="http://schemas.openxmlformats.org/officeDocument/2006/relationships/hyperlink" Target="https://salesxceleration.com/how-to-define-and-analyze-your-target-market-for-growth/" TargetMode="External"/><Relationship Id="rId4716" Type="http://schemas.openxmlformats.org/officeDocument/2006/relationships/hyperlink" Target="https://salesxceleration.com/wp-content/uploads/2026/01/Most-Sales-Teams-Are-Flying-Blind.png" TargetMode="External"/><Relationship Id="rId4715" Type="http://schemas.openxmlformats.org/officeDocument/2006/relationships/hyperlink" Target="https://salesxceleration.com/how-to-define-and-analyze-your-target-market-for-growth/" TargetMode="External"/><Relationship Id="rId4718" Type="http://schemas.openxmlformats.org/officeDocument/2006/relationships/hyperlink" Target="https://salesxceleration.com/wp-content/themes/salesxceleratione/assets/css/style.css?ver=1769123572" TargetMode="External"/><Relationship Id="rId4717" Type="http://schemas.openxmlformats.org/officeDocument/2006/relationships/hyperlink" Target="https://salesxceleration.com/wp-content/uploads/2026/01/Most-Sales-Teams-Are-Flying-Blind.png" TargetMode="External"/><Relationship Id="rId4719" Type="http://schemas.openxmlformats.org/officeDocument/2006/relationships/hyperlink" Target="https://salesxceleration.com/wp-content/themes/salesxceleratione/assets/css/style.css?ver=1769123572" TargetMode="External"/><Relationship Id="rId4710" Type="http://schemas.openxmlformats.org/officeDocument/2006/relationships/hyperlink" Target="https://salesxceleration.com/wp-content/themes/salesxceleratione/assets/css/style.css?ver=1769123563" TargetMode="External"/><Relationship Id="rId3414" Type="http://schemas.openxmlformats.org/officeDocument/2006/relationships/hyperlink" Target="https://salesxceleration.com/wp-content/uploads/2024/08/Fractional-Sales-Leadership-300x200.jpg" TargetMode="External"/><Relationship Id="rId4745" Type="http://schemas.openxmlformats.org/officeDocument/2006/relationships/hyperlink" Target="https://salesxceleration.com/wp-content/uploads/2014/09/Leading-lagging-sales.jpg" TargetMode="External"/><Relationship Id="rId3413" Type="http://schemas.openxmlformats.org/officeDocument/2006/relationships/hyperlink" Target="https://salesxceleration.com/category/sales-consulting/page/5/" TargetMode="External"/><Relationship Id="rId4744" Type="http://schemas.openxmlformats.org/officeDocument/2006/relationships/hyperlink" Target="https://salesxceleration.com/using-the-3-cs-to-improve-sales-performance/" TargetMode="External"/><Relationship Id="rId3416" Type="http://schemas.openxmlformats.org/officeDocument/2006/relationships/hyperlink" Target="https://salesxceleration.com/youve-earned-respect-but-are-you-still-getting-it/" TargetMode="External"/><Relationship Id="rId4747" Type="http://schemas.openxmlformats.org/officeDocument/2006/relationships/hyperlink" Target="https://salesxceleration.com/wp-content/uploads/2025/11/SAO-YT-Thumbnail-Dave-Parker-1.jpg" TargetMode="External"/><Relationship Id="rId3415" Type="http://schemas.openxmlformats.org/officeDocument/2006/relationships/hyperlink" Target="https://salesxceleration.com/wp-content/uploads/2024/08/Fractional-Sales-Leadership-300x200.jpg" TargetMode="External"/><Relationship Id="rId4746" Type="http://schemas.openxmlformats.org/officeDocument/2006/relationships/hyperlink" Target="https://salesxceleration.com/wp-content/uploads/2014/09/Leading-lagging-sales.jpg" TargetMode="External"/><Relationship Id="rId3418" Type="http://schemas.openxmlformats.org/officeDocument/2006/relationships/hyperlink" Target="https://salesxceleration.com/youve-earned-respect-but-are-you-still-getting-it/" TargetMode="External"/><Relationship Id="rId4749" Type="http://schemas.openxmlformats.org/officeDocument/2006/relationships/hyperlink" Target="https://salesxceleration.com/wp-content/uploads/elementor/css/post-71931.css?ver=1768855592" TargetMode="External"/><Relationship Id="rId3417" Type="http://schemas.openxmlformats.org/officeDocument/2006/relationships/hyperlink" Target="https://salesxceleration.com/youve-earned-respect-but-are-you-still-getting-it/" TargetMode="External"/><Relationship Id="rId4748" Type="http://schemas.openxmlformats.org/officeDocument/2006/relationships/hyperlink" Target="https://salesxceleration.com/wp-content/uploads/2025/11/SAO-YT-Thumbnail-Dave-Parker-1.jpg" TargetMode="External"/><Relationship Id="rId3419" Type="http://schemas.openxmlformats.org/officeDocument/2006/relationships/hyperlink" Target="https://salesxceleration.com/wp-content/uploads/2023/07/Businesswoman-in-thought-300x218.jpg" TargetMode="External"/><Relationship Id="rId3410" Type="http://schemas.openxmlformats.org/officeDocument/2006/relationships/hyperlink" Target="https://salesxceleration.com/category/sales-consulting/page/5/" TargetMode="External"/><Relationship Id="rId4741" Type="http://schemas.openxmlformats.org/officeDocument/2006/relationships/hyperlink" Target="https://salesxceleration.com/when-and-why-the-sales-manager-should-simply-be-quiet/" TargetMode="External"/><Relationship Id="rId4740" Type="http://schemas.openxmlformats.org/officeDocument/2006/relationships/hyperlink" Target="https://salesxceleration.com/when-and-why-the-sales-manager-should-simply-be-quiet/" TargetMode="External"/><Relationship Id="rId3412" Type="http://schemas.openxmlformats.org/officeDocument/2006/relationships/hyperlink" Target="https://salesxceleration.com/category/sales-consulting/page/4/" TargetMode="External"/><Relationship Id="rId4743" Type="http://schemas.openxmlformats.org/officeDocument/2006/relationships/hyperlink" Target="https://salesxceleration.com/using-the-3-cs-to-improve-sales-performance/" TargetMode="External"/><Relationship Id="rId3411" Type="http://schemas.openxmlformats.org/officeDocument/2006/relationships/hyperlink" Target="https://salesxceleration.com/category/sales-consulting/page/6/" TargetMode="External"/><Relationship Id="rId4742" Type="http://schemas.openxmlformats.org/officeDocument/2006/relationships/hyperlink" Target="https://salesxceleration.com/using-the-3-cs-to-improve-sales-performance/" TargetMode="External"/><Relationship Id="rId3403" Type="http://schemas.openxmlformats.org/officeDocument/2006/relationships/hyperlink" Target="https://salesxceleration.com/the-rise-of-fractional-sales-leadership-a-growing-opportunity-for-sales-leaders/" TargetMode="External"/><Relationship Id="rId4734" Type="http://schemas.openxmlformats.org/officeDocument/2006/relationships/hyperlink" Target="https://salesxceleration.com/wp-content/uploads/2024/05/Download-Building-a-Sales-Pipeline-with-AI.jpg" TargetMode="External"/><Relationship Id="rId3402" Type="http://schemas.openxmlformats.org/officeDocument/2006/relationships/hyperlink" Target="https://salesxceleration.com/the-rise-of-fractional-sales-leadership-a-growing-opportunity-for-sales-leaders/" TargetMode="External"/><Relationship Id="rId4733" Type="http://schemas.openxmlformats.org/officeDocument/2006/relationships/hyperlink" Target="https://salesxceleration.com/wp-content/uploads/2024/05/Download-Building-a-Sales-Pipeline-with-AI.jpg" TargetMode="External"/><Relationship Id="rId3405" Type="http://schemas.openxmlformats.org/officeDocument/2006/relationships/hyperlink" Target="https://salesxceleration.com/category/sales-consulting/page/3/" TargetMode="External"/><Relationship Id="rId4736" Type="http://schemas.openxmlformats.org/officeDocument/2006/relationships/hyperlink" Target="https://salesxceleration.com/wp-content/themes/salesxceleratione/assets/css/style.css?ver=1769123573" TargetMode="External"/><Relationship Id="rId3404" Type="http://schemas.openxmlformats.org/officeDocument/2006/relationships/hyperlink" Target="https://salesxceleration.com/category/sales-consulting/page/3/" TargetMode="External"/><Relationship Id="rId4735" Type="http://schemas.openxmlformats.org/officeDocument/2006/relationships/hyperlink" Target="https://salesxceleration.com/wp-content/themes/salesxceleratione/assets/css/style.css?ver=1769123573" TargetMode="External"/><Relationship Id="rId3407" Type="http://schemas.openxmlformats.org/officeDocument/2006/relationships/hyperlink" Target="https://salesxceleration.com/category/sales-consulting/page/2/" TargetMode="External"/><Relationship Id="rId4738" Type="http://schemas.openxmlformats.org/officeDocument/2006/relationships/hyperlink" Target="https://salesxceleration.com/wp-content/uploads/2024/05/Building-a-Sales-Pipeline.jpg" TargetMode="External"/><Relationship Id="rId3406" Type="http://schemas.openxmlformats.org/officeDocument/2006/relationships/hyperlink" Target="https://salesxceleration.com/category/sales-consulting/page/4/" TargetMode="External"/><Relationship Id="rId4737" Type="http://schemas.openxmlformats.org/officeDocument/2006/relationships/hyperlink" Target="https://salesxceleration.com/wp-content/uploads/2024/05/Building-a-Sales-Pipeline.jpg" TargetMode="External"/><Relationship Id="rId3409" Type="http://schemas.openxmlformats.org/officeDocument/2006/relationships/hyperlink" Target="https://salesxceleration.com/category/sales-consulting/page/5/" TargetMode="External"/><Relationship Id="rId3408" Type="http://schemas.openxmlformats.org/officeDocument/2006/relationships/hyperlink" Target="https://salesxceleration.com/category/sales-consulting/page/3/" TargetMode="External"/><Relationship Id="rId4739" Type="http://schemas.openxmlformats.org/officeDocument/2006/relationships/hyperlink" Target="https://salesxceleration.com/when-and-why-the-sales-manager-should-simply-be-quiet/" TargetMode="External"/><Relationship Id="rId4730" Type="http://schemas.openxmlformats.org/officeDocument/2006/relationships/hyperlink" Target="https://salesxceleration.com/want-off-the-sales-roller-coaster-go-fishing/" TargetMode="External"/><Relationship Id="rId3401" Type="http://schemas.openxmlformats.org/officeDocument/2006/relationships/hyperlink" Target="https://salesxceleration.com/the-rise-of-fractional-sales-leadership-a-growing-opportunity-for-sales-leaders/" TargetMode="External"/><Relationship Id="rId4732" Type="http://schemas.openxmlformats.org/officeDocument/2006/relationships/hyperlink" Target="https://salesxceleration.com/want-off-the-sales-roller-coaster-go-fishing/" TargetMode="External"/><Relationship Id="rId3400" Type="http://schemas.openxmlformats.org/officeDocument/2006/relationships/hyperlink" Target="https://salesxceleration.com/wp-content/uploads/2024/01/Leading-with-Heart_Podcast-300x300.jpg" TargetMode="External"/><Relationship Id="rId4731" Type="http://schemas.openxmlformats.org/officeDocument/2006/relationships/hyperlink" Target="https://salesxceleration.com/want-off-the-sales-roller-coaster-go-fishing/" TargetMode="External"/><Relationship Id="rId4701" Type="http://schemas.openxmlformats.org/officeDocument/2006/relationships/hyperlink" Target="https://salesxceleration.com/sales-agility-assessment?locationid=27833113" TargetMode="External"/><Relationship Id="rId4700" Type="http://schemas.openxmlformats.org/officeDocument/2006/relationships/hyperlink" Target="https://salesxceleration.com/sales-agility-assessment/?locationid=27833113" TargetMode="External"/><Relationship Id="rId4703" Type="http://schemas.openxmlformats.org/officeDocument/2006/relationships/hyperlink" Target="https://salesxceleration.com/wp-content/themes/salesxceleratione/assets/css/style.css?ver=1769123562" TargetMode="External"/><Relationship Id="rId4702" Type="http://schemas.openxmlformats.org/officeDocument/2006/relationships/hyperlink" Target="https://salesxceleration.com/wp-content/themes/salesxceleratione/assets/css/style.css?ver=1769123562" TargetMode="External"/><Relationship Id="rId4705" Type="http://schemas.openxmlformats.org/officeDocument/2006/relationships/hyperlink" Target="https://salesxceleration.com/wp-content/uploads/2024/09/5-Steps-to-Master-Personalization-in-Sales.jpg" TargetMode="External"/><Relationship Id="rId4704" Type="http://schemas.openxmlformats.org/officeDocument/2006/relationships/hyperlink" Target="https://salesxceleration.com/wp-content/uploads/2024/09/5-Steps-to-Master-Personalization-in-Sales.jpg" TargetMode="External"/><Relationship Id="rId4707" Type="http://schemas.openxmlformats.org/officeDocument/2006/relationships/hyperlink" Target="https://salesxceleration.com/author/scott-tappan/" TargetMode="External"/><Relationship Id="rId4706" Type="http://schemas.openxmlformats.org/officeDocument/2006/relationships/hyperlink" Target="https://salesxceleration.com/author/scott-tappan/" TargetMode="External"/><Relationship Id="rId4709" Type="http://schemas.openxmlformats.org/officeDocument/2006/relationships/hyperlink" Target="https://salesxceleration.com/wp-content/themes/salesxceleratione/assets/css/style.css?ver=1769123563" TargetMode="External"/><Relationship Id="rId4708" Type="http://schemas.openxmlformats.org/officeDocument/2006/relationships/hyperlink" Target="https://salesxceleration.com/author/scott-tappan/" TargetMode="External"/><Relationship Id="rId2148" Type="http://schemas.openxmlformats.org/officeDocument/2006/relationships/hyperlink" Target="https://salesxceleration.com/wp-content/uploads/2024/07/Aerospace-Manufacturing-Thumbnail.jpg" TargetMode="External"/><Relationship Id="rId2149" Type="http://schemas.openxmlformats.org/officeDocument/2006/relationships/hyperlink" Target="https://salesxceleration.com/wp-content/uploads/2024/07/Aerospace-Manufacturing-Thumbnail.jpg" TargetMode="External"/><Relationship Id="rId3479" Type="http://schemas.openxmlformats.org/officeDocument/2006/relationships/hyperlink" Target="https://salesxceleration.com/wp-content/uploads/2018/01/blogblog.jpg" TargetMode="External"/><Relationship Id="rId3470" Type="http://schemas.openxmlformats.org/officeDocument/2006/relationships/hyperlink" Target="https://salesxceleration.com/advisors/michael-wills/" TargetMode="External"/><Relationship Id="rId2140" Type="http://schemas.openxmlformats.org/officeDocument/2006/relationships/hyperlink" Target="https://salesxceleration.com/case-study/software-technology-company/" TargetMode="External"/><Relationship Id="rId3472" Type="http://schemas.openxmlformats.org/officeDocument/2006/relationships/hyperlink" Target="https://salesxceleration.com/what-we-do/genesis-plus/" TargetMode="External"/><Relationship Id="rId2141" Type="http://schemas.openxmlformats.org/officeDocument/2006/relationships/hyperlink" Target="https://salesxceleration.com/case-study/software-technology-company/" TargetMode="External"/><Relationship Id="rId3471" Type="http://schemas.openxmlformats.org/officeDocument/2006/relationships/hyperlink" Target="https://salesxceleration.com/what-we-do/genesis-plus/" TargetMode="External"/><Relationship Id="rId2142" Type="http://schemas.openxmlformats.org/officeDocument/2006/relationships/hyperlink" Target="https://salesxceleration.com/case-study/office-supply-furniture-company/" TargetMode="External"/><Relationship Id="rId3474" Type="http://schemas.openxmlformats.org/officeDocument/2006/relationships/hyperlink" Target="https://salesxceleration.com/advisors/joe-jackson/" TargetMode="External"/><Relationship Id="rId2143" Type="http://schemas.openxmlformats.org/officeDocument/2006/relationships/hyperlink" Target="https://salesxceleration.com/case-study/office-supply-furniture-company/" TargetMode="External"/><Relationship Id="rId3473" Type="http://schemas.openxmlformats.org/officeDocument/2006/relationships/hyperlink" Target="https://salesxceleration.com/advisors/joe-jackson/" TargetMode="External"/><Relationship Id="rId2144" Type="http://schemas.openxmlformats.org/officeDocument/2006/relationships/hyperlink" Target="https://salesxceleration.com/case-study/office-supply-furniture-company/" TargetMode="External"/><Relationship Id="rId3476" Type="http://schemas.openxmlformats.org/officeDocument/2006/relationships/hyperlink" Target="https://salesxceleration.com/advisors/john-lee-jr/" TargetMode="External"/><Relationship Id="rId2145" Type="http://schemas.openxmlformats.org/officeDocument/2006/relationships/hyperlink" Target="https://salesxceleration.com/case-study/honey-and-sweetener-distributor/" TargetMode="External"/><Relationship Id="rId3475" Type="http://schemas.openxmlformats.org/officeDocument/2006/relationships/hyperlink" Target="https://salesxceleration.com/advisors/joe-jackson/" TargetMode="External"/><Relationship Id="rId2146" Type="http://schemas.openxmlformats.org/officeDocument/2006/relationships/hyperlink" Target="https://salesxceleration.com/case-study/honey-and-sweetener-distributor/" TargetMode="External"/><Relationship Id="rId3478" Type="http://schemas.openxmlformats.org/officeDocument/2006/relationships/hyperlink" Target="https://salesxceleration.com/advisors/john-lee-jr/" TargetMode="External"/><Relationship Id="rId2147" Type="http://schemas.openxmlformats.org/officeDocument/2006/relationships/hyperlink" Target="https://salesxceleration.com/case-study/honey-and-sweetener-distributor/" TargetMode="External"/><Relationship Id="rId3477" Type="http://schemas.openxmlformats.org/officeDocument/2006/relationships/hyperlink" Target="https://salesxceleration.com/advisors/john-lee/" TargetMode="External"/><Relationship Id="rId2137" Type="http://schemas.openxmlformats.org/officeDocument/2006/relationships/hyperlink" Target="https://salesxceleration.com/wp-content/uploads/2021/01/thumb-tech-case-study.jpg" TargetMode="External"/><Relationship Id="rId3469" Type="http://schemas.openxmlformats.org/officeDocument/2006/relationships/hyperlink" Target="https://salesxceleration.com/advisors/michael-wills/" TargetMode="External"/><Relationship Id="rId2138" Type="http://schemas.openxmlformats.org/officeDocument/2006/relationships/hyperlink" Target="https://salesxceleration.com/wp-content/uploads/2021/01/thumb-tech-case-study.jpg" TargetMode="External"/><Relationship Id="rId3468" Type="http://schemas.openxmlformats.org/officeDocument/2006/relationships/hyperlink" Target="https://salesxceleration.com/advisors/michael-wills/" TargetMode="External"/><Relationship Id="rId4799" Type="http://schemas.openxmlformats.org/officeDocument/2006/relationships/hyperlink" Target="https://salesxceleration.com/becoming-senior-entrepreneur-gain/" TargetMode="External"/><Relationship Id="rId2139" Type="http://schemas.openxmlformats.org/officeDocument/2006/relationships/hyperlink" Target="https://salesxceleration.com/case-study/software-technology-company/" TargetMode="External"/><Relationship Id="rId4790" Type="http://schemas.openxmlformats.org/officeDocument/2006/relationships/hyperlink" Target="https://salesxceleration.com/wp-content/themes/salesxceleratione/assets/css/style.css?ver=1769123575" TargetMode="External"/><Relationship Id="rId3461" Type="http://schemas.openxmlformats.org/officeDocument/2006/relationships/hyperlink" Target="https://salesxceleration.com/find-a-consultant/" TargetMode="External"/><Relationship Id="rId4792" Type="http://schemas.openxmlformats.org/officeDocument/2006/relationships/hyperlink" Target="https://salesxceleration.com/become-a-consultant/" TargetMode="External"/><Relationship Id="rId2130" Type="http://schemas.openxmlformats.org/officeDocument/2006/relationships/hyperlink" Target="https://salesxceleration.com/case-study/early-education-transforming-sales-success-with-18-year-over-year-revenue-growth/" TargetMode="External"/><Relationship Id="rId3460" Type="http://schemas.openxmlformats.org/officeDocument/2006/relationships/hyperlink" Target="https://www.salesxceleration.com/find-an-advisor/" TargetMode="External"/><Relationship Id="rId4791" Type="http://schemas.openxmlformats.org/officeDocument/2006/relationships/hyperlink" Target="https://salesxceleration.com/contact-us/become-a-sales-consultant/" TargetMode="External"/><Relationship Id="rId2131" Type="http://schemas.openxmlformats.org/officeDocument/2006/relationships/hyperlink" Target="https://salesxceleration.com/case-study/developing-a-go-to-market-strategy-for-unparalleled-success/" TargetMode="External"/><Relationship Id="rId3463" Type="http://schemas.openxmlformats.org/officeDocument/2006/relationships/hyperlink" Target="https://salesxceleration.com/post-author/michael-wills/" TargetMode="External"/><Relationship Id="rId4794" Type="http://schemas.openxmlformats.org/officeDocument/2006/relationships/hyperlink" Target="https://salesxceleration.com/wp-content/uploads/2022/05/Business-Lifeline.jpg" TargetMode="External"/><Relationship Id="rId2132" Type="http://schemas.openxmlformats.org/officeDocument/2006/relationships/hyperlink" Target="https://salesxceleration.com/case-study/developing-a-go-to-market-strategy-for-unparalleled-success/" TargetMode="External"/><Relationship Id="rId3462" Type="http://schemas.openxmlformats.org/officeDocument/2006/relationships/hyperlink" Target="https://www.salesxceleration.com/find-an-advisor/" TargetMode="External"/><Relationship Id="rId4793" Type="http://schemas.openxmlformats.org/officeDocument/2006/relationships/hyperlink" Target="https://salesxceleration.com/contact-us/become-a-sales-consultant/" TargetMode="External"/><Relationship Id="rId2133" Type="http://schemas.openxmlformats.org/officeDocument/2006/relationships/hyperlink" Target="https://salesxceleration.com/case-study/developing-a-go-to-market-strategy-for-unparalleled-success/" TargetMode="External"/><Relationship Id="rId3465" Type="http://schemas.openxmlformats.org/officeDocument/2006/relationships/hyperlink" Target="https://salesxceleration.com/post-author/michael-wills/" TargetMode="External"/><Relationship Id="rId4796" Type="http://schemas.openxmlformats.org/officeDocument/2006/relationships/hyperlink" Target="https://salesxceleration.com/wp-content/uploads/2014/09/Sales-Growth-accountability.jpg" TargetMode="External"/><Relationship Id="rId2134" Type="http://schemas.openxmlformats.org/officeDocument/2006/relationships/hyperlink" Target="https://salesxceleration.com/case-study/intelligence-power-modules/" TargetMode="External"/><Relationship Id="rId3464" Type="http://schemas.openxmlformats.org/officeDocument/2006/relationships/hyperlink" Target="https://salesxceleration.com/advisors/michael-wills/" TargetMode="External"/><Relationship Id="rId4795" Type="http://schemas.openxmlformats.org/officeDocument/2006/relationships/hyperlink" Target="https://salesxceleration.com/wp-content/uploads/2022/05/Business-Lifeline.jpg" TargetMode="External"/><Relationship Id="rId2135" Type="http://schemas.openxmlformats.org/officeDocument/2006/relationships/hyperlink" Target="https://salesxceleration.com/case-study/intelligence-power-modules/" TargetMode="External"/><Relationship Id="rId3467" Type="http://schemas.openxmlformats.org/officeDocument/2006/relationships/hyperlink" Target="https://salesxceleration.com/what-we-do/genesis-sales-plan/" TargetMode="External"/><Relationship Id="rId4798" Type="http://schemas.openxmlformats.org/officeDocument/2006/relationships/hyperlink" Target="https://salesxceleration.com/becoming-senior-entrepreneur-gain/" TargetMode="External"/><Relationship Id="rId2136" Type="http://schemas.openxmlformats.org/officeDocument/2006/relationships/hyperlink" Target="https://salesxceleration.com/case-study/intelligence-power-modules/" TargetMode="External"/><Relationship Id="rId3466" Type="http://schemas.openxmlformats.org/officeDocument/2006/relationships/hyperlink" Target="https://salesxceleration.com/what-we-do/genesis-sales-plan/" TargetMode="External"/><Relationship Id="rId4797" Type="http://schemas.openxmlformats.org/officeDocument/2006/relationships/hyperlink" Target="https://salesxceleration.com/wp-content/uploads/2014/09/Sales-Growth-accountability.jpg" TargetMode="External"/><Relationship Id="rId3490" Type="http://schemas.openxmlformats.org/officeDocument/2006/relationships/hyperlink" Target="https://salesxceleration.com/wp-content/themes/salesxceleratione/assets/css/style.css?ver=1769123418" TargetMode="External"/><Relationship Id="rId2160" Type="http://schemas.openxmlformats.org/officeDocument/2006/relationships/hyperlink" Target="https://salesxceleration.com/wp-content/uploads/2019/11/retail-thumb.jpg" TargetMode="External"/><Relationship Id="rId3492" Type="http://schemas.openxmlformats.org/officeDocument/2006/relationships/hyperlink" Target="https://salesxceleration.com/wp-content/uploads/2022/08/Inc.-5000-Color-Medallion-Logo.png" TargetMode="External"/><Relationship Id="rId2161" Type="http://schemas.openxmlformats.org/officeDocument/2006/relationships/hyperlink" Target="https://salesxceleration.com/wp-content/uploads/2019/11/retail-thumb.jpg" TargetMode="External"/><Relationship Id="rId3491" Type="http://schemas.openxmlformats.org/officeDocument/2006/relationships/hyperlink" Target="https://salesxceleration.com/wp-content/uploads/2022/08/Inc.-5000-Color-Medallion-Logo.png" TargetMode="External"/><Relationship Id="rId2162" Type="http://schemas.openxmlformats.org/officeDocument/2006/relationships/hyperlink" Target="https://salesxceleration.com/wp-content/uploads/2019/05/case-study-thumb.jpg" TargetMode="External"/><Relationship Id="rId3494" Type="http://schemas.openxmlformats.org/officeDocument/2006/relationships/hyperlink" Target="https://salesxceleration.com/wp-content/uploads/2023/09/OMG-x-SX.png" TargetMode="External"/><Relationship Id="rId2163" Type="http://schemas.openxmlformats.org/officeDocument/2006/relationships/hyperlink" Target="https://salesxceleration.com/wp-content/uploads/2019/05/case-study-thumb.jpg" TargetMode="External"/><Relationship Id="rId3493" Type="http://schemas.openxmlformats.org/officeDocument/2006/relationships/hyperlink" Target="https://salesxceleration.com/wp-content/uploads/2023/09/OMG-x-SX.png" TargetMode="External"/><Relationship Id="rId2164" Type="http://schemas.openxmlformats.org/officeDocument/2006/relationships/hyperlink" Target="https://salesxceleration.com/wp-content/uploads/2020/01/turning-flat-thumb.jpg" TargetMode="External"/><Relationship Id="rId3496" Type="http://schemas.openxmlformats.org/officeDocument/2006/relationships/hyperlink" Target="https://salesxceleration.com/wp-content/uploads/2024/08/sx-knai.webp" TargetMode="External"/><Relationship Id="rId2165" Type="http://schemas.openxmlformats.org/officeDocument/2006/relationships/hyperlink" Target="https://salesxceleration.com/wp-content/uploads/2020/01/turning-flat-thumb.jpg" TargetMode="External"/><Relationship Id="rId3495" Type="http://schemas.openxmlformats.org/officeDocument/2006/relationships/hyperlink" Target="https://salesxceleration.com/wp-content/uploads/2024/08/sx-knai.webp" TargetMode="External"/><Relationship Id="rId2166" Type="http://schemas.openxmlformats.org/officeDocument/2006/relationships/hyperlink" Target="https://salesxceleration.com/wp-content/uploads/2022/03/Case-Study_Healthcare_SX-1-thumb.jpg" TargetMode="External"/><Relationship Id="rId3498" Type="http://schemas.openxmlformats.org/officeDocument/2006/relationships/hyperlink" Target="https://salesxceleration.com/wp-content/uploads/2020/08/Inc5000_Medallion_Color-1.png" TargetMode="External"/><Relationship Id="rId2167" Type="http://schemas.openxmlformats.org/officeDocument/2006/relationships/hyperlink" Target="https://salesxceleration.com/wp-content/uploads/2022/03/Case-Study_Healthcare_SX-1-thumb.jpg" TargetMode="External"/><Relationship Id="rId3497" Type="http://schemas.openxmlformats.org/officeDocument/2006/relationships/hyperlink" Target="https://salesxceleration.com/wp-content/uploads/2020/08/Inc5000_Medallion_Color-1.png" TargetMode="External"/><Relationship Id="rId2168" Type="http://schemas.openxmlformats.org/officeDocument/2006/relationships/hyperlink" Target="https://salesxceleration.com/wp-content/uploads/2024/06/Building-a-Future-Proof-Sales-Infrastructure-Thumbnail.jpg" TargetMode="External"/><Relationship Id="rId2169" Type="http://schemas.openxmlformats.org/officeDocument/2006/relationships/hyperlink" Target="https://salesxceleration.com/wp-content/uploads/2024/06/Building-a-Future-Proof-Sales-Infrastructure-Thumbnail.jpg" TargetMode="External"/><Relationship Id="rId3499" Type="http://schemas.openxmlformats.org/officeDocument/2006/relationships/hyperlink" Target="https://salesxceleration.com/wp-content/uploads/2016/06/Sales-Xceleration-Agility_Logo-Study-02.jpg" TargetMode="External"/><Relationship Id="rId2159" Type="http://schemas.openxmlformats.org/officeDocument/2006/relationships/hyperlink" Target="https://salesxceleration.com/case-study/construction-services/" TargetMode="External"/><Relationship Id="rId3481" Type="http://schemas.openxmlformats.org/officeDocument/2006/relationships/hyperlink" Target="https://salesxceleration.com/find-an-advisor/" TargetMode="External"/><Relationship Id="rId2150" Type="http://schemas.openxmlformats.org/officeDocument/2006/relationships/hyperlink" Target="https://salesxceleration.com/wp-content/uploads/2021/07/thumb-Case-Study_Manufacturing_Grew-6.jpg" TargetMode="External"/><Relationship Id="rId3480" Type="http://schemas.openxmlformats.org/officeDocument/2006/relationships/hyperlink" Target="https://salesxceleration.com/wp-content/uploads/2018/01/blogblog.jpg" TargetMode="External"/><Relationship Id="rId2151" Type="http://schemas.openxmlformats.org/officeDocument/2006/relationships/hyperlink" Target="https://salesxceleration.com/wp-content/uploads/2021/07/thumb-Case-Study_Manufacturing_Grew-6.jpg" TargetMode="External"/><Relationship Id="rId3483" Type="http://schemas.openxmlformats.org/officeDocument/2006/relationships/hyperlink" Target="https://salesxceleration.com/find-an-advisor/" TargetMode="External"/><Relationship Id="rId2152" Type="http://schemas.openxmlformats.org/officeDocument/2006/relationships/hyperlink" Target="https://salesxceleration.com/wp-content/uploads/2019/03/Case_Study_Manufacturing-thumb.jpg" TargetMode="External"/><Relationship Id="rId3482" Type="http://schemas.openxmlformats.org/officeDocument/2006/relationships/hyperlink" Target="https://salesxceleration.com/find-a-consultant/" TargetMode="External"/><Relationship Id="rId2153" Type="http://schemas.openxmlformats.org/officeDocument/2006/relationships/hyperlink" Target="https://salesxceleration.com/wp-content/uploads/2019/03/Case_Study_Manufacturing-thumb.jpg" TargetMode="External"/><Relationship Id="rId3485" Type="http://schemas.openxmlformats.org/officeDocument/2006/relationships/hyperlink" Target="https://salesxceleration.com/advisors/susan-tourville/" TargetMode="External"/><Relationship Id="rId2154" Type="http://schemas.openxmlformats.org/officeDocument/2006/relationships/hyperlink" Target="https://salesxceleration.com/case-study/lab-equipment-microbiology-technology-company/" TargetMode="External"/><Relationship Id="rId3484" Type="http://schemas.openxmlformats.org/officeDocument/2006/relationships/hyperlink" Target="https://salesxceleration.com/advisors/susan-tourville/" TargetMode="External"/><Relationship Id="rId2155" Type="http://schemas.openxmlformats.org/officeDocument/2006/relationships/hyperlink" Target="https://salesxceleration.com/case-study/lab-equipment-microbiology-technology-company/" TargetMode="External"/><Relationship Id="rId3487" Type="http://schemas.openxmlformats.org/officeDocument/2006/relationships/hyperlink" Target="https://salesxceleration.com/wp-content/uploads/2025/06/SX-Fractional-Sales-Leaders_June-2025.jpg" TargetMode="External"/><Relationship Id="rId2156" Type="http://schemas.openxmlformats.org/officeDocument/2006/relationships/hyperlink" Target="https://salesxceleration.com/case-study/lab-equipment-microbiology-technology-company/" TargetMode="External"/><Relationship Id="rId3486" Type="http://schemas.openxmlformats.org/officeDocument/2006/relationships/hyperlink" Target="https://salesxceleration.com/advisors/susan-tourville/" TargetMode="External"/><Relationship Id="rId2157" Type="http://schemas.openxmlformats.org/officeDocument/2006/relationships/hyperlink" Target="https://salesxceleration.com/case-study/construction-services/" TargetMode="External"/><Relationship Id="rId3489" Type="http://schemas.openxmlformats.org/officeDocument/2006/relationships/hyperlink" Target="https://salesxceleration.com/wp-content/themes/salesxceleratione/assets/css/style.css?ver=1769123418" TargetMode="External"/><Relationship Id="rId2158" Type="http://schemas.openxmlformats.org/officeDocument/2006/relationships/hyperlink" Target="https://salesxceleration.com/case-study/construction-services/" TargetMode="External"/><Relationship Id="rId3488" Type="http://schemas.openxmlformats.org/officeDocument/2006/relationships/hyperlink" Target="https://salesxceleration.com/wp-content/uploads/2025/06/SX-Fractional-Sales-Leaders_June-2025.jpg" TargetMode="External"/><Relationship Id="rId2104" Type="http://schemas.openxmlformats.org/officeDocument/2006/relationships/hyperlink" Target="https://salesxceleration.com/wp-content/uploads/2022/06/thumb-Case-Study_Security_SX-1.jpg" TargetMode="External"/><Relationship Id="rId3436" Type="http://schemas.openxmlformats.org/officeDocument/2006/relationships/hyperlink" Target="https://salesxceleration.com/category/sales-consulting/page/5/" TargetMode="External"/><Relationship Id="rId4767" Type="http://schemas.openxmlformats.org/officeDocument/2006/relationships/hyperlink" Target="https://salesxceleration.com/introducing-sales-against-the-odds/" TargetMode="External"/><Relationship Id="rId2105" Type="http://schemas.openxmlformats.org/officeDocument/2006/relationships/hyperlink" Target="https://salesxceleration.com/wp-content/uploads/2022/06/thumb-Case-Study_Security_SX-1.jpg" TargetMode="External"/><Relationship Id="rId3435" Type="http://schemas.openxmlformats.org/officeDocument/2006/relationships/hyperlink" Target="https://salesxceleration.com/category/sales-consulting/page/4/" TargetMode="External"/><Relationship Id="rId4766" Type="http://schemas.openxmlformats.org/officeDocument/2006/relationships/hyperlink" Target="https://salesxceleration.com/introducing-sales-against-the-odds/" TargetMode="External"/><Relationship Id="rId2106" Type="http://schemas.openxmlformats.org/officeDocument/2006/relationships/hyperlink" Target="https://salesxceleration.com/wp-content/uploads/2020/01/tech-thumb.jpg" TargetMode="External"/><Relationship Id="rId3438" Type="http://schemas.openxmlformats.org/officeDocument/2006/relationships/hyperlink" Target="https://salesxceleration.com/category/sales-consulting/page/4/" TargetMode="External"/><Relationship Id="rId4769" Type="http://schemas.openxmlformats.org/officeDocument/2006/relationships/hyperlink" Target="https://salesxceleration.com/the-sales-strategy-shift-most-founders-miss/" TargetMode="External"/><Relationship Id="rId2107" Type="http://schemas.openxmlformats.org/officeDocument/2006/relationships/hyperlink" Target="https://salesxceleration.com/wp-content/uploads/2020/01/tech-thumb.jpg" TargetMode="External"/><Relationship Id="rId3437" Type="http://schemas.openxmlformats.org/officeDocument/2006/relationships/hyperlink" Target="https://salesxceleration.com/category/sales-consulting/page/3/" TargetMode="External"/><Relationship Id="rId4768" Type="http://schemas.openxmlformats.org/officeDocument/2006/relationships/hyperlink" Target="https://salesxceleration.com/introducing-sales-against-the-odds/" TargetMode="External"/><Relationship Id="rId2108" Type="http://schemas.openxmlformats.org/officeDocument/2006/relationships/hyperlink" Target="https://salesxceleration.com/wp-content/uploads/2019/03/marketing-case-study1.jpg" TargetMode="External"/><Relationship Id="rId2109" Type="http://schemas.openxmlformats.org/officeDocument/2006/relationships/hyperlink" Target="https://salesxceleration.com/wp-content/uploads/2019/03/marketing-case-study1.jpg" TargetMode="External"/><Relationship Id="rId3439" Type="http://schemas.openxmlformats.org/officeDocument/2006/relationships/hyperlink" Target="https://salesxceleration.com/sales-xceleration-your-partner-for-sales-success/" TargetMode="External"/><Relationship Id="rId3430" Type="http://schemas.openxmlformats.org/officeDocument/2006/relationships/hyperlink" Target="https://salesxceleration.com/category/sales-consulting/page/2/" TargetMode="External"/><Relationship Id="rId4761" Type="http://schemas.openxmlformats.org/officeDocument/2006/relationships/hyperlink" Target="https://salesxceleration.com/wp-content/uploads/2015/03/top-20-percent-sales-xceleration.png" TargetMode="External"/><Relationship Id="rId4760" Type="http://schemas.openxmlformats.org/officeDocument/2006/relationships/hyperlink" Target="https://salesxceleration.com/wp-content/uploads/2015/03/top-20-percent-sales-xceleration.png" TargetMode="External"/><Relationship Id="rId2100" Type="http://schemas.openxmlformats.org/officeDocument/2006/relationships/hyperlink" Target="https://salesxceleration.com/wp-content/uploads/2020/02/foodagthumb.jpg" TargetMode="External"/><Relationship Id="rId3432" Type="http://schemas.openxmlformats.org/officeDocument/2006/relationships/hyperlink" Target="https://salesxceleration.com/category/sales-consulting/" TargetMode="External"/><Relationship Id="rId4763" Type="http://schemas.openxmlformats.org/officeDocument/2006/relationships/hyperlink" Target="https://salesxceleration.com/wp-content/uploads/2020/05/Satisfied-Happy-Businessman-scaled-1-2048x2048.jpg" TargetMode="External"/><Relationship Id="rId2101" Type="http://schemas.openxmlformats.org/officeDocument/2006/relationships/hyperlink" Target="https://salesxceleration.com/case-study/logistics/" TargetMode="External"/><Relationship Id="rId3431" Type="http://schemas.openxmlformats.org/officeDocument/2006/relationships/hyperlink" Target="https://salesxceleration.com/category/sales-consulting/page/3/" TargetMode="External"/><Relationship Id="rId4762" Type="http://schemas.openxmlformats.org/officeDocument/2006/relationships/hyperlink" Target="https://salesxceleration.com/wp-content/uploads/2020/05/Satisfied-Happy-Businessman-scaled-1-2048x2048.jpg" TargetMode="External"/><Relationship Id="rId2102" Type="http://schemas.openxmlformats.org/officeDocument/2006/relationships/hyperlink" Target="https://salesxceleration.com/case-study/logistics/" TargetMode="External"/><Relationship Id="rId3434" Type="http://schemas.openxmlformats.org/officeDocument/2006/relationships/hyperlink" Target="https://salesxceleration.com/category/sales-consulting/page/4/" TargetMode="External"/><Relationship Id="rId4765" Type="http://schemas.openxmlformats.org/officeDocument/2006/relationships/hyperlink" Target="https://salesxceleration.com/wp-content/uploads/2020/12/Woman-Sales-VP-Thinking-About-the-Future-scaled-1-2048x2048.jpg" TargetMode="External"/><Relationship Id="rId2103" Type="http://schemas.openxmlformats.org/officeDocument/2006/relationships/hyperlink" Target="https://salesxceleration.com/case-study/logistics/" TargetMode="External"/><Relationship Id="rId3433" Type="http://schemas.openxmlformats.org/officeDocument/2006/relationships/hyperlink" Target="https://salesxceleration.com/category/sales-consulting/page/2/" TargetMode="External"/><Relationship Id="rId4764" Type="http://schemas.openxmlformats.org/officeDocument/2006/relationships/hyperlink" Target="https://salesxceleration.com/wp-content/uploads/2020/12/Woman-Sales-VP-Thinking-About-the-Future-scaled-1-2048x2048.jpg" TargetMode="External"/><Relationship Id="rId3425" Type="http://schemas.openxmlformats.org/officeDocument/2006/relationships/hyperlink" Target="https://salesxceleration.com/fresh-starts-new-beginnings-and-finding-your-professional-purpose/" TargetMode="External"/><Relationship Id="rId4756" Type="http://schemas.openxmlformats.org/officeDocument/2006/relationships/hyperlink" Target="https://salesxceleration.com/wp-content/themes/salesxceleratione/assets/css/style.css?ver=1769123574" TargetMode="External"/><Relationship Id="rId3424" Type="http://schemas.openxmlformats.org/officeDocument/2006/relationships/hyperlink" Target="https://salesxceleration.com/fresh-starts-new-beginnings-and-finding-your-professional-purpose/" TargetMode="External"/><Relationship Id="rId4755" Type="http://schemas.openxmlformats.org/officeDocument/2006/relationships/hyperlink" Target="https://salesxceleration.com/wp-content/uploads/2025/10/Sales-Against-The-Odds-Promo-Graphic.jpg" TargetMode="External"/><Relationship Id="rId3427" Type="http://schemas.openxmlformats.org/officeDocument/2006/relationships/hyperlink" Target="https://salesxceleration.com/fractional-work-the-ultimate-smart-business-competitive-advantage/" TargetMode="External"/><Relationship Id="rId4758" Type="http://schemas.openxmlformats.org/officeDocument/2006/relationships/hyperlink" Target="https://salesxceleration.com/wp-content/uploads/2020/04/Man-Working-in-Home-Office1-2048x2048.jpg" TargetMode="External"/><Relationship Id="rId3426" Type="http://schemas.openxmlformats.org/officeDocument/2006/relationships/hyperlink" Target="https://salesxceleration.com/fractional-work-the-ultimate-smart-business-competitive-advantage/" TargetMode="External"/><Relationship Id="rId4757" Type="http://schemas.openxmlformats.org/officeDocument/2006/relationships/hyperlink" Target="https://salesxceleration.com/wp-content/themes/salesxceleratione/assets/css/style.css?ver=1769123574" TargetMode="External"/><Relationship Id="rId3429" Type="http://schemas.openxmlformats.org/officeDocument/2006/relationships/hyperlink" Target="https://salesxceleration.com/category/sales-consulting/page/2/" TargetMode="External"/><Relationship Id="rId3428" Type="http://schemas.openxmlformats.org/officeDocument/2006/relationships/hyperlink" Target="https://salesxceleration.com/fractional-work-the-ultimate-smart-business-competitive-advantage/" TargetMode="External"/><Relationship Id="rId4759" Type="http://schemas.openxmlformats.org/officeDocument/2006/relationships/hyperlink" Target="https://salesxceleration.com/wp-content/uploads/2020/04/Man-Working-in-Home-Office1-2048x2048.jpg" TargetMode="External"/><Relationship Id="rId4750" Type="http://schemas.openxmlformats.org/officeDocument/2006/relationships/hyperlink" Target="https://salesxceleration.com/wp-content/uploads/elementor/css/post-71931.css?ver=1768855592" TargetMode="External"/><Relationship Id="rId3421" Type="http://schemas.openxmlformats.org/officeDocument/2006/relationships/hyperlink" Target="https://salesxceleration.com/wp-content/uploads/2023/02/finding-your-professional-purpose-300x200.jpg" TargetMode="External"/><Relationship Id="rId4752" Type="http://schemas.openxmlformats.org/officeDocument/2006/relationships/hyperlink" Target="https://salesxceleration.com/fishing-with-grandpa-7-sales-lessons-from-family-wisdom/" TargetMode="External"/><Relationship Id="rId3420" Type="http://schemas.openxmlformats.org/officeDocument/2006/relationships/hyperlink" Target="https://salesxceleration.com/wp-content/uploads/2023/07/Businesswoman-in-thought-300x218.jpg" TargetMode="External"/><Relationship Id="rId4751" Type="http://schemas.openxmlformats.org/officeDocument/2006/relationships/hyperlink" Target="https://salesxceleration.com/fishing-with-grandpa-7-sales-lessons-from-family-wisdom/" TargetMode="External"/><Relationship Id="rId3423" Type="http://schemas.openxmlformats.org/officeDocument/2006/relationships/hyperlink" Target="https://salesxceleration.com/fresh-starts-new-beginnings-and-finding-your-professional-purpose/" TargetMode="External"/><Relationship Id="rId4754" Type="http://schemas.openxmlformats.org/officeDocument/2006/relationships/hyperlink" Target="https://salesxceleration.com/wp-content/uploads/2025/10/Sales-Against-The-Odds-Promo-Graphic.jpg" TargetMode="External"/><Relationship Id="rId3422" Type="http://schemas.openxmlformats.org/officeDocument/2006/relationships/hyperlink" Target="https://salesxceleration.com/wp-content/uploads/2023/02/finding-your-professional-purpose-300x200.jpg" TargetMode="External"/><Relationship Id="rId4753" Type="http://schemas.openxmlformats.org/officeDocument/2006/relationships/hyperlink" Target="https://salesxceleration.com/fishing-with-grandpa-7-sales-lessons-from-family-wisdom/" TargetMode="External"/><Relationship Id="rId2126" Type="http://schemas.openxmlformats.org/officeDocument/2006/relationships/hyperlink" Target="https://salesxceleration.com/case-study/construction/" TargetMode="External"/><Relationship Id="rId3458" Type="http://schemas.openxmlformats.org/officeDocument/2006/relationships/hyperlink" Target="https://salesxceleration.com/wp-content/uploads/2017/03/MicahelWillsPost.jpg" TargetMode="External"/><Relationship Id="rId4789" Type="http://schemas.openxmlformats.org/officeDocument/2006/relationships/hyperlink" Target="https://salesxceleration.com/wp-content/themes/salesxceleratione/assets/css/style.css?ver=1769123575" TargetMode="External"/><Relationship Id="rId2127" Type="http://schemas.openxmlformats.org/officeDocument/2006/relationships/hyperlink" Target="https://salesxceleration.com/case-study/construction/" TargetMode="External"/><Relationship Id="rId3457" Type="http://schemas.openxmlformats.org/officeDocument/2006/relationships/hyperlink" Target="https://salesxceleration.com/wp-content/uploads/2023/07/Advisor-Class-Press-Release.jpg" TargetMode="External"/><Relationship Id="rId4788" Type="http://schemas.openxmlformats.org/officeDocument/2006/relationships/hyperlink" Target="https://salesxceleration.com/wp-content/uploads/2022/03/Corporate-Travel.jpg" TargetMode="External"/><Relationship Id="rId2128" Type="http://schemas.openxmlformats.org/officeDocument/2006/relationships/hyperlink" Target="https://salesxceleration.com/case-study/early-education-transforming-sales-success-with-18-year-over-year-revenue-growth/" TargetMode="External"/><Relationship Id="rId2129" Type="http://schemas.openxmlformats.org/officeDocument/2006/relationships/hyperlink" Target="https://salesxceleration.com/case-study/early-education-transforming-sales-success-with-18-year-over-year-revenue-growth/" TargetMode="External"/><Relationship Id="rId3459" Type="http://schemas.openxmlformats.org/officeDocument/2006/relationships/hyperlink" Target="https://salesxceleration.com/wp-content/uploads/2017/03/MicahelWillsPost.jpg" TargetMode="External"/><Relationship Id="rId3450" Type="http://schemas.openxmlformats.org/officeDocument/2006/relationships/hyperlink" Target="https://salesxceleration.com/transforming-sales-for-growth/" TargetMode="External"/><Relationship Id="rId4781" Type="http://schemas.openxmlformats.org/officeDocument/2006/relationships/hyperlink" Target="https://salesxceleration.com/home-is-where-the-heart-is-and-where-the-consulting-clients-are/" TargetMode="External"/><Relationship Id="rId4780" Type="http://schemas.openxmlformats.org/officeDocument/2006/relationships/hyperlink" Target="https://salesxceleration.com/contact-us/become-a-sales-consultant/advisor-blogs/" TargetMode="External"/><Relationship Id="rId2120" Type="http://schemas.openxmlformats.org/officeDocument/2006/relationships/hyperlink" Target="https://salesxceleration.com/case-study/public-relations/" TargetMode="External"/><Relationship Id="rId3452" Type="http://schemas.openxmlformats.org/officeDocument/2006/relationships/hyperlink" Target="https://salesxceleration.com/transforming-sales-for-growth/" TargetMode="External"/><Relationship Id="rId4783" Type="http://schemas.openxmlformats.org/officeDocument/2006/relationships/hyperlink" Target="https://salesxceleration.com/wp-content/uploads/2022/02/It-is-my-passion.jpg" TargetMode="External"/><Relationship Id="rId2121" Type="http://schemas.openxmlformats.org/officeDocument/2006/relationships/hyperlink" Target="https://salesxceleration.com/case-study/public-relations/" TargetMode="External"/><Relationship Id="rId3451" Type="http://schemas.openxmlformats.org/officeDocument/2006/relationships/hyperlink" Target="https://salesxceleration.com/transforming-sales-for-growth/" TargetMode="External"/><Relationship Id="rId4782" Type="http://schemas.openxmlformats.org/officeDocument/2006/relationships/hyperlink" Target="https://salesxceleration.com/wp-content/uploads/2022/02/It-is-my-passion.jpg" TargetMode="External"/><Relationship Id="rId2122" Type="http://schemas.openxmlformats.org/officeDocument/2006/relationships/hyperlink" Target="https://salesxceleration.com/case-study/construction-manufacturing-2/" TargetMode="External"/><Relationship Id="rId3454" Type="http://schemas.openxmlformats.org/officeDocument/2006/relationships/hyperlink" Target="https://salesxceleration.com/surprising-statistics-in-support-of-fractional-sales-leadership-consulting/" TargetMode="External"/><Relationship Id="rId4785" Type="http://schemas.openxmlformats.org/officeDocument/2006/relationships/hyperlink" Target="https://salesxceleration.com/contact-us/become-a-sales-consultant/advisor-blogs/" TargetMode="External"/><Relationship Id="rId2123" Type="http://schemas.openxmlformats.org/officeDocument/2006/relationships/hyperlink" Target="https://salesxceleration.com/case-study/construction-manufacturing-2/" TargetMode="External"/><Relationship Id="rId3453" Type="http://schemas.openxmlformats.org/officeDocument/2006/relationships/hyperlink" Target="https://salesxceleration.com/surprising-statistics-in-support-of-fractional-sales-leadership-consulting/" TargetMode="External"/><Relationship Id="rId4784" Type="http://schemas.openxmlformats.org/officeDocument/2006/relationships/hyperlink" Target="https://salesxceleration.com/you-can-make-your-professional-dreams-come-true-if-you-have-these-five-fundamentals/" TargetMode="External"/><Relationship Id="rId2124" Type="http://schemas.openxmlformats.org/officeDocument/2006/relationships/hyperlink" Target="https://salesxceleration.com/case-study/construction-manufacturing-2/" TargetMode="External"/><Relationship Id="rId3456" Type="http://schemas.openxmlformats.org/officeDocument/2006/relationships/hyperlink" Target="https://salesxceleration.com/wp-content/uploads/2023/07/Advisor-Class-Press-Release.jpg" TargetMode="External"/><Relationship Id="rId4787" Type="http://schemas.openxmlformats.org/officeDocument/2006/relationships/hyperlink" Target="https://salesxceleration.com/wp-content/uploads/2022/03/Corporate-Travel.jpg" TargetMode="External"/><Relationship Id="rId2125" Type="http://schemas.openxmlformats.org/officeDocument/2006/relationships/hyperlink" Target="https://salesxceleration.com/case-study/construction/" TargetMode="External"/><Relationship Id="rId3455" Type="http://schemas.openxmlformats.org/officeDocument/2006/relationships/hyperlink" Target="https://salesxceleration.com/surprising-statistics-in-support-of-fractional-sales-leadership-consulting/" TargetMode="External"/><Relationship Id="rId4786" Type="http://schemas.openxmlformats.org/officeDocument/2006/relationships/hyperlink" Target="https://salesxceleration.com/you-can-make-your-professional-dreams-come-true-if-you-have-these-five-fundamentals/" TargetMode="External"/><Relationship Id="rId2115" Type="http://schemas.openxmlformats.org/officeDocument/2006/relationships/hyperlink" Target="https://salesxceleration.com/wp-content/uploads/2021/04/Case-Study_Manufacturing_SX_041221-1.jpg" TargetMode="External"/><Relationship Id="rId3447" Type="http://schemas.openxmlformats.org/officeDocument/2006/relationships/hyperlink" Target="https://salesxceleration.com/the-power-of-serving-versus-selling/" TargetMode="External"/><Relationship Id="rId4778" Type="http://schemas.openxmlformats.org/officeDocument/2006/relationships/hyperlink" Target="https://salesxceleration.com/why-sales-leadership-consultants-often-thrive-during-hard-economic-times/" TargetMode="External"/><Relationship Id="rId2116" Type="http://schemas.openxmlformats.org/officeDocument/2006/relationships/hyperlink" Target="https://salesxceleration.com/wp-content/uploads/2021/04/Case-Study_Manufacturing_SX_041221-1.jpg" TargetMode="External"/><Relationship Id="rId3446" Type="http://schemas.openxmlformats.org/officeDocument/2006/relationships/hyperlink" Target="https://salesxceleration.com/wp-content/themes/salesxceleratione/assets/css/style.css?ver=1769123417" TargetMode="External"/><Relationship Id="rId4777" Type="http://schemas.openxmlformats.org/officeDocument/2006/relationships/hyperlink" Target="https://salesxceleration.com/contact-us/become-a-sales-consultant/advisor-blogs/" TargetMode="External"/><Relationship Id="rId2117" Type="http://schemas.openxmlformats.org/officeDocument/2006/relationships/hyperlink" Target="https://salesxceleration.com/wp-content/uploads/2021/02/case-study-sx1-thumb.jpg" TargetMode="External"/><Relationship Id="rId3449" Type="http://schemas.openxmlformats.org/officeDocument/2006/relationships/hyperlink" Target="https://salesxceleration.com/the-power-of-serving-versus-selling/" TargetMode="External"/><Relationship Id="rId2118" Type="http://schemas.openxmlformats.org/officeDocument/2006/relationships/hyperlink" Target="https://salesxceleration.com/wp-content/uploads/2021/02/case-study-sx1-thumb.jpg" TargetMode="External"/><Relationship Id="rId3448" Type="http://schemas.openxmlformats.org/officeDocument/2006/relationships/hyperlink" Target="https://salesxceleration.com/the-power-of-serving-versus-selling/" TargetMode="External"/><Relationship Id="rId4779" Type="http://schemas.openxmlformats.org/officeDocument/2006/relationships/hyperlink" Target="https://salesxceleration.com/home-is-where-the-heart-is-and-where-the-consulting-clients-are/" TargetMode="External"/><Relationship Id="rId2119" Type="http://schemas.openxmlformats.org/officeDocument/2006/relationships/hyperlink" Target="https://salesxceleration.com/case-study/public-relations/" TargetMode="External"/><Relationship Id="rId4770" Type="http://schemas.openxmlformats.org/officeDocument/2006/relationships/hyperlink" Target="https://salesxceleration.com/the-sales-strategy-shift-most-founders-miss/" TargetMode="External"/><Relationship Id="rId3441" Type="http://schemas.openxmlformats.org/officeDocument/2006/relationships/hyperlink" Target="https://salesxceleration.com/sales-xceleration-your-partner-for-sales-success/" TargetMode="External"/><Relationship Id="rId4772" Type="http://schemas.openxmlformats.org/officeDocument/2006/relationships/hyperlink" Target="https://salesxceleration.com/wp-content/uploads/2020/05/Woman-Sales-Leader-Leading-a-Team-scaled-1-2048x2048.jpg" TargetMode="External"/><Relationship Id="rId2110" Type="http://schemas.openxmlformats.org/officeDocument/2006/relationships/hyperlink" Target="https://salesxceleration.com/case-study/driving-sales-efficiency-through-strategic-transformation/" TargetMode="External"/><Relationship Id="rId3440" Type="http://schemas.openxmlformats.org/officeDocument/2006/relationships/hyperlink" Target="https://salesxceleration.com/sales-xceleration-your-partner-for-sales-success/" TargetMode="External"/><Relationship Id="rId4771" Type="http://schemas.openxmlformats.org/officeDocument/2006/relationships/hyperlink" Target="https://salesxceleration.com/the-sales-strategy-shift-most-founders-miss/" TargetMode="External"/><Relationship Id="rId2111" Type="http://schemas.openxmlformats.org/officeDocument/2006/relationships/hyperlink" Target="https://salesxceleration.com/case-study/driving-sales-efficiency-through-strategic-transformation/" TargetMode="External"/><Relationship Id="rId3443" Type="http://schemas.openxmlformats.org/officeDocument/2006/relationships/hyperlink" Target="https://salesxceleration.com/contact-us/" TargetMode="External"/><Relationship Id="rId4774" Type="http://schemas.openxmlformats.org/officeDocument/2006/relationships/hyperlink" Target="https://salesxceleration.com/wp-content/uploads/2017/10/Senior-Advisor-2048x2048.jpg" TargetMode="External"/><Relationship Id="rId2112" Type="http://schemas.openxmlformats.org/officeDocument/2006/relationships/hyperlink" Target="https://salesxceleration.com/case-study/driving-sales-efficiency-through-strategic-transformation/" TargetMode="External"/><Relationship Id="rId3442" Type="http://schemas.openxmlformats.org/officeDocument/2006/relationships/hyperlink" Target="https://salesxceleration.com/schedule-a-consultation/" TargetMode="External"/><Relationship Id="rId4773" Type="http://schemas.openxmlformats.org/officeDocument/2006/relationships/hyperlink" Target="https://salesxceleration.com/wp-content/uploads/2020/05/Woman-Sales-Leader-Leading-a-Team-scaled-1-2048x2048.jpg" TargetMode="External"/><Relationship Id="rId2113" Type="http://schemas.openxmlformats.org/officeDocument/2006/relationships/hyperlink" Target="https://salesxceleration.com/wp-content/uploads/2022/05/thumb-Case-Study_Food-Industry_SX-1.jpg" TargetMode="External"/><Relationship Id="rId3445" Type="http://schemas.openxmlformats.org/officeDocument/2006/relationships/hyperlink" Target="https://salesxceleration.com/wp-content/themes/salesxceleratione/assets/css/style.css?ver=1769123417" TargetMode="External"/><Relationship Id="rId4776" Type="http://schemas.openxmlformats.org/officeDocument/2006/relationships/hyperlink" Target="https://salesxceleration.com/why-sales-leadership-consultants-often-thrive-during-hard-economic-times/" TargetMode="External"/><Relationship Id="rId2114" Type="http://schemas.openxmlformats.org/officeDocument/2006/relationships/hyperlink" Target="https://salesxceleration.com/wp-content/uploads/2022/05/thumb-Case-Study_Food-Industry_SX-1.jpg" TargetMode="External"/><Relationship Id="rId3444" Type="http://schemas.openxmlformats.org/officeDocument/2006/relationships/hyperlink" Target="https://salesxceleration.com/schedule-a-consultation/" TargetMode="External"/><Relationship Id="rId4775" Type="http://schemas.openxmlformats.org/officeDocument/2006/relationships/hyperlink" Target="https://salesxceleration.com/wp-content/uploads/2017/10/Senior-Advisor-2048x2048.jpg" TargetMode="External"/><Relationship Id="rId5251" Type="http://schemas.openxmlformats.org/officeDocument/2006/relationships/hyperlink" Target="https://salesxceleration.com/thinking-of-hiring-a-family-member-for-your-sales-team-think-again/" TargetMode="External"/><Relationship Id="rId6582" Type="http://schemas.openxmlformats.org/officeDocument/2006/relationships/hyperlink" Target="https://salesxceleration.com/wp-content/themes/salesxceleratione/assets/css/style.css?ver=1769123751" TargetMode="External"/><Relationship Id="rId5252" Type="http://schemas.openxmlformats.org/officeDocument/2006/relationships/hyperlink" Target="https://salesxceleration.com/wp-content/uploads/2020/06/Millenials-Getting-Together-with-Friends-scaled-1.jpg" TargetMode="External"/><Relationship Id="rId6583" Type="http://schemas.openxmlformats.org/officeDocument/2006/relationships/hyperlink" Target="https://salesxceleration.com/wp-content/themes/salesxceleratione/assets/css/style.css?ver=1769123751" TargetMode="External"/><Relationship Id="rId6580" Type="http://schemas.openxmlformats.org/officeDocument/2006/relationships/hyperlink" Target="https://salesxceleration.com/wp-content/uploads/2022/08/Remote-Sales-Team-2048x2048.jpg" TargetMode="External"/><Relationship Id="rId5250" Type="http://schemas.openxmlformats.org/officeDocument/2006/relationships/hyperlink" Target="https://salesxceleration.com/thinking-of-hiring-a-family-member-for-your-sales-team-think-again/" TargetMode="External"/><Relationship Id="rId6581" Type="http://schemas.openxmlformats.org/officeDocument/2006/relationships/hyperlink" Target="https://salesxceleration.com/wp-content/uploads/2022/08/Remote-Sales-Team-2048x2048.jpg" TargetMode="External"/><Relationship Id="rId5255" Type="http://schemas.openxmlformats.org/officeDocument/2006/relationships/hyperlink" Target="https://salesxceleration.com/wp-content/uploads/2015/07/Brothers-RS-72-dpi-560-x-225-2048x2048.jpg" TargetMode="External"/><Relationship Id="rId6586" Type="http://schemas.openxmlformats.org/officeDocument/2006/relationships/hyperlink" Target="https://salesxceleration.com/wp-content/uploads/2019/06/shutterstock_387729373-resized.jpg" TargetMode="External"/><Relationship Id="rId5256" Type="http://schemas.openxmlformats.org/officeDocument/2006/relationships/hyperlink" Target="https://salesxceleration.com/wp-content/themes/salesxceleratione/assets/css/style.css?ver=1769123616" TargetMode="External"/><Relationship Id="rId6587" Type="http://schemas.openxmlformats.org/officeDocument/2006/relationships/hyperlink" Target="https://salesxceleration.com/wp-content/uploads/2019/06/shutterstock_387729373-resized.jpg" TargetMode="External"/><Relationship Id="rId5253" Type="http://schemas.openxmlformats.org/officeDocument/2006/relationships/hyperlink" Target="https://salesxceleration.com/wp-content/uploads/2020/06/Millenials-Getting-Together-with-Friends-scaled-1.jpg" TargetMode="External"/><Relationship Id="rId6584" Type="http://schemas.openxmlformats.org/officeDocument/2006/relationships/hyperlink" Target="https://salesxceleration.com/wp-content/themes/salesxceleratione/assets/css/style.css?ver=1769123749" TargetMode="External"/><Relationship Id="rId5254" Type="http://schemas.openxmlformats.org/officeDocument/2006/relationships/hyperlink" Target="https://salesxceleration.com/wp-content/uploads/2015/07/Brothers-RS-72-dpi-560-x-225-2048x2048.jpg" TargetMode="External"/><Relationship Id="rId6585" Type="http://schemas.openxmlformats.org/officeDocument/2006/relationships/hyperlink" Target="https://salesxceleration.com/wp-content/themes/salesxceleratione/assets/css/style.css?ver=1769123749" TargetMode="External"/><Relationship Id="rId5259" Type="http://schemas.openxmlformats.org/officeDocument/2006/relationships/hyperlink" Target="https://salesxceleration.com/wp-content/uploads/2020/04/SX-Buinessmen_meeting_and_planning-scaled-1.jpg" TargetMode="External"/><Relationship Id="rId5257" Type="http://schemas.openxmlformats.org/officeDocument/2006/relationships/hyperlink" Target="https://salesxceleration.com/wp-content/themes/salesxceleratione/assets/css/style.css?ver=1769123616" TargetMode="External"/><Relationship Id="rId6588" Type="http://schemas.openxmlformats.org/officeDocument/2006/relationships/hyperlink" Target="https://salesxceleration.com/wp-content/themes/salesxceleratione/assets/css/style.css?ver=1769123748" TargetMode="External"/><Relationship Id="rId5258" Type="http://schemas.openxmlformats.org/officeDocument/2006/relationships/hyperlink" Target="https://salesxceleration.com/wp-content/uploads/2020/04/SX-Buinessmen_meeting_and_planning-scaled-1.jpg" TargetMode="External"/><Relationship Id="rId6589" Type="http://schemas.openxmlformats.org/officeDocument/2006/relationships/hyperlink" Target="https://salesxceleration.com/wp-content/themes/salesxceleratione/assets/css/style.css?ver=1769123748" TargetMode="External"/><Relationship Id="rId5240" Type="http://schemas.openxmlformats.org/officeDocument/2006/relationships/hyperlink" Target="https://salesxceleration.com/why-most-sales-training-doesnt-work-and-how-to-make-sure-it-does/" TargetMode="External"/><Relationship Id="rId6571" Type="http://schemas.openxmlformats.org/officeDocument/2006/relationships/hyperlink" Target="https://salesxceleration.com/wp-content/uploads/elementor/css/post-18994.css?ver=1768847411" TargetMode="External"/><Relationship Id="rId5241" Type="http://schemas.openxmlformats.org/officeDocument/2006/relationships/hyperlink" Target="https://salesxceleration.com/why-most-sales-training-doesnt-work-and-how-to-make-sure-it-does/" TargetMode="External"/><Relationship Id="rId6572" Type="http://schemas.openxmlformats.org/officeDocument/2006/relationships/hyperlink" Target="https://salesxceleration.com/wp-content/uploads/elementor/css/post-18994.css?ver=1768847411" TargetMode="External"/><Relationship Id="rId6570" Type="http://schemas.openxmlformats.org/officeDocument/2006/relationships/hyperlink" Target="https://salesxceleration.com/wp-content/themes/salesxceleratione/assets/css/style.css?ver=1769123752" TargetMode="External"/><Relationship Id="rId5244" Type="http://schemas.openxmlformats.org/officeDocument/2006/relationships/hyperlink" Target="https://salesxceleration.com/wp-content/uploads/2020/03/Business_CEO_thinking_with_employees_in_the_background.jpg" TargetMode="External"/><Relationship Id="rId6575" Type="http://schemas.openxmlformats.org/officeDocument/2006/relationships/hyperlink" Target="https://salesxceleration.com/wp-content/uploads/2021/05/Virtual-Selling-2048x2048.jpg" TargetMode="External"/><Relationship Id="rId5245" Type="http://schemas.openxmlformats.org/officeDocument/2006/relationships/hyperlink" Target="https://salesxceleration.com/wp-content/uploads/2020/03/Business_CEO_thinking_with_employees_in_the_background.jpg" TargetMode="External"/><Relationship Id="rId6576" Type="http://schemas.openxmlformats.org/officeDocument/2006/relationships/hyperlink" Target="https://salesxceleration.com/wp-content/uploads/2021/05/Virtual-Selling-2048x2048.jpg" TargetMode="External"/><Relationship Id="rId5242" Type="http://schemas.openxmlformats.org/officeDocument/2006/relationships/hyperlink" Target="https://salesxceleration.com/wp-content/uploads/2022/04/Boyle-Dennis-1.jpg" TargetMode="External"/><Relationship Id="rId6573" Type="http://schemas.openxmlformats.org/officeDocument/2006/relationships/hyperlink" Target="https://salesxceleration.com/wp-content/uploads/2021/07/logo-entrepreneur.png" TargetMode="External"/><Relationship Id="rId5243" Type="http://schemas.openxmlformats.org/officeDocument/2006/relationships/hyperlink" Target="https://salesxceleration.com/wp-content/uploads/2022/04/Boyle-Dennis-1.jpg" TargetMode="External"/><Relationship Id="rId6574" Type="http://schemas.openxmlformats.org/officeDocument/2006/relationships/hyperlink" Target="https://salesxceleration.com/wp-content/uploads/2021/07/logo-entrepreneur.png" TargetMode="External"/><Relationship Id="rId5248" Type="http://schemas.openxmlformats.org/officeDocument/2006/relationships/hyperlink" Target="https://salesxceleration.com/why-and-how-it-pays-to-become-a-certified-sales-leader/" TargetMode="External"/><Relationship Id="rId6579" Type="http://schemas.openxmlformats.org/officeDocument/2006/relationships/hyperlink" Target="https://salesxceleration.com/if-youre-not-looking-at-these-3-things-youre-not-optimizing-sales/" TargetMode="External"/><Relationship Id="rId5249" Type="http://schemas.openxmlformats.org/officeDocument/2006/relationships/hyperlink" Target="https://salesxceleration.com/thinking-of-hiring-a-family-member-for-your-sales-team-think-again/" TargetMode="External"/><Relationship Id="rId5246" Type="http://schemas.openxmlformats.org/officeDocument/2006/relationships/hyperlink" Target="https://salesxceleration.com/why-and-how-it-pays-to-become-a-certified-sales-leader/" TargetMode="External"/><Relationship Id="rId6577" Type="http://schemas.openxmlformats.org/officeDocument/2006/relationships/hyperlink" Target="https://salesxceleration.com/if-youre-not-looking-at-these-3-things-youre-not-optimizing-sales/" TargetMode="External"/><Relationship Id="rId5247" Type="http://schemas.openxmlformats.org/officeDocument/2006/relationships/hyperlink" Target="https://salesxceleration.com/why-and-how-it-pays-to-become-a-certified-sales-leader/" TargetMode="External"/><Relationship Id="rId6578" Type="http://schemas.openxmlformats.org/officeDocument/2006/relationships/hyperlink" Target="https://salesxceleration.com/if-youre-not-looking-at-these-3-things-youre-not-optimizing-sales/" TargetMode="External"/><Relationship Id="rId5270" Type="http://schemas.openxmlformats.org/officeDocument/2006/relationships/hyperlink" Target="https://salesxceleration.com/sales-agility-assessment/" TargetMode="External"/><Relationship Id="rId5273" Type="http://schemas.openxmlformats.org/officeDocument/2006/relationships/hyperlink" Target="https://salesxceleration.com/wp-content/uploads/2022/04/Steyn-Daniel-100x100.jpg" TargetMode="External"/><Relationship Id="rId5274" Type="http://schemas.openxmlformats.org/officeDocument/2006/relationships/hyperlink" Target="https://salesxceleration.com/wp-content/themes/salesxceleratione/assets/css/style.css?ver=1769123617" TargetMode="External"/><Relationship Id="rId5271" Type="http://schemas.openxmlformats.org/officeDocument/2006/relationships/hyperlink" Target="https://salesxceleration.com/sales-agility-assessment/?locationid=22577503" TargetMode="External"/><Relationship Id="rId5272" Type="http://schemas.openxmlformats.org/officeDocument/2006/relationships/hyperlink" Target="https://salesxceleration.com/wp-content/uploads/2022/04/Steyn-Daniel-100x100.jpg" TargetMode="External"/><Relationship Id="rId5277" Type="http://schemas.openxmlformats.org/officeDocument/2006/relationships/hyperlink" Target="https://salesxceleration.com/wp-content/uploads/2022/01/Supply-Chain-Logistics.jpg" TargetMode="External"/><Relationship Id="rId5278" Type="http://schemas.openxmlformats.org/officeDocument/2006/relationships/hyperlink" Target="https://salesxceleration.com/wp-content/uploads/2021/05/Small-Business-Owner.jpg" TargetMode="External"/><Relationship Id="rId5275" Type="http://schemas.openxmlformats.org/officeDocument/2006/relationships/hyperlink" Target="https://salesxceleration.com/wp-content/themes/salesxceleratione/assets/css/style.css?ver=1769123617" TargetMode="External"/><Relationship Id="rId5276" Type="http://schemas.openxmlformats.org/officeDocument/2006/relationships/hyperlink" Target="https://salesxceleration.com/wp-content/uploads/2022/01/Supply-Chain-Logistics.jpg" TargetMode="External"/><Relationship Id="rId5279" Type="http://schemas.openxmlformats.org/officeDocument/2006/relationships/hyperlink" Target="https://salesxceleration.com/wp-content/uploads/2021/05/Small-Business-Owner.jpg" TargetMode="External"/><Relationship Id="rId6590" Type="http://schemas.openxmlformats.org/officeDocument/2006/relationships/hyperlink" Target="https://salesxceleration.com/wp-content/uploads/2020/02/leap-day-2048x2048.jpg" TargetMode="External"/><Relationship Id="rId5262" Type="http://schemas.openxmlformats.org/officeDocument/2006/relationships/hyperlink" Target="https://salesxceleration.com/author/dboyle/" TargetMode="External"/><Relationship Id="rId6593" Type="http://schemas.openxmlformats.org/officeDocument/2006/relationships/hyperlink" Target="https://salesxceleration.com/wp-content/uploads/2020/02/certified-sales-professional-2048x2048.jpg" TargetMode="External"/><Relationship Id="rId5263" Type="http://schemas.openxmlformats.org/officeDocument/2006/relationships/hyperlink" Target="https://salesxceleration.com/sales-agility-assessment/?locationid=22577467" TargetMode="External"/><Relationship Id="rId6594" Type="http://schemas.openxmlformats.org/officeDocument/2006/relationships/hyperlink" Target="https://salesxceleration.com/is-this-the-year-to-take-the-leap-of-faith/" TargetMode="External"/><Relationship Id="rId5260" Type="http://schemas.openxmlformats.org/officeDocument/2006/relationships/hyperlink" Target="https://salesxceleration.com/author/dboyle/" TargetMode="External"/><Relationship Id="rId6591" Type="http://schemas.openxmlformats.org/officeDocument/2006/relationships/hyperlink" Target="https://salesxceleration.com/wp-content/uploads/2020/02/leap-day-2048x2048.jpg" TargetMode="External"/><Relationship Id="rId5261" Type="http://schemas.openxmlformats.org/officeDocument/2006/relationships/hyperlink" Target="https://salesxceleration.com/author/dboyle/" TargetMode="External"/><Relationship Id="rId6592" Type="http://schemas.openxmlformats.org/officeDocument/2006/relationships/hyperlink" Target="https://salesxceleration.com/wp-content/uploads/2020/02/certified-sales-professional-2048x2048.jpg" TargetMode="External"/><Relationship Id="rId5266" Type="http://schemas.openxmlformats.org/officeDocument/2006/relationships/hyperlink" Target="https://salesxceleration.com/author/dsteyn/" TargetMode="External"/><Relationship Id="rId6597" Type="http://schemas.openxmlformats.org/officeDocument/2006/relationships/hyperlink" Target="https://salesxceleration.com/wp-content/themes/salesxceleratione/assets/css/style.css?ver=1769123747" TargetMode="External"/><Relationship Id="rId5267" Type="http://schemas.openxmlformats.org/officeDocument/2006/relationships/hyperlink" Target="https://salesxceleration.com/author/dsteyn/" TargetMode="External"/><Relationship Id="rId6598" Type="http://schemas.openxmlformats.org/officeDocument/2006/relationships/hyperlink" Target="https://salesxceleration.com/wp-content/themes/salesxceleratione/assets/css/style.css?ver=1769123747" TargetMode="External"/><Relationship Id="rId5264" Type="http://schemas.openxmlformats.org/officeDocument/2006/relationships/hyperlink" Target="https://salesxceleration.com/sales-agility-assessment/" TargetMode="External"/><Relationship Id="rId6595" Type="http://schemas.openxmlformats.org/officeDocument/2006/relationships/hyperlink" Target="https://salesxceleration.com/is-this-the-year-to-take-the-leap-of-faith/" TargetMode="External"/><Relationship Id="rId5265" Type="http://schemas.openxmlformats.org/officeDocument/2006/relationships/hyperlink" Target="https://salesxceleration.com/sales-agility-assessment/?locationid=22577467" TargetMode="External"/><Relationship Id="rId6596" Type="http://schemas.openxmlformats.org/officeDocument/2006/relationships/hyperlink" Target="https://salesxceleration.com/is-this-the-year-to-take-the-leap-of-faith/" TargetMode="External"/><Relationship Id="rId5268" Type="http://schemas.openxmlformats.org/officeDocument/2006/relationships/hyperlink" Target="https://salesxceleration.com/author/dsteyn/" TargetMode="External"/><Relationship Id="rId6599" Type="http://schemas.openxmlformats.org/officeDocument/2006/relationships/hyperlink" Target="https://salesxceleration.com/wp-content/uploads/2018/11/shutterstock_145160692-scaled.jpg" TargetMode="External"/><Relationship Id="rId5269" Type="http://schemas.openxmlformats.org/officeDocument/2006/relationships/hyperlink" Target="https://salesxceleration.com/sales-agility-assessment/?locationid=22577503" TargetMode="External"/><Relationship Id="rId5219" Type="http://schemas.openxmlformats.org/officeDocument/2006/relationships/hyperlink" Target="https://salesxceleration.com/maximizing-productivity-at-every-level-an-introduction-to-level-10-sales-meetings/" TargetMode="External"/><Relationship Id="rId5217" Type="http://schemas.openxmlformats.org/officeDocument/2006/relationships/hyperlink" Target="https://salesxceleration.com/wp-content/themes/salesxceleratione/assets/css/style.css?ver=1769123615" TargetMode="External"/><Relationship Id="rId6548" Type="http://schemas.openxmlformats.org/officeDocument/2006/relationships/hyperlink" Target="https://salesxceleration.com/importance-sales-team-accountability/" TargetMode="External"/><Relationship Id="rId5218" Type="http://schemas.openxmlformats.org/officeDocument/2006/relationships/hyperlink" Target="https://salesxceleration.com/wp-content/themes/salesxceleratione/assets/css/style.css?ver=1769123615" TargetMode="External"/><Relationship Id="rId6549" Type="http://schemas.openxmlformats.org/officeDocument/2006/relationships/hyperlink" Target="https://salesxceleration.com/wp-content/uploads/2020/12/Sales-Team-Building-a-Plan-scaled-1.jpg" TargetMode="External"/><Relationship Id="rId392" Type="http://schemas.openxmlformats.org/officeDocument/2006/relationships/hyperlink" Target="https://salesxceleration.com/wp-content/uploads/elementor/google-fonts/css/roboto.css?ver=1744026360" TargetMode="External"/><Relationship Id="rId391" Type="http://schemas.openxmlformats.org/officeDocument/2006/relationships/hyperlink" Target="https://salesxceleration.com/wp-content/uploads/elementor/google-fonts/css/roboto.css?ver=1744026360" TargetMode="External"/><Relationship Id="rId390" Type="http://schemas.openxmlformats.org/officeDocument/2006/relationships/hyperlink" Target="https://salesxceleration.com/improving-your-sales-recruitment-and-hiring-process/" TargetMode="External"/><Relationship Id="rId385" Type="http://schemas.openxmlformats.org/officeDocument/2006/relationships/hyperlink" Target="https://salesxceleration.com/sales-forecasting-the-future-how-ai-turns-sales-strategy-from-guesswork-into-growth/" TargetMode="External"/><Relationship Id="rId5211" Type="http://schemas.openxmlformats.org/officeDocument/2006/relationships/hyperlink" Target="https://salesxceleration.com/why-a-crm-is-essential-for-successful-sales-a-representatives-perspective/" TargetMode="External"/><Relationship Id="rId6542" Type="http://schemas.openxmlformats.org/officeDocument/2006/relationships/hyperlink" Target="https://salesxceleration.com/wp-content/themes/salesxceleratione/assets/css/style.css?ver=1769123767" TargetMode="External"/><Relationship Id="rId384" Type="http://schemas.openxmlformats.org/officeDocument/2006/relationships/hyperlink" Target="https://salesxceleration.com/category/sales-recruiting/" TargetMode="External"/><Relationship Id="rId5212" Type="http://schemas.openxmlformats.org/officeDocument/2006/relationships/hyperlink" Target="https://salesxceleration.com/why-a-crm-is-essential-for-successful-sales-a-representatives-perspective/" TargetMode="External"/><Relationship Id="rId6543" Type="http://schemas.openxmlformats.org/officeDocument/2006/relationships/hyperlink" Target="https://salesxceleration.com/effective-sales-training-in-focus-how-training-creates-a-competitive-advantage/" TargetMode="External"/><Relationship Id="rId383" Type="http://schemas.openxmlformats.org/officeDocument/2006/relationships/hyperlink" Target="https://salesxceleration.com/category/sales-recruiting/page/2/" TargetMode="External"/><Relationship Id="rId6540" Type="http://schemas.openxmlformats.org/officeDocument/2006/relationships/hyperlink" Target="https://salesxceleration.com/wp-content/uploads/2021/01/working-at-desk-e1608576587284-1024x543-1.jpg" TargetMode="External"/><Relationship Id="rId382" Type="http://schemas.openxmlformats.org/officeDocument/2006/relationships/hyperlink" Target="https://salesxceleration.com/category/sales-recruiting/" TargetMode="External"/><Relationship Id="rId5210" Type="http://schemas.openxmlformats.org/officeDocument/2006/relationships/hyperlink" Target="https://salesxceleration.com/why-a-crm-is-essential-for-successful-sales-a-representatives-perspective/" TargetMode="External"/><Relationship Id="rId6541" Type="http://schemas.openxmlformats.org/officeDocument/2006/relationships/hyperlink" Target="https://salesxceleration.com/wp-content/themes/salesxceleratione/assets/css/style.css?ver=1769123767" TargetMode="External"/><Relationship Id="rId389" Type="http://schemas.openxmlformats.org/officeDocument/2006/relationships/hyperlink" Target="https://salesxceleration.com/improving-your-sales-recruitment-and-hiring-process/" TargetMode="External"/><Relationship Id="rId5215" Type="http://schemas.openxmlformats.org/officeDocument/2006/relationships/hyperlink" Target="https://salesxceleration.com/wp-content/themes/salesxceleratione/assets/css/style.css?ver=1769123614" TargetMode="External"/><Relationship Id="rId6546" Type="http://schemas.openxmlformats.org/officeDocument/2006/relationships/hyperlink" Target="https://salesxceleration.com/importance-sales-team-accountability/" TargetMode="External"/><Relationship Id="rId388" Type="http://schemas.openxmlformats.org/officeDocument/2006/relationships/hyperlink" Target="https://salesxceleration.com/improving-your-sales-recruitment-and-hiring-process/" TargetMode="External"/><Relationship Id="rId5216" Type="http://schemas.openxmlformats.org/officeDocument/2006/relationships/hyperlink" Target="https://salesxceleration.com/wp-content/themes/salesxceleratione/assets/css/style.css?ver=1769123614" TargetMode="External"/><Relationship Id="rId6547" Type="http://schemas.openxmlformats.org/officeDocument/2006/relationships/hyperlink" Target="https://salesxceleration.com/importance-sales-team-accountability/" TargetMode="External"/><Relationship Id="rId387" Type="http://schemas.openxmlformats.org/officeDocument/2006/relationships/hyperlink" Target="https://salesxceleration.com/sales-forecasting-the-future-how-ai-turns-sales-strategy-from-guesswork-into-growth/" TargetMode="External"/><Relationship Id="rId5213" Type="http://schemas.openxmlformats.org/officeDocument/2006/relationships/hyperlink" Target="https://salesxceleration.com/wp-content/uploads/2020/04/SX-Buinessmen_meeting_and_planning-scaled-1-2048x2048.jpg" TargetMode="External"/><Relationship Id="rId6544" Type="http://schemas.openxmlformats.org/officeDocument/2006/relationships/hyperlink" Target="https://salesxceleration.com/effective-sales-training-in-focus-how-training-creates-a-competitive-advantage/" TargetMode="External"/><Relationship Id="rId386" Type="http://schemas.openxmlformats.org/officeDocument/2006/relationships/hyperlink" Target="https://salesxceleration.com/sales-forecasting-the-future-how-ai-turns-sales-strategy-from-guesswork-into-growth/" TargetMode="External"/><Relationship Id="rId5214" Type="http://schemas.openxmlformats.org/officeDocument/2006/relationships/hyperlink" Target="https://salesxceleration.com/wp-content/uploads/2020/04/SX-Buinessmen_meeting_and_planning-scaled-1-2048x2048.jpg" TargetMode="External"/><Relationship Id="rId6545" Type="http://schemas.openxmlformats.org/officeDocument/2006/relationships/hyperlink" Target="https://salesxceleration.com/effective-sales-training-in-focus-how-training-creates-a-competitive-advantage/" TargetMode="External"/><Relationship Id="rId5208" Type="http://schemas.openxmlformats.org/officeDocument/2006/relationships/hyperlink" Target="https://salesxceleration.com/wp-content/uploads/2022/04/Cocca-Chris-1-100x100.jpg" TargetMode="External"/><Relationship Id="rId6539" Type="http://schemas.openxmlformats.org/officeDocument/2006/relationships/hyperlink" Target="https://salesxceleration.com/wp-content/uploads/2021/01/working-at-desk-e1608576587284-1024x543-1.jpg" TargetMode="External"/><Relationship Id="rId5209" Type="http://schemas.openxmlformats.org/officeDocument/2006/relationships/hyperlink" Target="https://salesxceleration.com/wp-content/uploads/2022/04/Cocca-Chris-1-100x100.jpg" TargetMode="External"/><Relationship Id="rId5206" Type="http://schemas.openxmlformats.org/officeDocument/2006/relationships/hyperlink" Target="https://salesxceleration.com/wp-content/uploads/2020/04/Businessman_virtually_evaluating_business_sales_processes-scaled-e1585932608979.jpg" TargetMode="External"/><Relationship Id="rId6537" Type="http://schemas.openxmlformats.org/officeDocument/2006/relationships/hyperlink" Target="https://salesxceleration.com/?download=29203" TargetMode="External"/><Relationship Id="rId5207" Type="http://schemas.openxmlformats.org/officeDocument/2006/relationships/hyperlink" Target="https://salesxceleration.com/wp-content/uploads/2020/04/Businessman_virtually_evaluating_business_sales_processes-scaled-e1585932608979.jpg" TargetMode="External"/><Relationship Id="rId6538" Type="http://schemas.openxmlformats.org/officeDocument/2006/relationships/hyperlink" Target="https://salesxceleration.com/infographics/5-tips-to-boost-sales-performance/" TargetMode="External"/><Relationship Id="rId381" Type="http://schemas.openxmlformats.org/officeDocument/2006/relationships/hyperlink" Target="https://salesxceleration.com/category/sales-recruiting/" TargetMode="External"/><Relationship Id="rId380" Type="http://schemas.openxmlformats.org/officeDocument/2006/relationships/hyperlink" Target="https://salesxceleration.com/wp-content/plugins/powerpack-elements/assets/css/min/elementor-grid.min.css?ver=2.12.15" TargetMode="External"/><Relationship Id="rId379" Type="http://schemas.openxmlformats.org/officeDocument/2006/relationships/hyperlink" Target="https://salesxceleration.com/wp-content/plugins/powerpack-elements/assets/css/min/elementor-grid.min.css?ver=2.12.15" TargetMode="External"/><Relationship Id="rId374" Type="http://schemas.openxmlformats.org/officeDocument/2006/relationships/hyperlink" Target="https://salesxceleration.com/category/hiring-onboarding/" TargetMode="External"/><Relationship Id="rId5200" Type="http://schemas.openxmlformats.org/officeDocument/2006/relationships/hyperlink" Target="https://salesxceleration.com/wp-content/uploads/2020/09/cs-distrib-full-1-768x439.jpg" TargetMode="External"/><Relationship Id="rId6531" Type="http://schemas.openxmlformats.org/officeDocument/2006/relationships/hyperlink" Target="https://salesxceleration.com/wp-content/uploads/2023/12/Boosting-Sales-Performance.jpg" TargetMode="External"/><Relationship Id="rId373" Type="http://schemas.openxmlformats.org/officeDocument/2006/relationships/hyperlink" Target="https://salesxceleration.com/category/hiring-onboarding/" TargetMode="External"/><Relationship Id="rId5201" Type="http://schemas.openxmlformats.org/officeDocument/2006/relationships/hyperlink" Target="https://salesxceleration.com/7-things-sales-managers-do-wrong/" TargetMode="External"/><Relationship Id="rId6532" Type="http://schemas.openxmlformats.org/officeDocument/2006/relationships/hyperlink" Target="https://salesxceleration.com/wp-content/uploads/2023/12/Boosting-Sales-Performance.jpg" TargetMode="External"/><Relationship Id="rId372" Type="http://schemas.openxmlformats.org/officeDocument/2006/relationships/hyperlink" Target="https://salesxceleration.com/wp-content/uploads/2025/12/Sales-Team-Meeting-1024x358.jpg" TargetMode="External"/><Relationship Id="rId371" Type="http://schemas.openxmlformats.org/officeDocument/2006/relationships/hyperlink" Target="https://salesxceleration.com/wp-content/uploads/2025/12/Sales-Team-Meeting-1024x358.jpg" TargetMode="External"/><Relationship Id="rId6530" Type="http://schemas.openxmlformats.org/officeDocument/2006/relationships/hyperlink" Target="https://salesxceleration.com/more-about-halftime-finding-your-purpose-as-you-prepare-for-a-second-half-of-significance/" TargetMode="External"/><Relationship Id="rId378" Type="http://schemas.openxmlformats.org/officeDocument/2006/relationships/hyperlink" Target="https://salesxceleration.com/wp-content/uploads/2025/12/adasdaadada.jpg" TargetMode="External"/><Relationship Id="rId5204" Type="http://schemas.openxmlformats.org/officeDocument/2006/relationships/hyperlink" Target="https://salesxceleration.com/wp-content/uploads/2023/03/Measuring-Sales-Rep-Success-300x300.jpg" TargetMode="External"/><Relationship Id="rId6535" Type="http://schemas.openxmlformats.org/officeDocument/2006/relationships/hyperlink" Target="https://salesxceleration.com/infographics/sales-strategy-checklist/" TargetMode="External"/><Relationship Id="rId377" Type="http://schemas.openxmlformats.org/officeDocument/2006/relationships/hyperlink" Target="https://salesxceleration.com/wp-content/uploads/2025/12/adasdaadada.jpg" TargetMode="External"/><Relationship Id="rId5205" Type="http://schemas.openxmlformats.org/officeDocument/2006/relationships/hyperlink" Target="https://salesxceleration.com/wp-content/uploads/2023/03/Measuring-Sales-Rep-Success-300x300.jpg" TargetMode="External"/><Relationship Id="rId6536" Type="http://schemas.openxmlformats.org/officeDocument/2006/relationships/hyperlink" Target="https://salesxceleration.com/infographics/5-tips-to-boost-sales-performance/" TargetMode="External"/><Relationship Id="rId376" Type="http://schemas.openxmlformats.org/officeDocument/2006/relationships/hyperlink" Target="https://salesxceleration.com/category/hiring-onboarding/" TargetMode="External"/><Relationship Id="rId5202" Type="http://schemas.openxmlformats.org/officeDocument/2006/relationships/hyperlink" Target="https://salesxceleration.com/7-things-sales-managers-do-wrong/" TargetMode="External"/><Relationship Id="rId6533" Type="http://schemas.openxmlformats.org/officeDocument/2006/relationships/hyperlink" Target="https://salesxceleration.com/infographics/sales-strategy-checklist/" TargetMode="External"/><Relationship Id="rId375" Type="http://schemas.openxmlformats.org/officeDocument/2006/relationships/hyperlink" Target="https://salesxceleration.com/category/hiring-onboarding/page/2/" TargetMode="External"/><Relationship Id="rId5203" Type="http://schemas.openxmlformats.org/officeDocument/2006/relationships/hyperlink" Target="https://salesxceleration.com/7-things-sales-managers-do-wrong/" TargetMode="External"/><Relationship Id="rId6534" Type="http://schemas.openxmlformats.org/officeDocument/2006/relationships/hyperlink" Target="https://salesxceleration.com/?download=27890" TargetMode="External"/><Relationship Id="rId5239" Type="http://schemas.openxmlformats.org/officeDocument/2006/relationships/hyperlink" Target="https://salesxceleration.com/why-most-sales-training-doesnt-work-and-how-to-make-sure-it-does/" TargetMode="External"/><Relationship Id="rId6560" Type="http://schemas.openxmlformats.org/officeDocument/2006/relationships/hyperlink" Target="https://salesxceleration.com/wp-content/uploads/2020/01/Motivation_Essentials.pdf" TargetMode="External"/><Relationship Id="rId5230" Type="http://schemas.openxmlformats.org/officeDocument/2006/relationships/hyperlink" Target="https://salesxceleration.com/wp-content/uploads/2020/04/Sales-Candidate-Interview-sm.jpg" TargetMode="External"/><Relationship Id="rId6561" Type="http://schemas.openxmlformats.org/officeDocument/2006/relationships/hyperlink" Target="https://salesxceleration.com/wp-content/themes/salesxceleratione/assets/css/style.css?ver=1769123763" TargetMode="External"/><Relationship Id="rId5233" Type="http://schemas.openxmlformats.org/officeDocument/2006/relationships/hyperlink" Target="https://salesxceleration.com/sales-leadership-training/)" TargetMode="External"/><Relationship Id="rId6564" Type="http://schemas.openxmlformats.org/officeDocument/2006/relationships/hyperlink" Target="https://salesxceleration.com/wp-content/uploads/2019/10/https___specials-images.forbesimg.com_dam_imageserve_690357502_960x0.jpg" TargetMode="External"/><Relationship Id="rId5234" Type="http://schemas.openxmlformats.org/officeDocument/2006/relationships/hyperlink" Target="https://salesxceleration.com/sales-agility-assessment/?locationid=22577475" TargetMode="External"/><Relationship Id="rId6565" Type="http://schemas.openxmlformats.org/officeDocument/2006/relationships/hyperlink" Target="https://salesxceleration.com/wp-content/themes/salesxceleratione/assets/css/style.css?ver=1769123755" TargetMode="External"/><Relationship Id="rId5231" Type="http://schemas.openxmlformats.org/officeDocument/2006/relationships/hyperlink" Target="https://salesxceleration.com/sales-leadership-training/)" TargetMode="External"/><Relationship Id="rId6562" Type="http://schemas.openxmlformats.org/officeDocument/2006/relationships/hyperlink" Target="https://salesxceleration.com/wp-content/themes/salesxceleratione/assets/css/style.css?ver=1769123763" TargetMode="External"/><Relationship Id="rId5232" Type="http://schemas.openxmlformats.org/officeDocument/2006/relationships/hyperlink" Target="https://salesxceleration.com/sales-leadership-training/" TargetMode="External"/><Relationship Id="rId6563" Type="http://schemas.openxmlformats.org/officeDocument/2006/relationships/hyperlink" Target="https://salesxceleration.com/wp-content/uploads/2019/10/https___specials-images.forbesimg.com_dam_imageserve_690357502_960x0.jpg" TargetMode="External"/><Relationship Id="rId5237" Type="http://schemas.openxmlformats.org/officeDocument/2006/relationships/hyperlink" Target="https://salesxceleration.com/wp-content/uploads/2020/04/Businessman-leading-training-session-scaled-1.jpg" TargetMode="External"/><Relationship Id="rId6568" Type="http://schemas.openxmlformats.org/officeDocument/2006/relationships/hyperlink" Target="https://salesxceleration.com/wp-content/uploads/2021/07/Exit-Strategy-scaled-1.jpg" TargetMode="External"/><Relationship Id="rId5238" Type="http://schemas.openxmlformats.org/officeDocument/2006/relationships/hyperlink" Target="https://salesxceleration.com/wp-content/uploads/2020/04/Businessman-leading-training-session-scaled-1.jpg" TargetMode="External"/><Relationship Id="rId6569" Type="http://schemas.openxmlformats.org/officeDocument/2006/relationships/hyperlink" Target="https://salesxceleration.com/wp-content/themes/salesxceleratione/assets/css/style.css?ver=1769123752" TargetMode="External"/><Relationship Id="rId5235" Type="http://schemas.openxmlformats.org/officeDocument/2006/relationships/hyperlink" Target="https://salesxceleration.com/sales-agility-assessment/" TargetMode="External"/><Relationship Id="rId6566" Type="http://schemas.openxmlformats.org/officeDocument/2006/relationships/hyperlink" Target="https://salesxceleration.com/wp-content/themes/salesxceleratione/assets/css/style.css?ver=1769123755" TargetMode="External"/><Relationship Id="rId5236" Type="http://schemas.openxmlformats.org/officeDocument/2006/relationships/hyperlink" Target="https://salesxceleration.com/sales-agility-assessment/?locationid=22577475" TargetMode="External"/><Relationship Id="rId6567" Type="http://schemas.openxmlformats.org/officeDocument/2006/relationships/hyperlink" Target="https://salesxceleration.com/wp-content/uploads/2021/07/Exit-Strategy-scaled-1.jpg" TargetMode="External"/><Relationship Id="rId5228" Type="http://schemas.openxmlformats.org/officeDocument/2006/relationships/hyperlink" Target="https://salesxceleration.com/author/ccocca/" TargetMode="External"/><Relationship Id="rId6559" Type="http://schemas.openxmlformats.org/officeDocument/2006/relationships/hyperlink" Target="https://salesxceleration.com/wp-content/uploads/2020/01/Motivation_Essentials.pdf" TargetMode="External"/><Relationship Id="rId5229" Type="http://schemas.openxmlformats.org/officeDocument/2006/relationships/hyperlink" Target="https://salesxceleration.com/wp-content/uploads/2020/04/Sales-Candidate-Interview-sm.jpg" TargetMode="External"/><Relationship Id="rId6550" Type="http://schemas.openxmlformats.org/officeDocument/2006/relationships/hyperlink" Target="https://salesxceleration.com/wp-content/uploads/2020/12/Sales-Team-Building-a-Plan-scaled-1.jpg" TargetMode="External"/><Relationship Id="rId396" Type="http://schemas.openxmlformats.org/officeDocument/2006/relationships/hyperlink" Target="https://salesxceleration.com/your-most-valuable-resource-the-right-people-in-the-right-positions/" TargetMode="External"/><Relationship Id="rId5222" Type="http://schemas.openxmlformats.org/officeDocument/2006/relationships/hyperlink" Target="https://salesxceleration.com/wp-content/uploads/2020/05/Frustrated-salesperson-scaled-1.jpg" TargetMode="External"/><Relationship Id="rId6553" Type="http://schemas.openxmlformats.org/officeDocument/2006/relationships/hyperlink" Target="https://salesxceleration.com/wp-content/themes/salesxceleratione/assets/css/style.css?ver=1769123765" TargetMode="External"/><Relationship Id="rId395" Type="http://schemas.openxmlformats.org/officeDocument/2006/relationships/hyperlink" Target="https://salesxceleration.com/your-most-valuable-resource-the-right-people-in-the-right-positions/" TargetMode="External"/><Relationship Id="rId5223" Type="http://schemas.openxmlformats.org/officeDocument/2006/relationships/hyperlink" Target="https://salesxceleration.com/wp-content/uploads/2020/05/Frustrated-salesperson-scaled-1.jpg" TargetMode="External"/><Relationship Id="rId6554" Type="http://schemas.openxmlformats.org/officeDocument/2006/relationships/hyperlink" Target="https://salesxceleration.com/wp-content/themes/salesxceleratione/assets/css/style.css?ver=1769123765" TargetMode="External"/><Relationship Id="rId394" Type="http://schemas.openxmlformats.org/officeDocument/2006/relationships/hyperlink" Target="https://salesxceleration.com/wp-content/uploads/2026/01/SAO-YT-Thumbnail-Donald-Miller-1024x576.jpg" TargetMode="External"/><Relationship Id="rId5220" Type="http://schemas.openxmlformats.org/officeDocument/2006/relationships/hyperlink" Target="https://salesxceleration.com/maximizing-productivity-at-every-level-an-introduction-to-level-10-sales-meetings/" TargetMode="External"/><Relationship Id="rId6551" Type="http://schemas.openxmlformats.org/officeDocument/2006/relationships/hyperlink" Target="https://salesxceleration.com/wp-content/uploads/2020/11/sales-pipeline.jpg" TargetMode="External"/><Relationship Id="rId393" Type="http://schemas.openxmlformats.org/officeDocument/2006/relationships/hyperlink" Target="https://salesxceleration.com/wp-content/uploads/2026/01/SAO-YT-Thumbnail-Donald-Miller-1024x576.jpg" TargetMode="External"/><Relationship Id="rId5221" Type="http://schemas.openxmlformats.org/officeDocument/2006/relationships/hyperlink" Target="https://salesxceleration.com/maximizing-productivity-at-every-level-an-introduction-to-level-10-sales-meetings/" TargetMode="External"/><Relationship Id="rId6552" Type="http://schemas.openxmlformats.org/officeDocument/2006/relationships/hyperlink" Target="https://salesxceleration.com/wp-content/uploads/2020/11/sales-pipeline.jpg" TargetMode="External"/><Relationship Id="rId5226" Type="http://schemas.openxmlformats.org/officeDocument/2006/relationships/hyperlink" Target="https://salesxceleration.com/author/ccocca/" TargetMode="External"/><Relationship Id="rId6557" Type="http://schemas.openxmlformats.org/officeDocument/2006/relationships/hyperlink" Target="https://salesxceleration.com/wp-content/uploads/2020/01/sales-team-small.jpg" TargetMode="External"/><Relationship Id="rId399" Type="http://schemas.openxmlformats.org/officeDocument/2006/relationships/hyperlink" Target="https://salesxceleration.com/wp-content/uploads/elementor/css/post-7.css?ver=1768846382" TargetMode="External"/><Relationship Id="rId5227" Type="http://schemas.openxmlformats.org/officeDocument/2006/relationships/hyperlink" Target="https://salesxceleration.com/author/ccocca/" TargetMode="External"/><Relationship Id="rId6558" Type="http://schemas.openxmlformats.org/officeDocument/2006/relationships/hyperlink" Target="https://salesxceleration.com/wp-content/uploads/2020/01/sales-team-small.jpg" TargetMode="External"/><Relationship Id="rId398" Type="http://schemas.openxmlformats.org/officeDocument/2006/relationships/hyperlink" Target="https://salesxceleration.com/wp-content/uploads/elementor/css/post-7.css?ver=1768846382" TargetMode="External"/><Relationship Id="rId5224" Type="http://schemas.openxmlformats.org/officeDocument/2006/relationships/hyperlink" Target="https://salesxceleration.com/wp-content/uploads/2020/03/Strategies_for_Seasonality-scaled-1.jpg" TargetMode="External"/><Relationship Id="rId6555" Type="http://schemas.openxmlformats.org/officeDocument/2006/relationships/hyperlink" Target="https://salesxceleration.com/wp-content/uploads/2020/11/sales-team.jpg" TargetMode="External"/><Relationship Id="rId397" Type="http://schemas.openxmlformats.org/officeDocument/2006/relationships/hyperlink" Target="https://salesxceleration.com/your-most-valuable-resource-the-right-people-in-the-right-positions/" TargetMode="External"/><Relationship Id="rId5225" Type="http://schemas.openxmlformats.org/officeDocument/2006/relationships/hyperlink" Target="https://salesxceleration.com/wp-content/uploads/2020/03/Strategies_for_Seasonality-scaled-1.jpg" TargetMode="External"/><Relationship Id="rId6556" Type="http://schemas.openxmlformats.org/officeDocument/2006/relationships/hyperlink" Target="https://salesxceleration.com/wp-content/uploads/2020/11/sales-team.jpg" TargetMode="External"/><Relationship Id="rId1730" Type="http://schemas.openxmlformats.org/officeDocument/2006/relationships/hyperlink" Target="https://salesxceleration.com/technology/" TargetMode="External"/><Relationship Id="rId1731" Type="http://schemas.openxmlformats.org/officeDocument/2006/relationships/hyperlink" Target="https://salesxceleration.com/case-study/technology/" TargetMode="External"/><Relationship Id="rId1732" Type="http://schemas.openxmlformats.org/officeDocument/2006/relationships/hyperlink" Target="https://salesxceleration.com/technology/" TargetMode="External"/><Relationship Id="rId1733" Type="http://schemas.openxmlformats.org/officeDocument/2006/relationships/hyperlink" Target="https://salesxceleration.com/wp-content/uploads/elementor/css/post-70745.css?ver=1768857128" TargetMode="External"/><Relationship Id="rId1734" Type="http://schemas.openxmlformats.org/officeDocument/2006/relationships/hyperlink" Target="https://salesxceleration.com/wp-content/uploads/elementor/css/post-70745.css?ver=1768857128" TargetMode="External"/><Relationship Id="rId1735" Type="http://schemas.openxmlformats.org/officeDocument/2006/relationships/hyperlink" Target="https://salesxceleration.com/books/how-to-recruit-hire-and-onboard-top-sales-performers/" TargetMode="External"/><Relationship Id="rId1736" Type="http://schemas.openxmlformats.org/officeDocument/2006/relationships/hyperlink" Target="https://salesxceleration.com/books/how-to-recruit-hire-and-onboard-top-sales-performers/" TargetMode="External"/><Relationship Id="rId1737" Type="http://schemas.openxmlformats.org/officeDocument/2006/relationships/hyperlink" Target="https://salesxceleration.com/books/how-to-recruit-hire-and-onboard-top-sales-performers/" TargetMode="External"/><Relationship Id="rId1738" Type="http://schemas.openxmlformats.org/officeDocument/2006/relationships/hyperlink" Target="https://salesxceleration.com/wp-content/uploads/2025/10/manufacturing-case-study.jpg" TargetMode="External"/><Relationship Id="rId1739" Type="http://schemas.openxmlformats.org/officeDocument/2006/relationships/hyperlink" Target="https://salesxceleration.com/wp-content/uploads/2025/10/manufacturing-case-study.jpg" TargetMode="External"/><Relationship Id="rId1720" Type="http://schemas.openxmlformats.org/officeDocument/2006/relationships/hyperlink" Target="https://salesxceleration.com/books/how-to-build-a-highly-efficient-sales-structure/" TargetMode="External"/><Relationship Id="rId1721" Type="http://schemas.openxmlformats.org/officeDocument/2006/relationships/hyperlink" Target="https://salesxceleration.com/wp-content/uploads/2019/05/2019-05-28_152123-2.jpg" TargetMode="External"/><Relationship Id="rId1722" Type="http://schemas.openxmlformats.org/officeDocument/2006/relationships/hyperlink" Target="https://salesxceleration.com/wp-content/uploads/2019/05/2019-05-28_152123-2.jpg" TargetMode="External"/><Relationship Id="rId1723" Type="http://schemas.openxmlformats.org/officeDocument/2006/relationships/hyperlink" Target="https://salesxceleration.com/wp-content/themes/salesxceleratione/assets/css/style.css?ver=1769123325" TargetMode="External"/><Relationship Id="rId1724" Type="http://schemas.openxmlformats.org/officeDocument/2006/relationships/hyperlink" Target="https://salesxceleration.com/wp-content/themes/salesxceleratione/assets/css/style.css?ver=1769123325" TargetMode="External"/><Relationship Id="rId1725" Type="http://schemas.openxmlformats.org/officeDocument/2006/relationships/hyperlink" Target="https://salesxceleration.com/wp-content/uploads/2024/12/From-Stagnant-Growth-to-Doubling-Revenue_Sales-Xceleration-807x1024.jpg" TargetMode="External"/><Relationship Id="rId1726" Type="http://schemas.openxmlformats.org/officeDocument/2006/relationships/hyperlink" Target="https://salesxceleration.com/wp-content/uploads/2024/12/From-Stagnant-Growth-to-Doubling-Revenue_Sales-Xceleration-807x1024.jpg" TargetMode="External"/><Relationship Id="rId1727" Type="http://schemas.openxmlformats.org/officeDocument/2006/relationships/hyperlink" Target="https://salesxceleration.com/books/how-a-sales-consultant-made-an-immediate-impact-on-a-beverage-companys-sales-organization-in-only-three-months/" TargetMode="External"/><Relationship Id="rId1728" Type="http://schemas.openxmlformats.org/officeDocument/2006/relationships/hyperlink" Target="https://salesxceleration.com/books/how-a-sales-consultant-made-an-immediate-impact-on-a-beverage-companys-sales-organization-in-only-three-months/" TargetMode="External"/><Relationship Id="rId1729" Type="http://schemas.openxmlformats.org/officeDocument/2006/relationships/hyperlink" Target="https://salesxceleration.com/books/how-a-sales-consultant-made-an-immediate-impact-on-a-beverage-companys-sales-organization-in-only-three-months/" TargetMode="External"/><Relationship Id="rId1752" Type="http://schemas.openxmlformats.org/officeDocument/2006/relationships/hyperlink" Target="https://salesxceleration.com/wp-content/uploads/elementor/css/post-71208.css?ver=1768847707" TargetMode="External"/><Relationship Id="rId1753" Type="http://schemas.openxmlformats.org/officeDocument/2006/relationships/hyperlink" Target="https://salesxceleration.com/wp-content/uploads/elementor/css/post-71208.css?ver=1768847707" TargetMode="External"/><Relationship Id="rId1754" Type="http://schemas.openxmlformats.org/officeDocument/2006/relationships/hyperlink" Target="https://salesxceleration.com/wp-content/uploads/elementor/css/post-72647.css?ver=1768847256" TargetMode="External"/><Relationship Id="rId1755" Type="http://schemas.openxmlformats.org/officeDocument/2006/relationships/hyperlink" Target="https://salesxceleration.com/wp-content/uploads/elementor/css/post-72647.css?ver=1768847256" TargetMode="External"/><Relationship Id="rId1756" Type="http://schemas.openxmlformats.org/officeDocument/2006/relationships/hyperlink" Target="https://salesxceleration.com/wp-content/uploads/2025/11/early-education-min.jpg" TargetMode="External"/><Relationship Id="rId1757" Type="http://schemas.openxmlformats.org/officeDocument/2006/relationships/hyperlink" Target="https://salesxceleration.com/wp-content/uploads/2025/11/early-education-min.jpg" TargetMode="External"/><Relationship Id="rId1758" Type="http://schemas.openxmlformats.org/officeDocument/2006/relationships/hyperlink" Target="https://salesxceleration.com/wp-content/uploads/elementor/thumbs/Mistakes-Costing-Your-Business-rd0lo56kwtdzlm13an06y8avhh0dne7fmvskkhbvf0.jpg" TargetMode="External"/><Relationship Id="rId1759" Type="http://schemas.openxmlformats.org/officeDocument/2006/relationships/hyperlink" Target="https://salesxceleration.com/wp-content/uploads/elementor/thumbs/Mistakes-Costing-Your-Business-rd0lo56kwtdzlm13an06y8avhh0dne7fmvskkhbvf0.jpg" TargetMode="External"/><Relationship Id="rId1750" Type="http://schemas.openxmlformats.org/officeDocument/2006/relationships/hyperlink" Target="https://salesxceleration.com/wp-content/uploads/2025/07/3.jpg" TargetMode="External"/><Relationship Id="rId1751" Type="http://schemas.openxmlformats.org/officeDocument/2006/relationships/hyperlink" Target="https://salesxceleration.com/wp-content/uploads/2025/07/3.jpg" TargetMode="External"/><Relationship Id="rId1741" Type="http://schemas.openxmlformats.org/officeDocument/2006/relationships/hyperlink" Target="https://salesxceleration.com/wp-content/uploads/2025/10/manufacturing-case-study-featured-photo.jpg" TargetMode="External"/><Relationship Id="rId1742" Type="http://schemas.openxmlformats.org/officeDocument/2006/relationships/hyperlink" Target="https://salesxceleration.com/books/getting-started-with-social-media/" TargetMode="External"/><Relationship Id="rId1743" Type="http://schemas.openxmlformats.org/officeDocument/2006/relationships/hyperlink" Target="https://salesxceleration.com/books/getting-started-with-social-media/" TargetMode="External"/><Relationship Id="rId1744" Type="http://schemas.openxmlformats.org/officeDocument/2006/relationships/hyperlink" Target="https://salesxceleration.com/books/getting-started-with-social-media/" TargetMode="External"/><Relationship Id="rId1745" Type="http://schemas.openxmlformats.org/officeDocument/2006/relationships/hyperlink" Target="https://salesxceleration.com/wp-content/themes/salesxceleratione/assets/css/style.css?ver=1769123326" TargetMode="External"/><Relationship Id="rId1746" Type="http://schemas.openxmlformats.org/officeDocument/2006/relationships/hyperlink" Target="https://salesxceleration.com/wp-content/themes/salesxceleratione/assets/css/style.css?ver=1769123326" TargetMode="External"/><Relationship Id="rId1747" Type="http://schemas.openxmlformats.org/officeDocument/2006/relationships/hyperlink" Target="https://salesxceleration.com/books/from-stagnant-growth-to-doubling-revenue-in-12-months/" TargetMode="External"/><Relationship Id="rId1748" Type="http://schemas.openxmlformats.org/officeDocument/2006/relationships/hyperlink" Target="https://salesxceleration.com/books/from-stagnant-growth-to-doubling-revenue-in-12-months/" TargetMode="External"/><Relationship Id="rId1749" Type="http://schemas.openxmlformats.org/officeDocument/2006/relationships/hyperlink" Target="https://salesxceleration.com/books/from-stagnant-growth-to-doubling-revenue-in-12-months/" TargetMode="External"/><Relationship Id="rId1740" Type="http://schemas.openxmlformats.org/officeDocument/2006/relationships/hyperlink" Target="https://salesxceleration.com/wp-content/uploads/2025/10/manufacturing-case-study-featured-photo.jpg" TargetMode="External"/><Relationship Id="rId5291" Type="http://schemas.openxmlformats.org/officeDocument/2006/relationships/hyperlink" Target="https://salesxceleration.com/amplify-recruiting" TargetMode="External"/><Relationship Id="rId5292" Type="http://schemas.openxmlformats.org/officeDocument/2006/relationships/hyperlink" Target="https://salesxceleration.com/amplify-sales-recruiting/" TargetMode="External"/><Relationship Id="rId5290" Type="http://schemas.openxmlformats.org/officeDocument/2006/relationships/hyperlink" Target="https://salesxceleration.com/amplify-sales-recruiting/" TargetMode="External"/><Relationship Id="rId5295" Type="http://schemas.openxmlformats.org/officeDocument/2006/relationships/hyperlink" Target="https://salesxceleration.com/wp-content/uploads/2022/01/United-Sales-Team-2048x2048.jpg" TargetMode="External"/><Relationship Id="rId5296" Type="http://schemas.openxmlformats.org/officeDocument/2006/relationships/hyperlink" Target="https://salesxceleration.com/wp-content/uploads/2022/01/United-Sales-Team-2048x2048.jpg" TargetMode="External"/><Relationship Id="rId5293" Type="http://schemas.openxmlformats.org/officeDocument/2006/relationships/hyperlink" Target="https://salesxceleration.com/wp-content/themes/salesxceleratione/assets/css/style.css?ver=1769123619" TargetMode="External"/><Relationship Id="rId5294" Type="http://schemas.openxmlformats.org/officeDocument/2006/relationships/hyperlink" Target="https://salesxceleration.com/wp-content/themes/salesxceleratione/assets/css/style.css?ver=1769123619" TargetMode="External"/><Relationship Id="rId5299" Type="http://schemas.openxmlformats.org/officeDocument/2006/relationships/hyperlink" Target="https://salesxceleration.com/wp-content/uploads/2020/11/forbes-expert-panel-2048x2048.jpg" TargetMode="External"/><Relationship Id="rId5297" Type="http://schemas.openxmlformats.org/officeDocument/2006/relationships/hyperlink" Target="https://salesxceleration.com/wp-content/uploads/2021/04/131501-viewpoints-rocketman-ORG.jpg" TargetMode="External"/><Relationship Id="rId5298" Type="http://schemas.openxmlformats.org/officeDocument/2006/relationships/hyperlink" Target="https://salesxceleration.com/wp-content/uploads/2021/04/131501-viewpoints-rocketman-ORG.jpg" TargetMode="External"/><Relationship Id="rId5280" Type="http://schemas.openxmlformats.org/officeDocument/2006/relationships/hyperlink" Target="https://salesxceleration.com/wp-content/uploads/2021/12/Sales-Roadmap-1-scaled.jpg" TargetMode="External"/><Relationship Id="rId5281" Type="http://schemas.openxmlformats.org/officeDocument/2006/relationships/hyperlink" Target="https://salesxceleration.com/wp-content/uploads/2021/12/Sales-Roadmap-1-scaled.jpg" TargetMode="External"/><Relationship Id="rId5284" Type="http://schemas.openxmlformats.org/officeDocument/2006/relationships/hyperlink" Target="https://salesxceleration.com/wp-content/uploads/2022/01/shutterstock_1471857863.jpg" TargetMode="External"/><Relationship Id="rId5285" Type="http://schemas.openxmlformats.org/officeDocument/2006/relationships/hyperlink" Target="https://salesxceleration.com/wp-content/uploads/2022/01/shutterstock_1471857863.jpg" TargetMode="External"/><Relationship Id="rId5282" Type="http://schemas.openxmlformats.org/officeDocument/2006/relationships/hyperlink" Target="https://salesxceleration.com/wp-content/uploads/2021/11/Buyer-Journey_Sales-Process-scaled.jpeg" TargetMode="External"/><Relationship Id="rId5283" Type="http://schemas.openxmlformats.org/officeDocument/2006/relationships/hyperlink" Target="https://salesxceleration.com/wp-content/uploads/2021/11/Buyer-Journey_Sales-Process-scaled.jpeg" TargetMode="External"/><Relationship Id="rId5288" Type="http://schemas.openxmlformats.org/officeDocument/2006/relationships/hyperlink" Target="https://salesxceleration.com/wp-content/uploads/2022/01/Sales-Compensation.jpg" TargetMode="External"/><Relationship Id="rId5289" Type="http://schemas.openxmlformats.org/officeDocument/2006/relationships/hyperlink" Target="https://salesxceleration.com/wp-content/uploads/2022/01/Sales-Compensation.jpg" TargetMode="External"/><Relationship Id="rId5286" Type="http://schemas.openxmlformats.org/officeDocument/2006/relationships/hyperlink" Target="https://salesxceleration.com/wp-content/themes/salesxceleratione/assets/css/style.css?ver=1769123618" TargetMode="External"/><Relationship Id="rId5287" Type="http://schemas.openxmlformats.org/officeDocument/2006/relationships/hyperlink" Target="https://salesxceleration.com/wp-content/themes/salesxceleratione/assets/css/style.css?ver=1769123618" TargetMode="External"/><Relationship Id="rId1710" Type="http://schemas.openxmlformats.org/officeDocument/2006/relationships/hyperlink" Target="https://salesxceleration.com/books/ai-sales-integration" TargetMode="External"/><Relationship Id="rId1711" Type="http://schemas.openxmlformats.org/officeDocument/2006/relationships/hyperlink" Target="https://salesxceleration.com/wp-content/uploads/2022/07/2022-SX-eBook-Before-and-After-1-791x1024.jpg" TargetMode="External"/><Relationship Id="rId1712" Type="http://schemas.openxmlformats.org/officeDocument/2006/relationships/hyperlink" Target="https://salesxceleration.com/wp-content/uploads/2022/07/2022-SX-eBook-Before-and-After-1-791x1024.jpg" TargetMode="External"/><Relationship Id="rId1713" Type="http://schemas.openxmlformats.org/officeDocument/2006/relationships/hyperlink" Target="https://salesxceleration.com/books/intelligent-sales-pipeline/" TargetMode="External"/><Relationship Id="rId1714" Type="http://schemas.openxmlformats.org/officeDocument/2006/relationships/hyperlink" Target="https://salesxceleration.com/books/intelligent-sales-pipeline/" TargetMode="External"/><Relationship Id="rId1715" Type="http://schemas.openxmlformats.org/officeDocument/2006/relationships/hyperlink" Target="https://salesxceleration.com/books/intelligent-sales-pipeline/" TargetMode="External"/><Relationship Id="rId1716" Type="http://schemas.openxmlformats.org/officeDocument/2006/relationships/hyperlink" Target="https://salesxceleration.com/wp-content/uploads/2022/05/Manufacturing-Sales-Challenges-791x1024.jpg" TargetMode="External"/><Relationship Id="rId1717" Type="http://schemas.openxmlformats.org/officeDocument/2006/relationships/hyperlink" Target="https://salesxceleration.com/wp-content/uploads/2022/05/Manufacturing-Sales-Challenges-791x1024.jpg" TargetMode="External"/><Relationship Id="rId1718" Type="http://schemas.openxmlformats.org/officeDocument/2006/relationships/hyperlink" Target="https://salesxceleration.com/books/how-to-build-a-highly-efficient-sales-structure/" TargetMode="External"/><Relationship Id="rId1719" Type="http://schemas.openxmlformats.org/officeDocument/2006/relationships/hyperlink" Target="https://salesxceleration.com/books/how-to-build-a-highly-efficient-sales-structure/" TargetMode="External"/><Relationship Id="rId1700" Type="http://schemas.openxmlformats.org/officeDocument/2006/relationships/hyperlink" Target="https://salesxceleration.com/wp-content/uploads/elementor/css/post-19807.css?ver=1768847459" TargetMode="External"/><Relationship Id="rId1701" Type="http://schemas.openxmlformats.org/officeDocument/2006/relationships/hyperlink" Target="https://salesxceleration.com/books/how-our-proven-process-improved-sales-for-a-promotional-products-company/" TargetMode="External"/><Relationship Id="rId1702" Type="http://schemas.openxmlformats.org/officeDocument/2006/relationships/hyperlink" Target="https://salesxceleration.com/books/how-our-proven-process-improved-sales-for-a-promotional-products-company/" TargetMode="External"/><Relationship Id="rId1703" Type="http://schemas.openxmlformats.org/officeDocument/2006/relationships/hyperlink" Target="https://salesxceleration.com/books/how-our-proven-process-improved-sales-for-a-promotional-products-company/" TargetMode="External"/><Relationship Id="rId1704" Type="http://schemas.openxmlformats.org/officeDocument/2006/relationships/hyperlink" Target="https://salesxceleration.com/wp-content/uploads/2025/09/AI-Sales-Integration_A-Practical-Guide-for-Sales-Growth-1-819x1024.jpg" TargetMode="External"/><Relationship Id="rId1705" Type="http://schemas.openxmlformats.org/officeDocument/2006/relationships/hyperlink" Target="https://salesxceleration.com/wp-content/uploads/2025/09/AI-Sales-Integration_A-Practical-Guide-for-Sales-Growth-1-819x1024.jpg" TargetMode="External"/><Relationship Id="rId1706" Type="http://schemas.openxmlformats.org/officeDocument/2006/relationships/hyperlink" Target="https://salesxceleration.com/wp-content/uploads/2020/02/immediate-impact.jpg" TargetMode="External"/><Relationship Id="rId1707" Type="http://schemas.openxmlformats.org/officeDocument/2006/relationships/hyperlink" Target="https://salesxceleration.com/wp-content/uploads/2020/02/immediate-impact.jpg" TargetMode="External"/><Relationship Id="rId1708" Type="http://schemas.openxmlformats.org/officeDocument/2006/relationships/hyperlink" Target="https://salesxceleration.com/books/ai-sales-integration" TargetMode="External"/><Relationship Id="rId1709" Type="http://schemas.openxmlformats.org/officeDocument/2006/relationships/hyperlink" Target="https://salesxceleration.com/books/ai-sales-integration/" TargetMode="External"/><Relationship Id="rId40" Type="http://schemas.openxmlformats.org/officeDocument/2006/relationships/hyperlink" Target="https://salesxceleration.com/case-study/electrical-manufacturing-sales-strategy-and-processes-provide-immediate-growth/" TargetMode="External"/><Relationship Id="rId42" Type="http://schemas.openxmlformats.org/officeDocument/2006/relationships/hyperlink" Target="https://salesxceleration.com/wp-content/plugins/elementor/assets/css/widget-video.min.css?ver=3.34.0" TargetMode="External"/><Relationship Id="rId41" Type="http://schemas.openxmlformats.org/officeDocument/2006/relationships/hyperlink" Target="https://salesxceleration.com/wp-content/plugins/elementor/assets/css/widget-video.min.css?ver=3.34.0" TargetMode="External"/><Relationship Id="rId44" Type="http://schemas.openxmlformats.org/officeDocument/2006/relationships/hyperlink" Target="https://salesxceleration.com/wp-content/uploads/elementor/google-fonts/css/robotoslab.css?ver=1744026309" TargetMode="External"/><Relationship Id="rId43" Type="http://schemas.openxmlformats.org/officeDocument/2006/relationships/hyperlink" Target="https://salesxceleration.com/wp-content/uploads/elementor/google-fonts/css/robotoslab.css?ver=1744026309" TargetMode="External"/><Relationship Id="rId46" Type="http://schemas.openxmlformats.org/officeDocument/2006/relationships/hyperlink" Target="https://salesxceleration.com/case-study/healthcare-consulting-driving-growth-through-effective-strategy-execution-and-training/" TargetMode="External"/><Relationship Id="rId45" Type="http://schemas.openxmlformats.org/officeDocument/2006/relationships/hyperlink" Target="https://salesxceleration.com/case-study/healthcare-consulting-driving-growth-through-effective-strategy-execution-and-training/" TargetMode="External"/><Relationship Id="rId48" Type="http://schemas.openxmlformats.org/officeDocument/2006/relationships/hyperlink" Target="https://salesxceleration.com/wp-content/plugins/elementor/assets/js/webpack.runtime.min.js?ver=3.34.0" TargetMode="External"/><Relationship Id="rId47" Type="http://schemas.openxmlformats.org/officeDocument/2006/relationships/hyperlink" Target="https://salesxceleration.com/case-study/healthcare-consulting-driving-growth-through-effective-strategy-execution-and-training/" TargetMode="External"/><Relationship Id="rId49" Type="http://schemas.openxmlformats.org/officeDocument/2006/relationships/hyperlink" Target="https://salesxceleration.com/wp-content/plugins/elementor/assets/js/webpack.runtime.min.js?ver=3.34.0" TargetMode="External"/><Relationship Id="rId31" Type="http://schemas.openxmlformats.org/officeDocument/2006/relationships/hyperlink" Target="https://salesxceleration.com/wp-content/plugins/elementor-pro/assets/js/webpack-pro.runtime.min.js?ver=3.34.0" TargetMode="External"/><Relationship Id="rId30" Type="http://schemas.openxmlformats.org/officeDocument/2006/relationships/hyperlink" Target="https://salesxceleration.com/wp-content/plugins/elementor-pro/assets/js/webpack-pro.runtime.min.js?ver=3.34.0" TargetMode="External"/><Relationship Id="rId33" Type="http://schemas.openxmlformats.org/officeDocument/2006/relationships/hyperlink" Target="https://salesxceleration.com/wp-content/uploads/2022/09/ciobulletin-50-best-companies-to-watch-2022-logo.jpg" TargetMode="External"/><Relationship Id="rId32" Type="http://schemas.openxmlformats.org/officeDocument/2006/relationships/hyperlink" Target="https://salesxceleration.com/wp-content/uploads/2022/09/ciobulletin-50-best-companies-to-watch-2022-logo.jpg" TargetMode="External"/><Relationship Id="rId35" Type="http://schemas.openxmlformats.org/officeDocument/2006/relationships/hyperlink" Target="https://salesxceleration.com/wp-content/themes/salesxceleratione/assets/js/jquery.mixitup.js?ver=2.1.11" TargetMode="External"/><Relationship Id="rId34" Type="http://schemas.openxmlformats.org/officeDocument/2006/relationships/hyperlink" Target="https://salesxceleration.com/wp-content/themes/salesxceleratione/assets/js/jquery.mixitup.js?ver=2.1.11" TargetMode="External"/><Relationship Id="rId37" Type="http://schemas.openxmlformats.org/officeDocument/2006/relationships/hyperlink" Target="https://salesxceleration.com/wp-content/uploads/2025/04/logo-eos-300x198-1.png" TargetMode="External"/><Relationship Id="rId36" Type="http://schemas.openxmlformats.org/officeDocument/2006/relationships/hyperlink" Target="https://salesxceleration.com/wp-content/uploads/2025/04/logo-eos-300x198-1.png" TargetMode="External"/><Relationship Id="rId39" Type="http://schemas.openxmlformats.org/officeDocument/2006/relationships/hyperlink" Target="https://salesxceleration.com/case-study/electrical-manufacturing-sales-strategy-and-processes-provide-immediate-growth/" TargetMode="External"/><Relationship Id="rId38" Type="http://schemas.openxmlformats.org/officeDocument/2006/relationships/hyperlink" Target="https://salesxceleration.com/case-study/electrical-manufacturing-sales-strategy-and-processes-provide-immediate-growth/" TargetMode="External"/><Relationship Id="rId20" Type="http://schemas.openxmlformats.org/officeDocument/2006/relationships/hyperlink" Target="https://salesxceleration.com/wp-content/plugins/elementor/assets/css/frontend.min.css?ver=3.34.0" TargetMode="External"/><Relationship Id="rId22" Type="http://schemas.openxmlformats.org/officeDocument/2006/relationships/hyperlink" Target="https://salesxceleration.com/sales-team/" TargetMode="External"/><Relationship Id="rId21" Type="http://schemas.openxmlformats.org/officeDocument/2006/relationships/hyperlink" Target="https://salesxceleration.com/sales-team/" TargetMode="External"/><Relationship Id="rId24" Type="http://schemas.openxmlformats.org/officeDocument/2006/relationships/hyperlink" Target="https://salesxceleration.com/state-of-sales/" TargetMode="External"/><Relationship Id="rId23" Type="http://schemas.openxmlformats.org/officeDocument/2006/relationships/hyperlink" Target="https://salesxceleration.com/sales-team/" TargetMode="External"/><Relationship Id="rId26" Type="http://schemas.openxmlformats.org/officeDocument/2006/relationships/hyperlink" Target="https://salesxceleration.com/state-of-sales/" TargetMode="External"/><Relationship Id="rId25" Type="http://schemas.openxmlformats.org/officeDocument/2006/relationships/hyperlink" Target="https://salesxceleration.com/state-of-sales/" TargetMode="External"/><Relationship Id="rId28" Type="http://schemas.openxmlformats.org/officeDocument/2006/relationships/hyperlink" Target="https://salesxceleration.com/industries/private-equity/" TargetMode="External"/><Relationship Id="rId27" Type="http://schemas.openxmlformats.org/officeDocument/2006/relationships/hyperlink" Target="https://salesxceleration.com/industries/private-equity/" TargetMode="External"/><Relationship Id="rId29" Type="http://schemas.openxmlformats.org/officeDocument/2006/relationships/hyperlink" Target="https://salesxceleration.com/industries/private-equity/" TargetMode="External"/><Relationship Id="rId11" Type="http://schemas.openxmlformats.org/officeDocument/2006/relationships/hyperlink" Target="https://salesxceleration.com/blog/" TargetMode="External"/><Relationship Id="rId10" Type="http://schemas.openxmlformats.org/officeDocument/2006/relationships/hyperlink" Target="https://salesxceleration.com/blog/" TargetMode="External"/><Relationship Id="rId13" Type="http://schemas.openxmlformats.org/officeDocument/2006/relationships/hyperlink" Target="https://salesxceleration.com/wp-content/uploads/2025/02/Fractional-Sales-Leader-1-1024x929.jpg" TargetMode="External"/><Relationship Id="rId12" Type="http://schemas.openxmlformats.org/officeDocument/2006/relationships/hyperlink" Target="https://salesxceleration.com/wp-content/uploads/2025/02/Fractional-Sales-Leader-1-1024x929.jpg" TargetMode="External"/><Relationship Id="rId15" Type="http://schemas.openxmlformats.org/officeDocument/2006/relationships/hyperlink" Target="https://salesxceleration.com/wp-includes/js/dist/hooks.min.js?ver=dd5603f07f9220ed27f1" TargetMode="External"/><Relationship Id="rId14" Type="http://schemas.openxmlformats.org/officeDocument/2006/relationships/hyperlink" Target="https://salesxceleration.com/wp-includes/js/dist/hooks.min.js?ver=dd5603f07f9220ed27f1" TargetMode="External"/><Relationship Id="rId17" Type="http://schemas.openxmlformats.org/officeDocument/2006/relationships/hyperlink" Target="https://salesxceleration.com/client-solutions/" TargetMode="External"/><Relationship Id="rId16" Type="http://schemas.openxmlformats.org/officeDocument/2006/relationships/hyperlink" Target="https://salesxceleration.com/client-solutions/" TargetMode="External"/><Relationship Id="rId19" Type="http://schemas.openxmlformats.org/officeDocument/2006/relationships/hyperlink" Target="https://salesxceleration.com/wp-content/plugins/elementor/assets/css/frontend.min.css?ver=3.34.0" TargetMode="External"/><Relationship Id="rId18" Type="http://schemas.openxmlformats.org/officeDocument/2006/relationships/hyperlink" Target="https://salesxceleration.com/client-solutions/" TargetMode="External"/><Relationship Id="rId84" Type="http://schemas.openxmlformats.org/officeDocument/2006/relationships/hyperlink" Target="https://salesxceleration.com/wp-content/themes/salesxceleratione/assets/js/jquery.fancybox.min.js?ver=3.5.7" TargetMode="External"/><Relationship Id="rId1774" Type="http://schemas.openxmlformats.org/officeDocument/2006/relationships/hyperlink" Target="https://salesxceleration.com/wp-content/uploads/2022/09/Technology-Case-Study-Thumbnail.jpg" TargetMode="External"/><Relationship Id="rId83" Type="http://schemas.openxmlformats.org/officeDocument/2006/relationships/hyperlink" Target="https://salesxceleration.com/ai-sales-tools-readiness-assessment/" TargetMode="External"/><Relationship Id="rId1775" Type="http://schemas.openxmlformats.org/officeDocument/2006/relationships/hyperlink" Target="https://salesxceleration.com/wp-content/uploads/2022/09/Technology-Case-Study-Thumbnail.jpg" TargetMode="External"/><Relationship Id="rId86" Type="http://schemas.openxmlformats.org/officeDocument/2006/relationships/hyperlink" Target="https://salesxceleration.com/wp-content/plugins/elementor-pro/assets/js/elements-handlers.min.js?ver=3.34.0" TargetMode="External"/><Relationship Id="rId1776" Type="http://schemas.openxmlformats.org/officeDocument/2006/relationships/hyperlink" Target="https://salesxceleration.com/wp-content/uploads/2022/11/Maintaining-Sales-Momentum-Amidst-Transition-cover-1.jpg" TargetMode="External"/><Relationship Id="rId85" Type="http://schemas.openxmlformats.org/officeDocument/2006/relationships/hyperlink" Target="https://salesxceleration.com/wp-content/themes/salesxceleratione/assets/js/jquery.fancybox.min.js?ver=3.5.7" TargetMode="External"/><Relationship Id="rId1777" Type="http://schemas.openxmlformats.org/officeDocument/2006/relationships/hyperlink" Target="https://salesxceleration.com/wp-content/uploads/2022/11/Maintaining-Sales-Momentum-Amidst-Transition-cover-1.jpg" TargetMode="External"/><Relationship Id="rId88" Type="http://schemas.openxmlformats.org/officeDocument/2006/relationships/hyperlink" Target="https://salesxceleration.com/wp-content/plugins/advanced-iframe/js/ai.min.js?ver=502409" TargetMode="External"/><Relationship Id="rId1778" Type="http://schemas.openxmlformats.org/officeDocument/2006/relationships/hyperlink" Target="https://salesxceleration.com/wp-content/themes/salesxceleratione/assets/css/style.css?ver=1769123327" TargetMode="External"/><Relationship Id="rId87" Type="http://schemas.openxmlformats.org/officeDocument/2006/relationships/hyperlink" Target="https://salesxceleration.com/wp-content/plugins/elementor-pro/assets/js/elements-handlers.min.js?ver=3.34.0" TargetMode="External"/><Relationship Id="rId1779" Type="http://schemas.openxmlformats.org/officeDocument/2006/relationships/hyperlink" Target="https://salesxceleration.com/wp-content/themes/salesxceleratione/assets/css/style.css?ver=1769123327" TargetMode="External"/><Relationship Id="rId89" Type="http://schemas.openxmlformats.org/officeDocument/2006/relationships/hyperlink" Target="https://salesxceleration.com/wp-content/plugins/advanced-iframe/js/ai.min.js?ver=502409" TargetMode="External"/><Relationship Id="rId80" Type="http://schemas.openxmlformats.org/officeDocument/2006/relationships/hyperlink" Target="https://salesxceleration.com/consultants/" TargetMode="External"/><Relationship Id="rId82" Type="http://schemas.openxmlformats.org/officeDocument/2006/relationships/hyperlink" Target="https://salesxceleration.com/ai-sales-tools-readiness-assessment/" TargetMode="External"/><Relationship Id="rId81" Type="http://schemas.openxmlformats.org/officeDocument/2006/relationships/hyperlink" Target="https://salesxceleration.com/ai-sales-tools-readiness-assessment/" TargetMode="External"/><Relationship Id="rId1770" Type="http://schemas.openxmlformats.org/officeDocument/2006/relationships/hyperlink" Target="https://salesxceleration.com/wp-content/uploads/2024/04/H.I.G-300x300.png" TargetMode="External"/><Relationship Id="rId1771" Type="http://schemas.openxmlformats.org/officeDocument/2006/relationships/hyperlink" Target="https://salesxceleration.com/wp-content/uploads/2024/04/H.I.G-300x300.png" TargetMode="External"/><Relationship Id="rId1772" Type="http://schemas.openxmlformats.org/officeDocument/2006/relationships/hyperlink" Target="https://salesxceleration.com/wp-content/plugins/elementor/assets/css/widget-image-carousel.min.css?ver=3.34.0" TargetMode="External"/><Relationship Id="rId1773" Type="http://schemas.openxmlformats.org/officeDocument/2006/relationships/hyperlink" Target="https://salesxceleration.com/wp-content/plugins/elementor/assets/css/widget-image-carousel.min.css?ver=3.34.0" TargetMode="External"/><Relationship Id="rId73" Type="http://schemas.openxmlformats.org/officeDocument/2006/relationships/hyperlink" Target="https://salesxceleration.com/sales-connection/" TargetMode="External"/><Relationship Id="rId1763" Type="http://schemas.openxmlformats.org/officeDocument/2006/relationships/hyperlink" Target="https://salesxceleration.com/wp-content/uploads/2024/04/Shore.png" TargetMode="External"/><Relationship Id="rId72" Type="http://schemas.openxmlformats.org/officeDocument/2006/relationships/hyperlink" Target="https://salesxceleration.com/wp-content/plugins/elementor/assets/lib/animations/styles/slideInLeft.min.css?ver=3.34.0" TargetMode="External"/><Relationship Id="rId1764" Type="http://schemas.openxmlformats.org/officeDocument/2006/relationships/hyperlink" Target="https://salesxceleration.com/wp-content/uploads/2024/04/apollo-logo-black.svg" TargetMode="External"/><Relationship Id="rId75" Type="http://schemas.openxmlformats.org/officeDocument/2006/relationships/hyperlink" Target="https://salesxceleration.com/sales-connection/" TargetMode="External"/><Relationship Id="rId1765" Type="http://schemas.openxmlformats.org/officeDocument/2006/relationships/hyperlink" Target="https://salesxceleration.com/wp-content/uploads/2024/04/apollo-logo-black.svg" TargetMode="External"/><Relationship Id="rId74" Type="http://schemas.openxmlformats.org/officeDocument/2006/relationships/hyperlink" Target="https://salesxceleration.com/sales-connection/" TargetMode="External"/><Relationship Id="rId1766" Type="http://schemas.openxmlformats.org/officeDocument/2006/relationships/hyperlink" Target="https://salesxceleration.com/wp-content/uploads/2024/04/MDP-300x156.png" TargetMode="External"/><Relationship Id="rId77" Type="http://schemas.openxmlformats.org/officeDocument/2006/relationships/hyperlink" Target="https://salesxceleration.com/wp-content/themes/salesxceleratione/style.css?ver=6.9" TargetMode="External"/><Relationship Id="rId1767" Type="http://schemas.openxmlformats.org/officeDocument/2006/relationships/hyperlink" Target="https://salesxceleration.com/wp-content/uploads/2024/04/MDP-300x156.png" TargetMode="External"/><Relationship Id="rId76" Type="http://schemas.openxmlformats.org/officeDocument/2006/relationships/hyperlink" Target="https://salesxceleration.com/wp-content/themes/salesxceleratione/style.css?ver=6.9" TargetMode="External"/><Relationship Id="rId1768" Type="http://schemas.openxmlformats.org/officeDocument/2006/relationships/hyperlink" Target="https://salesxceleration.com/wp-content/uploads/2024/04/Blackstone-300x156.png" TargetMode="External"/><Relationship Id="rId79" Type="http://schemas.openxmlformats.org/officeDocument/2006/relationships/hyperlink" Target="https://salesxceleration.com/consultants/" TargetMode="External"/><Relationship Id="rId1769" Type="http://schemas.openxmlformats.org/officeDocument/2006/relationships/hyperlink" Target="https://salesxceleration.com/wp-content/uploads/2024/04/Blackstone-300x156.png" TargetMode="External"/><Relationship Id="rId78" Type="http://schemas.openxmlformats.org/officeDocument/2006/relationships/hyperlink" Target="https://salesxceleration.com/consultants/" TargetMode="External"/><Relationship Id="rId71" Type="http://schemas.openxmlformats.org/officeDocument/2006/relationships/hyperlink" Target="https://salesxceleration.com/wp-content/plugins/elementor/assets/lib/animations/styles/slideInLeft.min.css?ver=3.34.0" TargetMode="External"/><Relationship Id="rId70" Type="http://schemas.openxmlformats.org/officeDocument/2006/relationships/hyperlink" Target="https://salesxceleration.com/sales-recruiting/" TargetMode="External"/><Relationship Id="rId1760" Type="http://schemas.openxmlformats.org/officeDocument/2006/relationships/hyperlink" Target="https://salesxceleration.com/wp-content/uploads/2024/04/K1-300x119.jpg" TargetMode="External"/><Relationship Id="rId1761" Type="http://schemas.openxmlformats.org/officeDocument/2006/relationships/hyperlink" Target="https://salesxceleration.com/wp-content/uploads/2024/04/K1-300x119.jpg" TargetMode="External"/><Relationship Id="rId1762" Type="http://schemas.openxmlformats.org/officeDocument/2006/relationships/hyperlink" Target="https://salesxceleration.com/wp-content/uploads/2024/04/Shore.png" TargetMode="External"/><Relationship Id="rId62" Type="http://schemas.openxmlformats.org/officeDocument/2006/relationships/hyperlink" Target="https://salesxceleration.com/podcasts/" TargetMode="External"/><Relationship Id="rId1796" Type="http://schemas.openxmlformats.org/officeDocument/2006/relationships/hyperlink" Target="https://salesxceleration.com/wp-content/uploads/2024/04/LBC_Credit_Partners_Logo-300x157.jpg" TargetMode="External"/><Relationship Id="rId61" Type="http://schemas.openxmlformats.org/officeDocument/2006/relationships/hyperlink" Target="https://salesxceleration.com/ai-statement/" TargetMode="External"/><Relationship Id="rId1797" Type="http://schemas.openxmlformats.org/officeDocument/2006/relationships/hyperlink" Target="https://salesxceleration.com/wp-content/uploads/2024/04/LBC_Credit_Partners_Logo-300x157.jpg" TargetMode="External"/><Relationship Id="rId64" Type="http://schemas.openxmlformats.org/officeDocument/2006/relationships/hyperlink" Target="https://salesxceleration.com/podcasts/" TargetMode="External"/><Relationship Id="rId1798" Type="http://schemas.openxmlformats.org/officeDocument/2006/relationships/hyperlink" Target="https://salesxceleration.com/wp-content/uploads/2024/04/WAVE-Logo-300x81.png" TargetMode="External"/><Relationship Id="rId63" Type="http://schemas.openxmlformats.org/officeDocument/2006/relationships/hyperlink" Target="https://salesxceleration.com/podcasts/" TargetMode="External"/><Relationship Id="rId1799" Type="http://schemas.openxmlformats.org/officeDocument/2006/relationships/hyperlink" Target="https://salesxceleration.com/wp-content/uploads/2024/04/WAVE-Logo-300x81.png" TargetMode="External"/><Relationship Id="rId66" Type="http://schemas.openxmlformats.org/officeDocument/2006/relationships/hyperlink" Target="https://salesxceleration.com/careers/" TargetMode="External"/><Relationship Id="rId65" Type="http://schemas.openxmlformats.org/officeDocument/2006/relationships/hyperlink" Target="https://salesxceleration.com/careers/" TargetMode="External"/><Relationship Id="rId68" Type="http://schemas.openxmlformats.org/officeDocument/2006/relationships/hyperlink" Target="https://salesxceleration.com/sales-recruiting/" TargetMode="External"/><Relationship Id="rId67" Type="http://schemas.openxmlformats.org/officeDocument/2006/relationships/hyperlink" Target="https://salesxceleration.com/careers/" TargetMode="External"/><Relationship Id="rId60" Type="http://schemas.openxmlformats.org/officeDocument/2006/relationships/hyperlink" Target="https://salesxceleration.com/ai-statement/" TargetMode="External"/><Relationship Id="rId69" Type="http://schemas.openxmlformats.org/officeDocument/2006/relationships/hyperlink" Target="https://salesxceleration.com/sales-recruiting/" TargetMode="External"/><Relationship Id="rId1790" Type="http://schemas.openxmlformats.org/officeDocument/2006/relationships/hyperlink" Target="https://salesxceleration.com/wp-content/uploads/2024/05/Borgman-Logo-300x74.png" TargetMode="External"/><Relationship Id="rId1791" Type="http://schemas.openxmlformats.org/officeDocument/2006/relationships/hyperlink" Target="https://salesxceleration.com/wp-content/uploads/2024/05/Borgman-Logo-300x74.png" TargetMode="External"/><Relationship Id="rId1792" Type="http://schemas.openxmlformats.org/officeDocument/2006/relationships/hyperlink" Target="https://salesxceleration.com/wp-content/plugins/powerpack-elements/assets/css/min/widget-testimonials.min.css?ver=2.12.15" TargetMode="External"/><Relationship Id="rId1793" Type="http://schemas.openxmlformats.org/officeDocument/2006/relationships/hyperlink" Target="https://salesxceleration.com/wp-content/plugins/powerpack-elements/assets/css/min/widget-testimonials.min.css?ver=2.12.15" TargetMode="External"/><Relationship Id="rId1794" Type="http://schemas.openxmlformats.org/officeDocument/2006/relationships/hyperlink" Target="https://salesxceleration.com/wp-content/uploads/elementor/css/post-39238.css?ver=1768857127" TargetMode="External"/><Relationship Id="rId1795" Type="http://schemas.openxmlformats.org/officeDocument/2006/relationships/hyperlink" Target="https://salesxceleration.com/wp-content/uploads/elementor/css/post-39238.css?ver=1768857127" TargetMode="External"/><Relationship Id="rId51" Type="http://schemas.openxmlformats.org/officeDocument/2006/relationships/hyperlink" Target="https://salesxceleration.com/wp-content/uploads/2023/05/spring23.png" TargetMode="External"/><Relationship Id="rId1785" Type="http://schemas.openxmlformats.org/officeDocument/2006/relationships/hyperlink" Target="https://salesxceleration.com/wp-content/plugins/powerpack-elements/assets/lib/jquery-resize/jquery.resize.min.js?ver=0.5.3" TargetMode="External"/><Relationship Id="rId50" Type="http://schemas.openxmlformats.org/officeDocument/2006/relationships/hyperlink" Target="https://salesxceleration.com/wp-content/uploads/2023/05/spring23.png" TargetMode="External"/><Relationship Id="rId1786" Type="http://schemas.openxmlformats.org/officeDocument/2006/relationships/hyperlink" Target="https://salesxceleration.com/wp-content/uploads/2024/04/Talich-300x67.png" TargetMode="External"/><Relationship Id="rId53" Type="http://schemas.openxmlformats.org/officeDocument/2006/relationships/hyperlink" Target="https://salesxceleration.com/wp-content/plugins/elementor/assets/lib/font-awesome/css/fontawesome.min.css?ver=5.15.3" TargetMode="External"/><Relationship Id="rId1787" Type="http://schemas.openxmlformats.org/officeDocument/2006/relationships/hyperlink" Target="https://salesxceleration.com/wp-content/uploads/2024/04/Talich-300x67.png" TargetMode="External"/><Relationship Id="rId52" Type="http://schemas.openxmlformats.org/officeDocument/2006/relationships/hyperlink" Target="https://salesxceleration.com/wp-content/plugins/elementor/assets/lib/font-awesome/css/fontawesome.min.css?ver=5.15.3" TargetMode="External"/><Relationship Id="rId1788" Type="http://schemas.openxmlformats.org/officeDocument/2006/relationships/hyperlink" Target="https://salesxceleration.com/wp-content/uploads/2024/04/AKKR-300x113.png" TargetMode="External"/><Relationship Id="rId55" Type="http://schemas.openxmlformats.org/officeDocument/2006/relationships/hyperlink" Target="https://salesxceleration.com/industries/professional-services/" TargetMode="External"/><Relationship Id="rId1789" Type="http://schemas.openxmlformats.org/officeDocument/2006/relationships/hyperlink" Target="https://salesxceleration.com/wp-content/uploads/2024/04/AKKR-300x113.png" TargetMode="External"/><Relationship Id="rId54" Type="http://schemas.openxmlformats.org/officeDocument/2006/relationships/hyperlink" Target="https://salesxceleration.com/industries/professional-services/" TargetMode="External"/><Relationship Id="rId57" Type="http://schemas.openxmlformats.org/officeDocument/2006/relationships/hyperlink" Target="https://salesxceleration.com/wp-content/uploads/2025/04/australia.png" TargetMode="External"/><Relationship Id="rId56" Type="http://schemas.openxmlformats.org/officeDocument/2006/relationships/hyperlink" Target="https://salesxceleration.com/industries/professional-services/" TargetMode="External"/><Relationship Id="rId59" Type="http://schemas.openxmlformats.org/officeDocument/2006/relationships/hyperlink" Target="https://salesxceleration.com/ai-statement/" TargetMode="External"/><Relationship Id="rId58" Type="http://schemas.openxmlformats.org/officeDocument/2006/relationships/hyperlink" Target="https://salesxceleration.com/wp-content/uploads/2025/04/australia.png" TargetMode="External"/><Relationship Id="rId1780" Type="http://schemas.openxmlformats.org/officeDocument/2006/relationships/hyperlink" Target="https://salesxceleration.com/wp-content/plugins/powerpack-elements/assets/lib/slick/slick.min.js?ver=2.12.15" TargetMode="External"/><Relationship Id="rId1781" Type="http://schemas.openxmlformats.org/officeDocument/2006/relationships/hyperlink" Target="https://salesxceleration.com/wp-content/plugins/powerpack-elements/assets/lib/slick/slick.min.js?ver=2.12.15" TargetMode="External"/><Relationship Id="rId1782" Type="http://schemas.openxmlformats.org/officeDocument/2006/relationships/hyperlink" Target="https://salesxceleration.com/wp-content/uploads/2024/04/Acacia-300x58.png" TargetMode="External"/><Relationship Id="rId1783" Type="http://schemas.openxmlformats.org/officeDocument/2006/relationships/hyperlink" Target="https://salesxceleration.com/wp-content/uploads/2024/04/Acacia-300x58.png" TargetMode="External"/><Relationship Id="rId1784" Type="http://schemas.openxmlformats.org/officeDocument/2006/relationships/hyperlink" Target="https://salesxceleration.com/wp-content/plugins/powerpack-elements/assets/lib/jquery-resize/jquery.resize.min.js?ver=0.5.3" TargetMode="External"/><Relationship Id="rId6627" Type="http://schemas.openxmlformats.org/officeDocument/2006/relationships/hyperlink" Target="https://salesxceleration.com/wp-content/uploads/2016/04/managing-growth-compensation-plan-300x167.jpg" TargetMode="External"/><Relationship Id="rId6628" Type="http://schemas.openxmlformats.org/officeDocument/2006/relationships/hyperlink" Target="https://salesxceleration.com/wp-content/uploads/2016/04/managing-growth-compensation-plan-300x167.jpg" TargetMode="External"/><Relationship Id="rId6625" Type="http://schemas.openxmlformats.org/officeDocument/2006/relationships/hyperlink" Target="https://salesxceleration.com/draw-line-make-sure-companys-sales-territories-make-sense/" TargetMode="External"/><Relationship Id="rId6626" Type="http://schemas.openxmlformats.org/officeDocument/2006/relationships/hyperlink" Target="https://salesxceleration.com/draw-line-make-sure-companys-sales-territories-make-sense/" TargetMode="External"/><Relationship Id="rId6629" Type="http://schemas.openxmlformats.org/officeDocument/2006/relationships/hyperlink" Target="https://salesxceleration.com/growth-with-right-compensation-plan/" TargetMode="External"/><Relationship Id="rId349" Type="http://schemas.openxmlformats.org/officeDocument/2006/relationships/hyperlink" Target="https://salesxceleration.com/hiring-a-sales-team-the-dos-and-donts-of-finding-the-right-candidates/" TargetMode="External"/><Relationship Id="rId348" Type="http://schemas.openxmlformats.org/officeDocument/2006/relationships/hyperlink" Target="https://salesxceleration.com/hiring-a-sales-team-the-dos-and-donts-of-finding-the-right-candidates/" TargetMode="External"/><Relationship Id="rId347" Type="http://schemas.openxmlformats.org/officeDocument/2006/relationships/hyperlink" Target="https://salesxceleration.com/how-clear-messaging-turns-noise-into-revenue-with-donald-miller/" TargetMode="External"/><Relationship Id="rId346" Type="http://schemas.openxmlformats.org/officeDocument/2006/relationships/hyperlink" Target="https://salesxceleration.com/how-clear-messaging-turns-noise-into-revenue-with-donald-miller/" TargetMode="External"/><Relationship Id="rId341" Type="http://schemas.openxmlformats.org/officeDocument/2006/relationships/hyperlink" Target="https://salesxceleration.com/wp-content/uploads/2025/12/Comp-Plan-Error-1024x683.jpg" TargetMode="External"/><Relationship Id="rId340" Type="http://schemas.openxmlformats.org/officeDocument/2006/relationships/hyperlink" Target="https://salesxceleration.com/wp-content/themes/salesxceleratione/assets/css/style.css?ver=1769123313" TargetMode="External"/><Relationship Id="rId6620" Type="http://schemas.openxmlformats.org/officeDocument/2006/relationships/hyperlink" Target="https://salesxceleration.com/wp-content/uploads/2015/12/sales-compensation-plan-get-fired-up-300x300.jpg" TargetMode="External"/><Relationship Id="rId345" Type="http://schemas.openxmlformats.org/officeDocument/2006/relationships/hyperlink" Target="https://salesxceleration.com/how-clear-messaging-turns-noise-into-revenue-with-donald-miller/" TargetMode="External"/><Relationship Id="rId6623" Type="http://schemas.openxmlformats.org/officeDocument/2006/relationships/hyperlink" Target="https://salesxceleration.com/wp-content/uploads/2016/04/sales-compensation-plan-part-2-300x300.jpg" TargetMode="External"/><Relationship Id="rId344" Type="http://schemas.openxmlformats.org/officeDocument/2006/relationships/hyperlink" Target="https://salesxceleration.com/wp-content/uploads/2025/12/Salespeople-in-Seats.jpg" TargetMode="External"/><Relationship Id="rId6624" Type="http://schemas.openxmlformats.org/officeDocument/2006/relationships/hyperlink" Target="https://salesxceleration.com/draw-line-make-sure-companys-sales-territories-make-sense/" TargetMode="External"/><Relationship Id="rId343" Type="http://schemas.openxmlformats.org/officeDocument/2006/relationships/hyperlink" Target="https://salesxceleration.com/wp-content/uploads/2025/12/Salespeople-in-Seats.jpg" TargetMode="External"/><Relationship Id="rId6621" Type="http://schemas.openxmlformats.org/officeDocument/2006/relationships/hyperlink" Target="https://salesxceleration.com/wp-content/uploads/2015/12/sales-compensation-plan-get-fired-up-300x300.jpg" TargetMode="External"/><Relationship Id="rId342" Type="http://schemas.openxmlformats.org/officeDocument/2006/relationships/hyperlink" Target="https://salesxceleration.com/wp-content/uploads/2025/12/Comp-Plan-Error-1024x683.jpg" TargetMode="External"/><Relationship Id="rId6622" Type="http://schemas.openxmlformats.org/officeDocument/2006/relationships/hyperlink" Target="https://salesxceleration.com/wp-content/uploads/2016/04/sales-compensation-plan-part-2-300x300.jpg" TargetMode="External"/><Relationship Id="rId6616" Type="http://schemas.openxmlformats.org/officeDocument/2006/relationships/hyperlink" Target="https://salesxceleration.com/wp-content/uploads/2015/12/sales-compensation-plan-get-fired-up.jpg" TargetMode="External"/><Relationship Id="rId6617" Type="http://schemas.openxmlformats.org/officeDocument/2006/relationships/hyperlink" Target="https://salesxceleration.com/how-to-stop-circling-the-top-of-the-sales-funnel-and-make-that-sale/" TargetMode="External"/><Relationship Id="rId6614" Type="http://schemas.openxmlformats.org/officeDocument/2006/relationships/hyperlink" Target="https://salesxceleration.com/wp-content/uploads/2016/09/Advisors.jpg" TargetMode="External"/><Relationship Id="rId6615" Type="http://schemas.openxmlformats.org/officeDocument/2006/relationships/hyperlink" Target="https://salesxceleration.com/wp-content/uploads/2015/12/sales-compensation-plan-get-fired-up.jpg" TargetMode="External"/><Relationship Id="rId6618" Type="http://schemas.openxmlformats.org/officeDocument/2006/relationships/hyperlink" Target="https://salesxceleration.com/how-to-stop-circling-the-top-of-the-sales-funnel-and-make-that-sale/" TargetMode="External"/><Relationship Id="rId6619" Type="http://schemas.openxmlformats.org/officeDocument/2006/relationships/hyperlink" Target="https://salesxceleration.com/how-to-stop-circling-the-top-of-the-sales-funnel-and-make-that-sale/" TargetMode="External"/><Relationship Id="rId338" Type="http://schemas.openxmlformats.org/officeDocument/2006/relationships/hyperlink" Target="https://salesxceleration.com/find-a-consultant/" TargetMode="External"/><Relationship Id="rId337" Type="http://schemas.openxmlformats.org/officeDocument/2006/relationships/hyperlink" Target="https://salesxceleration.com/find-a-consultant/" TargetMode="External"/><Relationship Id="rId336" Type="http://schemas.openxmlformats.org/officeDocument/2006/relationships/hyperlink" Target="https://salesxceleration.com/find-a-consultant/" TargetMode="External"/><Relationship Id="rId335" Type="http://schemas.openxmlformats.org/officeDocument/2006/relationships/hyperlink" Target="https://salesxceleration.com/sales-xcelerators-peer-group/" TargetMode="External"/><Relationship Id="rId339" Type="http://schemas.openxmlformats.org/officeDocument/2006/relationships/hyperlink" Target="https://salesxceleration.com/wp-content/themes/salesxceleratione/assets/css/style.css?ver=1769123313" TargetMode="External"/><Relationship Id="rId330" Type="http://schemas.openxmlformats.org/officeDocument/2006/relationships/hyperlink" Target="https://salesxceleration.com/wp-content/uploads/2025/04/logo-etk-1024x595.png" TargetMode="External"/><Relationship Id="rId334" Type="http://schemas.openxmlformats.org/officeDocument/2006/relationships/hyperlink" Target="https://salesxceleration.com/sales-xcelerators-peer-group/" TargetMode="External"/><Relationship Id="rId6612" Type="http://schemas.openxmlformats.org/officeDocument/2006/relationships/hyperlink" Target="https://salesxceleration.com/wp-content/themes/salesxceleratione/assets/css/style.css?ver=1769123743" TargetMode="External"/><Relationship Id="rId333" Type="http://schemas.openxmlformats.org/officeDocument/2006/relationships/hyperlink" Target="https://salesxceleration.com/sales-xcelerators-peer-group/" TargetMode="External"/><Relationship Id="rId6613" Type="http://schemas.openxmlformats.org/officeDocument/2006/relationships/hyperlink" Target="https://salesxceleration.com/wp-content/uploads/2016/09/Advisors.jpg" TargetMode="External"/><Relationship Id="rId332" Type="http://schemas.openxmlformats.org/officeDocument/2006/relationships/hyperlink" Target="https://salesxceleration.com/wp-content/uploads/2021/06/logo-sales-xceleration-300x68.png" TargetMode="External"/><Relationship Id="rId6610" Type="http://schemas.openxmlformats.org/officeDocument/2006/relationships/hyperlink" Target="https://salesxceleration.com/wp-content/uploads/2021/11/Competitor-Sales-Analysis-Checklist.pdf" TargetMode="External"/><Relationship Id="rId331" Type="http://schemas.openxmlformats.org/officeDocument/2006/relationships/hyperlink" Target="https://salesxceleration.com/wp-content/uploads/2021/06/logo-sales-xceleration-300x68.png" TargetMode="External"/><Relationship Id="rId6611" Type="http://schemas.openxmlformats.org/officeDocument/2006/relationships/hyperlink" Target="https://salesxceleration.com/wp-content/themes/salesxceleratione/assets/css/style.css?ver=1769123743" TargetMode="External"/><Relationship Id="rId5318" Type="http://schemas.openxmlformats.org/officeDocument/2006/relationships/hyperlink" Target="https://salesxceleration.com/wp-content/uploads/2021/02/Sales-Pipeline-scaled-1-2048x2048.jpg" TargetMode="External"/><Relationship Id="rId6649" Type="http://schemas.openxmlformats.org/officeDocument/2006/relationships/hyperlink" Target="https://salesxceleration.com/wp-content/uploads/2017/05/DrawTheLineBlog.jpg" TargetMode="External"/><Relationship Id="rId5319" Type="http://schemas.openxmlformats.org/officeDocument/2006/relationships/hyperlink" Target="https://salesxceleration.com/wp-content/uploads/2021/02/Sales-Pipeline-scaled-1-2048x2048.jpg" TargetMode="External"/><Relationship Id="rId5316" Type="http://schemas.openxmlformats.org/officeDocument/2006/relationships/hyperlink" Target="https://salesxceleration.com/wp-content/uploads/2020/03/Business_CEO_thinking_with_employees_in_the_background-2048x2048.jpg" TargetMode="External"/><Relationship Id="rId6647" Type="http://schemas.openxmlformats.org/officeDocument/2006/relationships/hyperlink" Target="https://salesxceleration.com/sales-compensation-competitive/" TargetMode="External"/><Relationship Id="rId5317" Type="http://schemas.openxmlformats.org/officeDocument/2006/relationships/hyperlink" Target="https://salesxceleration.com/wp-content/uploads/2020/03/Business_CEO_thinking_with_employees_in_the_background-2048x2048.jpg" TargetMode="External"/><Relationship Id="rId6648" Type="http://schemas.openxmlformats.org/officeDocument/2006/relationships/hyperlink" Target="https://salesxceleration.com/sales-compensation-competitive/" TargetMode="External"/><Relationship Id="rId370" Type="http://schemas.openxmlformats.org/officeDocument/2006/relationships/hyperlink" Target="https://salesxceleration.com/wp-content/uploads/2025/12/Improving-Your-Sales-Recruitment-and-Hiring-Process-684x1024.jpg" TargetMode="External"/><Relationship Id="rId369" Type="http://schemas.openxmlformats.org/officeDocument/2006/relationships/hyperlink" Target="https://salesxceleration.com/wp-content/uploads/2025/12/Improving-Your-Sales-Recruitment-and-Hiring-Process-684x1024.jpg" TargetMode="External"/><Relationship Id="rId368" Type="http://schemas.openxmlformats.org/officeDocument/2006/relationships/hyperlink" Target="https://salesxceleration.com/wp-content/plugins/powerpack-elements/assets/css/min/widget-posts.min.css?ver=2.12.15" TargetMode="External"/><Relationship Id="rId363" Type="http://schemas.openxmlformats.org/officeDocument/2006/relationships/hyperlink" Target="https://salesxceleration.com/wp-content/plugins/powerpack-elements/assets/js/min/frontend-posts.min.js?ver=2.12.15" TargetMode="External"/><Relationship Id="rId5310" Type="http://schemas.openxmlformats.org/officeDocument/2006/relationships/hyperlink" Target="https://salesxceleration.com/wp-content/uploads/2021/12/social-media.jpg" TargetMode="External"/><Relationship Id="rId6641" Type="http://schemas.openxmlformats.org/officeDocument/2006/relationships/hyperlink" Target="https://salesxceleration.com/wp-content/uploads/2015/03/sales-compensation-plan-2048x2048.png" TargetMode="External"/><Relationship Id="rId362" Type="http://schemas.openxmlformats.org/officeDocument/2006/relationships/hyperlink" Target="https://salesxceleration.com/wp-content/plugins/powerpack-elements/assets/js/min/frontend-posts.min.js?ver=2.12.15" TargetMode="External"/><Relationship Id="rId5311" Type="http://schemas.openxmlformats.org/officeDocument/2006/relationships/hyperlink" Target="https://salesxceleration.com/wp-content/uploads/2021/12/social-media.jpg" TargetMode="External"/><Relationship Id="rId6642" Type="http://schemas.openxmlformats.org/officeDocument/2006/relationships/hyperlink" Target="https://salesxceleration.com/wp-content/uploads/2018/04/newyayaya-2048x2048.jpg" TargetMode="External"/><Relationship Id="rId361" Type="http://schemas.openxmlformats.org/officeDocument/2006/relationships/hyperlink" Target="https://salesxceleration.com/the-importance-of-building-a-top-performing-sales-team/" TargetMode="External"/><Relationship Id="rId360" Type="http://schemas.openxmlformats.org/officeDocument/2006/relationships/hyperlink" Target="https://salesxceleration.com/the-importance-of-building-a-top-performing-sales-team/" TargetMode="External"/><Relationship Id="rId6640" Type="http://schemas.openxmlformats.org/officeDocument/2006/relationships/hyperlink" Target="https://salesxceleration.com/wp-content/uploads/2015/03/sales-compensation-plan-2048x2048.png" TargetMode="External"/><Relationship Id="rId367" Type="http://schemas.openxmlformats.org/officeDocument/2006/relationships/hyperlink" Target="https://salesxceleration.com/wp-content/plugins/powerpack-elements/assets/css/min/widget-posts.min.css?ver=2.12.15" TargetMode="External"/><Relationship Id="rId5314" Type="http://schemas.openxmlformats.org/officeDocument/2006/relationships/hyperlink" Target="https://salesxceleration.com/wp-content/uploads/2021/04/Sales-Goal-Meeting.png" TargetMode="External"/><Relationship Id="rId6645" Type="http://schemas.openxmlformats.org/officeDocument/2006/relationships/hyperlink" Target="https://salesxceleration.com/wp-content/themes/salesxceleratione/assets/css/style.css?ver=1769123832" TargetMode="External"/><Relationship Id="rId366" Type="http://schemas.openxmlformats.org/officeDocument/2006/relationships/hyperlink" Target="https://salesxceleration.com/what-if-you-knew-exactly-what-your-customers-wanted-next/" TargetMode="External"/><Relationship Id="rId5315" Type="http://schemas.openxmlformats.org/officeDocument/2006/relationships/hyperlink" Target="https://salesxceleration.com/wp-content/uploads/2021/04/Sales-Goal-Meeting.png" TargetMode="External"/><Relationship Id="rId6646" Type="http://schemas.openxmlformats.org/officeDocument/2006/relationships/hyperlink" Target="https://salesxceleration.com/sales-compensation-competitive/" TargetMode="External"/><Relationship Id="rId365" Type="http://schemas.openxmlformats.org/officeDocument/2006/relationships/hyperlink" Target="https://salesxceleration.com/what-if-you-knew-exactly-what-your-customers-wanted-next/" TargetMode="External"/><Relationship Id="rId5312" Type="http://schemas.openxmlformats.org/officeDocument/2006/relationships/hyperlink" Target="https://salesxceleration.com/wp-content/uploads/2021/11/backpack.jpeg" TargetMode="External"/><Relationship Id="rId6643" Type="http://schemas.openxmlformats.org/officeDocument/2006/relationships/hyperlink" Target="https://salesxceleration.com/wp-content/uploads/2018/04/newyayaya-2048x2048.jpg" TargetMode="External"/><Relationship Id="rId364" Type="http://schemas.openxmlformats.org/officeDocument/2006/relationships/hyperlink" Target="https://salesxceleration.com/what-if-you-knew-exactly-what-your-customers-wanted-next/" TargetMode="External"/><Relationship Id="rId5313" Type="http://schemas.openxmlformats.org/officeDocument/2006/relationships/hyperlink" Target="https://salesxceleration.com/wp-content/uploads/2021/11/backpack.jpeg" TargetMode="External"/><Relationship Id="rId6644" Type="http://schemas.openxmlformats.org/officeDocument/2006/relationships/hyperlink" Target="https://salesxceleration.com/wp-content/themes/salesxceleratione/assets/css/style.css?ver=1769123832" TargetMode="External"/><Relationship Id="rId95" Type="http://schemas.openxmlformats.org/officeDocument/2006/relationships/hyperlink" Target="https://salesxceleration.com/news-events/" TargetMode="External"/><Relationship Id="rId5307" Type="http://schemas.openxmlformats.org/officeDocument/2006/relationships/hyperlink" Target="https://salesxceleration.com/results-thats-all-that-matters-right/" TargetMode="External"/><Relationship Id="rId6638" Type="http://schemas.openxmlformats.org/officeDocument/2006/relationships/hyperlink" Target="https://salesxceleration.com/wp-content/uploads/2016/04/managing-growth-compensation-plan.jpg" TargetMode="External"/><Relationship Id="rId94" Type="http://schemas.openxmlformats.org/officeDocument/2006/relationships/hyperlink" Target="https://salesxceleration.com/news-events/" TargetMode="External"/><Relationship Id="rId5308" Type="http://schemas.openxmlformats.org/officeDocument/2006/relationships/hyperlink" Target="https://salesxceleration.com/wp-content/themes/salesxceleratione/assets/css/style.css?ver=1769123620" TargetMode="External"/><Relationship Id="rId6639" Type="http://schemas.openxmlformats.org/officeDocument/2006/relationships/hyperlink" Target="https://salesxceleration.com/wp-content/uploads/2016/04/managing-growth-compensation-plan.jpg" TargetMode="External"/><Relationship Id="rId97" Type="http://schemas.openxmlformats.org/officeDocument/2006/relationships/hyperlink" Target="https://salesxceleration.com/wp-content/uploads/2025/02/Regional-partner-24-North-America-bg.png" TargetMode="External"/><Relationship Id="rId5305" Type="http://schemas.openxmlformats.org/officeDocument/2006/relationships/hyperlink" Target="https://salesxceleration.com/results-thats-all-that-matters-right/" TargetMode="External"/><Relationship Id="rId6636" Type="http://schemas.openxmlformats.org/officeDocument/2006/relationships/hyperlink" Target="https://salesxceleration.com/wp-content/uploads/2017/05/DrawTheLineBlog-300x169.jpg" TargetMode="External"/><Relationship Id="rId96" Type="http://schemas.openxmlformats.org/officeDocument/2006/relationships/hyperlink" Target="https://salesxceleration.com/wp-content/uploads/2025/02/Regional-partner-24-North-America-bg.png" TargetMode="External"/><Relationship Id="rId5306" Type="http://schemas.openxmlformats.org/officeDocument/2006/relationships/hyperlink" Target="https://salesxceleration.com/results-thats-all-that-matters-right/" TargetMode="External"/><Relationship Id="rId6637" Type="http://schemas.openxmlformats.org/officeDocument/2006/relationships/hyperlink" Target="https://salesxceleration.com/wp-content/uploads/2017/05/DrawTheLineBlog-300x169.jpg" TargetMode="External"/><Relationship Id="rId99" Type="http://schemas.openxmlformats.org/officeDocument/2006/relationships/hyperlink" Target="https://salesxceleration.com/private-equity-solutions/portfolio-company/" TargetMode="External"/><Relationship Id="rId98" Type="http://schemas.openxmlformats.org/officeDocument/2006/relationships/hyperlink" Target="https://salesxceleration.com/private-equity-solutions/portfolio-company/" TargetMode="External"/><Relationship Id="rId5309" Type="http://schemas.openxmlformats.org/officeDocument/2006/relationships/hyperlink" Target="https://salesxceleration.com/wp-content/themes/salesxceleratione/assets/css/style.css?ver=1769123620" TargetMode="External"/><Relationship Id="rId91" Type="http://schemas.openxmlformats.org/officeDocument/2006/relationships/hyperlink" Target="https://salesxceleration.com/become-a-consultant/" TargetMode="External"/><Relationship Id="rId90" Type="http://schemas.openxmlformats.org/officeDocument/2006/relationships/hyperlink" Target="https://salesxceleration.com/become-a-consultant/" TargetMode="External"/><Relationship Id="rId93" Type="http://schemas.openxmlformats.org/officeDocument/2006/relationships/hyperlink" Target="https://salesxceleration.com/news-events/" TargetMode="External"/><Relationship Id="rId92" Type="http://schemas.openxmlformats.org/officeDocument/2006/relationships/hyperlink" Target="https://salesxceleration.com/become-a-consultant/" TargetMode="External"/><Relationship Id="rId359" Type="http://schemas.openxmlformats.org/officeDocument/2006/relationships/hyperlink" Target="https://salesxceleration.com/the-importance-of-building-a-top-performing-sales-team/" TargetMode="External"/><Relationship Id="rId358" Type="http://schemas.openxmlformats.org/officeDocument/2006/relationships/hyperlink" Target="https://salesxceleration.com/wp-includes/js/imagesloaded.min.js?ver=5.0.0" TargetMode="External"/><Relationship Id="rId357" Type="http://schemas.openxmlformats.org/officeDocument/2006/relationships/hyperlink" Target="https://salesxceleration.com/wp-includes/js/imagesloaded.min.js?ver=5.0.0" TargetMode="External"/><Relationship Id="rId352" Type="http://schemas.openxmlformats.org/officeDocument/2006/relationships/hyperlink" Target="https://salesxceleration.com/wp-content/plugins/powerpack-elements/assets/lib/isotope/isotope.pkgd.min.js?ver=0.5.3" TargetMode="External"/><Relationship Id="rId6630" Type="http://schemas.openxmlformats.org/officeDocument/2006/relationships/hyperlink" Target="https://salesxceleration.com/growth-with-right-compensation-plan/" TargetMode="External"/><Relationship Id="rId351" Type="http://schemas.openxmlformats.org/officeDocument/2006/relationships/hyperlink" Target="https://salesxceleration.com/wp-content/plugins/powerpack-elements/assets/lib/isotope/isotope.pkgd.min.js?ver=0.5.3" TargetMode="External"/><Relationship Id="rId5300" Type="http://schemas.openxmlformats.org/officeDocument/2006/relationships/hyperlink" Target="https://salesxceleration.com/wp-content/uploads/2020/11/forbes-expert-panel-2048x2048.jpg" TargetMode="External"/><Relationship Id="rId6631" Type="http://schemas.openxmlformats.org/officeDocument/2006/relationships/hyperlink" Target="https://salesxceleration.com/growth-with-right-compensation-plan/" TargetMode="External"/><Relationship Id="rId350" Type="http://schemas.openxmlformats.org/officeDocument/2006/relationships/hyperlink" Target="https://salesxceleration.com/hiring-a-sales-team-the-dos-and-donts-of-finding-the-right-candidates/" TargetMode="External"/><Relationship Id="rId356" Type="http://schemas.openxmlformats.org/officeDocument/2006/relationships/hyperlink" Target="https://salesxceleration.com/category/revenue-growth/" TargetMode="External"/><Relationship Id="rId5303" Type="http://schemas.openxmlformats.org/officeDocument/2006/relationships/hyperlink" Target="https://salesxceleration.com/wp-content/uploads/2022/01/United-Sales-Team.jpg" TargetMode="External"/><Relationship Id="rId6634" Type="http://schemas.openxmlformats.org/officeDocument/2006/relationships/hyperlink" Target="https://salesxceleration.com/wp-content/uploads/2016/05/Sales-compensation-plan--300x143.jpg" TargetMode="External"/><Relationship Id="rId355" Type="http://schemas.openxmlformats.org/officeDocument/2006/relationships/hyperlink" Target="https://salesxceleration.com/category/revenue-growth/page/2/" TargetMode="External"/><Relationship Id="rId5304" Type="http://schemas.openxmlformats.org/officeDocument/2006/relationships/hyperlink" Target="https://salesxceleration.com/wp-content/uploads/2022/01/United-Sales-Team.jpg" TargetMode="External"/><Relationship Id="rId6635" Type="http://schemas.openxmlformats.org/officeDocument/2006/relationships/hyperlink" Target="https://salesxceleration.com/wp-content/uploads/2016/05/Sales-compensation-plan--300x143.jpg" TargetMode="External"/><Relationship Id="rId354" Type="http://schemas.openxmlformats.org/officeDocument/2006/relationships/hyperlink" Target="https://salesxceleration.com/category/revenue-growth/" TargetMode="External"/><Relationship Id="rId5301" Type="http://schemas.openxmlformats.org/officeDocument/2006/relationships/hyperlink" Target="https://salesxceleration.com/wp-content/uploads/2021/01/Sales-Process-Meeting-scaled-1-2048x2048.jpg" TargetMode="External"/><Relationship Id="rId6632" Type="http://schemas.openxmlformats.org/officeDocument/2006/relationships/hyperlink" Target="https://salesxceleration.com/wp-content/uploads/2016/05/Compensation-Payment-Plan--300x300.jpg" TargetMode="External"/><Relationship Id="rId353" Type="http://schemas.openxmlformats.org/officeDocument/2006/relationships/hyperlink" Target="https://salesxceleration.com/category/revenue-growth/" TargetMode="External"/><Relationship Id="rId5302" Type="http://schemas.openxmlformats.org/officeDocument/2006/relationships/hyperlink" Target="https://salesxceleration.com/wp-content/uploads/2021/01/Sales-Process-Meeting-scaled-1-2048x2048.jpg" TargetMode="External"/><Relationship Id="rId6633" Type="http://schemas.openxmlformats.org/officeDocument/2006/relationships/hyperlink" Target="https://salesxceleration.com/wp-content/uploads/2016/05/Compensation-Payment-Plan--300x300.jpg" TargetMode="External"/><Relationship Id="rId305" Type="http://schemas.openxmlformats.org/officeDocument/2006/relationships/hyperlink" Target="https://salesxceleration.com/industries/legal/" TargetMode="External"/><Relationship Id="rId304" Type="http://schemas.openxmlformats.org/officeDocument/2006/relationships/hyperlink" Target="https://salesxceleration.com/case-study/revitalizing-sales-strategy-for-sustained-growth-human-resources-case-study/" TargetMode="External"/><Relationship Id="rId303" Type="http://schemas.openxmlformats.org/officeDocument/2006/relationships/hyperlink" Target="https://salesxceleration.com/case-study/revitalizing-sales-strategy-for-sustained-growth-human-resources-case-study/" TargetMode="External"/><Relationship Id="rId302" Type="http://schemas.openxmlformats.org/officeDocument/2006/relationships/hyperlink" Target="https://salesxceleration.com/case-study/revitalizing-sales-strategy-for-sustained-growth-human-resources-case-study/" TargetMode="External"/><Relationship Id="rId309" Type="http://schemas.openxmlformats.org/officeDocument/2006/relationships/hyperlink" Target="https://salesxceleration.com/wp-content/plugins/powerpack-elements/assets/lib/particles/particles.min.js?ver=2.0.0" TargetMode="External"/><Relationship Id="rId308" Type="http://schemas.openxmlformats.org/officeDocument/2006/relationships/hyperlink" Target="https://salesxceleration.com/wp-content/plugins/powerpack-elements/assets/lib/particles/particles.min.js?ver=2.0.0" TargetMode="External"/><Relationship Id="rId307" Type="http://schemas.openxmlformats.org/officeDocument/2006/relationships/hyperlink" Target="https://salesxceleration.com/industries/legal/" TargetMode="External"/><Relationship Id="rId306" Type="http://schemas.openxmlformats.org/officeDocument/2006/relationships/hyperlink" Target="https://salesxceleration.com/industries/legal/" TargetMode="External"/><Relationship Id="rId301" Type="http://schemas.openxmlformats.org/officeDocument/2006/relationships/hyperlink" Target="https://salesxceleration.com/wp-content/plugins/image-map-pro-wordpress/css/image-map-pro.min.css?ver=5.3.2" TargetMode="External"/><Relationship Id="rId300" Type="http://schemas.openxmlformats.org/officeDocument/2006/relationships/hyperlink" Target="https://salesxceleration.com/wp-content/plugins/image-map-pro-wordpress/css/image-map-pro.min.css?ver=5.3.2" TargetMode="External"/><Relationship Id="rId6605" Type="http://schemas.openxmlformats.org/officeDocument/2006/relationships/hyperlink" Target="https://salesxceleration.com/wp-content/themes/salesxceleratione/assets/css/style.css?ver=1769123746" TargetMode="External"/><Relationship Id="rId6606" Type="http://schemas.openxmlformats.org/officeDocument/2006/relationships/hyperlink" Target="https://salesxceleration.com/why-sales-managers-must-be-coaches-so-salespeople-can-perform-when-it-counts" TargetMode="External"/><Relationship Id="rId6603" Type="http://schemas.openxmlformats.org/officeDocument/2006/relationships/hyperlink" Target="https://salesxceleration.com/managing-your-business-the-butler-way" TargetMode="External"/><Relationship Id="rId6604" Type="http://schemas.openxmlformats.org/officeDocument/2006/relationships/hyperlink" Target="https://salesxceleration.com/wp-content/themes/salesxceleratione/assets/css/style.css?ver=1769123746" TargetMode="External"/><Relationship Id="rId6609" Type="http://schemas.openxmlformats.org/officeDocument/2006/relationships/hyperlink" Target="https://salesxceleration.com/wp-content/uploads/2021/11/Competitor-Sales-Analysis-Checklist.pdf" TargetMode="External"/><Relationship Id="rId6607" Type="http://schemas.openxmlformats.org/officeDocument/2006/relationships/hyperlink" Target="https://salesxceleration.com/why-sales-managers-must-be-coaches-so-salespeople-can-perform-when-it-counts/" TargetMode="External"/><Relationship Id="rId6608" Type="http://schemas.openxmlformats.org/officeDocument/2006/relationships/hyperlink" Target="https://salesxceleration.com/why-sales-managers-must-be-coaches-so-salespeople-can-perform-when-it-counts" TargetMode="External"/><Relationship Id="rId327" Type="http://schemas.openxmlformats.org/officeDocument/2006/relationships/hyperlink" Target="https://salesxceleration.com/wp-includes/js/jquery/jquery.min.js?ver=3.7.1" TargetMode="External"/><Relationship Id="rId326" Type="http://schemas.openxmlformats.org/officeDocument/2006/relationships/hyperlink" Target="https://salesxceleration.com/wp-content/uploads/2021/11/uk-map-972x1024.png" TargetMode="External"/><Relationship Id="rId325" Type="http://schemas.openxmlformats.org/officeDocument/2006/relationships/hyperlink" Target="https://salesxceleration.com/wp-content/uploads/2021/11/uk-map-972x1024.png" TargetMode="External"/><Relationship Id="rId324" Type="http://schemas.openxmlformats.org/officeDocument/2006/relationships/hyperlink" Target="https://salesxceleration.com/wp-content/plugins/powerpack-elements/assets/lib/smartmenu/jquery.smartmenus.min.js?ver=1.1.1" TargetMode="External"/><Relationship Id="rId329" Type="http://schemas.openxmlformats.org/officeDocument/2006/relationships/hyperlink" Target="https://salesxceleration.com/wp-content/uploads/2025/04/logo-etk-1024x595.png" TargetMode="External"/><Relationship Id="rId328" Type="http://schemas.openxmlformats.org/officeDocument/2006/relationships/hyperlink" Target="https://salesxceleration.com/wp-includes/js/jquery/jquery.min.js?ver=3.7.1" TargetMode="External"/><Relationship Id="rId323" Type="http://schemas.openxmlformats.org/officeDocument/2006/relationships/hyperlink" Target="https://salesxceleration.com/wp-content/plugins/powerpack-elements/assets/lib/smartmenu/jquery.smartmenus.min.js?ver=1.1.1" TargetMode="External"/><Relationship Id="rId6601" Type="http://schemas.openxmlformats.org/officeDocument/2006/relationships/hyperlink" Target="https://salesxceleration.com/managing-your-business-the-butler-way" TargetMode="External"/><Relationship Id="rId322" Type="http://schemas.openxmlformats.org/officeDocument/2006/relationships/hyperlink" Target="https://salesxceleration.com/wp-content/plugins/powerpack-elements/assets/js/min/frontend-advanced-menu.min.js?ver=2.12.15" TargetMode="External"/><Relationship Id="rId6602" Type="http://schemas.openxmlformats.org/officeDocument/2006/relationships/hyperlink" Target="https://salesxceleration.com/managing-your-business-the-butler-way/" TargetMode="External"/><Relationship Id="rId321" Type="http://schemas.openxmlformats.org/officeDocument/2006/relationships/hyperlink" Target="https://salesxceleration.com/wp-content/plugins/powerpack-elements/assets/js/min/frontend-advanced-menu.min.js?ver=2.12.15" TargetMode="External"/><Relationship Id="rId320" Type="http://schemas.openxmlformats.org/officeDocument/2006/relationships/hyperlink" Target="https://salesxceleration.com/wp-content/uploads/2021/07/award-5.svg" TargetMode="External"/><Relationship Id="rId6600" Type="http://schemas.openxmlformats.org/officeDocument/2006/relationships/hyperlink" Target="https://salesxceleration.com/wp-content/uploads/2018/11/shutterstock_145160692-scaled.jpg" TargetMode="External"/><Relationship Id="rId316" Type="http://schemas.openxmlformats.org/officeDocument/2006/relationships/hyperlink" Target="https://salesxceleration.com/wp-content/plugins/elementor/assets/lib/eicons/css/elementor-icons.min.css?ver=5.45.0" TargetMode="External"/><Relationship Id="rId315" Type="http://schemas.openxmlformats.org/officeDocument/2006/relationships/hyperlink" Target="https://salesxceleration.com/wp-content/plugins/elementor/assets/lib/eicons/css/elementor-icons.min.css?ver=5.45.0" TargetMode="External"/><Relationship Id="rId314" Type="http://schemas.openxmlformats.org/officeDocument/2006/relationships/hyperlink" Target="https://salesxceleration.com/wp-content/plugins/elementor/assets/lib/font-awesome/css/regular.min.css?ver=5.15.3" TargetMode="External"/><Relationship Id="rId313" Type="http://schemas.openxmlformats.org/officeDocument/2006/relationships/hyperlink" Target="https://salesxceleration.com/wp-content/plugins/elementor/assets/lib/font-awesome/css/regular.min.css?ver=5.15.3" TargetMode="External"/><Relationship Id="rId319" Type="http://schemas.openxmlformats.org/officeDocument/2006/relationships/hyperlink" Target="https://salesxceleration.com/wp-content/uploads/2021/07/award-5.svg" TargetMode="External"/><Relationship Id="rId318" Type="http://schemas.openxmlformats.org/officeDocument/2006/relationships/hyperlink" Target="https://salesxceleration.com/cdn-cgi/scripts/5c5dd728/cloudflare-static/email-decode.min.js" TargetMode="External"/><Relationship Id="rId317" Type="http://schemas.openxmlformats.org/officeDocument/2006/relationships/hyperlink" Target="https://salesxceleration.com/cdn-cgi/scripts/5c5dd728/cloudflare-static/email-decode.min.js" TargetMode="External"/><Relationship Id="rId312" Type="http://schemas.openxmlformats.org/officeDocument/2006/relationships/hyperlink" Target="https://salesxceleration.com/industries/" TargetMode="External"/><Relationship Id="rId311" Type="http://schemas.openxmlformats.org/officeDocument/2006/relationships/hyperlink" Target="https://salesxceleration.com/industries/" TargetMode="External"/><Relationship Id="rId310" Type="http://schemas.openxmlformats.org/officeDocument/2006/relationships/hyperlink" Target="https://salesxceleration.com/industries/" TargetMode="External"/><Relationship Id="rId4040" Type="http://schemas.openxmlformats.org/officeDocument/2006/relationships/hyperlink" Target="https://salesxceleration.com/sales-agility-assessment/?locationid=26869400" TargetMode="External"/><Relationship Id="rId5372" Type="http://schemas.openxmlformats.org/officeDocument/2006/relationships/hyperlink" Target="https://salesxceleration.com/wp-content/uploads/2020/12/business-man.jpg" TargetMode="External"/><Relationship Id="rId5373" Type="http://schemas.openxmlformats.org/officeDocument/2006/relationships/hyperlink" Target="https://salesxceleration.com/wp-content/uploads/2020/12/business-man.jpg" TargetMode="External"/><Relationship Id="rId4042" Type="http://schemas.openxmlformats.org/officeDocument/2006/relationships/hyperlink" Target="https://salesxceleration.com/sales-agility-assessment/?locationid=26869400" TargetMode="External"/><Relationship Id="rId5370" Type="http://schemas.openxmlformats.org/officeDocument/2006/relationships/hyperlink" Target="https://salesxceleration.com/wp-content/uploads/2021/04/131501-viewpoints-rocketman-ORG-2048x2048.jpg" TargetMode="External"/><Relationship Id="rId4041" Type="http://schemas.openxmlformats.org/officeDocument/2006/relationships/hyperlink" Target="https://salesxceleration.com/sales-agility-assessment/" TargetMode="External"/><Relationship Id="rId5371" Type="http://schemas.openxmlformats.org/officeDocument/2006/relationships/hyperlink" Target="https://salesxceleration.com/wp-content/uploads/2021/04/131501-viewpoints-rocketman-ORG-2048x2048.jpg" TargetMode="External"/><Relationship Id="rId4044" Type="http://schemas.openxmlformats.org/officeDocument/2006/relationships/hyperlink" Target="https://salesxceleration.com/how-to-develop-a-sales-compensation-plan/" TargetMode="External"/><Relationship Id="rId5376" Type="http://schemas.openxmlformats.org/officeDocument/2006/relationships/hyperlink" Target="https://salesxceleration.com/wp-content/uploads/2021/03/Sales-Forecasting-Meeting.jpg" TargetMode="External"/><Relationship Id="rId4043" Type="http://schemas.openxmlformats.org/officeDocument/2006/relationships/hyperlink" Target="https://salesxceleration.com/how-to-develop-a-sales-compensation-plan/" TargetMode="External"/><Relationship Id="rId5377" Type="http://schemas.openxmlformats.org/officeDocument/2006/relationships/hyperlink" Target="https://salesxceleration.com/wp-content/uploads/2021/03/Sales-Forecasting-Meeting.jpg" TargetMode="External"/><Relationship Id="rId4046" Type="http://schemas.openxmlformats.org/officeDocument/2006/relationships/hyperlink" Target="https://salesxceleration.com/why-sales-forecasting-will-be-more-important-than-ever-in-2021/" TargetMode="External"/><Relationship Id="rId5374" Type="http://schemas.openxmlformats.org/officeDocument/2006/relationships/hyperlink" Target="https://salesxceleration.com/wp-content/uploads/2021/03/Sales-Strategy-Meeting-scaled-1-2048x2048.jpg" TargetMode="External"/><Relationship Id="rId4045" Type="http://schemas.openxmlformats.org/officeDocument/2006/relationships/hyperlink" Target="https://salesxceleration.com/how-to-develop-a-sales-compensation-plan/" TargetMode="External"/><Relationship Id="rId5375" Type="http://schemas.openxmlformats.org/officeDocument/2006/relationships/hyperlink" Target="https://salesxceleration.com/wp-content/uploads/2021/03/Sales-Strategy-Meeting-scaled-1-2048x2048.jpg" TargetMode="External"/><Relationship Id="rId4048" Type="http://schemas.openxmlformats.org/officeDocument/2006/relationships/hyperlink" Target="https://salesxceleration.com/why-sales-forecasting-will-be-more-important-than-ever-in-2021/" TargetMode="External"/><Relationship Id="rId4047" Type="http://schemas.openxmlformats.org/officeDocument/2006/relationships/hyperlink" Target="https://salesxceleration.com/why-sales-forecasting-will-be-more-important-than-ever-in-2021/" TargetMode="External"/><Relationship Id="rId5378" Type="http://schemas.openxmlformats.org/officeDocument/2006/relationships/hyperlink" Target="https://salesxceleration.com/wp-content/themes/salesxceleratione/assets/css/style.css?ver=1769123625" TargetMode="External"/><Relationship Id="rId4049" Type="http://schemas.openxmlformats.org/officeDocument/2006/relationships/hyperlink" Target="https://salesxceleration.com/wp-content/uploads/2021/03/Pouring-Sauce-scaled-1-300x300.jpg" TargetMode="External"/><Relationship Id="rId5379" Type="http://schemas.openxmlformats.org/officeDocument/2006/relationships/hyperlink" Target="https://salesxceleration.com/wp-content/themes/salesxceleratione/assets/css/style.css?ver=1769123625" TargetMode="External"/><Relationship Id="rId5361" Type="http://schemas.openxmlformats.org/officeDocument/2006/relationships/hyperlink" Target="https://salesxceleration.com/wp-content/uploads/2021/03/Sales-Strategy-Meeting-scaled-1.jpg" TargetMode="External"/><Relationship Id="rId6692" Type="http://schemas.openxmlformats.org/officeDocument/2006/relationships/hyperlink" Target="https://salesxceleration.com/wp-content/themes/salesxceleratione/assets/css/style.css?ver=1769123817" TargetMode="External"/><Relationship Id="rId5362" Type="http://schemas.openxmlformats.org/officeDocument/2006/relationships/hyperlink" Target="https://salesxceleration.com/wp-content/themes/salesxceleratione/assets/css/style.css?ver=1769123624" TargetMode="External"/><Relationship Id="rId6693" Type="http://schemas.openxmlformats.org/officeDocument/2006/relationships/hyperlink" Target="https://salesxceleration.com/wp-content/uploads/2023/04/Sales-Leaders-Working-in-Office.jpg" TargetMode="External"/><Relationship Id="rId4031" Type="http://schemas.openxmlformats.org/officeDocument/2006/relationships/hyperlink" Target="https://salesxceleration.com/wp-content/uploads/2020/11/forbes-expert-panel-300x300.jpg" TargetMode="External"/><Relationship Id="rId6690" Type="http://schemas.openxmlformats.org/officeDocument/2006/relationships/hyperlink" Target="https://salesxceleration.com/wp-content/uploads/2023/04/Sales-Team-discussing-recession.jpg" TargetMode="External"/><Relationship Id="rId4030" Type="http://schemas.openxmlformats.org/officeDocument/2006/relationships/hyperlink" Target="https://salesxceleration.com/wp-content/uploads/2020/09/Online-Sales-Meeting-scaled-1-300x300.jpg" TargetMode="External"/><Relationship Id="rId5360" Type="http://schemas.openxmlformats.org/officeDocument/2006/relationships/hyperlink" Target="https://salesxceleration.com/wp-content/uploads/2021/03/Sales-Strategy-Meeting-scaled-1.jpg" TargetMode="External"/><Relationship Id="rId6691" Type="http://schemas.openxmlformats.org/officeDocument/2006/relationships/hyperlink" Target="https://salesxceleration.com/wp-content/themes/salesxceleratione/assets/css/style.css?ver=1769123817" TargetMode="External"/><Relationship Id="rId297" Type="http://schemas.openxmlformats.org/officeDocument/2006/relationships/hyperlink" Target="https://salesxceleration.com/case-studies/" TargetMode="External"/><Relationship Id="rId4033" Type="http://schemas.openxmlformats.org/officeDocument/2006/relationships/hyperlink" Target="https://salesxceleration.com/wp-content/uploads/2020/12/business-man-300x300.jpg" TargetMode="External"/><Relationship Id="rId5365" Type="http://schemas.openxmlformats.org/officeDocument/2006/relationships/hyperlink" Target="https://salesxceleration.com/wp-content/uploads/2021/03/Pouring-Sauce-scaled-1-2048x2048.jpg" TargetMode="External"/><Relationship Id="rId6696" Type="http://schemas.openxmlformats.org/officeDocument/2006/relationships/hyperlink" Target="https://salesxceleration.com/wp-content/uploads/2022/06/Client-Connection.jpg" TargetMode="External"/><Relationship Id="rId296" Type="http://schemas.openxmlformats.org/officeDocument/2006/relationships/hyperlink" Target="https://salesxceleration.com/wp-content/plugins/elementor/assets/css/widget-icon-box.min.css?ver=3.34.0" TargetMode="External"/><Relationship Id="rId4032" Type="http://schemas.openxmlformats.org/officeDocument/2006/relationships/hyperlink" Target="https://salesxceleration.com/wp-content/uploads/2020/11/forbes-expert-panel-300x300.jpg" TargetMode="External"/><Relationship Id="rId5366" Type="http://schemas.openxmlformats.org/officeDocument/2006/relationships/hyperlink" Target="https://salesxceleration.com/wp-content/uploads/2021/02/Sales-Pipeline-scaled-1.jpg" TargetMode="External"/><Relationship Id="rId6697" Type="http://schemas.openxmlformats.org/officeDocument/2006/relationships/hyperlink" Target="https://salesxceleration.com/wp-content/uploads/2022/06/Business-Meeting.jpg" TargetMode="External"/><Relationship Id="rId295" Type="http://schemas.openxmlformats.org/officeDocument/2006/relationships/hyperlink" Target="https://salesxceleration.com/wp-content/plugins/elementor/assets/css/widget-icon-box.min.css?ver=3.34.0" TargetMode="External"/><Relationship Id="rId4035" Type="http://schemas.openxmlformats.org/officeDocument/2006/relationships/hyperlink" Target="https://salesxceleration.com/author/jclair/" TargetMode="External"/><Relationship Id="rId5363" Type="http://schemas.openxmlformats.org/officeDocument/2006/relationships/hyperlink" Target="https://salesxceleration.com/wp-content/themes/salesxceleratione/assets/css/style.css?ver=1769123624" TargetMode="External"/><Relationship Id="rId6694" Type="http://schemas.openxmlformats.org/officeDocument/2006/relationships/hyperlink" Target="https://salesxceleration.com/wp-content/uploads/2023/04/Sales-Leaders-Working-in-Office.jpg" TargetMode="External"/><Relationship Id="rId294" Type="http://schemas.openxmlformats.org/officeDocument/2006/relationships/hyperlink" Target="https://salesxceleration.com/wp-content/uploads/elementor/thumbs/flag-uk-qsy487bcc3b1xu34tjwg8gagb1j9dyt5pi3unmhno6.jpg" TargetMode="External"/><Relationship Id="rId4034" Type="http://schemas.openxmlformats.org/officeDocument/2006/relationships/hyperlink" Target="https://salesxceleration.com/wp-content/uploads/2020/12/business-man-300x300.jpg" TargetMode="External"/><Relationship Id="rId5364" Type="http://schemas.openxmlformats.org/officeDocument/2006/relationships/hyperlink" Target="https://salesxceleration.com/wp-content/uploads/2021/03/Pouring-Sauce-scaled-1-2048x2048.jpg" TargetMode="External"/><Relationship Id="rId6695" Type="http://schemas.openxmlformats.org/officeDocument/2006/relationships/hyperlink" Target="https://salesxceleration.com/wp-content/uploads/2022/06/Client-Connection.jpg" TargetMode="External"/><Relationship Id="rId4037" Type="http://schemas.openxmlformats.org/officeDocument/2006/relationships/hyperlink" Target="https://salesxceleration.com/author/jclair/" TargetMode="External"/><Relationship Id="rId5369" Type="http://schemas.openxmlformats.org/officeDocument/2006/relationships/hyperlink" Target="https://salesxceleration.com/wp-content/uploads/2020/11/forbes-expert-panel.jpg" TargetMode="External"/><Relationship Id="rId4036" Type="http://schemas.openxmlformats.org/officeDocument/2006/relationships/hyperlink" Target="https://salesxceleration.com/author/jclair/" TargetMode="External"/><Relationship Id="rId299" Type="http://schemas.openxmlformats.org/officeDocument/2006/relationships/hyperlink" Target="https://salesxceleration.com/case-studies/" TargetMode="External"/><Relationship Id="rId4039" Type="http://schemas.openxmlformats.org/officeDocument/2006/relationships/hyperlink" Target="https://salesxceleration.com/wp-content/uploads/2021/02/Sales-Pipeline-scaled-1-300x300.jpg" TargetMode="External"/><Relationship Id="rId5367" Type="http://schemas.openxmlformats.org/officeDocument/2006/relationships/hyperlink" Target="https://salesxceleration.com/wp-content/uploads/2021/02/Sales-Pipeline-scaled-1.jpg" TargetMode="External"/><Relationship Id="rId6698" Type="http://schemas.openxmlformats.org/officeDocument/2006/relationships/hyperlink" Target="https://salesxceleration.com/wp-content/uploads/2022/06/Business-Meeting.jpg" TargetMode="External"/><Relationship Id="rId298" Type="http://schemas.openxmlformats.org/officeDocument/2006/relationships/hyperlink" Target="https://salesxceleration.com/case-studies/" TargetMode="External"/><Relationship Id="rId4038" Type="http://schemas.openxmlformats.org/officeDocument/2006/relationships/hyperlink" Target="https://salesxceleration.com/wp-content/uploads/2021/02/Sales-Pipeline-scaled-1-300x300.jpg" TargetMode="External"/><Relationship Id="rId5368" Type="http://schemas.openxmlformats.org/officeDocument/2006/relationships/hyperlink" Target="https://salesxceleration.com/wp-content/uploads/2020/11/forbes-expert-panel.jpg" TargetMode="External"/><Relationship Id="rId6699" Type="http://schemas.openxmlformats.org/officeDocument/2006/relationships/hyperlink" Target="https://salesxceleration.com/wp-content/themes/salesxceleratione/assets/css/style.css?ver=1769123816" TargetMode="External"/><Relationship Id="rId5390" Type="http://schemas.openxmlformats.org/officeDocument/2006/relationships/hyperlink" Target="https://salesxceleration.com/sales-agility-assessment?locationid=26295963" TargetMode="External"/><Relationship Id="rId5391" Type="http://schemas.openxmlformats.org/officeDocument/2006/relationships/hyperlink" Target="https://salesxceleration.com/sales-agility-assessment/?locationid=26295963" TargetMode="External"/><Relationship Id="rId4060" Type="http://schemas.openxmlformats.org/officeDocument/2006/relationships/hyperlink" Target="https://salesxceleration.com/mastering-your-sales-pipeline/" TargetMode="External"/><Relationship Id="rId4062" Type="http://schemas.openxmlformats.org/officeDocument/2006/relationships/hyperlink" Target="https://salesxceleration.com/wp-content/uploads/2021/01/Sales-Process-Meeting-scaled-1-300x300.jpg" TargetMode="External"/><Relationship Id="rId5394" Type="http://schemas.openxmlformats.org/officeDocument/2006/relationships/hyperlink" Target="https://salesxceleration.com/wp-content/uploads/2019/02/i-need-revenue-growth-now.jpg" TargetMode="External"/><Relationship Id="rId4061" Type="http://schemas.openxmlformats.org/officeDocument/2006/relationships/hyperlink" Target="https://salesxceleration.com/mastering-your-sales-pipeline/" TargetMode="External"/><Relationship Id="rId5395" Type="http://schemas.openxmlformats.org/officeDocument/2006/relationships/hyperlink" Target="https://salesxceleration.com/wp-content/uploads/2018/02/wallet2.jpg" TargetMode="External"/><Relationship Id="rId4064" Type="http://schemas.openxmlformats.org/officeDocument/2006/relationships/hyperlink" Target="https://salesxceleration.com/wp-content/uploads/2020/11/sales-forecasting-300x300.jpg" TargetMode="External"/><Relationship Id="rId5392" Type="http://schemas.openxmlformats.org/officeDocument/2006/relationships/hyperlink" Target="https://salesxceleration.com/sales-agility-assessment?locationid=26295963" TargetMode="External"/><Relationship Id="rId4063" Type="http://schemas.openxmlformats.org/officeDocument/2006/relationships/hyperlink" Target="https://salesxceleration.com/wp-content/uploads/2021/01/Sales-Process-Meeting-scaled-1-300x300.jpg" TargetMode="External"/><Relationship Id="rId5393" Type="http://schemas.openxmlformats.org/officeDocument/2006/relationships/hyperlink" Target="https://salesxceleration.com/wp-content/uploads/2019/02/i-need-revenue-growth-now.jpg" TargetMode="External"/><Relationship Id="rId4066" Type="http://schemas.openxmlformats.org/officeDocument/2006/relationships/hyperlink" Target="https://salesxceleration.com/14-techniques-for-onboarding-new-remote-employees/" TargetMode="External"/><Relationship Id="rId5398" Type="http://schemas.openxmlformats.org/officeDocument/2006/relationships/hyperlink" Target="https://salesxceleration.com/wp-content/themes/salesxceleratione/assets/css/style.css?ver=1769123627" TargetMode="External"/><Relationship Id="rId4065" Type="http://schemas.openxmlformats.org/officeDocument/2006/relationships/hyperlink" Target="https://salesxceleration.com/wp-content/uploads/2020/11/sales-forecasting-300x300.jpg" TargetMode="External"/><Relationship Id="rId5399" Type="http://schemas.openxmlformats.org/officeDocument/2006/relationships/hyperlink" Target="https://salesxceleration.com/wp-content/uploads/2018/04/cp.jpg" TargetMode="External"/><Relationship Id="rId4068" Type="http://schemas.openxmlformats.org/officeDocument/2006/relationships/hyperlink" Target="https://salesxceleration.com/14-techniques-for-onboarding-new-remote-employees/" TargetMode="External"/><Relationship Id="rId5396" Type="http://schemas.openxmlformats.org/officeDocument/2006/relationships/hyperlink" Target="https://salesxceleration.com/wp-content/uploads/2018/02/wallet2.jpg" TargetMode="External"/><Relationship Id="rId4067" Type="http://schemas.openxmlformats.org/officeDocument/2006/relationships/hyperlink" Target="https://salesxceleration.com/14-techniques-for-onboarding-new-remote-employees/" TargetMode="External"/><Relationship Id="rId5397" Type="http://schemas.openxmlformats.org/officeDocument/2006/relationships/hyperlink" Target="https://salesxceleration.com/wp-content/themes/salesxceleratione/assets/css/style.css?ver=1769123627" TargetMode="External"/><Relationship Id="rId4069" Type="http://schemas.openxmlformats.org/officeDocument/2006/relationships/hyperlink" Target="https://salesxceleration.com/how-to-establish-rapport-with-a-prospect-and-create-a-solid-sales-relationship/" TargetMode="External"/><Relationship Id="rId5380" Type="http://schemas.openxmlformats.org/officeDocument/2006/relationships/hyperlink" Target="https://salesxceleration.com/wp-content/uploads/2021/01/Sales-Process-Meeting-scaled-1.jpg" TargetMode="External"/><Relationship Id="rId4051" Type="http://schemas.openxmlformats.org/officeDocument/2006/relationships/hyperlink" Target="https://salesxceleration.com/next-level-sales-success-why-you-absolutely-must-assess-and-evaluate-your-sales-team-regularly/" TargetMode="External"/><Relationship Id="rId5383" Type="http://schemas.openxmlformats.org/officeDocument/2006/relationships/hyperlink" Target="https://salesxceleration.com/wp-content/uploads/2021/02/Sales-Team-Meeting-scaled-1.jpg" TargetMode="External"/><Relationship Id="rId4050" Type="http://schemas.openxmlformats.org/officeDocument/2006/relationships/hyperlink" Target="https://salesxceleration.com/wp-content/uploads/2021/03/Pouring-Sauce-scaled-1-300x300.jpg" TargetMode="External"/><Relationship Id="rId5384" Type="http://schemas.openxmlformats.org/officeDocument/2006/relationships/hyperlink" Target="https://salesxceleration.com/wp-content/themes/salesxceleratione/assets/css/style.css?ver=1769123626" TargetMode="External"/><Relationship Id="rId4053" Type="http://schemas.openxmlformats.org/officeDocument/2006/relationships/hyperlink" Target="https://salesxceleration.com/next-level-sales-success-why-you-absolutely-must-assess-and-evaluate-your-sales-team-regularly/" TargetMode="External"/><Relationship Id="rId5381" Type="http://schemas.openxmlformats.org/officeDocument/2006/relationships/hyperlink" Target="https://salesxceleration.com/wp-content/uploads/2021/01/Sales-Process-Meeting-scaled-1.jpg" TargetMode="External"/><Relationship Id="rId4052" Type="http://schemas.openxmlformats.org/officeDocument/2006/relationships/hyperlink" Target="https://salesxceleration.com/next-level-sales-success-why-you-absolutely-must-assess-and-evaluate-your-sales-team-regularly/" TargetMode="External"/><Relationship Id="rId5382" Type="http://schemas.openxmlformats.org/officeDocument/2006/relationships/hyperlink" Target="https://salesxceleration.com/wp-content/uploads/2021/02/Sales-Team-Meeting-scaled-1.jpg" TargetMode="External"/><Relationship Id="rId4055" Type="http://schemas.openxmlformats.org/officeDocument/2006/relationships/hyperlink" Target="https://salesxceleration.com/joining-sales-enablement-and-revenue-enablement-for-strategic-growth/" TargetMode="External"/><Relationship Id="rId5387" Type="http://schemas.openxmlformats.org/officeDocument/2006/relationships/hyperlink" Target="https://salesxceleration.com/wp-content/uploads/2020/09/Online-Sales-Meeting-scaled-1.jpg" TargetMode="External"/><Relationship Id="rId4054" Type="http://schemas.openxmlformats.org/officeDocument/2006/relationships/hyperlink" Target="https://salesxceleration.com/joining-sales-enablement-and-revenue-enablement-for-strategic-growth/" TargetMode="External"/><Relationship Id="rId5388" Type="http://schemas.openxmlformats.org/officeDocument/2006/relationships/hyperlink" Target="https://salesxceleration.com/wp-content/uploads/2021/03/Pouring-Sauce-scaled-1.jpg" TargetMode="External"/><Relationship Id="rId4057" Type="http://schemas.openxmlformats.org/officeDocument/2006/relationships/hyperlink" Target="https://salesxceleration.com/wp-content/uploads/2020/07/Developing-a-Comp-Plan-300x300.jpg" TargetMode="External"/><Relationship Id="rId5385" Type="http://schemas.openxmlformats.org/officeDocument/2006/relationships/hyperlink" Target="https://salesxceleration.com/wp-content/themes/salesxceleratione/assets/css/style.css?ver=1769123626" TargetMode="External"/><Relationship Id="rId4056" Type="http://schemas.openxmlformats.org/officeDocument/2006/relationships/hyperlink" Target="https://salesxceleration.com/joining-sales-enablement-and-revenue-enablement-for-strategic-growth/" TargetMode="External"/><Relationship Id="rId5386" Type="http://schemas.openxmlformats.org/officeDocument/2006/relationships/hyperlink" Target="https://salesxceleration.com/wp-content/uploads/2020/09/Online-Sales-Meeting-scaled-1.jpg" TargetMode="External"/><Relationship Id="rId4059" Type="http://schemas.openxmlformats.org/officeDocument/2006/relationships/hyperlink" Target="https://salesxceleration.com/mastering-your-sales-pipeline/" TargetMode="External"/><Relationship Id="rId4058" Type="http://schemas.openxmlformats.org/officeDocument/2006/relationships/hyperlink" Target="https://salesxceleration.com/wp-content/uploads/2020/07/Developing-a-Comp-Plan-300x300.jpg" TargetMode="External"/><Relationship Id="rId5389" Type="http://schemas.openxmlformats.org/officeDocument/2006/relationships/hyperlink" Target="https://salesxceleration.com/wp-content/uploads/2021/03/Pouring-Sauce-scaled-1.jpg" TargetMode="External"/><Relationship Id="rId4008" Type="http://schemas.openxmlformats.org/officeDocument/2006/relationships/hyperlink" Target="https://salesxceleration.com/wp-content/uploads/2023/04/Increasing-Sales-with-Existing-Customers.jpg" TargetMode="External"/><Relationship Id="rId4007" Type="http://schemas.openxmlformats.org/officeDocument/2006/relationships/hyperlink" Target="https://salesxceleration.com/wp-content/uploads/2023/04/Increasing-Sales-with-Existing-Customers.jpg" TargetMode="External"/><Relationship Id="rId5338" Type="http://schemas.openxmlformats.org/officeDocument/2006/relationships/hyperlink" Target="https://salesxceleration.com/wp-content/uploads/2022/06/Leadership-Style-300x200.jpg" TargetMode="External"/><Relationship Id="rId6669" Type="http://schemas.openxmlformats.org/officeDocument/2006/relationships/hyperlink" Target="https://salesxceleration.com/wp-content/uploads/2021/05/Virtual-Selling.jpg" TargetMode="External"/><Relationship Id="rId4009" Type="http://schemas.openxmlformats.org/officeDocument/2006/relationships/hyperlink" Target="https://salesxceleration.com/wp-content/uploads/2023/08/Benefits-of-Virtual-Selling.jpg" TargetMode="External"/><Relationship Id="rId5339" Type="http://schemas.openxmlformats.org/officeDocument/2006/relationships/hyperlink" Target="https://salesxceleration.com/sales-agility-assessment/?locationid=28605889" TargetMode="External"/><Relationship Id="rId271" Type="http://schemas.openxmlformats.org/officeDocument/2006/relationships/hyperlink" Target="https://salesxceleration.com/sales-agility-assessment/" TargetMode="External"/><Relationship Id="rId270" Type="http://schemas.openxmlformats.org/officeDocument/2006/relationships/hyperlink" Target="https://salesxceleration.com/sales-agility-assessment/" TargetMode="External"/><Relationship Id="rId269" Type="http://schemas.openxmlformats.org/officeDocument/2006/relationships/hyperlink" Target="https://salesxceleration.com/sales-agility-assessment/" TargetMode="External"/><Relationship Id="rId6660" Type="http://schemas.openxmlformats.org/officeDocument/2006/relationships/hyperlink" Target="https://salesxceleration.com/wp-content/themes/salesxceleratione/assets/css/style.css?ver=1769123831" TargetMode="External"/><Relationship Id="rId264" Type="http://schemas.openxmlformats.org/officeDocument/2006/relationships/hyperlink" Target="https://salesxceleration.com/private-equity-solutions/case-studies/" TargetMode="External"/><Relationship Id="rId4000" Type="http://schemas.openxmlformats.org/officeDocument/2006/relationships/hyperlink" Target="https://salesxceleration.com/how-to-achieve-your-business-goals-with-individual-salesperson-goals/" TargetMode="External"/><Relationship Id="rId5332" Type="http://schemas.openxmlformats.org/officeDocument/2006/relationships/hyperlink" Target="https://salesxceleration.com/author/jmachetti/" TargetMode="External"/><Relationship Id="rId6663" Type="http://schemas.openxmlformats.org/officeDocument/2006/relationships/hyperlink" Target="https://salesxceleration.com/wp-content/themes/salesxceleratione/assets/css/style.css?ver=1769123829" TargetMode="External"/><Relationship Id="rId263" Type="http://schemas.openxmlformats.org/officeDocument/2006/relationships/hyperlink" Target="https://salesxceleration.com/private-equity-solutions/case-studies/" TargetMode="External"/><Relationship Id="rId5333" Type="http://schemas.openxmlformats.org/officeDocument/2006/relationships/hyperlink" Target="https://salesxceleration.com/author/jmachetti/" TargetMode="External"/><Relationship Id="rId6664" Type="http://schemas.openxmlformats.org/officeDocument/2006/relationships/hyperlink" Target="https://salesxceleration.com/wp-content/uploads/2020/02/leap-day.jpg" TargetMode="External"/><Relationship Id="rId262" Type="http://schemas.openxmlformats.org/officeDocument/2006/relationships/hyperlink" Target="https://salesxceleration.com/private-equity-solutions/case-studies/" TargetMode="External"/><Relationship Id="rId4002" Type="http://schemas.openxmlformats.org/officeDocument/2006/relationships/hyperlink" Target="https://salesxceleration.com/do-you-need-a-crm/" TargetMode="External"/><Relationship Id="rId5330" Type="http://schemas.openxmlformats.org/officeDocument/2006/relationships/hyperlink" Target="https://salesxceleration.com/wp-content/themes/salesxceleratione/assets/css/style.css?ver=1769123622" TargetMode="External"/><Relationship Id="rId6661" Type="http://schemas.openxmlformats.org/officeDocument/2006/relationships/hyperlink" Target="https://salesxceleration.com/wp-content/themes/salesxceleratione/assets/css/style.css?ver=1769123831" TargetMode="External"/><Relationship Id="rId261" Type="http://schemas.openxmlformats.org/officeDocument/2006/relationships/hyperlink" Target="https://salesxceleration.com/wp-content/plugins/cookie-law-info/legacy/public/js/cookie-law-info-public.js?ver=3.3.9.1" TargetMode="External"/><Relationship Id="rId4001" Type="http://schemas.openxmlformats.org/officeDocument/2006/relationships/hyperlink" Target="https://salesxceleration.com/how-to-achieve-your-business-goals-with-individual-salesperson-goals/" TargetMode="External"/><Relationship Id="rId5331" Type="http://schemas.openxmlformats.org/officeDocument/2006/relationships/hyperlink" Target="https://salesxceleration.com/wp-content/themes/salesxceleratione/assets/css/style.css?ver=1769123622" TargetMode="External"/><Relationship Id="rId6662" Type="http://schemas.openxmlformats.org/officeDocument/2006/relationships/hyperlink" Target="https://salesxceleration.com/wp-content/themes/salesxceleratione/assets/css/style.css?ver=1769123829" TargetMode="External"/><Relationship Id="rId268" Type="http://schemas.openxmlformats.org/officeDocument/2006/relationships/hyperlink" Target="https://salesxceleration.com/wp-content/plugins/download-monitor/assets/js/dlm-xhr.min.js?ver=5.1.6" TargetMode="External"/><Relationship Id="rId4004" Type="http://schemas.openxmlformats.org/officeDocument/2006/relationships/hyperlink" Target="https://salesxceleration.com/do-you-need-a-crm/" TargetMode="External"/><Relationship Id="rId5336" Type="http://schemas.openxmlformats.org/officeDocument/2006/relationships/hyperlink" Target="https://salesxceleration.com/wp-content/uploads/2022/04/Screen-with-Kep-Performance-Indicators-300x300.jpg" TargetMode="External"/><Relationship Id="rId6667" Type="http://schemas.openxmlformats.org/officeDocument/2006/relationships/hyperlink" Target="https://salesxceleration.com/wp-content/themes/salesxceleratione/assets/css/style.css?ver=1769123827" TargetMode="External"/><Relationship Id="rId267" Type="http://schemas.openxmlformats.org/officeDocument/2006/relationships/hyperlink" Target="https://salesxceleration.com/wp-content/plugins/download-monitor/assets/js/dlm-xhr.min.js?ver=5.1.6" TargetMode="External"/><Relationship Id="rId4003" Type="http://schemas.openxmlformats.org/officeDocument/2006/relationships/hyperlink" Target="https://salesxceleration.com/do-you-need-a-crm/" TargetMode="External"/><Relationship Id="rId5337" Type="http://schemas.openxmlformats.org/officeDocument/2006/relationships/hyperlink" Target="https://salesxceleration.com/wp-content/uploads/2022/06/Leadership-Style-300x200.jpg" TargetMode="External"/><Relationship Id="rId6668" Type="http://schemas.openxmlformats.org/officeDocument/2006/relationships/hyperlink" Target="https://salesxceleration.com/wp-content/uploads/2021/05/Virtual-Selling.jpg" TargetMode="External"/><Relationship Id="rId266" Type="http://schemas.openxmlformats.org/officeDocument/2006/relationships/hyperlink" Target="https://salesxceleration.com/wp-content/plugins/powerpack-elements/assets/css/min/widget-advanced-menu.min.css?ver=2.12.15" TargetMode="External"/><Relationship Id="rId4006" Type="http://schemas.openxmlformats.org/officeDocument/2006/relationships/hyperlink" Target="https://salesxceleration.com/wp-content/uploads/2022/08/The-Funnel_Goal-Achievement-Plan.jpg" TargetMode="External"/><Relationship Id="rId5334" Type="http://schemas.openxmlformats.org/officeDocument/2006/relationships/hyperlink" Target="https://salesxceleration.com/author/jmachetti/" TargetMode="External"/><Relationship Id="rId6665" Type="http://schemas.openxmlformats.org/officeDocument/2006/relationships/hyperlink" Target="https://salesxceleration.com/wp-content/uploads/2020/02/leap-day.jpg" TargetMode="External"/><Relationship Id="rId265" Type="http://schemas.openxmlformats.org/officeDocument/2006/relationships/hyperlink" Target="https://salesxceleration.com/wp-content/plugins/powerpack-elements/assets/css/min/widget-advanced-menu.min.css?ver=2.12.15" TargetMode="External"/><Relationship Id="rId4005" Type="http://schemas.openxmlformats.org/officeDocument/2006/relationships/hyperlink" Target="https://salesxceleration.com/wp-content/uploads/2022/08/The-Funnel_Goal-Achievement-Plan.jpg" TargetMode="External"/><Relationship Id="rId5335" Type="http://schemas.openxmlformats.org/officeDocument/2006/relationships/hyperlink" Target="https://salesxceleration.com/wp-content/uploads/2022/04/Screen-with-Kep-Performance-Indicators-300x300.jpg" TargetMode="External"/><Relationship Id="rId6666" Type="http://schemas.openxmlformats.org/officeDocument/2006/relationships/hyperlink" Target="https://salesxceleration.com/wp-content/themes/salesxceleratione/assets/css/style.css?ver=1769123827" TargetMode="External"/><Relationship Id="rId5329" Type="http://schemas.openxmlformats.org/officeDocument/2006/relationships/hyperlink" Target="https://salesxceleration.com/wp-content/uploads/2021/11/117985-viewpoints-crm.jpg-ORG.jpg" TargetMode="External"/><Relationship Id="rId5327" Type="http://schemas.openxmlformats.org/officeDocument/2006/relationships/hyperlink" Target="https://salesxceleration.com/wp-content/themes/salesxceleratione/assets/css/style.css?ver=1769123621" TargetMode="External"/><Relationship Id="rId6658" Type="http://schemas.openxmlformats.org/officeDocument/2006/relationships/hyperlink" Target="https://salesxceleration.com/wp-content/themes/salesxceleratione/assets/css/style.css?ver=1769123833" TargetMode="External"/><Relationship Id="rId5328" Type="http://schemas.openxmlformats.org/officeDocument/2006/relationships/hyperlink" Target="https://salesxceleration.com/wp-content/uploads/2021/11/117985-viewpoints-crm.jpg-ORG.jpg" TargetMode="External"/><Relationship Id="rId6659" Type="http://schemas.openxmlformats.org/officeDocument/2006/relationships/hyperlink" Target="https://salesxceleration.com/wp-content/themes/salesxceleratione/assets/css/style.css?ver=1769123833" TargetMode="External"/><Relationship Id="rId260" Type="http://schemas.openxmlformats.org/officeDocument/2006/relationships/hyperlink" Target="https://salesxceleration.com/wp-content/plugins/cookie-law-info/legacy/public/js/cookie-law-info-public.js?ver=3.3.9.1" TargetMode="External"/><Relationship Id="rId259" Type="http://schemas.openxmlformats.org/officeDocument/2006/relationships/hyperlink" Target="https://salesxceleration.com/wp-content/plugins/image-map-pro-wordpress/js/image-map-pro.min.js?ver=5.3.2" TargetMode="External"/><Relationship Id="rId258" Type="http://schemas.openxmlformats.org/officeDocument/2006/relationships/hyperlink" Target="https://salesxceleration.com/wp-content/plugins/image-map-pro-wordpress/js/image-map-pro.min.js?ver=5.3.2" TargetMode="External"/><Relationship Id="rId253" Type="http://schemas.openxmlformats.org/officeDocument/2006/relationships/hyperlink" Target="https://salesxceleration.com/wp-content/plugins/cookie-law-info/legacy/public/css/cookie-law-info-gdpr.css?ver=3.3.9.1" TargetMode="External"/><Relationship Id="rId5321" Type="http://schemas.openxmlformats.org/officeDocument/2006/relationships/hyperlink" Target="https://salesxceleration.com/wp-content/uploads/2021/07/CRM-scaled-1.jpg" TargetMode="External"/><Relationship Id="rId6652" Type="http://schemas.openxmlformats.org/officeDocument/2006/relationships/hyperlink" Target="https://salesxceleration.com/wp-content/uploads/2015/08/f2.jpg" TargetMode="External"/><Relationship Id="rId252" Type="http://schemas.openxmlformats.org/officeDocument/2006/relationships/hyperlink" Target="https://salesxceleration.com/wp-content/plugins/cookie-law-info/legacy/public/css/cookie-law-info-gdpr.css?ver=3.3.9.1" TargetMode="External"/><Relationship Id="rId5322" Type="http://schemas.openxmlformats.org/officeDocument/2006/relationships/hyperlink" Target="https://salesxceleration.com/wp-content/uploads/2022/04/Marchetti-Jerry-275x275-1-100x100.jpg" TargetMode="External"/><Relationship Id="rId6653" Type="http://schemas.openxmlformats.org/officeDocument/2006/relationships/hyperlink" Target="https://salesxceleration.com/how-top-salespeople-thrive-in-a-fast-paced-world/" TargetMode="External"/><Relationship Id="rId251" Type="http://schemas.openxmlformats.org/officeDocument/2006/relationships/hyperlink" Target="https://salesxceleration.com/wp-content/uploads/elementor/thumbs/flag-ca-qsy48896ixcc9g1ro2b2sy1wwfemlnww1mrc4wg9hy.jpg" TargetMode="External"/><Relationship Id="rId6650" Type="http://schemas.openxmlformats.org/officeDocument/2006/relationships/hyperlink" Target="https://salesxceleration.com/wp-content/uploads/2017/05/DrawTheLineBlog.jpg" TargetMode="External"/><Relationship Id="rId250" Type="http://schemas.openxmlformats.org/officeDocument/2006/relationships/hyperlink" Target="https://salesxceleration.com/wp-content/uploads/elementor/thumbs/flag-ca-qsy48896ixcc9g1ro2b2sy1wwfemlnww1mrc4wg9hy.jpg" TargetMode="External"/><Relationship Id="rId5320" Type="http://schemas.openxmlformats.org/officeDocument/2006/relationships/hyperlink" Target="https://salesxceleration.com/wp-content/uploads/2021/07/CRM-scaled-1.jpg" TargetMode="External"/><Relationship Id="rId6651" Type="http://schemas.openxmlformats.org/officeDocument/2006/relationships/hyperlink" Target="https://salesxceleration.com/wp-content/uploads/2015/08/f2.jpg" TargetMode="External"/><Relationship Id="rId257" Type="http://schemas.openxmlformats.org/officeDocument/2006/relationships/hyperlink" Target="https://salesxceleration.com/wp-content/plugins/powerpack-elements/assets/js/min/frontend-tooltip.min.js?ver=2.12.15" TargetMode="External"/><Relationship Id="rId5325" Type="http://schemas.openxmlformats.org/officeDocument/2006/relationships/hyperlink" Target="https://salesxceleration.com/wp-content/uploads/elementor/css/post-26066.css?ver=1768913376" TargetMode="External"/><Relationship Id="rId6656" Type="http://schemas.openxmlformats.org/officeDocument/2006/relationships/hyperlink" Target="https://salesxceleration.com/wp-content/uploads/2016/05/Sales-compensation-plan-.jpg" TargetMode="External"/><Relationship Id="rId256" Type="http://schemas.openxmlformats.org/officeDocument/2006/relationships/hyperlink" Target="https://salesxceleration.com/wp-content/plugins/powerpack-elements/assets/js/min/frontend-tooltip.min.js?ver=2.12.15" TargetMode="External"/><Relationship Id="rId5326" Type="http://schemas.openxmlformats.org/officeDocument/2006/relationships/hyperlink" Target="https://salesxceleration.com/wp-content/themes/salesxceleratione/assets/css/style.css?ver=1769123621" TargetMode="External"/><Relationship Id="rId6657" Type="http://schemas.openxmlformats.org/officeDocument/2006/relationships/hyperlink" Target="https://salesxceleration.com/wp-content/uploads/2016/05/Sales-compensation-plan-.jpg" TargetMode="External"/><Relationship Id="rId255" Type="http://schemas.openxmlformats.org/officeDocument/2006/relationships/hyperlink" Target="https://salesxceleration.com/wp-content/uploads/elementor/thumbs/flag-usa-qsy48970prdml20eikppdftdht9ztd0mdretm6evbq.jpg" TargetMode="External"/><Relationship Id="rId5323" Type="http://schemas.openxmlformats.org/officeDocument/2006/relationships/hyperlink" Target="https://salesxceleration.com/wp-content/uploads/2022/04/Marchetti-Jerry-275x275-1-100x100.jpg" TargetMode="External"/><Relationship Id="rId6654" Type="http://schemas.openxmlformats.org/officeDocument/2006/relationships/hyperlink" Target="https://salesxceleration.com/how-top-salespeople-thrive-in-a-fast-paced-world/" TargetMode="External"/><Relationship Id="rId254" Type="http://schemas.openxmlformats.org/officeDocument/2006/relationships/hyperlink" Target="https://salesxceleration.com/wp-content/uploads/elementor/thumbs/flag-usa-qsy48970prdml20eikppdftdht9ztd0mdretm6evbq.jpg" TargetMode="External"/><Relationship Id="rId5324" Type="http://schemas.openxmlformats.org/officeDocument/2006/relationships/hyperlink" Target="https://salesxceleration.com/wp-content/uploads/elementor/css/post-26066.css?ver=1768913376" TargetMode="External"/><Relationship Id="rId6655" Type="http://schemas.openxmlformats.org/officeDocument/2006/relationships/hyperlink" Target="https://salesxceleration.com/how-top-salespeople-thrive-in-a-fast-paced-world/" TargetMode="External"/><Relationship Id="rId4029" Type="http://schemas.openxmlformats.org/officeDocument/2006/relationships/hyperlink" Target="https://salesxceleration.com/wp-content/uploads/2020/09/Online-Sales-Meeting-scaled-1-300x300.jpg" TargetMode="External"/><Relationship Id="rId293" Type="http://schemas.openxmlformats.org/officeDocument/2006/relationships/hyperlink" Target="https://salesxceleration.com/wp-content/uploads/elementor/thumbs/flag-uk-qsy487bcc3b1xu34tjwg8gagb1j9dyt5pi3unmhno6.jpg" TargetMode="External"/><Relationship Id="rId292" Type="http://schemas.openxmlformats.org/officeDocument/2006/relationships/hyperlink" Target="https://salesxceleration.com/wp-content/uploads/elementor/css/post-72016.css?ver=1768845927" TargetMode="External"/><Relationship Id="rId291" Type="http://schemas.openxmlformats.org/officeDocument/2006/relationships/hyperlink" Target="https://salesxceleration.com/wp-content/uploads/elementor/css/post-72016.css?ver=1768845927" TargetMode="External"/><Relationship Id="rId290" Type="http://schemas.openxmlformats.org/officeDocument/2006/relationships/hyperlink" Target="https://salesxceleration.com/wp-content/themes/salesxceleratione/assets/js/scripts.js" TargetMode="External"/><Relationship Id="rId5350" Type="http://schemas.openxmlformats.org/officeDocument/2006/relationships/hyperlink" Target="https://salesxceleration.com/wp-content/uploads/2020/07/Developing-a-Comp-Plan.jpg" TargetMode="External"/><Relationship Id="rId6681" Type="http://schemas.openxmlformats.org/officeDocument/2006/relationships/hyperlink" Target="https://salesxceleration.com/?download=29203" TargetMode="External"/><Relationship Id="rId5351" Type="http://schemas.openxmlformats.org/officeDocument/2006/relationships/hyperlink" Target="https://salesxceleration.com/wp-content/uploads/2020/07/Developing-a-Comp-Plan.jpg" TargetMode="External"/><Relationship Id="rId6682" Type="http://schemas.openxmlformats.org/officeDocument/2006/relationships/hyperlink" Target="https://salesxceleration.com/no-access/download-id/29203/" TargetMode="External"/><Relationship Id="rId4020" Type="http://schemas.openxmlformats.org/officeDocument/2006/relationships/hyperlink" Target="https://salesxceleration.com/5-best-practices-for-maximizing-your-crm-capabilities/" TargetMode="External"/><Relationship Id="rId6680" Type="http://schemas.openxmlformats.org/officeDocument/2006/relationships/hyperlink" Target="https://salesxceleration.com/wp-content/uploads/2018/10/shutterstock_282189722-scaled.jpg" TargetMode="External"/><Relationship Id="rId286" Type="http://schemas.openxmlformats.org/officeDocument/2006/relationships/hyperlink" Target="https://salesxceleration.com/testimonials/" TargetMode="External"/><Relationship Id="rId4022" Type="http://schemas.openxmlformats.org/officeDocument/2006/relationships/hyperlink" Target="https://salesxceleration.com/wp-content/uploads/2022/04/Clair-Jeff-275x275-2-100x100.jpg" TargetMode="External"/><Relationship Id="rId5354" Type="http://schemas.openxmlformats.org/officeDocument/2006/relationships/hyperlink" Target="https://salesxceleration.com/wp-content/uploads/2020/11/sales-forecasting.jpg" TargetMode="External"/><Relationship Id="rId6685" Type="http://schemas.openxmlformats.org/officeDocument/2006/relationships/hyperlink" Target="https://salesxceleration.com/no-access/download-id/27890/" TargetMode="External"/><Relationship Id="rId285" Type="http://schemas.openxmlformats.org/officeDocument/2006/relationships/hyperlink" Target="https://salesxceleration.com/wp-content/uploads/elementor/css/post-68900.css?ver=1768845927" TargetMode="External"/><Relationship Id="rId4021" Type="http://schemas.openxmlformats.org/officeDocument/2006/relationships/hyperlink" Target="https://salesxceleration.com/wp-content/uploads/2022/04/Clair-Jeff-275x275-2-100x100.jpg" TargetMode="External"/><Relationship Id="rId5355" Type="http://schemas.openxmlformats.org/officeDocument/2006/relationships/hyperlink" Target="https://salesxceleration.com/wp-content/uploads/2020/11/sales-forecasting.jpg" TargetMode="External"/><Relationship Id="rId6686" Type="http://schemas.openxmlformats.org/officeDocument/2006/relationships/hyperlink" Target="https://salesxceleration.com/?download=27890" TargetMode="External"/><Relationship Id="rId284" Type="http://schemas.openxmlformats.org/officeDocument/2006/relationships/hyperlink" Target="https://salesxceleration.com/wp-content/uploads/elementor/css/post-68900.css?ver=1768845927" TargetMode="External"/><Relationship Id="rId4024" Type="http://schemas.openxmlformats.org/officeDocument/2006/relationships/hyperlink" Target="https://salesxceleration.com/wp-content/uploads/2022/03/117623-2018-09-InSight-Sales-ORG-2048x2048.jpg" TargetMode="External"/><Relationship Id="rId5352" Type="http://schemas.openxmlformats.org/officeDocument/2006/relationships/hyperlink" Target="https://salesxceleration.com/wp-content/themes/salesxceleratione/assets/css/style.css?ver=1769123623" TargetMode="External"/><Relationship Id="rId6683" Type="http://schemas.openxmlformats.org/officeDocument/2006/relationships/hyperlink" Target="https://salesxceleration.com/?download=29203" TargetMode="External"/><Relationship Id="rId283" Type="http://schemas.openxmlformats.org/officeDocument/2006/relationships/hyperlink" Target="https://salesxceleration.com/wp-content/plugins/ewww-image-optimizer/includes/lazysizes.min.js?ver=831" TargetMode="External"/><Relationship Id="rId4023" Type="http://schemas.openxmlformats.org/officeDocument/2006/relationships/hyperlink" Target="https://salesxceleration.com/wp-content/uploads/2022/03/117623-2018-09-InSight-Sales-ORG-2048x2048.jpg" TargetMode="External"/><Relationship Id="rId5353" Type="http://schemas.openxmlformats.org/officeDocument/2006/relationships/hyperlink" Target="https://salesxceleration.com/wp-content/themes/salesxceleratione/assets/css/style.css?ver=1769123623" TargetMode="External"/><Relationship Id="rId6684" Type="http://schemas.openxmlformats.org/officeDocument/2006/relationships/hyperlink" Target="https://salesxceleration.com/?download=27890" TargetMode="External"/><Relationship Id="rId4026" Type="http://schemas.openxmlformats.org/officeDocument/2006/relationships/hyperlink" Target="https://salesxceleration.com/wp-content/uploads/2022/07/hannah-carr-I079C4gOe8s-unsplash.jpg" TargetMode="External"/><Relationship Id="rId5358" Type="http://schemas.openxmlformats.org/officeDocument/2006/relationships/hyperlink" Target="https://salesxceleration.com/wp-content/uploads/2021/02/Sales-Team-Meeting-scaled-1-2048x2048.jpg" TargetMode="External"/><Relationship Id="rId6689" Type="http://schemas.openxmlformats.org/officeDocument/2006/relationships/hyperlink" Target="https://salesxceleration.com/wp-content/uploads/2023/04/Sales-Team-discussing-recession.jpg" TargetMode="External"/><Relationship Id="rId289" Type="http://schemas.openxmlformats.org/officeDocument/2006/relationships/hyperlink" Target="https://salesxceleration.com/wp-content/themes/salesxceleratione/assets/js/scripts.js" TargetMode="External"/><Relationship Id="rId4025" Type="http://schemas.openxmlformats.org/officeDocument/2006/relationships/hyperlink" Target="https://salesxceleration.com/wp-content/uploads/2022/07/hannah-carr-I079C4gOe8s-unsplash.jpg" TargetMode="External"/><Relationship Id="rId5359" Type="http://schemas.openxmlformats.org/officeDocument/2006/relationships/hyperlink" Target="https://salesxceleration.com/wp-content/uploads/2021/02/Sales-Team-Meeting-scaled-1-2048x2048.jpg" TargetMode="External"/><Relationship Id="rId288" Type="http://schemas.openxmlformats.org/officeDocument/2006/relationships/hyperlink" Target="https://salesxceleration.com/testimonials/" TargetMode="External"/><Relationship Id="rId4028" Type="http://schemas.openxmlformats.org/officeDocument/2006/relationships/hyperlink" Target="https://salesxceleration.com/wp-content/uploads/2021/03/Sales-Forecasting-Meeting-300x169.jpg" TargetMode="External"/><Relationship Id="rId5356" Type="http://schemas.openxmlformats.org/officeDocument/2006/relationships/hyperlink" Target="https://salesxceleration.com/wp-content/uploads/2021/04/Sales-Team-Evaluation.png" TargetMode="External"/><Relationship Id="rId6687" Type="http://schemas.openxmlformats.org/officeDocument/2006/relationships/hyperlink" Target="https://salesxceleration.com/wp-content/themes/salesxceleratione/assets/css/style.css?ver=1769123821" TargetMode="External"/><Relationship Id="rId287" Type="http://schemas.openxmlformats.org/officeDocument/2006/relationships/hyperlink" Target="https://salesxceleration.com/testimonials/" TargetMode="External"/><Relationship Id="rId4027" Type="http://schemas.openxmlformats.org/officeDocument/2006/relationships/hyperlink" Target="https://salesxceleration.com/wp-content/uploads/2021/03/Sales-Forecasting-Meeting-300x169.jpg" TargetMode="External"/><Relationship Id="rId5357" Type="http://schemas.openxmlformats.org/officeDocument/2006/relationships/hyperlink" Target="https://salesxceleration.com/wp-content/uploads/2021/04/Sales-Team-Evaluation.png" TargetMode="External"/><Relationship Id="rId6688" Type="http://schemas.openxmlformats.org/officeDocument/2006/relationships/hyperlink" Target="https://salesxceleration.com/wp-content/themes/salesxceleratione/assets/css/style.css?ver=1769123821" TargetMode="External"/><Relationship Id="rId4019" Type="http://schemas.openxmlformats.org/officeDocument/2006/relationships/hyperlink" Target="https://salesxceleration.com/5-best-practices-for-maximizing-your-crm-capabilities/" TargetMode="External"/><Relationship Id="rId4018" Type="http://schemas.openxmlformats.org/officeDocument/2006/relationships/hyperlink" Target="https://salesxceleration.com/5-best-practices-for-maximizing-your-crm-capabilities/" TargetMode="External"/><Relationship Id="rId5349" Type="http://schemas.openxmlformats.org/officeDocument/2006/relationships/hyperlink" Target="https://salesxceleration.com/wp-content/uploads/2020/05/Sales-Compensation-Checklist-1.pdf" TargetMode="External"/><Relationship Id="rId282" Type="http://schemas.openxmlformats.org/officeDocument/2006/relationships/hyperlink" Target="https://salesxceleration.com/wp-content/plugins/ewww-image-optimizer/includes/lazysizes.min.js?ver=831" TargetMode="External"/><Relationship Id="rId281" Type="http://schemas.openxmlformats.org/officeDocument/2006/relationships/hyperlink" Target="https://salesxceleration.com/wp-content/uploads/2021/07/award-3.svg" TargetMode="External"/><Relationship Id="rId280" Type="http://schemas.openxmlformats.org/officeDocument/2006/relationships/hyperlink" Target="https://salesxceleration.com/wp-content/uploads/2021/07/award-3.svg" TargetMode="External"/><Relationship Id="rId6670" Type="http://schemas.openxmlformats.org/officeDocument/2006/relationships/hyperlink" Target="https://salesxceleration.com/wp-content/uploads/2017/07/AccountabilityBlog.jpg" TargetMode="External"/><Relationship Id="rId5340" Type="http://schemas.openxmlformats.org/officeDocument/2006/relationships/hyperlink" Target="https://salesxceleration.com/sales-agility-assessment/" TargetMode="External"/><Relationship Id="rId6671" Type="http://schemas.openxmlformats.org/officeDocument/2006/relationships/hyperlink" Target="https://salesxceleration.com/wp-content/uploads/2017/07/AccountabilityBlog.jpg" TargetMode="External"/><Relationship Id="rId275" Type="http://schemas.openxmlformats.org/officeDocument/2006/relationships/hyperlink" Target="https://salesxceleration.com/wp-content/plugins/powerpack-elements/assets/js/smartmenus-keyboard.js?ver=1.0.0" TargetMode="External"/><Relationship Id="rId4011" Type="http://schemas.openxmlformats.org/officeDocument/2006/relationships/hyperlink" Target="https://salesxceleration.com/the-funnel-activities-to-help-you-meet-goals/" TargetMode="External"/><Relationship Id="rId5343" Type="http://schemas.openxmlformats.org/officeDocument/2006/relationships/hyperlink" Target="https://salesxceleration.com/understanding-your-leadership-voice/" TargetMode="External"/><Relationship Id="rId6674" Type="http://schemas.openxmlformats.org/officeDocument/2006/relationships/hyperlink" Target="https://salesxceleration.com/why-sales-managers-must-be-coaches-so-salespeople-can-perform-when-it-counts/" TargetMode="External"/><Relationship Id="rId274" Type="http://schemas.openxmlformats.org/officeDocument/2006/relationships/hyperlink" Target="https://salesxceleration.com/wp-content/plugins/powerpack-elements/assets/js/smartmenus-keyboard.js?ver=1.0.0" TargetMode="External"/><Relationship Id="rId4010" Type="http://schemas.openxmlformats.org/officeDocument/2006/relationships/hyperlink" Target="https://salesxceleration.com/wp-content/uploads/2023/08/Benefits-of-Virtual-Selling.jpg" TargetMode="External"/><Relationship Id="rId5344" Type="http://schemas.openxmlformats.org/officeDocument/2006/relationships/hyperlink" Target="https://salesxceleration.com/understanding-your-leadership-voice/" TargetMode="External"/><Relationship Id="rId6675" Type="http://schemas.openxmlformats.org/officeDocument/2006/relationships/hyperlink" Target="https://salesxceleration.com/why-sales-managers-must-be-coaches-so-salespeople-can-perform-when-it-counts/" TargetMode="External"/><Relationship Id="rId273" Type="http://schemas.openxmlformats.org/officeDocument/2006/relationships/hyperlink" Target="https://salesxceleration.com/wp-content/plugins/elementor-pro/assets/css/conditionals/popup.min.css?ver=3.34.0" TargetMode="External"/><Relationship Id="rId4013" Type="http://schemas.openxmlformats.org/officeDocument/2006/relationships/hyperlink" Target="https://salesxceleration.com/the-funnel-activities-to-help-you-meet-goals/" TargetMode="External"/><Relationship Id="rId5341" Type="http://schemas.openxmlformats.org/officeDocument/2006/relationships/hyperlink" Target="https://salesxceleration.com/sales-agility-assessment/?locationid=28605889" TargetMode="External"/><Relationship Id="rId6672" Type="http://schemas.openxmlformats.org/officeDocument/2006/relationships/hyperlink" Target="https://salesxceleration.com/wp-content/themes/salesxceleratione/assets/css/style.css?ver=1769123823" TargetMode="External"/><Relationship Id="rId272" Type="http://schemas.openxmlformats.org/officeDocument/2006/relationships/hyperlink" Target="https://salesxceleration.com/wp-content/plugins/elementor-pro/assets/css/conditionals/popup.min.css?ver=3.34.0" TargetMode="External"/><Relationship Id="rId4012" Type="http://schemas.openxmlformats.org/officeDocument/2006/relationships/hyperlink" Target="https://salesxceleration.com/the-funnel-activities-to-help-you-meet-goals/" TargetMode="External"/><Relationship Id="rId5342" Type="http://schemas.openxmlformats.org/officeDocument/2006/relationships/hyperlink" Target="https://salesxceleration.com/understanding-your-leadership-voice/" TargetMode="External"/><Relationship Id="rId6673" Type="http://schemas.openxmlformats.org/officeDocument/2006/relationships/hyperlink" Target="https://salesxceleration.com/wp-content/themes/salesxceleratione/assets/css/style.css?ver=1769123823" TargetMode="External"/><Relationship Id="rId279" Type="http://schemas.openxmlformats.org/officeDocument/2006/relationships/hyperlink" Target="https://salesxceleration.com/wp-content/plugins/powerpack-elements/assets/css/min/widget-logo-grid.min.css?ver=2.12.15" TargetMode="External"/><Relationship Id="rId4015" Type="http://schemas.openxmlformats.org/officeDocument/2006/relationships/hyperlink" Target="https://salesxceleration.com/wp-content/themes/salesxceleratione/assets/css/style.css?ver=1769123514" TargetMode="External"/><Relationship Id="rId5347" Type="http://schemas.openxmlformats.org/officeDocument/2006/relationships/hyperlink" Target="https://salesxceleration.com/first-quarter-is-in-the-books-the-most-important-time-to-assess-your-companys-performance/" TargetMode="External"/><Relationship Id="rId6678" Type="http://schemas.openxmlformats.org/officeDocument/2006/relationships/hyperlink" Target="https://salesxceleration.com/wp-content/uploads/2018/08/Effective_Sales.jpg" TargetMode="External"/><Relationship Id="rId278" Type="http://schemas.openxmlformats.org/officeDocument/2006/relationships/hyperlink" Target="https://salesxceleration.com/wp-content/plugins/powerpack-elements/assets/css/min/widget-logo-grid.min.css?ver=2.12.15" TargetMode="External"/><Relationship Id="rId4014" Type="http://schemas.openxmlformats.org/officeDocument/2006/relationships/hyperlink" Target="https://salesxceleration.com/wp-content/themes/salesxceleratione/assets/css/style.css?ver=1769123514" TargetMode="External"/><Relationship Id="rId5348" Type="http://schemas.openxmlformats.org/officeDocument/2006/relationships/hyperlink" Target="https://salesxceleration.com/wp-content/uploads/2020/05/Sales-Compensation-Checklist-1.pdf" TargetMode="External"/><Relationship Id="rId6679" Type="http://schemas.openxmlformats.org/officeDocument/2006/relationships/hyperlink" Target="https://salesxceleration.com/wp-content/uploads/2018/10/shutterstock_282189722-scaled.jpg" TargetMode="External"/><Relationship Id="rId277" Type="http://schemas.openxmlformats.org/officeDocument/2006/relationships/hyperlink" Target="https://salesxceleration.com/wp-content/uploads/elementor/css/post-64135.css?ver=1768845972" TargetMode="External"/><Relationship Id="rId4017" Type="http://schemas.openxmlformats.org/officeDocument/2006/relationships/hyperlink" Target="https://salesxceleration.com/wp-content/uploads/2023/08/Businessman-Selling-Virtually.jpg" TargetMode="External"/><Relationship Id="rId5345" Type="http://schemas.openxmlformats.org/officeDocument/2006/relationships/hyperlink" Target="https://salesxceleration.com/first-quarter-is-in-the-books-the-most-important-time-to-assess-your-companys-performance/" TargetMode="External"/><Relationship Id="rId6676" Type="http://schemas.openxmlformats.org/officeDocument/2006/relationships/hyperlink" Target="https://salesxceleration.com/why-sales-managers-must-be-coaches-so-salespeople-can-perform-when-it-counts/" TargetMode="External"/><Relationship Id="rId276" Type="http://schemas.openxmlformats.org/officeDocument/2006/relationships/hyperlink" Target="https://salesxceleration.com/wp-content/uploads/elementor/css/post-64135.css?ver=1768845972" TargetMode="External"/><Relationship Id="rId4016" Type="http://schemas.openxmlformats.org/officeDocument/2006/relationships/hyperlink" Target="https://salesxceleration.com/wp-content/uploads/2023/08/Businessman-Selling-Virtually.jpg" TargetMode="External"/><Relationship Id="rId5346" Type="http://schemas.openxmlformats.org/officeDocument/2006/relationships/hyperlink" Target="https://salesxceleration.com/first-quarter-is-in-the-books-the-most-important-time-to-assess-your-companys-performance/" TargetMode="External"/><Relationship Id="rId6677" Type="http://schemas.openxmlformats.org/officeDocument/2006/relationships/hyperlink" Target="https://salesxceleration.com/wp-content/uploads/2018/08/Effective_Sales.jpg" TargetMode="External"/><Relationship Id="rId1851" Type="http://schemas.openxmlformats.org/officeDocument/2006/relationships/hyperlink" Target="https://salesxceleration.com/case-study/expanding-business-with-sales-playbook/" TargetMode="External"/><Relationship Id="rId1852" Type="http://schemas.openxmlformats.org/officeDocument/2006/relationships/hyperlink" Target="https://salesxceleration.com/case-study/expanding-business-with-sales-playbook/" TargetMode="External"/><Relationship Id="rId1853" Type="http://schemas.openxmlformats.org/officeDocument/2006/relationships/hyperlink" Target="https://salesxceleration.com/wp-content/uploads/2024/12/Competitor-Analysis.jpg" TargetMode="External"/><Relationship Id="rId1854" Type="http://schemas.openxmlformats.org/officeDocument/2006/relationships/hyperlink" Target="https://salesxceleration.com/wp-content/uploads/2024/12/Competitor-Analysis.jpg" TargetMode="External"/><Relationship Id="rId1855" Type="http://schemas.openxmlformats.org/officeDocument/2006/relationships/hyperlink" Target="https://salesxceleration.com/wp-content/uploads/2024/12/Competitor-Analysis-909x1024.jpg" TargetMode="External"/><Relationship Id="rId1856" Type="http://schemas.openxmlformats.org/officeDocument/2006/relationships/hyperlink" Target="https://salesxceleration.com/wp-content/uploads/2024/12/Competitor-Analysis-909x1024.jpg" TargetMode="External"/><Relationship Id="rId1857" Type="http://schemas.openxmlformats.org/officeDocument/2006/relationships/hyperlink" Target="https://salesxceleration.com/wp-content/uploads/2024/12/Sales-Onboarding.jpg" TargetMode="External"/><Relationship Id="rId1858" Type="http://schemas.openxmlformats.org/officeDocument/2006/relationships/hyperlink" Target="https://salesxceleration.com/wp-content/uploads/2024/12/Sales-Onboarding.jpg" TargetMode="External"/><Relationship Id="rId1859" Type="http://schemas.openxmlformats.org/officeDocument/2006/relationships/hyperlink" Target="https://salesxceleration.com/wp-content/uploads/2025/09/AI-in-Sales-Forecasting-300x300.jpg" TargetMode="External"/><Relationship Id="rId1850" Type="http://schemas.openxmlformats.org/officeDocument/2006/relationships/hyperlink" Target="https://salesxceleration.com/case-study/expanding-business-with-sales-playbook/" TargetMode="External"/><Relationship Id="rId1840" Type="http://schemas.openxmlformats.org/officeDocument/2006/relationships/hyperlink" Target="https://salesxceleration.com/wp-content/uploads/2025/07/AI-for-Sales-Without-Security-Risk-300x200.jpg" TargetMode="External"/><Relationship Id="rId1841" Type="http://schemas.openxmlformats.org/officeDocument/2006/relationships/hyperlink" Target="https://salesxceleration.com/category/ai-for-sales/" TargetMode="External"/><Relationship Id="rId1842" Type="http://schemas.openxmlformats.org/officeDocument/2006/relationships/hyperlink" Target="https://salesxceleration.com/category/ai-for-sales/" TargetMode="External"/><Relationship Id="rId1843" Type="http://schemas.openxmlformats.org/officeDocument/2006/relationships/hyperlink" Target="https://salesxceleration.com/category/ai-for-sales/page/2/" TargetMode="External"/><Relationship Id="rId1844" Type="http://schemas.openxmlformats.org/officeDocument/2006/relationships/hyperlink" Target="https://salesxceleration.com/category/ai-for-sales/" TargetMode="External"/><Relationship Id="rId1845" Type="http://schemas.openxmlformats.org/officeDocument/2006/relationships/hyperlink" Target="https://salesxceleration.com/wp-content/plugins/elementor/assets/css/widget-toggle.min.css?ver=3.34.0" TargetMode="External"/><Relationship Id="rId1846" Type="http://schemas.openxmlformats.org/officeDocument/2006/relationships/hyperlink" Target="https://salesxceleration.com/wp-content/plugins/elementor/assets/css/widget-toggle.min.css?ver=3.34.0" TargetMode="External"/><Relationship Id="rId1847" Type="http://schemas.openxmlformats.org/officeDocument/2006/relationships/hyperlink" Target="https://salesxceleration.com/how-to-use-ai-for-b2b-lead-generation-strategies-to-boost-sales/" TargetMode="External"/><Relationship Id="rId1848" Type="http://schemas.openxmlformats.org/officeDocument/2006/relationships/hyperlink" Target="https://salesxceleration.com/how-to-use-ai-for-b2b-lead-generation-strategies-to-boost-sales/" TargetMode="External"/><Relationship Id="rId1849" Type="http://schemas.openxmlformats.org/officeDocument/2006/relationships/hyperlink" Target="https://salesxceleration.com/how-to-use-ai-for-b2b-lead-generation-strategies-to-boost-sales/" TargetMode="External"/><Relationship Id="rId1873" Type="http://schemas.openxmlformats.org/officeDocument/2006/relationships/hyperlink" Target="https://salesxceleration.com/wp-content/uploads/2022/04/558d6857-33d4-46f1-9239-c2862b95f7d0.jpg" TargetMode="External"/><Relationship Id="rId1874" Type="http://schemas.openxmlformats.org/officeDocument/2006/relationships/hyperlink" Target="https://salesxceleration.com/wp-content/uploads/elementor/css/post-25481.css?ver=1768854954" TargetMode="External"/><Relationship Id="rId1875" Type="http://schemas.openxmlformats.org/officeDocument/2006/relationships/hyperlink" Target="https://salesxceleration.com/wp-content/uploads/elementor/css/post-25481.css?ver=1768854954" TargetMode="External"/><Relationship Id="rId1876" Type="http://schemas.openxmlformats.org/officeDocument/2006/relationships/hyperlink" Target="https://salesxceleration.com/wp-content/uploads/2022/04/JL-300x225.jpg" TargetMode="External"/><Relationship Id="rId1877" Type="http://schemas.openxmlformats.org/officeDocument/2006/relationships/hyperlink" Target="https://salesxceleration.com/wp-content/uploads/2022/04/JL-300x225.jpg" TargetMode="External"/><Relationship Id="rId1878" Type="http://schemas.openxmlformats.org/officeDocument/2006/relationships/hyperlink" Target="https://salesxceleration.com/wp-content/uploads/2022/04/IMG_5867.jpg" TargetMode="External"/><Relationship Id="rId1879" Type="http://schemas.openxmlformats.org/officeDocument/2006/relationships/hyperlink" Target="https://salesxceleration.com/wp-content/uploads/2022/04/IMG_5867.jpg" TargetMode="External"/><Relationship Id="rId1870" Type="http://schemas.openxmlformats.org/officeDocument/2006/relationships/hyperlink" Target="https://salesxceleration.com/wp-content/uploads/2024/12/Sales-Onboarding-909x1024.jpg" TargetMode="External"/><Relationship Id="rId1871" Type="http://schemas.openxmlformats.org/officeDocument/2006/relationships/hyperlink" Target="https://salesxceleration.com/wp-content/uploads/2024/12/Sales-Onboarding-909x1024.jpg" TargetMode="External"/><Relationship Id="rId1872" Type="http://schemas.openxmlformats.org/officeDocument/2006/relationships/hyperlink" Target="https://salesxceleration.com/wp-content/uploads/2022/04/558d6857-33d4-46f1-9239-c2862b95f7d0.jpg" TargetMode="External"/><Relationship Id="rId1862" Type="http://schemas.openxmlformats.org/officeDocument/2006/relationships/hyperlink" Target="https://salesxceleration.com/wp-content/uploads/2024/12/AI-Challenges_RAIN.png" TargetMode="External"/><Relationship Id="rId1863" Type="http://schemas.openxmlformats.org/officeDocument/2006/relationships/hyperlink" Target="https://salesxceleration.com/wp-content/uploads/2024/12/Ways-AI-Tools-Can-Support-Sales.jpg" TargetMode="External"/><Relationship Id="rId1864" Type="http://schemas.openxmlformats.org/officeDocument/2006/relationships/hyperlink" Target="https://salesxceleration.com/wp-content/uploads/2024/12/Ways-AI-Tools-Can-Support-Sales.jpg" TargetMode="External"/><Relationship Id="rId1865" Type="http://schemas.openxmlformats.org/officeDocument/2006/relationships/hyperlink" Target="https://salesxceleration.com/contact-us-ai/" TargetMode="External"/><Relationship Id="rId1866" Type="http://schemas.openxmlformats.org/officeDocument/2006/relationships/hyperlink" Target="https://salesxceleration.com/contact-us/" TargetMode="External"/><Relationship Id="rId1867" Type="http://schemas.openxmlformats.org/officeDocument/2006/relationships/hyperlink" Target="https://salesxceleration.com/contact-us-ai/" TargetMode="External"/><Relationship Id="rId1868" Type="http://schemas.openxmlformats.org/officeDocument/2006/relationships/hyperlink" Target="https://salesxceleration.com/wp-content/uploads/2024/12/Proposal-Creation.jpg" TargetMode="External"/><Relationship Id="rId1869" Type="http://schemas.openxmlformats.org/officeDocument/2006/relationships/hyperlink" Target="https://salesxceleration.com/wp-content/uploads/2024/12/Proposal-Creation.jpg" TargetMode="External"/><Relationship Id="rId1860" Type="http://schemas.openxmlformats.org/officeDocument/2006/relationships/hyperlink" Target="https://salesxceleration.com/wp-content/uploads/2025/09/AI-in-Sales-Forecasting-300x300.jpg" TargetMode="External"/><Relationship Id="rId1861" Type="http://schemas.openxmlformats.org/officeDocument/2006/relationships/hyperlink" Target="https://salesxceleration.com/wp-content/uploads/2024/12/AI-Challenges_RAIN.png" TargetMode="External"/><Relationship Id="rId1810" Type="http://schemas.openxmlformats.org/officeDocument/2006/relationships/hyperlink" Target="https://salesxceleration.com/wp-content/uploads/2024/12/Ways-AI-Tools-Can-Support-Sales-1024x576.jpg" TargetMode="External"/><Relationship Id="rId1811" Type="http://schemas.openxmlformats.org/officeDocument/2006/relationships/hyperlink" Target="https://salesxceleration.com/wp-content/uploads/2024/12/Ways-AI-Tools-Can-Support-Sales-1024x576.jpg" TargetMode="External"/><Relationship Id="rId1812" Type="http://schemas.openxmlformats.org/officeDocument/2006/relationships/hyperlink" Target="https://salesxceleration.com/wp-content/plugins/powerpack-elements/assets/js/min/frontend-testimonials.min.js?ver=2.12.15" TargetMode="External"/><Relationship Id="rId1813" Type="http://schemas.openxmlformats.org/officeDocument/2006/relationships/hyperlink" Target="https://salesxceleration.com/wp-content/plugins/powerpack-elements/assets/js/min/frontend-testimonials.min.js?ver=2.12.15" TargetMode="External"/><Relationship Id="rId1814" Type="http://schemas.openxmlformats.org/officeDocument/2006/relationships/hyperlink" Target="https://salesxceleration.com/wp-content/uploads/2025/03/How-to-Leverage-AI-to-Optimize-B2B-Lead-Generation-1-791x1024.jpg" TargetMode="External"/><Relationship Id="rId1815" Type="http://schemas.openxmlformats.org/officeDocument/2006/relationships/hyperlink" Target="https://salesxceleration.com/wp-content/uploads/2025/03/How-to-Leverage-AI-to-Optimize-B2B-Lead-Generation-1-791x1024.jpg" TargetMode="External"/><Relationship Id="rId1816" Type="http://schemas.openxmlformats.org/officeDocument/2006/relationships/hyperlink" Target="https://salesxceleration.com/wp-content/uploads/2024/04/Arsenal-300x49.png" TargetMode="External"/><Relationship Id="rId1817" Type="http://schemas.openxmlformats.org/officeDocument/2006/relationships/hyperlink" Target="https://salesxceleration.com/wp-content/uploads/2024/04/Arsenal-300x49.png" TargetMode="External"/><Relationship Id="rId1818" Type="http://schemas.openxmlformats.org/officeDocument/2006/relationships/hyperlink" Target="https://salesxceleration.com/wp-content/plugins/elementor-pro/assets/css/widget-posts.min.css?ver=3.34.0" TargetMode="External"/><Relationship Id="rId1819" Type="http://schemas.openxmlformats.org/officeDocument/2006/relationships/hyperlink" Target="https://salesxceleration.com/wp-content/plugins/elementor-pro/assets/css/widget-posts.min.css?ver=3.34.0" TargetMode="External"/><Relationship Id="rId4080" Type="http://schemas.openxmlformats.org/officeDocument/2006/relationships/hyperlink" Target="https://salesxceleration.com/from-pipeline-to-bottom-line-how-to-boost-your-sales-team-effectiveness/" TargetMode="External"/><Relationship Id="rId4082" Type="http://schemas.openxmlformats.org/officeDocument/2006/relationships/hyperlink" Target="https://salesxceleration.com/wp-content/themes/salesxceleratione/assets/css/style.css?ver=1769123515" TargetMode="External"/><Relationship Id="rId4081" Type="http://schemas.openxmlformats.org/officeDocument/2006/relationships/hyperlink" Target="https://salesxceleration.com/from-pipeline-to-bottom-line-how-to-boost-your-sales-team-effectiveness/" TargetMode="External"/><Relationship Id="rId4084" Type="http://schemas.openxmlformats.org/officeDocument/2006/relationships/hyperlink" Target="https://salesxceleration.com/wp-content/uploads/2021/03/Sales-Strategy-Meeting-scaled-1-300x300.jpg" TargetMode="External"/><Relationship Id="rId4083" Type="http://schemas.openxmlformats.org/officeDocument/2006/relationships/hyperlink" Target="https://salesxceleration.com/wp-content/themes/salesxceleratione/assets/css/style.css?ver=1769123515" TargetMode="External"/><Relationship Id="rId4086" Type="http://schemas.openxmlformats.org/officeDocument/2006/relationships/hyperlink" Target="https://salesxceleration.com/wp-content/uploads/2019/02/should-you-discount-your-prices-300x200.jpg" TargetMode="External"/><Relationship Id="rId4085" Type="http://schemas.openxmlformats.org/officeDocument/2006/relationships/hyperlink" Target="https://salesxceleration.com/wp-content/uploads/2021/03/Sales-Strategy-Meeting-scaled-1-300x300.jpg" TargetMode="External"/><Relationship Id="rId4088" Type="http://schemas.openxmlformats.org/officeDocument/2006/relationships/hyperlink" Target="https://salesxceleration.com/inbound-vs-outbound-sales-knowing-the-difference-will-greatly-improve-your-success/" TargetMode="External"/><Relationship Id="rId4087" Type="http://schemas.openxmlformats.org/officeDocument/2006/relationships/hyperlink" Target="https://salesxceleration.com/wp-content/uploads/2019/02/should-you-discount-your-prices-300x200.jpg" TargetMode="External"/><Relationship Id="rId4089" Type="http://schemas.openxmlformats.org/officeDocument/2006/relationships/hyperlink" Target="https://salesxceleration.com/inbound-vs-outbound-sales-knowing-the-difference-will-greatly-improve-your-success/" TargetMode="External"/><Relationship Id="rId1800" Type="http://schemas.openxmlformats.org/officeDocument/2006/relationships/hyperlink" Target="https://salesxceleration.com/wp-content/uploads/2024/03/Strategies-for-Enhanced-Efficiency-and-Consistent-Revenue-Generation-1024x640.jpg" TargetMode="External"/><Relationship Id="rId1801" Type="http://schemas.openxmlformats.org/officeDocument/2006/relationships/hyperlink" Target="https://salesxceleration.com/wp-content/uploads/2024/03/Strategies-for-Enhanced-Efficiency-and-Consistent-Revenue-Generation-1024x640.jpg" TargetMode="External"/><Relationship Id="rId1802" Type="http://schemas.openxmlformats.org/officeDocument/2006/relationships/hyperlink" Target="https://salesxceleration.com/wp-content/uploads/2024/04/PAI.png" TargetMode="External"/><Relationship Id="rId1803" Type="http://schemas.openxmlformats.org/officeDocument/2006/relationships/hyperlink" Target="https://salesxceleration.com/wp-content/uploads/2024/04/PAI.png" TargetMode="External"/><Relationship Id="rId1804" Type="http://schemas.openxmlformats.org/officeDocument/2006/relationships/hyperlink" Target="https://salesxceleration.com/wp-content/uploads/2024/04/Vista-300x140.png" TargetMode="External"/><Relationship Id="rId1805" Type="http://schemas.openxmlformats.org/officeDocument/2006/relationships/hyperlink" Target="https://salesxceleration.com/wp-content/uploads/2024/04/Vista-300x140.png" TargetMode="External"/><Relationship Id="rId1806" Type="http://schemas.openxmlformats.org/officeDocument/2006/relationships/hyperlink" Target="https://salesxceleration.com/wp-content/uploads/2024/02/Outsourced-Sales-Leadership-1024x683.jpg" TargetMode="External"/><Relationship Id="rId1807" Type="http://schemas.openxmlformats.org/officeDocument/2006/relationships/hyperlink" Target="https://salesxceleration.com/wp-content/uploads/2024/02/Outsourced-Sales-Leadership-1024x683.jpg" TargetMode="External"/><Relationship Id="rId1808" Type="http://schemas.openxmlformats.org/officeDocument/2006/relationships/hyperlink" Target="https://salesxceleration.com/wp-content/uploads/2024/04/NextGen.svg" TargetMode="External"/><Relationship Id="rId1809" Type="http://schemas.openxmlformats.org/officeDocument/2006/relationships/hyperlink" Target="https://salesxceleration.com/wp-content/uploads/2024/04/NextGen.svg" TargetMode="External"/><Relationship Id="rId4071" Type="http://schemas.openxmlformats.org/officeDocument/2006/relationships/hyperlink" Target="https://salesxceleration.com/how-to-establish-rapport-with-a-prospect-and-create-a-solid-sales-relationship/" TargetMode="External"/><Relationship Id="rId4070" Type="http://schemas.openxmlformats.org/officeDocument/2006/relationships/hyperlink" Target="https://salesxceleration.com/how-to-establish-rapport-with-a-prospect-and-create-a-solid-sales-relationship/" TargetMode="External"/><Relationship Id="rId4073" Type="http://schemas.openxmlformats.org/officeDocument/2006/relationships/hyperlink" Target="https://salesxceleration.com/wp-content/uploads/2021/02/Sales-Team-Meeting-scaled-1-300x300.jpg" TargetMode="External"/><Relationship Id="rId4072" Type="http://schemas.openxmlformats.org/officeDocument/2006/relationships/hyperlink" Target="https://salesxceleration.com/wp-content/uploads/2021/02/Sales-Team-Meeting-scaled-1-300x300.jpg" TargetMode="External"/><Relationship Id="rId4075" Type="http://schemas.openxmlformats.org/officeDocument/2006/relationships/hyperlink" Target="https://salesxceleration.com/wp-content/uploads/2021/04/Sales-Team-Evaluation-300x200.png" TargetMode="External"/><Relationship Id="rId4074" Type="http://schemas.openxmlformats.org/officeDocument/2006/relationships/hyperlink" Target="https://salesxceleration.com/wp-content/uploads/2021/04/Sales-Team-Evaluation-300x200.png" TargetMode="External"/><Relationship Id="rId4077" Type="http://schemas.openxmlformats.org/officeDocument/2006/relationships/hyperlink" Target="https://salesxceleration.com/leveraging-sales-agility-for-revenue-operations-success/" TargetMode="External"/><Relationship Id="rId4076" Type="http://schemas.openxmlformats.org/officeDocument/2006/relationships/hyperlink" Target="https://salesxceleration.com/leveraging-sales-agility-for-revenue-operations-success/" TargetMode="External"/><Relationship Id="rId4079" Type="http://schemas.openxmlformats.org/officeDocument/2006/relationships/hyperlink" Target="https://salesxceleration.com/from-pipeline-to-bottom-line-how-to-boost-your-sales-team-effectiveness/" TargetMode="External"/><Relationship Id="rId4078" Type="http://schemas.openxmlformats.org/officeDocument/2006/relationships/hyperlink" Target="https://salesxceleration.com/leveraging-sales-agility-for-revenue-operations-success/" TargetMode="External"/><Relationship Id="rId1830" Type="http://schemas.openxmlformats.org/officeDocument/2006/relationships/hyperlink" Target="https://salesxceleration.com/wp-content/uploads/2024/12/Lead-Qualification-909x1024.jpg" TargetMode="External"/><Relationship Id="rId1831" Type="http://schemas.openxmlformats.org/officeDocument/2006/relationships/hyperlink" Target="https://salesxceleration.com/wp-content/uploads/2025/03/Leveraging-AI-to-Optimize-B2B-Lead-Generation-300x124.jpg" TargetMode="External"/><Relationship Id="rId1832" Type="http://schemas.openxmlformats.org/officeDocument/2006/relationships/hyperlink" Target="https://salesxceleration.com/wp-content/uploads/2025/03/Leveraging-AI-to-Optimize-B2B-Lead-Generation-300x124.jpg" TargetMode="External"/><Relationship Id="rId1833" Type="http://schemas.openxmlformats.org/officeDocument/2006/relationships/hyperlink" Target="https://salesxceleration.com/wp-content/uploads/2024/02/Expanding-Business-with-Sales-Playbook_Cover.jpg" TargetMode="External"/><Relationship Id="rId1834" Type="http://schemas.openxmlformats.org/officeDocument/2006/relationships/hyperlink" Target="https://salesxceleration.com/wp-content/uploads/2024/02/Expanding-Business-with-Sales-Playbook_Cover.jpg" TargetMode="External"/><Relationship Id="rId1835" Type="http://schemas.openxmlformats.org/officeDocument/2006/relationships/hyperlink" Target="https://salesxceleration.com/wp-content/uploads/2025/08/The-AI-Security-Playbook-1-741x1024.jpg" TargetMode="External"/><Relationship Id="rId1836" Type="http://schemas.openxmlformats.org/officeDocument/2006/relationships/hyperlink" Target="https://salesxceleration.com/wp-content/uploads/2025/08/The-AI-Security-Playbook-1-741x1024.jpg" TargetMode="External"/><Relationship Id="rId1837" Type="http://schemas.openxmlformats.org/officeDocument/2006/relationships/hyperlink" Target="https://salesxceleration.com/wp-content/uploads/2024/12/Lead-Qualification.jpg" TargetMode="External"/><Relationship Id="rId1838" Type="http://schemas.openxmlformats.org/officeDocument/2006/relationships/hyperlink" Target="https://salesxceleration.com/wp-content/uploads/2024/12/Lead-Qualification.jpg" TargetMode="External"/><Relationship Id="rId1839" Type="http://schemas.openxmlformats.org/officeDocument/2006/relationships/hyperlink" Target="https://salesxceleration.com/wp-content/uploads/2025/07/AI-for-Sales-Without-Security-Risk-300x200.jpg" TargetMode="External"/><Relationship Id="rId1820" Type="http://schemas.openxmlformats.org/officeDocument/2006/relationships/hyperlink" Target="https://salesxceleration.com/wp-content/uploads/elementor/css/post-27271.css?ver=1768855401" TargetMode="External"/><Relationship Id="rId1821" Type="http://schemas.openxmlformats.org/officeDocument/2006/relationships/hyperlink" Target="https://salesxceleration.com/wp-content/uploads/elementor/css/post-27271.css?ver=1768855401" TargetMode="External"/><Relationship Id="rId1822" Type="http://schemas.openxmlformats.org/officeDocument/2006/relationships/hyperlink" Target="https://salesxceleration.com/wp-content/uploads/2024/12/Proposal-Creation-909x1024.jpg" TargetMode="External"/><Relationship Id="rId1823" Type="http://schemas.openxmlformats.org/officeDocument/2006/relationships/hyperlink" Target="https://salesxceleration.com/wp-content/uploads/2024/12/Proposal-Creation-909x1024.jpg" TargetMode="External"/><Relationship Id="rId1824" Type="http://schemas.openxmlformats.org/officeDocument/2006/relationships/hyperlink" Target="https://salesxceleration.com/wp-content/uploads/elementor/css/post-59861.css?ver=1768855401" TargetMode="External"/><Relationship Id="rId1825" Type="http://schemas.openxmlformats.org/officeDocument/2006/relationships/hyperlink" Target="https://salesxceleration.com/wp-content/uploads/elementor/css/post-59861.css?ver=1768855401" TargetMode="External"/><Relationship Id="rId1826" Type="http://schemas.openxmlformats.org/officeDocument/2006/relationships/hyperlink" Target="https://salesxceleration.com/smarter-sales-with-ai-without-the-security-risk/" TargetMode="External"/><Relationship Id="rId1827" Type="http://schemas.openxmlformats.org/officeDocument/2006/relationships/hyperlink" Target="https://salesxceleration.com/smarter-sales-with-ai-without-the-security-risk/" TargetMode="External"/><Relationship Id="rId1828" Type="http://schemas.openxmlformats.org/officeDocument/2006/relationships/hyperlink" Target="https://salesxceleration.com/smarter-sales-with-ai-without-the-security-risk/" TargetMode="External"/><Relationship Id="rId1829" Type="http://schemas.openxmlformats.org/officeDocument/2006/relationships/hyperlink" Target="https://salesxceleration.com/wp-content/uploads/2024/12/Lead-Qualification-909x1024.jpg" TargetMode="External"/><Relationship Id="rId4091" Type="http://schemas.openxmlformats.org/officeDocument/2006/relationships/hyperlink" Target="https://salesxceleration.com/wp-content/uploads/2020/03/Tactics_for_Team_Dominance-1-scaled-1-300x300.jpg" TargetMode="External"/><Relationship Id="rId4090" Type="http://schemas.openxmlformats.org/officeDocument/2006/relationships/hyperlink" Target="https://salesxceleration.com/inbound-vs-outbound-sales-knowing-the-difference-will-greatly-improve-your-success/" TargetMode="External"/><Relationship Id="rId4093" Type="http://schemas.openxmlformats.org/officeDocument/2006/relationships/hyperlink" Target="https://salesxceleration.com/wp-content/uploads/2018/02/wallet2-300x202.jpg" TargetMode="External"/><Relationship Id="rId4092" Type="http://schemas.openxmlformats.org/officeDocument/2006/relationships/hyperlink" Target="https://salesxceleration.com/wp-content/uploads/2020/03/Tactics_for_Team_Dominance-1-scaled-1-300x300.jpg" TargetMode="External"/><Relationship Id="rId4095" Type="http://schemas.openxmlformats.org/officeDocument/2006/relationships/hyperlink" Target="https://salesxceleration.com/selling-in-a-2d-x-2s-world/" TargetMode="External"/><Relationship Id="rId4094" Type="http://schemas.openxmlformats.org/officeDocument/2006/relationships/hyperlink" Target="https://salesxceleration.com/wp-content/uploads/2018/02/wallet2-300x202.jpg" TargetMode="External"/><Relationship Id="rId4097" Type="http://schemas.openxmlformats.org/officeDocument/2006/relationships/hyperlink" Target="https://salesxceleration.com/selling-in-a-2d-x-2s-world/" TargetMode="External"/><Relationship Id="rId4096" Type="http://schemas.openxmlformats.org/officeDocument/2006/relationships/hyperlink" Target="https://salesxceleration.com/selling-in-a-2d-x-2s-world/" TargetMode="External"/><Relationship Id="rId4099" Type="http://schemas.openxmlformats.org/officeDocument/2006/relationships/hyperlink" Target="https://salesxceleration.com/whats-the-secret-sauce-for-better-sales-processes/" TargetMode="External"/><Relationship Id="rId4098" Type="http://schemas.openxmlformats.org/officeDocument/2006/relationships/hyperlink" Target="https://salesxceleration.com/whats-the-secret-sauce-for-better-sales-processes/" TargetMode="External"/><Relationship Id="rId1895" Type="http://schemas.openxmlformats.org/officeDocument/2006/relationships/hyperlink" Target="https://salesxceleration.com/wp-content/uploads/2024/06/IMG_2991-e1718821808388.jpg" TargetMode="External"/><Relationship Id="rId1896" Type="http://schemas.openxmlformats.org/officeDocument/2006/relationships/hyperlink" Target="https://salesxceleration.com/wp-content/plugins/elementor/assets/lib/jquery-numerator/jquery-numerator.min.js?ver=0.2.1" TargetMode="External"/><Relationship Id="rId1897" Type="http://schemas.openxmlformats.org/officeDocument/2006/relationships/hyperlink" Target="https://salesxceleration.com/wp-content/plugins/elementor/assets/lib/jquery-numerator/jquery-numerator.min.js?ver=0.2.1" TargetMode="External"/><Relationship Id="rId1898" Type="http://schemas.openxmlformats.org/officeDocument/2006/relationships/hyperlink" Target="https://salesxceleration.com/wp-content/uploads/2022/04/IMG_1030-300x225.jpg" TargetMode="External"/><Relationship Id="rId1899" Type="http://schemas.openxmlformats.org/officeDocument/2006/relationships/hyperlink" Target="https://salesxceleration.com/wp-content/uploads/2022/04/IMG_1030-300x225.jpg" TargetMode="External"/><Relationship Id="rId1890" Type="http://schemas.openxmlformats.org/officeDocument/2006/relationships/hyperlink" Target="https://salesxceleration.com/wp-content/uploads/2022/04/Unknown-copy-300x216.jpg" TargetMode="External"/><Relationship Id="rId1891" Type="http://schemas.openxmlformats.org/officeDocument/2006/relationships/hyperlink" Target="https://salesxceleration.com/wp-content/uploads/2022/04/Unknown-copy-300x216.jpg" TargetMode="External"/><Relationship Id="rId1892" Type="http://schemas.openxmlformats.org/officeDocument/2006/relationships/hyperlink" Target="https://salesxceleration.com/wp-content/uploads/2022/04/image000000-2.jpg" TargetMode="External"/><Relationship Id="rId1893" Type="http://schemas.openxmlformats.org/officeDocument/2006/relationships/hyperlink" Target="https://salesxceleration.com/wp-content/uploads/2022/04/image000000-2.jpg" TargetMode="External"/><Relationship Id="rId1894" Type="http://schemas.openxmlformats.org/officeDocument/2006/relationships/hyperlink" Target="https://salesxceleration.com/wp-content/uploads/2024/06/IMG_2991-e1718821808388.jpg" TargetMode="External"/><Relationship Id="rId1884" Type="http://schemas.openxmlformats.org/officeDocument/2006/relationships/hyperlink" Target="https://salesxceleration.com/wp-content/uploads/2022/04/Day-of-Giving-Solve-Kaigh-2.jpg" TargetMode="External"/><Relationship Id="rId1885" Type="http://schemas.openxmlformats.org/officeDocument/2006/relationships/hyperlink" Target="https://salesxceleration.com/wp-content/uploads/2022/04/Day-of-Giving-Solve-Kaigh-2.jpg" TargetMode="External"/><Relationship Id="rId1886" Type="http://schemas.openxmlformats.org/officeDocument/2006/relationships/hyperlink" Target="https://salesxceleration.com/wp-content/uploads/2022/04/Unknown-1-300x225.jpeg" TargetMode="External"/><Relationship Id="rId1887" Type="http://schemas.openxmlformats.org/officeDocument/2006/relationships/hyperlink" Target="https://salesxceleration.com/wp-content/uploads/2022/04/Unknown-1-300x225.jpeg" TargetMode="External"/><Relationship Id="rId1888" Type="http://schemas.openxmlformats.org/officeDocument/2006/relationships/hyperlink" Target="https://salesxceleration.com/wp-content/uploads/2022/04/IMG_5867-225x300.jpg" TargetMode="External"/><Relationship Id="rId1889" Type="http://schemas.openxmlformats.org/officeDocument/2006/relationships/hyperlink" Target="https://salesxceleration.com/wp-content/uploads/2022/04/IMG_5867-225x300.jpg" TargetMode="External"/><Relationship Id="rId1880" Type="http://schemas.openxmlformats.org/officeDocument/2006/relationships/hyperlink" Target="https://salesxceleration.com/wp-content/uploads/2022/04/JL.jpg" TargetMode="External"/><Relationship Id="rId1881" Type="http://schemas.openxmlformats.org/officeDocument/2006/relationships/hyperlink" Target="https://salesxceleration.com/wp-content/uploads/2022/04/JL.jpg" TargetMode="External"/><Relationship Id="rId1882" Type="http://schemas.openxmlformats.org/officeDocument/2006/relationships/hyperlink" Target="https://salesxceleration.com/wp-content/uploads/2022/04/image000000-2-214x300.jpg" TargetMode="External"/><Relationship Id="rId1883" Type="http://schemas.openxmlformats.org/officeDocument/2006/relationships/hyperlink" Target="https://salesxceleration.com/wp-content/uploads/2022/04/image000000-2-214x300.jpg" TargetMode="External"/><Relationship Id="rId5417" Type="http://schemas.openxmlformats.org/officeDocument/2006/relationships/hyperlink" Target="https://salesxceleration.com/wp-content/uploads/2017/05/SinkOrSwimBlog-1-2048x2048.jpg" TargetMode="External"/><Relationship Id="rId6748" Type="http://schemas.openxmlformats.org/officeDocument/2006/relationships/hyperlink" Target="https://salesxceleration.com/wp-content/themes/salesxceleratione/assets/css/style.css?ver=1769123808" TargetMode="External"/><Relationship Id="rId5418" Type="http://schemas.openxmlformats.org/officeDocument/2006/relationships/hyperlink" Target="https://salesxceleration.com/sink-swim-not-effective-onboarding-plan-new-sales-representatives/" TargetMode="External"/><Relationship Id="rId6749" Type="http://schemas.openxmlformats.org/officeDocument/2006/relationships/hyperlink" Target="https://salesxceleration.com/wp-content/themes/salesxceleratione/assets/css/style.css?ver=1769123808" TargetMode="External"/><Relationship Id="rId5415" Type="http://schemas.openxmlformats.org/officeDocument/2006/relationships/hyperlink" Target="https://salesxceleration.com/wp-content/uploads/2018/06/Small_Business_Challenges.jpg" TargetMode="External"/><Relationship Id="rId6746" Type="http://schemas.openxmlformats.org/officeDocument/2006/relationships/hyperlink" Target="https://salesxceleration.com/wp-content/uploads/2016/01/Doctor-Ordered-Peer-Pressure-.jpg" TargetMode="External"/><Relationship Id="rId5416" Type="http://schemas.openxmlformats.org/officeDocument/2006/relationships/hyperlink" Target="https://salesxceleration.com/wp-content/uploads/2017/05/SinkOrSwimBlog-1-2048x2048.jpg" TargetMode="External"/><Relationship Id="rId6747" Type="http://schemas.openxmlformats.org/officeDocument/2006/relationships/hyperlink" Target="https://salesxceleration.com/wp-content/uploads/2016/01/Doctor-Ordered-Peer-Pressure-.jpg" TargetMode="External"/><Relationship Id="rId5419" Type="http://schemas.openxmlformats.org/officeDocument/2006/relationships/hyperlink" Target="https://salesxceleration.com/sink-swim-not-effective-onboarding-plan-new-sales-representatives/" TargetMode="External"/><Relationship Id="rId228" Type="http://schemas.openxmlformats.org/officeDocument/2006/relationships/hyperlink" Target="https://salesxceleration.com/wp-content/uploads/2025/02/Untitled-design-11.png" TargetMode="External"/><Relationship Id="rId227" Type="http://schemas.openxmlformats.org/officeDocument/2006/relationships/hyperlink" Target="https://salesxceleration.com/industries/financial-services/" TargetMode="External"/><Relationship Id="rId226" Type="http://schemas.openxmlformats.org/officeDocument/2006/relationships/hyperlink" Target="https://salesxceleration.com/technology/" TargetMode="External"/><Relationship Id="rId225" Type="http://schemas.openxmlformats.org/officeDocument/2006/relationships/hyperlink" Target="https://salesxceleration.com/industries/financial-services/" TargetMode="External"/><Relationship Id="rId229" Type="http://schemas.openxmlformats.org/officeDocument/2006/relationships/hyperlink" Target="https://salesxceleration.com/wp-content/uploads/2025/02/Untitled-design-11.png" TargetMode="External"/><Relationship Id="rId220" Type="http://schemas.openxmlformats.org/officeDocument/2006/relationships/hyperlink" Target="https://salesxceleration.com/news-events/sales-xceleration-recognized-as-pipedrives-regional-partner-of-the-year-north-america-2024/" TargetMode="External"/><Relationship Id="rId6740" Type="http://schemas.openxmlformats.org/officeDocument/2006/relationships/hyperlink" Target="https://salesxceleration.com/wp-content/uploads/2017/06/NetworkingBlog.jpg" TargetMode="External"/><Relationship Id="rId5410" Type="http://schemas.openxmlformats.org/officeDocument/2006/relationships/hyperlink" Target="https://salesxceleration.com/?download=27866" TargetMode="External"/><Relationship Id="rId6741" Type="http://schemas.openxmlformats.org/officeDocument/2006/relationships/hyperlink" Target="https://salesxceleration.com/wp-content/uploads/2017/06/NetworkingBlog.jpg" TargetMode="External"/><Relationship Id="rId224" Type="http://schemas.openxmlformats.org/officeDocument/2006/relationships/hyperlink" Target="https://salesxceleration.com/wp-content/uploads/2022/05/logo-acg.jpg" TargetMode="External"/><Relationship Id="rId5413" Type="http://schemas.openxmlformats.org/officeDocument/2006/relationships/hyperlink" Target="https://salesxceleration.com/wp-content/themes/salesxceleratione/assets/css/style.css?ver=1769123628" TargetMode="External"/><Relationship Id="rId6744" Type="http://schemas.openxmlformats.org/officeDocument/2006/relationships/hyperlink" Target="https://salesxceleration.com/wp-content/uploads/2016/04/sales-training-strategies-scaled-1.jpg" TargetMode="External"/><Relationship Id="rId223" Type="http://schemas.openxmlformats.org/officeDocument/2006/relationships/hyperlink" Target="https://salesxceleration.com/wp-content/uploads/2022/05/logo-acg.jpg" TargetMode="External"/><Relationship Id="rId5414" Type="http://schemas.openxmlformats.org/officeDocument/2006/relationships/hyperlink" Target="https://salesxceleration.com/wp-content/uploads/2018/06/Small_Business_Challenges.jpg" TargetMode="External"/><Relationship Id="rId6745" Type="http://schemas.openxmlformats.org/officeDocument/2006/relationships/hyperlink" Target="https://salesxceleration.com/wp-content/uploads/2016/04/sales-training-strategies-scaled-1.jpg" TargetMode="External"/><Relationship Id="rId222" Type="http://schemas.openxmlformats.org/officeDocument/2006/relationships/hyperlink" Target="https://salesxceleration.com/news-events/sales-xceleration-recognized-as-pipedrives-regional-partner-of-the-year-north-america-2024/" TargetMode="External"/><Relationship Id="rId5411" Type="http://schemas.openxmlformats.org/officeDocument/2006/relationships/hyperlink" Target="https://salesxceleration.com/infographics/the-value-of-customer-relationships/" TargetMode="External"/><Relationship Id="rId6742" Type="http://schemas.openxmlformats.org/officeDocument/2006/relationships/hyperlink" Target="https://salesxceleration.com/wp-content/uploads/2015/11/Consulting-sales-xceleration.png" TargetMode="External"/><Relationship Id="rId221" Type="http://schemas.openxmlformats.org/officeDocument/2006/relationships/hyperlink" Target="https://salesxceleration.com/news-events/sales-xceleration-recognized-as-pipedrives-regional-partner-of-the-year-north-america-2024/" TargetMode="External"/><Relationship Id="rId5412" Type="http://schemas.openxmlformats.org/officeDocument/2006/relationships/hyperlink" Target="https://salesxceleration.com/wp-content/themes/salesxceleratione/assets/css/style.css?ver=1769123628" TargetMode="External"/><Relationship Id="rId6743" Type="http://schemas.openxmlformats.org/officeDocument/2006/relationships/hyperlink" Target="https://salesxceleration.com/wp-content/uploads/2015/11/Consulting-sales-xceleration.png" TargetMode="External"/><Relationship Id="rId5406" Type="http://schemas.openxmlformats.org/officeDocument/2006/relationships/hyperlink" Target="https://salesxceleration.com/wp-content/uploads/2018/10/shutterstock_272489561.png" TargetMode="External"/><Relationship Id="rId6737" Type="http://schemas.openxmlformats.org/officeDocument/2006/relationships/hyperlink" Target="https://salesxceleration.com/5-keys-to-a-successful-sales-compensation-plan/" TargetMode="External"/><Relationship Id="rId5407" Type="http://schemas.openxmlformats.org/officeDocument/2006/relationships/hyperlink" Target="https://salesxceleration.com/wp-content/uploads/2019/11/itsallaboutrelationships.jpg" TargetMode="External"/><Relationship Id="rId6738" Type="http://schemas.openxmlformats.org/officeDocument/2006/relationships/hyperlink" Target="https://salesxceleration.com/5-keys-to-a-successful-sales-compensation-plan/" TargetMode="External"/><Relationship Id="rId5404" Type="http://schemas.openxmlformats.org/officeDocument/2006/relationships/hyperlink" Target="https://salesxceleration.com/author/mwills/" TargetMode="External"/><Relationship Id="rId6735" Type="http://schemas.openxmlformats.org/officeDocument/2006/relationships/hyperlink" Target="https://salesxceleration.com/wp-content/uploads/2015/10/merger-derail-sales-success-sales-xceleration.jpg" TargetMode="External"/><Relationship Id="rId5405" Type="http://schemas.openxmlformats.org/officeDocument/2006/relationships/hyperlink" Target="https://salesxceleration.com/wp-content/uploads/2018/10/shutterstock_272489561.png" TargetMode="External"/><Relationship Id="rId6736" Type="http://schemas.openxmlformats.org/officeDocument/2006/relationships/hyperlink" Target="https://salesxceleration.com/wp-content/uploads/2015/10/merger-derail-sales-success-sales-xceleration.jpg" TargetMode="External"/><Relationship Id="rId5408" Type="http://schemas.openxmlformats.org/officeDocument/2006/relationships/hyperlink" Target="https://salesxceleration.com/wp-content/uploads/2019/11/itsallaboutrelationships.jpg" TargetMode="External"/><Relationship Id="rId6739" Type="http://schemas.openxmlformats.org/officeDocument/2006/relationships/hyperlink" Target="https://salesxceleration.com/5-keys-to-a-successful-sales-compensation-plan/" TargetMode="External"/><Relationship Id="rId5409" Type="http://schemas.openxmlformats.org/officeDocument/2006/relationships/hyperlink" Target="https://salesxceleration.com/infographics/the-value-of-customer-relationships/" TargetMode="External"/><Relationship Id="rId217" Type="http://schemas.openxmlformats.org/officeDocument/2006/relationships/hyperlink" Target="https://salesxceleration.com/sales-strategy/" TargetMode="External"/><Relationship Id="rId216" Type="http://schemas.openxmlformats.org/officeDocument/2006/relationships/hyperlink" Target="https://salesxceleration.com/wp-content/plugins/elementor-pro/assets/js/frontend.min.js?ver=3.34.0" TargetMode="External"/><Relationship Id="rId215" Type="http://schemas.openxmlformats.org/officeDocument/2006/relationships/hyperlink" Target="https://salesxceleration.com/wp-content/plugins/elementor-pro/assets/js/frontend.min.js?ver=3.34.0" TargetMode="External"/><Relationship Id="rId214" Type="http://schemas.openxmlformats.org/officeDocument/2006/relationships/hyperlink" Target="https://salesxceleration.com/sales-infrastructure/" TargetMode="External"/><Relationship Id="rId219" Type="http://schemas.openxmlformats.org/officeDocument/2006/relationships/hyperlink" Target="https://salesxceleration.com/sales-strategy/" TargetMode="External"/><Relationship Id="rId218" Type="http://schemas.openxmlformats.org/officeDocument/2006/relationships/hyperlink" Target="https://salesxceleration.com/sales-strategy/" TargetMode="External"/><Relationship Id="rId6730" Type="http://schemas.openxmlformats.org/officeDocument/2006/relationships/hyperlink" Target="https://salesxceleration.com/confessions-of-the-misunderstood-salesperson" TargetMode="External"/><Relationship Id="rId213" Type="http://schemas.openxmlformats.org/officeDocument/2006/relationships/hyperlink" Target="https://salesxceleration.com/sales-infrastructure/" TargetMode="External"/><Relationship Id="rId5402" Type="http://schemas.openxmlformats.org/officeDocument/2006/relationships/hyperlink" Target="https://salesxceleration.com/author/mwills/" TargetMode="External"/><Relationship Id="rId6733" Type="http://schemas.openxmlformats.org/officeDocument/2006/relationships/hyperlink" Target="https://salesxceleration.com/wp-content/themes/salesxceleratione/assets/css/style.css?ver=1769123809" TargetMode="External"/><Relationship Id="rId212" Type="http://schemas.openxmlformats.org/officeDocument/2006/relationships/hyperlink" Target="https://salesxceleration.com/sales-infrastructure/" TargetMode="External"/><Relationship Id="rId5403" Type="http://schemas.openxmlformats.org/officeDocument/2006/relationships/hyperlink" Target="https://salesxceleration.com/author/mwills/page/2/" TargetMode="External"/><Relationship Id="rId6734" Type="http://schemas.openxmlformats.org/officeDocument/2006/relationships/hyperlink" Target="https://salesxceleration.com/wp-content/themes/salesxceleratione/assets/css/style.css?ver=1769123809" TargetMode="External"/><Relationship Id="rId211" Type="http://schemas.openxmlformats.org/officeDocument/2006/relationships/hyperlink" Target="https://salesxceleration.com/wp-content/uploads/2023/05/2023-logo.png" TargetMode="External"/><Relationship Id="rId5400" Type="http://schemas.openxmlformats.org/officeDocument/2006/relationships/hyperlink" Target="https://salesxceleration.com/wp-content/uploads/2018/04/cp.jpg" TargetMode="External"/><Relationship Id="rId6731" Type="http://schemas.openxmlformats.org/officeDocument/2006/relationships/hyperlink" Target="https://salesxceleration.com/wp-content/uploads/2015/03/Confessions-misunderstood-salesperson-sales-xceleration-2.png" TargetMode="External"/><Relationship Id="rId210" Type="http://schemas.openxmlformats.org/officeDocument/2006/relationships/hyperlink" Target="https://salesxceleration.com/wp-content/uploads/2023/05/2023-logo.png" TargetMode="External"/><Relationship Id="rId5401" Type="http://schemas.openxmlformats.org/officeDocument/2006/relationships/hyperlink" Target="https://salesxceleration.com/author/mwills/" TargetMode="External"/><Relationship Id="rId6732" Type="http://schemas.openxmlformats.org/officeDocument/2006/relationships/hyperlink" Target="https://salesxceleration.com/wp-content/uploads/2015/03/Confessions-misunderstood-salesperson-sales-xceleration-2.png" TargetMode="External"/><Relationship Id="rId4107" Type="http://schemas.openxmlformats.org/officeDocument/2006/relationships/hyperlink" Target="https://salesxceleration.com/wp-content/uploads/2019/02/should-you-increase-your-sales-price-300x300.jpg" TargetMode="External"/><Relationship Id="rId5439" Type="http://schemas.openxmlformats.org/officeDocument/2006/relationships/hyperlink" Target="https://salesxceleration.com/wp-content/themes/salesxceleratione/assets/css/style.css?ver=1769123629" TargetMode="External"/><Relationship Id="rId4106" Type="http://schemas.openxmlformats.org/officeDocument/2006/relationships/hyperlink" Target="https://salesxceleration.com/wp-content/uploads/2019/02/should-you-increase-your-sales-price-300x300.jpg" TargetMode="External"/><Relationship Id="rId4109" Type="http://schemas.openxmlformats.org/officeDocument/2006/relationships/hyperlink" Target="https://toplinesolutions.org/time-fund-sales-tool-kit/" TargetMode="External"/><Relationship Id="rId5437" Type="http://schemas.openxmlformats.org/officeDocument/2006/relationships/hyperlink" Target="https://salesxceleration.com/wp-content/uploads/2019/08/blog-image_shutterstock_1254620098.jpg" TargetMode="External"/><Relationship Id="rId6768" Type="http://schemas.openxmlformats.org/officeDocument/2006/relationships/hyperlink" Target="https://salesxceleration.com/?download=27891" TargetMode="External"/><Relationship Id="rId4108" Type="http://schemas.openxmlformats.org/officeDocument/2006/relationships/hyperlink" Target="https://salesxceleration.com/whats-wallet-time-fund-sales-tool-kit/" TargetMode="External"/><Relationship Id="rId5438" Type="http://schemas.openxmlformats.org/officeDocument/2006/relationships/hyperlink" Target="https://salesxceleration.com/wp-content/themes/salesxceleratione/assets/css/style.css?ver=1769123629" TargetMode="External"/><Relationship Id="rId6769" Type="http://schemas.openxmlformats.org/officeDocument/2006/relationships/hyperlink" Target="https://salesxceleration.com/no-access/download-id/27891/" TargetMode="External"/><Relationship Id="rId249" Type="http://schemas.openxmlformats.org/officeDocument/2006/relationships/hyperlink" Target="https://salesxceleration.com/wp-content/plugins/cookie-law-info/legacy/admin/modules/ccpa/assets/js/cookie-law-info-ccpa.js?ver=3.3.9.1" TargetMode="External"/><Relationship Id="rId248" Type="http://schemas.openxmlformats.org/officeDocument/2006/relationships/hyperlink" Target="https://salesxceleration.com/wp-content/plugins/cookie-law-info/legacy/admin/modules/ccpa/assets/js/cookie-law-info-ccpa.js?ver=3.3.9.1" TargetMode="External"/><Relationship Id="rId247" Type="http://schemas.openxmlformats.org/officeDocument/2006/relationships/hyperlink" Target="https://salesxceleration.com/wp-content/uploads/elementor/google-fonts/css/opensans.css?ver=1744026297" TargetMode="External"/><Relationship Id="rId242" Type="http://schemas.openxmlformats.org/officeDocument/2006/relationships/hyperlink" Target="https://salesxceleration.com/wp-content/plugins/elementor/assets/lib/font-awesome/css/brands.min.css?ver=5.15.3" TargetMode="External"/><Relationship Id="rId5431" Type="http://schemas.openxmlformats.org/officeDocument/2006/relationships/hyperlink" Target="https://salesxceleration.com/wp-content/uploads/2019/02/should-you-discount-your-prices.jpg" TargetMode="External"/><Relationship Id="rId6762" Type="http://schemas.openxmlformats.org/officeDocument/2006/relationships/hyperlink" Target="https://salesxceleration.com/wp-content/uploads/2021/05/4-Key-Investments-New-Business-Owner-Must-Make-1024x682-1.jpg" TargetMode="External"/><Relationship Id="rId241" Type="http://schemas.openxmlformats.org/officeDocument/2006/relationships/hyperlink" Target="https://salesxceleration.com/wp-content/plugins/elementor-pro/assets/css/widget-search-form.min.css?ver=3.34.0" TargetMode="External"/><Relationship Id="rId5432" Type="http://schemas.openxmlformats.org/officeDocument/2006/relationships/hyperlink" Target="https://salesxceleration.com/wp-content/uploads/2019/02/should-you-discount-your-prices.jpg" TargetMode="External"/><Relationship Id="rId6763" Type="http://schemas.openxmlformats.org/officeDocument/2006/relationships/hyperlink" Target="https://salesxceleration.com/wp-content/uploads/2021/05/4-Key-Investments-New-Business-Owner-Must-Make-1024x682-1.jpg" TargetMode="External"/><Relationship Id="rId240" Type="http://schemas.openxmlformats.org/officeDocument/2006/relationships/hyperlink" Target="https://salesxceleration.com/wp-content/plugins/elementor-pro/assets/css/widget-search-form.min.css?ver=3.34.0" TargetMode="External"/><Relationship Id="rId4101" Type="http://schemas.openxmlformats.org/officeDocument/2006/relationships/hyperlink" Target="https://salesxceleration.com/wp-content/uploads/2017/03/Sales_Consulting_101-300x169.jpg" TargetMode="External"/><Relationship Id="rId6760" Type="http://schemas.openxmlformats.org/officeDocument/2006/relationships/hyperlink" Target="https://salesxceleration.com/wp-content/themes/salesxceleratione/assets/css/style.css?ver=1769123805" TargetMode="External"/><Relationship Id="rId4100" Type="http://schemas.openxmlformats.org/officeDocument/2006/relationships/hyperlink" Target="https://salesxceleration.com/whats-the-secret-sauce-for-better-sales-processes/" TargetMode="External"/><Relationship Id="rId5430" Type="http://schemas.openxmlformats.org/officeDocument/2006/relationships/hyperlink" Target="https://salesxceleration.com/wp-content/uploads/2019/02/should-you-discount-prices-chart.png" TargetMode="External"/><Relationship Id="rId6761" Type="http://schemas.openxmlformats.org/officeDocument/2006/relationships/hyperlink" Target="https://salesxceleration.com/wp-content/themes/salesxceleratione/assets/css/style.css?ver=1769123805" TargetMode="External"/><Relationship Id="rId246" Type="http://schemas.openxmlformats.org/officeDocument/2006/relationships/hyperlink" Target="https://salesxceleration.com/wp-content/uploads/elementor/google-fonts/css/opensans.css?ver=1744026297" TargetMode="External"/><Relationship Id="rId4103" Type="http://schemas.openxmlformats.org/officeDocument/2006/relationships/hyperlink" Target="https://salesxceleration.com/revenue-growth/" TargetMode="External"/><Relationship Id="rId5435" Type="http://schemas.openxmlformats.org/officeDocument/2006/relationships/hyperlink" Target="https://salesxceleration.com/hiring-a-salesperson-inside-industry-can-destroy-sales/" TargetMode="External"/><Relationship Id="rId6766" Type="http://schemas.openxmlformats.org/officeDocument/2006/relationships/hyperlink" Target="https://salesxceleration.com/wp-content/uploads/2020/10/Woman-Certified-Sales-Leader-scaled-1-2048x2048.jpg" TargetMode="External"/><Relationship Id="rId245" Type="http://schemas.openxmlformats.org/officeDocument/2006/relationships/hyperlink" Target="https://salesxceleration.com/wp-content/uploads/2021/04/banner-Case-Study_Electrical-Manufacturing_SX-1.jpg" TargetMode="External"/><Relationship Id="rId4102" Type="http://schemas.openxmlformats.org/officeDocument/2006/relationships/hyperlink" Target="https://salesxceleration.com/wp-content/uploads/2017/03/Sales_Consulting_101-300x169.jpg" TargetMode="External"/><Relationship Id="rId5436" Type="http://schemas.openxmlformats.org/officeDocument/2006/relationships/hyperlink" Target="https://salesxceleration.com/wp-content/uploads/2019/08/blog-image_shutterstock_1254620098.jpg" TargetMode="External"/><Relationship Id="rId6767" Type="http://schemas.openxmlformats.org/officeDocument/2006/relationships/hyperlink" Target="https://salesxceleration.com/wp-content/uploads/2020/10/Woman-Certified-Sales-Leader-scaled-1-2048x2048.jpg" TargetMode="External"/><Relationship Id="rId244" Type="http://schemas.openxmlformats.org/officeDocument/2006/relationships/hyperlink" Target="https://salesxceleration.com/wp-content/uploads/2021/04/banner-Case-Study_Electrical-Manufacturing_SX-1.jpg" TargetMode="External"/><Relationship Id="rId4105" Type="http://schemas.openxmlformats.org/officeDocument/2006/relationships/hyperlink" Target="https://salesxceleration.com/revenue-growth/" TargetMode="External"/><Relationship Id="rId5433" Type="http://schemas.openxmlformats.org/officeDocument/2006/relationships/hyperlink" Target="https://salesxceleration.com/hiring-a-salesperson-inside-industry-can-destroy-sales/" TargetMode="External"/><Relationship Id="rId6764" Type="http://schemas.openxmlformats.org/officeDocument/2006/relationships/hyperlink" Target="https://salesxceleration.com/wp-content/uploads/2017/02/Elevator-Down-RS-72-650-x-325-2048x2048.jpg" TargetMode="External"/><Relationship Id="rId243" Type="http://schemas.openxmlformats.org/officeDocument/2006/relationships/hyperlink" Target="https://salesxceleration.com/wp-content/plugins/elementor/assets/lib/font-awesome/css/brands.min.css?ver=5.15.3" TargetMode="External"/><Relationship Id="rId4104" Type="http://schemas.openxmlformats.org/officeDocument/2006/relationships/hyperlink" Target="https://salesxceleration.com/revenue-growth/" TargetMode="External"/><Relationship Id="rId5434" Type="http://schemas.openxmlformats.org/officeDocument/2006/relationships/hyperlink" Target="https://salesxceleration.com/hiring-a-salesperson-inside-industry-can-destroy-sales/" TargetMode="External"/><Relationship Id="rId6765" Type="http://schemas.openxmlformats.org/officeDocument/2006/relationships/hyperlink" Target="https://salesxceleration.com/wp-content/uploads/2017/02/Elevator-Down-RS-72-650-x-325-2048x2048.jpg" TargetMode="External"/><Relationship Id="rId5428" Type="http://schemas.openxmlformats.org/officeDocument/2006/relationships/hyperlink" Target="https://salesxceleration.com/wp-content/uploads/2017/03/Sales_Consulting_101.jpg" TargetMode="External"/><Relationship Id="rId6759" Type="http://schemas.openxmlformats.org/officeDocument/2006/relationships/hyperlink" Target="https://salesxceleration.com/wp-content/uploads/2022/05/Sales-Team-Strategizing.jpg" TargetMode="External"/><Relationship Id="rId5429" Type="http://schemas.openxmlformats.org/officeDocument/2006/relationships/hyperlink" Target="https://salesxceleration.com/wp-content/uploads/2019/02/should-you-discount-prices-chart.png" TargetMode="External"/><Relationship Id="rId5426" Type="http://schemas.openxmlformats.org/officeDocument/2006/relationships/hyperlink" Target="https://salesxceleration.com/problems-we-solve/who-we-help/" TargetMode="External"/><Relationship Id="rId6757" Type="http://schemas.openxmlformats.org/officeDocument/2006/relationships/hyperlink" Target="https://salesxceleration.com/wp-content/themes/salesxceleratione/assets/css/style.css?ver=1769123806" TargetMode="External"/><Relationship Id="rId5427" Type="http://schemas.openxmlformats.org/officeDocument/2006/relationships/hyperlink" Target="https://salesxceleration.com/wp-content/uploads/2017/03/Sales_Consulting_101.jpg" TargetMode="External"/><Relationship Id="rId6758" Type="http://schemas.openxmlformats.org/officeDocument/2006/relationships/hyperlink" Target="https://salesxceleration.com/wp-content/uploads/2022/05/Sales-Team-Strategizing.jpg" TargetMode="External"/><Relationship Id="rId239" Type="http://schemas.openxmlformats.org/officeDocument/2006/relationships/hyperlink" Target="https://salesxceleration.com/wp-includes/js/comment-reply.min.js?ver=6.9" TargetMode="External"/><Relationship Id="rId238" Type="http://schemas.openxmlformats.org/officeDocument/2006/relationships/hyperlink" Target="https://salesxceleration.com/wp-includes/js/comment-reply.min.js?ver=6.9" TargetMode="External"/><Relationship Id="rId237" Type="http://schemas.openxmlformats.org/officeDocument/2006/relationships/hyperlink" Target="https://salesxceleration.com/wp-content/uploads/2025/02/2024-Bronze.png" TargetMode="External"/><Relationship Id="rId236" Type="http://schemas.openxmlformats.org/officeDocument/2006/relationships/hyperlink" Target="https://salesxceleration.com/wp-content/uploads/2025/02/2024-Bronze.png" TargetMode="External"/><Relationship Id="rId231" Type="http://schemas.openxmlformats.org/officeDocument/2006/relationships/hyperlink" Target="https://salesxceleration.com/contact-us/" TargetMode="External"/><Relationship Id="rId5420" Type="http://schemas.openxmlformats.org/officeDocument/2006/relationships/hyperlink" Target="https://salesxceleration.com/sink-swim-not-effective-onboarding-plan-new-sales-representatives/" TargetMode="External"/><Relationship Id="rId6751" Type="http://schemas.openxmlformats.org/officeDocument/2006/relationships/hyperlink" Target="https://salesxceleration.com/wp-content/themes/salesxceleratione/assets/css/style.css?ver=1769123807" TargetMode="External"/><Relationship Id="rId230" Type="http://schemas.openxmlformats.org/officeDocument/2006/relationships/hyperlink" Target="https://salesxceleration.com/contact-us/" TargetMode="External"/><Relationship Id="rId5421" Type="http://schemas.openxmlformats.org/officeDocument/2006/relationships/hyperlink" Target="https://salesxceleration.com/wp-content/uploads/2018/01/Need-a-salesperson-650-x-325-72-dpi-2048x2048.jpg" TargetMode="External"/><Relationship Id="rId6752" Type="http://schemas.openxmlformats.org/officeDocument/2006/relationships/hyperlink" Target="https://salesxceleration.com/wp-content/uploads/2017/03/Bad-Reputation-RS-72-650-x-325.jpg" TargetMode="External"/><Relationship Id="rId6750" Type="http://schemas.openxmlformats.org/officeDocument/2006/relationships/hyperlink" Target="https://salesxceleration.com/wp-content/themes/salesxceleratione/assets/css/style.css?ver=1769123807" TargetMode="External"/><Relationship Id="rId235" Type="http://schemas.openxmlformats.org/officeDocument/2006/relationships/hyperlink" Target="https://salesxceleration.com/wp-content/themes/salesxceleratione/assets/css/style.css?ver=1769123309" TargetMode="External"/><Relationship Id="rId5424" Type="http://schemas.openxmlformats.org/officeDocument/2006/relationships/hyperlink" Target="https://salesxceleration.com/wp-content/uploads/2016/10/Hiring-a-Salesperson-Break-Down-Barriers-RS-72-560-x-225-2048x2048.jpg" TargetMode="External"/><Relationship Id="rId6755" Type="http://schemas.openxmlformats.org/officeDocument/2006/relationships/hyperlink" Target="https://salesxceleration.com/wp-content/uploads/2022/05/Weathering-Economic-Downturn.jpg" TargetMode="External"/><Relationship Id="rId234" Type="http://schemas.openxmlformats.org/officeDocument/2006/relationships/hyperlink" Target="https://salesxceleration.com/wp-content/themes/salesxceleratione/assets/css/style.css?ver=1769123309" TargetMode="External"/><Relationship Id="rId5425" Type="http://schemas.openxmlformats.org/officeDocument/2006/relationships/hyperlink" Target="https://salesxceleration.com/problems-we-solve/who-we-help/" TargetMode="External"/><Relationship Id="rId6756" Type="http://schemas.openxmlformats.org/officeDocument/2006/relationships/hyperlink" Target="https://salesxceleration.com/wp-content/themes/salesxceleratione/assets/css/style.css?ver=1769123806" TargetMode="External"/><Relationship Id="rId233" Type="http://schemas.openxmlformats.org/officeDocument/2006/relationships/hyperlink" Target="https://salesxceleration.com/wp-content/uploads/2022/06/50-Fastest-Companies-2022_Award-Logo.png" TargetMode="External"/><Relationship Id="rId5422" Type="http://schemas.openxmlformats.org/officeDocument/2006/relationships/hyperlink" Target="https://salesxceleration.com/wp-content/uploads/2018/01/Need-a-salesperson-650-x-325-72-dpi-2048x2048.jpg" TargetMode="External"/><Relationship Id="rId6753" Type="http://schemas.openxmlformats.org/officeDocument/2006/relationships/hyperlink" Target="https://salesxceleration.com/wp-content/uploads/2017/03/Bad-Reputation-RS-72-650-x-325.jpg" TargetMode="External"/><Relationship Id="rId232" Type="http://schemas.openxmlformats.org/officeDocument/2006/relationships/hyperlink" Target="https://salesxceleration.com/wp-content/uploads/2022/06/50-Fastest-Companies-2022_Award-Logo.png" TargetMode="External"/><Relationship Id="rId5423" Type="http://schemas.openxmlformats.org/officeDocument/2006/relationships/hyperlink" Target="https://salesxceleration.com/wp-content/uploads/2016/10/Hiring-a-Salesperson-Break-Down-Barriers-RS-72-560-x-225-2048x2048.jpg" TargetMode="External"/><Relationship Id="rId6754" Type="http://schemas.openxmlformats.org/officeDocument/2006/relationships/hyperlink" Target="https://salesxceleration.com/wp-content/uploads/2022/05/Weathering-Economic-Downturn.jpg" TargetMode="External"/><Relationship Id="rId6704" Type="http://schemas.openxmlformats.org/officeDocument/2006/relationships/hyperlink" Target="https://salesxceleration.com/wp-content/uploads/2018/06/Good_News_Bad_News.jpg" TargetMode="External"/><Relationship Id="rId6705" Type="http://schemas.openxmlformats.org/officeDocument/2006/relationships/hyperlink" Target="https://salesxceleration.com/downsized-your-accidental-entrepreneur-opportunity-as-a-sales-consultant/" TargetMode="External"/><Relationship Id="rId6702" Type="http://schemas.openxmlformats.org/officeDocument/2006/relationships/hyperlink" Target="https://salesxceleration.com/wp-content/uploads/2022/11/Sales-Management.jpg" TargetMode="External"/><Relationship Id="rId6703" Type="http://schemas.openxmlformats.org/officeDocument/2006/relationships/hyperlink" Target="https://salesxceleration.com/wp-content/uploads/2018/06/Good_News_Bad_News.jpg" TargetMode="External"/><Relationship Id="rId6708" Type="http://schemas.openxmlformats.org/officeDocument/2006/relationships/hyperlink" Target="https://salesxceleration.com/wp-content/themes/salesxceleratione/assets/css/style.css?ver=1769123814" TargetMode="External"/><Relationship Id="rId6709" Type="http://schemas.openxmlformats.org/officeDocument/2006/relationships/hyperlink" Target="https://salesxceleration.com/wp-content/themes/salesxceleratione/assets/css/style.css?ver=1769123814" TargetMode="External"/><Relationship Id="rId6706" Type="http://schemas.openxmlformats.org/officeDocument/2006/relationships/hyperlink" Target="https://salesxceleration.com/downsized-your-accidental-entrepreneur-opportunity-as-a-sales-consultant/" TargetMode="External"/><Relationship Id="rId6707" Type="http://schemas.openxmlformats.org/officeDocument/2006/relationships/hyperlink" Target="https://salesxceleration.com/downsized-your-accidental-entrepreneur-opportunity-as-a-sales-consultant/" TargetMode="External"/><Relationship Id="rId6700" Type="http://schemas.openxmlformats.org/officeDocument/2006/relationships/hyperlink" Target="https://salesxceleration.com/wp-content/themes/salesxceleratione/assets/css/style.css?ver=1769123816" TargetMode="External"/><Relationship Id="rId6701" Type="http://schemas.openxmlformats.org/officeDocument/2006/relationships/hyperlink" Target="https://salesxceleration.com/wp-content/uploads/2022/11/Sales-Management.jpg" TargetMode="External"/><Relationship Id="rId6726" Type="http://schemas.openxmlformats.org/officeDocument/2006/relationships/hyperlink" Target="https://salesxceleration.com/no-access/" TargetMode="External"/><Relationship Id="rId6727" Type="http://schemas.openxmlformats.org/officeDocument/2006/relationships/hyperlink" Target="https://salesxceleration.com/no-access/download-id/27871/" TargetMode="External"/><Relationship Id="rId6724" Type="http://schemas.openxmlformats.org/officeDocument/2006/relationships/hyperlink" Target="https://salesxceleration.com/wp-content/themes/salesxceleratione/assets/css/style.css?ver=1769123810" TargetMode="External"/><Relationship Id="rId6725" Type="http://schemas.openxmlformats.org/officeDocument/2006/relationships/hyperlink" Target="https://salesxceleration.com/no-access/download-id/27871/" TargetMode="External"/><Relationship Id="rId6728" Type="http://schemas.openxmlformats.org/officeDocument/2006/relationships/hyperlink" Target="https://salesxceleration.com/confessions-of-the-misunderstood-salesperson" TargetMode="External"/><Relationship Id="rId6729" Type="http://schemas.openxmlformats.org/officeDocument/2006/relationships/hyperlink" Target="https://salesxceleration.com/confessions-of-the-misunderstood-salesperson/" TargetMode="External"/><Relationship Id="rId206" Type="http://schemas.openxmlformats.org/officeDocument/2006/relationships/hyperlink" Target="https://salesxceleration.com/wp-content/plugins/powerpack-elements/assets/css/min/tooltip.min.css?ver=2.12.15" TargetMode="External"/><Relationship Id="rId205" Type="http://schemas.openxmlformats.org/officeDocument/2006/relationships/hyperlink" Target="https://salesxceleration.com/wp-content/plugins/powerpack-elements/assets/css/min/tooltip.min.css?ver=2.12.15" TargetMode="External"/><Relationship Id="rId204" Type="http://schemas.openxmlformats.org/officeDocument/2006/relationships/hyperlink" Target="https://salesxceleration.com/wp-content/plugins/elementor/assets/lib/font-awesome/css/solid.min.css?ver=5.15.3" TargetMode="External"/><Relationship Id="rId203" Type="http://schemas.openxmlformats.org/officeDocument/2006/relationships/hyperlink" Target="https://salesxceleration.com/wp-content/plugins/elementor/assets/lib/font-awesome/css/solid.min.css?ver=5.15.3" TargetMode="External"/><Relationship Id="rId209" Type="http://schemas.openxmlformats.org/officeDocument/2006/relationships/hyperlink" Target="https://salesxceleration.com/case-studies" TargetMode="External"/><Relationship Id="rId208" Type="http://schemas.openxmlformats.org/officeDocument/2006/relationships/hyperlink" Target="https://salesxceleration.com/case-studies/" TargetMode="External"/><Relationship Id="rId207" Type="http://schemas.openxmlformats.org/officeDocument/2006/relationships/hyperlink" Target="https://salesxceleration.com/case-studies" TargetMode="External"/><Relationship Id="rId202" Type="http://schemas.openxmlformats.org/officeDocument/2006/relationships/hyperlink" Target="https://salesxceleration.com/wp-content/plugins/wp-job-manager/assets/dist/css/job-listings.css?ver=598383a28ac5f9f156e4" TargetMode="External"/><Relationship Id="rId6722" Type="http://schemas.openxmlformats.org/officeDocument/2006/relationships/hyperlink" Target="https://salesxceleration.com/wp-content/uploads/2015/04/Confessions-misunderstood-salesperson-sales-xceleration.png" TargetMode="External"/><Relationship Id="rId201" Type="http://schemas.openxmlformats.org/officeDocument/2006/relationships/hyperlink" Target="https://salesxceleration.com/wp-content/plugins/wp-job-manager/assets/dist/css/job-listings.css?ver=598383a28ac5f9f156e4" TargetMode="External"/><Relationship Id="rId6723" Type="http://schemas.openxmlformats.org/officeDocument/2006/relationships/hyperlink" Target="https://salesxceleration.com/wp-content/themes/salesxceleratione/assets/css/style.css?ver=1769123810" TargetMode="External"/><Relationship Id="rId200" Type="http://schemas.openxmlformats.org/officeDocument/2006/relationships/hyperlink" Target="https://salesxceleration.com/private-equity-solutions/private-equity/" TargetMode="External"/><Relationship Id="rId6720" Type="http://schemas.openxmlformats.org/officeDocument/2006/relationships/hyperlink" Target="https://salesxceleration.com/?p=539" TargetMode="External"/><Relationship Id="rId6721" Type="http://schemas.openxmlformats.org/officeDocument/2006/relationships/hyperlink" Target="https://salesxceleration.com/wp-content/uploads/2015/04/Confessions-misunderstood-salesperson-sales-xceleration.png" TargetMode="External"/><Relationship Id="rId6715" Type="http://schemas.openxmlformats.org/officeDocument/2006/relationships/hyperlink" Target="https://salesxceleration.com/wp-content/uploads/2018/12/shutterstock_368529578-resized1.jpg" TargetMode="External"/><Relationship Id="rId6716" Type="http://schemas.openxmlformats.org/officeDocument/2006/relationships/hyperlink" Target="https://salesxceleration.com/no-access/download-id/27893/" TargetMode="External"/><Relationship Id="rId6713" Type="http://schemas.openxmlformats.org/officeDocument/2006/relationships/hyperlink" Target="https://salesxceleration.com/wp-content/themes/salesxceleratione/assets/css/style.css?ver=1769123812" TargetMode="External"/><Relationship Id="rId6714" Type="http://schemas.openxmlformats.org/officeDocument/2006/relationships/hyperlink" Target="https://salesxceleration.com/wp-content/uploads/2018/12/shutterstock_368529578-resized1.jpg" TargetMode="External"/><Relationship Id="rId6719" Type="http://schemas.openxmlformats.org/officeDocument/2006/relationships/hyperlink" Target="https://salesxceleration.com/?p=539" TargetMode="External"/><Relationship Id="rId6717" Type="http://schemas.openxmlformats.org/officeDocument/2006/relationships/hyperlink" Target="https://salesxceleration.com/no-access/" TargetMode="External"/><Relationship Id="rId6718" Type="http://schemas.openxmlformats.org/officeDocument/2006/relationships/hyperlink" Target="https://salesxceleration.com/no-access/download-id/27893/" TargetMode="External"/><Relationship Id="rId6711" Type="http://schemas.openxmlformats.org/officeDocument/2006/relationships/hyperlink" Target="https://salesxceleration.com/wp-content/uploads/2016/12/business-card-1525590-640x960-623x248-1.jpg" TargetMode="External"/><Relationship Id="rId6712" Type="http://schemas.openxmlformats.org/officeDocument/2006/relationships/hyperlink" Target="https://salesxceleration.com/wp-content/themes/salesxceleratione/assets/css/style.css?ver=1769123812" TargetMode="External"/><Relationship Id="rId6710" Type="http://schemas.openxmlformats.org/officeDocument/2006/relationships/hyperlink" Target="https://salesxceleration.com/wp-content/uploads/2016/12/business-card-1525590-640x960-623x248-1.jpg" TargetMode="External"/><Relationship Id="rId5490" Type="http://schemas.openxmlformats.org/officeDocument/2006/relationships/hyperlink" Target="https://salesxceleration.com/wp-content/themes/salesxceleratione/assets/css/style.css?ver=1769123633" TargetMode="External"/><Relationship Id="rId4161" Type="http://schemas.openxmlformats.org/officeDocument/2006/relationships/hyperlink" Target="https://salesxceleration.com/artificial-intelligence-in-sales-how-ai-is-changing-the-future-of-sales/" TargetMode="External"/><Relationship Id="rId5493" Type="http://schemas.openxmlformats.org/officeDocument/2006/relationships/hyperlink" Target="https://salesxceleration.com/after-the-pandemic-comes-the-new-business-as-usual-model/" TargetMode="External"/><Relationship Id="rId4160" Type="http://schemas.openxmlformats.org/officeDocument/2006/relationships/hyperlink" Target="https://salesxceleration.com/how-to-design-a-sales-compensation-plan-that-rewards-performance-and-boosts-revenue/" TargetMode="External"/><Relationship Id="rId5494" Type="http://schemas.openxmlformats.org/officeDocument/2006/relationships/hyperlink" Target="https://salesxceleration.com/after-the-pandemic-comes-the-new-business-as-usual-model/" TargetMode="External"/><Relationship Id="rId4163" Type="http://schemas.openxmlformats.org/officeDocument/2006/relationships/hyperlink" Target="https://salesxceleration.com/artificial-intelligence-in-sales-how-ai-is-changing-the-future-of-sales/" TargetMode="External"/><Relationship Id="rId5491" Type="http://schemas.openxmlformats.org/officeDocument/2006/relationships/hyperlink" Target="https://salesxceleration.com/wp-content/uploads/2013/10/Hiring-rightsales.jpg" TargetMode="External"/><Relationship Id="rId4162" Type="http://schemas.openxmlformats.org/officeDocument/2006/relationships/hyperlink" Target="https://salesxceleration.com/artificial-intelligence-in-sales-how-ai-is-changing-the-future-of-sales/" TargetMode="External"/><Relationship Id="rId5492" Type="http://schemas.openxmlformats.org/officeDocument/2006/relationships/hyperlink" Target="https://salesxceleration.com/wp-content/uploads/2013/10/Hiring-rightsales.jpg" TargetMode="External"/><Relationship Id="rId4165" Type="http://schemas.openxmlformats.org/officeDocument/2006/relationships/hyperlink" Target="https://salesxceleration.com/wp-content/uploads/2020/12/business-man-2048x2048.jpg" TargetMode="External"/><Relationship Id="rId5497" Type="http://schemas.openxmlformats.org/officeDocument/2006/relationships/hyperlink" Target="https://salesxceleration.com/wp-content/uploads/2015/12/Ripples.jpg" TargetMode="External"/><Relationship Id="rId4164" Type="http://schemas.openxmlformats.org/officeDocument/2006/relationships/hyperlink" Target="https://salesxceleration.com/wp-content/uploads/2020/12/business-man-2048x2048.jpg" TargetMode="External"/><Relationship Id="rId5498" Type="http://schemas.openxmlformats.org/officeDocument/2006/relationships/hyperlink" Target="https://salesxceleration.com/wp-content/uploads/2019/12/Business_Man_Looking_to_Future_Success-2048x2048.jpg" TargetMode="External"/><Relationship Id="rId4167" Type="http://schemas.openxmlformats.org/officeDocument/2006/relationships/hyperlink" Target="https://salesxceleration.com/contact-us/" TargetMode="External"/><Relationship Id="rId5495" Type="http://schemas.openxmlformats.org/officeDocument/2006/relationships/hyperlink" Target="https://salesxceleration.com/after-the-pandemic-comes-the-new-business-as-usual-model/" TargetMode="External"/><Relationship Id="rId4166" Type="http://schemas.openxmlformats.org/officeDocument/2006/relationships/hyperlink" Target="https://www.salesxceleration.com/contact-us/" TargetMode="External"/><Relationship Id="rId5496" Type="http://schemas.openxmlformats.org/officeDocument/2006/relationships/hyperlink" Target="https://salesxceleration.com/wp-content/uploads/2015/12/Ripples.jpg" TargetMode="External"/><Relationship Id="rId4169" Type="http://schemas.openxmlformats.org/officeDocument/2006/relationships/hyperlink" Target="https://salesxceleration.com/wp-content/uploads/2020/11/sales-forecasting-2048x2048.jpg" TargetMode="External"/><Relationship Id="rId4168" Type="http://schemas.openxmlformats.org/officeDocument/2006/relationships/hyperlink" Target="https://www.salesxceleration.com/contact-us/" TargetMode="External"/><Relationship Id="rId5499" Type="http://schemas.openxmlformats.org/officeDocument/2006/relationships/hyperlink" Target="https://salesxceleration.com/wp-content/uploads/2019/12/Business_Man_Looking_to_Future_Success-2048x2048.jpg" TargetMode="External"/><Relationship Id="rId4150" Type="http://schemas.openxmlformats.org/officeDocument/2006/relationships/hyperlink" Target="https://salesxceleration.com/discover/consultants/" TargetMode="External"/><Relationship Id="rId5482" Type="http://schemas.openxmlformats.org/officeDocument/2006/relationships/hyperlink" Target="https://salesxceleration.com/sales-agility-excellence-the-sales-infrastructure-you-need-to-enable-success/" TargetMode="External"/><Relationship Id="rId5483" Type="http://schemas.openxmlformats.org/officeDocument/2006/relationships/hyperlink" Target="https://salesxceleration.com/wp-content/uploads/2022/03/Exit-Planning-300x200.jpg" TargetMode="External"/><Relationship Id="rId4152" Type="http://schemas.openxmlformats.org/officeDocument/2006/relationships/hyperlink" Target="https://salesxceleration.com/increase-selling-price/" TargetMode="External"/><Relationship Id="rId5480" Type="http://schemas.openxmlformats.org/officeDocument/2006/relationships/hyperlink" Target="https://salesxceleration.com/sales-agility-excellence-the-sales-infrastructure-you-need-to-enable-success/" TargetMode="External"/><Relationship Id="rId4151" Type="http://schemas.openxmlformats.org/officeDocument/2006/relationships/hyperlink" Target="https://salesxceleration.com/increase-selling-price/" TargetMode="External"/><Relationship Id="rId5481" Type="http://schemas.openxmlformats.org/officeDocument/2006/relationships/hyperlink" Target="https://salesxceleration.com/sales-agility-excellence-the-sales-infrastructure-you-need-to-enable-success/" TargetMode="External"/><Relationship Id="rId4154" Type="http://schemas.openxmlformats.org/officeDocument/2006/relationships/hyperlink" Target="https://salesxceleration.com/wp-content/uploads/2022/07/Sales-Automation.jpg" TargetMode="External"/><Relationship Id="rId5486" Type="http://schemas.openxmlformats.org/officeDocument/2006/relationships/hyperlink" Target="https://salesxceleration.com/wp-content/uploads/2021/08/choppy-blue-sea-with-blue-sky-and-sun-300x300.jpg" TargetMode="External"/><Relationship Id="rId4153" Type="http://schemas.openxmlformats.org/officeDocument/2006/relationships/hyperlink" Target="https://salesxceleration.com/increase-selling-price/" TargetMode="External"/><Relationship Id="rId5487" Type="http://schemas.openxmlformats.org/officeDocument/2006/relationships/hyperlink" Target="https://salesxceleration.com/wp-content/uploads/2022/01/https___specials-images.forbesimg.com_imageserve_61e0352da916d2d434a29ba3_Choice-Concept-With-Doors-In-Maze_960x0-300x180.jpg" TargetMode="External"/><Relationship Id="rId4156" Type="http://schemas.openxmlformats.org/officeDocument/2006/relationships/hyperlink" Target="https://salesxceleration.com/wp-content/uploads/2022/03/117623-2018-09-InSight-Sales-ORG.jpg" TargetMode="External"/><Relationship Id="rId5484" Type="http://schemas.openxmlformats.org/officeDocument/2006/relationships/hyperlink" Target="https://salesxceleration.com/wp-content/uploads/2022/03/Exit-Planning-300x200.jpg" TargetMode="External"/><Relationship Id="rId4155" Type="http://schemas.openxmlformats.org/officeDocument/2006/relationships/hyperlink" Target="https://salesxceleration.com/wp-content/uploads/2022/07/Sales-Automation.jpg" TargetMode="External"/><Relationship Id="rId5485" Type="http://schemas.openxmlformats.org/officeDocument/2006/relationships/hyperlink" Target="https://salesxceleration.com/wp-content/uploads/2021/08/choppy-blue-sea-with-blue-sky-and-sun-300x300.jpg" TargetMode="External"/><Relationship Id="rId4158" Type="http://schemas.openxmlformats.org/officeDocument/2006/relationships/hyperlink" Target="https://salesxceleration.com/how-to-design-a-sales-compensation-plan-that-rewards-performance-and-boosts-revenue/" TargetMode="External"/><Relationship Id="rId4157" Type="http://schemas.openxmlformats.org/officeDocument/2006/relationships/hyperlink" Target="https://salesxceleration.com/wp-content/uploads/2022/03/117623-2018-09-InSight-Sales-ORG.jpg" TargetMode="External"/><Relationship Id="rId5488" Type="http://schemas.openxmlformats.org/officeDocument/2006/relationships/hyperlink" Target="https://salesxceleration.com/wp-content/uploads/2022/01/https___specials-images.forbesimg.com_imageserve_61e0352da916d2d434a29ba3_Choice-Concept-With-Doors-In-Maze_960x0-300x180.jpg" TargetMode="External"/><Relationship Id="rId4159" Type="http://schemas.openxmlformats.org/officeDocument/2006/relationships/hyperlink" Target="https://salesxceleration.com/how-to-design-a-sales-compensation-plan-that-rewards-performance-and-boosts-revenue/" TargetMode="External"/><Relationship Id="rId5489" Type="http://schemas.openxmlformats.org/officeDocument/2006/relationships/hyperlink" Target="https://salesxceleration.com/wp-content/themes/salesxceleratione/assets/css/style.css?ver=1769123633" TargetMode="External"/><Relationship Id="rId1910" Type="http://schemas.openxmlformats.org/officeDocument/2006/relationships/hyperlink" Target="https://salesxceleration.com/wp-content/uploads/2022/04/558d6857-33d4-46f1-9239-c2862b95f7d0-225x300.jpg" TargetMode="External"/><Relationship Id="rId1911" Type="http://schemas.openxmlformats.org/officeDocument/2006/relationships/hyperlink" Target="https://salesxceleration.com/wp-content/uploads/2022/04/558d6857-33d4-46f1-9239-c2862b95f7d0-225x300.jpg" TargetMode="External"/><Relationship Id="rId1912" Type="http://schemas.openxmlformats.org/officeDocument/2006/relationships/hyperlink" Target="https://salesxceleration.com/wp-content/uploads/2022/04/Unknown-1.jpeg" TargetMode="External"/><Relationship Id="rId1913" Type="http://schemas.openxmlformats.org/officeDocument/2006/relationships/hyperlink" Target="https://salesxceleration.com/wp-content/uploads/2022/04/Unknown-1.jpeg" TargetMode="External"/><Relationship Id="rId1914" Type="http://schemas.openxmlformats.org/officeDocument/2006/relationships/hyperlink" Target="https://salesxceleration.com/wp-content/uploads/2022/04/20220419_115334-1024x545.jpg" TargetMode="External"/><Relationship Id="rId1915" Type="http://schemas.openxmlformats.org/officeDocument/2006/relationships/hyperlink" Target="https://salesxceleration.com/wp-content/uploads/2022/04/20220419_115334-1024x545.jpg" TargetMode="External"/><Relationship Id="rId1916" Type="http://schemas.openxmlformats.org/officeDocument/2006/relationships/hyperlink" Target="https://salesxceleration.com/wp-content/uploads/2022/04/IMG_1030.jpg" TargetMode="External"/><Relationship Id="rId1917" Type="http://schemas.openxmlformats.org/officeDocument/2006/relationships/hyperlink" Target="https://salesxceleration.com/wp-content/uploads/2022/04/IMG_1030.jpg" TargetMode="External"/><Relationship Id="rId1918" Type="http://schemas.openxmlformats.org/officeDocument/2006/relationships/hyperlink" Target="https://salesxceleration.com/wp-content/uploads/2022/04/Unknown-copy.jpg" TargetMode="External"/><Relationship Id="rId1919" Type="http://schemas.openxmlformats.org/officeDocument/2006/relationships/hyperlink" Target="https://salesxceleration.com/wp-content/uploads/2022/04/Unknown-copy.jpg" TargetMode="External"/><Relationship Id="rId4181" Type="http://schemas.openxmlformats.org/officeDocument/2006/relationships/hyperlink" Target="https://salesxceleration.com/wp-content/uploads/2014/07/many-hats.jpg" TargetMode="External"/><Relationship Id="rId4180" Type="http://schemas.openxmlformats.org/officeDocument/2006/relationships/hyperlink" Target="https://salesxceleration.com/wp-content/themes/salesxceleratione/assets/css/style.css?ver=1769123518" TargetMode="External"/><Relationship Id="rId4183" Type="http://schemas.openxmlformats.org/officeDocument/2006/relationships/hyperlink" Target="https://salesxceleration.com/wp-content/uploads/2021/03/Change-Your-Path-2-2048x2048.jpg" TargetMode="External"/><Relationship Id="rId4182" Type="http://schemas.openxmlformats.org/officeDocument/2006/relationships/hyperlink" Target="https://salesxceleration.com/wp-content/uploads/2014/07/many-hats.jpg" TargetMode="External"/><Relationship Id="rId4185" Type="http://schemas.openxmlformats.org/officeDocument/2006/relationships/hyperlink" Target="https://salesxceleration.com/author/mthacker2/" TargetMode="External"/><Relationship Id="rId4184" Type="http://schemas.openxmlformats.org/officeDocument/2006/relationships/hyperlink" Target="https://salesxceleration.com/wp-content/uploads/2021/03/Change-Your-Path-2-2048x2048.jpg" TargetMode="External"/><Relationship Id="rId4187" Type="http://schemas.openxmlformats.org/officeDocument/2006/relationships/hyperlink" Target="https://salesxceleration.com/author/mthacker2/page/2/" TargetMode="External"/><Relationship Id="rId4186" Type="http://schemas.openxmlformats.org/officeDocument/2006/relationships/hyperlink" Target="https://salesxceleration.com/author/mthacker2/" TargetMode="External"/><Relationship Id="rId4189" Type="http://schemas.openxmlformats.org/officeDocument/2006/relationships/hyperlink" Target="https://salesxceleration.com/wp-content/uploads/2016/03/Change-RS-72-560-x-225-2048x2048.jpg" TargetMode="External"/><Relationship Id="rId4188" Type="http://schemas.openxmlformats.org/officeDocument/2006/relationships/hyperlink" Target="https://salesxceleration.com/author/mthacker2/" TargetMode="External"/><Relationship Id="rId1900" Type="http://schemas.openxmlformats.org/officeDocument/2006/relationships/hyperlink" Target="https://salesxceleration.com/wp-content/plugins/elementor/assets/css/widget-counter.min.css?ver=3.34.0" TargetMode="External"/><Relationship Id="rId1901" Type="http://schemas.openxmlformats.org/officeDocument/2006/relationships/hyperlink" Target="https://salesxceleration.com/wp-content/plugins/elementor/assets/css/widget-counter.min.css?ver=3.34.0" TargetMode="External"/><Relationship Id="rId1902" Type="http://schemas.openxmlformats.org/officeDocument/2006/relationships/hyperlink" Target="https://salesxceleration.com/wp-content/plugins/elementor-pro/assets/css/widget-slides.min.css?ver=3.34.0" TargetMode="External"/><Relationship Id="rId1903" Type="http://schemas.openxmlformats.org/officeDocument/2006/relationships/hyperlink" Target="https://salesxceleration.com/wp-content/plugins/elementor-pro/assets/css/widget-slides.min.css?ver=3.34.0" TargetMode="External"/><Relationship Id="rId1904" Type="http://schemas.openxmlformats.org/officeDocument/2006/relationships/hyperlink" Target="https://salesxceleration.com/wp-content/uploads/2022/04/Day-of-Giving-Solve-Kaigh-2-249x300.jpg" TargetMode="External"/><Relationship Id="rId1905" Type="http://schemas.openxmlformats.org/officeDocument/2006/relationships/hyperlink" Target="https://salesxceleration.com/wp-content/uploads/2022/04/Day-of-Giving-Solve-Kaigh-2-249x300.jpg" TargetMode="External"/><Relationship Id="rId1906" Type="http://schemas.openxmlformats.org/officeDocument/2006/relationships/hyperlink" Target="https://salesxceleration.com/wp-content/themes/salesxceleratione/assets/css/style.css?ver=1769123328" TargetMode="External"/><Relationship Id="rId1907" Type="http://schemas.openxmlformats.org/officeDocument/2006/relationships/hyperlink" Target="https://salesxceleration.com/wp-content/themes/salesxceleratione/assets/css/style.css?ver=1769123328" TargetMode="External"/><Relationship Id="rId1908" Type="http://schemas.openxmlformats.org/officeDocument/2006/relationships/hyperlink" Target="https://salesxceleration.com/wp-content/plugins/elementor/assets/css/widget-image-gallery.min.css?ver=3.34.0" TargetMode="External"/><Relationship Id="rId1909" Type="http://schemas.openxmlformats.org/officeDocument/2006/relationships/hyperlink" Target="https://salesxceleration.com/wp-content/plugins/elementor/assets/css/widget-image-gallery.min.css?ver=3.34.0" TargetMode="External"/><Relationship Id="rId4170" Type="http://schemas.openxmlformats.org/officeDocument/2006/relationships/hyperlink" Target="https://salesxceleration.com/wp-content/uploads/2020/11/sales-forecasting-2048x2048.jpg" TargetMode="External"/><Relationship Id="rId4172" Type="http://schemas.openxmlformats.org/officeDocument/2006/relationships/hyperlink" Target="https://salesxceleration.com/wp-content/themes/salesxceleratione/assets/css/style.css?ver=1769123516" TargetMode="External"/><Relationship Id="rId4171" Type="http://schemas.openxmlformats.org/officeDocument/2006/relationships/hyperlink" Target="https://salesxceleration.com/wp-content/themes/salesxceleratione/assets/css/style.css?ver=1769123516" TargetMode="External"/><Relationship Id="rId4174" Type="http://schemas.openxmlformats.org/officeDocument/2006/relationships/hyperlink" Target="https://salesxceleration.com/wp-content/uploads/2023/04/Leadership-Styles-Sales-Recovery.jpg" TargetMode="External"/><Relationship Id="rId4173" Type="http://schemas.openxmlformats.org/officeDocument/2006/relationships/hyperlink" Target="https://salesxceleration.com/wp-content/uploads/2023/04/Leadership-Styles-Sales-Recovery.jpg" TargetMode="External"/><Relationship Id="rId4176" Type="http://schemas.openxmlformats.org/officeDocument/2006/relationships/hyperlink" Target="https://salesxceleration.com/wp-content/uploads/2025/11/Remote-Sales-Teams-1024x683-1.jpg" TargetMode="External"/><Relationship Id="rId4175" Type="http://schemas.openxmlformats.org/officeDocument/2006/relationships/hyperlink" Target="https://salesxceleration.com/wp-content/uploads/2025/11/Remote-Sales-Teams-1024x683-1.jpg" TargetMode="External"/><Relationship Id="rId4178" Type="http://schemas.openxmlformats.org/officeDocument/2006/relationships/hyperlink" Target="https://salesxceleration.com/wp-content/themes/salesxceleratione/assets/css/style.css?ver=1769123517" TargetMode="External"/><Relationship Id="rId4177" Type="http://schemas.openxmlformats.org/officeDocument/2006/relationships/hyperlink" Target="https://salesxceleration.com/wp-content/themes/salesxceleratione/assets/css/style.css?ver=1769123517" TargetMode="External"/><Relationship Id="rId4179" Type="http://schemas.openxmlformats.org/officeDocument/2006/relationships/hyperlink" Target="https://salesxceleration.com/wp-content/themes/salesxceleratione/assets/css/style.css?ver=1769123518" TargetMode="External"/><Relationship Id="rId4129" Type="http://schemas.openxmlformats.org/officeDocument/2006/relationships/hyperlink" Target="https://salesxceleration.com/top-4-challenges-facing-small-business-owners-today/" TargetMode="External"/><Relationship Id="rId4128" Type="http://schemas.openxmlformats.org/officeDocument/2006/relationships/hyperlink" Target="https://salesxceleration.com/top-4-challenges-facing-small-business-owners-today/" TargetMode="External"/><Relationship Id="rId5459" Type="http://schemas.openxmlformats.org/officeDocument/2006/relationships/hyperlink" Target="https://salesxceleration.com/three-key-elements-to-ensure-success-and-growth-for-your-startup/" TargetMode="External"/><Relationship Id="rId6780" Type="http://schemas.openxmlformats.org/officeDocument/2006/relationships/hyperlink" Target="https://salesxceleration.com/wp-content/themes/salesxceleratione/assets/css/style.css?ver=1769123803" TargetMode="External"/><Relationship Id="rId5450" Type="http://schemas.openxmlformats.org/officeDocument/2006/relationships/hyperlink" Target="https://salesxceleration.com/wp-content/themes/salesxceleratione/assets/css/style.css?ver=1769123630" TargetMode="External"/><Relationship Id="rId6781" Type="http://schemas.openxmlformats.org/officeDocument/2006/relationships/hyperlink" Target="https://salesxceleration.com/wp-content/uploads/2022/04/Oser-Gregg-275x275-1-100x100.jpg" TargetMode="External"/><Relationship Id="rId4121" Type="http://schemas.openxmlformats.org/officeDocument/2006/relationships/hyperlink" Target="https://salesxceleration.com/how-to-grow-your-business-by-building-maintaining-and-improving-customer-relationships/" TargetMode="External"/><Relationship Id="rId5453" Type="http://schemas.openxmlformats.org/officeDocument/2006/relationships/hyperlink" Target="https://salesxceleration.com/wp-content/uploads/2022/04/Startup-Business-2048x2048.jpg" TargetMode="External"/><Relationship Id="rId6784" Type="http://schemas.openxmlformats.org/officeDocument/2006/relationships/hyperlink" Target="https://salesxceleration.com/top-5-in-focus-key-areas-where-effective-sales-leaders-excel/" TargetMode="External"/><Relationship Id="rId4120" Type="http://schemas.openxmlformats.org/officeDocument/2006/relationships/hyperlink" Target="https://salesxceleration.com/wp-content/uploads/2019/08/https___specials-images.forbesimg.com_dam_imageserve_1041618784_960x0-300x200.jpg" TargetMode="External"/><Relationship Id="rId5454" Type="http://schemas.openxmlformats.org/officeDocument/2006/relationships/hyperlink" Target="https://salesxceleration.com/wp-content/uploads/2022/04/Startup-Business-2048x2048.jpg" TargetMode="External"/><Relationship Id="rId6785" Type="http://schemas.openxmlformats.org/officeDocument/2006/relationships/hyperlink" Target="https://salesxceleration.com/top-5-in-focus-key-areas-where-effective-sales-leaders-excel/" TargetMode="External"/><Relationship Id="rId4123" Type="http://schemas.openxmlformats.org/officeDocument/2006/relationships/hyperlink" Target="https://salesxceleration.com/how-to-grow-your-business-by-building-maintaining-and-improving-customer-relationships/" TargetMode="External"/><Relationship Id="rId5451" Type="http://schemas.openxmlformats.org/officeDocument/2006/relationships/hyperlink" Target="https://salesxceleration.com/wp-content/uploads/2022/06/AI-in-Sales.jpg" TargetMode="External"/><Relationship Id="rId6782" Type="http://schemas.openxmlformats.org/officeDocument/2006/relationships/hyperlink" Target="https://salesxceleration.com/wp-content/uploads/2022/04/Oser-Gregg-275x275-1-100x100.jpg" TargetMode="External"/><Relationship Id="rId4122" Type="http://schemas.openxmlformats.org/officeDocument/2006/relationships/hyperlink" Target="https://salesxceleration.com/how-to-grow-your-business-by-building-maintaining-and-improving-customer-relationships/" TargetMode="External"/><Relationship Id="rId5452" Type="http://schemas.openxmlformats.org/officeDocument/2006/relationships/hyperlink" Target="https://salesxceleration.com/wp-content/uploads/2022/06/AI-in-Sales.jpg" TargetMode="External"/><Relationship Id="rId6783" Type="http://schemas.openxmlformats.org/officeDocument/2006/relationships/hyperlink" Target="https://salesxceleration.com/top-5-in-focus-key-areas-where-effective-sales-leaders-excel/" TargetMode="External"/><Relationship Id="rId4125" Type="http://schemas.openxmlformats.org/officeDocument/2006/relationships/hyperlink" Target="https://salesxceleration.com/wp-content/uploads/2018/10/shutterstock_272489561-300x184.png" TargetMode="External"/><Relationship Id="rId5457" Type="http://schemas.openxmlformats.org/officeDocument/2006/relationships/hyperlink" Target="https://salesxceleration.com/wp-content/uploads/2022/04/Sales-Strategies-to-Close-the-Deal-2048x2048.jpg" TargetMode="External"/><Relationship Id="rId6788" Type="http://schemas.openxmlformats.org/officeDocument/2006/relationships/hyperlink" Target="https://salesxceleration.com/using-ride-along-better-sales-management-coaching/" TargetMode="External"/><Relationship Id="rId4124" Type="http://schemas.openxmlformats.org/officeDocument/2006/relationships/hyperlink" Target="https://salesxceleration.com/wp-content/uploads/2018/10/shutterstock_272489561-300x184.png" TargetMode="External"/><Relationship Id="rId5458" Type="http://schemas.openxmlformats.org/officeDocument/2006/relationships/hyperlink" Target="https://salesxceleration.com/wp-content/uploads/2022/04/Sales-Strategies-to-Close-the-Deal-2048x2048.jpg" TargetMode="External"/><Relationship Id="rId6789" Type="http://schemas.openxmlformats.org/officeDocument/2006/relationships/hyperlink" Target="https://salesxceleration.com/using-ride-along-better-sales-management-coaching/" TargetMode="External"/><Relationship Id="rId4127" Type="http://schemas.openxmlformats.org/officeDocument/2006/relationships/hyperlink" Target="https://salesxceleration.com/wp-content/uploads/2019/02/i-need-revenue-growth-now-300x200.jpg" TargetMode="External"/><Relationship Id="rId5455" Type="http://schemas.openxmlformats.org/officeDocument/2006/relationships/hyperlink" Target="https://salesxceleration.com/wp-content/uploads/2022/03/Competitive-Advantage-2048x2048.jpg" TargetMode="External"/><Relationship Id="rId6786" Type="http://schemas.openxmlformats.org/officeDocument/2006/relationships/hyperlink" Target="https://salesxceleration.com/wp-content/uploads/2022/03/Businessman-Holding-a-Football.jpg" TargetMode="External"/><Relationship Id="rId4126" Type="http://schemas.openxmlformats.org/officeDocument/2006/relationships/hyperlink" Target="https://salesxceleration.com/wp-content/uploads/2019/02/i-need-revenue-growth-now-300x200.jpg" TargetMode="External"/><Relationship Id="rId5456" Type="http://schemas.openxmlformats.org/officeDocument/2006/relationships/hyperlink" Target="https://salesxceleration.com/wp-content/uploads/2022/03/Competitive-Advantage-2048x2048.jpg" TargetMode="External"/><Relationship Id="rId6787" Type="http://schemas.openxmlformats.org/officeDocument/2006/relationships/hyperlink" Target="https://salesxceleration.com/wp-content/uploads/2022/03/Businessman-Holding-a-Football.jpg" TargetMode="External"/><Relationship Id="rId4118" Type="http://schemas.openxmlformats.org/officeDocument/2006/relationships/hyperlink" Target="https://salesxceleration.com/how-to-define-your-ideal-salesperson-and-avoid-making-a-hiring-mistake/" TargetMode="External"/><Relationship Id="rId4117" Type="http://schemas.openxmlformats.org/officeDocument/2006/relationships/hyperlink" Target="https://salesxceleration.com/how-to-define-your-ideal-salesperson-and-avoid-making-a-hiring-mistake/" TargetMode="External"/><Relationship Id="rId5448" Type="http://schemas.openxmlformats.org/officeDocument/2006/relationships/hyperlink" Target="https://salesxceleration.com/wp-content/uploads/2019/08/https___specials-images.forbesimg.com_dam_imageserve_1041618784_960x0.jpg" TargetMode="External"/><Relationship Id="rId6779" Type="http://schemas.openxmlformats.org/officeDocument/2006/relationships/hyperlink" Target="https://salesxceleration.com/wp-content/themes/salesxceleratione/assets/css/style.css?ver=1769123803" TargetMode="External"/><Relationship Id="rId4119" Type="http://schemas.openxmlformats.org/officeDocument/2006/relationships/hyperlink" Target="https://salesxceleration.com/wp-content/uploads/2019/08/https___specials-images.forbesimg.com_dam_imageserve_1041618784_960x0-300x200.jpg" TargetMode="External"/><Relationship Id="rId5449" Type="http://schemas.openxmlformats.org/officeDocument/2006/relationships/hyperlink" Target="https://salesxceleration.com/wp-content/themes/salesxceleratione/assets/css/style.css?ver=1769123630" TargetMode="External"/><Relationship Id="rId6770" Type="http://schemas.openxmlformats.org/officeDocument/2006/relationships/hyperlink" Target="https://salesxceleration.com/?download=27891" TargetMode="External"/><Relationship Id="rId4110" Type="http://schemas.openxmlformats.org/officeDocument/2006/relationships/hyperlink" Target="https://salesxceleration.com/whats-wallet-time-fund-sales-tool-kit/" TargetMode="External"/><Relationship Id="rId5442" Type="http://schemas.openxmlformats.org/officeDocument/2006/relationships/hyperlink" Target="https://salesxceleration.com/wp-content/uploads/2019/02/increasing-price-and-maintaining-profit-with-lost-sales-table.png" TargetMode="External"/><Relationship Id="rId6773" Type="http://schemas.openxmlformats.org/officeDocument/2006/relationships/hyperlink" Target="https://salesxceleration.com/?download=27888" TargetMode="External"/><Relationship Id="rId5443" Type="http://schemas.openxmlformats.org/officeDocument/2006/relationships/hyperlink" Target="https://salesxceleration.com/wp-content/uploads/2019/02/increasing-price-and-maintaining-profit-with-lost-sales-table.png" TargetMode="External"/><Relationship Id="rId6774" Type="http://schemas.openxmlformats.org/officeDocument/2006/relationships/hyperlink" Target="https://salesxceleration.com/wp-content/uploads/2019/07/shutterstock_1361250578-1.jpg" TargetMode="External"/><Relationship Id="rId4112" Type="http://schemas.openxmlformats.org/officeDocument/2006/relationships/hyperlink" Target="https://salesxceleration.com/compensation-plans-performance-management/" TargetMode="External"/><Relationship Id="rId5440" Type="http://schemas.openxmlformats.org/officeDocument/2006/relationships/hyperlink" Target="https://salesxceleration.com/wp-content/uploads/2019/02/should-you-increase-your-sales-price.jpg" TargetMode="External"/><Relationship Id="rId6771" Type="http://schemas.openxmlformats.org/officeDocument/2006/relationships/hyperlink" Target="https://salesxceleration.com/?download=27888" TargetMode="External"/><Relationship Id="rId4111" Type="http://schemas.openxmlformats.org/officeDocument/2006/relationships/hyperlink" Target="https://salesxceleration.com/compensation-plans-performance-management/" TargetMode="External"/><Relationship Id="rId5441" Type="http://schemas.openxmlformats.org/officeDocument/2006/relationships/hyperlink" Target="https://salesxceleration.com/wp-content/uploads/2019/02/should-you-increase-your-sales-price.jpg" TargetMode="External"/><Relationship Id="rId6772" Type="http://schemas.openxmlformats.org/officeDocument/2006/relationships/hyperlink" Target="https://salesxceleration.com/no-access/download-id/27888/" TargetMode="External"/><Relationship Id="rId4114" Type="http://schemas.openxmlformats.org/officeDocument/2006/relationships/hyperlink" Target="https://salesxceleration.com/wp-content/uploads/2019/08/blog-image_shutterstock_1254620098-300x200.jpg" TargetMode="External"/><Relationship Id="rId5446" Type="http://schemas.openxmlformats.org/officeDocument/2006/relationships/hyperlink" Target="https://salesxceleration.com/internet-mean-dont-need-a-salesperson/" TargetMode="External"/><Relationship Id="rId6777" Type="http://schemas.openxmlformats.org/officeDocument/2006/relationships/hyperlink" Target="https://salesxceleration.com/elevator-pitches-fail-just-like-pick-lines/" TargetMode="External"/><Relationship Id="rId4113" Type="http://schemas.openxmlformats.org/officeDocument/2006/relationships/hyperlink" Target="https://salesxceleration.com/compensation-plans-performance-management/" TargetMode="External"/><Relationship Id="rId5447" Type="http://schemas.openxmlformats.org/officeDocument/2006/relationships/hyperlink" Target="https://salesxceleration.com/wp-content/uploads/2019/08/https___specials-images.forbesimg.com_dam_imageserve_1041618784_960x0.jpg" TargetMode="External"/><Relationship Id="rId6778" Type="http://schemas.openxmlformats.org/officeDocument/2006/relationships/hyperlink" Target="https://salesxceleration.com/elevator-pitches-fail-just-like-pick-lines/" TargetMode="External"/><Relationship Id="rId4116" Type="http://schemas.openxmlformats.org/officeDocument/2006/relationships/hyperlink" Target="https://salesxceleration.com/how-to-define-your-ideal-salesperson-and-avoid-making-a-hiring-mistake/" TargetMode="External"/><Relationship Id="rId5444" Type="http://schemas.openxmlformats.org/officeDocument/2006/relationships/hyperlink" Target="https://salesxceleration.com/internet-mean-dont-need-a-salesperson/" TargetMode="External"/><Relationship Id="rId6775" Type="http://schemas.openxmlformats.org/officeDocument/2006/relationships/hyperlink" Target="https://salesxceleration.com/wp-content/uploads/2019/07/shutterstock_1361250578-1.jpg" TargetMode="External"/><Relationship Id="rId4115" Type="http://schemas.openxmlformats.org/officeDocument/2006/relationships/hyperlink" Target="https://salesxceleration.com/wp-content/uploads/2019/08/blog-image_shutterstock_1254620098-300x200.jpg" TargetMode="External"/><Relationship Id="rId5445" Type="http://schemas.openxmlformats.org/officeDocument/2006/relationships/hyperlink" Target="https://salesxceleration.com/internet-mean-dont-need-a-salesperson/" TargetMode="External"/><Relationship Id="rId6776" Type="http://schemas.openxmlformats.org/officeDocument/2006/relationships/hyperlink" Target="https://salesxceleration.com/elevator-pitches-fail-just-like-pick-lines/" TargetMode="External"/><Relationship Id="rId5471" Type="http://schemas.openxmlformats.org/officeDocument/2006/relationships/hyperlink" Target="https://salesxceleration.com/wp-content/uploads/2022/01/assessment-300x300.jpg" TargetMode="External"/><Relationship Id="rId5472" Type="http://schemas.openxmlformats.org/officeDocument/2006/relationships/hyperlink" Target="https://salesxceleration.com/5-emerging-sales-strategies-and-how-to-use-them/" TargetMode="External"/><Relationship Id="rId4141" Type="http://schemas.openxmlformats.org/officeDocument/2006/relationships/hyperlink" Target="https://salesxceleration.com/discount-selling-price/" TargetMode="External"/><Relationship Id="rId4140" Type="http://schemas.openxmlformats.org/officeDocument/2006/relationships/hyperlink" Target="https://salesxceleration.com/discount-selling-price/" TargetMode="External"/><Relationship Id="rId5470" Type="http://schemas.openxmlformats.org/officeDocument/2006/relationships/hyperlink" Target="https://salesxceleration.com/wp-content/uploads/2022/01/assessment-300x300.jpg" TargetMode="External"/><Relationship Id="rId4143" Type="http://schemas.openxmlformats.org/officeDocument/2006/relationships/hyperlink" Target="https://salesxceleration.com/three-questions-for-hiring-your-next-sales-leader/" TargetMode="External"/><Relationship Id="rId5475" Type="http://schemas.openxmlformats.org/officeDocument/2006/relationships/hyperlink" Target="https://salesxceleration.com/wp-content/themes/salesxceleratione/assets/css/style.css?ver=1769123631" TargetMode="External"/><Relationship Id="rId4142" Type="http://schemas.openxmlformats.org/officeDocument/2006/relationships/hyperlink" Target="https://salesxceleration.com/discount-selling-price/" TargetMode="External"/><Relationship Id="rId5476" Type="http://schemas.openxmlformats.org/officeDocument/2006/relationships/hyperlink" Target="https://salesxceleration.com/wp-content/themes/salesxceleratione/assets/css/style.css?ver=1769123631" TargetMode="External"/><Relationship Id="rId4145" Type="http://schemas.openxmlformats.org/officeDocument/2006/relationships/hyperlink" Target="https://salesxceleration.com/three-questions-for-hiring-your-next-sales-leader/" TargetMode="External"/><Relationship Id="rId5473" Type="http://schemas.openxmlformats.org/officeDocument/2006/relationships/hyperlink" Target="https://salesxceleration.com/5-emerging-sales-strategies-and-how-to-use-them/" TargetMode="External"/><Relationship Id="rId4144" Type="http://schemas.openxmlformats.org/officeDocument/2006/relationships/hyperlink" Target="https://salesxceleration.com/three-questions-for-hiring-your-next-sales-leader/" TargetMode="External"/><Relationship Id="rId5474" Type="http://schemas.openxmlformats.org/officeDocument/2006/relationships/hyperlink" Target="https://salesxceleration.com/5-emerging-sales-strategies-and-how-to-use-them/" TargetMode="External"/><Relationship Id="rId4147" Type="http://schemas.openxmlformats.org/officeDocument/2006/relationships/hyperlink" Target="https://salesxceleration.com/wp-content/uploads/2022/05/Discount-2048x2048.jpg" TargetMode="External"/><Relationship Id="rId5479" Type="http://schemas.openxmlformats.org/officeDocument/2006/relationships/hyperlink" Target="https://salesxceleration.com/exit-planning-for-modern-leaders-how-to-determine-your-companys-worth/" TargetMode="External"/><Relationship Id="rId4146" Type="http://schemas.openxmlformats.org/officeDocument/2006/relationships/hyperlink" Target="https://salesxceleration.com/wp-content/uploads/2022/05/Discount-2048x2048.jpg" TargetMode="External"/><Relationship Id="rId4149" Type="http://schemas.openxmlformats.org/officeDocument/2006/relationships/hyperlink" Target="https://salesxceleration.com/consultants/" TargetMode="External"/><Relationship Id="rId5477" Type="http://schemas.openxmlformats.org/officeDocument/2006/relationships/hyperlink" Target="https://salesxceleration.com/exit-planning-for-modern-leaders-how-to-determine-your-companys-worth/" TargetMode="External"/><Relationship Id="rId4148" Type="http://schemas.openxmlformats.org/officeDocument/2006/relationships/hyperlink" Target="https://salesxceleration.com/discover/consultants/" TargetMode="External"/><Relationship Id="rId5478" Type="http://schemas.openxmlformats.org/officeDocument/2006/relationships/hyperlink" Target="https://salesxceleration.com/exit-planning-for-modern-leaders-how-to-determine-your-companys-worth/" TargetMode="External"/><Relationship Id="rId4139" Type="http://schemas.openxmlformats.org/officeDocument/2006/relationships/hyperlink" Target="https://salesxceleration.com/wp-content/uploads/2018/04/cp-300x202.jpg" TargetMode="External"/><Relationship Id="rId5460" Type="http://schemas.openxmlformats.org/officeDocument/2006/relationships/hyperlink" Target="https://salesxceleration.com/three-key-elements-to-ensure-success-and-growth-for-your-startup/" TargetMode="External"/><Relationship Id="rId6791" Type="http://schemas.openxmlformats.org/officeDocument/2006/relationships/hyperlink" Target="https://salesxceleration.com/author/goser/" TargetMode="External"/><Relationship Id="rId5461" Type="http://schemas.openxmlformats.org/officeDocument/2006/relationships/hyperlink" Target="https://salesxceleration.com/three-key-elements-to-ensure-success-and-growth-for-your-startup/" TargetMode="External"/><Relationship Id="rId6792" Type="http://schemas.openxmlformats.org/officeDocument/2006/relationships/hyperlink" Target="https://salesxceleration.com/author/goser/" TargetMode="External"/><Relationship Id="rId4130" Type="http://schemas.openxmlformats.org/officeDocument/2006/relationships/hyperlink" Target="https://salesxceleration.com/top-4-challenges-facing-small-business-owners-today/" TargetMode="External"/><Relationship Id="rId6790" Type="http://schemas.openxmlformats.org/officeDocument/2006/relationships/hyperlink" Target="https://salesxceleration.com/using-ride-along-better-sales-management-coaching/" TargetMode="External"/><Relationship Id="rId4132" Type="http://schemas.openxmlformats.org/officeDocument/2006/relationships/hyperlink" Target="https://salesxceleration.com/wp-content/uploads/2018/06/Small_Business_Challenges-300x169.jpg" TargetMode="External"/><Relationship Id="rId5464" Type="http://schemas.openxmlformats.org/officeDocument/2006/relationships/hyperlink" Target="https://salesxceleration.com/sales-growth-bottled-up-how-tech-company-leaders-can-break-free-and-find-renewed-success/" TargetMode="External"/><Relationship Id="rId6795" Type="http://schemas.openxmlformats.org/officeDocument/2006/relationships/hyperlink" Target="https://salesxceleration.com/wp-content/uploads/2022/05/Key-Performance-Indicators.jpg" TargetMode="External"/><Relationship Id="rId4131" Type="http://schemas.openxmlformats.org/officeDocument/2006/relationships/hyperlink" Target="https://salesxceleration.com/wp-content/uploads/2018/06/Small_Business_Challenges-300x169.jpg" TargetMode="External"/><Relationship Id="rId5465" Type="http://schemas.openxmlformats.org/officeDocument/2006/relationships/hyperlink" Target="https://salesxceleration.com/wp-content/uploads/2022/04/Growth-Bottled-Up-2048x2048.jpg" TargetMode="External"/><Relationship Id="rId6796" Type="http://schemas.openxmlformats.org/officeDocument/2006/relationships/hyperlink" Target="https://salesxceleration.com/wp-content/themes/salesxceleratione/assets/css/style.css?ver=1769123802" TargetMode="External"/><Relationship Id="rId4134" Type="http://schemas.openxmlformats.org/officeDocument/2006/relationships/hyperlink" Target="https://salesxceleration.com/why-when-who-hiring-fractional-vp-sales/" TargetMode="External"/><Relationship Id="rId5462" Type="http://schemas.openxmlformats.org/officeDocument/2006/relationships/hyperlink" Target="https://salesxceleration.com/sales-growth-bottled-up-how-tech-company-leaders-can-break-free-and-find-renewed-success/" TargetMode="External"/><Relationship Id="rId6793" Type="http://schemas.openxmlformats.org/officeDocument/2006/relationships/hyperlink" Target="https://salesxceleration.com/author/goser/" TargetMode="External"/><Relationship Id="rId4133" Type="http://schemas.openxmlformats.org/officeDocument/2006/relationships/hyperlink" Target="https://salesxceleration.com/why-when-who-hiring-fractional-vp-sales/" TargetMode="External"/><Relationship Id="rId5463" Type="http://schemas.openxmlformats.org/officeDocument/2006/relationships/hyperlink" Target="https://salesxceleration.com/sales-growth-bottled-up-how-tech-company-leaders-can-break-free-and-find-renewed-success/" TargetMode="External"/><Relationship Id="rId6794" Type="http://schemas.openxmlformats.org/officeDocument/2006/relationships/hyperlink" Target="https://salesxceleration.com/wp-content/uploads/2022/05/Key-Performance-Indicators.jpg" TargetMode="External"/><Relationship Id="rId4136" Type="http://schemas.openxmlformats.org/officeDocument/2006/relationships/hyperlink" Target="https://salesxceleration.com/wp-content/uploads/2019/11/itsallaboutrelationships-300x133.jpg" TargetMode="External"/><Relationship Id="rId5468" Type="http://schemas.openxmlformats.org/officeDocument/2006/relationships/hyperlink" Target="https://salesxceleration.com/gaining-a-competitive-advantage-in-the-new-b2b-buyer-funnel/" TargetMode="External"/><Relationship Id="rId6799" Type="http://schemas.openxmlformats.org/officeDocument/2006/relationships/hyperlink" Target="https://salesxceleration.com/wp-content/uploads/2018/12/shutterstock_1209757879-resized.jpg" TargetMode="External"/><Relationship Id="rId4135" Type="http://schemas.openxmlformats.org/officeDocument/2006/relationships/hyperlink" Target="https://salesxceleration.com/why-when-who-hiring-fractional-vp-sales/" TargetMode="External"/><Relationship Id="rId5469" Type="http://schemas.openxmlformats.org/officeDocument/2006/relationships/hyperlink" Target="https://salesxceleration.com/gaining-a-competitive-advantage-in-the-new-b2b-buyer-funnel/" TargetMode="External"/><Relationship Id="rId4138" Type="http://schemas.openxmlformats.org/officeDocument/2006/relationships/hyperlink" Target="https://salesxceleration.com/wp-content/uploads/2018/04/cp-300x202.jpg" TargetMode="External"/><Relationship Id="rId5466" Type="http://schemas.openxmlformats.org/officeDocument/2006/relationships/hyperlink" Target="https://salesxceleration.com/wp-content/uploads/2022/04/Growth-Bottled-Up-2048x2048.jpg" TargetMode="External"/><Relationship Id="rId6797" Type="http://schemas.openxmlformats.org/officeDocument/2006/relationships/hyperlink" Target="https://salesxceleration.com/wp-content/themes/salesxceleratione/assets/css/style.css?ver=1769123802" TargetMode="External"/><Relationship Id="rId4137" Type="http://schemas.openxmlformats.org/officeDocument/2006/relationships/hyperlink" Target="https://salesxceleration.com/wp-content/uploads/2019/11/itsallaboutrelationships-300x133.jpg" TargetMode="External"/><Relationship Id="rId5467" Type="http://schemas.openxmlformats.org/officeDocument/2006/relationships/hyperlink" Target="https://salesxceleration.com/gaining-a-competitive-advantage-in-the-new-b2b-buyer-funnel/" TargetMode="External"/><Relationship Id="rId6798" Type="http://schemas.openxmlformats.org/officeDocument/2006/relationships/hyperlink" Target="https://salesxceleration.com/wp-content/uploads/2018/12/shutterstock_1209757879-resized.jpg" TargetMode="External"/><Relationship Id="rId1972" Type="http://schemas.openxmlformats.org/officeDocument/2006/relationships/hyperlink" Target="https://salesxceleration.com/wp-content/uploads/elementor/css/post-21058.css?ver=1768847224" TargetMode="External"/><Relationship Id="rId1973" Type="http://schemas.openxmlformats.org/officeDocument/2006/relationships/hyperlink" Target="https://salesxceleration.com/wp-content/uploads/elementor/css/post-21058.css?ver=1768847224" TargetMode="External"/><Relationship Id="rId1974" Type="http://schemas.openxmlformats.org/officeDocument/2006/relationships/hyperlink" Target="https://salesxceleration.com/wp-content/themes/salesxceleratione/assets/css/style.css?ver=1769123336" TargetMode="External"/><Relationship Id="rId1975" Type="http://schemas.openxmlformats.org/officeDocument/2006/relationships/hyperlink" Target="https://salesxceleration.com/wp-content/themes/salesxceleratione/assets/css/style.css?ver=1769123336" TargetMode="External"/><Relationship Id="rId1976" Type="http://schemas.openxmlformats.org/officeDocument/2006/relationships/hyperlink" Target="https://salesxceleration.com/wp-content/uploads/2023/02/Solving-Gaps-in-Sales-Infrastructure-and-Processes.jpg" TargetMode="External"/><Relationship Id="rId1977" Type="http://schemas.openxmlformats.org/officeDocument/2006/relationships/hyperlink" Target="https://salesxceleration.com/wp-content/uploads/2023/02/Solving-Gaps-in-Sales-Infrastructure-and-Processes.jpg" TargetMode="External"/><Relationship Id="rId1978" Type="http://schemas.openxmlformats.org/officeDocument/2006/relationships/hyperlink" Target="https://salesxceleration.com/private-equity-solutions/tech-mfg-case-study/" TargetMode="External"/><Relationship Id="rId1979" Type="http://schemas.openxmlformats.org/officeDocument/2006/relationships/hyperlink" Target="https://salesxceleration.com/private-equity-solutions/tech-mfg-case-study/" TargetMode="External"/><Relationship Id="rId1970" Type="http://schemas.openxmlformats.org/officeDocument/2006/relationships/hyperlink" Target="https://salesxceleration.com/wp-content/uploads/elementor/css/post-21226.css?ver=1768846518" TargetMode="External"/><Relationship Id="rId1971" Type="http://schemas.openxmlformats.org/officeDocument/2006/relationships/hyperlink" Target="https://salesxceleration.com/wp-content/uploads/elementor/css/post-21226.css?ver=1768846518" TargetMode="External"/><Relationship Id="rId1961" Type="http://schemas.openxmlformats.org/officeDocument/2006/relationships/hyperlink" Target="https://salesxceleration.com/wp-content/uploads/elementor/css/post-70364.css?ver=1768846661" TargetMode="External"/><Relationship Id="rId1962" Type="http://schemas.openxmlformats.org/officeDocument/2006/relationships/hyperlink" Target="https://salesxceleration.com/wp-content/uploads/2025/03/Case-Study_5-Million-Dollar-Turnaround.jpg" TargetMode="External"/><Relationship Id="rId1963" Type="http://schemas.openxmlformats.org/officeDocument/2006/relationships/hyperlink" Target="https://salesxceleration.com/wp-content/uploads/2025/03/Case-Study_5-Million-Dollar-Turnaround.jpg" TargetMode="External"/><Relationship Id="rId1964" Type="http://schemas.openxmlformats.org/officeDocument/2006/relationships/hyperlink" Target="https://salesxceleration.com/wp-content/themes/salesxceleratione/assets/css/style.css?ver=1769123334" TargetMode="External"/><Relationship Id="rId1965" Type="http://schemas.openxmlformats.org/officeDocument/2006/relationships/hyperlink" Target="https://salesxceleration.com/wp-content/themes/salesxceleratione/assets/css/style.css?ver=1769123334" TargetMode="External"/><Relationship Id="rId1966" Type="http://schemas.openxmlformats.org/officeDocument/2006/relationships/hyperlink" Target="https://salesxceleration.com/wp-content/uploads/2025/03/Case-Study_25x-Return-On-Investment-In-One-Year.jpg" TargetMode="External"/><Relationship Id="rId1967" Type="http://schemas.openxmlformats.org/officeDocument/2006/relationships/hyperlink" Target="https://salesxceleration.com/wp-content/uploads/2025/03/Case-Study_25x-Return-On-Investment-In-One-Year.jpg" TargetMode="External"/><Relationship Id="rId1968" Type="http://schemas.openxmlformats.org/officeDocument/2006/relationships/hyperlink" Target="https://salesxceleration.com/wp-content/uploads/elementor/css/post-67701.css?ver=1768848925" TargetMode="External"/><Relationship Id="rId1969" Type="http://schemas.openxmlformats.org/officeDocument/2006/relationships/hyperlink" Target="https://salesxceleration.com/wp-content/uploads/elementor/css/post-67701.css?ver=1768848925" TargetMode="External"/><Relationship Id="rId1960" Type="http://schemas.openxmlformats.org/officeDocument/2006/relationships/hyperlink" Target="https://salesxceleration.com/wp-content/uploads/elementor/css/post-70364.css?ver=1768846661" TargetMode="External"/><Relationship Id="rId1994" Type="http://schemas.openxmlformats.org/officeDocument/2006/relationships/hyperlink" Target="https://salesxceleration.com/case-study/hvac/" TargetMode="External"/><Relationship Id="rId1995" Type="http://schemas.openxmlformats.org/officeDocument/2006/relationships/hyperlink" Target="https://salesxceleration.com/wp-content/uploads/2019/11/payroll-thumb.jpg" TargetMode="External"/><Relationship Id="rId1996" Type="http://schemas.openxmlformats.org/officeDocument/2006/relationships/hyperlink" Target="https://salesxceleration.com/wp-content/uploads/2019/11/payroll-thumb.jpg" TargetMode="External"/><Relationship Id="rId1997" Type="http://schemas.openxmlformats.org/officeDocument/2006/relationships/hyperlink" Target="https://salesxceleration.com/wp-content/uploads/2024/06/Improving-Sales-Infrastructure-for-Long-Term-Success.jpg" TargetMode="External"/><Relationship Id="rId1998" Type="http://schemas.openxmlformats.org/officeDocument/2006/relationships/hyperlink" Target="https://salesxceleration.com/wp-content/uploads/2024/06/Improving-Sales-Infrastructure-for-Long-Term-Success.jpg" TargetMode="External"/><Relationship Id="rId1999" Type="http://schemas.openxmlformats.org/officeDocument/2006/relationships/hyperlink" Target="https://salesxceleration.com/case-study/air-purification-systems-company/" TargetMode="External"/><Relationship Id="rId1990" Type="http://schemas.openxmlformats.org/officeDocument/2006/relationships/hyperlink" Target="https://salesxceleration.com/case-study/hand-held-test-equipment-manufacturer/" TargetMode="External"/><Relationship Id="rId1991" Type="http://schemas.openxmlformats.org/officeDocument/2006/relationships/hyperlink" Target="https://salesxceleration.com/case-study/hand-held-test-equipment-manufacturer/" TargetMode="External"/><Relationship Id="rId1992" Type="http://schemas.openxmlformats.org/officeDocument/2006/relationships/hyperlink" Target="https://salesxceleration.com/case-study/hvac/" TargetMode="External"/><Relationship Id="rId1993" Type="http://schemas.openxmlformats.org/officeDocument/2006/relationships/hyperlink" Target="https://salesxceleration.com/case-study/hvac/" TargetMode="External"/><Relationship Id="rId1983" Type="http://schemas.openxmlformats.org/officeDocument/2006/relationships/hyperlink" Target="https://salesxceleration.com/private-equity-solutions/healthcare-managed-services-case-study/" TargetMode="External"/><Relationship Id="rId1984" Type="http://schemas.openxmlformats.org/officeDocument/2006/relationships/hyperlink" Target="https://salesxceleration.com/wp-content/uploads/2019/11/construction-thumb.jpg" TargetMode="External"/><Relationship Id="rId1985" Type="http://schemas.openxmlformats.org/officeDocument/2006/relationships/hyperlink" Target="https://salesxceleration.com/wp-content/uploads/2019/11/construction-thumb.jpg" TargetMode="External"/><Relationship Id="rId1986" Type="http://schemas.openxmlformats.org/officeDocument/2006/relationships/hyperlink" Target="https://salesxceleration.com/case-study/recruiting/" TargetMode="External"/><Relationship Id="rId1987" Type="http://schemas.openxmlformats.org/officeDocument/2006/relationships/hyperlink" Target="https://salesxceleration.com/case-study/recruiting/" TargetMode="External"/><Relationship Id="rId1988" Type="http://schemas.openxmlformats.org/officeDocument/2006/relationships/hyperlink" Target="https://salesxceleration.com/case-study/recruiting/" TargetMode="External"/><Relationship Id="rId1989" Type="http://schemas.openxmlformats.org/officeDocument/2006/relationships/hyperlink" Target="https://salesxceleration.com/case-study/hand-held-test-equipment-manufacturer/" TargetMode="External"/><Relationship Id="rId1980" Type="http://schemas.openxmlformats.org/officeDocument/2006/relationships/hyperlink" Target="https://salesxceleration.com/private-equity-solutions/tech-mfg-case-study/" TargetMode="External"/><Relationship Id="rId1981" Type="http://schemas.openxmlformats.org/officeDocument/2006/relationships/hyperlink" Target="https://salesxceleration.com/private-equity-solutions/healthcare-managed-services-case-study/" TargetMode="External"/><Relationship Id="rId1982" Type="http://schemas.openxmlformats.org/officeDocument/2006/relationships/hyperlink" Target="https://salesxceleration.com/private-equity-solutions/healthcare-managed-services-case-study/" TargetMode="External"/><Relationship Id="rId1930" Type="http://schemas.openxmlformats.org/officeDocument/2006/relationships/hyperlink" Target="https://salesxceleration.com/wp-content/uploads/elementor/css/post-47302.css?ver=1768857154" TargetMode="External"/><Relationship Id="rId1931" Type="http://schemas.openxmlformats.org/officeDocument/2006/relationships/hyperlink" Target="https://salesxceleration.com/wp-content/uploads/elementor/css/post-47302.css?ver=1768857154" TargetMode="External"/><Relationship Id="rId1932" Type="http://schemas.openxmlformats.org/officeDocument/2006/relationships/hyperlink" Target="https://salesxceleration.com/wp-content/uploads/2025/07/2.jpg" TargetMode="External"/><Relationship Id="rId1933" Type="http://schemas.openxmlformats.org/officeDocument/2006/relationships/hyperlink" Target="https://salesxceleration.com/wp-content/uploads/2025/07/2.jpg" TargetMode="External"/><Relationship Id="rId1934" Type="http://schemas.openxmlformats.org/officeDocument/2006/relationships/hyperlink" Target="https://salesxceleration.com/wp-content/uploads/elementor/css/post-47764.css?ver=1768847914" TargetMode="External"/><Relationship Id="rId1935" Type="http://schemas.openxmlformats.org/officeDocument/2006/relationships/hyperlink" Target="https://salesxceleration.com/wp-content/uploads/elementor/css/post-47764.css?ver=1768847914" TargetMode="External"/><Relationship Id="rId1936" Type="http://schemas.openxmlformats.org/officeDocument/2006/relationships/hyperlink" Target="https://salesxceleration.com/wp-content/uploads/2025/07/1.jpg" TargetMode="External"/><Relationship Id="rId1937" Type="http://schemas.openxmlformats.org/officeDocument/2006/relationships/hyperlink" Target="https://salesxceleration.com/wp-content/uploads/2025/07/1.jpg" TargetMode="External"/><Relationship Id="rId1938" Type="http://schemas.openxmlformats.org/officeDocument/2006/relationships/hyperlink" Target="https://salesxceleration.com/case-study/medical-equipment-healthcare-improving-sales-infrastructure-for-long-term-success/" TargetMode="External"/><Relationship Id="rId1939" Type="http://schemas.openxmlformats.org/officeDocument/2006/relationships/hyperlink" Target="https://salesxceleration.com/case-study/medical-equipment-healthcare-improving-sales-infrastructure-for-long-term-success/" TargetMode="External"/><Relationship Id="rId1920" Type="http://schemas.openxmlformats.org/officeDocument/2006/relationships/hyperlink" Target="https://salesxceleration.com/wp-content/uploads/elementor/css/post-69203.css?ver=1768846234" TargetMode="External"/><Relationship Id="rId1921" Type="http://schemas.openxmlformats.org/officeDocument/2006/relationships/hyperlink" Target="https://salesxceleration.com/wp-content/uploads/elementor/css/post-69203.css?ver=1768846234" TargetMode="External"/><Relationship Id="rId1922" Type="http://schemas.openxmlformats.org/officeDocument/2006/relationships/hyperlink" Target="https://salesxceleration.com/wp-content/uploads/elementor/css/post-39256.css?ver=1768857165" TargetMode="External"/><Relationship Id="rId1923" Type="http://schemas.openxmlformats.org/officeDocument/2006/relationships/hyperlink" Target="https://salesxceleration.com/wp-content/uploads/elementor/css/post-39256.css?ver=1768857165" TargetMode="External"/><Relationship Id="rId1924" Type="http://schemas.openxmlformats.org/officeDocument/2006/relationships/hyperlink" Target="https://salesxceleration.com/wp-content/themes/salesxceleratione/assets/css/style.css?ver=1769123329" TargetMode="External"/><Relationship Id="rId1925" Type="http://schemas.openxmlformats.org/officeDocument/2006/relationships/hyperlink" Target="https://salesxceleration.com/wp-content/themes/salesxceleratione/assets/css/style.css?ver=1769123329" TargetMode="External"/><Relationship Id="rId1926" Type="http://schemas.openxmlformats.org/officeDocument/2006/relationships/hyperlink" Target="https://salesxceleration.com/wp-content/themes/salesxceleratione/assets/css/style.css?ver=1769123330" TargetMode="External"/><Relationship Id="rId1927" Type="http://schemas.openxmlformats.org/officeDocument/2006/relationships/hyperlink" Target="https://salesxceleration.com/wp-content/themes/salesxceleratione/assets/css/style.css?ver=1769123330" TargetMode="External"/><Relationship Id="rId1928" Type="http://schemas.openxmlformats.org/officeDocument/2006/relationships/hyperlink" Target="https://salesxceleration.com/wp-content/uploads/2025/07/AdobeStock_803483080.jpeg" TargetMode="External"/><Relationship Id="rId1929" Type="http://schemas.openxmlformats.org/officeDocument/2006/relationships/hyperlink" Target="https://salesxceleration.com/wp-content/uploads/2025/07/AdobeStock_803483080.jpeg" TargetMode="External"/><Relationship Id="rId4190" Type="http://schemas.openxmlformats.org/officeDocument/2006/relationships/hyperlink" Target="https://salesxceleration.com/wp-content/uploads/2016/03/Change-RS-72-560-x-225-2048x2048.jpg" TargetMode="External"/><Relationship Id="rId4192" Type="http://schemas.openxmlformats.org/officeDocument/2006/relationships/hyperlink" Target="https://salesxceleration.com/wp-content/uploads/2015/12/Ripples-2048x2048.jpg" TargetMode="External"/><Relationship Id="rId4191" Type="http://schemas.openxmlformats.org/officeDocument/2006/relationships/hyperlink" Target="https://salesxceleration.com/wp-content/uploads/2015/12/Ripples-2048x2048.jpg" TargetMode="External"/><Relationship Id="rId4194" Type="http://schemas.openxmlformats.org/officeDocument/2006/relationships/hyperlink" Target="https://salesxceleration.com/wp-content/uploads/2013/12/Hiring-mistakes.jpg" TargetMode="External"/><Relationship Id="rId4193" Type="http://schemas.openxmlformats.org/officeDocument/2006/relationships/hyperlink" Target="https://salesxceleration.com/wp-content/uploads/2013/12/Hiring-mistakes.jpg" TargetMode="External"/><Relationship Id="rId4196" Type="http://schemas.openxmlformats.org/officeDocument/2006/relationships/hyperlink" Target="https://salesxceleration.com/wp-content/uploads/2016/05/business-man-many-arms-2048x2048.jpg" TargetMode="External"/><Relationship Id="rId4195" Type="http://schemas.openxmlformats.org/officeDocument/2006/relationships/hyperlink" Target="https://salesxceleration.com/wp-content/uploads/2016/05/business-man-many-arms-2048x2048.jpg" TargetMode="External"/><Relationship Id="rId4198" Type="http://schemas.openxmlformats.org/officeDocument/2006/relationships/hyperlink" Target="https://salesxceleration.com/making-a-difference-5-critical-hiring-mistakes-small-business-owners-make-and-how-you-can-help-them-avoid-hiring-the-wrong-salesperson/" TargetMode="External"/><Relationship Id="rId4197" Type="http://schemas.openxmlformats.org/officeDocument/2006/relationships/hyperlink" Target="https://salesxceleration.com/making-a-difference-5-critical-hiring-mistakes-small-business-owners-make-and-how-you-can-help-them-avoid-hiring-the-wrong-salesperson/" TargetMode="External"/><Relationship Id="rId4199" Type="http://schemas.openxmlformats.org/officeDocument/2006/relationships/hyperlink" Target="https://salesxceleration.com/making-a-difference-5-critical-hiring-mistakes-small-business-owners-make-and-how-you-can-help-them-avoid-hiring-the-wrong-salesperson/" TargetMode="External"/><Relationship Id="rId1950" Type="http://schemas.openxmlformats.org/officeDocument/2006/relationships/hyperlink" Target="https://salesxceleration.com/author/salesxceleration/page/2/" TargetMode="External"/><Relationship Id="rId1951" Type="http://schemas.openxmlformats.org/officeDocument/2006/relationships/hyperlink" Target="https://salesxceleration.com/author/salesxceleration/" TargetMode="External"/><Relationship Id="rId1952" Type="http://schemas.openxmlformats.org/officeDocument/2006/relationships/hyperlink" Target="https://salesxceleration.com/wp-content/uploads/elementor/css/post-71610.css?ver=1768846233" TargetMode="External"/><Relationship Id="rId1953" Type="http://schemas.openxmlformats.org/officeDocument/2006/relationships/hyperlink" Target="https://salesxceleration.com/wp-content/uploads/elementor/css/post-71610.css?ver=1768846233" TargetMode="External"/><Relationship Id="rId1954" Type="http://schemas.openxmlformats.org/officeDocument/2006/relationships/hyperlink" Target="https://salesxceleration.com/wp-content/uploads/elementor/thumbs/Team_Main-Header-2-qsxzye0cqu1dtlgk2k7eho18f5iyjfwy15n1ejydos.jpg" TargetMode="External"/><Relationship Id="rId1955" Type="http://schemas.openxmlformats.org/officeDocument/2006/relationships/hyperlink" Target="https://salesxceleration.com/wp-content/uploads/elementor/thumbs/Team_Main-Header-2-qsxzye0cqu1dtlgk2k7eho18f5iyjfwy15n1ejydos.jpg" TargetMode="External"/><Relationship Id="rId1956" Type="http://schemas.openxmlformats.org/officeDocument/2006/relationships/hyperlink" Target="https://salesxceleration.com/wp-content/uploads/2014/12/two-things-you-must-do-after-your-prospect-agrees-to-meet-with-you-11.jpg" TargetMode="External"/><Relationship Id="rId1957" Type="http://schemas.openxmlformats.org/officeDocument/2006/relationships/hyperlink" Target="https://salesxceleration.com/wp-content/uploads/2014/12/two-things-you-must-do-after-your-prospect-agrees-to-meet-with-you-11.jpg" TargetMode="External"/><Relationship Id="rId1958" Type="http://schemas.openxmlformats.org/officeDocument/2006/relationships/hyperlink" Target="https://salesxceleration.com/wp-content/themes/salesxceleratione/assets/css/style.css?ver=1769123332" TargetMode="External"/><Relationship Id="rId1959" Type="http://schemas.openxmlformats.org/officeDocument/2006/relationships/hyperlink" Target="https://salesxceleration.com/wp-content/themes/salesxceleratione/assets/css/style.css?ver=1769123332" TargetMode="External"/><Relationship Id="rId1940" Type="http://schemas.openxmlformats.org/officeDocument/2006/relationships/hyperlink" Target="https://salesxceleration.com/case-study/medical-equipment-healthcare-improving-sales-infrastructure-for-long-term-success/" TargetMode="External"/><Relationship Id="rId1941" Type="http://schemas.openxmlformats.org/officeDocument/2006/relationships/hyperlink" Target="https://salesxceleration.com/case-study/influencer-marketing-agency-building-a-future-proof-sales-infrastructure/" TargetMode="External"/><Relationship Id="rId1942" Type="http://schemas.openxmlformats.org/officeDocument/2006/relationships/hyperlink" Target="https://salesxceleration.com/case-study/influencer-marketing-agency-building-a-future-proof-sales-infrastructure/" TargetMode="External"/><Relationship Id="rId1943" Type="http://schemas.openxmlformats.org/officeDocument/2006/relationships/hyperlink" Target="https://salesxceleration.com/case-study/influencer-marketing-agency-building-a-future-proof-sales-infrastructure/" TargetMode="External"/><Relationship Id="rId1944" Type="http://schemas.openxmlformats.org/officeDocument/2006/relationships/hyperlink" Target="https://salesxceleration.com/wp-content/themes/salesxceleratione/assets/css/style.css?ver=1769123331" TargetMode="External"/><Relationship Id="rId1945" Type="http://schemas.openxmlformats.org/officeDocument/2006/relationships/hyperlink" Target="https://salesxceleration.com/wp-content/themes/salesxceleratione/assets/css/style.css?ver=1769123331" TargetMode="External"/><Relationship Id="rId1946" Type="http://schemas.openxmlformats.org/officeDocument/2006/relationships/hyperlink" Target="https://salesxceleration.com/wp-content/uploads/elementor/css/post-7025.css?ver=1768845951" TargetMode="External"/><Relationship Id="rId1947" Type="http://schemas.openxmlformats.org/officeDocument/2006/relationships/hyperlink" Target="https://salesxceleration.com/wp-content/uploads/elementor/css/post-7025.css?ver=1768845951" TargetMode="External"/><Relationship Id="rId1948" Type="http://schemas.openxmlformats.org/officeDocument/2006/relationships/hyperlink" Target="https://salesxceleration.com/author/salesxceleration/" TargetMode="External"/><Relationship Id="rId1949" Type="http://schemas.openxmlformats.org/officeDocument/2006/relationships/hyperlink" Target="https://salesxceleration.com/author/salesxceleration/" TargetMode="External"/><Relationship Id="rId509" Type="http://schemas.openxmlformats.org/officeDocument/2006/relationships/hyperlink" Target="https://salesxceleration.com/wp-content/uploads/2025/05/SalesX-Sales-Analysis.png" TargetMode="External"/><Relationship Id="rId508" Type="http://schemas.openxmlformats.org/officeDocument/2006/relationships/hyperlink" Target="https://salesxceleration.com/wp-content/plugins/gravityforms/assets/js/dist/utils.min.js?ver=48a3755090e76a154853db28fc254681" TargetMode="External"/><Relationship Id="rId503" Type="http://schemas.openxmlformats.org/officeDocument/2006/relationships/hyperlink" Target="https://salesxceleration.com/wp-content/plugins/gravityforms/assets/js/dist/scripts-theme.min.js?ver=1546762cd067873f438f559b1e819128" TargetMode="External"/><Relationship Id="rId502" Type="http://schemas.openxmlformats.org/officeDocument/2006/relationships/hyperlink" Target="https://salesxceleration.com/wp-content/plugins/powerpack-elements/assets/js/min/frontend-card-slider.min.js?ver=2.12.15" TargetMode="External"/><Relationship Id="rId501" Type="http://schemas.openxmlformats.org/officeDocument/2006/relationships/hyperlink" Target="https://salesxceleration.com/wp-content/plugins/powerpack-elements/assets/js/min/frontend-card-slider.min.js?ver=2.12.15" TargetMode="External"/><Relationship Id="rId500" Type="http://schemas.openxmlformats.org/officeDocument/2006/relationships/hyperlink" Target="https://salesxceleration.com/wp-content/uploads/2019/05/Sales-Xceleration-2025-State-of-Sales-Small-to-MidSize-Businesses-1-1024x640.jpg" TargetMode="External"/><Relationship Id="rId507" Type="http://schemas.openxmlformats.org/officeDocument/2006/relationships/hyperlink" Target="https://salesxceleration.com/wp-content/plugins/gravityforms/assets/js/dist/utils.min.js?ver=48a3755090e76a154853db28fc254681" TargetMode="External"/><Relationship Id="rId506" Type="http://schemas.openxmlformats.org/officeDocument/2006/relationships/hyperlink" Target="https://salesxceleration.com/wp-content/plugins/elementor/assets/css/widget-image-box.min.css?ver=3.34.0" TargetMode="External"/><Relationship Id="rId505" Type="http://schemas.openxmlformats.org/officeDocument/2006/relationships/hyperlink" Target="https://salesxceleration.com/wp-content/plugins/elementor/assets/css/widget-image-box.min.css?ver=3.34.0" TargetMode="External"/><Relationship Id="rId504" Type="http://schemas.openxmlformats.org/officeDocument/2006/relationships/hyperlink" Target="https://salesxceleration.com/wp-content/plugins/gravityforms/assets/js/dist/scripts-theme.min.js?ver=1546762cd067873f438f559b1e819128" TargetMode="External"/><Relationship Id="rId6803" Type="http://schemas.openxmlformats.org/officeDocument/2006/relationships/hyperlink" Target="https://salesxceleration.com/wp-content/uploads/2017/07/meat-2378342_640.jpg" TargetMode="External"/><Relationship Id="rId6804" Type="http://schemas.openxmlformats.org/officeDocument/2006/relationships/hyperlink" Target="https://salesxceleration.com/wp-content/uploads/2020/04/Climbing_the_ladder-scaled-1.jpg" TargetMode="External"/><Relationship Id="rId6801" Type="http://schemas.openxmlformats.org/officeDocument/2006/relationships/hyperlink" Target="https://salesxceleration.com/wp-content/themes/salesxceleratione/assets/css/style.css?ver=1769123801" TargetMode="External"/><Relationship Id="rId6802" Type="http://schemas.openxmlformats.org/officeDocument/2006/relationships/hyperlink" Target="https://salesxceleration.com/wp-content/uploads/2017/07/meat-2378342_640.jpg" TargetMode="External"/><Relationship Id="rId6807" Type="http://schemas.openxmlformats.org/officeDocument/2006/relationships/hyperlink" Target="https://salesxceleration.com/wp-content/uploads/2017/11/newnew-1.jpg" TargetMode="External"/><Relationship Id="rId6808" Type="http://schemas.openxmlformats.org/officeDocument/2006/relationships/hyperlink" Target="https://salesxceleration.com/wp-content/themes/salesxceleratione/assets/css/style.css?ver=1769123800" TargetMode="External"/><Relationship Id="rId6805" Type="http://schemas.openxmlformats.org/officeDocument/2006/relationships/hyperlink" Target="https://salesxceleration.com/wp-content/uploads/2020/04/Climbing_the_ladder-scaled-1.jpg" TargetMode="External"/><Relationship Id="rId6806" Type="http://schemas.openxmlformats.org/officeDocument/2006/relationships/hyperlink" Target="https://salesxceleration.com/wp-content/uploads/2017/11/newnew-1.jpg" TargetMode="External"/><Relationship Id="rId6809" Type="http://schemas.openxmlformats.org/officeDocument/2006/relationships/hyperlink" Target="https://salesxceleration.com/wp-content/themes/salesxceleratione/assets/css/style.css?ver=1769123800" TargetMode="External"/><Relationship Id="rId525" Type="http://schemas.openxmlformats.org/officeDocument/2006/relationships/hyperlink" Target="https://salesxceleration.com/books/7th-edition-2025-state-of-sales/" TargetMode="External"/><Relationship Id="rId524" Type="http://schemas.openxmlformats.org/officeDocument/2006/relationships/hyperlink" Target="https://salesxceleration.com/wp-content/plugins/elementor/assets/css/widget-alert.min.css?ver=3.34.0" TargetMode="External"/><Relationship Id="rId523" Type="http://schemas.openxmlformats.org/officeDocument/2006/relationships/hyperlink" Target="https://salesxceleration.com/wp-content/plugins/elementor/assets/css/widget-alert.min.css?ver=3.34.0" TargetMode="External"/><Relationship Id="rId522" Type="http://schemas.openxmlformats.org/officeDocument/2006/relationships/hyperlink" Target="https://salesxceleration.com/wp-content/plugins/gravityforms/js/gravityforms.min.js?ver=2.9.24" TargetMode="External"/><Relationship Id="rId529" Type="http://schemas.openxmlformats.org/officeDocument/2006/relationships/hyperlink" Target="https://salesxceleration.com/wp-content/uploads/2025/04/The-Sales-Struggle-is-Real-768x410.png" TargetMode="External"/><Relationship Id="rId528" Type="http://schemas.openxmlformats.org/officeDocument/2006/relationships/hyperlink" Target="https://salesxceleration.com/wp-content/uploads/2025/04/The-Sales-Struggle-is-Real-768x410.png" TargetMode="External"/><Relationship Id="rId527" Type="http://schemas.openxmlformats.org/officeDocument/2006/relationships/hyperlink" Target="https://salesxceleration.com/books/7th-edition-2025-state-of-sales/" TargetMode="External"/><Relationship Id="rId526" Type="http://schemas.openxmlformats.org/officeDocument/2006/relationships/hyperlink" Target="https://salesxceleration.com/books/7th-edition-2025-state-of-sales/" TargetMode="External"/><Relationship Id="rId521" Type="http://schemas.openxmlformats.org/officeDocument/2006/relationships/hyperlink" Target="https://salesxceleration.com/wp-content/plugins/gravityforms/js/gravityforms.min.js?ver=2.9.24" TargetMode="External"/><Relationship Id="rId520" Type="http://schemas.openxmlformats.org/officeDocument/2006/relationships/hyperlink" Target="https://salesxceleration.com/wp-includes/js/dist/a11y.min.js?ver=cb460b4676c94bd228ed" TargetMode="External"/><Relationship Id="rId6800" Type="http://schemas.openxmlformats.org/officeDocument/2006/relationships/hyperlink" Target="https://salesxceleration.com/wp-content/themes/salesxceleratione/assets/css/style.css?ver=1769123801" TargetMode="External"/><Relationship Id="rId519" Type="http://schemas.openxmlformats.org/officeDocument/2006/relationships/hyperlink" Target="https://salesxceleration.com/wp-includes/js/dist/a11y.min.js?ver=cb460b4676c94bd228ed" TargetMode="External"/><Relationship Id="rId514" Type="http://schemas.openxmlformats.org/officeDocument/2006/relationships/hyperlink" Target="https://salesxceleration.com/wp-content/plugins/powerpack-elements/assets/css/min/widget-gravity-forms.min.css?ver=2.12.15" TargetMode="External"/><Relationship Id="rId513" Type="http://schemas.openxmlformats.org/officeDocument/2006/relationships/hyperlink" Target="https://salesxceleration.com/wp-content/plugins/powerpack-elements/assets/css/min/widget-gravity-forms.min.css?ver=2.12.15" TargetMode="External"/><Relationship Id="rId512" Type="http://schemas.openxmlformats.org/officeDocument/2006/relationships/hyperlink" Target="https://salesxceleration.com/wp-content/uploads/2025/05/Sales-Methodology-Category.png" TargetMode="External"/><Relationship Id="rId511" Type="http://schemas.openxmlformats.org/officeDocument/2006/relationships/hyperlink" Target="https://salesxceleration.com/wp-content/uploads/2025/05/Sales-Methodology-Category.png" TargetMode="External"/><Relationship Id="rId518" Type="http://schemas.openxmlformats.org/officeDocument/2006/relationships/hyperlink" Target="https://salesxceleration.com/wp-content/uploads/2025/05/Sales-Strategy-Category.png" TargetMode="External"/><Relationship Id="rId517" Type="http://schemas.openxmlformats.org/officeDocument/2006/relationships/hyperlink" Target="https://salesxceleration.com/wp-content/uploads/2025/05/Sales-Strategy-Category.png" TargetMode="External"/><Relationship Id="rId516" Type="http://schemas.openxmlformats.org/officeDocument/2006/relationships/hyperlink" Target="https://salesxceleration.com/wp-content/uploads/2025/04/Sales-Methodology-Icon.svg" TargetMode="External"/><Relationship Id="rId515" Type="http://schemas.openxmlformats.org/officeDocument/2006/relationships/hyperlink" Target="https://salesxceleration.com/wp-content/uploads/2025/04/Sales-Methodology-Icon.svg" TargetMode="External"/><Relationship Id="rId510" Type="http://schemas.openxmlformats.org/officeDocument/2006/relationships/hyperlink" Target="https://salesxceleration.com/wp-content/uploads/2025/05/SalesX-Sales-Analysis.png" TargetMode="External"/><Relationship Id="rId4206" Type="http://schemas.openxmlformats.org/officeDocument/2006/relationships/hyperlink" Target="https://salesxceleration.com/wp-content/uploads/2022/08/Sales-Forecasting.jpg" TargetMode="External"/><Relationship Id="rId5538" Type="http://schemas.openxmlformats.org/officeDocument/2006/relationships/hyperlink" Target="https://salesxceleration.com/wp-content/uploads/2021/05/Confident-Sales-Leader-in-Team-Meeting-scaled-1.jpg" TargetMode="External"/><Relationship Id="rId6869" Type="http://schemas.openxmlformats.org/officeDocument/2006/relationships/hyperlink" Target="https://salesxceleration.com/no-access/" TargetMode="External"/><Relationship Id="rId4205" Type="http://schemas.openxmlformats.org/officeDocument/2006/relationships/hyperlink" Target="https://salesxceleration.com/choose-your-path-and-make-a-difference/" TargetMode="External"/><Relationship Id="rId5539" Type="http://schemas.openxmlformats.org/officeDocument/2006/relationships/hyperlink" Target="https://salesxceleration.com/wp-content/uploads/2021/05/Confident-Sales-Leader-in-Team-Meeting-scaled-1.jpg" TargetMode="External"/><Relationship Id="rId4208" Type="http://schemas.openxmlformats.org/officeDocument/2006/relationships/hyperlink" Target="https://salesxceleration.com/wp-content/uploads/2014/11/SI-Header-3-scaled-1-2048x2048.jpg" TargetMode="External"/><Relationship Id="rId5536" Type="http://schemas.openxmlformats.org/officeDocument/2006/relationships/hyperlink" Target="https://salesxceleration.com/wp-content/uploads/2021/04/Sales-Leadership-Meeting-scaled-1.jpg" TargetMode="External"/><Relationship Id="rId6867" Type="http://schemas.openxmlformats.org/officeDocument/2006/relationships/hyperlink" Target="https://salesxceleration.com/wp-content/uploads/2023/02/7-Ways-to-Enhance-Sales-Performance-Diving-Deeper.jpg" TargetMode="External"/><Relationship Id="rId4207" Type="http://schemas.openxmlformats.org/officeDocument/2006/relationships/hyperlink" Target="https://salesxceleration.com/wp-content/uploads/2022/08/Sales-Forecasting.jpg" TargetMode="External"/><Relationship Id="rId5537" Type="http://schemas.openxmlformats.org/officeDocument/2006/relationships/hyperlink" Target="https://salesxceleration.com/wp-content/uploads/2021/04/Sales-Leadership-Meeting-scaled-1.jpg" TargetMode="External"/><Relationship Id="rId6868" Type="http://schemas.openxmlformats.org/officeDocument/2006/relationships/hyperlink" Target="https://salesxceleration.com/no-access/download-id/27866/" TargetMode="External"/><Relationship Id="rId590" Type="http://schemas.openxmlformats.org/officeDocument/2006/relationships/hyperlink" Target="https://salesxceleration.com/wp-content/uploads/2021/09/Case-Study_Electrical-Manufacturing_SX.pdf" TargetMode="External"/><Relationship Id="rId4209" Type="http://schemas.openxmlformats.org/officeDocument/2006/relationships/hyperlink" Target="https://salesxceleration.com/wp-content/uploads/2014/11/SI-Header-3-scaled-1-2048x2048.jpg" TargetMode="External"/><Relationship Id="rId589" Type="http://schemas.openxmlformats.org/officeDocument/2006/relationships/hyperlink" Target="https://salesxceleration.com/case-study/large-chain-convenience-store-products/" TargetMode="External"/><Relationship Id="rId588" Type="http://schemas.openxmlformats.org/officeDocument/2006/relationships/hyperlink" Target="https://salesxceleration.com/case-study/large-chain-convenience-store-products/" TargetMode="External"/><Relationship Id="rId583" Type="http://schemas.openxmlformats.org/officeDocument/2006/relationships/hyperlink" Target="https://salesxceleration.com/wp-content/uploads/2019/10/food-thumb-2048x2048.jpg" TargetMode="External"/><Relationship Id="rId5530" Type="http://schemas.openxmlformats.org/officeDocument/2006/relationships/hyperlink" Target="https://salesxceleration.com/wp-content/uploads/2021/03/Gig-Economy.png" TargetMode="External"/><Relationship Id="rId6861" Type="http://schemas.openxmlformats.org/officeDocument/2006/relationships/hyperlink" Target="https://salesxceleration.com/wp-content/uploads/2023/02/7-Ways-to-Enhance-Sales-Performance-social.pdf" TargetMode="External"/><Relationship Id="rId582" Type="http://schemas.openxmlformats.org/officeDocument/2006/relationships/hyperlink" Target="https://salesxceleration.com/wp-content/plugins/yet-another-related-posts-plugin/style/styles_thumbnails.css?ver=5.30.11" TargetMode="External"/><Relationship Id="rId5531" Type="http://schemas.openxmlformats.org/officeDocument/2006/relationships/hyperlink" Target="https://salesxceleration.com/wp-content/uploads/2021/03/Gig-Economy.png" TargetMode="External"/><Relationship Id="rId6862" Type="http://schemas.openxmlformats.org/officeDocument/2006/relationships/hyperlink" Target="https://salesxceleration.com/wp-content/uploads/2023/02/7-Ways-to-Enhance-Sales-Performance-social.pdf" TargetMode="External"/><Relationship Id="rId581" Type="http://schemas.openxmlformats.org/officeDocument/2006/relationships/hyperlink" Target="https://salesxceleration.com/wp-content/plugins/yet-another-related-posts-plugin/style/styles_thumbnails.css?ver=5.30.11" TargetMode="External"/><Relationship Id="rId4200" Type="http://schemas.openxmlformats.org/officeDocument/2006/relationships/hyperlink" Target="https://salesxceleration.com/12-ways-to-make-sure-your-vision-casting-makes-ripples/" TargetMode="External"/><Relationship Id="rId580" Type="http://schemas.openxmlformats.org/officeDocument/2006/relationships/hyperlink" Target="https://salesxceleration.com/case-study/information-security-services/" TargetMode="External"/><Relationship Id="rId6860" Type="http://schemas.openxmlformats.org/officeDocument/2006/relationships/hyperlink" Target="https://salesxceleration.com/wp-content/themes/salesxceleratione/assets/css/style.css?ver=1769123793" TargetMode="External"/><Relationship Id="rId587" Type="http://schemas.openxmlformats.org/officeDocument/2006/relationships/hyperlink" Target="https://salesxceleration.com/case-study/large-chain-convenience-store-products/" TargetMode="External"/><Relationship Id="rId4202" Type="http://schemas.openxmlformats.org/officeDocument/2006/relationships/hyperlink" Target="https://salesxceleration.com/12-ways-to-make-sure-your-vision-casting-makes-ripples/" TargetMode="External"/><Relationship Id="rId5534" Type="http://schemas.openxmlformats.org/officeDocument/2006/relationships/hyperlink" Target="https://salesxceleration.com/wp-content/uploads/2021/03/Sales-Leader-Meeting-with-Sales-Team.png" TargetMode="External"/><Relationship Id="rId6865" Type="http://schemas.openxmlformats.org/officeDocument/2006/relationships/hyperlink" Target="https://salesxceleration.com/want-better-sales-process-consider-buyers-process-first/" TargetMode="External"/><Relationship Id="rId586" Type="http://schemas.openxmlformats.org/officeDocument/2006/relationships/hyperlink" Target="https://salesxceleration.com/wp-content/uploads/2021/04/banner-Case-Study_Electrical-Manufacturing_SX-1-1024x587.jpg" TargetMode="External"/><Relationship Id="rId4201" Type="http://schemas.openxmlformats.org/officeDocument/2006/relationships/hyperlink" Target="https://salesxceleration.com/12-ways-to-make-sure-your-vision-casting-makes-ripples/" TargetMode="External"/><Relationship Id="rId5535" Type="http://schemas.openxmlformats.org/officeDocument/2006/relationships/hyperlink" Target="https://salesxceleration.com/wp-content/uploads/2021/03/Sales-Leader-Meeting-with-Sales-Team.png" TargetMode="External"/><Relationship Id="rId6866" Type="http://schemas.openxmlformats.org/officeDocument/2006/relationships/hyperlink" Target="https://salesxceleration.com/wp-content/uploads/2023/02/7-Ways-to-Enhance-Sales-Performance-Diving-Deeper.jpg" TargetMode="External"/><Relationship Id="rId585" Type="http://schemas.openxmlformats.org/officeDocument/2006/relationships/hyperlink" Target="https://salesxceleration.com/wp-content/uploads/2021/04/banner-Case-Study_Electrical-Manufacturing_SX-1-1024x587.jpg" TargetMode="External"/><Relationship Id="rId4204" Type="http://schemas.openxmlformats.org/officeDocument/2006/relationships/hyperlink" Target="https://salesxceleration.com/choose-your-path-and-make-a-difference/" TargetMode="External"/><Relationship Id="rId5532" Type="http://schemas.openxmlformats.org/officeDocument/2006/relationships/hyperlink" Target="https://salesxceleration.com/wp-content/themes/salesxceleratione/assets/css/style.css?ver=1769123636" TargetMode="External"/><Relationship Id="rId6863" Type="http://schemas.openxmlformats.org/officeDocument/2006/relationships/hyperlink" Target="https://salesxceleration.com/want-better-sales-process-consider-buyers-process-first/" TargetMode="External"/><Relationship Id="rId584" Type="http://schemas.openxmlformats.org/officeDocument/2006/relationships/hyperlink" Target="https://salesxceleration.com/wp-content/uploads/2019/10/food-thumb-2048x2048.jpg" TargetMode="External"/><Relationship Id="rId4203" Type="http://schemas.openxmlformats.org/officeDocument/2006/relationships/hyperlink" Target="https://salesxceleration.com/choose-your-path-and-make-a-difference/" TargetMode="External"/><Relationship Id="rId5533" Type="http://schemas.openxmlformats.org/officeDocument/2006/relationships/hyperlink" Target="https://salesxceleration.com/wp-content/themes/salesxceleratione/assets/css/style.css?ver=1769123636" TargetMode="External"/><Relationship Id="rId6864" Type="http://schemas.openxmlformats.org/officeDocument/2006/relationships/hyperlink" Target="https://salesxceleration.com/want-better-sales-process-consider-buyers-process-first/" TargetMode="External"/><Relationship Id="rId5527" Type="http://schemas.openxmlformats.org/officeDocument/2006/relationships/hyperlink" Target="https://salesxceleration.com/wp-content/uploads/2015/01/images.jpg" TargetMode="External"/><Relationship Id="rId6858" Type="http://schemas.openxmlformats.org/officeDocument/2006/relationships/hyperlink" Target="https://salesxceleration.com/wp-content/uploads/2022/04/Growth-Bottled-Up-300x300.jpg" TargetMode="External"/><Relationship Id="rId5528" Type="http://schemas.openxmlformats.org/officeDocument/2006/relationships/hyperlink" Target="https://salesxceleration.com/wp-content/uploads/2015/08/Youre-Fired-RS-72-dpi-560-x-281.jpg" TargetMode="External"/><Relationship Id="rId6859" Type="http://schemas.openxmlformats.org/officeDocument/2006/relationships/hyperlink" Target="https://salesxceleration.com/wp-content/themes/salesxceleratione/assets/css/style.css?ver=1769123793" TargetMode="External"/><Relationship Id="rId5525" Type="http://schemas.openxmlformats.org/officeDocument/2006/relationships/hyperlink" Target="https://salesxceleration.com/wp-content/themes/salesxceleratione/assets/css/style.css?ver=1769123635" TargetMode="External"/><Relationship Id="rId6856" Type="http://schemas.openxmlformats.org/officeDocument/2006/relationships/hyperlink" Target="https://salesxceleration.com/wp-content/themes/salesxceleratione/assets/css/style.css?ver=1769123794" TargetMode="External"/><Relationship Id="rId5526" Type="http://schemas.openxmlformats.org/officeDocument/2006/relationships/hyperlink" Target="https://salesxceleration.com/wp-content/uploads/2015/01/images.jpg" TargetMode="External"/><Relationship Id="rId6857" Type="http://schemas.openxmlformats.org/officeDocument/2006/relationships/hyperlink" Target="https://salesxceleration.com/wp-content/uploads/2022/04/Growth-Bottled-Up-300x300.jpg" TargetMode="External"/><Relationship Id="rId5529" Type="http://schemas.openxmlformats.org/officeDocument/2006/relationships/hyperlink" Target="https://salesxceleration.com/wp-content/uploads/2015/08/Youre-Fired-RS-72-dpi-560-x-281.jpg" TargetMode="External"/><Relationship Id="rId579" Type="http://schemas.openxmlformats.org/officeDocument/2006/relationships/hyperlink" Target="https://salesxceleration.com/case-study/information-security-services/" TargetMode="External"/><Relationship Id="rId578" Type="http://schemas.openxmlformats.org/officeDocument/2006/relationships/hyperlink" Target="https://salesxceleration.com/case-study/information-security-services/" TargetMode="External"/><Relationship Id="rId577" Type="http://schemas.openxmlformats.org/officeDocument/2006/relationships/hyperlink" Target="https://salesxceleration.com/wp-content/uploads/elementor/css/post-25115.css?ver=1768848826" TargetMode="External"/><Relationship Id="rId572" Type="http://schemas.openxmlformats.org/officeDocument/2006/relationships/hyperlink" Target="https://salesxceleration.com/case-study/virtual-reality-training-solution-for-healthcare-workers/" TargetMode="External"/><Relationship Id="rId6850" Type="http://schemas.openxmlformats.org/officeDocument/2006/relationships/hyperlink" Target="https://salesxceleration.com/wp-content/uploads/2017/07/WhatnottodoBlog.jpg" TargetMode="External"/><Relationship Id="rId571" Type="http://schemas.openxmlformats.org/officeDocument/2006/relationships/hyperlink" Target="https://salesxceleration.com/case-study/virtual-reality-training-solution-for-healthcare-workers/" TargetMode="External"/><Relationship Id="rId5520" Type="http://schemas.openxmlformats.org/officeDocument/2006/relationships/hyperlink" Target="https://salesxceleration.com/what-makes-a-great-sales-manager-these-12-skills-are-a-good-start/" TargetMode="External"/><Relationship Id="rId6851" Type="http://schemas.openxmlformats.org/officeDocument/2006/relationships/hyperlink" Target="https://salesxceleration.com/wp-content/uploads/2017/03/TheValueFactory.jpg" TargetMode="External"/><Relationship Id="rId570" Type="http://schemas.openxmlformats.org/officeDocument/2006/relationships/hyperlink" Target="https://salesxceleration.com/wp-content/uploads/2019/12/manu-case-thumb-2048x2048.jpg" TargetMode="External"/><Relationship Id="rId576" Type="http://schemas.openxmlformats.org/officeDocument/2006/relationships/hyperlink" Target="https://salesxceleration.com/wp-content/uploads/elementor/css/post-25115.css?ver=1768848826" TargetMode="External"/><Relationship Id="rId5523" Type="http://schemas.openxmlformats.org/officeDocument/2006/relationships/hyperlink" Target="https://salesxceleration.com/wp-content/uploads/2014/12/shutterstock_148996061_rdax_225x150.jpg" TargetMode="External"/><Relationship Id="rId6854" Type="http://schemas.openxmlformats.org/officeDocument/2006/relationships/hyperlink" Target="https://salesxceleration.com/wp-content/uploads/2017/12/brainblog.jpg" TargetMode="External"/><Relationship Id="rId575" Type="http://schemas.openxmlformats.org/officeDocument/2006/relationships/hyperlink" Target="https://salesxceleration.com/wp-content/uploads/2019/03/manufacturing-case-study1-2048x2048.jpg" TargetMode="External"/><Relationship Id="rId5524" Type="http://schemas.openxmlformats.org/officeDocument/2006/relationships/hyperlink" Target="https://salesxceleration.com/wp-content/themes/salesxceleratione/assets/css/style.css?ver=1769123635" TargetMode="External"/><Relationship Id="rId6855" Type="http://schemas.openxmlformats.org/officeDocument/2006/relationships/hyperlink" Target="https://salesxceleration.com/wp-content/themes/salesxceleratione/assets/css/style.css?ver=1769123794" TargetMode="External"/><Relationship Id="rId574" Type="http://schemas.openxmlformats.org/officeDocument/2006/relationships/hyperlink" Target="https://salesxceleration.com/wp-content/uploads/2019/03/manufacturing-case-study1-2048x2048.jpg" TargetMode="External"/><Relationship Id="rId5521" Type="http://schemas.openxmlformats.org/officeDocument/2006/relationships/hyperlink" Target="https://salesxceleration.com/what-makes-a-great-sales-manager-these-12-skills-are-a-good-start/" TargetMode="External"/><Relationship Id="rId6852" Type="http://schemas.openxmlformats.org/officeDocument/2006/relationships/hyperlink" Target="https://salesxceleration.com/wp-content/uploads/2017/03/TheValueFactory.jpg" TargetMode="External"/><Relationship Id="rId573" Type="http://schemas.openxmlformats.org/officeDocument/2006/relationships/hyperlink" Target="https://salesxceleration.com/case-study/virtual-reality-training-solution-for-healthcare-workers/" TargetMode="External"/><Relationship Id="rId5522" Type="http://schemas.openxmlformats.org/officeDocument/2006/relationships/hyperlink" Target="https://salesxceleration.com/wp-content/uploads/2014/12/shutterstock_148996061_rdax_225x150.jpg" TargetMode="External"/><Relationship Id="rId6853" Type="http://schemas.openxmlformats.org/officeDocument/2006/relationships/hyperlink" Target="https://salesxceleration.com/wp-content/uploads/2017/12/brainblog.jpg" TargetMode="External"/><Relationship Id="rId4228" Type="http://schemas.openxmlformats.org/officeDocument/2006/relationships/hyperlink" Target="https://salesxceleration.com/five-things-top-sales-leaders-differently/" TargetMode="External"/><Relationship Id="rId4227" Type="http://schemas.openxmlformats.org/officeDocument/2006/relationships/hyperlink" Target="https://salesxceleration.com/five-things-top-sales-leaders-differently/" TargetMode="External"/><Relationship Id="rId5558" Type="http://schemas.openxmlformats.org/officeDocument/2006/relationships/hyperlink" Target="https://salesxceleration.com/contact-us/become-a-sales-consultant/advisor-blogs/" TargetMode="External"/><Relationship Id="rId6889" Type="http://schemas.openxmlformats.org/officeDocument/2006/relationships/hyperlink" Target="https://salesxceleration.com/wp-content/themes/salesxceleratione/assets/css/style.css?ver=1769123790" TargetMode="External"/><Relationship Id="rId4229" Type="http://schemas.openxmlformats.org/officeDocument/2006/relationships/hyperlink" Target="https://salesxceleration.com/putting-sales-center-strategy/" TargetMode="External"/><Relationship Id="rId5559" Type="http://schemas.openxmlformats.org/officeDocument/2006/relationships/hyperlink" Target="https://salesxceleration.com/wp-content/uploads/2020/07/IndyCar-Race-2.jpg" TargetMode="External"/><Relationship Id="rId6880" Type="http://schemas.openxmlformats.org/officeDocument/2006/relationships/hyperlink" Target="https://salesxceleration.com/sales-plan-checklist/" TargetMode="External"/><Relationship Id="rId4220" Type="http://schemas.openxmlformats.org/officeDocument/2006/relationships/hyperlink" Target="https://salesxceleration.com/wp-content/uploads/2015/01/images-2048x2048.jpg" TargetMode="External"/><Relationship Id="rId5552" Type="http://schemas.openxmlformats.org/officeDocument/2006/relationships/hyperlink" Target="https://salesxceleration.com/wp-content/uploads/2021/07/Businessman-Holding-Flag-in-Sky-on-a-Mountain-scaled-1.jpg" TargetMode="External"/><Relationship Id="rId6883" Type="http://schemas.openxmlformats.org/officeDocument/2006/relationships/hyperlink" Target="https://salesxceleration.com/wp-content/uploads/2021/12/Exit-Plan-scaled.jpg" TargetMode="External"/><Relationship Id="rId5553" Type="http://schemas.openxmlformats.org/officeDocument/2006/relationships/hyperlink" Target="https://salesxceleration.com/wp-content/uploads/2021/07/Businessman-Holding-Flag-in-Sky-on-a-Mountain-scaled-1.jpg" TargetMode="External"/><Relationship Id="rId6884" Type="http://schemas.openxmlformats.org/officeDocument/2006/relationships/hyperlink" Target="https://salesxceleration.com/wp-content/uploads/2016/05/Compensation-Payment-Plan-.jpg" TargetMode="External"/><Relationship Id="rId4222" Type="http://schemas.openxmlformats.org/officeDocument/2006/relationships/hyperlink" Target="https://salesxceleration.com/wp-content/uploads/2014/07/Focus-Activity-Management-Copy.jpg" TargetMode="External"/><Relationship Id="rId5550" Type="http://schemas.openxmlformats.org/officeDocument/2006/relationships/hyperlink" Target="https://salesxceleration.com/wp-content/uploads/2021/05/Buinessman-Traveling-for-Work.png" TargetMode="External"/><Relationship Id="rId6881" Type="http://schemas.openxmlformats.org/officeDocument/2006/relationships/hyperlink" Target="https://salesxceleration.com/sales-plan-checklist/" TargetMode="External"/><Relationship Id="rId4221" Type="http://schemas.openxmlformats.org/officeDocument/2006/relationships/hyperlink" Target="https://salesxceleration.com/wp-content/uploads/2015/01/images-2048x2048.jpg" TargetMode="External"/><Relationship Id="rId5551" Type="http://schemas.openxmlformats.org/officeDocument/2006/relationships/hyperlink" Target="https://salesxceleration.com/wp-content/uploads/2021/05/Buinessman-Traveling-for-Work.png" TargetMode="External"/><Relationship Id="rId6882" Type="http://schemas.openxmlformats.org/officeDocument/2006/relationships/hyperlink" Target="https://salesxceleration.com/wp-content/uploads/2021/12/Exit-Plan-scaled.jpg" TargetMode="External"/><Relationship Id="rId4224" Type="http://schemas.openxmlformats.org/officeDocument/2006/relationships/hyperlink" Target="https://salesxceleration.com/wp-content/themes/salesxceleratione/assets/css/style.css?ver=1769123519" TargetMode="External"/><Relationship Id="rId5556" Type="http://schemas.openxmlformats.org/officeDocument/2006/relationships/hyperlink" Target="https://salesxceleration.com/contact-us/become-a-sales-consultant/advisor-blogs/" TargetMode="External"/><Relationship Id="rId6887" Type="http://schemas.openxmlformats.org/officeDocument/2006/relationships/hyperlink" Target="https://salesxceleration.com/wp-content/uploads/2022/01/assessment-2048x2048.jpg" TargetMode="External"/><Relationship Id="rId4223" Type="http://schemas.openxmlformats.org/officeDocument/2006/relationships/hyperlink" Target="https://salesxceleration.com/wp-content/uploads/2014/07/Focus-Activity-Management-Copy.jpg" TargetMode="External"/><Relationship Id="rId5557" Type="http://schemas.openxmlformats.org/officeDocument/2006/relationships/hyperlink" Target="https://salesxceleration.com/contact-us/become-a-sales-consultant/" TargetMode="External"/><Relationship Id="rId6888" Type="http://schemas.openxmlformats.org/officeDocument/2006/relationships/hyperlink" Target="https://salesxceleration.com/wp-content/themes/salesxceleratione/assets/css/style.css?ver=1769123790" TargetMode="External"/><Relationship Id="rId4226" Type="http://schemas.openxmlformats.org/officeDocument/2006/relationships/hyperlink" Target="https://salesxceleration.com/five-things-top-sales-leaders-differently/" TargetMode="External"/><Relationship Id="rId5554" Type="http://schemas.openxmlformats.org/officeDocument/2006/relationships/hyperlink" Target="https://salesxceleration.com/wp-content/themes/salesxceleratione/assets/css/style.css?ver=1769123639" TargetMode="External"/><Relationship Id="rId6885" Type="http://schemas.openxmlformats.org/officeDocument/2006/relationships/hyperlink" Target="https://salesxceleration.com/wp-content/uploads/2016/05/Compensation-Payment-Plan-.jpg" TargetMode="External"/><Relationship Id="rId4225" Type="http://schemas.openxmlformats.org/officeDocument/2006/relationships/hyperlink" Target="https://salesxceleration.com/wp-content/themes/salesxceleratione/assets/css/style.css?ver=1769123519" TargetMode="External"/><Relationship Id="rId5555" Type="http://schemas.openxmlformats.org/officeDocument/2006/relationships/hyperlink" Target="https://salesxceleration.com/wp-content/themes/salesxceleratione/assets/css/style.css?ver=1769123639" TargetMode="External"/><Relationship Id="rId6886" Type="http://schemas.openxmlformats.org/officeDocument/2006/relationships/hyperlink" Target="https://salesxceleration.com/wp-content/uploads/2022/01/assessment-2048x2048.jpg" TargetMode="External"/><Relationship Id="rId4217" Type="http://schemas.openxmlformats.org/officeDocument/2006/relationships/hyperlink" Target="https://salesxceleration.com/wp-content/uploads/2014/12/two-things-you-must-do-after-your-prospect-agrees-to-meet-with-you-11-2048x2048.jpg" TargetMode="External"/><Relationship Id="rId5549" Type="http://schemas.openxmlformats.org/officeDocument/2006/relationships/hyperlink" Target="https://salesxceleration.com/wp-content/uploads/2021/07/Businessman-Walking-away-from-Work-scaled-1.jpg" TargetMode="External"/><Relationship Id="rId4216" Type="http://schemas.openxmlformats.org/officeDocument/2006/relationships/hyperlink" Target="https://salesxceleration.com/wp-content/uploads/2014/12/two-things-you-must-do-after-your-prospect-agrees-to-meet-with-you-11-2048x2048.jpg" TargetMode="External"/><Relationship Id="rId4219" Type="http://schemas.openxmlformats.org/officeDocument/2006/relationships/hyperlink" Target="https://salesxceleration.com/wp-content/uploads/2014/12/shutterstock_148996061_rdax_225x150-2048x2048.jpg" TargetMode="External"/><Relationship Id="rId5547" Type="http://schemas.openxmlformats.org/officeDocument/2006/relationships/hyperlink" Target="https://salesxceleration.com/wp-content/uploads/2020/03/Buinesswoman_leading_a_team-1-scaled-1-2048x2048.jpg" TargetMode="External"/><Relationship Id="rId6878" Type="http://schemas.openxmlformats.org/officeDocument/2006/relationships/hyperlink" Target="https://salesxceleration.com/books/5th-edition-2023-state-of-sales" TargetMode="External"/><Relationship Id="rId4218" Type="http://schemas.openxmlformats.org/officeDocument/2006/relationships/hyperlink" Target="https://salesxceleration.com/wp-content/uploads/2014/12/shutterstock_148996061_rdax_225x150-2048x2048.jpg" TargetMode="External"/><Relationship Id="rId5548" Type="http://schemas.openxmlformats.org/officeDocument/2006/relationships/hyperlink" Target="https://salesxceleration.com/wp-content/uploads/2021/07/Businessman-Walking-away-from-Work-scaled-1.jpg" TargetMode="External"/><Relationship Id="rId6879" Type="http://schemas.openxmlformats.org/officeDocument/2006/relationships/hyperlink" Target="https://salesxceleration.com/sales-plan-checklist/" TargetMode="External"/><Relationship Id="rId599" Type="http://schemas.openxmlformats.org/officeDocument/2006/relationships/hyperlink" Target="https://salesxceleration.com/case-study/manufacturing/" TargetMode="External"/><Relationship Id="rId594" Type="http://schemas.openxmlformats.org/officeDocument/2006/relationships/hyperlink" Target="https://salesxceleration.com/wp-content/uploads/2019/03/Case_Study_Manufacturing-thumb-2048x2048.jpg" TargetMode="External"/><Relationship Id="rId5541" Type="http://schemas.openxmlformats.org/officeDocument/2006/relationships/hyperlink" Target="https://salesxceleration.com/wp-content/uploads/2021/06/Business-Owner-in-Sales-Team-Meeting.jpg" TargetMode="External"/><Relationship Id="rId6872" Type="http://schemas.openxmlformats.org/officeDocument/2006/relationships/hyperlink" Target="https://salesxceleration.com/wp-content/themes/salesxceleratione/assets/css/style.css?ver=1769123792" TargetMode="External"/><Relationship Id="rId593" Type="http://schemas.openxmlformats.org/officeDocument/2006/relationships/hyperlink" Target="https://salesxceleration.com/wp-content/themes/salesxceleratione/assets/css/style.css?ver=1769123317" TargetMode="External"/><Relationship Id="rId5542" Type="http://schemas.openxmlformats.org/officeDocument/2006/relationships/hyperlink" Target="https://salesxceleration.com/wp-content/themes/salesxceleratione/assets/css/style.css?ver=1769123638" TargetMode="External"/><Relationship Id="rId6873" Type="http://schemas.openxmlformats.org/officeDocument/2006/relationships/hyperlink" Target="https://salesxceleration.com/?download=27887" TargetMode="External"/><Relationship Id="rId592" Type="http://schemas.openxmlformats.org/officeDocument/2006/relationships/hyperlink" Target="https://salesxceleration.com/wp-content/themes/salesxceleratione/assets/css/style.css?ver=1769123317" TargetMode="External"/><Relationship Id="rId4211" Type="http://schemas.openxmlformats.org/officeDocument/2006/relationships/hyperlink" Target="https://salesxceleration.com/business-owners-shouldnt-act-sales-manager/" TargetMode="External"/><Relationship Id="rId6870" Type="http://schemas.openxmlformats.org/officeDocument/2006/relationships/hyperlink" Target="https://salesxceleration.com/no-access/download-id/27866/" TargetMode="External"/><Relationship Id="rId591" Type="http://schemas.openxmlformats.org/officeDocument/2006/relationships/hyperlink" Target="https://salesxceleration.com/wp-content/uploads/2021/09/Case-Study_Electrical-Manufacturing_SX.pdf" TargetMode="External"/><Relationship Id="rId4210" Type="http://schemas.openxmlformats.org/officeDocument/2006/relationships/hyperlink" Target="https://salesxceleration.com/business-owners-shouldnt-act-sales-manager/" TargetMode="External"/><Relationship Id="rId5540" Type="http://schemas.openxmlformats.org/officeDocument/2006/relationships/hyperlink" Target="https://salesxceleration.com/wp-content/uploads/2021/06/Business-Owner-in-Sales-Team-Meeting.jpg" TargetMode="External"/><Relationship Id="rId6871" Type="http://schemas.openxmlformats.org/officeDocument/2006/relationships/hyperlink" Target="https://salesxceleration.com/wp-content/themes/salesxceleratione/assets/css/style.css?ver=1769123792" TargetMode="External"/><Relationship Id="rId598" Type="http://schemas.openxmlformats.org/officeDocument/2006/relationships/hyperlink" Target="https://salesxceleration.com/case-study/manufacturing/" TargetMode="External"/><Relationship Id="rId4213" Type="http://schemas.openxmlformats.org/officeDocument/2006/relationships/hyperlink" Target="https://salesxceleration.com/3-hard-reasons-business-owners-finally-hire-outsourced-sales-executive/" TargetMode="External"/><Relationship Id="rId5545" Type="http://schemas.openxmlformats.org/officeDocument/2006/relationships/hyperlink" Target="https://salesxceleration.com/wp-content/uploads/2021/03/Sales-Process-Meeting-scaled-1.jpg" TargetMode="External"/><Relationship Id="rId6876" Type="http://schemas.openxmlformats.org/officeDocument/2006/relationships/hyperlink" Target="https://salesxceleration.com/books/5th-edition-2023-state-of-sales" TargetMode="External"/><Relationship Id="rId597" Type="http://schemas.openxmlformats.org/officeDocument/2006/relationships/hyperlink" Target="https://salesxceleration.com/wp-content/uploads/elementor/css/post-18440.css?ver=1768855616" TargetMode="External"/><Relationship Id="rId4212" Type="http://schemas.openxmlformats.org/officeDocument/2006/relationships/hyperlink" Target="https://salesxceleration.com/business-owners-shouldnt-act-sales-manager/" TargetMode="External"/><Relationship Id="rId5546" Type="http://schemas.openxmlformats.org/officeDocument/2006/relationships/hyperlink" Target="https://salesxceleration.com/wp-content/uploads/2020/03/Buinesswoman_leading_a_team-1-scaled-1-2048x2048.jpg" TargetMode="External"/><Relationship Id="rId6877" Type="http://schemas.openxmlformats.org/officeDocument/2006/relationships/hyperlink" Target="https://salesxceleration.com/books/7th-edition-2025-state-of-sales/" TargetMode="External"/><Relationship Id="rId596" Type="http://schemas.openxmlformats.org/officeDocument/2006/relationships/hyperlink" Target="https://salesxceleration.com/wp-content/uploads/elementor/css/post-18440.css?ver=1768855616" TargetMode="External"/><Relationship Id="rId4215" Type="http://schemas.openxmlformats.org/officeDocument/2006/relationships/hyperlink" Target="https://salesxceleration.com/3-hard-reasons-business-owners-finally-hire-outsourced-sales-executive/" TargetMode="External"/><Relationship Id="rId5543" Type="http://schemas.openxmlformats.org/officeDocument/2006/relationships/hyperlink" Target="https://salesxceleration.com/wp-content/themes/salesxceleratione/assets/css/style.css?ver=1769123638" TargetMode="External"/><Relationship Id="rId6874" Type="http://schemas.openxmlformats.org/officeDocument/2006/relationships/hyperlink" Target="https://salesxceleration.com/no-access/download-id/27887/" TargetMode="External"/><Relationship Id="rId595" Type="http://schemas.openxmlformats.org/officeDocument/2006/relationships/hyperlink" Target="https://salesxceleration.com/wp-content/uploads/2019/03/Case_Study_Manufacturing-thumb-2048x2048.jpg" TargetMode="External"/><Relationship Id="rId4214" Type="http://schemas.openxmlformats.org/officeDocument/2006/relationships/hyperlink" Target="https://salesxceleration.com/3-hard-reasons-business-owners-finally-hire-outsourced-sales-executive/" TargetMode="External"/><Relationship Id="rId5544" Type="http://schemas.openxmlformats.org/officeDocument/2006/relationships/hyperlink" Target="https://salesxceleration.com/wp-content/uploads/2021/03/Sales-Process-Meeting-scaled-1.jpg" TargetMode="External"/><Relationship Id="rId6875" Type="http://schemas.openxmlformats.org/officeDocument/2006/relationships/hyperlink" Target="https://salesxceleration.com/?download=27887" TargetMode="External"/><Relationship Id="rId6825" Type="http://schemas.openxmlformats.org/officeDocument/2006/relationships/hyperlink" Target="https://salesxceleration.com/wp-content/uploads/2017/08/mwblog.jpg" TargetMode="External"/><Relationship Id="rId6826" Type="http://schemas.openxmlformats.org/officeDocument/2006/relationships/hyperlink" Target="https://salesxceleration.com/wp-content/uploads/2016/10/Screen-Shot-2016-10-12-at-2.11.04-PM.png" TargetMode="External"/><Relationship Id="rId6823" Type="http://schemas.openxmlformats.org/officeDocument/2006/relationships/hyperlink" Target="https://salesxceleration.com/wp-content/themes/salesxceleratione/assets/css/style.css?ver=1769123798" TargetMode="External"/><Relationship Id="rId6824" Type="http://schemas.openxmlformats.org/officeDocument/2006/relationships/hyperlink" Target="https://salesxceleration.com/wp-content/uploads/2017/08/mwblog.jpg" TargetMode="External"/><Relationship Id="rId6829" Type="http://schemas.openxmlformats.org/officeDocument/2006/relationships/hyperlink" Target="https://salesxceleration.com/sales-agility-assessment/" TargetMode="External"/><Relationship Id="rId6827" Type="http://schemas.openxmlformats.org/officeDocument/2006/relationships/hyperlink" Target="https://salesxceleration.com/wp-content/uploads/2016/10/Screen-Shot-2016-10-12-at-2.11.04-PM.png" TargetMode="External"/><Relationship Id="rId6828" Type="http://schemas.openxmlformats.org/officeDocument/2006/relationships/hyperlink" Target="https://salesxceleration.com/sales-agility-assessment/?locationid=29383251" TargetMode="External"/><Relationship Id="rId547" Type="http://schemas.openxmlformats.org/officeDocument/2006/relationships/hyperlink" Target="https://salesxceleration.com/wp-content/uploads/2025/11/pe.jpg" TargetMode="External"/><Relationship Id="rId546" Type="http://schemas.openxmlformats.org/officeDocument/2006/relationships/hyperlink" Target="https://salesxceleration.com/wp-content/uploads/2025/11/pe.jpg" TargetMode="External"/><Relationship Id="rId545" Type="http://schemas.openxmlformats.org/officeDocument/2006/relationships/hyperlink" Target="https://salesxceleration.com/wp-content/uploads/2025/04/Sales-Xceleration-State-of-Sales-2025-Playbook-1024x536.png" TargetMode="External"/><Relationship Id="rId544" Type="http://schemas.openxmlformats.org/officeDocument/2006/relationships/hyperlink" Target="https://salesxceleration.com/wp-content/uploads/2025/04/Sales-Xceleration-State-of-Sales-2025-Playbook-1024x536.png" TargetMode="External"/><Relationship Id="rId549" Type="http://schemas.openxmlformats.org/officeDocument/2006/relationships/hyperlink" Target="https://salesxceleration.com/wp-content/uploads/2025/07/technology.jpg" TargetMode="External"/><Relationship Id="rId548" Type="http://schemas.openxmlformats.org/officeDocument/2006/relationships/hyperlink" Target="https://salesxceleration.com/wp-content/uploads/2025/07/technology.jpg" TargetMode="External"/><Relationship Id="rId543" Type="http://schemas.openxmlformats.org/officeDocument/2006/relationships/hyperlink" Target="https://salesxceleration.com/wp-content/uploads/elementor/thumbs/Hiring-Sales-Talent-in-a-Slow-Economy-1024x683-1-rebopkih3p4bwb060zhyf6pih063uo1cawd79294gc.jpg" TargetMode="External"/><Relationship Id="rId6821" Type="http://schemas.openxmlformats.org/officeDocument/2006/relationships/hyperlink" Target="https://salesxceleration.com/wp-content/uploads/2018/08/Winning_Blog.jpg" TargetMode="External"/><Relationship Id="rId542" Type="http://schemas.openxmlformats.org/officeDocument/2006/relationships/hyperlink" Target="https://salesxceleration.com/wp-content/uploads/elementor/thumbs/Hiring-Sales-Talent-in-a-Slow-Economy-1024x683-1-rebopkih3p4bwb060zhyf6pih063uo1cawd79294gc.jpg" TargetMode="External"/><Relationship Id="rId6822" Type="http://schemas.openxmlformats.org/officeDocument/2006/relationships/hyperlink" Target="https://salesxceleration.com/wp-content/themes/salesxceleratione/assets/css/style.css?ver=1769123798" TargetMode="External"/><Relationship Id="rId541" Type="http://schemas.openxmlformats.org/officeDocument/2006/relationships/hyperlink" Target="https://salesxceleration.com/wp-content/uploads/2019/05/Sales-Xceleration-Sixth-Edition-2024_DRAFT-State-of-Sales-Small-to-Mid-Size-Businesses-1-791x1024.jpg" TargetMode="External"/><Relationship Id="rId540" Type="http://schemas.openxmlformats.org/officeDocument/2006/relationships/hyperlink" Target="https://salesxceleration.com/wp-content/uploads/2019/05/Sales-Xceleration-Sixth-Edition-2024_DRAFT-State-of-Sales-Small-to-Mid-Size-Businesses-1-791x1024.jpg" TargetMode="External"/><Relationship Id="rId6820" Type="http://schemas.openxmlformats.org/officeDocument/2006/relationships/hyperlink" Target="https://salesxceleration.com/wp-content/uploads/2018/08/Winning_Blog.jpg" TargetMode="External"/><Relationship Id="rId6814" Type="http://schemas.openxmlformats.org/officeDocument/2006/relationships/hyperlink" Target="https://salesxceleration.com/wp-content/themes/salesxceleratione/assets/css/style.css?ver=1769123799" TargetMode="External"/><Relationship Id="rId6815" Type="http://schemas.openxmlformats.org/officeDocument/2006/relationships/hyperlink" Target="https://salesxceleration.com/wp-content/themes/salesxceleratione/assets/css/style.css?ver=1769123799" TargetMode="External"/><Relationship Id="rId6812" Type="http://schemas.openxmlformats.org/officeDocument/2006/relationships/hyperlink" Target="https://salesxceleration.com/wp-content/uploads/2016/03/chocolate-cake-300x123.jpg" TargetMode="External"/><Relationship Id="rId6813" Type="http://schemas.openxmlformats.org/officeDocument/2006/relationships/hyperlink" Target="https://salesxceleration.com/wp-content/uploads/2016/03/chocolate-cake-300x123.jpg" TargetMode="External"/><Relationship Id="rId6818" Type="http://schemas.openxmlformats.org/officeDocument/2006/relationships/hyperlink" Target="https://salesxceleration.com/wp-content/uploads/2016/07/Find-the-Right-Lid.png" TargetMode="External"/><Relationship Id="rId6819" Type="http://schemas.openxmlformats.org/officeDocument/2006/relationships/hyperlink" Target="https://salesxceleration.com/wp-content/uploads/2016/07/Find-the-Right-Lid.png" TargetMode="External"/><Relationship Id="rId6816" Type="http://schemas.openxmlformats.org/officeDocument/2006/relationships/hyperlink" Target="https://salesxceleration.com/wp-content/uploads/2022/05/Sales-Lifecycle.jpg" TargetMode="External"/><Relationship Id="rId6817" Type="http://schemas.openxmlformats.org/officeDocument/2006/relationships/hyperlink" Target="https://salesxceleration.com/wp-content/uploads/2022/05/Sales-Lifecycle.jpg" TargetMode="External"/><Relationship Id="rId536" Type="http://schemas.openxmlformats.org/officeDocument/2006/relationships/hyperlink" Target="https://salesxceleration.com/wp-content/uploads/2025/05/Sales-Xceleration-State-of-Sales-2025-Meet-Weekly-1024x536.jpg" TargetMode="External"/><Relationship Id="rId535" Type="http://schemas.openxmlformats.org/officeDocument/2006/relationships/hyperlink" Target="https://salesxceleration.com/wp-content/uploads/2025/05/Sales-Analysis-Category.png" TargetMode="External"/><Relationship Id="rId534" Type="http://schemas.openxmlformats.org/officeDocument/2006/relationships/hyperlink" Target="https://salesxceleration.com/wp-content/uploads/2025/05/Sales-Analysis-Category.png" TargetMode="External"/><Relationship Id="rId533" Type="http://schemas.openxmlformats.org/officeDocument/2006/relationships/hyperlink" Target="https://salesxceleration.com/wp-content/uploads/2025/05/Sales-Xceleration-State-of-Sales-2025-Flying-Blind-1024x536.png" TargetMode="External"/><Relationship Id="rId539" Type="http://schemas.openxmlformats.org/officeDocument/2006/relationships/hyperlink" Target="https://salesxceleration.com/wp-includes/js/dist/dom-ready.min.js?ver=f77871ff7694fffea381" TargetMode="External"/><Relationship Id="rId538" Type="http://schemas.openxmlformats.org/officeDocument/2006/relationships/hyperlink" Target="https://salesxceleration.com/wp-includes/js/dist/dom-ready.min.js?ver=f77871ff7694fffea381" TargetMode="External"/><Relationship Id="rId537" Type="http://schemas.openxmlformats.org/officeDocument/2006/relationships/hyperlink" Target="https://salesxceleration.com/wp-content/uploads/2025/05/Sales-Xceleration-State-of-Sales-2025-Meet-Weekly-1024x536.jpg" TargetMode="External"/><Relationship Id="rId532" Type="http://schemas.openxmlformats.org/officeDocument/2006/relationships/hyperlink" Target="https://salesxceleration.com/wp-content/uploads/2025/05/Sales-Xceleration-State-of-Sales-2025-Flying-Blind-1024x536.png" TargetMode="External"/><Relationship Id="rId6810" Type="http://schemas.openxmlformats.org/officeDocument/2006/relationships/hyperlink" Target="https://salesxceleration.com/wp-content/uploads/2022/02/Business-Executive-on-Manufaturing-Floor.jpg" TargetMode="External"/><Relationship Id="rId531" Type="http://schemas.openxmlformats.org/officeDocument/2006/relationships/hyperlink" Target="https://salesxceleration.com/wp-content/plugins/powerpack-elements/assets/css/min/pp-swiper.min.css?ver=2.12.15" TargetMode="External"/><Relationship Id="rId6811" Type="http://schemas.openxmlformats.org/officeDocument/2006/relationships/hyperlink" Target="https://salesxceleration.com/wp-content/uploads/2022/02/Business-Executive-on-Manufaturing-Floor.jpg" TargetMode="External"/><Relationship Id="rId530" Type="http://schemas.openxmlformats.org/officeDocument/2006/relationships/hyperlink" Target="https://salesxceleration.com/wp-content/plugins/powerpack-elements/assets/css/min/pp-swiper.min.css?ver=2.12.15" TargetMode="External"/><Relationship Id="rId5516" Type="http://schemas.openxmlformats.org/officeDocument/2006/relationships/hyperlink" Target="https://salesxceleration.com/how-to-use-your-past-to-shape-a-more-purposeful-future/" TargetMode="External"/><Relationship Id="rId6847" Type="http://schemas.openxmlformats.org/officeDocument/2006/relationships/hyperlink" Target="https://salesxceleration.com/wp-content/uploads/2017/10/rewind-1.jpg" TargetMode="External"/><Relationship Id="rId5517" Type="http://schemas.openxmlformats.org/officeDocument/2006/relationships/hyperlink" Target="https://salesxceleration.com/how-to-use-your-past-to-shape-a-more-purposeful-future/" TargetMode="External"/><Relationship Id="rId6848" Type="http://schemas.openxmlformats.org/officeDocument/2006/relationships/hyperlink" Target="https://salesxceleration.com/wp-content/uploads/2017/10/rewind-1.jpg" TargetMode="External"/><Relationship Id="rId5514" Type="http://schemas.openxmlformats.org/officeDocument/2006/relationships/hyperlink" Target="https://salesxceleration.com/wp-content/themes/salesxceleratione/assets/css/style.css?ver=1769123634" TargetMode="External"/><Relationship Id="rId6845" Type="http://schemas.openxmlformats.org/officeDocument/2006/relationships/hyperlink" Target="https://salesxceleration.com/wp-content/themes/salesxceleratione/assets/css/style.css?ver=1769123795" TargetMode="External"/><Relationship Id="rId5515" Type="http://schemas.openxmlformats.org/officeDocument/2006/relationships/hyperlink" Target="https://salesxceleration.com/wp-content/themes/salesxceleratione/assets/css/style.css?ver=1769123634" TargetMode="External"/><Relationship Id="rId6846" Type="http://schemas.openxmlformats.org/officeDocument/2006/relationships/hyperlink" Target="https://salesxceleration.com/wp-content/themes/salesxceleratione/assets/css/style.css?ver=1769123795" TargetMode="External"/><Relationship Id="rId5518" Type="http://schemas.openxmlformats.org/officeDocument/2006/relationships/hyperlink" Target="https://salesxceleration.com/how-to-use-your-past-to-shape-a-more-purposeful-future/" TargetMode="External"/><Relationship Id="rId6849" Type="http://schemas.openxmlformats.org/officeDocument/2006/relationships/hyperlink" Target="https://salesxceleration.com/wp-content/uploads/2017/07/WhatnottodoBlog.jpg" TargetMode="External"/><Relationship Id="rId5519" Type="http://schemas.openxmlformats.org/officeDocument/2006/relationships/hyperlink" Target="https://salesxceleration.com/what-makes-a-great-sales-manager-these-12-skills-are-a-good-start/" TargetMode="External"/><Relationship Id="rId569" Type="http://schemas.openxmlformats.org/officeDocument/2006/relationships/hyperlink" Target="https://salesxceleration.com/wp-content/uploads/2019/12/manu-case-thumb-2048x2048.jpg" TargetMode="External"/><Relationship Id="rId568" Type="http://schemas.openxmlformats.org/officeDocument/2006/relationships/hyperlink" Target="https://salesxceleration.com/wp-content/uploads/elementor/css/post-18729.css?ver=1768855617" TargetMode="External"/><Relationship Id="rId567" Type="http://schemas.openxmlformats.org/officeDocument/2006/relationships/hyperlink" Target="https://salesxceleration.com/wp-content/uploads/elementor/css/post-18729.css?ver=1768855617" TargetMode="External"/><Relationship Id="rId566" Type="http://schemas.openxmlformats.org/officeDocument/2006/relationships/hyperlink" Target="https://salesxceleration.com/private-equity-solutions/contact/" TargetMode="External"/><Relationship Id="rId561" Type="http://schemas.openxmlformats.org/officeDocument/2006/relationships/hyperlink" Target="https://salesxceleration.com/wp-content/plugins/powerpack-elements/assets/css/min/widget-advanced-accordion.min.css?ver=2.12.15" TargetMode="External"/><Relationship Id="rId560" Type="http://schemas.openxmlformats.org/officeDocument/2006/relationships/hyperlink" Target="https://salesxceleration.com/wp-content/plugins/powerpack-elements/assets/css/min/widget-advanced-accordion.min.css?ver=2.12.15" TargetMode="External"/><Relationship Id="rId6840" Type="http://schemas.openxmlformats.org/officeDocument/2006/relationships/hyperlink" Target="https://salesxceleration.com/wp-content/themes/salesxceleratione/assets/css/style.css?ver=1769123796" TargetMode="External"/><Relationship Id="rId565" Type="http://schemas.openxmlformats.org/officeDocument/2006/relationships/hyperlink" Target="https://salesxceleration.com/private-equity-solutions/contact/" TargetMode="External"/><Relationship Id="rId5512" Type="http://schemas.openxmlformats.org/officeDocument/2006/relationships/hyperlink" Target="https://salesxceleration.com/wp-content/uploads/2014/11/SI-Header-3-scaled-1.jpg" TargetMode="External"/><Relationship Id="rId6843" Type="http://schemas.openxmlformats.org/officeDocument/2006/relationships/hyperlink" Target="https://salesxceleration.com/wp-content/uploads/2022/02/Businessmen-Shaking-Hands.jpg" TargetMode="External"/><Relationship Id="rId564" Type="http://schemas.openxmlformats.org/officeDocument/2006/relationships/hyperlink" Target="https://salesxceleration.com/private-equity-solutions/contact/" TargetMode="External"/><Relationship Id="rId5513" Type="http://schemas.openxmlformats.org/officeDocument/2006/relationships/hyperlink" Target="https://salesxceleration.com/wp-content/uploads/2014/11/SI-Header-3-scaled-1.jpg" TargetMode="External"/><Relationship Id="rId6844" Type="http://schemas.openxmlformats.org/officeDocument/2006/relationships/hyperlink" Target="https://salesxceleration.com/wp-content/uploads/2022/02/Businessmen-Shaking-Hands.jpg" TargetMode="External"/><Relationship Id="rId563" Type="http://schemas.openxmlformats.org/officeDocument/2006/relationships/hyperlink" Target="https://salesxceleration.com/wp-content/plugins/elementor-pro/assets/css/widget-post-info.min.css?ver=3.34.0" TargetMode="External"/><Relationship Id="rId5510" Type="http://schemas.openxmlformats.org/officeDocument/2006/relationships/hyperlink" Target="https://salesxceleration.com/want-better-sales-results-start-with-a-better-sales-plan/" TargetMode="External"/><Relationship Id="rId6841" Type="http://schemas.openxmlformats.org/officeDocument/2006/relationships/hyperlink" Target="https://salesxceleration.com/wp-content/uploads/2022/02/survey-results.jpg" TargetMode="External"/><Relationship Id="rId562" Type="http://schemas.openxmlformats.org/officeDocument/2006/relationships/hyperlink" Target="https://salesxceleration.com/wp-content/plugins/elementor-pro/assets/css/widget-post-info.min.css?ver=3.34.0" TargetMode="External"/><Relationship Id="rId5511" Type="http://schemas.openxmlformats.org/officeDocument/2006/relationships/hyperlink" Target="https://salesxceleration.com/want-better-sales-results-start-with-a-better-sales-plan/" TargetMode="External"/><Relationship Id="rId6842" Type="http://schemas.openxmlformats.org/officeDocument/2006/relationships/hyperlink" Target="https://salesxceleration.com/wp-content/uploads/2022/02/survey-results.jpg" TargetMode="External"/><Relationship Id="rId5505" Type="http://schemas.openxmlformats.org/officeDocument/2006/relationships/hyperlink" Target="https://salesxceleration.com/wp-content/uploads/2016/05/business-man-many-arms.jpg" TargetMode="External"/><Relationship Id="rId6836" Type="http://schemas.openxmlformats.org/officeDocument/2006/relationships/hyperlink" Target="https://salesxceleration.com/wp-content/uploads/2016/08/Talent-vs-talented.png" TargetMode="External"/><Relationship Id="rId5506" Type="http://schemas.openxmlformats.org/officeDocument/2006/relationships/hyperlink" Target="https://salesxceleration.com/wp-content/uploads/2016/05/business-man-many-arms.jpg" TargetMode="External"/><Relationship Id="rId6837" Type="http://schemas.openxmlformats.org/officeDocument/2006/relationships/hyperlink" Target="https://salesxceleration.com/wp-content/uploads/2017/02/Tall-Businessman-Featured.jpg" TargetMode="External"/><Relationship Id="rId5503" Type="http://schemas.openxmlformats.org/officeDocument/2006/relationships/hyperlink" Target="https://salesxceleration.com/wp-content/uploads/2021/03/Change-Your-Path-2.jpg" TargetMode="External"/><Relationship Id="rId6834" Type="http://schemas.openxmlformats.org/officeDocument/2006/relationships/hyperlink" Target="https://salesxceleration.com/wp-content/uploads/2017/07/Sales-Training.jpg" TargetMode="External"/><Relationship Id="rId5504" Type="http://schemas.openxmlformats.org/officeDocument/2006/relationships/hyperlink" Target="https://salesxceleration.com/wp-content/uploads/2021/03/Change-Your-Path-2.jpg" TargetMode="External"/><Relationship Id="rId6835" Type="http://schemas.openxmlformats.org/officeDocument/2006/relationships/hyperlink" Target="https://salesxceleration.com/wp-content/uploads/2016/08/Talent-vs-talented.png" TargetMode="External"/><Relationship Id="rId5509" Type="http://schemas.openxmlformats.org/officeDocument/2006/relationships/hyperlink" Target="https://salesxceleration.com/want-better-sales-results-start-with-a-better-sales-plan/" TargetMode="External"/><Relationship Id="rId5507" Type="http://schemas.openxmlformats.org/officeDocument/2006/relationships/hyperlink" Target="https://salesxceleration.com/wp-content/uploads/2016/03/Change-RS-72-560-x-225.jpg" TargetMode="External"/><Relationship Id="rId6838" Type="http://schemas.openxmlformats.org/officeDocument/2006/relationships/hyperlink" Target="https://salesxceleration.com/wp-content/uploads/2017/02/Tall-Businessman-Featured.jpg" TargetMode="External"/><Relationship Id="rId5508" Type="http://schemas.openxmlformats.org/officeDocument/2006/relationships/hyperlink" Target="https://salesxceleration.com/wp-content/uploads/2016/03/Change-RS-72-560-x-225.jpg" TargetMode="External"/><Relationship Id="rId6839" Type="http://schemas.openxmlformats.org/officeDocument/2006/relationships/hyperlink" Target="https://salesxceleration.com/wp-content/themes/salesxceleratione/assets/css/style.css?ver=1769123796" TargetMode="External"/><Relationship Id="rId558" Type="http://schemas.openxmlformats.org/officeDocument/2006/relationships/hyperlink" Target="https://salesxceleration.com/wp-content/plugins/powerpack-elements/assets/js/min/frontend-accordion.min.js?ver=2.12.15" TargetMode="External"/><Relationship Id="rId557" Type="http://schemas.openxmlformats.org/officeDocument/2006/relationships/hyperlink" Target="https://salesxceleration.com/wp-content/uploads/2025/02/Private-Equity-Healthcare-Managed-Services.jpg" TargetMode="External"/><Relationship Id="rId556" Type="http://schemas.openxmlformats.org/officeDocument/2006/relationships/hyperlink" Target="https://salesxceleration.com/wp-content/uploads/2025/02/Private-Equity-Healthcare-Managed-Services.jpg" TargetMode="External"/><Relationship Id="rId555" Type="http://schemas.openxmlformats.org/officeDocument/2006/relationships/hyperlink" Target="https://salesxceleration.com/wp-content/uploads/elementor/css/post-72648.css?ver=1768846234" TargetMode="External"/><Relationship Id="rId559" Type="http://schemas.openxmlformats.org/officeDocument/2006/relationships/hyperlink" Target="https://salesxceleration.com/wp-content/plugins/powerpack-elements/assets/js/min/frontend-accordion.min.js?ver=2.12.15" TargetMode="External"/><Relationship Id="rId550" Type="http://schemas.openxmlformats.org/officeDocument/2006/relationships/hyperlink" Target="https://salesxceleration.com/wp-content/uploads/2025/07/Q6M3AYIRXNGMTNWNEGQPJPJMAQ.jpg" TargetMode="External"/><Relationship Id="rId554" Type="http://schemas.openxmlformats.org/officeDocument/2006/relationships/hyperlink" Target="https://salesxceleration.com/wp-content/uploads/elementor/css/post-72648.css?ver=1768846234" TargetMode="External"/><Relationship Id="rId5501" Type="http://schemas.openxmlformats.org/officeDocument/2006/relationships/hyperlink" Target="https://salesxceleration.com/how-to-sell-value-in-a-bottom-line-price-conscious-market/" TargetMode="External"/><Relationship Id="rId6832" Type="http://schemas.openxmlformats.org/officeDocument/2006/relationships/hyperlink" Target="https://salesxceleration.com/wp-content/themes/salesxceleratione/assets/css/style.css?ver=1769123797" TargetMode="External"/><Relationship Id="rId553" Type="http://schemas.openxmlformats.org/officeDocument/2006/relationships/hyperlink" Target="https://salesxceleration.com/wp-content/uploads/2025/07/Business-Executive-on-Manufaturing-Floor-1024x576.jpg.webp" TargetMode="External"/><Relationship Id="rId5502" Type="http://schemas.openxmlformats.org/officeDocument/2006/relationships/hyperlink" Target="https://salesxceleration.com/how-to-sell-value-in-a-bottom-line-price-conscious-market/" TargetMode="External"/><Relationship Id="rId6833" Type="http://schemas.openxmlformats.org/officeDocument/2006/relationships/hyperlink" Target="https://salesxceleration.com/wp-content/uploads/2017/07/Sales-Training.jpg" TargetMode="External"/><Relationship Id="rId552" Type="http://schemas.openxmlformats.org/officeDocument/2006/relationships/hyperlink" Target="https://salesxceleration.com/wp-content/uploads/2025/07/Business-Executive-on-Manufaturing-Floor-1024x576.jpg.webp" TargetMode="External"/><Relationship Id="rId6830" Type="http://schemas.openxmlformats.org/officeDocument/2006/relationships/hyperlink" Target="https://salesxceleration.com/sales-agility-assessment/?locationid=29383251" TargetMode="External"/><Relationship Id="rId551" Type="http://schemas.openxmlformats.org/officeDocument/2006/relationships/hyperlink" Target="https://salesxceleration.com/wp-content/uploads/2025/07/Q6M3AYIRXNGMTNWNEGQPJPJMAQ.jpg" TargetMode="External"/><Relationship Id="rId5500" Type="http://schemas.openxmlformats.org/officeDocument/2006/relationships/hyperlink" Target="https://salesxceleration.com/how-to-sell-value-in-a-bottom-line-price-conscious-market/" TargetMode="External"/><Relationship Id="rId6831" Type="http://schemas.openxmlformats.org/officeDocument/2006/relationships/hyperlink" Target="https://salesxceleration.com/wp-content/themes/salesxceleratione/assets/css/style.css?ver=1769123797" TargetMode="External"/><Relationship Id="rId4280" Type="http://schemas.openxmlformats.org/officeDocument/2006/relationships/hyperlink" Target="https://salesxceleration.com/wp-content/uploads/2021/03/Sales-Leader-Meeting-with-Sales-Team-300x200.png" TargetMode="External"/><Relationship Id="rId4282" Type="http://schemas.openxmlformats.org/officeDocument/2006/relationships/hyperlink" Target="https://salesxceleration.com/wp-content/uploads/2021/07/Businessman-Walking-away-from-Work-scaled-1-300x200.jpg" TargetMode="External"/><Relationship Id="rId4281" Type="http://schemas.openxmlformats.org/officeDocument/2006/relationships/hyperlink" Target="https://salesxceleration.com/wp-content/uploads/2021/07/Businessman-Walking-away-from-Work-scaled-1-300x200.jpg" TargetMode="External"/><Relationship Id="rId4284" Type="http://schemas.openxmlformats.org/officeDocument/2006/relationships/hyperlink" Target="https://salesxceleration.com/wp-content/uploads/2021/03/Sales-Process-Meeting-scaled-1-300x200.jpg" TargetMode="External"/><Relationship Id="rId4283" Type="http://schemas.openxmlformats.org/officeDocument/2006/relationships/hyperlink" Target="https://salesxceleration.com/wp-content/uploads/2021/03/Sales-Process-Meeting-scaled-1-300x200.jpg" TargetMode="External"/><Relationship Id="rId4286" Type="http://schemas.openxmlformats.org/officeDocument/2006/relationships/hyperlink" Target="https://salesxceleration.com/six-surprising-reasons-businesses-connect-with-a-sales-leadership-consultant/" TargetMode="External"/><Relationship Id="rId4285" Type="http://schemas.openxmlformats.org/officeDocument/2006/relationships/hyperlink" Target="https://salesxceleration.com/six-surprising-reasons-businesses-connect-with-a-sales-leadership-consultant/" TargetMode="External"/><Relationship Id="rId4288" Type="http://schemas.openxmlformats.org/officeDocument/2006/relationships/hyperlink" Target="https://salesxceleration.com/answer-your-customers-three-whys-to-ensure-your-sales-process-is-perfectly-aligned/" TargetMode="External"/><Relationship Id="rId4287" Type="http://schemas.openxmlformats.org/officeDocument/2006/relationships/hyperlink" Target="https://salesxceleration.com/six-surprising-reasons-businesses-connect-with-a-sales-leadership-consultant/" TargetMode="External"/><Relationship Id="rId4289" Type="http://schemas.openxmlformats.org/officeDocument/2006/relationships/hyperlink" Target="https://salesxceleration.com/answer-your-customers-three-whys-to-ensure-your-sales-process-is-perfectly-aligned/" TargetMode="External"/><Relationship Id="rId4271" Type="http://schemas.openxmlformats.org/officeDocument/2006/relationships/hyperlink" Target="https://salesxceleration.com/wp-content/uploads/2021/05/Confident-Sales-Leader-in-Team-Meeting-scaled-1-300x200.jpg" TargetMode="External"/><Relationship Id="rId4270" Type="http://schemas.openxmlformats.org/officeDocument/2006/relationships/hyperlink" Target="https://salesxceleration.com/wp-content/uploads/2021/05/Confident-Sales-Leader-in-Team-Meeting-scaled-1-300x200.jpg" TargetMode="External"/><Relationship Id="rId4273" Type="http://schemas.openxmlformats.org/officeDocument/2006/relationships/hyperlink" Target="https://salesxceleration.com/wp-content/uploads/2021/03/Gig-Economy-300x200.png" TargetMode="External"/><Relationship Id="rId4272" Type="http://schemas.openxmlformats.org/officeDocument/2006/relationships/hyperlink" Target="https://salesxceleration.com/wp-content/uploads/2021/03/Gig-Economy-300x200.png" TargetMode="External"/><Relationship Id="rId4275" Type="http://schemas.openxmlformats.org/officeDocument/2006/relationships/hyperlink" Target="https://salesxceleration.com/no-matter-the-crisis-success-calls-for-positive-thinking-and-confident-leadership/" TargetMode="External"/><Relationship Id="rId4274" Type="http://schemas.openxmlformats.org/officeDocument/2006/relationships/hyperlink" Target="https://salesxceleration.com/no-matter-the-crisis-success-calls-for-positive-thinking-and-confident-leadership/" TargetMode="External"/><Relationship Id="rId4277" Type="http://schemas.openxmlformats.org/officeDocument/2006/relationships/hyperlink" Target="https://salesxceleration.com/wp-content/uploads/2021/04/Sales-Leadership-Meeting-scaled-1-300x200.jpg" TargetMode="External"/><Relationship Id="rId4276" Type="http://schemas.openxmlformats.org/officeDocument/2006/relationships/hyperlink" Target="https://salesxceleration.com/no-matter-the-crisis-success-calls-for-positive-thinking-and-confident-leadership/" TargetMode="External"/><Relationship Id="rId4279" Type="http://schemas.openxmlformats.org/officeDocument/2006/relationships/hyperlink" Target="https://salesxceleration.com/wp-content/uploads/2021/03/Sales-Leader-Meeting-with-Sales-Team-300x200.png" TargetMode="External"/><Relationship Id="rId4278" Type="http://schemas.openxmlformats.org/officeDocument/2006/relationships/hyperlink" Target="https://salesxceleration.com/wp-content/uploads/2021/04/Sales-Leadership-Meeting-scaled-1-300x200.jpg" TargetMode="External"/><Relationship Id="rId4291" Type="http://schemas.openxmlformats.org/officeDocument/2006/relationships/hyperlink" Target="https://salesxceleration.com/wp-content/themes/salesxceleratione/assets/css/style.css?ver=1769123520" TargetMode="External"/><Relationship Id="rId4290" Type="http://schemas.openxmlformats.org/officeDocument/2006/relationships/hyperlink" Target="https://salesxceleration.com/answer-your-customers-three-whys-to-ensure-your-sales-process-is-perfectly-aligned/" TargetMode="External"/><Relationship Id="rId4293" Type="http://schemas.openxmlformats.org/officeDocument/2006/relationships/hyperlink" Target="https://salesxceleration.com/wp-content/uploads/2024/02/Finding-a-Sales-Star-Player.jpg" TargetMode="External"/><Relationship Id="rId4292" Type="http://schemas.openxmlformats.org/officeDocument/2006/relationships/hyperlink" Target="https://salesxceleration.com/wp-content/themes/salesxceleratione/assets/css/style.css?ver=1769123520" TargetMode="External"/><Relationship Id="rId4295" Type="http://schemas.openxmlformats.org/officeDocument/2006/relationships/hyperlink" Target="https://salesxceleration.com/as-the-days-and-years-wind-down-what-are-you-waiting-for/" TargetMode="External"/><Relationship Id="rId4294" Type="http://schemas.openxmlformats.org/officeDocument/2006/relationships/hyperlink" Target="https://salesxceleration.com/wp-content/uploads/2024/02/Finding-a-Sales-Star-Player.jpg" TargetMode="External"/><Relationship Id="rId4297" Type="http://schemas.openxmlformats.org/officeDocument/2006/relationships/hyperlink" Target="https://salesxceleration.com/as-the-days-and-years-wind-down-what-are-you-waiting-for/" TargetMode="External"/><Relationship Id="rId4296" Type="http://schemas.openxmlformats.org/officeDocument/2006/relationships/hyperlink" Target="https://salesxceleration.com/as-the-days-and-years-wind-down-what-are-you-waiting-for/" TargetMode="External"/><Relationship Id="rId4299" Type="http://schemas.openxmlformats.org/officeDocument/2006/relationships/hyperlink" Target="https://salesxceleration.com/dreading-the-excessive-travel-of-business-as-usual-heres-an-alternative/" TargetMode="External"/><Relationship Id="rId4298" Type="http://schemas.openxmlformats.org/officeDocument/2006/relationships/hyperlink" Target="https://salesxceleration.com/dreading-the-excessive-travel-of-business-as-usual-heres-an-alternative/" TargetMode="External"/><Relationship Id="rId4249" Type="http://schemas.openxmlformats.org/officeDocument/2006/relationships/hyperlink" Target="https://salesxceleration.com/wp-content/uploads/2025/12/2025-Recruiting-Trends.jpg" TargetMode="External"/><Relationship Id="rId5570" Type="http://schemas.openxmlformats.org/officeDocument/2006/relationships/hyperlink" Target="https://salesxceleration.com/wp-content/uploads/2020/06/why-i-left-a-successful-career.jpg" TargetMode="External"/><Relationship Id="rId5571" Type="http://schemas.openxmlformats.org/officeDocument/2006/relationships/hyperlink" Target="https://salesxceleration.com/wp-content/uploads/2020/06/why-i-left-a-successful-career.jpg" TargetMode="External"/><Relationship Id="rId4240" Type="http://schemas.openxmlformats.org/officeDocument/2006/relationships/hyperlink" Target="https://salesxceleration.com/key-leadership-behaviors-improve-sales-force-performance/" TargetMode="External"/><Relationship Id="rId4242" Type="http://schemas.openxmlformats.org/officeDocument/2006/relationships/hyperlink" Target="https://salesxceleration.com/sales-leadership-vs-sales-management/" TargetMode="External"/><Relationship Id="rId5574" Type="http://schemas.openxmlformats.org/officeDocument/2006/relationships/hyperlink" Target="https://salesxceleration.com/wp-content/themes/salesxceleratione/assets/css/style.css?ver=1769123641" TargetMode="External"/><Relationship Id="rId4241" Type="http://schemas.openxmlformats.org/officeDocument/2006/relationships/hyperlink" Target="https://salesxceleration.com/sales-leadership-vs-sales-management/" TargetMode="External"/><Relationship Id="rId5575" Type="http://schemas.openxmlformats.org/officeDocument/2006/relationships/hyperlink" Target="https://salesxceleration.com/wp-content/themes/salesxceleratione/assets/css/style.css?ver=1769123641" TargetMode="External"/><Relationship Id="rId4244" Type="http://schemas.openxmlformats.org/officeDocument/2006/relationships/hyperlink" Target="https://salesxceleration.com/wp-content/uploads/2020/07/Developing-a-Comp-Plan-2048x2048.jpg" TargetMode="External"/><Relationship Id="rId5572" Type="http://schemas.openxmlformats.org/officeDocument/2006/relationships/hyperlink" Target="https://salesxceleration.com/wp-content/uploads/2016/11/Trapped-2048x2048.jpg" TargetMode="External"/><Relationship Id="rId4243" Type="http://schemas.openxmlformats.org/officeDocument/2006/relationships/hyperlink" Target="https://salesxceleration.com/sales-leadership-vs-sales-management/" TargetMode="External"/><Relationship Id="rId5573" Type="http://schemas.openxmlformats.org/officeDocument/2006/relationships/hyperlink" Target="https://salesxceleration.com/wp-content/uploads/2016/11/Trapped-2048x2048.jpg" TargetMode="External"/><Relationship Id="rId4246" Type="http://schemas.openxmlformats.org/officeDocument/2006/relationships/hyperlink" Target="https://salesxceleration.com/wp-content/uploads/2020/05/Frustrated-salesperson-scaled-1-2048x2048.jpg" TargetMode="External"/><Relationship Id="rId5578" Type="http://schemas.openxmlformats.org/officeDocument/2006/relationships/hyperlink" Target="https://salesxceleration.com/feeling-trapped-wisdom-experience-can-set-free/" TargetMode="External"/><Relationship Id="rId4245" Type="http://schemas.openxmlformats.org/officeDocument/2006/relationships/hyperlink" Target="https://salesxceleration.com/wp-content/uploads/2020/07/Developing-a-Comp-Plan-2048x2048.jpg" TargetMode="External"/><Relationship Id="rId5579" Type="http://schemas.openxmlformats.org/officeDocument/2006/relationships/hyperlink" Target="https://salesxceleration.com/wp-content/uploads/2020/08/Sales-Leader-Building-a-Sales-Strategy-scaled-1.jpg" TargetMode="External"/><Relationship Id="rId4248" Type="http://schemas.openxmlformats.org/officeDocument/2006/relationships/hyperlink" Target="https://salesxceleration.com/wp-content/uploads/2025/12/2025-Recruiting-Trends.jpg" TargetMode="External"/><Relationship Id="rId5576" Type="http://schemas.openxmlformats.org/officeDocument/2006/relationships/hyperlink" Target="https://salesxceleration.com/feeling-trapped-wisdom-experience-can-set-free/" TargetMode="External"/><Relationship Id="rId4247" Type="http://schemas.openxmlformats.org/officeDocument/2006/relationships/hyperlink" Target="https://salesxceleration.com/wp-content/uploads/2020/05/Frustrated-salesperson-scaled-1-2048x2048.jpg" TargetMode="External"/><Relationship Id="rId5577" Type="http://schemas.openxmlformats.org/officeDocument/2006/relationships/hyperlink" Target="https://salesxceleration.com/feeling-trapped-wisdom-experience-can-set-free/" TargetMode="External"/><Relationship Id="rId4239" Type="http://schemas.openxmlformats.org/officeDocument/2006/relationships/hyperlink" Target="https://salesxceleration.com/key-leadership-behaviors-improve-sales-force-performance/" TargetMode="External"/><Relationship Id="rId4238" Type="http://schemas.openxmlformats.org/officeDocument/2006/relationships/hyperlink" Target="https://salesxceleration.com/key-leadership-behaviors-improve-sales-force-performance/" TargetMode="External"/><Relationship Id="rId5569" Type="http://schemas.openxmlformats.org/officeDocument/2006/relationships/hyperlink" Target="https://salesxceleration.com/wp-content/themes/salesxceleratione/assets/css/style.css?ver=1769123640" TargetMode="External"/><Relationship Id="rId6890" Type="http://schemas.openxmlformats.org/officeDocument/2006/relationships/hyperlink" Target="https://salesxceleration.com/wp-content/uploads/2020/06/shutterstock_738625801-scaled-1.jpg" TargetMode="External"/><Relationship Id="rId5560" Type="http://schemas.openxmlformats.org/officeDocument/2006/relationships/hyperlink" Target="https://salesxceleration.com/wp-content/uploads/2020/07/IndyCar-Race-2.jpg" TargetMode="External"/><Relationship Id="rId6891" Type="http://schemas.openxmlformats.org/officeDocument/2006/relationships/hyperlink" Target="https://salesxceleration.com/wp-content/uploads/2020/06/shutterstock_738625801-scaled-1.jpg" TargetMode="External"/><Relationship Id="rId495" Type="http://schemas.openxmlformats.org/officeDocument/2006/relationships/hyperlink" Target="https://salesxceleration.com/wp-content/uploads/2025/05/Hidden-Disconnect-Sabotaging-Sales-Growth-1024x576.png" TargetMode="External"/><Relationship Id="rId4231" Type="http://schemas.openxmlformats.org/officeDocument/2006/relationships/hyperlink" Target="https://salesxceleration.com/putting-sales-center-strategy/" TargetMode="External"/><Relationship Id="rId5563" Type="http://schemas.openxmlformats.org/officeDocument/2006/relationships/hyperlink" Target="https://salesxceleration.com/why-small-to-mid-sized-businesses-need-sales-leadership-consultants-in-a-crisis/" TargetMode="External"/><Relationship Id="rId6894" Type="http://schemas.openxmlformats.org/officeDocument/2006/relationships/hyperlink" Target="https://salesxceleration.com/wp-content/uploads/2015/03/strategic-sales-planning-business-on-track-sales-xcerleation.png" TargetMode="External"/><Relationship Id="rId494" Type="http://schemas.openxmlformats.org/officeDocument/2006/relationships/hyperlink" Target="https://salesxceleration.com/wp-content/uploads/2019/05/2023-State-of-Sales-Small-to-Mid-Size-Businesses-1-791x1024.jpg" TargetMode="External"/><Relationship Id="rId4230" Type="http://schemas.openxmlformats.org/officeDocument/2006/relationships/hyperlink" Target="https://salesxceleration.com/putting-sales-center-strategy/" TargetMode="External"/><Relationship Id="rId5564" Type="http://schemas.openxmlformats.org/officeDocument/2006/relationships/hyperlink" Target="https://salesxceleration.com/wp-content/uploads/2020/07/Investor-Meeting-scaled-1.jpg" TargetMode="External"/><Relationship Id="rId6895" Type="http://schemas.openxmlformats.org/officeDocument/2006/relationships/hyperlink" Target="https://salesxceleration.com/wp-content/uploads/2015/03/strategic-sales-planning-business-on-track-sales-xcerleation.png" TargetMode="External"/><Relationship Id="rId493" Type="http://schemas.openxmlformats.org/officeDocument/2006/relationships/hyperlink" Target="https://salesxceleration.com/wp-content/uploads/2019/05/2023-State-of-Sales-Small-to-Mid-Size-Businesses-1-791x1024.jpg" TargetMode="External"/><Relationship Id="rId4233" Type="http://schemas.openxmlformats.org/officeDocument/2006/relationships/hyperlink" Target="https://salesxceleration.com/wp-content/uploads/2015/08/Youre-Fired-RS-72-dpi-560-x-281-2048x2048.jpg" TargetMode="External"/><Relationship Id="rId5561" Type="http://schemas.openxmlformats.org/officeDocument/2006/relationships/hyperlink" Target="https://salesxceleration.com/why-small-to-mid-sized-businesses-need-sales-leadership-consultants-in-a-crisis/" TargetMode="External"/><Relationship Id="rId6892" Type="http://schemas.openxmlformats.org/officeDocument/2006/relationships/hyperlink" Target="https://salesxceleration.com/wp-content/uploads/2015/07/Profit-Article-Image.jpg" TargetMode="External"/><Relationship Id="rId492" Type="http://schemas.openxmlformats.org/officeDocument/2006/relationships/hyperlink" Target="https://salesxceleration.com/wp-content/plugins/gravityforms/js/jquery.json.min.js?ver=2.9.24" TargetMode="External"/><Relationship Id="rId4232" Type="http://schemas.openxmlformats.org/officeDocument/2006/relationships/hyperlink" Target="https://salesxceleration.com/wp-content/uploads/2015/08/Youre-Fired-RS-72-dpi-560-x-281-2048x2048.jpg" TargetMode="External"/><Relationship Id="rId5562" Type="http://schemas.openxmlformats.org/officeDocument/2006/relationships/hyperlink" Target="https://salesxceleration.com/why-small-to-mid-sized-businesses-need-sales-leadership-consultants-in-a-crisis/" TargetMode="External"/><Relationship Id="rId6893" Type="http://schemas.openxmlformats.org/officeDocument/2006/relationships/hyperlink" Target="https://salesxceleration.com/wp-content/uploads/2015/07/Profit-Article-Image.jpg" TargetMode="External"/><Relationship Id="rId499" Type="http://schemas.openxmlformats.org/officeDocument/2006/relationships/hyperlink" Target="https://salesxceleration.com/wp-content/uploads/2019/05/Sales-Xceleration-2025-State-of-Sales-Small-to-MidSize-Businesses-1-1024x640.jpg" TargetMode="External"/><Relationship Id="rId4235" Type="http://schemas.openxmlformats.org/officeDocument/2006/relationships/hyperlink" Target="https://salesxceleration.com/wp-content/uploads/2023/05/Which-Role-is-Right-for-Your-New-Hire.jpg" TargetMode="External"/><Relationship Id="rId5567" Type="http://schemas.openxmlformats.org/officeDocument/2006/relationships/hyperlink" Target="https://salesxceleration.com/wp-content/uploads/2020/09/Crisis-Sales-Management-scaled-1.jpg" TargetMode="External"/><Relationship Id="rId6898" Type="http://schemas.openxmlformats.org/officeDocument/2006/relationships/hyperlink" Target="https://salesxceleration.com/wp-content/uploads/2015/11/Sales-Plan-RS-72-dpi-560-x-225-2048x2048.jpg" TargetMode="External"/><Relationship Id="rId498" Type="http://schemas.openxmlformats.org/officeDocument/2006/relationships/hyperlink" Target="https://salesxceleration.com/wp-content/uploads/2025/04/Sales-Xceleration-State-of-Sales-2025-Sales-Process-1024x542.png" TargetMode="External"/><Relationship Id="rId4234" Type="http://schemas.openxmlformats.org/officeDocument/2006/relationships/hyperlink" Target="https://salesxceleration.com/wp-content/uploads/2023/05/Which-Role-is-Right-for-Your-New-Hire.jpg" TargetMode="External"/><Relationship Id="rId5568" Type="http://schemas.openxmlformats.org/officeDocument/2006/relationships/hyperlink" Target="https://salesxceleration.com/wp-content/themes/salesxceleratione/assets/css/style.css?ver=1769123640" TargetMode="External"/><Relationship Id="rId6899" Type="http://schemas.openxmlformats.org/officeDocument/2006/relationships/hyperlink" Target="https://salesxceleration.com/wp-content/uploads/2015/11/Sales-Plan-RS-72-dpi-560-x-225-2048x2048.jpg" TargetMode="External"/><Relationship Id="rId497" Type="http://schemas.openxmlformats.org/officeDocument/2006/relationships/hyperlink" Target="https://salesxceleration.com/wp-content/uploads/2025/04/Sales-Xceleration-State-of-Sales-2025-Sales-Process-1024x542.png" TargetMode="External"/><Relationship Id="rId4237" Type="http://schemas.openxmlformats.org/officeDocument/2006/relationships/hyperlink" Target="https://salesxceleration.com/wp-content/uploads/2020/04/Businessman-leading-training-session-scaled-1-2048x2048.jpg" TargetMode="External"/><Relationship Id="rId5565" Type="http://schemas.openxmlformats.org/officeDocument/2006/relationships/hyperlink" Target="https://salesxceleration.com/wp-content/uploads/2020/07/Investor-Meeting-scaled-1.jpg" TargetMode="External"/><Relationship Id="rId6896" Type="http://schemas.openxmlformats.org/officeDocument/2006/relationships/hyperlink" Target="https://salesxceleration.com/wp-content/themes/salesxceleratione/assets/css/style.css?ver=1769123789" TargetMode="External"/><Relationship Id="rId496" Type="http://schemas.openxmlformats.org/officeDocument/2006/relationships/hyperlink" Target="https://salesxceleration.com/wp-content/uploads/2025/05/Hidden-Disconnect-Sabotaging-Sales-Growth-1024x576.png" TargetMode="External"/><Relationship Id="rId4236" Type="http://schemas.openxmlformats.org/officeDocument/2006/relationships/hyperlink" Target="https://salesxceleration.com/wp-content/uploads/2020/04/Businessman-leading-training-session-scaled-1-2048x2048.jpg" TargetMode="External"/><Relationship Id="rId5566" Type="http://schemas.openxmlformats.org/officeDocument/2006/relationships/hyperlink" Target="https://salesxceleration.com/wp-content/uploads/2020/09/Crisis-Sales-Management-scaled-1.jpg" TargetMode="External"/><Relationship Id="rId6897" Type="http://schemas.openxmlformats.org/officeDocument/2006/relationships/hyperlink" Target="https://salesxceleration.com/wp-content/themes/salesxceleratione/assets/css/style.css?ver=1769123789" TargetMode="External"/><Relationship Id="rId4260" Type="http://schemas.openxmlformats.org/officeDocument/2006/relationships/hyperlink" Target="https://salesxceleration.com/five-reasons-not-to-become-a-sales-leadership-consultant/" TargetMode="External"/><Relationship Id="rId5592" Type="http://schemas.openxmlformats.org/officeDocument/2006/relationships/hyperlink" Target="https://salesxceleration.com/wp-content/uploads/2020/09/3-step-process.png" TargetMode="External"/><Relationship Id="rId5593" Type="http://schemas.openxmlformats.org/officeDocument/2006/relationships/hyperlink" Target="https://salesxceleration.com/wp-content/uploads/2020/09/3-step-process.png" TargetMode="External"/><Relationship Id="rId4262" Type="http://schemas.openxmlformats.org/officeDocument/2006/relationships/hyperlink" Target="https://salesxceleration.com/five-reasons-not-to-become-a-sales-leadership-consultant/" TargetMode="External"/><Relationship Id="rId5590" Type="http://schemas.openxmlformats.org/officeDocument/2006/relationships/hyperlink" Target="https://salesxceleration.com/wp-content/uploads/2020/09/marketing-sales-chart.png" TargetMode="External"/><Relationship Id="rId4261" Type="http://schemas.openxmlformats.org/officeDocument/2006/relationships/hyperlink" Target="https://salesxceleration.com/five-reasons-not-to-become-a-sales-leadership-consultant/" TargetMode="External"/><Relationship Id="rId5591" Type="http://schemas.openxmlformats.org/officeDocument/2006/relationships/hyperlink" Target="https://salesxceleration.com/wp-content/uploads/2020/09/marketing-sales-chart.png" TargetMode="External"/><Relationship Id="rId4264" Type="http://schemas.openxmlformats.org/officeDocument/2006/relationships/hyperlink" Target="https://salesxceleration.com/wp-content/uploads/2021/07/Businessman-Holding-Flag-in-Sky-on-a-Mountain-scaled-1-300x167.jpg" TargetMode="External"/><Relationship Id="rId5596" Type="http://schemas.openxmlformats.org/officeDocument/2006/relationships/hyperlink" Target="https://salesxceleration.com/wp-content/uploads/2017/04/RSpt2-1.jpg" TargetMode="External"/><Relationship Id="rId4263" Type="http://schemas.openxmlformats.org/officeDocument/2006/relationships/hyperlink" Target="https://salesxceleration.com/wp-content/uploads/2021/07/Businessman-Holding-Flag-in-Sky-on-a-Mountain-scaled-1-300x167.jpg" TargetMode="External"/><Relationship Id="rId5597" Type="http://schemas.openxmlformats.org/officeDocument/2006/relationships/hyperlink" Target="https://salesxceleration.com/wp-content/uploads/2017/04/RSpt2-1.jpg" TargetMode="External"/><Relationship Id="rId4266" Type="http://schemas.openxmlformats.org/officeDocument/2006/relationships/hyperlink" Target="https://salesxceleration.com/wp-content/uploads/2021/05/Buinessman-Traveling-for-Work-300x200.png" TargetMode="External"/><Relationship Id="rId5594" Type="http://schemas.openxmlformats.org/officeDocument/2006/relationships/hyperlink" Target="https://salesxceleration.com/wp-content/uploads/2020/08/Sales-Leader-Formulating-a-Plan-Forward-scaled-1.jpg" TargetMode="External"/><Relationship Id="rId4265" Type="http://schemas.openxmlformats.org/officeDocument/2006/relationships/hyperlink" Target="https://salesxceleration.com/wp-content/uploads/2021/05/Buinessman-Traveling-for-Work-300x200.png" TargetMode="External"/><Relationship Id="rId5595" Type="http://schemas.openxmlformats.org/officeDocument/2006/relationships/hyperlink" Target="https://salesxceleration.com/wp-content/uploads/2020/08/Sales-Leader-Formulating-a-Plan-Forward-scaled-1.jpg" TargetMode="External"/><Relationship Id="rId4268" Type="http://schemas.openxmlformats.org/officeDocument/2006/relationships/hyperlink" Target="https://salesxceleration.com/how-fractional-leadership-helps-businesses-pivot-to-a-new-normal/" TargetMode="External"/><Relationship Id="rId4267" Type="http://schemas.openxmlformats.org/officeDocument/2006/relationships/hyperlink" Target="https://salesxceleration.com/how-fractional-leadership-helps-businesses-pivot-to-a-new-normal/" TargetMode="External"/><Relationship Id="rId5598" Type="http://schemas.openxmlformats.org/officeDocument/2006/relationships/hyperlink" Target="https://salesxceleration.com/wp-content/uploads/2019/12/Irritated_Businessman_Holding_Phone-2048x2048.jpg" TargetMode="External"/><Relationship Id="rId4269" Type="http://schemas.openxmlformats.org/officeDocument/2006/relationships/hyperlink" Target="https://salesxceleration.com/how-fractional-leadership-helps-businesses-pivot-to-a-new-normal/" TargetMode="External"/><Relationship Id="rId5599" Type="http://schemas.openxmlformats.org/officeDocument/2006/relationships/hyperlink" Target="https://salesxceleration.com/wp-content/uploads/2019/12/Irritated_Businessman_Holding_Phone-2048x2048.jpg" TargetMode="External"/><Relationship Id="rId5581" Type="http://schemas.openxmlformats.org/officeDocument/2006/relationships/hyperlink" Target="https://salesxceleration.com/wp-content/uploads/2020/07/Business-consultant-conversation-1.jpg" TargetMode="External"/><Relationship Id="rId5582" Type="http://schemas.openxmlformats.org/officeDocument/2006/relationships/hyperlink" Target="https://salesxceleration.com/wp-content/uploads/2020/07/Business-consultant-conversation-1.jpg" TargetMode="External"/><Relationship Id="rId4251" Type="http://schemas.openxmlformats.org/officeDocument/2006/relationships/hyperlink" Target="https://salesxceleration.com/wp-content/uploads/2021/03/Change-Your-Path-2-300x300.jpg" TargetMode="External"/><Relationship Id="rId4250" Type="http://schemas.openxmlformats.org/officeDocument/2006/relationships/hyperlink" Target="https://salesxceleration.com/wp-content/uploads/2021/03/Change-Your-Path-2-300x300.jpg" TargetMode="External"/><Relationship Id="rId5580" Type="http://schemas.openxmlformats.org/officeDocument/2006/relationships/hyperlink" Target="https://salesxceleration.com/wp-content/uploads/2020/08/Sales-Leader-Building-a-Sales-Strategy-scaled-1.jpg" TargetMode="External"/><Relationship Id="rId4253" Type="http://schemas.openxmlformats.org/officeDocument/2006/relationships/hyperlink" Target="https://salesxceleration.com/youre-fired-why-you-might-have-to-let-your-top-salesperson-go/" TargetMode="External"/><Relationship Id="rId5585" Type="http://schemas.openxmlformats.org/officeDocument/2006/relationships/hyperlink" Target="https://salesxceleration.com/sales-strategy-checklist-2/" TargetMode="External"/><Relationship Id="rId4252" Type="http://schemas.openxmlformats.org/officeDocument/2006/relationships/hyperlink" Target="https://salesxceleration.com/youre-fired-why-you-might-have-to-let-your-top-salesperson-go/" TargetMode="External"/><Relationship Id="rId5586" Type="http://schemas.openxmlformats.org/officeDocument/2006/relationships/hyperlink" Target="https://salesxceleration.com/wp-content/uploads/2020/06/Lemons-scaled-1.jpg" TargetMode="External"/><Relationship Id="rId4255" Type="http://schemas.openxmlformats.org/officeDocument/2006/relationships/hyperlink" Target="https://salesxceleration.com/wp-content/uploads/2021/06/Business-Owner-in-Sales-Team-Meeting-300x169.jpg" TargetMode="External"/><Relationship Id="rId5583" Type="http://schemas.openxmlformats.org/officeDocument/2006/relationships/hyperlink" Target="https://salesxceleration.com/sales-strategy-checklist-2/" TargetMode="External"/><Relationship Id="rId4254" Type="http://schemas.openxmlformats.org/officeDocument/2006/relationships/hyperlink" Target="https://salesxceleration.com/youre-fired-why-you-might-have-to-let-your-top-salesperson-go/" TargetMode="External"/><Relationship Id="rId5584" Type="http://schemas.openxmlformats.org/officeDocument/2006/relationships/hyperlink" Target="https://salesxceleration.com/" TargetMode="External"/><Relationship Id="rId4257" Type="http://schemas.openxmlformats.org/officeDocument/2006/relationships/hyperlink" Target="https://salesxceleration.com/whats-the-gig-idea-what-you-need-to-know-about-the-gig-economy/" TargetMode="External"/><Relationship Id="rId5589" Type="http://schemas.openxmlformats.org/officeDocument/2006/relationships/hyperlink" Target="https://salesxceleration.com/wp-content/uploads/2020/09/marketing-sales.png" TargetMode="External"/><Relationship Id="rId4256" Type="http://schemas.openxmlformats.org/officeDocument/2006/relationships/hyperlink" Target="https://salesxceleration.com/wp-content/uploads/2021/06/Business-Owner-in-Sales-Team-Meeting-300x169.jpg" TargetMode="External"/><Relationship Id="rId4259" Type="http://schemas.openxmlformats.org/officeDocument/2006/relationships/hyperlink" Target="https://salesxceleration.com/whats-the-gig-idea-what-you-need-to-know-about-the-gig-economy/" TargetMode="External"/><Relationship Id="rId5587" Type="http://schemas.openxmlformats.org/officeDocument/2006/relationships/hyperlink" Target="https://salesxceleration.com/wp-content/uploads/2020/06/Lemons-scaled-1.jpg" TargetMode="External"/><Relationship Id="rId4258" Type="http://schemas.openxmlformats.org/officeDocument/2006/relationships/hyperlink" Target="https://salesxceleration.com/whats-the-gig-idea-what-you-need-to-know-about-the-gig-economy/" TargetMode="External"/><Relationship Id="rId5588" Type="http://schemas.openxmlformats.org/officeDocument/2006/relationships/hyperlink" Target="https://salesxceleration.com/wp-content/uploads/2020/09/marketing-sales.png" TargetMode="External"/><Relationship Id="rId6902" Type="http://schemas.openxmlformats.org/officeDocument/2006/relationships/hyperlink" Target="https://salesxceleration.com/wp-content/themes/salesxceleratione/assets/css/style.css?ver=1769123788" TargetMode="External"/><Relationship Id="rId6903" Type="http://schemas.openxmlformats.org/officeDocument/2006/relationships/hyperlink" Target="https://salesxceleration.com/wp-content/themes/salesxceleratione/assets/css/style.css?ver=1769123788" TargetMode="External"/><Relationship Id="rId6900" Type="http://schemas.openxmlformats.org/officeDocument/2006/relationships/hyperlink" Target="https://salesxceleration.com/wp-content/uploads/2018/10/9d37d0fc-d7c3-11e8-8b20-d6718e0bd3f4.jpg" TargetMode="External"/><Relationship Id="rId6901" Type="http://schemas.openxmlformats.org/officeDocument/2006/relationships/hyperlink" Target="https://salesxceleration.com/wp-content/uploads/2018/10/9d37d0fc-d7c3-11e8-8b20-d6718e0bd3f4.jpg" TargetMode="External"/><Relationship Id="rId6906" Type="http://schemas.openxmlformats.org/officeDocument/2006/relationships/hyperlink" Target="https://salesxceleration.com/wp-content/uploads/2016/07/Hiring-Outsourcing-RS-72-560-x-225.jpg" TargetMode="External"/><Relationship Id="rId6907" Type="http://schemas.openxmlformats.org/officeDocument/2006/relationships/hyperlink" Target="https://salesxceleration.com/wp-content/uploads/2016/07/Hiring-Outsourcing-RS-72-560-x-225.jpg" TargetMode="External"/><Relationship Id="rId6904" Type="http://schemas.openxmlformats.org/officeDocument/2006/relationships/hyperlink" Target="https://salesxceleration.com/wp-content/uploads/2020/03/Businessman_preventing_the_dominos_from_crumbling.jpg" TargetMode="External"/><Relationship Id="rId6905" Type="http://schemas.openxmlformats.org/officeDocument/2006/relationships/hyperlink" Target="https://salesxceleration.com/wp-content/uploads/2020/03/Businessman_preventing_the_dominos_from_crumbling.jpg" TargetMode="External"/><Relationship Id="rId6908" Type="http://schemas.openxmlformats.org/officeDocument/2006/relationships/hyperlink" Target="https://salesxceleration.com/wp-content/themes/salesxceleratione/assets/css/style.css?ver=1769123787" TargetMode="External"/><Relationship Id="rId6909" Type="http://schemas.openxmlformats.org/officeDocument/2006/relationships/hyperlink" Target="https://salesxceleration.com/wp-content/themes/salesxceleratione/assets/css/style.css?ver=1769123787" TargetMode="External"/><Relationship Id="rId6924" Type="http://schemas.openxmlformats.org/officeDocument/2006/relationships/hyperlink" Target="https://salesxceleration.com/now-what-a-story-of-life-beyond-corporate-sales-success/" TargetMode="External"/><Relationship Id="rId6925" Type="http://schemas.openxmlformats.org/officeDocument/2006/relationships/hyperlink" Target="https://salesxceleration.com/now-what-a-story-of-life-beyond-corporate-sales-success/" TargetMode="External"/><Relationship Id="rId6922" Type="http://schemas.openxmlformats.org/officeDocument/2006/relationships/hyperlink" Target="https://salesxceleration.com/wp-content/uploads/2017/07/Sales-Success-Buyer-Process.jpg" TargetMode="External"/><Relationship Id="rId6923" Type="http://schemas.openxmlformats.org/officeDocument/2006/relationships/hyperlink" Target="https://salesxceleration.com/wp-content/uploads/2017/07/Sales-Success-Buyer-Process.jpg" TargetMode="External"/><Relationship Id="rId6928" Type="http://schemas.openxmlformats.org/officeDocument/2006/relationships/hyperlink" Target="https://salesxceleration.com/wp-content/uploads/2018/05/wysimage.jpg" TargetMode="External"/><Relationship Id="rId6929" Type="http://schemas.openxmlformats.org/officeDocument/2006/relationships/hyperlink" Target="https://salesxceleration.com/wp-content/themes/salesxceleratione/assets/css/style.css?ver=1769123854" TargetMode="External"/><Relationship Id="rId6926" Type="http://schemas.openxmlformats.org/officeDocument/2006/relationships/hyperlink" Target="https://salesxceleration.com/now-what-a-story-of-life-beyond-corporate-sales-success/" TargetMode="External"/><Relationship Id="rId6927" Type="http://schemas.openxmlformats.org/officeDocument/2006/relationships/hyperlink" Target="https://salesxceleration.com/wp-content/uploads/2018/05/wysimage.jpg" TargetMode="External"/><Relationship Id="rId409" Type="http://schemas.openxmlformats.org/officeDocument/2006/relationships/hyperlink" Target="https://salesxceleration.com/wp-content/plugins/powerpack-elements/assets/js/min/frontend-wrapper-link.min.js?ver=2.12.15" TargetMode="External"/><Relationship Id="rId404" Type="http://schemas.openxmlformats.org/officeDocument/2006/relationships/hyperlink" Target="https://salesxceleration.com/compensation-plan-errors-to-avoid/" TargetMode="External"/><Relationship Id="rId403" Type="http://schemas.openxmlformats.org/officeDocument/2006/relationships/hyperlink" Target="https://salesxceleration.com/compensation-plan-errors-to-avoid/" TargetMode="External"/><Relationship Id="rId402" Type="http://schemas.openxmlformats.org/officeDocument/2006/relationships/hyperlink" Target="https://salesxceleration.com/compensation-plan-errors-to-avoid/" TargetMode="External"/><Relationship Id="rId401" Type="http://schemas.openxmlformats.org/officeDocument/2006/relationships/hyperlink" Target="https://salesxceleration.com/wp-content/uploads/2025/05/SX_Sales-Process-1024x245.png" TargetMode="External"/><Relationship Id="rId408" Type="http://schemas.openxmlformats.org/officeDocument/2006/relationships/hyperlink" Target="https://salesxceleration.com/wp-content/uploads/elementor/thumbs/Sales-Xceleration-CSOMS-Sales-Strategy-qraxnymjvm92q6xti26tf53pijmszbe7zicp77teb8.png" TargetMode="External"/><Relationship Id="rId407" Type="http://schemas.openxmlformats.org/officeDocument/2006/relationships/hyperlink" Target="https://salesxceleration.com/wp-content/uploads/elementor/thumbs/Sales-Xceleration-CSOMS-Sales-Strategy-qraxnymjvm92q6xti26tf53pijmszbe7zicp77teb8.png" TargetMode="External"/><Relationship Id="rId406" Type="http://schemas.openxmlformats.org/officeDocument/2006/relationships/hyperlink" Target="https://salesxceleration.com/wp-content/themes/salesxceleratione/assets/css/style.css?ver=1769123314" TargetMode="External"/><Relationship Id="rId405" Type="http://schemas.openxmlformats.org/officeDocument/2006/relationships/hyperlink" Target="https://salesxceleration.com/wp-content/themes/salesxceleratione/assets/css/style.css?ver=1769123314" TargetMode="External"/><Relationship Id="rId400" Type="http://schemas.openxmlformats.org/officeDocument/2006/relationships/hyperlink" Target="https://salesxceleration.com/wp-content/uploads/2025/05/SX_Sales-Process-1024x245.png" TargetMode="External"/><Relationship Id="rId6920" Type="http://schemas.openxmlformats.org/officeDocument/2006/relationships/hyperlink" Target="https://salesxceleration.com/wp-content/themes/salesxceleratione/assets/css/style.css?ver=1769123847" TargetMode="External"/><Relationship Id="rId6921" Type="http://schemas.openxmlformats.org/officeDocument/2006/relationships/hyperlink" Target="https://salesxceleration.com/wp-content/themes/salesxceleratione/assets/css/style.css?ver=1769123847" TargetMode="External"/><Relationship Id="rId6913" Type="http://schemas.openxmlformats.org/officeDocument/2006/relationships/hyperlink" Target="https://salesxceleration.com/wp-content/themes/salesxceleratione/assets/css/style.css?ver=1769123786" TargetMode="External"/><Relationship Id="rId6914" Type="http://schemas.openxmlformats.org/officeDocument/2006/relationships/hyperlink" Target="https://salesxceleration.com/wp-content/themes/salesxceleratione/assets/css/style.css?ver=1769123849" TargetMode="External"/><Relationship Id="rId6911" Type="http://schemas.openxmlformats.org/officeDocument/2006/relationships/hyperlink" Target="https://salesxceleration.com/wp-content/uploads/2015/10/writing-933262_640.jpg" TargetMode="External"/><Relationship Id="rId6912" Type="http://schemas.openxmlformats.org/officeDocument/2006/relationships/hyperlink" Target="https://salesxceleration.com/wp-content/themes/salesxceleratione/assets/css/style.css?ver=1769123786" TargetMode="External"/><Relationship Id="rId6917" Type="http://schemas.openxmlformats.org/officeDocument/2006/relationships/hyperlink" Target="https://salesxceleration.com/wp-content/uploads/elementor/css/post-21389.css?ver=1768849909" TargetMode="External"/><Relationship Id="rId6918" Type="http://schemas.openxmlformats.org/officeDocument/2006/relationships/hyperlink" Target="https://salesxceleration.com/wp-content/themes/salesxceleratione/assets/css/style.css?ver=1769123848" TargetMode="External"/><Relationship Id="rId6915" Type="http://schemas.openxmlformats.org/officeDocument/2006/relationships/hyperlink" Target="https://salesxceleration.com/wp-content/themes/salesxceleratione/assets/css/style.css?ver=1769123849" TargetMode="External"/><Relationship Id="rId6916" Type="http://schemas.openxmlformats.org/officeDocument/2006/relationships/hyperlink" Target="https://salesxceleration.com/wp-content/uploads/elementor/css/post-21389.css?ver=1768849909" TargetMode="External"/><Relationship Id="rId6919" Type="http://schemas.openxmlformats.org/officeDocument/2006/relationships/hyperlink" Target="https://salesxceleration.com/wp-content/themes/salesxceleratione/assets/css/style.css?ver=1769123848" TargetMode="External"/><Relationship Id="rId6910" Type="http://schemas.openxmlformats.org/officeDocument/2006/relationships/hyperlink" Target="https://salesxceleration.com/wp-content/uploads/2015/10/writing-933262_640.jpg" TargetMode="External"/><Relationship Id="rId4327" Type="http://schemas.openxmlformats.org/officeDocument/2006/relationships/hyperlink" Target="https://salesxceleration.com/why-i-left-a-successful-career-in-sales-leadership/" TargetMode="External"/><Relationship Id="rId5659" Type="http://schemas.openxmlformats.org/officeDocument/2006/relationships/hyperlink" Target="https://salesxceleration.com/wp-content/themes/salesxceleratione/assets/css/style.css?ver=1769123667" TargetMode="External"/><Relationship Id="rId4326" Type="http://schemas.openxmlformats.org/officeDocument/2006/relationships/hyperlink" Target="https://salesxceleration.com/why-i-left-a-successful-career-in-sales-leadership/" TargetMode="External"/><Relationship Id="rId4329" Type="http://schemas.openxmlformats.org/officeDocument/2006/relationships/hyperlink" Target="https://salesxceleration.com/wp-content/uploads/2020/08/Sales-Leader-Building-a-Sales-Strategy-scaled-1-300x200.jpg" TargetMode="External"/><Relationship Id="rId5657" Type="http://schemas.openxmlformats.org/officeDocument/2006/relationships/hyperlink" Target="https://salesxceleration.com/wp-content/uploads/2015/03/fishing-grandpa-sales-lessons-family-wisdom.png" TargetMode="External"/><Relationship Id="rId6988" Type="http://schemas.openxmlformats.org/officeDocument/2006/relationships/hyperlink" Target="https://salesxceleration.com/no-access/download-id/27890/" TargetMode="External"/><Relationship Id="rId4328" Type="http://schemas.openxmlformats.org/officeDocument/2006/relationships/hyperlink" Target="https://salesxceleration.com/wp-content/uploads/2020/08/Sales-Leader-Building-a-Sales-Strategy-scaled-1-300x200.jpg" TargetMode="External"/><Relationship Id="rId5658" Type="http://schemas.openxmlformats.org/officeDocument/2006/relationships/hyperlink" Target="https://salesxceleration.com/wp-content/themes/salesxceleratione/assets/css/style.css?ver=1769123667" TargetMode="External"/><Relationship Id="rId6989" Type="http://schemas.openxmlformats.org/officeDocument/2006/relationships/hyperlink" Target="https://salesxceleration.com/no-access/" TargetMode="External"/><Relationship Id="rId469" Type="http://schemas.openxmlformats.org/officeDocument/2006/relationships/hyperlink" Target="https://salesxceleration.com/wp-content/uploads/elementor/css/post-27738.css?ver=1768845930" TargetMode="External"/><Relationship Id="rId468" Type="http://schemas.openxmlformats.org/officeDocument/2006/relationships/hyperlink" Target="https://salesxceleration.com/wp-content/uploads/2025/04/Sales-Strategy-Icon.svg" TargetMode="External"/><Relationship Id="rId467" Type="http://schemas.openxmlformats.org/officeDocument/2006/relationships/hyperlink" Target="https://salesxceleration.com/wp-content/uploads/2025/04/Sales-Strategy-Icon.svg" TargetMode="External"/><Relationship Id="rId462" Type="http://schemas.openxmlformats.org/officeDocument/2006/relationships/hyperlink" Target="https://salesxceleration.com/wp-content/uploads/2023/07/Building-a-Modern-Sales-Operating-System-SOS-1024x598.jpg" TargetMode="External"/><Relationship Id="rId5651" Type="http://schemas.openxmlformats.org/officeDocument/2006/relationships/hyperlink" Target="https://salesxceleration.com/wp-content/uploads/elementor/css/post-72431.css?ver=1768862527" TargetMode="External"/><Relationship Id="rId6982" Type="http://schemas.openxmlformats.org/officeDocument/2006/relationships/hyperlink" Target="https://salesxceleration.com/no-access/" TargetMode="External"/><Relationship Id="rId461" Type="http://schemas.openxmlformats.org/officeDocument/2006/relationships/hyperlink" Target="https://salesxceleration.com/wp-content/uploads/2023/07/Building-a-Modern-Sales-Operating-System-SOS-1024x598.jpg" TargetMode="External"/><Relationship Id="rId5652" Type="http://schemas.openxmlformats.org/officeDocument/2006/relationships/hyperlink" Target="https://salesxceleration.com/wp-content/themes/salesxceleratione/assets/css/style.css?ver=1769123668" TargetMode="External"/><Relationship Id="rId6983" Type="http://schemas.openxmlformats.org/officeDocument/2006/relationships/hyperlink" Target="https://salesxceleration.com/no-access/download-id/27888/" TargetMode="External"/><Relationship Id="rId460" Type="http://schemas.openxmlformats.org/officeDocument/2006/relationships/hyperlink" Target="https://salesxceleration.com/wp-content/plugins/elementor-pro/assets/css/widget-testimonial-carousel.min.css?ver=3.34.0" TargetMode="External"/><Relationship Id="rId4321" Type="http://schemas.openxmlformats.org/officeDocument/2006/relationships/hyperlink" Target="https://salesxceleration.com/for-businesses-in-crisis-fractional-sales-leadership-can-make-a-difference/" TargetMode="External"/><Relationship Id="rId6980" Type="http://schemas.openxmlformats.org/officeDocument/2006/relationships/hyperlink" Target="https://salesxceleration.com/no-access/download-id/27891/" TargetMode="External"/><Relationship Id="rId4320" Type="http://schemas.openxmlformats.org/officeDocument/2006/relationships/hyperlink" Target="https://salesxceleration.com/for-businesses-in-crisis-fractional-sales-leadership-can-make-a-difference/" TargetMode="External"/><Relationship Id="rId5650" Type="http://schemas.openxmlformats.org/officeDocument/2006/relationships/hyperlink" Target="https://salesxceleration.com/wp-content/uploads/elementor/css/post-72431.css?ver=1768862527" TargetMode="External"/><Relationship Id="rId6981" Type="http://schemas.openxmlformats.org/officeDocument/2006/relationships/hyperlink" Target="https://salesxceleration.com/no-access/download-id/27888/" TargetMode="External"/><Relationship Id="rId466" Type="http://schemas.openxmlformats.org/officeDocument/2006/relationships/hyperlink" Target="https://salesxceleration.com/wp-content/plugins/elementor/assets/css/widget-menu-anchor.min.css?ver=3.34.0" TargetMode="External"/><Relationship Id="rId4323" Type="http://schemas.openxmlformats.org/officeDocument/2006/relationships/hyperlink" Target="https://salesxceleration.com/wp-content/uploads/2020/07/Investor-Meeting-scaled-1-300x300.jpg" TargetMode="External"/><Relationship Id="rId5655" Type="http://schemas.openxmlformats.org/officeDocument/2006/relationships/hyperlink" Target="https://salesxceleration.com/wp-content/uploads/elementor/css/post-71940.css?ver=1768887599" TargetMode="External"/><Relationship Id="rId6986" Type="http://schemas.openxmlformats.org/officeDocument/2006/relationships/hyperlink" Target="https://salesxceleration.com/wp-content/uploads/2015/03/sales-Coaches.png" TargetMode="External"/><Relationship Id="rId465" Type="http://schemas.openxmlformats.org/officeDocument/2006/relationships/hyperlink" Target="https://salesxceleration.com/wp-content/plugins/elementor/assets/css/widget-menu-anchor.min.css?ver=3.34.0" TargetMode="External"/><Relationship Id="rId4322" Type="http://schemas.openxmlformats.org/officeDocument/2006/relationships/hyperlink" Target="https://salesxceleration.com/for-businesses-in-crisis-fractional-sales-leadership-can-make-a-difference/" TargetMode="External"/><Relationship Id="rId5656" Type="http://schemas.openxmlformats.org/officeDocument/2006/relationships/hyperlink" Target="https://salesxceleration.com/wp-content/uploads/2015/03/fishing-grandpa-sales-lessons-family-wisdom.png" TargetMode="External"/><Relationship Id="rId6987" Type="http://schemas.openxmlformats.org/officeDocument/2006/relationships/hyperlink" Target="https://salesxceleration.com/wp-content/uploads/2015/03/sales-Coaches.png" TargetMode="External"/><Relationship Id="rId464" Type="http://schemas.openxmlformats.org/officeDocument/2006/relationships/hyperlink" Target="https://salesxceleration.com/wp-content/uploads/2025/05/Sales-Organization-Category.png" TargetMode="External"/><Relationship Id="rId4325" Type="http://schemas.openxmlformats.org/officeDocument/2006/relationships/hyperlink" Target="https://salesxceleration.com/why-i-left-a-successful-career-in-sales-leadership/" TargetMode="External"/><Relationship Id="rId5653" Type="http://schemas.openxmlformats.org/officeDocument/2006/relationships/hyperlink" Target="https://salesxceleration.com/wp-content/themes/salesxceleratione/assets/css/style.css?ver=1769123668" TargetMode="External"/><Relationship Id="rId6984" Type="http://schemas.openxmlformats.org/officeDocument/2006/relationships/hyperlink" Target="https://salesxceleration.com/wp-content/themes/salesxceleratione/assets/css/style.css?ver=1769123835" TargetMode="External"/><Relationship Id="rId463" Type="http://schemas.openxmlformats.org/officeDocument/2006/relationships/hyperlink" Target="https://salesxceleration.com/wp-content/uploads/2025/05/Sales-Organization-Category.png" TargetMode="External"/><Relationship Id="rId4324" Type="http://schemas.openxmlformats.org/officeDocument/2006/relationships/hyperlink" Target="https://salesxceleration.com/wp-content/uploads/2020/07/Investor-Meeting-scaled-1-300x300.jpg" TargetMode="External"/><Relationship Id="rId5654" Type="http://schemas.openxmlformats.org/officeDocument/2006/relationships/hyperlink" Target="https://salesxceleration.com/wp-content/uploads/elementor/css/post-71940.css?ver=1768887599" TargetMode="External"/><Relationship Id="rId6985" Type="http://schemas.openxmlformats.org/officeDocument/2006/relationships/hyperlink" Target="https://salesxceleration.com/wp-content/themes/salesxceleratione/assets/css/style.css?ver=1769123835" TargetMode="External"/><Relationship Id="rId4316" Type="http://schemas.openxmlformats.org/officeDocument/2006/relationships/hyperlink" Target="https://salesxceleration.com/how-your-sales-leadership-track-record-can-help-you-set-new-track-records-as-a-consultant/" TargetMode="External"/><Relationship Id="rId5648" Type="http://schemas.openxmlformats.org/officeDocument/2006/relationships/hyperlink" Target="https://salesxceleration.com/gray-hair-boosts-consultant-credentials/" TargetMode="External"/><Relationship Id="rId6979" Type="http://schemas.openxmlformats.org/officeDocument/2006/relationships/hyperlink" Target="https://salesxceleration.com/no-access/" TargetMode="External"/><Relationship Id="rId4315" Type="http://schemas.openxmlformats.org/officeDocument/2006/relationships/hyperlink" Target="https://salesxceleration.com/contact-us/become-a-sales-consultant/advisor-blogs/" TargetMode="External"/><Relationship Id="rId5649" Type="http://schemas.openxmlformats.org/officeDocument/2006/relationships/hyperlink" Target="https://salesxceleration.com/gray-hair-boosts-consultant-credentials/" TargetMode="External"/><Relationship Id="rId4318" Type="http://schemas.openxmlformats.org/officeDocument/2006/relationships/hyperlink" Target="https://salesxceleration.com/5-ways-to-make-your-sales-infrastructure-more-attractive-to-investors/" TargetMode="External"/><Relationship Id="rId5646" Type="http://schemas.openxmlformats.org/officeDocument/2006/relationships/hyperlink" Target="https://salesxceleration.com/wp-content/themes/salesxceleratione/assets/css/style.css?ver=1769123669" TargetMode="External"/><Relationship Id="rId6977" Type="http://schemas.openxmlformats.org/officeDocument/2006/relationships/hyperlink" Target="https://salesxceleration.com/press-release-chief-outsiders-sales-xceleration-announce-interactive-sales-marketing-breakfast-workshop-ceos/" TargetMode="External"/><Relationship Id="rId4317" Type="http://schemas.openxmlformats.org/officeDocument/2006/relationships/hyperlink" Target="https://salesxceleration.com/5-ways-to-make-your-sales-infrastructure-more-attractive-to-investors/" TargetMode="External"/><Relationship Id="rId5647" Type="http://schemas.openxmlformats.org/officeDocument/2006/relationships/hyperlink" Target="https://salesxceleration.com/gray-hair-boosts-consultant-credentials/" TargetMode="External"/><Relationship Id="rId6978" Type="http://schemas.openxmlformats.org/officeDocument/2006/relationships/hyperlink" Target="https://salesxceleration.com/no-access/download-id/27891/" TargetMode="External"/><Relationship Id="rId4319" Type="http://schemas.openxmlformats.org/officeDocument/2006/relationships/hyperlink" Target="https://salesxceleration.com/5-ways-to-make-your-sales-infrastructure-more-attractive-to-investors/" TargetMode="External"/><Relationship Id="rId459" Type="http://schemas.openxmlformats.org/officeDocument/2006/relationships/hyperlink" Target="https://salesxceleration.com/wp-content/plugins/elementor-pro/assets/css/widget-testimonial-carousel.min.css?ver=3.34.0" TargetMode="External"/><Relationship Id="rId458" Type="http://schemas.openxmlformats.org/officeDocument/2006/relationships/hyperlink" Target="https://salesxceleration.com/wp-content/uploads/2025/08/AdobeStock_1403924835.jpeg" TargetMode="External"/><Relationship Id="rId457" Type="http://schemas.openxmlformats.org/officeDocument/2006/relationships/hyperlink" Target="https://salesxceleration.com/wp-content/uploads/2025/08/AdobeStock_1403924835.jpeg" TargetMode="External"/><Relationship Id="rId456" Type="http://schemas.openxmlformats.org/officeDocument/2006/relationships/hyperlink" Target="https://salesxceleration.com/wp-content/plugins/elementor/assets/css/conditionals/shapes.min.css?ver=3.34.0" TargetMode="External"/><Relationship Id="rId451" Type="http://schemas.openxmlformats.org/officeDocument/2006/relationships/hyperlink" Target="https://salesxceleration.com/wp-content/themes/salesxceleratione/assets/css/style.css?ver=1769123315" TargetMode="External"/><Relationship Id="rId5640" Type="http://schemas.openxmlformats.org/officeDocument/2006/relationships/hyperlink" Target="https://salesxceleration.com/wp-content/uploads/2020/05/Satisfied-Happy-Businessman-scaled-1.jpg" TargetMode="External"/><Relationship Id="rId6971" Type="http://schemas.openxmlformats.org/officeDocument/2006/relationships/hyperlink" Target="https://salesxceleration.com/wp-content/themes/salesxceleratione/assets/css/style.css?ver=1769123838" TargetMode="External"/><Relationship Id="rId450" Type="http://schemas.openxmlformats.org/officeDocument/2006/relationships/hyperlink" Target="https://salesxceleration.com/wp-content/plugins/elementor/assets/lib/animations/styles/fadeInLeft.min.css?ver=3.34.0" TargetMode="External"/><Relationship Id="rId5641" Type="http://schemas.openxmlformats.org/officeDocument/2006/relationships/hyperlink" Target="https://salesxceleration.com/wp-content/uploads/2020/04/Man-Working-in-Home-Office1.jpg" TargetMode="External"/><Relationship Id="rId6972" Type="http://schemas.openxmlformats.org/officeDocument/2006/relationships/hyperlink" Target="https://salesxceleration.com/wp-content/themes/salesxceleratione/assets/css/style.css?ver=1769123838" TargetMode="External"/><Relationship Id="rId4310" Type="http://schemas.openxmlformats.org/officeDocument/2006/relationships/hyperlink" Target="https://salesxceleration.com/wp-content/uploads/2020/09/Crisis-Sales-Management-scaled-1-300x200.jpg" TargetMode="External"/><Relationship Id="rId6970" Type="http://schemas.openxmlformats.org/officeDocument/2006/relationships/hyperlink" Target="https://salesxceleration.com/wp-content/themes/salesxceleratione/assets/css/style.css?ver=1769123839" TargetMode="External"/><Relationship Id="rId455" Type="http://schemas.openxmlformats.org/officeDocument/2006/relationships/hyperlink" Target="https://salesxceleration.com/wp-content/plugins/elementor/assets/css/conditionals/shapes.min.css?ver=3.34.0" TargetMode="External"/><Relationship Id="rId4312" Type="http://schemas.openxmlformats.org/officeDocument/2006/relationships/hyperlink" Target="https://salesxceleration.com/wp-content/uploads/2020/06/why-i-left-a-successful-career-300x200.jpg" TargetMode="External"/><Relationship Id="rId5644" Type="http://schemas.openxmlformats.org/officeDocument/2006/relationships/hyperlink" Target="https://salesxceleration.com/wp-content/uploads/2020/05/Woman-Sales-Leader-Leading-a-Team-scaled-1.jpg" TargetMode="External"/><Relationship Id="rId6975" Type="http://schemas.openxmlformats.org/officeDocument/2006/relationships/hyperlink" Target="https://salesxceleration.com/press-release-chief-outsiders-sales-xceleration-announce-interactive-sales-marketing-breakfast-workshop-ceos/" TargetMode="External"/><Relationship Id="rId454" Type="http://schemas.openxmlformats.org/officeDocument/2006/relationships/hyperlink" Target="https://salesxceleration.com/wp-content/uploads/2025/07/electronic-data-interchange-768x512-1.jpg" TargetMode="External"/><Relationship Id="rId4311" Type="http://schemas.openxmlformats.org/officeDocument/2006/relationships/hyperlink" Target="https://salesxceleration.com/wp-content/uploads/2020/09/Crisis-Sales-Management-scaled-1-300x200.jpg" TargetMode="External"/><Relationship Id="rId5645" Type="http://schemas.openxmlformats.org/officeDocument/2006/relationships/hyperlink" Target="https://salesxceleration.com/wp-content/themes/salesxceleratione/assets/css/style.css?ver=1769123669" TargetMode="External"/><Relationship Id="rId6976" Type="http://schemas.openxmlformats.org/officeDocument/2006/relationships/hyperlink" Target="https://salesxceleration.com/press-release-chief-outsiders-sales-xceleration-announce-interactive-sales-marketing-breakfast-workshop-ceos/" TargetMode="External"/><Relationship Id="rId453" Type="http://schemas.openxmlformats.org/officeDocument/2006/relationships/hyperlink" Target="https://salesxceleration.com/wp-content/uploads/2025/07/electronic-data-interchange-768x512-1.jpg" TargetMode="External"/><Relationship Id="rId4314" Type="http://schemas.openxmlformats.org/officeDocument/2006/relationships/hyperlink" Target="https://salesxceleration.com/how-your-sales-leadership-track-record-can-help-you-set-new-track-records-as-a-consultant/" TargetMode="External"/><Relationship Id="rId5642" Type="http://schemas.openxmlformats.org/officeDocument/2006/relationships/hyperlink" Target="https://salesxceleration.com/wp-content/uploads/2020/04/Man-Working-in-Home-Office1.jpg" TargetMode="External"/><Relationship Id="rId6973" Type="http://schemas.openxmlformats.org/officeDocument/2006/relationships/hyperlink" Target="https://salesxceleration.com/wp-content/uploads/2018/04/updateblog.jpg" TargetMode="External"/><Relationship Id="rId452" Type="http://schemas.openxmlformats.org/officeDocument/2006/relationships/hyperlink" Target="https://salesxceleration.com/wp-content/themes/salesxceleratione/assets/css/style.css?ver=1769123315" TargetMode="External"/><Relationship Id="rId4313" Type="http://schemas.openxmlformats.org/officeDocument/2006/relationships/hyperlink" Target="https://salesxceleration.com/wp-content/uploads/2020/06/why-i-left-a-successful-career-300x200.jpg" TargetMode="External"/><Relationship Id="rId5643" Type="http://schemas.openxmlformats.org/officeDocument/2006/relationships/hyperlink" Target="https://salesxceleration.com/wp-content/uploads/2020/05/Woman-Sales-Leader-Leading-a-Team-scaled-1.jpg" TargetMode="External"/><Relationship Id="rId6974" Type="http://schemas.openxmlformats.org/officeDocument/2006/relationships/hyperlink" Target="https://salesxceleration.com/wp-content/uploads/2018/04/updateblog.jpg" TargetMode="External"/><Relationship Id="rId3018" Type="http://schemas.openxmlformats.org/officeDocument/2006/relationships/hyperlink" Target="https://salesxceleration.com/wp-content/themes/salesxceleratione/assets/css/style.css?ver=1769123487" TargetMode="External"/><Relationship Id="rId4349" Type="http://schemas.openxmlformats.org/officeDocument/2006/relationships/hyperlink" Target="https://salesxceleration.com/contact-us/become-a-sales-consultant/advisor-blogs/" TargetMode="External"/><Relationship Id="rId3017" Type="http://schemas.openxmlformats.org/officeDocument/2006/relationships/hyperlink" Target="https://salesxceleration.com/wp-content/themes/salesxceleratione/assets/css/style.css?ver=1769123487" TargetMode="External"/><Relationship Id="rId4348" Type="http://schemas.openxmlformats.org/officeDocument/2006/relationships/hyperlink" Target="https://salesxceleration.com/the-success-formula-for-your-next-chapter-as-a-sales-leadership-professional/" TargetMode="External"/><Relationship Id="rId5679" Type="http://schemas.openxmlformats.org/officeDocument/2006/relationships/hyperlink" Target="https://salesxceleration.com/wp-content/themes/salesxceleratione/assets/css/style.css?ver=1769123665" TargetMode="External"/><Relationship Id="rId3019" Type="http://schemas.openxmlformats.org/officeDocument/2006/relationships/hyperlink" Target="https://salesxceleration.com/wp-content/uploads/2024/06/Medical-Equipment-Healthcare-Improving-Sales-Infrastructure-for-Long-Term-Success.pdf" TargetMode="External"/><Relationship Id="rId491" Type="http://schemas.openxmlformats.org/officeDocument/2006/relationships/hyperlink" Target="https://salesxceleration.com/wp-content/plugins/gravityforms/js/jquery.json.min.js?ver=2.9.24" TargetMode="External"/><Relationship Id="rId490" Type="http://schemas.openxmlformats.org/officeDocument/2006/relationships/hyperlink" Target="https://salesxceleration.com/wp-content/plugins/gravityforms/assets/js/dist/vendor-theme.min.js?ver=8673c9a2ff188de55f9073009ba56f5e" TargetMode="External"/><Relationship Id="rId489" Type="http://schemas.openxmlformats.org/officeDocument/2006/relationships/hyperlink" Target="https://salesxceleration.com/wp-content/plugins/gravityforms/assets/js/dist/vendor-theme.min.js?ver=8673c9a2ff188de55f9073009ba56f5e" TargetMode="External"/><Relationship Id="rId5670" Type="http://schemas.openxmlformats.org/officeDocument/2006/relationships/hyperlink" Target="https://salesxceleration.com/wp-content/uploads/2015/03/Sales-rollercoaster-go-fishing-sales-xceleration.png" TargetMode="External"/><Relationship Id="rId484" Type="http://schemas.openxmlformats.org/officeDocument/2006/relationships/hyperlink" Target="https://salesxceleration.com/wp-content/uploads/2025/05/Sales-Organization.png" TargetMode="External"/><Relationship Id="rId3010" Type="http://schemas.openxmlformats.org/officeDocument/2006/relationships/hyperlink" Target="https://salesxceleration.com/wp-content/themes/salesxceleratione/assets/css/style.css?ver=1769123464" TargetMode="External"/><Relationship Id="rId4341" Type="http://schemas.openxmlformats.org/officeDocument/2006/relationships/hyperlink" Target="https://salesxceleration.com/wp-content/uploads/2020/06/Lemons-scaled-1-300x225.jpg" TargetMode="External"/><Relationship Id="rId5673" Type="http://schemas.openxmlformats.org/officeDocument/2006/relationships/hyperlink" Target="https://salesxceleration.com/wp-content/uploads/2023/06/Defining-Your-Target-Market-download.jpg" TargetMode="External"/><Relationship Id="rId483" Type="http://schemas.openxmlformats.org/officeDocument/2006/relationships/hyperlink" Target="https://salesxceleration.com/wp-content/uploads/2025/05/Sales-Organization.png" TargetMode="External"/><Relationship Id="rId4340" Type="http://schemas.openxmlformats.org/officeDocument/2006/relationships/hyperlink" Target="https://salesxceleration.com/contact-us-become-a-sales-consultant-advisor-blogs-the-resilient-entrepreneur-when-life-hands-you-lemons-open-a-lemonade-stand/" TargetMode="External"/><Relationship Id="rId5674" Type="http://schemas.openxmlformats.org/officeDocument/2006/relationships/hyperlink" Target="https://salesxceleration.com/wp-content/uploads/2023/06/Defining-Your-Target-Market-download.jpg" TargetMode="External"/><Relationship Id="rId482" Type="http://schemas.openxmlformats.org/officeDocument/2006/relationships/hyperlink" Target="https://salesxceleration.com/case-study/aerospace-manufacturing-turning-a-10-decrease-in-sales-into-a-14-increase/" TargetMode="External"/><Relationship Id="rId3012" Type="http://schemas.openxmlformats.org/officeDocument/2006/relationships/hyperlink" Target="https://salesxceleration.com/wp-content/uploads/elementor/css/post-58243.css?ver=1768862545" TargetMode="External"/><Relationship Id="rId4343" Type="http://schemas.openxmlformats.org/officeDocument/2006/relationships/hyperlink" Target="https://salesxceleration.com/wp-content/uploads/elementor/css/post-72779.css?ver=1768849101" TargetMode="External"/><Relationship Id="rId5671" Type="http://schemas.openxmlformats.org/officeDocument/2006/relationships/hyperlink" Target="https://salesxceleration.com/wp-content/themes/salesxceleratione/assets/css/style.css?ver=1769123666" TargetMode="External"/><Relationship Id="rId481" Type="http://schemas.openxmlformats.org/officeDocument/2006/relationships/hyperlink" Target="https://salesxceleration.com/case-study/aerospace-manufacturing-turning-a-10-decrease-in-sales-into-a-14-increase/" TargetMode="External"/><Relationship Id="rId3011" Type="http://schemas.openxmlformats.org/officeDocument/2006/relationships/hyperlink" Target="https://salesxceleration.com/wp-content/uploads/elementor/css/post-58243.css?ver=1768862545" TargetMode="External"/><Relationship Id="rId4342" Type="http://schemas.openxmlformats.org/officeDocument/2006/relationships/hyperlink" Target="https://salesxceleration.com/wp-content/uploads/2020/06/Lemons-scaled-1-300x225.jpg" TargetMode="External"/><Relationship Id="rId5672" Type="http://schemas.openxmlformats.org/officeDocument/2006/relationships/hyperlink" Target="https://salesxceleration.com/wp-content/themes/salesxceleratione/assets/css/style.css?ver=1769123666" TargetMode="External"/><Relationship Id="rId488" Type="http://schemas.openxmlformats.org/officeDocument/2006/relationships/hyperlink" Target="https://salesxceleration.com/wp-content/uploads/2022/03/2022-state-of-sales-792x1024.jpg" TargetMode="External"/><Relationship Id="rId3014" Type="http://schemas.openxmlformats.org/officeDocument/2006/relationships/hyperlink" Target="https://salesxceleration.com/wp-content/themes/salesxceleratione/assets/css/style.css?ver=1769123486" TargetMode="External"/><Relationship Id="rId4345" Type="http://schemas.openxmlformats.org/officeDocument/2006/relationships/hyperlink" Target="https://salesxceleration.com/3-steps-for-achieving-greater-sales/" TargetMode="External"/><Relationship Id="rId5677" Type="http://schemas.openxmlformats.org/officeDocument/2006/relationships/hyperlink" Target="https://salesxceleration.com/how-silence-can-help-you-sell-more" TargetMode="External"/><Relationship Id="rId487" Type="http://schemas.openxmlformats.org/officeDocument/2006/relationships/hyperlink" Target="https://salesxceleration.com/wp-content/uploads/2022/03/2022-state-of-sales-792x1024.jpg" TargetMode="External"/><Relationship Id="rId3013" Type="http://schemas.openxmlformats.org/officeDocument/2006/relationships/hyperlink" Target="https://salesxceleration.com/wp-content/themes/salesxceleratione/assets/css/style.css?ver=1769123486" TargetMode="External"/><Relationship Id="rId4344" Type="http://schemas.openxmlformats.org/officeDocument/2006/relationships/hyperlink" Target="https://salesxceleration.com/wp-content/uploads/elementor/css/post-72779.css?ver=1768849101" TargetMode="External"/><Relationship Id="rId5678" Type="http://schemas.openxmlformats.org/officeDocument/2006/relationships/hyperlink" Target="https://salesxceleration.com/wp-content/themes/salesxceleratione/assets/css/style.css?ver=1769123665" TargetMode="External"/><Relationship Id="rId486" Type="http://schemas.openxmlformats.org/officeDocument/2006/relationships/hyperlink" Target="https://salesxceleration.com/wp-content/plugins/elementor/assets/css/widget-progress.min.css?ver=3.34.0" TargetMode="External"/><Relationship Id="rId3016" Type="http://schemas.openxmlformats.org/officeDocument/2006/relationships/hyperlink" Target="https://salesxceleration.com/wp-content/uploads/2019/05/case-study-thumb-2048x2048.jpg" TargetMode="External"/><Relationship Id="rId4347" Type="http://schemas.openxmlformats.org/officeDocument/2006/relationships/hyperlink" Target="https://salesxceleration.com/3-steps-for-achieving-greater-sales/" TargetMode="External"/><Relationship Id="rId5675" Type="http://schemas.openxmlformats.org/officeDocument/2006/relationships/hyperlink" Target="https://salesxceleration.com/how-silence-can-help-you-sell-more" TargetMode="External"/><Relationship Id="rId485" Type="http://schemas.openxmlformats.org/officeDocument/2006/relationships/hyperlink" Target="https://salesxceleration.com/wp-content/plugins/elementor/assets/css/widget-progress.min.css?ver=3.34.0" TargetMode="External"/><Relationship Id="rId3015" Type="http://schemas.openxmlformats.org/officeDocument/2006/relationships/hyperlink" Target="https://salesxceleration.com/wp-content/uploads/2019/05/case-study-thumb-2048x2048.jpg" TargetMode="External"/><Relationship Id="rId4346" Type="http://schemas.openxmlformats.org/officeDocument/2006/relationships/hyperlink" Target="https://salesxceleration.com/3-steps-for-achieving-greater-sales/" TargetMode="External"/><Relationship Id="rId5676" Type="http://schemas.openxmlformats.org/officeDocument/2006/relationships/hyperlink" Target="https://salesxceleration.com/how-silence-can-help-you-sell-more/" TargetMode="External"/><Relationship Id="rId3007" Type="http://schemas.openxmlformats.org/officeDocument/2006/relationships/hyperlink" Target="https://salesxceleration.com/wp-content/uploads/2024/02/Expanding-Business-with-Sales-Playbook_Technology-Case-Study.pdf" TargetMode="External"/><Relationship Id="rId4338" Type="http://schemas.openxmlformats.org/officeDocument/2006/relationships/hyperlink" Target="https://salesxceleration.com/contact-us-become-a-sales-consultant-advisor-blogs-the-resilient-entrepreneur-when-life-hands-you-lemons-open-a-lemonade-stand/" TargetMode="External"/><Relationship Id="rId3006" Type="http://schemas.openxmlformats.org/officeDocument/2006/relationships/hyperlink" Target="https://salesxceleration.com/harnessing-ai-powered-sales-assistants-for-smb-success/" TargetMode="External"/><Relationship Id="rId4337" Type="http://schemas.openxmlformats.org/officeDocument/2006/relationships/hyperlink" Target="https://salesxceleration.com/contact-us-become-a-sales-consultant-advisor-blogs-post-pandemic-sales-consulting-opportunities-are-here-and-now-and-here-to-stay/" TargetMode="External"/><Relationship Id="rId3009" Type="http://schemas.openxmlformats.org/officeDocument/2006/relationships/hyperlink" Target="https://salesxceleration.com/wp-content/themes/salesxceleratione/assets/css/style.css?ver=1769123464" TargetMode="External"/><Relationship Id="rId5668" Type="http://schemas.openxmlformats.org/officeDocument/2006/relationships/hyperlink" Target="https://salesxceleration.com/wp-content/uploads/2015/03/When-Why-Sales-Manager-Should-Simply-Be-Quiet-Sales-Xceleration.png" TargetMode="External"/><Relationship Id="rId6999" Type="http://schemas.openxmlformats.org/officeDocument/2006/relationships/hyperlink" Target="https://salesxceleration.com/wp-content/uploads/2018/04/newyayaya.jpg" TargetMode="External"/><Relationship Id="rId3008" Type="http://schemas.openxmlformats.org/officeDocument/2006/relationships/hyperlink" Target="https://salesxceleration.com/wp-content/uploads/2024/02/Expanding-Business-with-Sales-Playbook_Technology-Case-Study.pdf" TargetMode="External"/><Relationship Id="rId4339" Type="http://schemas.openxmlformats.org/officeDocument/2006/relationships/hyperlink" Target="https://https//salesxceleration.com/contact-us/become-a-sales-consultant/advisor-blogs/" TargetMode="External"/><Relationship Id="rId5669" Type="http://schemas.openxmlformats.org/officeDocument/2006/relationships/hyperlink" Target="https://salesxceleration.com/wp-content/uploads/2015/03/Sales-rollercoaster-go-fishing-sales-xceleration.png" TargetMode="External"/><Relationship Id="rId480" Type="http://schemas.openxmlformats.org/officeDocument/2006/relationships/hyperlink" Target="https://salesxceleration.com/case-study/aerospace-manufacturing-turning-a-10-decrease-in-sales-into-a-14-increase/" TargetMode="External"/><Relationship Id="rId479" Type="http://schemas.openxmlformats.org/officeDocument/2006/relationships/hyperlink" Target="https://salesxceleration.com/wp-content/plugins/powerpack-elements/assets/js/min/frontend-gravity-forms.min.js?ver=2.12.15" TargetMode="External"/><Relationship Id="rId478" Type="http://schemas.openxmlformats.org/officeDocument/2006/relationships/hyperlink" Target="https://salesxceleration.com/wp-content/plugins/powerpack-elements/assets/js/min/frontend-gravity-forms.min.js?ver=2.12.15" TargetMode="External"/><Relationship Id="rId6990" Type="http://schemas.openxmlformats.org/officeDocument/2006/relationships/hyperlink" Target="https://salesxceleration.com/no-access/download-id/27890/" TargetMode="External"/><Relationship Id="rId473" Type="http://schemas.openxmlformats.org/officeDocument/2006/relationships/hyperlink" Target="https://salesxceleration.com/case-study/internet-service-provider-improving-close-rates-to-44-09/" TargetMode="External"/><Relationship Id="rId4330" Type="http://schemas.openxmlformats.org/officeDocument/2006/relationships/hyperlink" Target="https://salesxceleration.com/wp-content/uploads/2020/09/marketing-sales-300x300.png" TargetMode="External"/><Relationship Id="rId5662" Type="http://schemas.openxmlformats.org/officeDocument/2006/relationships/hyperlink" Target="https://salesxceleration.com/wp-content/uploads/2015/03/When-Why-Sales-Manager-Stay-Quiet-200x300.jpg" TargetMode="External"/><Relationship Id="rId6993" Type="http://schemas.openxmlformats.org/officeDocument/2006/relationships/hyperlink" Target="https://salesxceleration.com/how-leaders-create-sales-action-plans-to-improve-the-bottom-line" TargetMode="External"/><Relationship Id="rId472" Type="http://schemas.openxmlformats.org/officeDocument/2006/relationships/hyperlink" Target="https://salesxceleration.com/case-study/internet-service-provider-improving-close-rates-to-44-09/" TargetMode="External"/><Relationship Id="rId5663" Type="http://schemas.openxmlformats.org/officeDocument/2006/relationships/hyperlink" Target="https://salesxceleration.com/wp-content/uploads/2015/03/When-Why-Sales-Manager-Stay-Quiet-200x300.jpg" TargetMode="External"/><Relationship Id="rId6994" Type="http://schemas.openxmlformats.org/officeDocument/2006/relationships/hyperlink" Target="https://salesxceleration.com/wp-content/uploads/2020/09/marketing-sales-2048x2048.png" TargetMode="External"/><Relationship Id="rId471" Type="http://schemas.openxmlformats.org/officeDocument/2006/relationships/hyperlink" Target="https://salesxceleration.com/case-study/internet-service-provider-improving-close-rates-to-44-09/" TargetMode="External"/><Relationship Id="rId3001" Type="http://schemas.openxmlformats.org/officeDocument/2006/relationships/hyperlink" Target="https://salesxceleration.com/category/ai-for-sales/page/2/" TargetMode="External"/><Relationship Id="rId4332" Type="http://schemas.openxmlformats.org/officeDocument/2006/relationships/hyperlink" Target="https://salesxceleration.com/what-is-a-sales-strategy-and-how-can-you-build-an-effective-one/" TargetMode="External"/><Relationship Id="rId5660" Type="http://schemas.openxmlformats.org/officeDocument/2006/relationships/hyperlink" Target="https://salesxceleration.com/wp-content/uploads/2015/03/Three-Cs-Sales-xceleration.png" TargetMode="External"/><Relationship Id="rId6991" Type="http://schemas.openxmlformats.org/officeDocument/2006/relationships/hyperlink" Target="https://salesxceleration.com/how-leaders-create-sales-action-plans-to-improve-the-bottom-line" TargetMode="External"/><Relationship Id="rId470" Type="http://schemas.openxmlformats.org/officeDocument/2006/relationships/hyperlink" Target="https://salesxceleration.com/wp-content/uploads/elementor/css/post-27738.css?ver=1768845930" TargetMode="External"/><Relationship Id="rId3000" Type="http://schemas.openxmlformats.org/officeDocument/2006/relationships/hyperlink" Target="https://salesxceleration.com/category/ai-for-sales/page/2/" TargetMode="External"/><Relationship Id="rId4331" Type="http://schemas.openxmlformats.org/officeDocument/2006/relationships/hyperlink" Target="https://salesxceleration.com/wp-content/uploads/2020/09/marketing-sales-300x300.png" TargetMode="External"/><Relationship Id="rId5661" Type="http://schemas.openxmlformats.org/officeDocument/2006/relationships/hyperlink" Target="https://salesxceleration.com/wp-content/uploads/2015/03/Three-Cs-Sales-xceleration.png" TargetMode="External"/><Relationship Id="rId6992" Type="http://schemas.openxmlformats.org/officeDocument/2006/relationships/hyperlink" Target="https://salesxceleration.com/how-leaders-create-sales-action-plans-to-improve-the-bottom-line/" TargetMode="External"/><Relationship Id="rId477" Type="http://schemas.openxmlformats.org/officeDocument/2006/relationships/hyperlink" Target="https://salesxceleration.com/wp-content/uploads/2025/04/Sales-Xceleration-State-of-Sales-2025-AI2-1024x536.jpg" TargetMode="External"/><Relationship Id="rId3003" Type="http://schemas.openxmlformats.org/officeDocument/2006/relationships/hyperlink" Target="https://salesxceleration.com/category/ai-for-sales/page/2/" TargetMode="External"/><Relationship Id="rId4334" Type="http://schemas.openxmlformats.org/officeDocument/2006/relationships/hyperlink" Target="https://salesxceleration.com/what-is-a-sales-strategy-and-how-can-you-build-an-effective-one/" TargetMode="External"/><Relationship Id="rId5666" Type="http://schemas.openxmlformats.org/officeDocument/2006/relationships/hyperlink" Target="https://salesxceleration.com/how-to-stop-circling-the-top-of-the-sales-funnel-and-make-that-sale" TargetMode="External"/><Relationship Id="rId6997" Type="http://schemas.openxmlformats.org/officeDocument/2006/relationships/hyperlink" Target="https://salesxceleration.com/no-access/" TargetMode="External"/><Relationship Id="rId476" Type="http://schemas.openxmlformats.org/officeDocument/2006/relationships/hyperlink" Target="https://salesxceleration.com/wp-content/uploads/2025/04/Sales-Xceleration-State-of-Sales-2025-AI2-1024x536.jpg" TargetMode="External"/><Relationship Id="rId3002" Type="http://schemas.openxmlformats.org/officeDocument/2006/relationships/hyperlink" Target="https://salesxceleration.com/category/ai-for-sales/" TargetMode="External"/><Relationship Id="rId4333" Type="http://schemas.openxmlformats.org/officeDocument/2006/relationships/hyperlink" Target="https://salesxceleration.com/what-is-a-sales-strategy-and-how-can-you-build-an-effective-one/" TargetMode="External"/><Relationship Id="rId5667" Type="http://schemas.openxmlformats.org/officeDocument/2006/relationships/hyperlink" Target="https://salesxceleration.com/wp-content/uploads/2015/03/When-Why-Sales-Manager-Should-Simply-Be-Quiet-Sales-Xceleration.png" TargetMode="External"/><Relationship Id="rId6998" Type="http://schemas.openxmlformats.org/officeDocument/2006/relationships/hyperlink" Target="https://salesxceleration.com/no-access/download-id/29203/" TargetMode="External"/><Relationship Id="rId475" Type="http://schemas.openxmlformats.org/officeDocument/2006/relationships/hyperlink" Target="https://salesxceleration.com/wp-content/plugins/powerpack-elements/assets/css/min/widget-card-slider.min.css?ver=2.12.15" TargetMode="External"/><Relationship Id="rId3005" Type="http://schemas.openxmlformats.org/officeDocument/2006/relationships/hyperlink" Target="https://salesxceleration.com/harnessing-ai-powered-sales-assistants-for-smb-success/" TargetMode="External"/><Relationship Id="rId4336" Type="http://schemas.openxmlformats.org/officeDocument/2006/relationships/hyperlink" Target="https://salesxceleration.com/contact-us/become-a-sales-consultant/advisor-blogs/" TargetMode="External"/><Relationship Id="rId5664" Type="http://schemas.openxmlformats.org/officeDocument/2006/relationships/hyperlink" Target="https://salesxceleration.com/how-to-stop-circling-the-top-of-the-sales-funnel-and-make-that-sale" TargetMode="External"/><Relationship Id="rId6995" Type="http://schemas.openxmlformats.org/officeDocument/2006/relationships/hyperlink" Target="https://salesxceleration.com/wp-content/uploads/2020/09/marketing-sales-2048x2048.png" TargetMode="External"/><Relationship Id="rId474" Type="http://schemas.openxmlformats.org/officeDocument/2006/relationships/hyperlink" Target="https://salesxceleration.com/wp-content/plugins/powerpack-elements/assets/css/min/widget-card-slider.min.css?ver=2.12.15" TargetMode="External"/><Relationship Id="rId3004" Type="http://schemas.openxmlformats.org/officeDocument/2006/relationships/hyperlink" Target="https://salesxceleration.com/harnessing-ai-powered-sales-assistants-for-smb-success/" TargetMode="External"/><Relationship Id="rId4335" Type="http://schemas.openxmlformats.org/officeDocument/2006/relationships/hyperlink" Target="https://salesxceleration.com/contact-us-become-a-sales-consultant-advisor-blogs-post-pandemic-sales-consulting-opportunities-are-here-and-now-and-here-to-stay/" TargetMode="External"/><Relationship Id="rId5665" Type="http://schemas.openxmlformats.org/officeDocument/2006/relationships/hyperlink" Target="https://salesxceleration.com/how-to-stop-circling-the-top-of-the-sales-funnel-and-make-that-sale/" TargetMode="External"/><Relationship Id="rId6996" Type="http://schemas.openxmlformats.org/officeDocument/2006/relationships/hyperlink" Target="https://salesxceleration.com/no-access/download-id/29203/" TargetMode="External"/><Relationship Id="rId5615" Type="http://schemas.openxmlformats.org/officeDocument/2006/relationships/hyperlink" Target="https://salesxceleration.com/why-customers-dont-return-your-sales-calls/" TargetMode="External"/><Relationship Id="rId6946" Type="http://schemas.openxmlformats.org/officeDocument/2006/relationships/hyperlink" Target="https://salesxceleration.com/wp-content/uploads/2017/11/Sales-Management-Ride-along-Sales-Xceleration.jpg" TargetMode="External"/><Relationship Id="rId5616" Type="http://schemas.openxmlformats.org/officeDocument/2006/relationships/hyperlink" Target="https://salesxceleration.com/why-customers-dont-return-your-sales-calls/" TargetMode="External"/><Relationship Id="rId6947" Type="http://schemas.openxmlformats.org/officeDocument/2006/relationships/hyperlink" Target="https://salesxceleration.com/wp-content/uploads/2020/10/Woman-Certified-Sales-Leader-scaled-1.jpg" TargetMode="External"/><Relationship Id="rId5613" Type="http://schemas.openxmlformats.org/officeDocument/2006/relationships/hyperlink" Target="https://salesxceleration.com/why-no-sales-satisfaction-sales-lessons-learned-rolling-stones/" TargetMode="External"/><Relationship Id="rId6944" Type="http://schemas.openxmlformats.org/officeDocument/2006/relationships/hyperlink" Target="https://salesxceleration.com/four-essential-elements-to-include-in-your-sales-action-plan-to-increase-sales/" TargetMode="External"/><Relationship Id="rId5614" Type="http://schemas.openxmlformats.org/officeDocument/2006/relationships/hyperlink" Target="https://salesxceleration.com/why-no-sales-satisfaction-sales-lessons-learned-rolling-stones/" TargetMode="External"/><Relationship Id="rId6945" Type="http://schemas.openxmlformats.org/officeDocument/2006/relationships/hyperlink" Target="https://salesxceleration.com/wp-content/uploads/2017/11/Sales-Management-Ride-along-Sales-Xceleration.jpg" TargetMode="External"/><Relationship Id="rId5619" Type="http://schemas.openxmlformats.org/officeDocument/2006/relationships/hyperlink" Target="https://salesxceleration.com/wp-content/uploads/2016/04/sales-compensation-plan-part-2.jpg" TargetMode="External"/><Relationship Id="rId5617" Type="http://schemas.openxmlformats.org/officeDocument/2006/relationships/hyperlink" Target="https://salesxceleration.com/why-customers-dont-return-your-sales-calls/" TargetMode="External"/><Relationship Id="rId6948" Type="http://schemas.openxmlformats.org/officeDocument/2006/relationships/hyperlink" Target="https://salesxceleration.com/wp-content/uploads/2020/10/Woman-Certified-Sales-Leader-scaled-1.jpg" TargetMode="External"/><Relationship Id="rId5618" Type="http://schemas.openxmlformats.org/officeDocument/2006/relationships/hyperlink" Target="https://salesxceleration.com/wp-content/uploads/2016/04/sales-compensation-plan-part-2.jpg" TargetMode="External"/><Relationship Id="rId6949" Type="http://schemas.openxmlformats.org/officeDocument/2006/relationships/hyperlink" Target="https://salesxceleration.com/wp-content/themes/salesxceleratione/assets/css/style.css?ver=1769123843" TargetMode="External"/><Relationship Id="rId426" Type="http://schemas.openxmlformats.org/officeDocument/2006/relationships/hyperlink" Target="https://salesxceleration.com/wp-content/uploads/2025/07/footer.png-e1752526812396.webp" TargetMode="External"/><Relationship Id="rId425" Type="http://schemas.openxmlformats.org/officeDocument/2006/relationships/hyperlink" Target="https://salesxceleration.com/wp-content/uploads/2025/07/footer.png-e1752526812396.webp" TargetMode="External"/><Relationship Id="rId424" Type="http://schemas.openxmlformats.org/officeDocument/2006/relationships/hyperlink" Target="https://salesxceleration.com/wp-content/plugins/elementor/assets/lib/swiper/v8/css/swiper.min.css?ver=8.4.5" TargetMode="External"/><Relationship Id="rId423" Type="http://schemas.openxmlformats.org/officeDocument/2006/relationships/hyperlink" Target="https://salesxceleration.com/wp-content/plugins/elementor/assets/lib/swiper/v8/css/swiper.min.css?ver=8.4.5" TargetMode="External"/><Relationship Id="rId429" Type="http://schemas.openxmlformats.org/officeDocument/2006/relationships/hyperlink" Target="https://salesxceleration.com/wp-content/uploads/2023/12/Boosting-Sales-Performance-1024x683.jpg" TargetMode="External"/><Relationship Id="rId428" Type="http://schemas.openxmlformats.org/officeDocument/2006/relationships/hyperlink" Target="https://salesxceleration.com/wp-content/plugins/elementor/assets/lib/animations/styles/fadeInRight.min.css?ver=3.34.0" TargetMode="External"/><Relationship Id="rId427" Type="http://schemas.openxmlformats.org/officeDocument/2006/relationships/hyperlink" Target="https://salesxceleration.com/wp-content/plugins/elementor/assets/lib/animations/styles/fadeInRight.min.css?ver=3.34.0" TargetMode="External"/><Relationship Id="rId422" Type="http://schemas.openxmlformats.org/officeDocument/2006/relationships/hyperlink" Target="https://salesxceleration.com/wp-content/uploads/elementor/thumbs/Sales-Xceleration-CSOMS-Sales-Infrastructure-qraxnuv74a3xfr3a40kb561v505c4izamzqra3yz04.png" TargetMode="External"/><Relationship Id="rId5611" Type="http://schemas.openxmlformats.org/officeDocument/2006/relationships/hyperlink" Target="https://salesxceleration.com/do-you-need-a-sales-consultant-or-a-sales-builder/" TargetMode="External"/><Relationship Id="rId6942" Type="http://schemas.openxmlformats.org/officeDocument/2006/relationships/hyperlink" Target="https://salesxceleration.com/four-essential-elements-to-include-in-your-sales-action-plan-to-increase-sales/" TargetMode="External"/><Relationship Id="rId421" Type="http://schemas.openxmlformats.org/officeDocument/2006/relationships/hyperlink" Target="https://salesxceleration.com/wp-content/uploads/elementor/thumbs/Sales-Xceleration-CSOMS-Sales-Infrastructure-qraxnuv74a3xfr3a40kb561v505c4izamzqra3yz04.png" TargetMode="External"/><Relationship Id="rId5612" Type="http://schemas.openxmlformats.org/officeDocument/2006/relationships/hyperlink" Target="https://salesxceleration.com/why-no-sales-satisfaction-sales-lessons-learned-rolling-stones/" TargetMode="External"/><Relationship Id="rId6943" Type="http://schemas.openxmlformats.org/officeDocument/2006/relationships/hyperlink" Target="https://salesxceleration.com/four-essential-elements-to-include-in-your-sales-action-plan-to-increase-sales/" TargetMode="External"/><Relationship Id="rId420" Type="http://schemas.openxmlformats.org/officeDocument/2006/relationships/hyperlink" Target="https://salesxceleration.com/wp-content/uploads/2024/08/CSOMS-Website-Graphic-1024x353.png" TargetMode="External"/><Relationship Id="rId6940" Type="http://schemas.openxmlformats.org/officeDocument/2006/relationships/hyperlink" Target="https://salesxceleration.com/wp-content/uploads/2022/03/Businessman-Holding-a-Football-300x300.jpg" TargetMode="External"/><Relationship Id="rId5610" Type="http://schemas.openxmlformats.org/officeDocument/2006/relationships/hyperlink" Target="https://salesxceleration.com/do-you-need-a-sales-consultant-or-a-sales-builder/" TargetMode="External"/><Relationship Id="rId6941" Type="http://schemas.openxmlformats.org/officeDocument/2006/relationships/hyperlink" Target="https://salesxceleration.com/wp-content/uploads/2022/03/Businessman-Holding-a-Football-300x300.jpg" TargetMode="External"/><Relationship Id="rId5604" Type="http://schemas.openxmlformats.org/officeDocument/2006/relationships/hyperlink" Target="https://salesxceleration.com/wp-content/uploads/2015/11/Do-You-Need-a-Sales-Consultant-or-a-Sales-Builder--2048x2048.jpg" TargetMode="External"/><Relationship Id="rId6935" Type="http://schemas.openxmlformats.org/officeDocument/2006/relationships/hyperlink" Target="https://salesxceleration.com/want-to-close-more-sales-stop-closing/" TargetMode="External"/><Relationship Id="rId5605" Type="http://schemas.openxmlformats.org/officeDocument/2006/relationships/hyperlink" Target="https://salesxceleration.com/wp-content/uploads/2016/03/Make-a-Difference-RS-72-560-x-225-2048x2048.jpg" TargetMode="External"/><Relationship Id="rId6936" Type="http://schemas.openxmlformats.org/officeDocument/2006/relationships/hyperlink" Target="https://salesxceleration.com/want-to-close-more-sales-stop-closing/" TargetMode="External"/><Relationship Id="rId5602" Type="http://schemas.openxmlformats.org/officeDocument/2006/relationships/hyperlink" Target="https://salesxceleration.com/?download=27869" TargetMode="External"/><Relationship Id="rId6933" Type="http://schemas.openxmlformats.org/officeDocument/2006/relationships/hyperlink" Target="https://salesxceleration.com/no-access/download-id/27887/" TargetMode="External"/><Relationship Id="rId5603" Type="http://schemas.openxmlformats.org/officeDocument/2006/relationships/hyperlink" Target="https://salesxceleration.com/wp-content/uploads/2015/11/Do-You-Need-a-Sales-Consultant-or-a-Sales-Builder--2048x2048.jpg" TargetMode="External"/><Relationship Id="rId6934" Type="http://schemas.openxmlformats.org/officeDocument/2006/relationships/hyperlink" Target="https://salesxceleration.com/want-to-close-more-sales-stop-closing/" TargetMode="External"/><Relationship Id="rId5608" Type="http://schemas.openxmlformats.org/officeDocument/2006/relationships/hyperlink" Target="https://salesxceleration.com/wp-content/themes/salesxceleratione/assets/css/style.css?ver=1769123643" TargetMode="External"/><Relationship Id="rId6939" Type="http://schemas.openxmlformats.org/officeDocument/2006/relationships/hyperlink" Target="https://salesxceleration.com/three-ways-a-crm-can-impact-your-small-business/" TargetMode="External"/><Relationship Id="rId5609" Type="http://schemas.openxmlformats.org/officeDocument/2006/relationships/hyperlink" Target="https://salesxceleration.com/do-you-need-a-sales-consultant-or-a-sales-builder/" TargetMode="External"/><Relationship Id="rId5606" Type="http://schemas.openxmlformats.org/officeDocument/2006/relationships/hyperlink" Target="https://salesxceleration.com/wp-content/uploads/2016/03/Make-a-Difference-RS-72-560-x-225-2048x2048.jpg" TargetMode="External"/><Relationship Id="rId6937" Type="http://schemas.openxmlformats.org/officeDocument/2006/relationships/hyperlink" Target="https://salesxceleration.com/three-ways-a-crm-can-impact-your-small-business/" TargetMode="External"/><Relationship Id="rId5607" Type="http://schemas.openxmlformats.org/officeDocument/2006/relationships/hyperlink" Target="https://salesxceleration.com/wp-content/themes/salesxceleratione/assets/css/style.css?ver=1769123643" TargetMode="External"/><Relationship Id="rId6938" Type="http://schemas.openxmlformats.org/officeDocument/2006/relationships/hyperlink" Target="https://salesxceleration.com/three-ways-a-crm-can-impact-your-small-business/" TargetMode="External"/><Relationship Id="rId415" Type="http://schemas.openxmlformats.org/officeDocument/2006/relationships/hyperlink" Target="https://salesxceleration.com/wp-content/uploads/elementor/thumbs/SalesXceleration-CSOMS-Sales-Team-qraxnzke2gad1swgcklfzmv63xi670hybn06ohs050.png" TargetMode="External"/><Relationship Id="rId414" Type="http://schemas.openxmlformats.org/officeDocument/2006/relationships/hyperlink" Target="https://salesxceleration.com/wp-content/uploads/elementor/thumbs/Sales-Xceleration-CSOMS-Sales-Management-qraxnwqvhy6i2z0jt1dka5ksbrw2jx6rb91q8nw6no.png" TargetMode="External"/><Relationship Id="rId413" Type="http://schemas.openxmlformats.org/officeDocument/2006/relationships/hyperlink" Target="https://salesxceleration.com/wp-content/uploads/elementor/thumbs/Sales-Xceleration-CSOMS-Sales-Management-qraxnwqvhy6i2z0jt1dka5ksbrw2jx6rb91q8nw6no.png" TargetMode="External"/><Relationship Id="rId412" Type="http://schemas.openxmlformats.org/officeDocument/2006/relationships/hyperlink" Target="https://salesxceleration.com/wp-content/uploads/2024/05/What-is-a-Fractional-Sales-Leader.jpg" TargetMode="External"/><Relationship Id="rId419" Type="http://schemas.openxmlformats.org/officeDocument/2006/relationships/hyperlink" Target="https://salesxceleration.com/wp-content/uploads/2024/08/CSOMS-Website-Graphic-1024x353.png" TargetMode="External"/><Relationship Id="rId418" Type="http://schemas.openxmlformats.org/officeDocument/2006/relationships/hyperlink" Target="https://salesxceleration.com/wp-content/uploads/elementor/css/post-46786.css?ver=1768845927" TargetMode="External"/><Relationship Id="rId417" Type="http://schemas.openxmlformats.org/officeDocument/2006/relationships/hyperlink" Target="https://salesxceleration.com/wp-content/uploads/elementor/css/post-46786.css?ver=1768845927" TargetMode="External"/><Relationship Id="rId416" Type="http://schemas.openxmlformats.org/officeDocument/2006/relationships/hyperlink" Target="https://salesxceleration.com/wp-content/uploads/elementor/thumbs/SalesXceleration-CSOMS-Sales-Team-qraxnzke2gad1swgcklfzmv63xi670hybn06ohs050.png" TargetMode="External"/><Relationship Id="rId411" Type="http://schemas.openxmlformats.org/officeDocument/2006/relationships/hyperlink" Target="https://salesxceleration.com/wp-content/uploads/2024/05/What-is-a-Fractional-Sales-Leader.jpg" TargetMode="External"/><Relationship Id="rId5600" Type="http://schemas.openxmlformats.org/officeDocument/2006/relationships/hyperlink" Target="https://salesxceleration.com/?download=27869" TargetMode="External"/><Relationship Id="rId6931" Type="http://schemas.openxmlformats.org/officeDocument/2006/relationships/hyperlink" Target="https://salesxceleration.com/no-access/download-id/27887/" TargetMode="External"/><Relationship Id="rId410" Type="http://schemas.openxmlformats.org/officeDocument/2006/relationships/hyperlink" Target="https://salesxceleration.com/wp-content/plugins/powerpack-elements/assets/js/min/frontend-wrapper-link.min.js?ver=2.12.15" TargetMode="External"/><Relationship Id="rId5601" Type="http://schemas.openxmlformats.org/officeDocument/2006/relationships/hyperlink" Target="https://salesxceleration.com/no-access/download-id/27869/" TargetMode="External"/><Relationship Id="rId6932" Type="http://schemas.openxmlformats.org/officeDocument/2006/relationships/hyperlink" Target="https://salesxceleration.com/no-access/" TargetMode="External"/><Relationship Id="rId6930" Type="http://schemas.openxmlformats.org/officeDocument/2006/relationships/hyperlink" Target="https://salesxceleration.com/wp-content/themes/salesxceleratione/assets/css/style.css?ver=1769123854" TargetMode="External"/><Relationship Id="rId4305" Type="http://schemas.openxmlformats.org/officeDocument/2006/relationships/hyperlink" Target="https://salesxceleration.com/the-skys-no-limit-if-you-put-your-dreams-in-motion/" TargetMode="External"/><Relationship Id="rId5637" Type="http://schemas.openxmlformats.org/officeDocument/2006/relationships/hyperlink" Target="https://salesxceleration.com/wp-content/themes/salesxceleratione/assets/css/style.css?ver=1769123670" TargetMode="External"/><Relationship Id="rId6968" Type="http://schemas.openxmlformats.org/officeDocument/2006/relationships/hyperlink" Target="https://salesxceleration.com/wp-content/themes/salesxceleratione/assets/css/style.css?ver=1769123840" TargetMode="External"/><Relationship Id="rId4304" Type="http://schemas.openxmlformats.org/officeDocument/2006/relationships/hyperlink" Target="https://salesxceleration.com/the-skys-no-limit-if-you-put-your-dreams-in-motion/" TargetMode="External"/><Relationship Id="rId5638" Type="http://schemas.openxmlformats.org/officeDocument/2006/relationships/hyperlink" Target="https://salesxceleration.com/wp-content/themes/salesxceleratione/assets/css/style.css?ver=1769123670" TargetMode="External"/><Relationship Id="rId6969" Type="http://schemas.openxmlformats.org/officeDocument/2006/relationships/hyperlink" Target="https://salesxceleration.com/wp-content/themes/salesxceleratione/assets/css/style.css?ver=1769123839" TargetMode="External"/><Relationship Id="rId4307" Type="http://schemas.openxmlformats.org/officeDocument/2006/relationships/hyperlink" Target="https://salesxceleration.com/wp-content/uploads/2020/07/Business-consultant-conversation-1-300x200.jpg" TargetMode="External"/><Relationship Id="rId5635" Type="http://schemas.openxmlformats.org/officeDocument/2006/relationships/hyperlink" Target="https://salesxceleration.com/wp-content/uploads/2017/10/Senior-Advisor.jpg" TargetMode="External"/><Relationship Id="rId6966" Type="http://schemas.openxmlformats.org/officeDocument/2006/relationships/hyperlink" Target="https://salesxceleration.com/wp-content/uploads/2015/05/Sales_Compensation.jpg" TargetMode="External"/><Relationship Id="rId4306" Type="http://schemas.openxmlformats.org/officeDocument/2006/relationships/hyperlink" Target="https://salesxceleration.com/wp-content/uploads/2020/07/Business-consultant-conversation-1-300x200.jpg" TargetMode="External"/><Relationship Id="rId5636" Type="http://schemas.openxmlformats.org/officeDocument/2006/relationships/hyperlink" Target="https://salesxceleration.com/wp-content/uploads/2017/10/Senior-Advisor.jpg" TargetMode="External"/><Relationship Id="rId6967" Type="http://schemas.openxmlformats.org/officeDocument/2006/relationships/hyperlink" Target="https://salesxceleration.com/wp-content/themes/salesxceleratione/assets/css/style.css?ver=1769123840" TargetMode="External"/><Relationship Id="rId4309" Type="http://schemas.openxmlformats.org/officeDocument/2006/relationships/hyperlink" Target="https://salesxceleration.com/wp-content/uploads/2020/07/IndyCar-Race-2-300x200.jpg" TargetMode="External"/><Relationship Id="rId4308" Type="http://schemas.openxmlformats.org/officeDocument/2006/relationships/hyperlink" Target="https://salesxceleration.com/wp-content/uploads/2020/07/IndyCar-Race-2-300x200.jpg" TargetMode="External"/><Relationship Id="rId5639" Type="http://schemas.openxmlformats.org/officeDocument/2006/relationships/hyperlink" Target="https://salesxceleration.com/wp-content/uploads/2020/05/Satisfied-Happy-Businessman-scaled-1.jpg" TargetMode="External"/><Relationship Id="rId448" Type="http://schemas.openxmlformats.org/officeDocument/2006/relationships/hyperlink" Target="https://salesxceleration.com/wp-content/plugins/elementor/assets/css/conditionals/e-swiper.min.css?ver=3.34.0" TargetMode="External"/><Relationship Id="rId447" Type="http://schemas.openxmlformats.org/officeDocument/2006/relationships/hyperlink" Target="https://salesxceleration.com/wp-content/plugins/elementor/assets/css/conditionals/e-swiper.min.css?ver=3.34.0" TargetMode="External"/><Relationship Id="rId446" Type="http://schemas.openxmlformats.org/officeDocument/2006/relationships/hyperlink" Target="https://salesxceleration.com/wp-content/uploads/2025/08/AdobeStock_633442794.jpeg" TargetMode="External"/><Relationship Id="rId445" Type="http://schemas.openxmlformats.org/officeDocument/2006/relationships/hyperlink" Target="https://salesxceleration.com/wp-content/uploads/2025/08/AdobeStock_633442794.jpeg" TargetMode="External"/><Relationship Id="rId449" Type="http://schemas.openxmlformats.org/officeDocument/2006/relationships/hyperlink" Target="https://salesxceleration.com/wp-content/plugins/elementor/assets/lib/animations/styles/fadeInLeft.min.css?ver=3.34.0" TargetMode="External"/><Relationship Id="rId440" Type="http://schemas.openxmlformats.org/officeDocument/2006/relationships/hyperlink" Target="https://salesxceleration.com/wp-content/plugins/elementor-pro/assets/css/widget-carousel-module-base.min.css?ver=3.34.0" TargetMode="External"/><Relationship Id="rId6960" Type="http://schemas.openxmlformats.org/officeDocument/2006/relationships/hyperlink" Target="https://salesxceleration.com/wp-content/uploads/2017/02/Elevator-Down-RS-72-650-x-325.jpg" TargetMode="External"/><Relationship Id="rId5630" Type="http://schemas.openxmlformats.org/officeDocument/2006/relationships/hyperlink" Target="https://salesxceleration.com/new-year-compensation-plan-reviews/" TargetMode="External"/><Relationship Id="rId6961" Type="http://schemas.openxmlformats.org/officeDocument/2006/relationships/hyperlink" Target="https://salesxceleration.com/wp-content/uploads/2016/06/CEO-Breakfast-Workshop-2048x2048.png" TargetMode="External"/><Relationship Id="rId444" Type="http://schemas.openxmlformats.org/officeDocument/2006/relationships/hyperlink" Target="https://salesxceleration.com/wp-content/uploads/2023/04/Leadership-Styles-Sales-Recovery-1024x683.jpg" TargetMode="External"/><Relationship Id="rId4301" Type="http://schemas.openxmlformats.org/officeDocument/2006/relationships/hyperlink" Target="https://salesxceleration.com/wp-content/uploads/2020/08/Sales-Leader-Formulating-a-Plan-Forward-scaled-1-300x179.jpg" TargetMode="External"/><Relationship Id="rId5633" Type="http://schemas.openxmlformats.org/officeDocument/2006/relationships/hyperlink" Target="https://salesxceleration.com/wp-content/themes/salesxceleratione/assets/css/style.css?ver=1769123671" TargetMode="External"/><Relationship Id="rId6964" Type="http://schemas.openxmlformats.org/officeDocument/2006/relationships/hyperlink" Target="https://salesxceleration.com/wp-content/themes/salesxceleratione/assets/css/style.css?ver=1769123842" TargetMode="External"/><Relationship Id="rId443" Type="http://schemas.openxmlformats.org/officeDocument/2006/relationships/hyperlink" Target="https://salesxceleration.com/wp-content/uploads/2023/04/Leadership-Styles-Sales-Recovery-1024x683.jpg" TargetMode="External"/><Relationship Id="rId4300" Type="http://schemas.openxmlformats.org/officeDocument/2006/relationships/hyperlink" Target="https://salesxceleration.com/dreading-the-excessive-travel-of-business-as-usual-heres-an-alternative/" TargetMode="External"/><Relationship Id="rId5634" Type="http://schemas.openxmlformats.org/officeDocument/2006/relationships/hyperlink" Target="https://salesxceleration.com/wp-content/themes/salesxceleratione/assets/css/style.css?ver=1769123671" TargetMode="External"/><Relationship Id="rId6965" Type="http://schemas.openxmlformats.org/officeDocument/2006/relationships/hyperlink" Target="https://salesxceleration.com/wp-content/uploads/2015/05/Sales_Compensation.jpg" TargetMode="External"/><Relationship Id="rId442" Type="http://schemas.openxmlformats.org/officeDocument/2006/relationships/hyperlink" Target="https://salesxceleration.com/wp-content/plugins/elementor/assets/css/widget-spacer.min.css?ver=3.34.0" TargetMode="External"/><Relationship Id="rId4303" Type="http://schemas.openxmlformats.org/officeDocument/2006/relationships/hyperlink" Target="https://salesxceleration.com/the-skys-no-limit-if-you-put-your-dreams-in-motion/" TargetMode="External"/><Relationship Id="rId5631" Type="http://schemas.openxmlformats.org/officeDocument/2006/relationships/hyperlink" Target="https://salesxceleration.com/wp-content/uploads/2016/08/Life-support.png" TargetMode="External"/><Relationship Id="rId6962" Type="http://schemas.openxmlformats.org/officeDocument/2006/relationships/hyperlink" Target="https://salesxceleration.com/wp-content/uploads/2016/06/CEO-Breakfast-Workshop-2048x2048.png" TargetMode="External"/><Relationship Id="rId441" Type="http://schemas.openxmlformats.org/officeDocument/2006/relationships/hyperlink" Target="https://salesxceleration.com/wp-content/plugins/elementor/assets/css/widget-spacer.min.css?ver=3.34.0" TargetMode="External"/><Relationship Id="rId4302" Type="http://schemas.openxmlformats.org/officeDocument/2006/relationships/hyperlink" Target="https://salesxceleration.com/wp-content/uploads/2020/08/Sales-Leader-Formulating-a-Plan-Forward-scaled-1-300x179.jpg" TargetMode="External"/><Relationship Id="rId5632" Type="http://schemas.openxmlformats.org/officeDocument/2006/relationships/hyperlink" Target="https://salesxceleration.com/wp-content/uploads/2016/08/Life-support.png" TargetMode="External"/><Relationship Id="rId6963" Type="http://schemas.openxmlformats.org/officeDocument/2006/relationships/hyperlink" Target="https://salesxceleration.com/wp-content/themes/salesxceleratione/assets/css/style.css?ver=1769123842" TargetMode="External"/><Relationship Id="rId5626" Type="http://schemas.openxmlformats.org/officeDocument/2006/relationships/hyperlink" Target="https://salesxceleration.com/author/dmcmahan/" TargetMode="External"/><Relationship Id="rId6957" Type="http://schemas.openxmlformats.org/officeDocument/2006/relationships/hyperlink" Target="https://salesxceleration.com/creating-a-sales-process-that-meets-modern-buyer-needs/" TargetMode="External"/><Relationship Id="rId5627" Type="http://schemas.openxmlformats.org/officeDocument/2006/relationships/hyperlink" Target="https://salesxceleration.com/author/dmcmahan/" TargetMode="External"/><Relationship Id="rId6958" Type="http://schemas.openxmlformats.org/officeDocument/2006/relationships/hyperlink" Target="https://salesxceleration.com/creating-a-sales-process-that-meets-modern-buyer-needs/" TargetMode="External"/><Relationship Id="rId5624" Type="http://schemas.openxmlformats.org/officeDocument/2006/relationships/hyperlink" Target="https://salesxceleration.com/wp-content/themes/salesxceleratione/assets/css/style.css?ver=1769123644" TargetMode="External"/><Relationship Id="rId6955" Type="http://schemas.openxmlformats.org/officeDocument/2006/relationships/hyperlink" Target="https://salesxceleration.com/7-ways-to-make-your-smart-goals-smarter-and-more-effective-than-ever/" TargetMode="External"/><Relationship Id="rId5625" Type="http://schemas.openxmlformats.org/officeDocument/2006/relationships/hyperlink" Target="https://salesxceleration.com/author/dmcmahan/" TargetMode="External"/><Relationship Id="rId6956" Type="http://schemas.openxmlformats.org/officeDocument/2006/relationships/hyperlink" Target="https://salesxceleration.com/creating-a-sales-process-that-meets-modern-buyer-needs/" TargetMode="External"/><Relationship Id="rId5628" Type="http://schemas.openxmlformats.org/officeDocument/2006/relationships/hyperlink" Target="https://salesxceleration.com/new-year-compensation-plan-reviews/" TargetMode="External"/><Relationship Id="rId6959" Type="http://schemas.openxmlformats.org/officeDocument/2006/relationships/hyperlink" Target="https://salesxceleration.com/wp-content/uploads/2017/02/Elevator-Down-RS-72-650-x-325.jpg" TargetMode="External"/><Relationship Id="rId5629" Type="http://schemas.openxmlformats.org/officeDocument/2006/relationships/hyperlink" Target="https://salesxceleration.com/new-year-compensation-plan-reviews/" TargetMode="External"/><Relationship Id="rId437" Type="http://schemas.openxmlformats.org/officeDocument/2006/relationships/hyperlink" Target="https://salesxceleration.com/wp-content/uploads/2025/08/AdobeStock_277547100.jpeg" TargetMode="External"/><Relationship Id="rId436" Type="http://schemas.openxmlformats.org/officeDocument/2006/relationships/hyperlink" Target="https://salesxceleration.com/wp-content/uploads/elementor/css/post-47812.css?ver=1768857105" TargetMode="External"/><Relationship Id="rId435" Type="http://schemas.openxmlformats.org/officeDocument/2006/relationships/hyperlink" Target="https://salesxceleration.com/wp-content/uploads/elementor/css/post-47812.css?ver=1768857105" TargetMode="External"/><Relationship Id="rId434" Type="http://schemas.openxmlformats.org/officeDocument/2006/relationships/hyperlink" Target="https://salesxceleration.com/wp-content/plugins/elementor/assets/lib/swiper/v8/swiper.min.js?ver=8.4.5" TargetMode="External"/><Relationship Id="rId439" Type="http://schemas.openxmlformats.org/officeDocument/2006/relationships/hyperlink" Target="https://salesxceleration.com/wp-content/plugins/elementor-pro/assets/css/widget-carousel-module-base.min.css?ver=3.34.0" TargetMode="External"/><Relationship Id="rId438" Type="http://schemas.openxmlformats.org/officeDocument/2006/relationships/hyperlink" Target="https://salesxceleration.com/wp-content/uploads/2025/08/AdobeStock_277547100.jpeg" TargetMode="External"/><Relationship Id="rId6950" Type="http://schemas.openxmlformats.org/officeDocument/2006/relationships/hyperlink" Target="https://salesxceleration.com/wp-content/themes/salesxceleratione/assets/css/style.css?ver=1769123843" TargetMode="External"/><Relationship Id="rId433" Type="http://schemas.openxmlformats.org/officeDocument/2006/relationships/hyperlink" Target="https://salesxceleration.com/wp-content/plugins/elementor/assets/lib/swiper/v8/swiper.min.js?ver=8.4.5" TargetMode="External"/><Relationship Id="rId5622" Type="http://schemas.openxmlformats.org/officeDocument/2006/relationships/hyperlink" Target="https://salesxceleration.com/sales-career-shift-making-difference-outsourced-sales-consultant/" TargetMode="External"/><Relationship Id="rId6953" Type="http://schemas.openxmlformats.org/officeDocument/2006/relationships/hyperlink" Target="https://salesxceleration.com/7-ways-to-make-your-smart-goals-smarter-and-more-effective-than-ever/" TargetMode="External"/><Relationship Id="rId432" Type="http://schemas.openxmlformats.org/officeDocument/2006/relationships/hyperlink" Target="https://salesxceleration.com/wp-content/plugins/elementor/assets/lib/animations/styles/fadeIn.min.css?ver=3.34.0" TargetMode="External"/><Relationship Id="rId5623" Type="http://schemas.openxmlformats.org/officeDocument/2006/relationships/hyperlink" Target="https://salesxceleration.com/wp-content/themes/salesxceleratione/assets/css/style.css?ver=1769123644" TargetMode="External"/><Relationship Id="rId6954" Type="http://schemas.openxmlformats.org/officeDocument/2006/relationships/hyperlink" Target="https://salesxceleration.com/7-ways-to-make-your-smart-goals-smarter-and-more-effective-than-ever/" TargetMode="External"/><Relationship Id="rId431" Type="http://schemas.openxmlformats.org/officeDocument/2006/relationships/hyperlink" Target="https://salesxceleration.com/wp-content/plugins/elementor/assets/lib/animations/styles/fadeIn.min.css?ver=3.34.0" TargetMode="External"/><Relationship Id="rId5620" Type="http://schemas.openxmlformats.org/officeDocument/2006/relationships/hyperlink" Target="https://salesxceleration.com/sales-career-shift-making-difference-outsourced-sales-consultant/" TargetMode="External"/><Relationship Id="rId6951" Type="http://schemas.openxmlformats.org/officeDocument/2006/relationships/hyperlink" Target="https://salesxceleration.com/wp-content/themes/salesxceleratione/assets/css/style.css?ver=1769123844" TargetMode="External"/><Relationship Id="rId430" Type="http://schemas.openxmlformats.org/officeDocument/2006/relationships/hyperlink" Target="https://salesxceleration.com/wp-content/uploads/2023/12/Boosting-Sales-Performance-1024x683.jpg" TargetMode="External"/><Relationship Id="rId5621" Type="http://schemas.openxmlformats.org/officeDocument/2006/relationships/hyperlink" Target="https://salesxceleration.com/sales-career-shift-making-difference-outsourced-sales-consultant/" TargetMode="External"/><Relationship Id="rId6952" Type="http://schemas.openxmlformats.org/officeDocument/2006/relationships/hyperlink" Target="https://salesxceleration.com/wp-content/themes/salesxceleratione/assets/css/style.css?ver=1769123844" TargetMode="External"/><Relationship Id="rId6108" Type="http://schemas.openxmlformats.org/officeDocument/2006/relationships/hyperlink" Target="https://salesxceleration.com/modern-approach-incorporating-antiquated-sales-scripts/" TargetMode="External"/><Relationship Id="rId6109" Type="http://schemas.openxmlformats.org/officeDocument/2006/relationships/hyperlink" Target="https://salesxceleration.com/wp-content/uploads/2022/05/Sales-Lifecycle-2048x2048.jpg" TargetMode="External"/><Relationship Id="rId6102" Type="http://schemas.openxmlformats.org/officeDocument/2006/relationships/hyperlink" Target="https://salesxceleration.com/create-right-timing-maximize-sales-training/" TargetMode="External"/><Relationship Id="rId6103" Type="http://schemas.openxmlformats.org/officeDocument/2006/relationships/hyperlink" Target="https://salesxceleration.com/sales-plans-sales-results/" TargetMode="External"/><Relationship Id="rId6100" Type="http://schemas.openxmlformats.org/officeDocument/2006/relationships/hyperlink" Target="https://salesxceleration.com/create-right-timing-maximize-sales-training/" TargetMode="External"/><Relationship Id="rId6101" Type="http://schemas.openxmlformats.org/officeDocument/2006/relationships/hyperlink" Target="https://salesxceleration.com/create-right-timing-maximize-sales-training/" TargetMode="External"/><Relationship Id="rId6106" Type="http://schemas.openxmlformats.org/officeDocument/2006/relationships/hyperlink" Target="https://salesxceleration.com/modern-approach-incorporating-antiquated-sales-scripts/" TargetMode="External"/><Relationship Id="rId6107" Type="http://schemas.openxmlformats.org/officeDocument/2006/relationships/hyperlink" Target="https://salesxceleration.com/modern-approach-incorporating-antiquated-sales-scripts/" TargetMode="External"/><Relationship Id="rId6104" Type="http://schemas.openxmlformats.org/officeDocument/2006/relationships/hyperlink" Target="https://salesxceleration.com/sales-plans-sales-results/" TargetMode="External"/><Relationship Id="rId6105" Type="http://schemas.openxmlformats.org/officeDocument/2006/relationships/hyperlink" Target="https://salesxceleration.com/sales-plans-sales-results/" TargetMode="External"/><Relationship Id="rId6120" Type="http://schemas.openxmlformats.org/officeDocument/2006/relationships/hyperlink" Target="https://salesxceleration.com/find-right-lid/" TargetMode="External"/><Relationship Id="rId6121" Type="http://schemas.openxmlformats.org/officeDocument/2006/relationships/hyperlink" Target="https://salesxceleration.com/find-right-lid/" TargetMode="External"/><Relationship Id="rId6124" Type="http://schemas.openxmlformats.org/officeDocument/2006/relationships/hyperlink" Target="https://salesxceleration.com/believing-in-the-sales-lifecycle/" TargetMode="External"/><Relationship Id="rId6125" Type="http://schemas.openxmlformats.org/officeDocument/2006/relationships/hyperlink" Target="https://salesxceleration.com/wp-content/uploads/2016/03/chocolate-cake.jpg" TargetMode="External"/><Relationship Id="rId6122" Type="http://schemas.openxmlformats.org/officeDocument/2006/relationships/hyperlink" Target="https://salesxceleration.com/believing-in-the-sales-lifecycle/" TargetMode="External"/><Relationship Id="rId6123" Type="http://schemas.openxmlformats.org/officeDocument/2006/relationships/hyperlink" Target="https://salesxceleration.com/believing-in-the-sales-lifecycle/" TargetMode="External"/><Relationship Id="rId6128" Type="http://schemas.openxmlformats.org/officeDocument/2006/relationships/hyperlink" Target="https://salesxceleration.com/wp-content/themes/salesxceleratione/assets/css/style.css?ver=1769123711" TargetMode="External"/><Relationship Id="rId6129" Type="http://schemas.openxmlformats.org/officeDocument/2006/relationships/hyperlink" Target="https://salesxceleration.com/wp-content/themes/salesxceleratione/assets/css/style.css?ver=1769123706" TargetMode="External"/><Relationship Id="rId6126" Type="http://schemas.openxmlformats.org/officeDocument/2006/relationships/hyperlink" Target="https://salesxceleration.com/wp-content/uploads/2016/03/chocolate-cake.jpg" TargetMode="External"/><Relationship Id="rId6127" Type="http://schemas.openxmlformats.org/officeDocument/2006/relationships/hyperlink" Target="https://salesxceleration.com/wp-content/themes/salesxceleratione/assets/css/style.css?ver=1769123711" TargetMode="External"/><Relationship Id="rId6119" Type="http://schemas.openxmlformats.org/officeDocument/2006/relationships/hyperlink" Target="https://salesxceleration.com/find-right-lid/" TargetMode="External"/><Relationship Id="rId6110" Type="http://schemas.openxmlformats.org/officeDocument/2006/relationships/hyperlink" Target="https://salesxceleration.com/wp-content/uploads/2022/05/Sales-Lifecycle-2048x2048.jpg" TargetMode="External"/><Relationship Id="rId6113" Type="http://schemas.openxmlformats.org/officeDocument/2006/relationships/hyperlink" Target="https://salesxceleration.com/wp-content/uploads/2022/06/Leadership-Style.jpg" TargetMode="External"/><Relationship Id="rId6114" Type="http://schemas.openxmlformats.org/officeDocument/2006/relationships/hyperlink" Target="https://salesxceleration.com/wp-content/uploads/2022/06/Leadership-Style.jpg" TargetMode="External"/><Relationship Id="rId6111" Type="http://schemas.openxmlformats.org/officeDocument/2006/relationships/hyperlink" Target="https://salesxceleration.com/wp-content/uploads/2022/04/Screen-with-Kep-Performance-Indicators.jpg" TargetMode="External"/><Relationship Id="rId6112" Type="http://schemas.openxmlformats.org/officeDocument/2006/relationships/hyperlink" Target="https://salesxceleration.com/wp-content/uploads/2022/04/Screen-with-Kep-Performance-Indicators.jpg" TargetMode="External"/><Relationship Id="rId6117" Type="http://schemas.openxmlformats.org/officeDocument/2006/relationships/hyperlink" Target="https://salesxceleration.com/wp-content/themes/salesxceleratione/assets/css/style.css?ver=1769123714" TargetMode="External"/><Relationship Id="rId6118" Type="http://schemas.openxmlformats.org/officeDocument/2006/relationships/hyperlink" Target="https://salesxceleration.com/wp-content/themes/salesxceleratione/assets/css/style.css?ver=1769123714" TargetMode="External"/><Relationship Id="rId6115" Type="http://schemas.openxmlformats.org/officeDocument/2006/relationships/hyperlink" Target="https://salesxceleration.com/wp-content/themes/salesxceleratione/assets/css/style.css?ver=1769123713" TargetMode="External"/><Relationship Id="rId6116" Type="http://schemas.openxmlformats.org/officeDocument/2006/relationships/hyperlink" Target="https://salesxceleration.com/wp-content/themes/salesxceleratione/assets/css/style.css?ver=1769123713" TargetMode="External"/><Relationship Id="rId1" Type="http://schemas.openxmlformats.org/officeDocument/2006/relationships/hyperlink" Target="https://salesxceleration.com/" TargetMode="External"/><Relationship Id="rId2" Type="http://schemas.openxmlformats.org/officeDocument/2006/relationships/hyperlink" Target="https://salesxceleration.com/" TargetMode="External"/><Relationship Id="rId3" Type="http://schemas.openxmlformats.org/officeDocument/2006/relationships/hyperlink" Target="https://salesxceleration.com/" TargetMode="External"/><Relationship Id="rId4" Type="http://schemas.openxmlformats.org/officeDocument/2006/relationships/hyperlink" Target="https://salesxceleration.com/wp-includes/js/jquery/ui/core.min.js?ver=1.13.3" TargetMode="External"/><Relationship Id="rId9" Type="http://schemas.openxmlformats.org/officeDocument/2006/relationships/hyperlink" Target="https://salesxceleration.com/blog/" TargetMode="External"/><Relationship Id="rId5" Type="http://schemas.openxmlformats.org/officeDocument/2006/relationships/hyperlink" Target="https://salesxceleration.com/wp-includes/js/jquery/ui/core.min.js?ver=1.13.3" TargetMode="External"/><Relationship Id="rId6" Type="http://schemas.openxmlformats.org/officeDocument/2006/relationships/hyperlink" Target="https://salesxceleration.com/privacy-policy/" TargetMode="External"/><Relationship Id="rId7" Type="http://schemas.openxmlformats.org/officeDocument/2006/relationships/hyperlink" Target="https://salesxceleration.com/privacy-policy/" TargetMode="External"/><Relationship Id="rId8" Type="http://schemas.openxmlformats.org/officeDocument/2006/relationships/hyperlink" Target="https://salesxceleration.com/privacy-policy/" TargetMode="External"/><Relationship Id="rId3911" Type="http://schemas.openxmlformats.org/officeDocument/2006/relationships/hyperlink" Target="https://salesxceleration.com/5-sales-compensation-plan-mistakes-that-damage-morale-and-ruin-revenue/" TargetMode="External"/><Relationship Id="rId3910" Type="http://schemas.openxmlformats.org/officeDocument/2006/relationships/hyperlink" Target="https://salesxceleration.com/5-sales-compensation-plan-mistakes-that-damage-morale-and-ruin-revenue/" TargetMode="External"/><Relationship Id="rId3913" Type="http://schemas.openxmlformats.org/officeDocument/2006/relationships/hyperlink" Target="https://salesxceleration.com/sales-tips-and-strategies-for-business-facing-seasonal-fluctuations/" TargetMode="External"/><Relationship Id="rId3912" Type="http://schemas.openxmlformats.org/officeDocument/2006/relationships/hyperlink" Target="https://salesxceleration.com/5-sales-compensation-plan-mistakes-that-damage-morale-and-ruin-revenue/" TargetMode="External"/><Relationship Id="rId3915" Type="http://schemas.openxmlformats.org/officeDocument/2006/relationships/hyperlink" Target="https://salesxceleration.com/sales-tips-and-strategies-for-business-facing-seasonal-fluctuations/" TargetMode="External"/><Relationship Id="rId3914" Type="http://schemas.openxmlformats.org/officeDocument/2006/relationships/hyperlink" Target="https://salesxceleration.com/sales-tips-and-strategies-for-business-facing-seasonal-fluctuations/" TargetMode="External"/><Relationship Id="rId3917" Type="http://schemas.openxmlformats.org/officeDocument/2006/relationships/hyperlink" Target="https://salesxceleration.com/improving-sales-success-starts-with-your-sales-executive-hiring-process/" TargetMode="External"/><Relationship Id="rId3916" Type="http://schemas.openxmlformats.org/officeDocument/2006/relationships/hyperlink" Target="https://salesxceleration.com/improving-sales-success-starts-with-your-sales-executive-hiring-process/" TargetMode="External"/><Relationship Id="rId3919" Type="http://schemas.openxmlformats.org/officeDocument/2006/relationships/hyperlink" Target="https://salesxceleration.com/how-effective-sales-leadership-training-delivers-results/" TargetMode="External"/><Relationship Id="rId3918" Type="http://schemas.openxmlformats.org/officeDocument/2006/relationships/hyperlink" Target="https://salesxceleration.com/improving-sales-success-starts-with-your-sales-executive-hiring-process/" TargetMode="External"/><Relationship Id="rId6190" Type="http://schemas.openxmlformats.org/officeDocument/2006/relationships/hyperlink" Target="https://salesxceleration.com/wp-content/uploads/2021/04/Case-Study_Manufacturing_SX_041221-1-768x440.jpg" TargetMode="External"/><Relationship Id="rId6182" Type="http://schemas.openxmlformats.org/officeDocument/2006/relationships/hyperlink" Target="https://salesxceleration.com/wp-content/themes/salesxceleratione/assets/css/style.css?ver=1769123702" TargetMode="External"/><Relationship Id="rId6183" Type="http://schemas.openxmlformats.org/officeDocument/2006/relationships/hyperlink" Target="https://salesxceleration.com/wp-content/themes/salesxceleratione/assets/css/style.css?ver=1769123702" TargetMode="External"/><Relationship Id="rId6180" Type="http://schemas.openxmlformats.org/officeDocument/2006/relationships/hyperlink" Target="https://salesxceleration.com/wp-content/uploads/2015/07/Brothers-RS-72-dpi-560-x-225.jpg" TargetMode="External"/><Relationship Id="rId6181" Type="http://schemas.openxmlformats.org/officeDocument/2006/relationships/hyperlink" Target="https://salesxceleration.com/wp-content/uploads/2015/07/Brothers-RS-72-dpi-560-x-225.jpg" TargetMode="External"/><Relationship Id="rId6186" Type="http://schemas.openxmlformats.org/officeDocument/2006/relationships/hyperlink" Target="https://salesxceleration.com/wp-content/uploads/2015/07/Mentoring.jpg" TargetMode="External"/><Relationship Id="rId6187" Type="http://schemas.openxmlformats.org/officeDocument/2006/relationships/hyperlink" Target="https://salesxceleration.com/wp-content/uploads/2015/07/Mentoring.jpg" TargetMode="External"/><Relationship Id="rId6184" Type="http://schemas.openxmlformats.org/officeDocument/2006/relationships/hyperlink" Target="https://salesxceleration.com/wp-content/uploads/2020/02/certified-sales-professional.jpg" TargetMode="External"/><Relationship Id="rId6185" Type="http://schemas.openxmlformats.org/officeDocument/2006/relationships/hyperlink" Target="https://salesxceleration.com/wp-content/uploads/2020/02/certified-sales-professional.jpg" TargetMode="External"/><Relationship Id="rId6188" Type="http://schemas.openxmlformats.org/officeDocument/2006/relationships/hyperlink" Target="https://salesxceleration.com/wp-content/themes/salesxceleratione/assets/css/style.css?ver=1769123701" TargetMode="External"/><Relationship Id="rId6189" Type="http://schemas.openxmlformats.org/officeDocument/2006/relationships/hyperlink" Target="https://salesxceleration.com/wp-content/themes/salesxceleratione/assets/css/style.css?ver=1769123701" TargetMode="External"/><Relationship Id="rId3900" Type="http://schemas.openxmlformats.org/officeDocument/2006/relationships/hyperlink" Target="https://salesxceleration.com/wp-content/uploads/2020/04/Sales-Candidate-Interview-sm-300x200.jpg" TargetMode="External"/><Relationship Id="rId3902" Type="http://schemas.openxmlformats.org/officeDocument/2006/relationships/hyperlink" Target="https://salesxceleration.com/wp-content/uploads/2020/03/Business_CEO_thinking_with_employees_in_the_background-300x300.jpg" TargetMode="External"/><Relationship Id="rId3901" Type="http://schemas.openxmlformats.org/officeDocument/2006/relationships/hyperlink" Target="https://salesxceleration.com/wp-content/uploads/2020/03/Business_CEO_thinking_with_employees_in_the_background-300x300.jpg" TargetMode="External"/><Relationship Id="rId3904" Type="http://schemas.openxmlformats.org/officeDocument/2006/relationships/hyperlink" Target="https://salesxceleration.com/wp-content/uploads/2020/02/SX-Effective_Sales_Vision_Statement-300x300.jpg" TargetMode="External"/><Relationship Id="rId3903" Type="http://schemas.openxmlformats.org/officeDocument/2006/relationships/hyperlink" Target="https://salesxceleration.com/wp-content/uploads/2020/02/SX-Effective_Sales_Vision_Statement-300x300.jpg" TargetMode="External"/><Relationship Id="rId3906" Type="http://schemas.openxmlformats.org/officeDocument/2006/relationships/hyperlink" Target="https://salesxceleration.com/wp-content/uploads/2020/06/Millenials-Getting-Together-with-Friends-scaled-1-300x200.jpg" TargetMode="External"/><Relationship Id="rId3905" Type="http://schemas.openxmlformats.org/officeDocument/2006/relationships/hyperlink" Target="https://salesxceleration.com/wp-content/uploads/2020/06/Millenials-Getting-Together-with-Friends-scaled-1-300x200.jpg" TargetMode="External"/><Relationship Id="rId3908" Type="http://schemas.openxmlformats.org/officeDocument/2006/relationships/hyperlink" Target="https://salesxceleration.com/tune-up-your-sales-engine-in-a-market-slowdown/" TargetMode="External"/><Relationship Id="rId3907" Type="http://schemas.openxmlformats.org/officeDocument/2006/relationships/hyperlink" Target="https://salesxceleration.com/tune-up-your-sales-engine-in-a-market-slowdown/" TargetMode="External"/><Relationship Id="rId3909" Type="http://schemas.openxmlformats.org/officeDocument/2006/relationships/hyperlink" Target="https://salesxceleration.com/tune-up-your-sales-engine-in-a-market-slowdown/" TargetMode="External"/><Relationship Id="rId6171" Type="http://schemas.openxmlformats.org/officeDocument/2006/relationships/hyperlink" Target="https://salesxceleration.com/the-fundamentals-of-winning/" TargetMode="External"/><Relationship Id="rId6172" Type="http://schemas.openxmlformats.org/officeDocument/2006/relationships/hyperlink" Target="https://salesxceleration.com/the-fundamentals-of-winning/" TargetMode="External"/><Relationship Id="rId6170" Type="http://schemas.openxmlformats.org/officeDocument/2006/relationships/hyperlink" Target="https://salesxceleration.com/wp-content/uploads/2020/02/foodagthumb-768x439.jpg" TargetMode="External"/><Relationship Id="rId6175" Type="http://schemas.openxmlformats.org/officeDocument/2006/relationships/hyperlink" Target="https://salesxceleration.com/wp-content/uploads/2018/08/Winning_Blog-300x169.jpg" TargetMode="External"/><Relationship Id="rId6176" Type="http://schemas.openxmlformats.org/officeDocument/2006/relationships/hyperlink" Target="https://salesxceleration.com/wp-content/uploads/2017/07/meat-2378342_640-300x190.jpg" TargetMode="External"/><Relationship Id="rId6173" Type="http://schemas.openxmlformats.org/officeDocument/2006/relationships/hyperlink" Target="https://salesxceleration.com/the-fundamentals-of-winning/" TargetMode="External"/><Relationship Id="rId6174" Type="http://schemas.openxmlformats.org/officeDocument/2006/relationships/hyperlink" Target="https://salesxceleration.com/wp-content/uploads/2018/08/Winning_Blog-300x169.jpg" TargetMode="External"/><Relationship Id="rId6179" Type="http://schemas.openxmlformats.org/officeDocument/2006/relationships/hyperlink" Target="https://salesxceleration.com/wp-content/uploads/2019/11/marketing-thumb-768x438.jpg" TargetMode="External"/><Relationship Id="rId6177" Type="http://schemas.openxmlformats.org/officeDocument/2006/relationships/hyperlink" Target="https://salesxceleration.com/wp-content/uploads/2017/07/meat-2378342_640-300x190.jpg" TargetMode="External"/><Relationship Id="rId6178" Type="http://schemas.openxmlformats.org/officeDocument/2006/relationships/hyperlink" Target="https://salesxceleration.com/wp-content/uploads/2019/11/marketing-thumb-768x438.jpg" TargetMode="External"/><Relationship Id="rId3931" Type="http://schemas.openxmlformats.org/officeDocument/2006/relationships/hyperlink" Target="https://salesxceleration.com/wp-content/uploads/2020/04/SX-Buinessmen_meeting_and_planning-scaled-1-300x300.jpg" TargetMode="External"/><Relationship Id="rId2600" Type="http://schemas.openxmlformats.org/officeDocument/2006/relationships/hyperlink" Target="https://salesxceleration.com/wp-content/uploads/2021/09/Case_Study_Manufacturing-2.pdf" TargetMode="External"/><Relationship Id="rId3930" Type="http://schemas.openxmlformats.org/officeDocument/2006/relationships/hyperlink" Target="https://salesxceleration.com/wp-content/uploads/2020/05/Frustrated-salesperson-scaled-1-300x300.jpg" TargetMode="External"/><Relationship Id="rId2601" Type="http://schemas.openxmlformats.org/officeDocument/2006/relationships/hyperlink" Target="https://salesxceleration.com/wp-content/uploads/2021/09/Case_Study_Manufacturing-2.pdf" TargetMode="External"/><Relationship Id="rId3933" Type="http://schemas.openxmlformats.org/officeDocument/2006/relationships/hyperlink" Target="https://salesxceleration.com/wp-content/uploads/2020/06/Sales-Candidates-scaled-1-300x135.jpg" TargetMode="External"/><Relationship Id="rId2602" Type="http://schemas.openxmlformats.org/officeDocument/2006/relationships/hyperlink" Target="https://salesxceleration.com/wp-content/uploads/2021/09/Case-Study_Manufacturing.pdf" TargetMode="External"/><Relationship Id="rId3932" Type="http://schemas.openxmlformats.org/officeDocument/2006/relationships/hyperlink" Target="https://salesxceleration.com/wp-content/uploads/2020/04/SX-Buinessmen_meeting_and_planning-scaled-1-300x300.jpg" TargetMode="External"/><Relationship Id="rId2603" Type="http://schemas.openxmlformats.org/officeDocument/2006/relationships/hyperlink" Target="https://salesxceleration.com/wp-content/uploads/2021/09/Case-Study_Manufacturing.pdf" TargetMode="External"/><Relationship Id="rId3935" Type="http://schemas.openxmlformats.org/officeDocument/2006/relationships/hyperlink" Target="https://salesxceleration.com/wp-content/uploads/2022/01/Supply-Chain-Logistics-300x200.jpg" TargetMode="External"/><Relationship Id="rId2604" Type="http://schemas.openxmlformats.org/officeDocument/2006/relationships/hyperlink" Target="https://salesxceleration.com/wp-content/uploads/2019/10/food_industry_page.jpg" TargetMode="External"/><Relationship Id="rId3934" Type="http://schemas.openxmlformats.org/officeDocument/2006/relationships/hyperlink" Target="https://salesxceleration.com/wp-content/uploads/2020/06/Sales-Candidates-scaled-1-300x135.jpg" TargetMode="External"/><Relationship Id="rId2605" Type="http://schemas.openxmlformats.org/officeDocument/2006/relationships/hyperlink" Target="https://salesxceleration.com/wp-content/uploads/2019/10/food_industry_page.jpg" TargetMode="External"/><Relationship Id="rId3937" Type="http://schemas.openxmlformats.org/officeDocument/2006/relationships/hyperlink" Target="https://salesxceleration.com/appreciating-and-retaining-millennial-employees/" TargetMode="External"/><Relationship Id="rId2606" Type="http://schemas.openxmlformats.org/officeDocument/2006/relationships/hyperlink" Target="https://salesxceleration.com/wp-content/uploads/2021/09/Case_Study_Manufacturing.pdf" TargetMode="External"/><Relationship Id="rId3936" Type="http://schemas.openxmlformats.org/officeDocument/2006/relationships/hyperlink" Target="https://salesxceleration.com/wp-content/uploads/2022/01/Supply-Chain-Logistics-300x200.jpg" TargetMode="External"/><Relationship Id="rId808" Type="http://schemas.openxmlformats.org/officeDocument/2006/relationships/hyperlink" Target="https://salesxceleration.com/wp-content/uploads/2022/07/Bernstein_Gary-225x225.jpg" TargetMode="External"/><Relationship Id="rId2607" Type="http://schemas.openxmlformats.org/officeDocument/2006/relationships/hyperlink" Target="https://salesxceleration.com/wp-content/uploads/2021/09/Case_Study_Manufacturing.pdf" TargetMode="External"/><Relationship Id="rId3939" Type="http://schemas.openxmlformats.org/officeDocument/2006/relationships/hyperlink" Target="https://salesxceleration.com/appreciating-and-retaining-millennial-employees/" TargetMode="External"/><Relationship Id="rId807" Type="http://schemas.openxmlformats.org/officeDocument/2006/relationships/hyperlink" Target="https://salesxceleration.com/wp-content/uploads/2025/12/Buckner_John-225x225.jpeg" TargetMode="External"/><Relationship Id="rId2608" Type="http://schemas.openxmlformats.org/officeDocument/2006/relationships/hyperlink" Target="https://salesxceleration.com/wp-content/uploads/2022/07/50-Fastest-Companies-2022_Award-Logo.jpg" TargetMode="External"/><Relationship Id="rId3938" Type="http://schemas.openxmlformats.org/officeDocument/2006/relationships/hyperlink" Target="https://salesxceleration.com/appreciating-and-retaining-millennial-employees/" TargetMode="External"/><Relationship Id="rId806" Type="http://schemas.openxmlformats.org/officeDocument/2006/relationships/hyperlink" Target="https://salesxceleration.com/wp-content/uploads/2025/12/Buckner_John-225x225.jpeg" TargetMode="External"/><Relationship Id="rId2609" Type="http://schemas.openxmlformats.org/officeDocument/2006/relationships/hyperlink" Target="https://salesxceleration.com/wp-content/uploads/2022/07/50-Fastest-Companies-2022_Award-Logo.jpg" TargetMode="External"/><Relationship Id="rId805" Type="http://schemas.openxmlformats.org/officeDocument/2006/relationships/hyperlink" Target="https://salesxceleration.com/wp-content/uploads/2022/04/Byrd-Caprice-275x275-1-225x225.jpg" TargetMode="External"/><Relationship Id="rId809" Type="http://schemas.openxmlformats.org/officeDocument/2006/relationships/hyperlink" Target="https://salesxceleration.com/wp-content/uploads/2022/07/Bernstein_Gary-225x225.jpg" TargetMode="External"/><Relationship Id="rId800" Type="http://schemas.openxmlformats.org/officeDocument/2006/relationships/hyperlink" Target="https://salesxceleration.com/wp-content/uploads/2022/04/Dwyer-Terry-225x225.jpg" TargetMode="External"/><Relationship Id="rId804" Type="http://schemas.openxmlformats.org/officeDocument/2006/relationships/hyperlink" Target="https://salesxceleration.com/wp-content/uploads/2022/04/Byrd-Caprice-275x275-1-225x225.jpg" TargetMode="External"/><Relationship Id="rId803" Type="http://schemas.openxmlformats.org/officeDocument/2006/relationships/hyperlink" Target="https://salesxceleration.com/wp-content/uploads/2022/04/Boyle-Dennis-225x225.jpg" TargetMode="External"/><Relationship Id="rId802" Type="http://schemas.openxmlformats.org/officeDocument/2006/relationships/hyperlink" Target="https://salesxceleration.com/wp-content/uploads/2022/04/Boyle-Dennis-225x225.jpg" TargetMode="External"/><Relationship Id="rId801" Type="http://schemas.openxmlformats.org/officeDocument/2006/relationships/hyperlink" Target="https://salesxceleration.com/wp-content/uploads/2022/04/Dwyer-Terry-225x225.jpg" TargetMode="External"/><Relationship Id="rId3920" Type="http://schemas.openxmlformats.org/officeDocument/2006/relationships/hyperlink" Target="https://salesxceleration.com/how-effective-sales-leadership-training-delivers-results/" TargetMode="External"/><Relationship Id="rId3922" Type="http://schemas.openxmlformats.org/officeDocument/2006/relationships/hyperlink" Target="https://salesxceleration.com/wp-content/uploads/2020/03/What_are_Sales_Metrics-1-300x300.jpg" TargetMode="External"/><Relationship Id="rId3921" Type="http://schemas.openxmlformats.org/officeDocument/2006/relationships/hyperlink" Target="https://salesxceleration.com/how-effective-sales-leadership-training-delivers-results/" TargetMode="External"/><Relationship Id="rId3924" Type="http://schemas.openxmlformats.org/officeDocument/2006/relationships/hyperlink" Target="https://salesxceleration.com/questions-ceos-ask-themselves-daily/" TargetMode="External"/><Relationship Id="rId3923" Type="http://schemas.openxmlformats.org/officeDocument/2006/relationships/hyperlink" Target="https://salesxceleration.com/wp-content/uploads/2020/03/What_are_Sales_Metrics-1-300x300.jpg" TargetMode="External"/><Relationship Id="rId3926" Type="http://schemas.openxmlformats.org/officeDocument/2006/relationships/hyperlink" Target="https://salesxceleration.com/questions-ceos-ask-themselves-daily/" TargetMode="External"/><Relationship Id="rId3925" Type="http://schemas.openxmlformats.org/officeDocument/2006/relationships/hyperlink" Target="https://salesxceleration.com/questions-ceos-ask-themselves-daily/" TargetMode="External"/><Relationship Id="rId3928" Type="http://schemas.openxmlformats.org/officeDocument/2006/relationships/hyperlink" Target="https://salesxceleration.com/wp-content/uploads/2020/03/Strategies_for_Seasonality-scaled-1-300x210.jpg" TargetMode="External"/><Relationship Id="rId3927" Type="http://schemas.openxmlformats.org/officeDocument/2006/relationships/hyperlink" Target="https://salesxceleration.com/wp-content/uploads/2020/03/Strategies_for_Seasonality-scaled-1-300x210.jpg" TargetMode="External"/><Relationship Id="rId3929" Type="http://schemas.openxmlformats.org/officeDocument/2006/relationships/hyperlink" Target="https://salesxceleration.com/wp-content/uploads/2020/05/Frustrated-salesperson-scaled-1-300x300.jpg" TargetMode="External"/><Relationship Id="rId6193" Type="http://schemas.openxmlformats.org/officeDocument/2006/relationships/hyperlink" Target="https://salesxceleration.com/wp-content/themes/salesxceleratione/assets/css/style.css?ver=1769123700" TargetMode="External"/><Relationship Id="rId6194" Type="http://schemas.openxmlformats.org/officeDocument/2006/relationships/hyperlink" Target="https://salesxceleration.com/why-branding-important/" TargetMode="External"/><Relationship Id="rId6191" Type="http://schemas.openxmlformats.org/officeDocument/2006/relationships/hyperlink" Target="https://salesxceleration.com/wp-content/uploads/2021/04/Case-Study_Manufacturing_SX_041221-1-768x440.jpg" TargetMode="External"/><Relationship Id="rId6192" Type="http://schemas.openxmlformats.org/officeDocument/2006/relationships/hyperlink" Target="https://salesxceleration.com/wp-content/themes/salesxceleratione/assets/css/style.css?ver=1769123700" TargetMode="External"/><Relationship Id="rId6197" Type="http://schemas.openxmlformats.org/officeDocument/2006/relationships/hyperlink" Target="https://salesxceleration.com/what-is-in-your-sales-backpack/" TargetMode="External"/><Relationship Id="rId6198" Type="http://schemas.openxmlformats.org/officeDocument/2006/relationships/hyperlink" Target="https://salesxceleration.com/what-is-in-your-sales-backpack/" TargetMode="External"/><Relationship Id="rId6195" Type="http://schemas.openxmlformats.org/officeDocument/2006/relationships/hyperlink" Target="https://salesxceleration.com/why-branding-important/" TargetMode="External"/><Relationship Id="rId6196" Type="http://schemas.openxmlformats.org/officeDocument/2006/relationships/hyperlink" Target="https://salesxceleration.com/why-branding-important/" TargetMode="External"/><Relationship Id="rId6199" Type="http://schemas.openxmlformats.org/officeDocument/2006/relationships/hyperlink" Target="https://salesxceleration.com/what-is-in-your-sales-backpack/" TargetMode="External"/><Relationship Id="rId6142" Type="http://schemas.openxmlformats.org/officeDocument/2006/relationships/hyperlink" Target="https://salesxceleration.com/wp-content/uploads/2019/11/payroll-thumb-768x439.jpg" TargetMode="External"/><Relationship Id="rId6143" Type="http://schemas.openxmlformats.org/officeDocument/2006/relationships/hyperlink" Target="https://salesxceleration.com/wp-content/uploads/2018/12/shutterstock_1209757879-resized-300x200.jpg" TargetMode="External"/><Relationship Id="rId6140" Type="http://schemas.openxmlformats.org/officeDocument/2006/relationships/hyperlink" Target="https://salesxceleration.com/wp-content/themes/salesxceleratione/assets/css/style.css?ver=1769123704" TargetMode="External"/><Relationship Id="rId6141" Type="http://schemas.openxmlformats.org/officeDocument/2006/relationships/hyperlink" Target="https://salesxceleration.com/wp-content/uploads/2019/11/payroll-thumb-768x439.jpg" TargetMode="External"/><Relationship Id="rId6146" Type="http://schemas.openxmlformats.org/officeDocument/2006/relationships/hyperlink" Target="https://salesxceleration.com/author/cgoade/" TargetMode="External"/><Relationship Id="rId6147" Type="http://schemas.openxmlformats.org/officeDocument/2006/relationships/hyperlink" Target="https://salesxceleration.com/author/cgoade/" TargetMode="External"/><Relationship Id="rId6144" Type="http://schemas.openxmlformats.org/officeDocument/2006/relationships/hyperlink" Target="https://salesxceleration.com/wp-content/uploads/2018/12/shutterstock_1209757879-resized-300x200.jpg" TargetMode="External"/><Relationship Id="rId6145" Type="http://schemas.openxmlformats.org/officeDocument/2006/relationships/hyperlink" Target="https://salesxceleration.com/author/cgoade/" TargetMode="External"/><Relationship Id="rId6148" Type="http://schemas.openxmlformats.org/officeDocument/2006/relationships/hyperlink" Target="https://salesxceleration.com/wp-content/themes/salesxceleratione/assets/css/style.css?ver=1769123703" TargetMode="External"/><Relationship Id="rId6149" Type="http://schemas.openxmlformats.org/officeDocument/2006/relationships/hyperlink" Target="https://salesxceleration.com/wp-content/themes/salesxceleratione/assets/css/style.css?ver=1769123703" TargetMode="External"/><Relationship Id="rId6131" Type="http://schemas.openxmlformats.org/officeDocument/2006/relationships/hyperlink" Target="https://salesxceleration.com/sales-agility-assessment/?locationid=26295963" TargetMode="External"/><Relationship Id="rId6132" Type="http://schemas.openxmlformats.org/officeDocument/2006/relationships/hyperlink" Target="https://salesxceleration.com/sales-agility-assessment/" TargetMode="External"/><Relationship Id="rId6130" Type="http://schemas.openxmlformats.org/officeDocument/2006/relationships/hyperlink" Target="https://salesxceleration.com/wp-content/themes/salesxceleratione/assets/css/style.css?ver=1769123706" TargetMode="External"/><Relationship Id="rId6135" Type="http://schemas.openxmlformats.org/officeDocument/2006/relationships/hyperlink" Target="https://salesxceleration.com/sales-recruiting/" TargetMode="External"/><Relationship Id="rId6136" Type="http://schemas.openxmlformats.org/officeDocument/2006/relationships/hyperlink" Target="https://salesxceleration.com/amplify-recruiting" TargetMode="External"/><Relationship Id="rId6133" Type="http://schemas.openxmlformats.org/officeDocument/2006/relationships/hyperlink" Target="https://salesxceleration.com/sales-agility-assessment/?locationid=26295963" TargetMode="External"/><Relationship Id="rId6134" Type="http://schemas.openxmlformats.org/officeDocument/2006/relationships/hyperlink" Target="https://salesxceleration.com/amplify-recruiting" TargetMode="External"/><Relationship Id="rId6139" Type="http://schemas.openxmlformats.org/officeDocument/2006/relationships/hyperlink" Target="https://salesxceleration.com/wp-content/themes/salesxceleratione/assets/css/style.css?ver=1769123704" TargetMode="External"/><Relationship Id="rId6137" Type="http://schemas.openxmlformats.org/officeDocument/2006/relationships/hyperlink" Target="https://salesxceleration.com/wp-content/uploads/2022/02/Business-Executive-on-Manufaturing-Floor-300x169.jpg" TargetMode="External"/><Relationship Id="rId6138" Type="http://schemas.openxmlformats.org/officeDocument/2006/relationships/hyperlink" Target="https://salesxceleration.com/wp-content/uploads/2022/02/Business-Executive-on-Manufaturing-Floor-300x169.jpg" TargetMode="External"/><Relationship Id="rId6160" Type="http://schemas.openxmlformats.org/officeDocument/2006/relationships/hyperlink" Target="https://salesxceleration.com/wp-content/uploads/2021/02/thumb-mfg-cs-768x440.jpg" TargetMode="External"/><Relationship Id="rId6161" Type="http://schemas.openxmlformats.org/officeDocument/2006/relationships/hyperlink" Target="https://salesxceleration.com/tried-true-lessons-selling/" TargetMode="External"/><Relationship Id="rId6164" Type="http://schemas.openxmlformats.org/officeDocument/2006/relationships/hyperlink" Target="https://salesxceleration.com/every-crisis-presents-opportunity/" TargetMode="External"/><Relationship Id="rId6165" Type="http://schemas.openxmlformats.org/officeDocument/2006/relationships/hyperlink" Target="https://salesxceleration.com/every-crisis-presents-opportunity/" TargetMode="External"/><Relationship Id="rId6162" Type="http://schemas.openxmlformats.org/officeDocument/2006/relationships/hyperlink" Target="https://salesxceleration.com/tried-true-lessons-selling/" TargetMode="External"/><Relationship Id="rId6163" Type="http://schemas.openxmlformats.org/officeDocument/2006/relationships/hyperlink" Target="https://salesxceleration.com/tried-true-lessons-selling/" TargetMode="External"/><Relationship Id="rId6168" Type="http://schemas.openxmlformats.org/officeDocument/2006/relationships/hyperlink" Target="https://salesxceleration.com/wp-content/uploads/2017/11/newnew-1-300x202.jpg" TargetMode="External"/><Relationship Id="rId6169" Type="http://schemas.openxmlformats.org/officeDocument/2006/relationships/hyperlink" Target="https://salesxceleration.com/wp-content/uploads/2020/02/foodagthumb-768x439.jpg" TargetMode="External"/><Relationship Id="rId6166" Type="http://schemas.openxmlformats.org/officeDocument/2006/relationships/hyperlink" Target="https://salesxceleration.com/every-crisis-presents-opportunity/" TargetMode="External"/><Relationship Id="rId6167" Type="http://schemas.openxmlformats.org/officeDocument/2006/relationships/hyperlink" Target="https://salesxceleration.com/wp-content/uploads/2017/11/newnew-1-300x202.jpg" TargetMode="External"/><Relationship Id="rId6150" Type="http://schemas.openxmlformats.org/officeDocument/2006/relationships/hyperlink" Target="https://salesxceleration.com/wp-content/uploads/2020/04/Climbing_the_ladder-scaled-1-300x168.jpg" TargetMode="External"/><Relationship Id="rId6153" Type="http://schemas.openxmlformats.org/officeDocument/2006/relationships/hyperlink" Target="https://salesxceleration.com/four-painful-manufacturing-sales-challenges-and-the-cure-hiding-in-plain-sight/" TargetMode="External"/><Relationship Id="rId6154" Type="http://schemas.openxmlformats.org/officeDocument/2006/relationships/hyperlink" Target="https://salesxceleration.com/four-painful-manufacturing-sales-challenges-and-the-cure-hiding-in-plain-sight/" TargetMode="External"/><Relationship Id="rId6151" Type="http://schemas.openxmlformats.org/officeDocument/2006/relationships/hyperlink" Target="https://salesxceleration.com/wp-content/uploads/2020/04/Climbing_the_ladder-scaled-1-300x168.jpg" TargetMode="External"/><Relationship Id="rId6152" Type="http://schemas.openxmlformats.org/officeDocument/2006/relationships/hyperlink" Target="https://salesxceleration.com/four-painful-manufacturing-sales-challenges-and-the-cure-hiding-in-plain-sight/" TargetMode="External"/><Relationship Id="rId6157" Type="http://schemas.openxmlformats.org/officeDocument/2006/relationships/hyperlink" Target="https://salesxceleration.com/wp-content/uploads/2021/02/thumb-consulting-cs-768x440.jpg" TargetMode="External"/><Relationship Id="rId6158" Type="http://schemas.openxmlformats.org/officeDocument/2006/relationships/hyperlink" Target="https://salesxceleration.com/wp-content/uploads/2021/02/thumb-consulting-cs-768x440.jpg" TargetMode="External"/><Relationship Id="rId6155" Type="http://schemas.openxmlformats.org/officeDocument/2006/relationships/hyperlink" Target="https://salesxceleration.com/wp-content/uploads/2020/01/tech-thumb-768x424.jpg" TargetMode="External"/><Relationship Id="rId6156" Type="http://schemas.openxmlformats.org/officeDocument/2006/relationships/hyperlink" Target="https://salesxceleration.com/wp-content/uploads/2020/01/tech-thumb-768x424.jpg" TargetMode="External"/><Relationship Id="rId6159" Type="http://schemas.openxmlformats.org/officeDocument/2006/relationships/hyperlink" Target="https://salesxceleration.com/wp-content/uploads/2021/02/thumb-mfg-cs-768x440.jpg" TargetMode="External"/><Relationship Id="rId1334" Type="http://schemas.openxmlformats.org/officeDocument/2006/relationships/hyperlink" Target="https://salesxceleration.com/news-events/sales-xceleration-acquires-indiana-based-staffing-provider/" TargetMode="External"/><Relationship Id="rId2665" Type="http://schemas.openxmlformats.org/officeDocument/2006/relationships/hyperlink" Target="https://salesxceleration.com/sales-agility-assessment-1-0-kyenke" TargetMode="External"/><Relationship Id="rId3997" Type="http://schemas.openxmlformats.org/officeDocument/2006/relationships/hyperlink" Target="https://salesxceleration.com/will-you-hitchhike-on-the-b2b-buyers-journey-or-help-guide-the-ride/" TargetMode="External"/><Relationship Id="rId1335" Type="http://schemas.openxmlformats.org/officeDocument/2006/relationships/hyperlink" Target="https://salesxceleration.com/news-events/sales-xceleration-acquires-indiana-based-staffing-provider/" TargetMode="External"/><Relationship Id="rId2666" Type="http://schemas.openxmlformats.org/officeDocument/2006/relationships/hyperlink" Target="https://salesxceleration.com/sales-agility-assessment/" TargetMode="External"/><Relationship Id="rId3996" Type="http://schemas.openxmlformats.org/officeDocument/2006/relationships/hyperlink" Target="https://salesxceleration.com/will-you-hitchhike-on-the-b2b-buyers-journey-or-help-guide-the-ride/" TargetMode="External"/><Relationship Id="rId1336" Type="http://schemas.openxmlformats.org/officeDocument/2006/relationships/hyperlink" Target="https://salesxceleration.com/news-events/sales-xceleration-acquires-indiana-based-staffing-provider/" TargetMode="External"/><Relationship Id="rId2667" Type="http://schemas.openxmlformats.org/officeDocument/2006/relationships/hyperlink" Target="https://salesxceleration.com/sales-agility-assessment-1-0-kyenke" TargetMode="External"/><Relationship Id="rId3999" Type="http://schemas.openxmlformats.org/officeDocument/2006/relationships/hyperlink" Target="https://salesxceleration.com/how-to-achieve-your-business-goals-with-individual-salesperson-goals/" TargetMode="External"/><Relationship Id="rId1337" Type="http://schemas.openxmlformats.org/officeDocument/2006/relationships/hyperlink" Target="https://salesxceleration.com/news-events/meet-sales-xcelerations-newest-fractional-sales-leaders-ready-to-transform-your-business/" TargetMode="External"/><Relationship Id="rId2668" Type="http://schemas.openxmlformats.org/officeDocument/2006/relationships/hyperlink" Target="https://salesxceleration.com/wp-content/uploads/2022/06/sia.jpg" TargetMode="External"/><Relationship Id="rId3998" Type="http://schemas.openxmlformats.org/officeDocument/2006/relationships/hyperlink" Target="https://salesxceleration.com/will-you-hitchhike-on-the-b2b-buyers-journey-or-help-guide-the-ride/" TargetMode="External"/><Relationship Id="rId1338" Type="http://schemas.openxmlformats.org/officeDocument/2006/relationships/hyperlink" Target="https://salesxceleration.com/news-events/meet-sales-xcelerations-newest-fractional-sales-leaders-ready-to-transform-your-business/" TargetMode="External"/><Relationship Id="rId2669" Type="http://schemas.openxmlformats.org/officeDocument/2006/relationships/hyperlink" Target="https://salesxceleration.com/wp-content/uploads/2022/06/sia.jpg" TargetMode="External"/><Relationship Id="rId1339" Type="http://schemas.openxmlformats.org/officeDocument/2006/relationships/hyperlink" Target="https://salesxceleration.com/news-events/meet-sales-xcelerations-newest-fractional-sales-leaders-ready-to-transform-your-business/" TargetMode="External"/><Relationship Id="rId745" Type="http://schemas.openxmlformats.org/officeDocument/2006/relationships/hyperlink" Target="https://salesxceleration.com/wp-content/uploads/2023/04/Brock_Marck-225x225.jpg" TargetMode="External"/><Relationship Id="rId744" Type="http://schemas.openxmlformats.org/officeDocument/2006/relationships/hyperlink" Target="https://salesxceleration.com/wp-content/uploads/2017/01/Lawson-Kevin-225x225.jpg" TargetMode="External"/><Relationship Id="rId743" Type="http://schemas.openxmlformats.org/officeDocument/2006/relationships/hyperlink" Target="https://salesxceleration.com/wp-content/uploads/2017/01/Lawson-Kevin-225x225.jpg" TargetMode="External"/><Relationship Id="rId742" Type="http://schemas.openxmlformats.org/officeDocument/2006/relationships/hyperlink" Target="https://salesxceleration.com/wp-content/uploads/2022/04/Kaigh-Jim-275x275-1-225x225.jpg" TargetMode="External"/><Relationship Id="rId749" Type="http://schemas.openxmlformats.org/officeDocument/2006/relationships/hyperlink" Target="https://salesxceleration.com/wp-content/uploads/2022/04/Trotta-Vince-275x275-1-225x225.jpg" TargetMode="External"/><Relationship Id="rId748" Type="http://schemas.openxmlformats.org/officeDocument/2006/relationships/hyperlink" Target="https://salesxceleration.com/wp-content/uploads/2024/12/Wersel_Andy-225x225.jpg" TargetMode="External"/><Relationship Id="rId747" Type="http://schemas.openxmlformats.org/officeDocument/2006/relationships/hyperlink" Target="https://salesxceleration.com/wp-content/uploads/2024/12/Wersel_Andy-225x225.jpg" TargetMode="External"/><Relationship Id="rId746" Type="http://schemas.openxmlformats.org/officeDocument/2006/relationships/hyperlink" Target="https://salesxceleration.com/wp-content/uploads/2023/04/Brock_Marck-225x225.jpg" TargetMode="External"/><Relationship Id="rId3991" Type="http://schemas.openxmlformats.org/officeDocument/2006/relationships/hyperlink" Target="https://salesxceleration.com/wp-content/uploads/2023/04/5-Reasons.jpg" TargetMode="External"/><Relationship Id="rId2660" Type="http://schemas.openxmlformats.org/officeDocument/2006/relationships/hyperlink" Target="https://salesxceleration.com/wp-content/themes/salesxceleratione/assets/css/style.css?ver=1769123425" TargetMode="External"/><Relationship Id="rId3990" Type="http://schemas.openxmlformats.org/officeDocument/2006/relationships/hyperlink" Target="https://salesxceleration.com/wp-content/uploads/2022/01/shutterstock_1471857863-300x200.jpg" TargetMode="External"/><Relationship Id="rId741" Type="http://schemas.openxmlformats.org/officeDocument/2006/relationships/hyperlink" Target="https://salesxceleration.com/wp-content/uploads/2022/04/Kaigh-Jim-275x275-1-225x225.jpg" TargetMode="External"/><Relationship Id="rId1330" Type="http://schemas.openxmlformats.org/officeDocument/2006/relationships/hyperlink" Target="https://salesxceleration.com/news-events/sales-xceleration-adds-eight-new-sales-consultants-to-help-small-to-mid-size-businesses-grow-revenue/" TargetMode="External"/><Relationship Id="rId2661" Type="http://schemas.openxmlformats.org/officeDocument/2006/relationships/hyperlink" Target="https://salesxceleration.com/wp-content/uploads/2017/04/KathyYenkeNA.jpg" TargetMode="External"/><Relationship Id="rId3993" Type="http://schemas.openxmlformats.org/officeDocument/2006/relationships/hyperlink" Target="https://salesxceleration.com/five-ways-social-media-can-elevate-your-sales-efforts/" TargetMode="External"/><Relationship Id="rId740" Type="http://schemas.openxmlformats.org/officeDocument/2006/relationships/hyperlink" Target="https://salesxceleration.com/wp-content/uploads/2024/02/Boisclair_Matt-225x225.jpg" TargetMode="External"/><Relationship Id="rId1331" Type="http://schemas.openxmlformats.org/officeDocument/2006/relationships/hyperlink" Target="https://salesxceleration.com/news-events/smb-demand-continues-for-sales-infrastructure-leadership-skills/" TargetMode="External"/><Relationship Id="rId2662" Type="http://schemas.openxmlformats.org/officeDocument/2006/relationships/hyperlink" Target="https://salesxceleration.com/wp-content/uploads/2017/04/KathyYenkeNA.jpg" TargetMode="External"/><Relationship Id="rId3992" Type="http://schemas.openxmlformats.org/officeDocument/2006/relationships/hyperlink" Target="https://salesxceleration.com/wp-content/uploads/2023/04/5-Reasons.jpg" TargetMode="External"/><Relationship Id="rId1332" Type="http://schemas.openxmlformats.org/officeDocument/2006/relationships/hyperlink" Target="https://salesxceleration.com/news-events/smb-demand-continues-for-sales-infrastructure-leadership-skills/" TargetMode="External"/><Relationship Id="rId2663" Type="http://schemas.openxmlformats.org/officeDocument/2006/relationships/hyperlink" Target="https://salesxceleration.com/wp-content/uploads/2018/10/October-training-class-imagecrop.png" TargetMode="External"/><Relationship Id="rId3995" Type="http://schemas.openxmlformats.org/officeDocument/2006/relationships/hyperlink" Target="https://salesxceleration.com/five-ways-social-media-can-elevate-your-sales-efforts/" TargetMode="External"/><Relationship Id="rId1333" Type="http://schemas.openxmlformats.org/officeDocument/2006/relationships/hyperlink" Target="https://salesxceleration.com/news-events/smb-demand-continues-for-sales-infrastructure-leadership-skills/" TargetMode="External"/><Relationship Id="rId2664" Type="http://schemas.openxmlformats.org/officeDocument/2006/relationships/hyperlink" Target="https://salesxceleration.com/wp-content/uploads/2018/10/October-training-class-imagecrop.png" TargetMode="External"/><Relationship Id="rId3994" Type="http://schemas.openxmlformats.org/officeDocument/2006/relationships/hyperlink" Target="https://salesxceleration.com/five-ways-social-media-can-elevate-your-sales-efforts/" TargetMode="External"/><Relationship Id="rId1323" Type="http://schemas.openxmlformats.org/officeDocument/2006/relationships/hyperlink" Target="https://salesxceleration.com/news-events/working-well-maura-kautsky-of-sales-xceleration-on-how-companies-are-creating-cultures-that-support-sustain-mental-emotional-social-physical-financial-wellness/" TargetMode="External"/><Relationship Id="rId2654" Type="http://schemas.openxmlformats.org/officeDocument/2006/relationships/hyperlink" Target="https://salesxceleration.com/author/neptune-web/" TargetMode="External"/><Relationship Id="rId3986" Type="http://schemas.openxmlformats.org/officeDocument/2006/relationships/hyperlink" Target="https://salesxceleration.com/the-real-benefits-of-better-sales-compensation-plans/" TargetMode="External"/><Relationship Id="rId1324" Type="http://schemas.openxmlformats.org/officeDocument/2006/relationships/hyperlink" Target="https://salesxceleration.com/news-events/working-well-maura-kautsky-of-sales-xceleration-on-how-companies-are-creating-cultures-that-support-sustain-mental-emotional-social-physical-financial-wellness/" TargetMode="External"/><Relationship Id="rId2655" Type="http://schemas.openxmlformats.org/officeDocument/2006/relationships/hyperlink" Target="https://salesxceleration.com/wp-content/uploads/2016/01/New-Advisor-Class-December-2015-1.jpg" TargetMode="External"/><Relationship Id="rId3985" Type="http://schemas.openxmlformats.org/officeDocument/2006/relationships/hyperlink" Target="https://salesxceleration.com/6-steps-for-recruiting-top-sales-talent/" TargetMode="External"/><Relationship Id="rId1325" Type="http://schemas.openxmlformats.org/officeDocument/2006/relationships/hyperlink" Target="https://salesxceleration.com/news-events/kathy-yenke-presents-make-great-sales-organization-ceo-growth-workshop/" TargetMode="External"/><Relationship Id="rId2656" Type="http://schemas.openxmlformats.org/officeDocument/2006/relationships/hyperlink" Target="https://salesxceleration.com/wp-content/uploads/2016/01/New-Advisor-Class-December-2015-1.jpg" TargetMode="External"/><Relationship Id="rId3988" Type="http://schemas.openxmlformats.org/officeDocument/2006/relationships/hyperlink" Target="https://salesxceleration.com/the-real-benefits-of-better-sales-compensation-plans/" TargetMode="External"/><Relationship Id="rId1326" Type="http://schemas.openxmlformats.org/officeDocument/2006/relationships/hyperlink" Target="https://salesxceleration.com/news-events/kathy-yenke-presents-make-great-sales-organization-ceo-growth-workshop/" TargetMode="External"/><Relationship Id="rId2657" Type="http://schemas.openxmlformats.org/officeDocument/2006/relationships/hyperlink" Target="https://salesxceleration.com/wp-content/uploads/2022/11/Company-Culture.jpg" TargetMode="External"/><Relationship Id="rId3987" Type="http://schemas.openxmlformats.org/officeDocument/2006/relationships/hyperlink" Target="https://salesxceleration.com/the-real-benefits-of-better-sales-compensation-plans/" TargetMode="External"/><Relationship Id="rId1327" Type="http://schemas.openxmlformats.org/officeDocument/2006/relationships/hyperlink" Target="https://salesxceleration.com/news-events/kathy-yenke-presents-make-great-sales-organization-ceo-growth-workshop/" TargetMode="External"/><Relationship Id="rId2658" Type="http://schemas.openxmlformats.org/officeDocument/2006/relationships/hyperlink" Target="https://salesxceleration.com/wp-content/uploads/2022/11/Company-Culture.jpg" TargetMode="External"/><Relationship Id="rId1328" Type="http://schemas.openxmlformats.org/officeDocument/2006/relationships/hyperlink" Target="https://salesxceleration.com/news-events/sales-xceleration-adds-eight-new-sales-consultants-to-help-small-to-mid-size-businesses-grow-revenue/" TargetMode="External"/><Relationship Id="rId2659" Type="http://schemas.openxmlformats.org/officeDocument/2006/relationships/hyperlink" Target="https://salesxceleration.com/wp-content/themes/salesxceleratione/assets/css/style.css?ver=1769123425" TargetMode="External"/><Relationship Id="rId3989" Type="http://schemas.openxmlformats.org/officeDocument/2006/relationships/hyperlink" Target="https://salesxceleration.com/wp-content/uploads/2022/01/shutterstock_1471857863-300x200.jpg" TargetMode="External"/><Relationship Id="rId1329" Type="http://schemas.openxmlformats.org/officeDocument/2006/relationships/hyperlink" Target="https://salesxceleration.com/news-events/sales-xceleration-adds-eight-new-sales-consultants-to-help-small-to-mid-size-businesses-grow-revenue/" TargetMode="External"/><Relationship Id="rId739" Type="http://schemas.openxmlformats.org/officeDocument/2006/relationships/hyperlink" Target="https://salesxceleration.com/wp-content/uploads/2024/02/Boisclair_Matt-225x225.jpg" TargetMode="External"/><Relationship Id="rId734" Type="http://schemas.openxmlformats.org/officeDocument/2006/relationships/hyperlink" Target="https://salesxceleration.com/wp-content/uploads/2024/02/Jim-Tates-225x225.jpeg" TargetMode="External"/><Relationship Id="rId733" Type="http://schemas.openxmlformats.org/officeDocument/2006/relationships/hyperlink" Target="https://salesxceleration.com/wp-content/uploads/2024/02/Jim-Tates-225x225.jpeg" TargetMode="External"/><Relationship Id="rId732" Type="http://schemas.openxmlformats.org/officeDocument/2006/relationships/hyperlink" Target="https://salesxceleration.com/job/vp-of-sales-revenue-opportunity-300k-chicago-il/" TargetMode="External"/><Relationship Id="rId731" Type="http://schemas.openxmlformats.org/officeDocument/2006/relationships/hyperlink" Target="https://salesxceleration.com/job/vp-of-sales-revenue-opportunity-300k-chicago-il/" TargetMode="External"/><Relationship Id="rId738" Type="http://schemas.openxmlformats.org/officeDocument/2006/relationships/hyperlink" Target="https://salesxceleration.com/wp-content/uploads/2024/12/Nwachukwu-Baker-Doris-225x225.jpg" TargetMode="External"/><Relationship Id="rId737" Type="http://schemas.openxmlformats.org/officeDocument/2006/relationships/hyperlink" Target="https://salesxceleration.com/wp-content/uploads/2024/12/Nwachukwu-Baker-Doris-225x225.jpg" TargetMode="External"/><Relationship Id="rId736" Type="http://schemas.openxmlformats.org/officeDocument/2006/relationships/hyperlink" Target="https://salesxceleration.com/sales-recruiting/contact/" TargetMode="External"/><Relationship Id="rId735" Type="http://schemas.openxmlformats.org/officeDocument/2006/relationships/hyperlink" Target="https://salesxceleration.com/sales-recruiting/contact/" TargetMode="External"/><Relationship Id="rId3980" Type="http://schemas.openxmlformats.org/officeDocument/2006/relationships/hyperlink" Target="https://salesxceleration.com/five-keys-to-more-successful-sales-compensation-plans/" TargetMode="External"/><Relationship Id="rId730" Type="http://schemas.openxmlformats.org/officeDocument/2006/relationships/hyperlink" Target="https://salesxceleration.com/job/vp-of-sales-revenue-opportunity-300k-chicago-il/" TargetMode="External"/><Relationship Id="rId2650" Type="http://schemas.openxmlformats.org/officeDocument/2006/relationships/hyperlink" Target="https://salesxceleration.com/wp-content/uploads/2017/08/Investment-Sales-Analysis-Drivers-Web.jpg" TargetMode="External"/><Relationship Id="rId3982" Type="http://schemas.openxmlformats.org/officeDocument/2006/relationships/hyperlink" Target="https://salesxceleration.com/five-keys-to-more-successful-sales-compensation-plans/" TargetMode="External"/><Relationship Id="rId1320" Type="http://schemas.openxmlformats.org/officeDocument/2006/relationships/hyperlink" Target="https://salesxceleration.com/news-events/stagnant-sales-sales-xceleration-enters-new-markets-offers-solutions-business-owners/" TargetMode="External"/><Relationship Id="rId2651" Type="http://schemas.openxmlformats.org/officeDocument/2006/relationships/hyperlink" Target="https://salesxceleration.com/wp-content/uploads/2017/08/Investment-Sales-Analysis-Drivers-Web.jpg" TargetMode="External"/><Relationship Id="rId3981" Type="http://schemas.openxmlformats.org/officeDocument/2006/relationships/hyperlink" Target="https://salesxceleration.com/five-keys-to-more-successful-sales-compensation-plans/" TargetMode="External"/><Relationship Id="rId1321" Type="http://schemas.openxmlformats.org/officeDocument/2006/relationships/hyperlink" Target="https://salesxceleration.com/news-events/stagnant-sales-sales-xceleration-enters-new-markets-offers-solutions-business-owners/" TargetMode="External"/><Relationship Id="rId2652" Type="http://schemas.openxmlformats.org/officeDocument/2006/relationships/hyperlink" Target="https://salesxceleration.com/author/neptune-web/" TargetMode="External"/><Relationship Id="rId3984" Type="http://schemas.openxmlformats.org/officeDocument/2006/relationships/hyperlink" Target="https://salesxceleration.com/6-steps-for-recruiting-top-sales-talent/" TargetMode="External"/><Relationship Id="rId1322" Type="http://schemas.openxmlformats.org/officeDocument/2006/relationships/hyperlink" Target="https://salesxceleration.com/news-events/working-well-maura-kautsky-of-sales-xceleration-on-how-companies-are-creating-cultures-that-support-sustain-mental-emotional-social-physical-financial-wellness/" TargetMode="External"/><Relationship Id="rId2653" Type="http://schemas.openxmlformats.org/officeDocument/2006/relationships/hyperlink" Target="https://salesxceleration.com/author/neptune-web/" TargetMode="External"/><Relationship Id="rId3983" Type="http://schemas.openxmlformats.org/officeDocument/2006/relationships/hyperlink" Target="https://salesxceleration.com/6-steps-for-recruiting-top-sales-talent/" TargetMode="External"/><Relationship Id="rId1356" Type="http://schemas.openxmlformats.org/officeDocument/2006/relationships/hyperlink" Target="https://salesxceleration.com/news-events/two-of-rise-sports-advisors-clients-invest-in-sales-xceleration/" TargetMode="External"/><Relationship Id="rId2687" Type="http://schemas.openxmlformats.org/officeDocument/2006/relationships/hyperlink" Target="https://salesxceleration.com/wp-content/uploads/2022/02/Feb-2022-Training-Class.jpg" TargetMode="External"/><Relationship Id="rId1357" Type="http://schemas.openxmlformats.org/officeDocument/2006/relationships/hyperlink" Target="https://salesxceleration.com/news-events/two-of-rise-sports-advisors-clients-invest-in-sales-xceleration/" TargetMode="External"/><Relationship Id="rId2688" Type="http://schemas.openxmlformats.org/officeDocument/2006/relationships/hyperlink" Target="https://salesxceleration.com/wp-content/uploads/2022/02/Feb-2022-Training-Class.jpg" TargetMode="External"/><Relationship Id="rId1358" Type="http://schemas.openxmlformats.org/officeDocument/2006/relationships/hyperlink" Target="https://salesxceleration.com/news-events/the-national-footprint-expansion-continues/" TargetMode="External"/><Relationship Id="rId2689" Type="http://schemas.openxmlformats.org/officeDocument/2006/relationships/hyperlink" Target="https://salesxceleration.com/wp-content/themes/salesxceleratione/assets/css/style.css?ver=1769123427" TargetMode="External"/><Relationship Id="rId1359" Type="http://schemas.openxmlformats.org/officeDocument/2006/relationships/hyperlink" Target="https://salesxceleration.com/news-events/the-national-footprint-expansion-continues/" TargetMode="External"/><Relationship Id="rId767" Type="http://schemas.openxmlformats.org/officeDocument/2006/relationships/hyperlink" Target="https://salesxceleration.com/wp-content/uploads/2023/08/Twete_Todd-Updated-Headshot-225x225.jpg" TargetMode="External"/><Relationship Id="rId766" Type="http://schemas.openxmlformats.org/officeDocument/2006/relationships/hyperlink" Target="https://salesxceleration.com/wp-content/uploads/2023/08/Twete_Todd-Updated-Headshot-225x225.jpg" TargetMode="External"/><Relationship Id="rId765" Type="http://schemas.openxmlformats.org/officeDocument/2006/relationships/hyperlink" Target="https://salesxceleration.com/advisors/john-stephens/" TargetMode="External"/><Relationship Id="rId764" Type="http://schemas.openxmlformats.org/officeDocument/2006/relationships/hyperlink" Target="https://salesxceleration.com/advisors/john-stephens/" TargetMode="External"/><Relationship Id="rId769" Type="http://schemas.openxmlformats.org/officeDocument/2006/relationships/hyperlink" Target="https://salesxceleration.com/wp-content/uploads/2024/10/Rohde_Kevin-225x225.jpg" TargetMode="External"/><Relationship Id="rId768" Type="http://schemas.openxmlformats.org/officeDocument/2006/relationships/hyperlink" Target="https://salesxceleration.com/wp-content/uploads/2024/10/Rohde_Kevin-225x225.jpg" TargetMode="External"/><Relationship Id="rId2680" Type="http://schemas.openxmlformats.org/officeDocument/2006/relationships/hyperlink" Target="https://salesxceleration.com/wp-content/themes/salesxceleratione/assets/css/style.css?ver=1769123426" TargetMode="External"/><Relationship Id="rId1350" Type="http://schemas.openxmlformats.org/officeDocument/2006/relationships/hyperlink" Target="https://salesxceleration.com/news-events/meet-the-newest-sales-advisors-to-our-team/" TargetMode="External"/><Relationship Id="rId2681" Type="http://schemas.openxmlformats.org/officeDocument/2006/relationships/hyperlink" Target="https://salesxceleration.com/wp-content/uploads/2022/05/Top20SalesTraining2022-Honorable-lg.png" TargetMode="External"/><Relationship Id="rId1351" Type="http://schemas.openxmlformats.org/officeDocument/2006/relationships/hyperlink" Target="https://salesxceleration.com/news-events/meet-the-newest-sales-advisors-to-our-team/" TargetMode="External"/><Relationship Id="rId2682" Type="http://schemas.openxmlformats.org/officeDocument/2006/relationships/hyperlink" Target="https://salesxceleration.com/wp-content/uploads/2022/05/Top20SalesTraining2022-Honorable-lg.png" TargetMode="External"/><Relationship Id="rId763" Type="http://schemas.openxmlformats.org/officeDocument/2006/relationships/hyperlink" Target="https://salesxceleration.com/advisors/john-stephens/" TargetMode="External"/><Relationship Id="rId1352" Type="http://schemas.openxmlformats.org/officeDocument/2006/relationships/hyperlink" Target="https://salesxceleration.com/news-events/sales-xceleration-inc-ranks-no-2353-on-the-2019-inc-5000/" TargetMode="External"/><Relationship Id="rId2683" Type="http://schemas.openxmlformats.org/officeDocument/2006/relationships/hyperlink" Target="https://salesxceleration.com/wp-content/uploads/2020/02/advisors-0220.jpg" TargetMode="External"/><Relationship Id="rId762" Type="http://schemas.openxmlformats.org/officeDocument/2006/relationships/hyperlink" Target="https://salesxceleration.com/wp-content/uploads/2025/06/Triggs_Evan-225x225.jpg" TargetMode="External"/><Relationship Id="rId1353" Type="http://schemas.openxmlformats.org/officeDocument/2006/relationships/hyperlink" Target="https://salesxceleration.com/news-events/sales-xceleration-inc-ranks-no-2353-on-the-2019-inc-5000/" TargetMode="External"/><Relationship Id="rId2684" Type="http://schemas.openxmlformats.org/officeDocument/2006/relationships/hyperlink" Target="https://salesxceleration.com/wp-content/uploads/2020/02/advisors-0220.jpg" TargetMode="External"/><Relationship Id="rId761" Type="http://schemas.openxmlformats.org/officeDocument/2006/relationships/hyperlink" Target="https://salesxceleration.com/wp-content/uploads/2025/06/Triggs_Evan-225x225.jpg" TargetMode="External"/><Relationship Id="rId1354" Type="http://schemas.openxmlformats.org/officeDocument/2006/relationships/hyperlink" Target="https://salesxceleration.com/news-events/sales-xceleration-inc-ranks-no-2353-on-the-2019-inc-5000/" TargetMode="External"/><Relationship Id="rId2685" Type="http://schemas.openxmlformats.org/officeDocument/2006/relationships/hyperlink" Target="https://salesxceleration.com/wp-content/uploads/2017/08/Sales-Xceleration-Milestone-50.jpg" TargetMode="External"/><Relationship Id="rId760" Type="http://schemas.openxmlformats.org/officeDocument/2006/relationships/hyperlink" Target="https://salesxceleration.com/wp-content/uploads/2022/04/Harvill-Matt-275x275-1-225x225.jpg" TargetMode="External"/><Relationship Id="rId1355" Type="http://schemas.openxmlformats.org/officeDocument/2006/relationships/hyperlink" Target="https://salesxceleration.com/news-events/two-of-rise-sports-advisors-clients-invest-in-sales-xceleration/" TargetMode="External"/><Relationship Id="rId2686" Type="http://schemas.openxmlformats.org/officeDocument/2006/relationships/hyperlink" Target="https://salesxceleration.com/wp-content/uploads/2017/08/Sales-Xceleration-Milestone-50.jpg" TargetMode="External"/><Relationship Id="rId1345" Type="http://schemas.openxmlformats.org/officeDocument/2006/relationships/hyperlink" Target="https://salesxceleration.com/news-events/sales-xceleration-hits-important-milestone-50-advisors/" TargetMode="External"/><Relationship Id="rId2676" Type="http://schemas.openxmlformats.org/officeDocument/2006/relationships/hyperlink" Target="https://salesxceleration.com/advisors/kathy-yenke/" TargetMode="External"/><Relationship Id="rId1346" Type="http://schemas.openxmlformats.org/officeDocument/2006/relationships/hyperlink" Target="https://salesxceleration.com/news-events/demand-for-fractional-sales-leadership-continues-to-increase-in-north-america/" TargetMode="External"/><Relationship Id="rId2677" Type="http://schemas.openxmlformats.org/officeDocument/2006/relationships/hyperlink" Target="https://salesxceleration.com/wp-content/uploads/2024/04/April-2024-Class-e1713887986484.jpg" TargetMode="External"/><Relationship Id="rId1347" Type="http://schemas.openxmlformats.org/officeDocument/2006/relationships/hyperlink" Target="https://salesxceleration.com/news-events/demand-for-fractional-sales-leadership-continues-to-increase-in-north-america/" TargetMode="External"/><Relationship Id="rId2678" Type="http://schemas.openxmlformats.org/officeDocument/2006/relationships/hyperlink" Target="https://salesxceleration.com/wp-content/uploads/2024/04/April-2024-Class-e1713887986484.jpg" TargetMode="External"/><Relationship Id="rId1348" Type="http://schemas.openxmlformats.org/officeDocument/2006/relationships/hyperlink" Target="https://salesxceleration.com/news-events/demand-for-fractional-sales-leadership-continues-to-increase-in-north-america/" TargetMode="External"/><Relationship Id="rId2679" Type="http://schemas.openxmlformats.org/officeDocument/2006/relationships/hyperlink" Target="https://salesxceleration.com/wp-content/themes/salesxceleratione/assets/css/style.css?ver=1769123426" TargetMode="External"/><Relationship Id="rId1349" Type="http://schemas.openxmlformats.org/officeDocument/2006/relationships/hyperlink" Target="https://salesxceleration.com/news-events/meet-the-newest-sales-advisors-to-our-team/" TargetMode="External"/><Relationship Id="rId756" Type="http://schemas.openxmlformats.org/officeDocument/2006/relationships/hyperlink" Target="https://salesxceleration.com/wp-content/uploads/2022/04/Maanum-Mike-275x275-1-225x225.jpg" TargetMode="External"/><Relationship Id="rId755" Type="http://schemas.openxmlformats.org/officeDocument/2006/relationships/hyperlink" Target="https://salesxceleration.com/wp-content/uploads/2022/04/Maanum-Mike-275x275-1-225x225.jpg" TargetMode="External"/><Relationship Id="rId754" Type="http://schemas.openxmlformats.org/officeDocument/2006/relationships/hyperlink" Target="https://salesxceleration.com/wp-content/uploads/2024/09/Gallop_Jeff-225x225.jpg" TargetMode="External"/><Relationship Id="rId753" Type="http://schemas.openxmlformats.org/officeDocument/2006/relationships/hyperlink" Target="https://salesxceleration.com/wp-content/uploads/2024/09/Gallop_Jeff-225x225.jpg" TargetMode="External"/><Relationship Id="rId759" Type="http://schemas.openxmlformats.org/officeDocument/2006/relationships/hyperlink" Target="https://salesxceleration.com/wp-content/uploads/2022/04/Harvill-Matt-275x275-1-225x225.jpg" TargetMode="External"/><Relationship Id="rId758" Type="http://schemas.openxmlformats.org/officeDocument/2006/relationships/hyperlink" Target="https://salesxceleration.com/wp-content/uploads/2025/01/Purto_Donnie-225x225.jpg" TargetMode="External"/><Relationship Id="rId757" Type="http://schemas.openxmlformats.org/officeDocument/2006/relationships/hyperlink" Target="https://salesxceleration.com/wp-content/uploads/2025/01/Purto_Donnie-225x225.jpg" TargetMode="External"/><Relationship Id="rId2670" Type="http://schemas.openxmlformats.org/officeDocument/2006/relationships/hyperlink" Target="https://salesxceleration.com/author/maura-kautsky/" TargetMode="External"/><Relationship Id="rId1340" Type="http://schemas.openxmlformats.org/officeDocument/2006/relationships/hyperlink" Target="https://salesxceleration.com/news-events/sales-xceleration-receives-honorable-mention-on-selling-powers-top-sales-training-companies-list-for-csl-training/" TargetMode="External"/><Relationship Id="rId2671" Type="http://schemas.openxmlformats.org/officeDocument/2006/relationships/hyperlink" Target="https://salesxceleration.com/author/maura-kautsky/" TargetMode="External"/><Relationship Id="rId752" Type="http://schemas.openxmlformats.org/officeDocument/2006/relationships/hyperlink" Target="https://salesxceleration.com/wp-content/uploads/2022/04/Larcade-Chris-275x275-1-225x225.jpg" TargetMode="External"/><Relationship Id="rId1341" Type="http://schemas.openxmlformats.org/officeDocument/2006/relationships/hyperlink" Target="https://salesxceleration.com/news-events/sales-xceleration-receives-honorable-mention-on-selling-powers-top-sales-training-companies-list-for-csl-training/" TargetMode="External"/><Relationship Id="rId2672" Type="http://schemas.openxmlformats.org/officeDocument/2006/relationships/hyperlink" Target="https://salesxceleration.com/author/maura-kautsky/page/2/" TargetMode="External"/><Relationship Id="rId751" Type="http://schemas.openxmlformats.org/officeDocument/2006/relationships/hyperlink" Target="https://salesxceleration.com/wp-content/uploads/2022/04/Larcade-Chris-275x275-1-225x225.jpg" TargetMode="External"/><Relationship Id="rId1342" Type="http://schemas.openxmlformats.org/officeDocument/2006/relationships/hyperlink" Target="https://salesxceleration.com/news-events/sales-xceleration-receives-honorable-mention-on-selling-powers-top-sales-training-companies-list-for-csl-training/" TargetMode="External"/><Relationship Id="rId2673" Type="http://schemas.openxmlformats.org/officeDocument/2006/relationships/hyperlink" Target="https://salesxceleration.com/author/maura-kautsky/" TargetMode="External"/><Relationship Id="rId750" Type="http://schemas.openxmlformats.org/officeDocument/2006/relationships/hyperlink" Target="https://salesxceleration.com/wp-content/uploads/2022/04/Trotta-Vince-275x275-1-225x225.jpg" TargetMode="External"/><Relationship Id="rId1343" Type="http://schemas.openxmlformats.org/officeDocument/2006/relationships/hyperlink" Target="https://salesxceleration.com/news-events/sales-xceleration-hits-important-milestone-50-advisors/" TargetMode="External"/><Relationship Id="rId2674" Type="http://schemas.openxmlformats.org/officeDocument/2006/relationships/hyperlink" Target="https://salesxceleration.com/advisors/kathy-yenke/" TargetMode="External"/><Relationship Id="rId1344" Type="http://schemas.openxmlformats.org/officeDocument/2006/relationships/hyperlink" Target="https://salesxceleration.com/news-events/sales-xceleration-hits-important-milestone-50-advisors/" TargetMode="External"/><Relationship Id="rId2675" Type="http://schemas.openxmlformats.org/officeDocument/2006/relationships/hyperlink" Target="https://salesxceleration.com/advisors/kathy-yenke/" TargetMode="External"/><Relationship Id="rId2621" Type="http://schemas.openxmlformats.org/officeDocument/2006/relationships/hyperlink" Target="https://salesxceleration.com/advisors/Dan-Mahony/" TargetMode="External"/><Relationship Id="rId3953" Type="http://schemas.openxmlformats.org/officeDocument/2006/relationships/hyperlink" Target="https://salesxceleration.com/maximize-sales-by-aligning-the-b2b-buyer-journey-to-the-sales-process/" TargetMode="External"/><Relationship Id="rId2622" Type="http://schemas.openxmlformats.org/officeDocument/2006/relationships/hyperlink" Target="https://salesxceleration.com/advisors/dan-mahony/" TargetMode="External"/><Relationship Id="rId3952" Type="http://schemas.openxmlformats.org/officeDocument/2006/relationships/hyperlink" Target="https://salesxceleration.com/maximize-sales-by-aligning-the-b2b-buyer-journey-to-the-sales-process/" TargetMode="External"/><Relationship Id="rId2623" Type="http://schemas.openxmlformats.org/officeDocument/2006/relationships/hyperlink" Target="https://salesxceleration.com/advisors/Dan-Mahony/" TargetMode="External"/><Relationship Id="rId3955" Type="http://schemas.openxmlformats.org/officeDocument/2006/relationships/hyperlink" Target="https://salesxceleration.com/sales-agility-the-secret-to-successful-small-businesses/" TargetMode="External"/><Relationship Id="rId2624" Type="http://schemas.openxmlformats.org/officeDocument/2006/relationships/hyperlink" Target="https://salesxceleration.com/wp-content/uploads/2025/02/Presidents-Circle-Winners.jpg" TargetMode="External"/><Relationship Id="rId3954" Type="http://schemas.openxmlformats.org/officeDocument/2006/relationships/hyperlink" Target="https://salesxceleration.com/maximize-sales-by-aligning-the-b2b-buyer-journey-to-the-sales-process/" TargetMode="External"/><Relationship Id="rId2625" Type="http://schemas.openxmlformats.org/officeDocument/2006/relationships/hyperlink" Target="https://salesxceleration.com/wp-content/uploads/2025/02/Presidents-Circle-Winners.jpg" TargetMode="External"/><Relationship Id="rId3957" Type="http://schemas.openxmlformats.org/officeDocument/2006/relationships/hyperlink" Target="https://salesxceleration.com/sales-agility-the-secret-to-successful-small-businesses/" TargetMode="External"/><Relationship Id="rId2626" Type="http://schemas.openxmlformats.org/officeDocument/2006/relationships/hyperlink" Target="https://salesxceleration.com/wp-content/themes/salesxceleratione/assets/css/style.css?ver=1769123423" TargetMode="External"/><Relationship Id="rId3956" Type="http://schemas.openxmlformats.org/officeDocument/2006/relationships/hyperlink" Target="https://salesxceleration.com/sales-agility-the-secret-to-successful-small-businesses/" TargetMode="External"/><Relationship Id="rId2627" Type="http://schemas.openxmlformats.org/officeDocument/2006/relationships/hyperlink" Target="https://salesxceleration.com/wp-content/themes/salesxceleratione/assets/css/style.css?ver=1769123423" TargetMode="External"/><Relationship Id="rId3959" Type="http://schemas.openxmlformats.org/officeDocument/2006/relationships/hyperlink" Target="https://salesxceleration.com/wp-content/uploads/2022/01/United-Sales-Team-300x300.jpg" TargetMode="External"/><Relationship Id="rId2628" Type="http://schemas.openxmlformats.org/officeDocument/2006/relationships/hyperlink" Target="https://salesxceleration.com/wp-content/uploads/2021/12/New-Advisors-1.02.55-PMa.jpg" TargetMode="External"/><Relationship Id="rId3958" Type="http://schemas.openxmlformats.org/officeDocument/2006/relationships/hyperlink" Target="https://salesxceleration.com/wp-content/uploads/2022/01/United-Sales-Team-300x300.jpg" TargetMode="External"/><Relationship Id="rId709" Type="http://schemas.openxmlformats.org/officeDocument/2006/relationships/hyperlink" Target="https://salesxceleration.com/wp-content/themes/salesxceleratione/assets/css/style.css?ver=1769123320" TargetMode="External"/><Relationship Id="rId2629" Type="http://schemas.openxmlformats.org/officeDocument/2006/relationships/hyperlink" Target="https://salesxceleration.com/wp-content/uploads/2021/12/New-Advisors-1.02.55-PMa.jpg" TargetMode="External"/><Relationship Id="rId708" Type="http://schemas.openxmlformats.org/officeDocument/2006/relationships/hyperlink" Target="https://salesxceleration.com/wp-content/plugins/powerpack-elements/assets/lib/tablesaw/tablesaw.jquery.js?ver=3.0.3" TargetMode="External"/><Relationship Id="rId707" Type="http://schemas.openxmlformats.org/officeDocument/2006/relationships/hyperlink" Target="https://salesxceleration.com/wp-content/plugins/powerpack-elements/assets/lib/tablesaw/tablesaw.jquery.js?ver=3.0.3" TargetMode="External"/><Relationship Id="rId706" Type="http://schemas.openxmlformats.org/officeDocument/2006/relationships/hyperlink" Target="https://salesxceleration.com/wp-content/uploads/elementor/css/post-22358.css?ver=1768847635" TargetMode="External"/><Relationship Id="rId701" Type="http://schemas.openxmlformats.org/officeDocument/2006/relationships/hyperlink" Target="https://salesxceleration.com/job/vice-president-of-sales-london-uk/" TargetMode="External"/><Relationship Id="rId700" Type="http://schemas.openxmlformats.org/officeDocument/2006/relationships/hyperlink" Target="https://salesxceleration.com/job/vice-president-of-sales-london-uk/" TargetMode="External"/><Relationship Id="rId705" Type="http://schemas.openxmlformats.org/officeDocument/2006/relationships/hyperlink" Target="https://salesxceleration.com/wp-content/uploads/elementor/css/post-22358.css?ver=1768847635" TargetMode="External"/><Relationship Id="rId704" Type="http://schemas.openxmlformats.org/officeDocument/2006/relationships/hyperlink" Target="https://salesxceleration.com/wp-content/plugins/wp-job-manager/assets/dist/css/frontend.css?ver=dfd3b8d2ce68f47df57d" TargetMode="External"/><Relationship Id="rId703" Type="http://schemas.openxmlformats.org/officeDocument/2006/relationships/hyperlink" Target="https://salesxceleration.com/wp-content/plugins/wp-job-manager/assets/dist/css/frontend.css?ver=dfd3b8d2ce68f47df57d" TargetMode="External"/><Relationship Id="rId702" Type="http://schemas.openxmlformats.org/officeDocument/2006/relationships/hyperlink" Target="https://salesxceleration.com/job/vice-president-of-sales-london-uk/" TargetMode="External"/><Relationship Id="rId3951" Type="http://schemas.openxmlformats.org/officeDocument/2006/relationships/hyperlink" Target="https://salesxceleration.com/wp-content/uploads/2022/01/Sales-Compensation-300x200.jpg" TargetMode="External"/><Relationship Id="rId2620" Type="http://schemas.openxmlformats.org/officeDocument/2006/relationships/hyperlink" Target="https://salesxceleration.com/advisors/paul-mitchell/" TargetMode="External"/><Relationship Id="rId3950" Type="http://schemas.openxmlformats.org/officeDocument/2006/relationships/hyperlink" Target="https://salesxceleration.com/wp-content/uploads/2022/01/Sales-Compensation-300x200.jpg" TargetMode="External"/><Relationship Id="rId2610" Type="http://schemas.openxmlformats.org/officeDocument/2006/relationships/hyperlink" Target="https://salesxceleration.com/wp-content/uploads/2019/10/Case_Study_Food_Industry.pdf" TargetMode="External"/><Relationship Id="rId3942" Type="http://schemas.openxmlformats.org/officeDocument/2006/relationships/hyperlink" Target="https://salesxceleration.com/start-me-up/" TargetMode="External"/><Relationship Id="rId2611" Type="http://schemas.openxmlformats.org/officeDocument/2006/relationships/hyperlink" Target="https://salesxceleration.com/wp-content/uploads/2019/10/Case_Study_Food_Industry.pdf" TargetMode="External"/><Relationship Id="rId3941" Type="http://schemas.openxmlformats.org/officeDocument/2006/relationships/hyperlink" Target="https://salesxceleration.com/start-me-up/" TargetMode="External"/><Relationship Id="rId2612" Type="http://schemas.openxmlformats.org/officeDocument/2006/relationships/hyperlink" Target="https://salesxceleration.com/wp-content/uploads/2019/11/Case_Study_Healthcare-1.pdf" TargetMode="External"/><Relationship Id="rId3944" Type="http://schemas.openxmlformats.org/officeDocument/2006/relationships/hyperlink" Target="https://salesxceleration.com/wp-content/uploads/2021/11/Buyer-Journey_Sales-Process-300x200.jpeg" TargetMode="External"/><Relationship Id="rId2613" Type="http://schemas.openxmlformats.org/officeDocument/2006/relationships/hyperlink" Target="https://salesxceleration.com/wp-content/uploads/2019/11/Case_Study_Healthcare-1.pdf" TargetMode="External"/><Relationship Id="rId3943" Type="http://schemas.openxmlformats.org/officeDocument/2006/relationships/hyperlink" Target="https://salesxceleration.com/wp-content/uploads/2021/11/Buyer-Journey_Sales-Process-300x200.jpeg" TargetMode="External"/><Relationship Id="rId2614" Type="http://schemas.openxmlformats.org/officeDocument/2006/relationships/hyperlink" Target="https://salesxceleration.com/wp-content/uploads/2021/10/https___specials-images.forbesimg.com_imageserve_6123a4aee3b7ad2564e3c8cd_Photos-of-featured-members-_960x0.jpg" TargetMode="External"/><Relationship Id="rId3946" Type="http://schemas.openxmlformats.org/officeDocument/2006/relationships/hyperlink" Target="https://salesxceleration.com/wp-content/uploads/2021/07/CRM-scaled-1-300x300.jpg" TargetMode="External"/><Relationship Id="rId2615" Type="http://schemas.openxmlformats.org/officeDocument/2006/relationships/hyperlink" Target="https://salesxceleration.com/wp-content/uploads/2021/10/https___specials-images.forbesimg.com_imageserve_6123a4aee3b7ad2564e3c8cd_Photos-of-featured-members-_960x0.jpg" TargetMode="External"/><Relationship Id="rId3945" Type="http://schemas.openxmlformats.org/officeDocument/2006/relationships/hyperlink" Target="https://salesxceleration.com/wp-content/uploads/2021/07/CRM-scaled-1-300x300.jpg" TargetMode="External"/><Relationship Id="rId2616" Type="http://schemas.openxmlformats.org/officeDocument/2006/relationships/hyperlink" Target="https://salesxceleration.com/wp-content/uploads/2021/10/https___specials-images.forbesimg.com_imageserve_6123a4aee3b7ad2564e3c8cd_Photos-of-featured-members-_960x0-300x205.jpg" TargetMode="External"/><Relationship Id="rId3948" Type="http://schemas.openxmlformats.org/officeDocument/2006/relationships/hyperlink" Target="https://salesxceleration.com/can-you-grow-your-business-during-labor-shortages-and-supply-chain-delays/" TargetMode="External"/><Relationship Id="rId2617" Type="http://schemas.openxmlformats.org/officeDocument/2006/relationships/hyperlink" Target="https://salesxceleration.com/wp-content/uploads/2021/10/https___specials-images.forbesimg.com_imageserve_6123a4aee3b7ad2564e3c8cd_Photos-of-featured-members-_960x0-300x205.jpg" TargetMode="External"/><Relationship Id="rId3947" Type="http://schemas.openxmlformats.org/officeDocument/2006/relationships/hyperlink" Target="https://salesxceleration.com/can-you-grow-your-business-during-labor-shortages-and-supply-chain-delays/" TargetMode="External"/><Relationship Id="rId2618" Type="http://schemas.openxmlformats.org/officeDocument/2006/relationships/hyperlink" Target="https://salesxceleration.com/advisors/paul-mitchell/" TargetMode="External"/><Relationship Id="rId2619" Type="http://schemas.openxmlformats.org/officeDocument/2006/relationships/hyperlink" Target="https://salesxceleration.com/advisors/paul-mitchell/" TargetMode="External"/><Relationship Id="rId3949" Type="http://schemas.openxmlformats.org/officeDocument/2006/relationships/hyperlink" Target="https://salesxceleration.com/can-you-grow-your-business-during-labor-shortages-and-supply-chain-delays/" TargetMode="External"/><Relationship Id="rId3940" Type="http://schemas.openxmlformats.org/officeDocument/2006/relationships/hyperlink" Target="https://salesxceleration.com/start-me-up/" TargetMode="External"/><Relationship Id="rId1312" Type="http://schemas.openxmlformats.org/officeDocument/2006/relationships/hyperlink" Target="https://salesxceleration.com/news-events/sales-xceleration-and-authentic-brand-join-in-national-partnership/" TargetMode="External"/><Relationship Id="rId2643" Type="http://schemas.openxmlformats.org/officeDocument/2006/relationships/hyperlink" Target="https://salesxceleration.com/advisors/kelly-crandall/" TargetMode="External"/><Relationship Id="rId3975" Type="http://schemas.openxmlformats.org/officeDocument/2006/relationships/hyperlink" Target="https://salesxceleration.com/wp-content/uploads/2021/05/Small-Business-Owner-300x200.jpg" TargetMode="External"/><Relationship Id="rId1313" Type="http://schemas.openxmlformats.org/officeDocument/2006/relationships/hyperlink" Target="https://salesxceleration.com/news-events/advisor-kelly-crandall-makes-presentations-tampa-bay-area-business-owners-executives/" TargetMode="External"/><Relationship Id="rId2644" Type="http://schemas.openxmlformats.org/officeDocument/2006/relationships/hyperlink" Target="https://salesxceleration.com/advisors/kelly-crandall/" TargetMode="External"/><Relationship Id="rId3974" Type="http://schemas.openxmlformats.org/officeDocument/2006/relationships/hyperlink" Target="https://salesxceleration.com/wp-content/uploads/2021/05/Small-Business-Owner-300x200.jpg" TargetMode="External"/><Relationship Id="rId1314" Type="http://schemas.openxmlformats.org/officeDocument/2006/relationships/hyperlink" Target="https://salesxceleration.com/news-events/advisor-kelly-crandall-makes-presentations-tampa-bay-area-business-owners-executives/" TargetMode="External"/><Relationship Id="rId2645" Type="http://schemas.openxmlformats.org/officeDocument/2006/relationships/hyperlink" Target="https://salesxceleration.com/wp-content/uploads/2017/09/Kelly-Crandall-Rectangle.jpg" TargetMode="External"/><Relationship Id="rId3977" Type="http://schemas.openxmlformats.org/officeDocument/2006/relationships/hyperlink" Target="https://salesxceleration.com/wp-content/themes/salesxceleratione/assets/css/style.css?ver=1769123513" TargetMode="External"/><Relationship Id="rId1315" Type="http://schemas.openxmlformats.org/officeDocument/2006/relationships/hyperlink" Target="https://salesxceleration.com/news-events/advisor-kelly-crandall-makes-presentations-tampa-bay-area-business-owners-executives/" TargetMode="External"/><Relationship Id="rId2646" Type="http://schemas.openxmlformats.org/officeDocument/2006/relationships/hyperlink" Target="https://salesxceleration.com/wp-content/uploads/2017/09/Kelly-Crandall-Rectangle.jpg" TargetMode="External"/><Relationship Id="rId3976" Type="http://schemas.openxmlformats.org/officeDocument/2006/relationships/hyperlink" Target="https://salesxceleration.com/wp-content/themes/salesxceleratione/assets/css/style.css?ver=1769123513" TargetMode="External"/><Relationship Id="rId1316" Type="http://schemas.openxmlformats.org/officeDocument/2006/relationships/hyperlink" Target="https://salesxceleration.com/news-events/press-release-sales-xceleration-launches-first-ever-due-diligence-process-for-private-equity/" TargetMode="External"/><Relationship Id="rId2647" Type="http://schemas.openxmlformats.org/officeDocument/2006/relationships/hyperlink" Target="https://salesxceleration.com/what-we-do/investment-sales-analysis/" TargetMode="External"/><Relationship Id="rId3979" Type="http://schemas.openxmlformats.org/officeDocument/2006/relationships/hyperlink" Target="https://salesxceleration.com/wp-content/uploads/2021/04/Sales-Goal-Meeting-300x200.png" TargetMode="External"/><Relationship Id="rId1317" Type="http://schemas.openxmlformats.org/officeDocument/2006/relationships/hyperlink" Target="https://salesxceleration.com/news-events/press-release-sales-xceleration-launches-first-ever-due-diligence-process-for-private-equity/" TargetMode="External"/><Relationship Id="rId2648" Type="http://schemas.openxmlformats.org/officeDocument/2006/relationships/hyperlink" Target="https://salesxceleration.com/about-sales-xceleration/" TargetMode="External"/><Relationship Id="rId3978" Type="http://schemas.openxmlformats.org/officeDocument/2006/relationships/hyperlink" Target="https://salesxceleration.com/wp-content/uploads/2021/04/Sales-Goal-Meeting-300x200.png" TargetMode="External"/><Relationship Id="rId1318" Type="http://schemas.openxmlformats.org/officeDocument/2006/relationships/hyperlink" Target="https://salesxceleration.com/news-events/press-release-sales-xceleration-launches-first-ever-due-diligence-process-for-private-equity/" TargetMode="External"/><Relationship Id="rId2649" Type="http://schemas.openxmlformats.org/officeDocument/2006/relationships/hyperlink" Target="https://salesxceleration.com/what-we-do/investment-sales-analysis/" TargetMode="External"/><Relationship Id="rId1319" Type="http://schemas.openxmlformats.org/officeDocument/2006/relationships/hyperlink" Target="https://salesxceleration.com/news-events/stagnant-sales-sales-xceleration-enters-new-markets-offers-solutions-business-owners/" TargetMode="External"/><Relationship Id="rId729" Type="http://schemas.openxmlformats.org/officeDocument/2006/relationships/hyperlink" Target="https://salesxceleration.com/wp-content/uploads/2024/08/Schamp_Bill-225x225.jpg" TargetMode="External"/><Relationship Id="rId728" Type="http://schemas.openxmlformats.org/officeDocument/2006/relationships/hyperlink" Target="https://salesxceleration.com/wp-content/uploads/2024/08/Schamp_Bill-225x225.jpg" TargetMode="External"/><Relationship Id="rId723" Type="http://schemas.openxmlformats.org/officeDocument/2006/relationships/hyperlink" Target="https://salesxceleration.com/wp-content/plugins/powerpack-elements/assets/css/min/widget-table.min.css?ver=2.12.15" TargetMode="External"/><Relationship Id="rId722" Type="http://schemas.openxmlformats.org/officeDocument/2006/relationships/hyperlink" Target="https://salesxceleration.com/wp-content/plugins/powerpack-elements/assets/css/min/widget-table.min.css?ver=2.12.15" TargetMode="External"/><Relationship Id="rId721" Type="http://schemas.openxmlformats.org/officeDocument/2006/relationships/hyperlink" Target="https://salesxceleration.com/job/vice-president-of-sales-brisbane-australia/" TargetMode="External"/><Relationship Id="rId720" Type="http://schemas.openxmlformats.org/officeDocument/2006/relationships/hyperlink" Target="https://salesxceleration.com/job/vice-president-of-sales-brisbane-australia/" TargetMode="External"/><Relationship Id="rId727" Type="http://schemas.openxmlformats.org/officeDocument/2006/relationships/hyperlink" Target="https://salesxceleration.com/wp-content/themes/salesxceleratione/assets/css/style.css?ver=1769123321" TargetMode="External"/><Relationship Id="rId726" Type="http://schemas.openxmlformats.org/officeDocument/2006/relationships/hyperlink" Target="https://salesxceleration.com/wp-content/themes/salesxceleratione/assets/css/style.css?ver=1769123321" TargetMode="External"/><Relationship Id="rId725" Type="http://schemas.openxmlformats.org/officeDocument/2006/relationships/hyperlink" Target="https://salesxceleration.com/wp-content/plugins/powerpack-elements/assets/lib/tablesaw/tablesaw.css?ver=2.12.15" TargetMode="External"/><Relationship Id="rId724" Type="http://schemas.openxmlformats.org/officeDocument/2006/relationships/hyperlink" Target="https://salesxceleration.com/wp-content/plugins/powerpack-elements/assets/lib/tablesaw/tablesaw.css?ver=2.12.15" TargetMode="External"/><Relationship Id="rId3971" Type="http://schemas.openxmlformats.org/officeDocument/2006/relationships/hyperlink" Target="https://salesxceleration.com/sales-recruiting-vs-hiring-growing-your-sales-team-in-2022/" TargetMode="External"/><Relationship Id="rId2640" Type="http://schemas.openxmlformats.org/officeDocument/2006/relationships/hyperlink" Target="https://salesxceleration.com/sales-agility-assessment/" TargetMode="External"/><Relationship Id="rId3970" Type="http://schemas.openxmlformats.org/officeDocument/2006/relationships/hyperlink" Target="https://salesxceleration.com/sales-recruiting-vs-hiring-growing-your-sales-team-in-2022/" TargetMode="External"/><Relationship Id="rId1310" Type="http://schemas.openxmlformats.org/officeDocument/2006/relationships/hyperlink" Target="https://salesxceleration.com/news-events/sales-xceleration-and-authentic-brand-join-in-national-partnership/" TargetMode="External"/><Relationship Id="rId2641" Type="http://schemas.openxmlformats.org/officeDocument/2006/relationships/hyperlink" Target="https://salesxceleration.com/sales-agility-assessment-1-0-kcrandall" TargetMode="External"/><Relationship Id="rId3973" Type="http://schemas.openxmlformats.org/officeDocument/2006/relationships/hyperlink" Target="https://salesxceleration.com/wp-content/uploads/2021/12/Sales-Roadmap-1-300x200.jpg" TargetMode="External"/><Relationship Id="rId1311" Type="http://schemas.openxmlformats.org/officeDocument/2006/relationships/hyperlink" Target="https://salesxceleration.com/news-events/sales-xceleration-and-authentic-brand-join-in-national-partnership/" TargetMode="External"/><Relationship Id="rId2642" Type="http://schemas.openxmlformats.org/officeDocument/2006/relationships/hyperlink" Target="https://salesxceleration.com/advisors/kelly-crandall/" TargetMode="External"/><Relationship Id="rId3972" Type="http://schemas.openxmlformats.org/officeDocument/2006/relationships/hyperlink" Target="https://salesxceleration.com/wp-content/uploads/2021/12/Sales-Roadmap-1-300x200.jpg" TargetMode="External"/><Relationship Id="rId1301" Type="http://schemas.openxmlformats.org/officeDocument/2006/relationships/hyperlink" Target="https://salesxceleration.com/news-events/sales-xceleration-announces-presidents-club-and-presidents-circle-winners/" TargetMode="External"/><Relationship Id="rId2632" Type="http://schemas.openxmlformats.org/officeDocument/2006/relationships/hyperlink" Target="https://salesxceleration.com/advisors/mike-maanum/" TargetMode="External"/><Relationship Id="rId3964" Type="http://schemas.openxmlformats.org/officeDocument/2006/relationships/hyperlink" Target="https://salesxceleration.com/roadmap-to-sales-success-6-actions-you-must-take-to-improve-your-sales-process/" TargetMode="External"/><Relationship Id="rId1302" Type="http://schemas.openxmlformats.org/officeDocument/2006/relationships/hyperlink" Target="https://salesxceleration.com/news-events/sales-xceleration-announces-presidents-club-and-presidents-circle-winners/" TargetMode="External"/><Relationship Id="rId2633" Type="http://schemas.openxmlformats.org/officeDocument/2006/relationships/hyperlink" Target="https://salesxceleration.com/wp-content/uploads/2016/11/Photo-Petroleum-Club-11-8-16-2-scaled-1.jpg" TargetMode="External"/><Relationship Id="rId3963" Type="http://schemas.openxmlformats.org/officeDocument/2006/relationships/hyperlink" Target="https://salesxceleration.com/roadmap-to-sales-success-6-actions-you-must-take-to-improve-your-sales-process/" TargetMode="External"/><Relationship Id="rId1303" Type="http://schemas.openxmlformats.org/officeDocument/2006/relationships/hyperlink" Target="https://salesxceleration.com/news-events/sales-xceleration-announces-presidents-club-and-presidents-circle-winners/" TargetMode="External"/><Relationship Id="rId2634" Type="http://schemas.openxmlformats.org/officeDocument/2006/relationships/hyperlink" Target="https://salesxceleration.com/wp-content/uploads/2016/11/Photo-Petroleum-Club-11-8-16-2-scaled-1.jpg" TargetMode="External"/><Relationship Id="rId3966" Type="http://schemas.openxmlformats.org/officeDocument/2006/relationships/hyperlink" Target="https://salesxceleration.com/wp-content/uploads/2021/12/social-media-300x200.jpg" TargetMode="External"/><Relationship Id="rId1304" Type="http://schemas.openxmlformats.org/officeDocument/2006/relationships/hyperlink" Target="https://salesxceleration.com/news-events/fourteen-new-outsourced-sales-leaders-focused-on-helping-smb-owners-maximize-revenue/" TargetMode="External"/><Relationship Id="rId2635" Type="http://schemas.openxmlformats.org/officeDocument/2006/relationships/hyperlink" Target="https://salesxceleration.com/wp-content/uploads/2023/07/SX-AB.jpg" TargetMode="External"/><Relationship Id="rId3965" Type="http://schemas.openxmlformats.org/officeDocument/2006/relationships/hyperlink" Target="https://salesxceleration.com/wp-content/uploads/2021/12/social-media-300x200.jpg" TargetMode="External"/><Relationship Id="rId1305" Type="http://schemas.openxmlformats.org/officeDocument/2006/relationships/hyperlink" Target="https://salesxceleration.com/news-events/fourteen-new-outsourced-sales-leaders-focused-on-helping-smb-owners-maximize-revenue/" TargetMode="External"/><Relationship Id="rId2636" Type="http://schemas.openxmlformats.org/officeDocument/2006/relationships/hyperlink" Target="https://salesxceleration.com/wp-content/uploads/2023/07/SX-AB.jpg" TargetMode="External"/><Relationship Id="rId3968" Type="http://schemas.openxmlformats.org/officeDocument/2006/relationships/hyperlink" Target="https://salesxceleration.com/wp-content/uploads/2021/11/backpack-300x300.jpeg" TargetMode="External"/><Relationship Id="rId1306" Type="http://schemas.openxmlformats.org/officeDocument/2006/relationships/hyperlink" Target="https://salesxceleration.com/news-events/fourteen-new-outsourced-sales-leaders-focused-on-helping-smb-owners-maximize-revenue/" TargetMode="External"/><Relationship Id="rId2637" Type="http://schemas.openxmlformats.org/officeDocument/2006/relationships/hyperlink" Target="https://salesxceleration.com/wp-content/themes/salesxceleratione/assets/css/style.css?ver=1769123424" TargetMode="External"/><Relationship Id="rId3967" Type="http://schemas.openxmlformats.org/officeDocument/2006/relationships/hyperlink" Target="https://salesxceleration.com/wp-content/uploads/2021/11/backpack-300x300.jpeg" TargetMode="External"/><Relationship Id="rId1307" Type="http://schemas.openxmlformats.org/officeDocument/2006/relationships/hyperlink" Target="https://salesxceleration.com/news-events/sales-xceleration-kevin-shaughnessy-answers-smb-owners-question/" TargetMode="External"/><Relationship Id="rId2638" Type="http://schemas.openxmlformats.org/officeDocument/2006/relationships/hyperlink" Target="https://salesxceleration.com/wp-content/themes/salesxceleratione/assets/css/style.css?ver=1769123424" TargetMode="External"/><Relationship Id="rId1308" Type="http://schemas.openxmlformats.org/officeDocument/2006/relationships/hyperlink" Target="https://salesxceleration.com/news-events/sales-xceleration-kevin-shaughnessy-answers-smb-owners-question/" TargetMode="External"/><Relationship Id="rId2639" Type="http://schemas.openxmlformats.org/officeDocument/2006/relationships/hyperlink" Target="https://salesxceleration.com/sales-agility-assessment-1-0-kcrandall" TargetMode="External"/><Relationship Id="rId3969" Type="http://schemas.openxmlformats.org/officeDocument/2006/relationships/hyperlink" Target="https://salesxceleration.com/sales-recruiting-vs-hiring-growing-your-sales-team-in-2022/" TargetMode="External"/><Relationship Id="rId1309" Type="http://schemas.openxmlformats.org/officeDocument/2006/relationships/hyperlink" Target="https://salesxceleration.com/news-events/sales-xceleration-kevin-shaughnessy-answers-smb-owners-question/" TargetMode="External"/><Relationship Id="rId719" Type="http://schemas.openxmlformats.org/officeDocument/2006/relationships/hyperlink" Target="https://salesxceleration.com/job/vice-president-of-sales-brisbane-australia/" TargetMode="External"/><Relationship Id="rId718" Type="http://schemas.openxmlformats.org/officeDocument/2006/relationships/hyperlink" Target="https://salesxceleration.com/wp-content/uploads/2025/10/AR-Guarantee_No-Logo-1-1024x1003.png" TargetMode="External"/><Relationship Id="rId717" Type="http://schemas.openxmlformats.org/officeDocument/2006/relationships/hyperlink" Target="https://salesxceleration.com/wp-content/uploads/2025/10/AR-Guarantee_No-Logo-1-1024x1003.png" TargetMode="External"/><Relationship Id="rId712" Type="http://schemas.openxmlformats.org/officeDocument/2006/relationships/hyperlink" Target="https://salesxceleration.com/wp-content/plugins/powerpack-elements/assets/js/min/frontend-table.min.js?ver=2.12.15" TargetMode="External"/><Relationship Id="rId711" Type="http://schemas.openxmlformats.org/officeDocument/2006/relationships/hyperlink" Target="https://salesxceleration.com/wp-content/plugins/powerpack-elements/assets/js/min/frontend-table.min.js?ver=2.12.15" TargetMode="External"/><Relationship Id="rId710" Type="http://schemas.openxmlformats.org/officeDocument/2006/relationships/hyperlink" Target="https://salesxceleration.com/wp-content/themes/salesxceleratione/assets/css/style.css?ver=1769123320" TargetMode="External"/><Relationship Id="rId716" Type="http://schemas.openxmlformats.org/officeDocument/2006/relationships/hyperlink" Target="https://salesxceleration.com/wp-content/uploads/elementor/css/post-26370.css?ver=1768847835" TargetMode="External"/><Relationship Id="rId715" Type="http://schemas.openxmlformats.org/officeDocument/2006/relationships/hyperlink" Target="https://salesxceleration.com/wp-content/uploads/elementor/css/post-26370.css?ver=1768847835" TargetMode="External"/><Relationship Id="rId714" Type="http://schemas.openxmlformats.org/officeDocument/2006/relationships/hyperlink" Target="https://salesxceleration.com/wp-content/plugins/elementor/assets/css/widget-tabs.min.css?ver=3.34.0" TargetMode="External"/><Relationship Id="rId713" Type="http://schemas.openxmlformats.org/officeDocument/2006/relationships/hyperlink" Target="https://salesxceleration.com/wp-content/plugins/elementor/assets/css/widget-tabs.min.css?ver=3.34.0" TargetMode="External"/><Relationship Id="rId3960" Type="http://schemas.openxmlformats.org/officeDocument/2006/relationships/hyperlink" Target="https://salesxceleration.com/wp-content/uploads/2021/04/131501-viewpoints-rocketman-ORG-300x300.jpg" TargetMode="External"/><Relationship Id="rId2630" Type="http://schemas.openxmlformats.org/officeDocument/2006/relationships/hyperlink" Target="https://salesxceleration.com/advisors/mike-maanum/" TargetMode="External"/><Relationship Id="rId3962" Type="http://schemas.openxmlformats.org/officeDocument/2006/relationships/hyperlink" Target="https://salesxceleration.com/roadmap-to-sales-success-6-actions-you-must-take-to-improve-your-sales-process/" TargetMode="External"/><Relationship Id="rId1300" Type="http://schemas.openxmlformats.org/officeDocument/2006/relationships/hyperlink" Target="https://salesxceleration.com/news-events/14-critical-features-to-include-for-an-effective-sales-page/" TargetMode="External"/><Relationship Id="rId2631" Type="http://schemas.openxmlformats.org/officeDocument/2006/relationships/hyperlink" Target="https://salesxceleration.com/advisors/mike-maanum/" TargetMode="External"/><Relationship Id="rId3961" Type="http://schemas.openxmlformats.org/officeDocument/2006/relationships/hyperlink" Target="https://salesxceleration.com/wp-content/uploads/2021/04/131501-viewpoints-rocketman-ORG-300x300.jpg" TargetMode="External"/><Relationship Id="rId1378" Type="http://schemas.openxmlformats.org/officeDocument/2006/relationships/hyperlink" Target="https://salesxceleration.com/news-events/sales-xceleration-and-procfo-partners-announce-strategic-alliance-complementary-services-for-enhanced-sales-and-financial-strategies/" TargetMode="External"/><Relationship Id="rId1379" Type="http://schemas.openxmlformats.org/officeDocument/2006/relationships/hyperlink" Target="https://salesxceleration.com/news-events/4-strategies-to-find-growth-that-lasts/" TargetMode="External"/><Relationship Id="rId789" Type="http://schemas.openxmlformats.org/officeDocument/2006/relationships/hyperlink" Target="https://salesxceleration.com/wp-content/uploads/2017/01/Goade-Chris-1-225x225.jpg" TargetMode="External"/><Relationship Id="rId788" Type="http://schemas.openxmlformats.org/officeDocument/2006/relationships/hyperlink" Target="https://salesxceleration.com/wp-content/uploads/2017/01/Goade-Chris-1-225x225.jpg" TargetMode="External"/><Relationship Id="rId787" Type="http://schemas.openxmlformats.org/officeDocument/2006/relationships/hyperlink" Target="https://salesxceleration.com/wp-content/uploads/2023/02/Wehrly_Paul-1-225x225.jpg" TargetMode="External"/><Relationship Id="rId786" Type="http://schemas.openxmlformats.org/officeDocument/2006/relationships/hyperlink" Target="https://salesxceleration.com/wp-content/uploads/2023/02/Wehrly_Paul-1-225x225.jpg" TargetMode="External"/><Relationship Id="rId781" Type="http://schemas.openxmlformats.org/officeDocument/2006/relationships/hyperlink" Target="https://salesxceleration.com/wp-content/uploads/2022/03/Kostiuk_Greg-225x225.jpg" TargetMode="External"/><Relationship Id="rId1370" Type="http://schemas.openxmlformats.org/officeDocument/2006/relationships/hyperlink" Target="https://salesxceleration.com/news-events/sales-xceleration-gains-eighteen-fractional-vps-of-sales/" TargetMode="External"/><Relationship Id="rId780" Type="http://schemas.openxmlformats.org/officeDocument/2006/relationships/hyperlink" Target="https://salesxceleration.com/wp-content/uploads/2022/03/Kostiuk_Greg-225x225.jpg" TargetMode="External"/><Relationship Id="rId1371" Type="http://schemas.openxmlformats.org/officeDocument/2006/relationships/hyperlink" Target="https://salesxceleration.com/news-events/sales-xceleration-gains-eighteen-fractional-vps-of-sales/" TargetMode="External"/><Relationship Id="rId1372" Type="http://schemas.openxmlformats.org/officeDocument/2006/relationships/hyperlink" Target="https://salesxceleration.com/news-events/sales-xceleration-gains-eighteen-fractional-vps-of-sales/" TargetMode="External"/><Relationship Id="rId1373" Type="http://schemas.openxmlformats.org/officeDocument/2006/relationships/hyperlink" Target="https://salesxceleration.com/news-events/press-release-sales-xceleration-welcomes-four-new-vp-of-sales-experts/" TargetMode="External"/><Relationship Id="rId785" Type="http://schemas.openxmlformats.org/officeDocument/2006/relationships/hyperlink" Target="https://salesxceleration.com/wp-content/uploads/2022/09/KyleAncelin-225x225.jpeg" TargetMode="External"/><Relationship Id="rId1374" Type="http://schemas.openxmlformats.org/officeDocument/2006/relationships/hyperlink" Target="https://salesxceleration.com/news-events/press-release-sales-xceleration-welcomes-four-new-vp-of-sales-experts/" TargetMode="External"/><Relationship Id="rId784" Type="http://schemas.openxmlformats.org/officeDocument/2006/relationships/hyperlink" Target="https://salesxceleration.com/wp-content/uploads/2022/09/KyleAncelin-225x225.jpeg" TargetMode="External"/><Relationship Id="rId1375" Type="http://schemas.openxmlformats.org/officeDocument/2006/relationships/hyperlink" Target="https://salesxceleration.com/news-events/press-release-sales-xceleration-welcomes-four-new-vp-of-sales-experts/" TargetMode="External"/><Relationship Id="rId783" Type="http://schemas.openxmlformats.org/officeDocument/2006/relationships/hyperlink" Target="https://salesxceleration.com/wp-content/uploads/2023/06/Meier_Michael-225x225.jpg" TargetMode="External"/><Relationship Id="rId1376" Type="http://schemas.openxmlformats.org/officeDocument/2006/relationships/hyperlink" Target="https://salesxceleration.com/news-events/sales-xceleration-and-procfo-partners-announce-strategic-alliance-complementary-services-for-enhanced-sales-and-financial-strategies/" TargetMode="External"/><Relationship Id="rId782" Type="http://schemas.openxmlformats.org/officeDocument/2006/relationships/hyperlink" Target="https://salesxceleration.com/wp-content/uploads/2023/06/Meier_Michael-225x225.jpg" TargetMode="External"/><Relationship Id="rId1377" Type="http://schemas.openxmlformats.org/officeDocument/2006/relationships/hyperlink" Target="https://salesxceleration.com/news-events/sales-xceleration-and-procfo-partners-announce-strategic-alliance-complementary-services-for-enhanced-sales-and-financial-strategies/" TargetMode="External"/><Relationship Id="rId1367" Type="http://schemas.openxmlformats.org/officeDocument/2006/relationships/hyperlink" Target="https://salesxceleration.com/news-events/advisor-michael-wills-addresses-business-growth-challenges-ceo-luncheon/" TargetMode="External"/><Relationship Id="rId2698" Type="http://schemas.openxmlformats.org/officeDocument/2006/relationships/hyperlink" Target="https://salesxceleration.com/wp-content/uploads/2022/02/RISE-image.jpg" TargetMode="External"/><Relationship Id="rId1368" Type="http://schemas.openxmlformats.org/officeDocument/2006/relationships/hyperlink" Target="https://salesxceleration.com/news-events/advisor-michael-wills-addresses-business-growth-challenges-ceo-luncheon/" TargetMode="External"/><Relationship Id="rId2699" Type="http://schemas.openxmlformats.org/officeDocument/2006/relationships/hyperlink" Target="https://salesxceleration.com/wp-content/uploads/2019/02/February-2019-New-Sales-Consultants.jpg" TargetMode="External"/><Relationship Id="rId1369" Type="http://schemas.openxmlformats.org/officeDocument/2006/relationships/hyperlink" Target="https://salesxceleration.com/news-events/advisor-michael-wills-addresses-business-growth-challenges-ceo-luncheon/" TargetMode="External"/><Relationship Id="rId778" Type="http://schemas.openxmlformats.org/officeDocument/2006/relationships/hyperlink" Target="https://salesxceleration.com/wp-content/uploads/2022/04/Campbell-Rhett-225x225.jpg" TargetMode="External"/><Relationship Id="rId777" Type="http://schemas.openxmlformats.org/officeDocument/2006/relationships/hyperlink" Target="https://salesxceleration.com/wp-content/uploads/2024/07/Crompton_Mark-225x225.jpg" TargetMode="External"/><Relationship Id="rId776" Type="http://schemas.openxmlformats.org/officeDocument/2006/relationships/hyperlink" Target="https://salesxceleration.com/wp-content/uploads/2024/07/Crompton_Mark-225x225.jpg" TargetMode="External"/><Relationship Id="rId775" Type="http://schemas.openxmlformats.org/officeDocument/2006/relationships/hyperlink" Target="https://salesxceleration.com/wp-content/uploads/2022/04/Yardemian-Raffi-275x275-1-225x225.jpg" TargetMode="External"/><Relationship Id="rId779" Type="http://schemas.openxmlformats.org/officeDocument/2006/relationships/hyperlink" Target="https://salesxceleration.com/wp-content/uploads/2022/04/Campbell-Rhett-225x225.jpg" TargetMode="External"/><Relationship Id="rId770" Type="http://schemas.openxmlformats.org/officeDocument/2006/relationships/hyperlink" Target="https://salesxceleration.com/wp-content/uploads/2017/01/Jeff_Parris_9567_WEBSIZE-1-225x225.jpg" TargetMode="External"/><Relationship Id="rId2690" Type="http://schemas.openxmlformats.org/officeDocument/2006/relationships/hyperlink" Target="https://salesxceleration.com/wp-content/themes/salesxceleratione/assets/css/style.css?ver=1769123427" TargetMode="External"/><Relationship Id="rId1360" Type="http://schemas.openxmlformats.org/officeDocument/2006/relationships/hyperlink" Target="https://salesxceleration.com/news-events/the-national-footprint-expansion-continues/" TargetMode="External"/><Relationship Id="rId2691" Type="http://schemas.openxmlformats.org/officeDocument/2006/relationships/hyperlink" Target="https://salesxceleration.com/wp-content/uploads/2019/02/Dec-Class1-scaled.jpg" TargetMode="External"/><Relationship Id="rId1361" Type="http://schemas.openxmlformats.org/officeDocument/2006/relationships/hyperlink" Target="https://salesxceleration.com/news-events/top-sales-experts-join-sales-xceleration-to-boost-small-business-success/" TargetMode="External"/><Relationship Id="rId2692" Type="http://schemas.openxmlformats.org/officeDocument/2006/relationships/hyperlink" Target="https://salesxceleration.com/wp-content/uploads/2019/02/Dec-Class1-scaled.jpg" TargetMode="External"/><Relationship Id="rId1362" Type="http://schemas.openxmlformats.org/officeDocument/2006/relationships/hyperlink" Target="https://salesxceleration.com/news-events/top-sales-experts-join-sales-xceleration-to-boost-small-business-success/" TargetMode="External"/><Relationship Id="rId2693" Type="http://schemas.openxmlformats.org/officeDocument/2006/relationships/hyperlink" Target="https://salesxceleration.com/wp-content/uploads/2019/08/Inc.5000.png" TargetMode="External"/><Relationship Id="rId774" Type="http://schemas.openxmlformats.org/officeDocument/2006/relationships/hyperlink" Target="https://salesxceleration.com/wp-content/uploads/2022/04/Yardemian-Raffi-275x275-1-225x225.jpg" TargetMode="External"/><Relationship Id="rId1363" Type="http://schemas.openxmlformats.org/officeDocument/2006/relationships/hyperlink" Target="https://salesxceleration.com/news-events/top-sales-experts-join-sales-xceleration-to-boost-small-business-success/" TargetMode="External"/><Relationship Id="rId2694" Type="http://schemas.openxmlformats.org/officeDocument/2006/relationships/hyperlink" Target="https://salesxceleration.com/wp-content/uploads/2019/08/Inc.5000.png" TargetMode="External"/><Relationship Id="rId773" Type="http://schemas.openxmlformats.org/officeDocument/2006/relationships/hyperlink" Target="https://salesxceleration.com/wp-content/uploads/2023/10/David-Buonfiglio-225x225.jpg" TargetMode="External"/><Relationship Id="rId1364" Type="http://schemas.openxmlformats.org/officeDocument/2006/relationships/hyperlink" Target="https://salesxceleration.com/news-events/sales-xceleration-spotlight-october-2013/" TargetMode="External"/><Relationship Id="rId2695" Type="http://schemas.openxmlformats.org/officeDocument/2006/relationships/hyperlink" Target="https://salesxceleration.com/wp-content/themes/salesxceleratione/assets/css/style.css?ver=1769123428" TargetMode="External"/><Relationship Id="rId772" Type="http://schemas.openxmlformats.org/officeDocument/2006/relationships/hyperlink" Target="https://salesxceleration.com/wp-content/uploads/2023/10/David-Buonfiglio-225x225.jpg" TargetMode="External"/><Relationship Id="rId1365" Type="http://schemas.openxmlformats.org/officeDocument/2006/relationships/hyperlink" Target="https://salesxceleration.com/news-events/sales-xceleration-spotlight-october-2013/" TargetMode="External"/><Relationship Id="rId2696" Type="http://schemas.openxmlformats.org/officeDocument/2006/relationships/hyperlink" Target="https://salesxceleration.com/wp-content/themes/salesxceleratione/assets/css/style.css?ver=1769123428" TargetMode="External"/><Relationship Id="rId771" Type="http://schemas.openxmlformats.org/officeDocument/2006/relationships/hyperlink" Target="https://salesxceleration.com/wp-content/uploads/2017/01/Jeff_Parris_9567_WEBSIZE-1-225x225.jpg" TargetMode="External"/><Relationship Id="rId1366" Type="http://schemas.openxmlformats.org/officeDocument/2006/relationships/hyperlink" Target="https://salesxceleration.com/news-events/sales-xceleration-spotlight-october-2013/" TargetMode="External"/><Relationship Id="rId2697" Type="http://schemas.openxmlformats.org/officeDocument/2006/relationships/hyperlink" Target="https://salesxceleration.com/wp-content/uploads/2022/02/RISE-image.jpg" TargetMode="External"/><Relationship Id="rId1390" Type="http://schemas.openxmlformats.org/officeDocument/2006/relationships/hyperlink" Target="https://salesxceleration.com/news-events/sales-xceleration-expands-with-3-new-fractional-sales-leaders/" TargetMode="External"/><Relationship Id="rId1391" Type="http://schemas.openxmlformats.org/officeDocument/2006/relationships/hyperlink" Target="https://salesxceleration.com/news-events/sales-xceleration-welcomes-4-new-fractional-sales-leaders/" TargetMode="External"/><Relationship Id="rId1392" Type="http://schemas.openxmlformats.org/officeDocument/2006/relationships/hyperlink" Target="https://salesxceleration.com/news-events/sales-xceleration-welcomes-4-new-fractional-sales-leaders/" TargetMode="External"/><Relationship Id="rId1393" Type="http://schemas.openxmlformats.org/officeDocument/2006/relationships/hyperlink" Target="https://salesxceleration.com/news-events/sales-xceleration-welcomes-4-new-fractional-sales-leaders/" TargetMode="External"/><Relationship Id="rId1394" Type="http://schemas.openxmlformats.org/officeDocument/2006/relationships/hyperlink" Target="https://salesxceleration.com/news-events/sales-xceleration-grows-with-strategic-acquisition-of-quintegra-resourcing/" TargetMode="External"/><Relationship Id="rId1395" Type="http://schemas.openxmlformats.org/officeDocument/2006/relationships/hyperlink" Target="https://salesxceleration.com/news-events/sales-xceleration-grows-with-strategic-acquisition-of-quintegra-resourcing/" TargetMode="External"/><Relationship Id="rId1396" Type="http://schemas.openxmlformats.org/officeDocument/2006/relationships/hyperlink" Target="https://salesxceleration.com/news-events/sales-xceleration-grows-with-strategic-acquisition-of-quintegra-resourcing/" TargetMode="External"/><Relationship Id="rId1397" Type="http://schemas.openxmlformats.org/officeDocument/2006/relationships/hyperlink" Target="https://salesxceleration.com/news-events/sales-xcelerations-outsourced-vps-of-sales-ready-to-impact-small-to-mid-size-businesses/" TargetMode="External"/><Relationship Id="rId1398" Type="http://schemas.openxmlformats.org/officeDocument/2006/relationships/hyperlink" Target="https://salesxceleration.com/news-events/sales-xcelerations-outsourced-vps-of-sales-ready-to-impact-small-to-mid-size-businesses/" TargetMode="External"/><Relationship Id="rId1399" Type="http://schemas.openxmlformats.org/officeDocument/2006/relationships/hyperlink" Target="https://salesxceleration.com/news-events/sales-xcelerations-outsourced-vps-of-sales-ready-to-impact-small-to-mid-size-businesses/" TargetMode="External"/><Relationship Id="rId1389" Type="http://schemas.openxmlformats.org/officeDocument/2006/relationships/hyperlink" Target="https://salesxceleration.com/news-events/sales-xceleration-expands-with-3-new-fractional-sales-leaders/" TargetMode="External"/><Relationship Id="rId799" Type="http://schemas.openxmlformats.org/officeDocument/2006/relationships/hyperlink" Target="https://salesxceleration.com/wp-content/uploads/2025/03/Stokes_Patrick-225x225.jpg" TargetMode="External"/><Relationship Id="rId798" Type="http://schemas.openxmlformats.org/officeDocument/2006/relationships/hyperlink" Target="https://salesxceleration.com/wp-content/uploads/2025/03/Stokes_Patrick-225x225.jpg" TargetMode="External"/><Relationship Id="rId797" Type="http://schemas.openxmlformats.org/officeDocument/2006/relationships/hyperlink" Target="https://salesxceleration.com/wp-content/uploads/2025/08/Vorkapic_Nicole-225x225.jpg" TargetMode="External"/><Relationship Id="rId1380" Type="http://schemas.openxmlformats.org/officeDocument/2006/relationships/hyperlink" Target="https://salesxceleration.com/news-events/4-strategies-to-find-growth-that-lasts/" TargetMode="External"/><Relationship Id="rId792" Type="http://schemas.openxmlformats.org/officeDocument/2006/relationships/hyperlink" Target="https://salesxceleration.com/wp-content/uploads/2022/04/Morgan-Tom-225x225.jpg" TargetMode="External"/><Relationship Id="rId1381" Type="http://schemas.openxmlformats.org/officeDocument/2006/relationships/hyperlink" Target="https://salesxceleration.com/news-events/4-strategies-to-find-growth-that-lasts/" TargetMode="External"/><Relationship Id="rId791" Type="http://schemas.openxmlformats.org/officeDocument/2006/relationships/hyperlink" Target="https://salesxceleration.com/wp-content/uploads/2022/04/Cantrell-Susan-275x275-1-225x225.jpg" TargetMode="External"/><Relationship Id="rId1382" Type="http://schemas.openxmlformats.org/officeDocument/2006/relationships/hyperlink" Target="https://salesxceleration.com/news-events/lee-brumbaugh-steps-into-leadership-role-as-ceo-visionary-of-sales-xceleration/" TargetMode="External"/><Relationship Id="rId790" Type="http://schemas.openxmlformats.org/officeDocument/2006/relationships/hyperlink" Target="https://salesxceleration.com/wp-content/uploads/2022/04/Cantrell-Susan-275x275-1-225x225.jpg" TargetMode="External"/><Relationship Id="rId1383" Type="http://schemas.openxmlformats.org/officeDocument/2006/relationships/hyperlink" Target="https://salesxceleration.com/news-events/lee-brumbaugh-steps-into-leadership-role-as-ceo-visionary-of-sales-xceleration/" TargetMode="External"/><Relationship Id="rId1384" Type="http://schemas.openxmlformats.org/officeDocument/2006/relationships/hyperlink" Target="https://salesxceleration.com/news-events/lee-brumbaugh-steps-into-leadership-role-as-ceo-visionary-of-sales-xceleration/" TargetMode="External"/><Relationship Id="rId796" Type="http://schemas.openxmlformats.org/officeDocument/2006/relationships/hyperlink" Target="https://salesxceleration.com/wp-content/uploads/2025/08/Vorkapic_Nicole-225x225.jpg" TargetMode="External"/><Relationship Id="rId1385" Type="http://schemas.openxmlformats.org/officeDocument/2006/relationships/hyperlink" Target="https://salesxceleration.com/news-events/sales-xceleration-broadens-reach-welcoming-6-fractional-sales-leaders/" TargetMode="External"/><Relationship Id="rId795" Type="http://schemas.openxmlformats.org/officeDocument/2006/relationships/hyperlink" Target="https://salesxceleration.com/wp-content/uploads/2023/12/Theobald_Tom-225x225.jpg" TargetMode="External"/><Relationship Id="rId1386" Type="http://schemas.openxmlformats.org/officeDocument/2006/relationships/hyperlink" Target="https://salesxceleration.com/news-events/sales-xceleration-broadens-reach-welcoming-6-fractional-sales-leaders/" TargetMode="External"/><Relationship Id="rId794" Type="http://schemas.openxmlformats.org/officeDocument/2006/relationships/hyperlink" Target="https://salesxceleration.com/wp-content/uploads/2023/12/Theobald_Tom-225x225.jpg" TargetMode="External"/><Relationship Id="rId1387" Type="http://schemas.openxmlformats.org/officeDocument/2006/relationships/hyperlink" Target="https://salesxceleration.com/news-events/sales-xceleration-broadens-reach-welcoming-6-fractional-sales-leaders/" TargetMode="External"/><Relationship Id="rId793" Type="http://schemas.openxmlformats.org/officeDocument/2006/relationships/hyperlink" Target="https://salesxceleration.com/wp-content/uploads/2022/04/Morgan-Tom-225x225.jpg" TargetMode="External"/><Relationship Id="rId1388" Type="http://schemas.openxmlformats.org/officeDocument/2006/relationships/hyperlink" Target="https://salesxceleration.com/news-events/sales-xceleration-expands-with-3-new-fractional-sales-leaders/" TargetMode="External"/><Relationship Id="rId6229" Type="http://schemas.openxmlformats.org/officeDocument/2006/relationships/hyperlink" Target="https://salesxceleration.com/wp-content/themes/salesxceleratione/assets/css/style.css?ver=1769123697" TargetMode="External"/><Relationship Id="rId6220" Type="http://schemas.openxmlformats.org/officeDocument/2006/relationships/hyperlink" Target="https://salesxceleration.com/wp-content/uploads/2015/11/Consulting-sales-xceleration-2048x2048.png" TargetMode="External"/><Relationship Id="rId6223" Type="http://schemas.openxmlformats.org/officeDocument/2006/relationships/hyperlink" Target="https://salesxceleration.com/odell-beckham-jr-and-your-sales-organizations-success/" TargetMode="External"/><Relationship Id="rId6224" Type="http://schemas.openxmlformats.org/officeDocument/2006/relationships/hyperlink" Target="https://salesxceleration.com/wp-content/uploads/2019/01/shutterstock_727711573-resized.jpg" TargetMode="External"/><Relationship Id="rId6221" Type="http://schemas.openxmlformats.org/officeDocument/2006/relationships/hyperlink" Target="https://salesxceleration.com/odell-beckham-jr-and-your-sales-organizations-success/" TargetMode="External"/><Relationship Id="rId6222" Type="http://schemas.openxmlformats.org/officeDocument/2006/relationships/hyperlink" Target="https://salesxceleration.com/odell-beckham-jr-and-your-sales-organizations-success/" TargetMode="External"/><Relationship Id="rId6227" Type="http://schemas.openxmlformats.org/officeDocument/2006/relationships/hyperlink" Target="https://salesxceleration.com/wp-content/uploads/2023/05/Successful-Sales-Team.jpg" TargetMode="External"/><Relationship Id="rId6228" Type="http://schemas.openxmlformats.org/officeDocument/2006/relationships/hyperlink" Target="https://salesxceleration.com/wp-content/themes/salesxceleratione/assets/css/style.css?ver=1769123697" TargetMode="External"/><Relationship Id="rId6225" Type="http://schemas.openxmlformats.org/officeDocument/2006/relationships/hyperlink" Target="https://salesxceleration.com/wp-content/uploads/2019/01/shutterstock_727711573-resized.jpg" TargetMode="External"/><Relationship Id="rId6226" Type="http://schemas.openxmlformats.org/officeDocument/2006/relationships/hyperlink" Target="https://salesxceleration.com/wp-content/uploads/2023/05/Successful-Sales-Team.jpg" TargetMode="External"/><Relationship Id="rId6218" Type="http://schemas.openxmlformats.org/officeDocument/2006/relationships/hyperlink" Target="https://salesxceleration.com/wp-content/uploads/2023/03/Measuring-Sales-Rep-Success.jpg" TargetMode="External"/><Relationship Id="rId6219" Type="http://schemas.openxmlformats.org/officeDocument/2006/relationships/hyperlink" Target="https://salesxceleration.com/wp-content/uploads/2015/11/Consulting-sales-xceleration-2048x2048.png" TargetMode="External"/><Relationship Id="rId6212" Type="http://schemas.openxmlformats.org/officeDocument/2006/relationships/hyperlink" Target="https://salesxceleration.com/wp-content/uploads/2019/07/shutterstock_1361250578-1-2048x2048.jpg" TargetMode="External"/><Relationship Id="rId6213" Type="http://schemas.openxmlformats.org/officeDocument/2006/relationships/hyperlink" Target="https://salesxceleration.com/wp-content/uploads/2019/07/shutterstock_1361250578-1-2048x2048.jpg" TargetMode="External"/><Relationship Id="rId6210" Type="http://schemas.openxmlformats.org/officeDocument/2006/relationships/hyperlink" Target="https://salesxceleration.com/wp-content/themes/salesxceleratione/assets/css/style.css?ver=1769123698" TargetMode="External"/><Relationship Id="rId6211" Type="http://schemas.openxmlformats.org/officeDocument/2006/relationships/hyperlink" Target="https://salesxceleration.com/wp-content/themes/salesxceleratione/assets/css/style.css?ver=1769123698" TargetMode="External"/><Relationship Id="rId6216" Type="http://schemas.openxmlformats.org/officeDocument/2006/relationships/hyperlink" Target="https://salesxceleration.com/your-key-performance-indicators-kpis-are-established-now-what/" TargetMode="External"/><Relationship Id="rId6217" Type="http://schemas.openxmlformats.org/officeDocument/2006/relationships/hyperlink" Target="https://salesxceleration.com/wp-content/uploads/2023/03/Measuring-Sales-Rep-Success.jpg" TargetMode="External"/><Relationship Id="rId6214" Type="http://schemas.openxmlformats.org/officeDocument/2006/relationships/hyperlink" Target="https://salesxceleration.com/your-key-performance-indicators-kpis-are-established-now-what/" TargetMode="External"/><Relationship Id="rId6215" Type="http://schemas.openxmlformats.org/officeDocument/2006/relationships/hyperlink" Target="https://salesxceleration.com/your-key-performance-indicators-kpis-are-established-now-what/" TargetMode="External"/><Relationship Id="rId6241" Type="http://schemas.openxmlformats.org/officeDocument/2006/relationships/hyperlink" Target="https://salesxceleration.com/wp-content/themes/salesxceleratione/assets/css/style.css?ver=1769123695" TargetMode="External"/><Relationship Id="rId6242" Type="http://schemas.openxmlformats.org/officeDocument/2006/relationships/hyperlink" Target="https://salesxceleration.com/wp-content/themes/salesxceleratione/assets/css/style.css?ver=1769123695" TargetMode="External"/><Relationship Id="rId6240" Type="http://schemas.openxmlformats.org/officeDocument/2006/relationships/hyperlink" Target="https://salesxceleration.com/wp-content/themes/salesxceleratione/assets/css/style.css?ver=1769123696" TargetMode="External"/><Relationship Id="rId6245" Type="http://schemas.openxmlformats.org/officeDocument/2006/relationships/hyperlink" Target="https://salesxceleration.com/wp-content/uploads/2024/05/Competitive-Positioning.jpg" TargetMode="External"/><Relationship Id="rId6246" Type="http://schemas.openxmlformats.org/officeDocument/2006/relationships/hyperlink" Target="https://salesxceleration.com/wp-content/uploads/2024/05/Competitive-Positioning.jpg" TargetMode="External"/><Relationship Id="rId6243" Type="http://schemas.openxmlformats.org/officeDocument/2006/relationships/hyperlink" Target="https://salesxceleration.com/wp-content/uploads/2024/02/Achieving-Sales-Excellence_Target-Market.jpg" TargetMode="External"/><Relationship Id="rId6244" Type="http://schemas.openxmlformats.org/officeDocument/2006/relationships/hyperlink" Target="https://salesxceleration.com/wp-content/uploads/2024/02/Achieving-Sales-Excellence_Target-Market.jpg" TargetMode="External"/><Relationship Id="rId6249" Type="http://schemas.openxmlformats.org/officeDocument/2006/relationships/hyperlink" Target="https://salesxceleration.com/wp-content/uploads/2021/05/4-Key-Investments-New-Business-Owner-Must-Make-1024x682-1-2048x2048.jpg" TargetMode="External"/><Relationship Id="rId6247" Type="http://schemas.openxmlformats.org/officeDocument/2006/relationships/hyperlink" Target="https://salesxceleration.com/wp-content/uploads/2020/09/Career-Crossroads-scaled-1-2048x2048.jpg" TargetMode="External"/><Relationship Id="rId6248" Type="http://schemas.openxmlformats.org/officeDocument/2006/relationships/hyperlink" Target="https://salesxceleration.com/wp-content/uploads/2020/09/Career-Crossroads-scaled-1-2048x2048.jpg" TargetMode="External"/><Relationship Id="rId6230" Type="http://schemas.openxmlformats.org/officeDocument/2006/relationships/hyperlink" Target="https://salesxceleration.com/wp-content/uploads/2024/03/Developing-a-Compelling-Value-Proposition.jpg" TargetMode="External"/><Relationship Id="rId6231" Type="http://schemas.openxmlformats.org/officeDocument/2006/relationships/hyperlink" Target="https://salesxceleration.com/wp-content/uploads/2024/03/Developing-a-Compelling-Value-Proposition.jpg" TargetMode="External"/><Relationship Id="rId6234" Type="http://schemas.openxmlformats.org/officeDocument/2006/relationships/hyperlink" Target="https://salesxceleration.com/sales-management-coaching/" TargetMode="External"/><Relationship Id="rId6235" Type="http://schemas.openxmlformats.org/officeDocument/2006/relationships/hyperlink" Target="https://salesxceleration.com/wp-content/uploads/2023/03/Prospecting-with-meaningful-conversations.jpg" TargetMode="External"/><Relationship Id="rId6232" Type="http://schemas.openxmlformats.org/officeDocument/2006/relationships/hyperlink" Target="https://salesxceleration.com/sales-management-coaching/" TargetMode="External"/><Relationship Id="rId6233" Type="http://schemas.openxmlformats.org/officeDocument/2006/relationships/hyperlink" Target="https://salesxceleration.com/sales-management-coaching/" TargetMode="External"/><Relationship Id="rId6238" Type="http://schemas.openxmlformats.org/officeDocument/2006/relationships/hyperlink" Target="https://salesxceleration.com/wp-content/uploads/2023/03/Building-Strong-Business-Relationships-1.jpg" TargetMode="External"/><Relationship Id="rId6239" Type="http://schemas.openxmlformats.org/officeDocument/2006/relationships/hyperlink" Target="https://salesxceleration.com/wp-content/themes/salesxceleratione/assets/css/style.css?ver=1769123696" TargetMode="External"/><Relationship Id="rId6236" Type="http://schemas.openxmlformats.org/officeDocument/2006/relationships/hyperlink" Target="https://salesxceleration.com/wp-content/uploads/2023/03/Prospecting-with-meaningful-conversations.jpg" TargetMode="External"/><Relationship Id="rId6237" Type="http://schemas.openxmlformats.org/officeDocument/2006/relationships/hyperlink" Target="https://salesxceleration.com/wp-content/uploads/2023/03/Building-Strong-Business-Relationships-1.jpg" TargetMode="External"/><Relationship Id="rId6209" Type="http://schemas.openxmlformats.org/officeDocument/2006/relationships/hyperlink" Target="https://salesxceleration.com/wp-content/uploads/2023/01/Business-Manager.jpg" TargetMode="External"/><Relationship Id="rId6207" Type="http://schemas.openxmlformats.org/officeDocument/2006/relationships/hyperlink" Target="https://salesxceleration.com/wp-content/themes/salesxceleratione/assets/css/style.css?ver=1769123699" TargetMode="External"/><Relationship Id="rId6208" Type="http://schemas.openxmlformats.org/officeDocument/2006/relationships/hyperlink" Target="https://salesxceleration.com/wp-content/uploads/2023/01/Business-Manager.jpg" TargetMode="External"/><Relationship Id="rId6201" Type="http://schemas.openxmlformats.org/officeDocument/2006/relationships/hyperlink" Target="https://salesxceleration.com/wp-content/uploads/2023/07/Meeting-with-sales-team.jpg" TargetMode="External"/><Relationship Id="rId6202" Type="http://schemas.openxmlformats.org/officeDocument/2006/relationships/hyperlink" Target="https://salesxceleration.com/wp-content/uploads/2023/03/CRM.jpg" TargetMode="External"/><Relationship Id="rId6200" Type="http://schemas.openxmlformats.org/officeDocument/2006/relationships/hyperlink" Target="https://salesxceleration.com/wp-content/uploads/2023/07/Meeting-with-sales-team.jpg" TargetMode="External"/><Relationship Id="rId6205" Type="http://schemas.openxmlformats.org/officeDocument/2006/relationships/hyperlink" Target="https://salesxceleration.com/wp-content/uploads/2022/03/Businessman-Holding-a-Football-2048x2048.jpg" TargetMode="External"/><Relationship Id="rId6206" Type="http://schemas.openxmlformats.org/officeDocument/2006/relationships/hyperlink" Target="https://salesxceleration.com/wp-content/themes/salesxceleratione/assets/css/style.css?ver=1769123699" TargetMode="External"/><Relationship Id="rId6203" Type="http://schemas.openxmlformats.org/officeDocument/2006/relationships/hyperlink" Target="https://salesxceleration.com/wp-content/uploads/2023/03/CRM.jpg" TargetMode="External"/><Relationship Id="rId6204" Type="http://schemas.openxmlformats.org/officeDocument/2006/relationships/hyperlink" Target="https://salesxceleration.com/wp-content/uploads/2022/03/Businessman-Holding-a-Football-2048x2048.jpg" TargetMode="External"/><Relationship Id="rId2700" Type="http://schemas.openxmlformats.org/officeDocument/2006/relationships/hyperlink" Target="https://salesxceleration.com/wp-content/uploads/2019/02/February-2019-New-Sales-Consultants.jpg" TargetMode="External"/><Relationship Id="rId2701" Type="http://schemas.openxmlformats.org/officeDocument/2006/relationships/hyperlink" Target="https://salesxceleration.com/wp-content/uploads/2025/10/October-2025-Class.jpg" TargetMode="External"/><Relationship Id="rId2702" Type="http://schemas.openxmlformats.org/officeDocument/2006/relationships/hyperlink" Target="https://salesxceleration.com/wp-content/uploads/2025/10/October-2025-Class.jpg" TargetMode="External"/><Relationship Id="rId2703" Type="http://schemas.openxmlformats.org/officeDocument/2006/relationships/hyperlink" Target="https://salesxceleration.com/wp-content/uploads/2013/10/Sales-Xceleration-October-2013.jpg" TargetMode="External"/><Relationship Id="rId2704" Type="http://schemas.openxmlformats.org/officeDocument/2006/relationships/hyperlink" Target="https://salesxceleration.com/wp-content/uploads/2013/10/Sales-Xceleration-October-2013.jpg" TargetMode="External"/><Relationship Id="rId2705" Type="http://schemas.openxmlformats.org/officeDocument/2006/relationships/hyperlink" Target="https://salesxceleration.com/wp-content/themes/salesxceleratione/assets/css/style.css?ver=1769123429" TargetMode="External"/><Relationship Id="rId2706" Type="http://schemas.openxmlformats.org/officeDocument/2006/relationships/hyperlink" Target="https://salesxceleration.com/wp-content/themes/salesxceleratione/assets/css/style.css?ver=1769123429" TargetMode="External"/><Relationship Id="rId2707" Type="http://schemas.openxmlformats.org/officeDocument/2006/relationships/hyperlink" Target="https://salesxceleration.com/wp-content/uploads/2017/03/CEOluchblog.jpg" TargetMode="External"/><Relationship Id="rId2708" Type="http://schemas.openxmlformats.org/officeDocument/2006/relationships/hyperlink" Target="https://salesxceleration.com/wp-content/uploads/2017/03/CEOluchblog.jpg" TargetMode="External"/><Relationship Id="rId2709" Type="http://schemas.openxmlformats.org/officeDocument/2006/relationships/hyperlink" Target="https://salesxceleration.com/wp-content/uploads/2021/06/June-2021-Advisor-Class.jpg" TargetMode="External"/><Relationship Id="rId6292" Type="http://schemas.openxmlformats.org/officeDocument/2006/relationships/hyperlink" Target="https://salesxceleration.com/wp-content/themes/salesxceleratione/assets/css/style.css?ver=1769123691" TargetMode="External"/><Relationship Id="rId6293" Type="http://schemas.openxmlformats.org/officeDocument/2006/relationships/hyperlink" Target="https://salesxceleration.com/wp-content/uploads/2017/02/NFL-Football-2-scaled-1.jpg" TargetMode="External"/><Relationship Id="rId6290" Type="http://schemas.openxmlformats.org/officeDocument/2006/relationships/hyperlink" Target="https://salesxceleration.com/three-sales-strategies-to-help-you-weather-an-economic-downtown/" TargetMode="External"/><Relationship Id="rId6291" Type="http://schemas.openxmlformats.org/officeDocument/2006/relationships/hyperlink" Target="https://salesxceleration.com/wp-content/themes/salesxceleratione/assets/css/style.css?ver=1769123691" TargetMode="External"/><Relationship Id="rId6296" Type="http://schemas.openxmlformats.org/officeDocument/2006/relationships/hyperlink" Target="https://salesxceleration.com/wp-content/uploads/2015/10/merger-derail-sales-success-sales-xceleration-300x167.jpg" TargetMode="External"/><Relationship Id="rId6297" Type="http://schemas.openxmlformats.org/officeDocument/2006/relationships/hyperlink" Target="https://salesxceleration.com/salesperson-reputations-bad-overcome-trap/" TargetMode="External"/><Relationship Id="rId6294" Type="http://schemas.openxmlformats.org/officeDocument/2006/relationships/hyperlink" Target="https://salesxceleration.com/wp-content/uploads/2017/02/NFL-Football-2-scaled-1.jpg" TargetMode="External"/><Relationship Id="rId6295" Type="http://schemas.openxmlformats.org/officeDocument/2006/relationships/hyperlink" Target="https://salesxceleration.com/wp-content/uploads/2015/10/merger-derail-sales-success-sales-xceleration-300x167.jpg" TargetMode="External"/><Relationship Id="rId6298" Type="http://schemas.openxmlformats.org/officeDocument/2006/relationships/hyperlink" Target="https://salesxceleration.com/salesperson-reputations-bad-overcome-trap/" TargetMode="External"/><Relationship Id="rId6299" Type="http://schemas.openxmlformats.org/officeDocument/2006/relationships/hyperlink" Target="https://salesxceleration.com/salesperson-reputations-bad-overcome-trap/" TargetMode="External"/><Relationship Id="rId2720" Type="http://schemas.openxmlformats.org/officeDocument/2006/relationships/hyperlink" Target="https://salesxceleration.com/wp-content/uploads/2025/07/Lee-Brumbaugh-CEO-Visionary-Sales-Xceleration.jpg" TargetMode="External"/><Relationship Id="rId2721" Type="http://schemas.openxmlformats.org/officeDocument/2006/relationships/hyperlink" Target="https://salesxceleration.com/wp-content/uploads/2024/02/February-2024-SX-Advisor-Class.jpg" TargetMode="External"/><Relationship Id="rId2722" Type="http://schemas.openxmlformats.org/officeDocument/2006/relationships/hyperlink" Target="https://salesxceleration.com/wp-content/uploads/2024/02/February-2024-SX-Advisor-Class.jpg" TargetMode="External"/><Relationship Id="rId2723" Type="http://schemas.openxmlformats.org/officeDocument/2006/relationships/hyperlink" Target="https://salesxceleration.com/wp-content/uploads/2024/01/December-2023-Photo-Final.jpg" TargetMode="External"/><Relationship Id="rId2724" Type="http://schemas.openxmlformats.org/officeDocument/2006/relationships/hyperlink" Target="https://salesxceleration.com/wp-content/uploads/2024/01/December-2023-Photo-Final.jpg" TargetMode="External"/><Relationship Id="rId2725" Type="http://schemas.openxmlformats.org/officeDocument/2006/relationships/hyperlink" Target="https://salesxceleration.com/wp-content/uploads/2023/10/SX-October-2023-Class.jpg" TargetMode="External"/><Relationship Id="rId2726" Type="http://schemas.openxmlformats.org/officeDocument/2006/relationships/hyperlink" Target="https://salesxceleration.com/wp-content/uploads/2023/10/SX-October-2023-Class.jpg" TargetMode="External"/><Relationship Id="rId2727" Type="http://schemas.openxmlformats.org/officeDocument/2006/relationships/hyperlink" Target="https://salesxceleration.com/wp-content/themes/salesxceleratione/assets/css/style.css?ver=1769123431" TargetMode="External"/><Relationship Id="rId2728" Type="http://schemas.openxmlformats.org/officeDocument/2006/relationships/hyperlink" Target="https://salesxceleration.com/wp-content/themes/salesxceleratione/assets/css/style.css?ver=1769123431" TargetMode="External"/><Relationship Id="rId2729" Type="http://schemas.openxmlformats.org/officeDocument/2006/relationships/hyperlink" Target="https://salesxceleration.com/wp-content/uploads/2022/06/Amplify-3.png" TargetMode="External"/><Relationship Id="rId2710" Type="http://schemas.openxmlformats.org/officeDocument/2006/relationships/hyperlink" Target="https://salesxceleration.com/wp-content/uploads/2021/06/June-2021-Advisor-Class.jpg" TargetMode="External"/><Relationship Id="rId2711" Type="http://schemas.openxmlformats.org/officeDocument/2006/relationships/hyperlink" Target="https://salesxceleration.com/wp-content/uploads/2017/07/Sales-Xceleration-New-Advisors-scaled-1.jpg" TargetMode="External"/><Relationship Id="rId2712" Type="http://schemas.openxmlformats.org/officeDocument/2006/relationships/hyperlink" Target="https://salesxceleration.com/wp-content/uploads/2017/07/Sales-Xceleration-New-Advisors-scaled-1.jpg" TargetMode="External"/><Relationship Id="rId2713" Type="http://schemas.openxmlformats.org/officeDocument/2006/relationships/hyperlink" Target="https://salesxceleration.com/wp-content/uploads/2024/11/ProCFO-Partners.png" TargetMode="External"/><Relationship Id="rId2714" Type="http://schemas.openxmlformats.org/officeDocument/2006/relationships/hyperlink" Target="https://salesxceleration.com/wp-content/uploads/2024/11/ProCFO-Partners.png" TargetMode="External"/><Relationship Id="rId2715" Type="http://schemas.openxmlformats.org/officeDocument/2006/relationships/hyperlink" Target="https://salesxceleration.com/wp-content/uploads/2021/10/Business-Conference-Speaker-2.jpg" TargetMode="External"/><Relationship Id="rId2716" Type="http://schemas.openxmlformats.org/officeDocument/2006/relationships/hyperlink" Target="https://salesxceleration.com/wp-content/uploads/2021/10/Business-Conference-Speaker-2.jpg" TargetMode="External"/><Relationship Id="rId2717" Type="http://schemas.openxmlformats.org/officeDocument/2006/relationships/hyperlink" Target="https://salesxceleration.com/wp-content/themes/salesxceleratione/assets/css/style.css?ver=1769123430" TargetMode="External"/><Relationship Id="rId2718" Type="http://schemas.openxmlformats.org/officeDocument/2006/relationships/hyperlink" Target="https://salesxceleration.com/wp-content/themes/salesxceleratione/assets/css/style.css?ver=1769123430" TargetMode="External"/><Relationship Id="rId2719" Type="http://schemas.openxmlformats.org/officeDocument/2006/relationships/hyperlink" Target="https://salesxceleration.com/wp-content/uploads/2025/07/Lee-Brumbaugh-CEO-Visionary-Sales-Xceleration.jpg" TargetMode="External"/><Relationship Id="rId6260" Type="http://schemas.openxmlformats.org/officeDocument/2006/relationships/hyperlink" Target="https://salesxceleration.com/wp-content/uploads/2022/05/Weathering-Economic-Downturn-2048x2048.jpg" TargetMode="External"/><Relationship Id="rId6263" Type="http://schemas.openxmlformats.org/officeDocument/2006/relationships/hyperlink" Target="https://salesxceleration.com/?download=27891" TargetMode="External"/><Relationship Id="rId6264" Type="http://schemas.openxmlformats.org/officeDocument/2006/relationships/hyperlink" Target="https://salesxceleration.com/infographics/target-market-analysis-checklist/" TargetMode="External"/><Relationship Id="rId6261" Type="http://schemas.openxmlformats.org/officeDocument/2006/relationships/hyperlink" Target="https://salesxceleration.com/wp-content/uploads/2022/05/Weathering-Economic-Downturn-2048x2048.jpg" TargetMode="External"/><Relationship Id="rId6262" Type="http://schemas.openxmlformats.org/officeDocument/2006/relationships/hyperlink" Target="https://salesxceleration.com/infographics/target-market-analysis-checklist/" TargetMode="External"/><Relationship Id="rId6267" Type="http://schemas.openxmlformats.org/officeDocument/2006/relationships/hyperlink" Target="https://salesxceleration.com/wp-content/uploads/2022/05/Sales-Team-Strategizing-2048x2048.jpg" TargetMode="External"/><Relationship Id="rId6268" Type="http://schemas.openxmlformats.org/officeDocument/2006/relationships/hyperlink" Target="https://salesxceleration.com/wp-content/uploads/2022/05/Sales-Team-Strategizing-2048x2048.jpg" TargetMode="External"/><Relationship Id="rId6265" Type="http://schemas.openxmlformats.org/officeDocument/2006/relationships/hyperlink" Target="https://salesxceleration.com/wp-content/uploads/2024/01/Strategic-Roadmap.jpg" TargetMode="External"/><Relationship Id="rId6266" Type="http://schemas.openxmlformats.org/officeDocument/2006/relationships/hyperlink" Target="https://salesxceleration.com/wp-content/uploads/2024/01/Strategic-Roadmap.jpg" TargetMode="External"/><Relationship Id="rId6269" Type="http://schemas.openxmlformats.org/officeDocument/2006/relationships/hyperlink" Target="https://salesxceleration.com/4-key-investments-new-business-owners-should-make/" TargetMode="External"/><Relationship Id="rId6252" Type="http://schemas.openxmlformats.org/officeDocument/2006/relationships/hyperlink" Target="https://salesxceleration.com/wp-content/uploads/2020/10/Sales-Leadership-Consultant-Leading-a-Sales-Meeting-scaled-1-2048x2048.jpg" TargetMode="External"/><Relationship Id="rId6253" Type="http://schemas.openxmlformats.org/officeDocument/2006/relationships/hyperlink" Target="https://salesxceleration.com/wp-content/uploads/2020/11/Happy-Sales-Leader-Leading-a-Meeting-scaled-1-2048x2048.jpg" TargetMode="External"/><Relationship Id="rId6250" Type="http://schemas.openxmlformats.org/officeDocument/2006/relationships/hyperlink" Target="https://salesxceleration.com/wp-content/uploads/2021/05/4-Key-Investments-New-Business-Owner-Must-Make-1024x682-1-2048x2048.jpg" TargetMode="External"/><Relationship Id="rId6251" Type="http://schemas.openxmlformats.org/officeDocument/2006/relationships/hyperlink" Target="https://salesxceleration.com/wp-content/uploads/2020/10/Sales-Leadership-Consultant-Leading-a-Sales-Meeting-scaled-1-2048x2048.jpg" TargetMode="External"/><Relationship Id="rId6256" Type="http://schemas.openxmlformats.org/officeDocument/2006/relationships/hyperlink" Target="https://salesxceleration.com/?download=27888" TargetMode="External"/><Relationship Id="rId6257" Type="http://schemas.openxmlformats.org/officeDocument/2006/relationships/hyperlink" Target="https://salesxceleration.com/infographics/competitor-sales-analysis-checklist/" TargetMode="External"/><Relationship Id="rId6254" Type="http://schemas.openxmlformats.org/officeDocument/2006/relationships/hyperlink" Target="https://salesxceleration.com/wp-content/uploads/2020/11/Happy-Sales-Leader-Leading-a-Meeting-scaled-1-2048x2048.jpg" TargetMode="External"/><Relationship Id="rId6255" Type="http://schemas.openxmlformats.org/officeDocument/2006/relationships/hyperlink" Target="https://salesxceleration.com/infographics/competitor-sales-analysis-checklist/" TargetMode="External"/><Relationship Id="rId6258" Type="http://schemas.openxmlformats.org/officeDocument/2006/relationships/hyperlink" Target="https://salesxceleration.com/wp-content/uploads/2023/02/sales-leaders-working-together.jpg" TargetMode="External"/><Relationship Id="rId6259" Type="http://schemas.openxmlformats.org/officeDocument/2006/relationships/hyperlink" Target="https://salesxceleration.com/wp-content/uploads/2023/02/sales-leaders-working-together.jpg" TargetMode="External"/><Relationship Id="rId6281" Type="http://schemas.openxmlformats.org/officeDocument/2006/relationships/hyperlink" Target="https://salesxceleration.com/wp-content/uploads/2020/09/Online-Sales-Meeting-scaled-1-2048x2048.jpg" TargetMode="External"/><Relationship Id="rId6282" Type="http://schemas.openxmlformats.org/officeDocument/2006/relationships/hyperlink" Target="https://salesxceleration.com/wp-content/uploads/2020/09/Online-Sales-Meeting-scaled-1-2048x2048.jpg" TargetMode="External"/><Relationship Id="rId6280" Type="http://schemas.openxmlformats.org/officeDocument/2006/relationships/hyperlink" Target="https://salesxceleration.com/wp-content/uploads/2017/07/Sales-Success-Buyer-Wants.jpg" TargetMode="External"/><Relationship Id="rId6285" Type="http://schemas.openxmlformats.org/officeDocument/2006/relationships/hyperlink" Target="https://salesxceleration.com/how-to-sell-more-by-selling-less/" TargetMode="External"/><Relationship Id="rId6286" Type="http://schemas.openxmlformats.org/officeDocument/2006/relationships/hyperlink" Target="https://salesxceleration.com/how-to-sell-more-by-selling-less/" TargetMode="External"/><Relationship Id="rId6283" Type="http://schemas.openxmlformats.org/officeDocument/2006/relationships/hyperlink" Target="https://salesxceleration.com/wp-content/themes/salesxceleratione/assets/css/style.css?ver=1769123693" TargetMode="External"/><Relationship Id="rId6284" Type="http://schemas.openxmlformats.org/officeDocument/2006/relationships/hyperlink" Target="https://salesxceleration.com/wp-content/themes/salesxceleratione/assets/css/style.css?ver=1769123693" TargetMode="External"/><Relationship Id="rId6289" Type="http://schemas.openxmlformats.org/officeDocument/2006/relationships/hyperlink" Target="https://salesxceleration.com/three-sales-strategies-to-help-you-weather-an-economic-downtown/" TargetMode="External"/><Relationship Id="rId6287" Type="http://schemas.openxmlformats.org/officeDocument/2006/relationships/hyperlink" Target="https://salesxceleration.com/how-to-sell-more-by-selling-less/" TargetMode="External"/><Relationship Id="rId6288" Type="http://schemas.openxmlformats.org/officeDocument/2006/relationships/hyperlink" Target="https://salesxceleration.com/three-sales-strategies-to-help-you-weather-an-economic-downtown/" TargetMode="External"/><Relationship Id="rId6270" Type="http://schemas.openxmlformats.org/officeDocument/2006/relationships/hyperlink" Target="https://salesxceleration.com/4-key-investments-new-business-owners-should-make/" TargetMode="External"/><Relationship Id="rId6271" Type="http://schemas.openxmlformats.org/officeDocument/2006/relationships/hyperlink" Target="https://salesxceleration.com/4-key-investments-new-business-owners-should-make/" TargetMode="External"/><Relationship Id="rId6274" Type="http://schemas.openxmlformats.org/officeDocument/2006/relationships/hyperlink" Target="https://salesxceleration.com/recession-proof-strategies-for-sales-leaders/" TargetMode="External"/><Relationship Id="rId6275" Type="http://schemas.openxmlformats.org/officeDocument/2006/relationships/hyperlink" Target="https://salesxceleration.com/recession-proof-strategies-for-sales-leaders/" TargetMode="External"/><Relationship Id="rId6272" Type="http://schemas.openxmlformats.org/officeDocument/2006/relationships/hyperlink" Target="https://salesxceleration.com/wp-content/themes/salesxceleratione/assets/css/style.css?ver=1769123694" TargetMode="External"/><Relationship Id="rId6273" Type="http://schemas.openxmlformats.org/officeDocument/2006/relationships/hyperlink" Target="https://salesxceleration.com/wp-content/themes/salesxceleratione/assets/css/style.css?ver=1769123694" TargetMode="External"/><Relationship Id="rId6278" Type="http://schemas.openxmlformats.org/officeDocument/2006/relationships/hyperlink" Target="https://salesxceleration.com/wp-content/uploads/2024/06/Choosing-Effective-Sales-Channels.jpg" TargetMode="External"/><Relationship Id="rId6279" Type="http://schemas.openxmlformats.org/officeDocument/2006/relationships/hyperlink" Target="https://salesxceleration.com/wp-content/uploads/2017/07/Sales-Success-Buyer-Wants.jpg" TargetMode="External"/><Relationship Id="rId6276" Type="http://schemas.openxmlformats.org/officeDocument/2006/relationships/hyperlink" Target="https://salesxceleration.com/recession-proof-strategies-for-sales-leaders/" TargetMode="External"/><Relationship Id="rId6277" Type="http://schemas.openxmlformats.org/officeDocument/2006/relationships/hyperlink" Target="https://salesxceleration.com/wp-content/uploads/2024/06/Choosing-Effective-Sales-Channels.jpg" TargetMode="External"/><Relationship Id="rId1455" Type="http://schemas.openxmlformats.org/officeDocument/2006/relationships/hyperlink" Target="https://salesxceleration.com/news-events/sales-xceleration-expands-their-national-presence-into-eight-new-markets/" TargetMode="External"/><Relationship Id="rId2786" Type="http://schemas.openxmlformats.org/officeDocument/2006/relationships/hyperlink" Target="https://salesxceleration.com/sales-agility-assessment-1-0-mdugan/" TargetMode="External"/><Relationship Id="rId1456" Type="http://schemas.openxmlformats.org/officeDocument/2006/relationships/hyperlink" Target="https://salesxceleration.com/news-events/sales-xceleration-expands-their-national-presence-into-eight-new-markets/" TargetMode="External"/><Relationship Id="rId2787" Type="http://schemas.openxmlformats.org/officeDocument/2006/relationships/hyperlink" Target="https://salesxceleration.com/sales-agility-assessment/" TargetMode="External"/><Relationship Id="rId1457" Type="http://schemas.openxmlformats.org/officeDocument/2006/relationships/hyperlink" Target="https://salesxceleration.com/news-events/three-new-sales-leaders-providing-sales-expertise-at-a-fraction-of-the-cost/" TargetMode="External"/><Relationship Id="rId2788" Type="http://schemas.openxmlformats.org/officeDocument/2006/relationships/hyperlink" Target="https://salesxceleration.com/sales-agility-assessment-1-0-mdugan/" TargetMode="External"/><Relationship Id="rId1458" Type="http://schemas.openxmlformats.org/officeDocument/2006/relationships/hyperlink" Target="https://salesxceleration.com/news-events/three-new-sales-leaders-providing-sales-expertise-at-a-fraction-of-the-cost/" TargetMode="External"/><Relationship Id="rId2789" Type="http://schemas.openxmlformats.org/officeDocument/2006/relationships/hyperlink" Target="https://salesxceleration.com/wp-content/themes/salesxceleratione/assets/css/style.css?ver=1769123437" TargetMode="External"/><Relationship Id="rId1459" Type="http://schemas.openxmlformats.org/officeDocument/2006/relationships/hyperlink" Target="https://salesxceleration.com/news-events/three-new-sales-leaders-providing-sales-expertise-at-a-fraction-of-the-cost/" TargetMode="External"/><Relationship Id="rId629" Type="http://schemas.openxmlformats.org/officeDocument/2006/relationships/hyperlink" Target="https://salesxceleration.com/case-study/developing-a-strategy-for-ensured-success/" TargetMode="External"/><Relationship Id="rId624" Type="http://schemas.openxmlformats.org/officeDocument/2006/relationships/hyperlink" Target="https://salesxceleration.com/case-study/health-benefits-company/" TargetMode="External"/><Relationship Id="rId623" Type="http://schemas.openxmlformats.org/officeDocument/2006/relationships/hyperlink" Target="https://salesxceleration.com/wp-content/uploads/2025/07/AdobeStock_1068130690.jpeg" TargetMode="External"/><Relationship Id="rId622" Type="http://schemas.openxmlformats.org/officeDocument/2006/relationships/hyperlink" Target="https://salesxceleration.com/wp-content/uploads/2025/07/AdobeStock_1068130690.jpeg" TargetMode="External"/><Relationship Id="rId621" Type="http://schemas.openxmlformats.org/officeDocument/2006/relationships/hyperlink" Target="https://salesxceleration.com/wp-content/uploads/elementor/css/post-71323.css?ver=1768846230" TargetMode="External"/><Relationship Id="rId628" Type="http://schemas.openxmlformats.org/officeDocument/2006/relationships/hyperlink" Target="https://salesxceleration.com/case-study/developing-a-strategy-for-ensured-success/" TargetMode="External"/><Relationship Id="rId627" Type="http://schemas.openxmlformats.org/officeDocument/2006/relationships/hyperlink" Target="https://salesxceleration.com/case-study/developing-a-strategy-for-ensured-success/" TargetMode="External"/><Relationship Id="rId626" Type="http://schemas.openxmlformats.org/officeDocument/2006/relationships/hyperlink" Target="https://salesxceleration.com/case-study/health-benefits-company/" TargetMode="External"/><Relationship Id="rId625" Type="http://schemas.openxmlformats.org/officeDocument/2006/relationships/hyperlink" Target="https://salesxceleration.com/case-study/health-benefits-company/" TargetMode="External"/><Relationship Id="rId2780" Type="http://schemas.openxmlformats.org/officeDocument/2006/relationships/hyperlink" Target="https://salesxceleration.com/wp-content/themes/salesxceleratione/assets/css/style.css?ver=1769123436" TargetMode="External"/><Relationship Id="rId1450" Type="http://schemas.openxmlformats.org/officeDocument/2006/relationships/hyperlink" Target="https://salesxceleration.com/news-events/mike-dugan-presents-hampton-roads-va-business-leaders/" TargetMode="External"/><Relationship Id="rId2781" Type="http://schemas.openxmlformats.org/officeDocument/2006/relationships/hyperlink" Target="https://salesxceleration.com/wp-content/themes/salesxceleratione/assets/css/style.css?ver=1769123436" TargetMode="External"/><Relationship Id="rId620" Type="http://schemas.openxmlformats.org/officeDocument/2006/relationships/hyperlink" Target="https://salesxceleration.com/wp-content/uploads/elementor/css/post-71323.css?ver=1768846230" TargetMode="External"/><Relationship Id="rId1451" Type="http://schemas.openxmlformats.org/officeDocument/2006/relationships/hyperlink" Target="https://salesxceleration.com/news-events/great-sales-organizations-made-learn-sales-driven/" TargetMode="External"/><Relationship Id="rId2782" Type="http://schemas.openxmlformats.org/officeDocument/2006/relationships/hyperlink" Target="https://salesxceleration.com/wp-content/uploads/2016/08/Michael-Wills.png" TargetMode="External"/><Relationship Id="rId1452" Type="http://schemas.openxmlformats.org/officeDocument/2006/relationships/hyperlink" Target="https://salesxceleration.com/news-events/great-sales-organizations-made-learn-sales-driven/" TargetMode="External"/><Relationship Id="rId2783" Type="http://schemas.openxmlformats.org/officeDocument/2006/relationships/hyperlink" Target="https://salesxceleration.com/wp-content/uploads/2016/08/Michael-Wills.png" TargetMode="External"/><Relationship Id="rId1453" Type="http://schemas.openxmlformats.org/officeDocument/2006/relationships/hyperlink" Target="https://salesxceleration.com/news-events/great-sales-organizations-made-learn-sales-driven/" TargetMode="External"/><Relationship Id="rId2784" Type="http://schemas.openxmlformats.org/officeDocument/2006/relationships/hyperlink" Target="https://salesxceleration.com/wp-content/uploads/2015/10/sales-x-2.png" TargetMode="External"/><Relationship Id="rId1454" Type="http://schemas.openxmlformats.org/officeDocument/2006/relationships/hyperlink" Target="https://salesxceleration.com/news-events/sales-xceleration-expands-their-national-presence-into-eight-new-markets/" TargetMode="External"/><Relationship Id="rId2785" Type="http://schemas.openxmlformats.org/officeDocument/2006/relationships/hyperlink" Target="https://salesxceleration.com/wp-content/uploads/2015/10/sales-x-2.png" TargetMode="External"/><Relationship Id="rId1444" Type="http://schemas.openxmlformats.org/officeDocument/2006/relationships/hyperlink" Target="https://salesxceleration.com/news-events/small-and-medium-size-businesses-embrace-benefits-of-utilizing-fractional-sales-leaders/" TargetMode="External"/><Relationship Id="rId2775" Type="http://schemas.openxmlformats.org/officeDocument/2006/relationships/hyperlink" Target="https://salesxceleration.com/wp-content/uploads/2021/10/2021-08-Training-M.-Ianniciello-C.-Hathaway-K.-Lawson-T.-Hoelderle-V.-Trotta-J.-Costello-1024x768-1.jpg" TargetMode="External"/><Relationship Id="rId1445" Type="http://schemas.openxmlformats.org/officeDocument/2006/relationships/hyperlink" Target="https://salesxceleration.com/news-events/great-sales-organizations/" TargetMode="External"/><Relationship Id="rId2776" Type="http://schemas.openxmlformats.org/officeDocument/2006/relationships/hyperlink" Target="https://salesxceleration.com/wp-content/uploads/2016/09/Tower-Club-1.png" TargetMode="External"/><Relationship Id="rId1446" Type="http://schemas.openxmlformats.org/officeDocument/2006/relationships/hyperlink" Target="https://salesxceleration.com/news-events/great-sales-organizations/" TargetMode="External"/><Relationship Id="rId2777" Type="http://schemas.openxmlformats.org/officeDocument/2006/relationships/hyperlink" Target="https://salesxceleration.com/wp-content/uploads/2016/09/Tower-Club-1.png" TargetMode="External"/><Relationship Id="rId1447" Type="http://schemas.openxmlformats.org/officeDocument/2006/relationships/hyperlink" Target="https://salesxceleration.com/news-events/great-sales-organizations/" TargetMode="External"/><Relationship Id="rId2778" Type="http://schemas.openxmlformats.org/officeDocument/2006/relationships/hyperlink" Target="https://salesxceleration.com/wp-content/uploads/2017/10/Dugan-10-17-2017-Workshop.jpg" TargetMode="External"/><Relationship Id="rId1448" Type="http://schemas.openxmlformats.org/officeDocument/2006/relationships/hyperlink" Target="https://salesxceleration.com/news-events/mike-dugan-presents-hampton-roads-va-business-leaders/" TargetMode="External"/><Relationship Id="rId2779" Type="http://schemas.openxmlformats.org/officeDocument/2006/relationships/hyperlink" Target="https://salesxceleration.com/wp-content/uploads/2017/10/Dugan-10-17-2017-Workshop.jpg" TargetMode="External"/><Relationship Id="rId1449" Type="http://schemas.openxmlformats.org/officeDocument/2006/relationships/hyperlink" Target="https://salesxceleration.com/news-events/mike-dugan-presents-hampton-roads-va-business-leaders/" TargetMode="External"/><Relationship Id="rId619" Type="http://schemas.openxmlformats.org/officeDocument/2006/relationships/hyperlink" Target="https://salesxceleration.com/wp-content/uploads/2023/03/thumb-Developing-a-Strategy-for-Ensured-Success-Healthcare.jpg" TargetMode="External"/><Relationship Id="rId618" Type="http://schemas.openxmlformats.org/officeDocument/2006/relationships/hyperlink" Target="https://salesxceleration.com/wp-content/uploads/2023/03/thumb-Developing-a-Strategy-for-Ensured-Success-Healthcare.jpg" TargetMode="External"/><Relationship Id="rId613" Type="http://schemas.openxmlformats.org/officeDocument/2006/relationships/hyperlink" Target="https://salesxceleration.com/case-study/food-industry/" TargetMode="External"/><Relationship Id="rId612" Type="http://schemas.openxmlformats.org/officeDocument/2006/relationships/hyperlink" Target="https://salesxceleration.com/case-study/air-gauge-station-manufacturer/" TargetMode="External"/><Relationship Id="rId611" Type="http://schemas.openxmlformats.org/officeDocument/2006/relationships/hyperlink" Target="https://salesxceleration.com/case-study/air-gauge-station-manufacturer/" TargetMode="External"/><Relationship Id="rId610" Type="http://schemas.openxmlformats.org/officeDocument/2006/relationships/hyperlink" Target="https://salesxceleration.com/case-study/air-gauge-station-manufacturer/" TargetMode="External"/><Relationship Id="rId617" Type="http://schemas.openxmlformats.org/officeDocument/2006/relationships/hyperlink" Target="https://salesxceleration.com/wp-content/uploads/2019/11/healthcare-thumb-2048x2048.jpg" TargetMode="External"/><Relationship Id="rId616" Type="http://schemas.openxmlformats.org/officeDocument/2006/relationships/hyperlink" Target="https://salesxceleration.com/wp-content/uploads/2019/11/healthcare-thumb-2048x2048.jpg" TargetMode="External"/><Relationship Id="rId615" Type="http://schemas.openxmlformats.org/officeDocument/2006/relationships/hyperlink" Target="https://salesxceleration.com/case-study/food-industry/" TargetMode="External"/><Relationship Id="rId614" Type="http://schemas.openxmlformats.org/officeDocument/2006/relationships/hyperlink" Target="https://salesxceleration.com/case-study/food-industry/" TargetMode="External"/><Relationship Id="rId2770" Type="http://schemas.openxmlformats.org/officeDocument/2006/relationships/hyperlink" Target="https://salesxceleration.com/wp-content/uploads/2019/09/salesx5more-scaled.jpg" TargetMode="External"/><Relationship Id="rId1440" Type="http://schemas.openxmlformats.org/officeDocument/2006/relationships/hyperlink" Target="https://salesxceleration.com/news-events/sales-xceleration-gains-five-new-sales-advisors/" TargetMode="External"/><Relationship Id="rId2771" Type="http://schemas.openxmlformats.org/officeDocument/2006/relationships/hyperlink" Target="https://salesxceleration.com/sales-agility-assessment-1-0-jlee/" TargetMode="External"/><Relationship Id="rId1441" Type="http://schemas.openxmlformats.org/officeDocument/2006/relationships/hyperlink" Target="https://salesxceleration.com/news-events/sales-xceleration-gains-five-new-sales-advisors/" TargetMode="External"/><Relationship Id="rId2772" Type="http://schemas.openxmlformats.org/officeDocument/2006/relationships/hyperlink" Target="https://salesxceleration.com/sales-agility-assessment/" TargetMode="External"/><Relationship Id="rId1442" Type="http://schemas.openxmlformats.org/officeDocument/2006/relationships/hyperlink" Target="https://salesxceleration.com/news-events/small-and-medium-size-businesses-embrace-benefits-of-utilizing-fractional-sales-leaders/" TargetMode="External"/><Relationship Id="rId2773" Type="http://schemas.openxmlformats.org/officeDocument/2006/relationships/hyperlink" Target="https://salesxceleration.com/sales-agility-assessment-1-0-jlee/" TargetMode="External"/><Relationship Id="rId1443" Type="http://schemas.openxmlformats.org/officeDocument/2006/relationships/hyperlink" Target="https://salesxceleration.com/news-events/small-and-medium-size-businesses-embrace-benefits-of-utilizing-fractional-sales-leaders/" TargetMode="External"/><Relationship Id="rId2774" Type="http://schemas.openxmlformats.org/officeDocument/2006/relationships/hyperlink" Target="https://salesxceleration.com/wp-content/uploads/2021/10/2021-08-Training-M.-Ianniciello-C.-Hathaway-K.-Lawson-T.-Hoelderle-V.-Trotta-J.-Costello-1024x768-1.jpg" TargetMode="External"/><Relationship Id="rId1477" Type="http://schemas.openxmlformats.org/officeDocument/2006/relationships/hyperlink" Target="https://salesxceleration.com/news-events/book-launch-beyond-the-mountaintop/" TargetMode="External"/><Relationship Id="rId1478" Type="http://schemas.openxmlformats.org/officeDocument/2006/relationships/hyperlink" Target="https://salesxceleration.com/news-events/sales-xceleration-adds-seven-new-sales-consultants-grows-to-75-outsourced-vps-of-sales/" TargetMode="External"/><Relationship Id="rId1479" Type="http://schemas.openxmlformats.org/officeDocument/2006/relationships/hyperlink" Target="https://salesxceleration.com/news-events/sales-xceleration-adds-seven-new-sales-consultants-grows-to-75-outsourced-vps-of-sales/" TargetMode="External"/><Relationship Id="rId646" Type="http://schemas.openxmlformats.org/officeDocument/2006/relationships/hyperlink" Target="https://salesxceleration.com/wp-content/uploads/2025/12/SAO-YT-Thumbnail-Bryan-Cressey-1024x576.jpg" TargetMode="External"/><Relationship Id="rId645" Type="http://schemas.openxmlformats.org/officeDocument/2006/relationships/hyperlink" Target="https://salesxceleration.com/wp-content/plugins/elementor-pro/assets/css/widget-loop-common.min.css?ver=3.34.0" TargetMode="External"/><Relationship Id="rId644" Type="http://schemas.openxmlformats.org/officeDocument/2006/relationships/hyperlink" Target="https://salesxceleration.com/wp-content/plugins/elementor-pro/assets/css/widget-loop-common.min.css?ver=3.34.0" TargetMode="External"/><Relationship Id="rId643" Type="http://schemas.openxmlformats.org/officeDocument/2006/relationships/hyperlink" Target="https://salesxceleration.com/case-study/home-healthcare/" TargetMode="External"/><Relationship Id="rId649" Type="http://schemas.openxmlformats.org/officeDocument/2006/relationships/hyperlink" Target="https://salesxceleration.com/wp-content/uploads/elementor/thumbs/podcast-sales-against-the-odds-rekhkpdrqbnjmj3tc00y1xropdbkzyjcxhp2m8l11k.jpg" TargetMode="External"/><Relationship Id="rId648" Type="http://schemas.openxmlformats.org/officeDocument/2006/relationships/hyperlink" Target="https://salesxceleration.com/wp-content/uploads/elementor/thumbs/podcast-sales-against-the-odds-rekhkpdrqbnjmj3tc00y1xropdbkzyjcxhp2m8l11k.jpg" TargetMode="External"/><Relationship Id="rId647" Type="http://schemas.openxmlformats.org/officeDocument/2006/relationships/hyperlink" Target="https://salesxceleration.com/wp-content/uploads/2025/12/SAO-YT-Thumbnail-Bryan-Cressey-1024x576.jpg" TargetMode="External"/><Relationship Id="rId1470" Type="http://schemas.openxmlformats.org/officeDocument/2006/relationships/hyperlink" Target="https://salesxceleration.com/news-events/sales-xceleration-expands-expertise-with-the-introduction-of-dynamic-sales-growth-leaders/" TargetMode="External"/><Relationship Id="rId1471" Type="http://schemas.openxmlformats.org/officeDocument/2006/relationships/hyperlink" Target="https://salesxceleration.com/news-events/sales-xceleration-expands-expertise-with-the-introduction-of-dynamic-sales-growth-leaders/" TargetMode="External"/><Relationship Id="rId1472" Type="http://schemas.openxmlformats.org/officeDocument/2006/relationships/hyperlink" Target="https://salesxceleration.com/news-events/sales-xceleration-reaches-milestone-of-100-consultants-and-launches-hero100-campaign/" TargetMode="External"/><Relationship Id="rId642" Type="http://schemas.openxmlformats.org/officeDocument/2006/relationships/hyperlink" Target="https://salesxceleration.com/case-study/home-healthcare/" TargetMode="External"/><Relationship Id="rId1473" Type="http://schemas.openxmlformats.org/officeDocument/2006/relationships/hyperlink" Target="https://salesxceleration.com/news-events/sales-xceleration-reaches-milestone-of-100-consultants-and-launches-hero100-campaign/" TargetMode="External"/><Relationship Id="rId641" Type="http://schemas.openxmlformats.org/officeDocument/2006/relationships/hyperlink" Target="https://salesxceleration.com/case-study/home-healthcare/" TargetMode="External"/><Relationship Id="rId1474" Type="http://schemas.openxmlformats.org/officeDocument/2006/relationships/hyperlink" Target="https://salesxceleration.com/news-events/sales-xceleration-reaches-milestone-of-100-consultants-and-launches-hero100-campaign/" TargetMode="External"/><Relationship Id="rId640" Type="http://schemas.openxmlformats.org/officeDocument/2006/relationships/hyperlink" Target="https://salesxceleration.com/wp-content/uploads/2026/01/SAO-YT-Thumbnail-Tim-Van-Mieghem-1024x576.jpg" TargetMode="External"/><Relationship Id="rId1475" Type="http://schemas.openxmlformats.org/officeDocument/2006/relationships/hyperlink" Target="https://salesxceleration.com/news-events/book-launch-beyond-the-mountaintop/" TargetMode="External"/><Relationship Id="rId1476" Type="http://schemas.openxmlformats.org/officeDocument/2006/relationships/hyperlink" Target="https://salesxceleration.com/news-events/book-launch-beyond-the-mountaintop/" TargetMode="External"/><Relationship Id="rId1466" Type="http://schemas.openxmlformats.org/officeDocument/2006/relationships/hyperlink" Target="https://salesxceleration.com/news-events/sales-xceleration-expands-adding-eleven-sales-leadership-consultants/" TargetMode="External"/><Relationship Id="rId2797" Type="http://schemas.openxmlformats.org/officeDocument/2006/relationships/hyperlink" Target="https://salesxceleration.com/wp-content/uploads/2020/08/2020-08-Flynn-Bellew-George-Englert-Landsverk-Skerlos-Hardwick-Duckworth-Grand-Toon-Miller-scaled-1.jpg" TargetMode="External"/><Relationship Id="rId1467" Type="http://schemas.openxmlformats.org/officeDocument/2006/relationships/hyperlink" Target="https://salesxceleration.com/news-events/sales-xceleration-expands-adding-eleven-sales-leadership-consultants/" TargetMode="External"/><Relationship Id="rId2798" Type="http://schemas.openxmlformats.org/officeDocument/2006/relationships/hyperlink" Target="https://salesxceleration.com/wp-content/uploads/2020/08/2020-08-Flynn-Bellew-George-Englert-Landsverk-Skerlos-Hardwick-Duckworth-Grand-Toon-Miller-scaled-1.jpg" TargetMode="External"/><Relationship Id="rId1468" Type="http://schemas.openxmlformats.org/officeDocument/2006/relationships/hyperlink" Target="https://salesxceleration.com/news-events/sales-xceleration-expands-adding-eleven-sales-leadership-consultants/" TargetMode="External"/><Relationship Id="rId2799" Type="http://schemas.openxmlformats.org/officeDocument/2006/relationships/hyperlink" Target="https://salesxceleration.com/wp-content/themes/salesxceleratione/assets/css/style.css?ver=1769123438" TargetMode="External"/><Relationship Id="rId1469" Type="http://schemas.openxmlformats.org/officeDocument/2006/relationships/hyperlink" Target="https://salesxceleration.com/news-events/sales-xceleration-expands-expertise-with-the-introduction-of-dynamic-sales-growth-leaders/" TargetMode="External"/><Relationship Id="rId635" Type="http://schemas.openxmlformats.org/officeDocument/2006/relationships/hyperlink" Target="https://salesxceleration.com/wp-content/uploads/2025/03/Leveraging-AI-to-Optimize-B2B-Lead-Generation.jpg" TargetMode="External"/><Relationship Id="rId634" Type="http://schemas.openxmlformats.org/officeDocument/2006/relationships/hyperlink" Target="https://salesxceleration.com/wp-content/uploads/2025/03/Leveraging-AI-to-Optimize-B2B-Lead-Generation.jpg" TargetMode="External"/><Relationship Id="rId633" Type="http://schemas.openxmlformats.org/officeDocument/2006/relationships/hyperlink" Target="https://salesxceleration.com/wp-content/themes/salesxceleratione/assets/css/style.css?ver=1769123319" TargetMode="External"/><Relationship Id="rId632" Type="http://schemas.openxmlformats.org/officeDocument/2006/relationships/hyperlink" Target="https://salesxceleration.com/wp-content/themes/salesxceleratione/assets/css/style.css?ver=1769123319" TargetMode="External"/><Relationship Id="rId639" Type="http://schemas.openxmlformats.org/officeDocument/2006/relationships/hyperlink" Target="https://salesxceleration.com/wp-content/uploads/2026/01/SAO-YT-Thumbnail-Tim-Van-Mieghem-1024x576.jpg" TargetMode="External"/><Relationship Id="rId638" Type="http://schemas.openxmlformats.org/officeDocument/2006/relationships/hyperlink" Target="https://salesxceleration.com/sales-training/" TargetMode="External"/><Relationship Id="rId637" Type="http://schemas.openxmlformats.org/officeDocument/2006/relationships/hyperlink" Target="https://salesxceleration.com/sales-training-alone-wont-improve-businesss-revenue/" TargetMode="External"/><Relationship Id="rId636" Type="http://schemas.openxmlformats.org/officeDocument/2006/relationships/hyperlink" Target="https://salesxceleration.com/sales-training/" TargetMode="External"/><Relationship Id="rId2790" Type="http://schemas.openxmlformats.org/officeDocument/2006/relationships/hyperlink" Target="https://salesxceleration.com/wp-content/themes/salesxceleratione/assets/css/style.css?ver=1769123437" TargetMode="External"/><Relationship Id="rId1460" Type="http://schemas.openxmlformats.org/officeDocument/2006/relationships/hyperlink" Target="https://salesxceleration.com/news-events/sales-xceleration-announces-a-partnership-with-claritysoft/" TargetMode="External"/><Relationship Id="rId2791" Type="http://schemas.openxmlformats.org/officeDocument/2006/relationships/hyperlink" Target="https://salesxceleration.com/wp-content/uploads/2023/02/IMG_1165-1.jpg" TargetMode="External"/><Relationship Id="rId1461" Type="http://schemas.openxmlformats.org/officeDocument/2006/relationships/hyperlink" Target="https://salesxceleration.com/news-events/sales-xceleration-announces-a-partnership-with-claritysoft/" TargetMode="External"/><Relationship Id="rId2792" Type="http://schemas.openxmlformats.org/officeDocument/2006/relationships/hyperlink" Target="https://salesxceleration.com/wp-content/uploads/2023/02/IMG_1165-1.jpg" TargetMode="External"/><Relationship Id="rId631" Type="http://schemas.openxmlformats.org/officeDocument/2006/relationships/hyperlink" Target="https://salesxceleration.com/wp-content/themes/salesxceleratione/assets/css/style.css?ver=1769123318" TargetMode="External"/><Relationship Id="rId1462" Type="http://schemas.openxmlformats.org/officeDocument/2006/relationships/hyperlink" Target="https://salesxceleration.com/news-events/sales-xceleration-announces-a-partnership-with-claritysoft/" TargetMode="External"/><Relationship Id="rId2793" Type="http://schemas.openxmlformats.org/officeDocument/2006/relationships/hyperlink" Target="https://salesxceleration.com/wp-content/uploads/2021/10/Pathfinder-Logo_Final-768x288-1.png" TargetMode="External"/><Relationship Id="rId630" Type="http://schemas.openxmlformats.org/officeDocument/2006/relationships/hyperlink" Target="https://salesxceleration.com/wp-content/themes/salesxceleratione/assets/css/style.css?ver=1769123318" TargetMode="External"/><Relationship Id="rId1463" Type="http://schemas.openxmlformats.org/officeDocument/2006/relationships/hyperlink" Target="https://salesxceleration.com/news-events/sales-xceleration-announces-presidents-club-and-first-annual-presidents-circle-winners/" TargetMode="External"/><Relationship Id="rId2794" Type="http://schemas.openxmlformats.org/officeDocument/2006/relationships/hyperlink" Target="https://salesxceleration.com/wp-content/uploads/2021/10/Pathfinder-Logo_Final-768x288-1.png" TargetMode="External"/><Relationship Id="rId1464" Type="http://schemas.openxmlformats.org/officeDocument/2006/relationships/hyperlink" Target="https://salesxceleration.com/news-events/sales-xceleration-announces-presidents-club-and-first-annual-presidents-circle-winners/" TargetMode="External"/><Relationship Id="rId2795" Type="http://schemas.openxmlformats.org/officeDocument/2006/relationships/hyperlink" Target="https://salesxceleration.com/wp-content/uploads/2024/04/PC-2023-Winners.jpg" TargetMode="External"/><Relationship Id="rId1465" Type="http://schemas.openxmlformats.org/officeDocument/2006/relationships/hyperlink" Target="https://salesxceleration.com/news-events/sales-xceleration-announces-presidents-club-and-first-annual-presidents-circle-winners/" TargetMode="External"/><Relationship Id="rId2796" Type="http://schemas.openxmlformats.org/officeDocument/2006/relationships/hyperlink" Target="https://salesxceleration.com/wp-content/uploads/2024/04/PC-2023-Winners.jpg" TargetMode="External"/><Relationship Id="rId1411" Type="http://schemas.openxmlformats.org/officeDocument/2006/relationships/hyperlink" Target="https://salesxceleration.com/news-events/sales-xceleration-we-are-more-than-a-consulting-company-we-become-a-part-of-your-team-working-to-build-a-sustainable-sales-program-that-drives-revenue/" TargetMode="External"/><Relationship Id="rId2742" Type="http://schemas.openxmlformats.org/officeDocument/2006/relationships/hyperlink" Target="https://salesxceleration.com/wp-content/themes/salesxceleratione/assets/css/style.css?ver=1769123433" TargetMode="External"/><Relationship Id="rId1412" Type="http://schemas.openxmlformats.org/officeDocument/2006/relationships/hyperlink" Target="https://salesxceleration.com/news-events/five-join-sales-xceleration-in-october/" TargetMode="External"/><Relationship Id="rId2743" Type="http://schemas.openxmlformats.org/officeDocument/2006/relationships/hyperlink" Target="https://salesxceleration.com/wp-content/uploads/2022/10/50-Best-Companies-to-Watch-202249.jpg" TargetMode="External"/><Relationship Id="rId1413" Type="http://schemas.openxmlformats.org/officeDocument/2006/relationships/hyperlink" Target="https://salesxceleration.com/news-events/five-join-sales-xceleration-in-october/" TargetMode="External"/><Relationship Id="rId2744" Type="http://schemas.openxmlformats.org/officeDocument/2006/relationships/hyperlink" Target="https://salesxceleration.com/wp-content/uploads/2022/10/50-Best-Companies-to-Watch-202249.jpg" TargetMode="External"/><Relationship Id="rId1414" Type="http://schemas.openxmlformats.org/officeDocument/2006/relationships/hyperlink" Target="https://salesxceleration.com/news-events/five-join-sales-xceleration-in-october/" TargetMode="External"/><Relationship Id="rId2745" Type="http://schemas.openxmlformats.org/officeDocument/2006/relationships/hyperlink" Target="https://salesxceleration.com/wp-content/uploads/2022/10/IMG_3389.jpeg" TargetMode="External"/><Relationship Id="rId1415" Type="http://schemas.openxmlformats.org/officeDocument/2006/relationships/hyperlink" Target="https://salesxceleration.com/news-events/sales-xceleration-is-named-to-the-inc-5000-list-for-the-3rd-year-in-a-row/" TargetMode="External"/><Relationship Id="rId2746" Type="http://schemas.openxmlformats.org/officeDocument/2006/relationships/hyperlink" Target="https://salesxceleration.com/wp-content/uploads/2022/10/IMG_3389.jpeg" TargetMode="External"/><Relationship Id="rId1416" Type="http://schemas.openxmlformats.org/officeDocument/2006/relationships/hyperlink" Target="https://salesxceleration.com/news-events/sales-xceleration-is-named-to-the-inc-5000-list-for-the-3rd-year-in-a-row/" TargetMode="External"/><Relationship Id="rId2747" Type="http://schemas.openxmlformats.org/officeDocument/2006/relationships/hyperlink" Target="https://salesxceleration.com/wp-content/uploads/2021/10/Inc.-5000-Color-Medallion-Logo-768x768-1.png" TargetMode="External"/><Relationship Id="rId1417" Type="http://schemas.openxmlformats.org/officeDocument/2006/relationships/hyperlink" Target="https://salesxceleration.com/news-events/sales-xceleration-is-named-to-the-inc-5000-list-for-the-3rd-year-in-a-row/" TargetMode="External"/><Relationship Id="rId2748" Type="http://schemas.openxmlformats.org/officeDocument/2006/relationships/hyperlink" Target="https://salesxceleration.com/wp-content/uploads/2021/10/Inc.-5000-Color-Medallion-Logo-768x768-1.png" TargetMode="External"/><Relationship Id="rId1418" Type="http://schemas.openxmlformats.org/officeDocument/2006/relationships/hyperlink" Target="https://salesxceleration.com/news-events/new-fractional-sales-leaders-join-sales-xceleration-to-drive-sales-success/" TargetMode="External"/><Relationship Id="rId2749" Type="http://schemas.openxmlformats.org/officeDocument/2006/relationships/hyperlink" Target="https://salesxceleration.com/wp-content/uploads/2024/10/October-2024-Class.jpg" TargetMode="External"/><Relationship Id="rId1419" Type="http://schemas.openxmlformats.org/officeDocument/2006/relationships/hyperlink" Target="https://salesxceleration.com/news-events/new-fractional-sales-leaders-join-sales-xceleration-to-drive-sales-success/" TargetMode="External"/><Relationship Id="rId2740" Type="http://schemas.openxmlformats.org/officeDocument/2006/relationships/hyperlink" Target="https://salesxceleration.com/wp-content/uploads/2024/08/Sales-Xceleration-Fractional-VPs-of-Sales.jpg" TargetMode="External"/><Relationship Id="rId1410" Type="http://schemas.openxmlformats.org/officeDocument/2006/relationships/hyperlink" Target="https://salesxceleration.com/news-events/sales-xceleration-we-are-more-than-a-consulting-company-we-become-a-part-of-your-team-working-to-build-a-sustainable-sales-program-that-drives-revenue/" TargetMode="External"/><Relationship Id="rId2741" Type="http://schemas.openxmlformats.org/officeDocument/2006/relationships/hyperlink" Target="https://salesxceleration.com/wp-content/themes/salesxceleratione/assets/css/style.css?ver=1769123433" TargetMode="External"/><Relationship Id="rId1400" Type="http://schemas.openxmlformats.org/officeDocument/2006/relationships/hyperlink" Target="https://salesxceleration.com/news-events/sales-xceleration-welcomes-new-fractional-sales-leaders/" TargetMode="External"/><Relationship Id="rId2731" Type="http://schemas.openxmlformats.org/officeDocument/2006/relationships/hyperlink" Target="https://salesxceleration.com/wp-content/uploads/2024/06/June-2024-Class-Photo.jpg" TargetMode="External"/><Relationship Id="rId1401" Type="http://schemas.openxmlformats.org/officeDocument/2006/relationships/hyperlink" Target="https://salesxceleration.com/news-events/sales-xceleration-welcomes-new-fractional-sales-leaders/" TargetMode="External"/><Relationship Id="rId2732" Type="http://schemas.openxmlformats.org/officeDocument/2006/relationships/hyperlink" Target="https://salesxceleration.com/wp-content/uploads/2024/06/June-2024-Class-Photo.jpg" TargetMode="External"/><Relationship Id="rId1402" Type="http://schemas.openxmlformats.org/officeDocument/2006/relationships/hyperlink" Target="https://salesxceleration.com/news-events/sales-xceleration-welcomes-new-fractional-sales-leaders/" TargetMode="External"/><Relationship Id="rId2733" Type="http://schemas.openxmlformats.org/officeDocument/2006/relationships/hyperlink" Target="https://salesxceleration.com/wp-content/uploads/2023/04/April-2023-Class-Photo-4.jpeg" TargetMode="External"/><Relationship Id="rId1403" Type="http://schemas.openxmlformats.org/officeDocument/2006/relationships/hyperlink" Target="https://salesxceleration.com/news-events/survey-reveals-small-to-mid-sized-businesses-are-struggling-and-need-a-plan-for-re-entry-after-covid-19/" TargetMode="External"/><Relationship Id="rId2734" Type="http://schemas.openxmlformats.org/officeDocument/2006/relationships/hyperlink" Target="https://salesxceleration.com/wp-content/uploads/2023/04/April-2023-Class-Photo-4.jpeg" TargetMode="External"/><Relationship Id="rId1404" Type="http://schemas.openxmlformats.org/officeDocument/2006/relationships/hyperlink" Target="https://salesxceleration.com/news-events/survey-reveals-small-to-mid-sized-businesses-are-struggling-and-need-a-plan-for-re-entry-after-covid-19/" TargetMode="External"/><Relationship Id="rId2735" Type="http://schemas.openxmlformats.org/officeDocument/2006/relationships/hyperlink" Target="https://salesxceleration.com/wp-content/themes/salesxceleratione/assets/css/style.css?ver=1769123432" TargetMode="External"/><Relationship Id="rId1405" Type="http://schemas.openxmlformats.org/officeDocument/2006/relationships/hyperlink" Target="https://salesxceleration.com/news-events/survey-reveals-small-to-mid-sized-businesses-are-struggling-and-need-a-plan-for-re-entry-after-covid-19/" TargetMode="External"/><Relationship Id="rId2736" Type="http://schemas.openxmlformats.org/officeDocument/2006/relationships/hyperlink" Target="https://salesxceleration.com/wp-content/themes/salesxceleratione/assets/css/style.css?ver=1769123432" TargetMode="External"/><Relationship Id="rId1406" Type="http://schemas.openxmlformats.org/officeDocument/2006/relationships/hyperlink" Target="https://salesxceleration.com/news-events/sales-xceleration-introduces-newest-fractional-vps-of-sales-to-propel-business-growth/" TargetMode="External"/><Relationship Id="rId2737" Type="http://schemas.openxmlformats.org/officeDocument/2006/relationships/hyperlink" Target="https://salesxceleration.com/wp-content/uploads/2020/05/Quick-Survey-sm.jpg" TargetMode="External"/><Relationship Id="rId1407" Type="http://schemas.openxmlformats.org/officeDocument/2006/relationships/hyperlink" Target="https://salesxceleration.com/news-events/sales-xceleration-introduces-newest-fractional-vps-of-sales-to-propel-business-growth/" TargetMode="External"/><Relationship Id="rId2738" Type="http://schemas.openxmlformats.org/officeDocument/2006/relationships/hyperlink" Target="https://salesxceleration.com/wp-content/uploads/2020/05/Quick-Survey-sm.jpg" TargetMode="External"/><Relationship Id="rId1408" Type="http://schemas.openxmlformats.org/officeDocument/2006/relationships/hyperlink" Target="https://salesxceleration.com/news-events/sales-xceleration-introduces-newest-fractional-vps-of-sales-to-propel-business-growth/" TargetMode="External"/><Relationship Id="rId2739" Type="http://schemas.openxmlformats.org/officeDocument/2006/relationships/hyperlink" Target="https://salesxceleration.com/wp-content/uploads/2024/08/Sales-Xceleration-Fractional-VPs-of-Sales.jpg" TargetMode="External"/><Relationship Id="rId1409" Type="http://schemas.openxmlformats.org/officeDocument/2006/relationships/hyperlink" Target="https://salesxceleration.com/news-events/sales-xceleration-we-are-more-than-a-consulting-company-we-become-a-part-of-your-team-working-to-build-a-sustainable-sales-program-that-drives-revenue/" TargetMode="External"/><Relationship Id="rId2730" Type="http://schemas.openxmlformats.org/officeDocument/2006/relationships/hyperlink" Target="https://salesxceleration.com/wp-content/uploads/2022/06/Amplify-3.png" TargetMode="External"/><Relationship Id="rId1433" Type="http://schemas.openxmlformats.org/officeDocument/2006/relationships/hyperlink" Target="https://salesxceleration.com/news-events/sales-xceleration-advisor-john-lee-brings-sales-insights-attendees-ima-april-cpe-dinner/" TargetMode="External"/><Relationship Id="rId2764" Type="http://schemas.openxmlformats.org/officeDocument/2006/relationships/hyperlink" Target="https://salesxceleration.com/wp-content/uploads/2017/04/JLblog1.jpg" TargetMode="External"/><Relationship Id="rId1434" Type="http://schemas.openxmlformats.org/officeDocument/2006/relationships/hyperlink" Target="https://salesxceleration.com/news-events/sales-xceleration-advisor-john-lee-brings-sales-insights-attendees-ima-april-cpe-dinner/" TargetMode="External"/><Relationship Id="rId2765" Type="http://schemas.openxmlformats.org/officeDocument/2006/relationships/hyperlink" Target="https://salesxceleration.com/wp-content/uploads/2025/09/Game-Changing-Sales-Leaders-Join-Sales-Xceleration.jpg" TargetMode="External"/><Relationship Id="rId1435" Type="http://schemas.openxmlformats.org/officeDocument/2006/relationships/hyperlink" Target="https://salesxceleration.com/news-events/sales-xceleration-advisor-john-lee-brings-sales-insights-attendees-ima-april-cpe-dinner/" TargetMode="External"/><Relationship Id="rId2766" Type="http://schemas.openxmlformats.org/officeDocument/2006/relationships/hyperlink" Target="https://salesxceleration.com/wp-content/uploads/2025/09/Game-Changing-Sales-Leaders-Join-Sales-Xceleration.jpg" TargetMode="External"/><Relationship Id="rId1436" Type="http://schemas.openxmlformats.org/officeDocument/2006/relationships/hyperlink" Target="https://salesxceleration.com/news-events/game-changing-sales-leaders-join-sales-xceleration-to-increase-smb-revenue/" TargetMode="External"/><Relationship Id="rId2767" Type="http://schemas.openxmlformats.org/officeDocument/2006/relationships/hyperlink" Target="https://salesxceleration.com/wp-content/themes/salesxceleratione/assets/css/style.css?ver=1769123435" TargetMode="External"/><Relationship Id="rId1437" Type="http://schemas.openxmlformats.org/officeDocument/2006/relationships/hyperlink" Target="https://salesxceleration.com/news-events/game-changing-sales-leaders-join-sales-xceleration-to-increase-smb-revenue/" TargetMode="External"/><Relationship Id="rId2768" Type="http://schemas.openxmlformats.org/officeDocument/2006/relationships/hyperlink" Target="https://salesxceleration.com/wp-content/themes/salesxceleratione/assets/css/style.css?ver=1769123435" TargetMode="External"/><Relationship Id="rId1438" Type="http://schemas.openxmlformats.org/officeDocument/2006/relationships/hyperlink" Target="https://salesxceleration.com/news-events/game-changing-sales-leaders-join-sales-xceleration-to-increase-smb-revenue/" TargetMode="External"/><Relationship Id="rId2769" Type="http://schemas.openxmlformats.org/officeDocument/2006/relationships/hyperlink" Target="https://salesxceleration.com/wp-content/uploads/2019/09/salesx5more-scaled.jpg" TargetMode="External"/><Relationship Id="rId1439" Type="http://schemas.openxmlformats.org/officeDocument/2006/relationships/hyperlink" Target="https://salesxceleration.com/news-events/sales-xceleration-gains-five-new-sales-advisors/" TargetMode="External"/><Relationship Id="rId609" Type="http://schemas.openxmlformats.org/officeDocument/2006/relationships/hyperlink" Target="https://salesxceleration.com/wp-content/uploads/2021/02/Case-Study_Consulting_SX.pdf" TargetMode="External"/><Relationship Id="rId608" Type="http://schemas.openxmlformats.org/officeDocument/2006/relationships/hyperlink" Target="https://salesxceleration.com/wp-content/uploads/2021/02/Case-Study_Consulting_SX.pdf" TargetMode="External"/><Relationship Id="rId607" Type="http://schemas.openxmlformats.org/officeDocument/2006/relationships/hyperlink" Target="https://salesxceleration.com/wp-content/uploads/2019/11/healthcare-thumb-1-2048x2048.jpg" TargetMode="External"/><Relationship Id="rId602" Type="http://schemas.openxmlformats.org/officeDocument/2006/relationships/hyperlink" Target="https://salesxceleration.com/case-study/storage-tank-manufacturer/" TargetMode="External"/><Relationship Id="rId601" Type="http://schemas.openxmlformats.org/officeDocument/2006/relationships/hyperlink" Target="https://salesxceleration.com/case-study/storage-tank-manufacturer/" TargetMode="External"/><Relationship Id="rId600" Type="http://schemas.openxmlformats.org/officeDocument/2006/relationships/hyperlink" Target="https://salesxceleration.com/case-study/manufacturing/" TargetMode="External"/><Relationship Id="rId606" Type="http://schemas.openxmlformats.org/officeDocument/2006/relationships/hyperlink" Target="https://salesxceleration.com/wp-content/uploads/2019/11/healthcare-thumb-1-2048x2048.jpg" TargetMode="External"/><Relationship Id="rId605" Type="http://schemas.openxmlformats.org/officeDocument/2006/relationships/hyperlink" Target="https://salesxceleration.com/wp-content/uploads/2022/03/Case-Study_Healthcare_SX-1-thumb-2048x2048.jpg" TargetMode="External"/><Relationship Id="rId604" Type="http://schemas.openxmlformats.org/officeDocument/2006/relationships/hyperlink" Target="https://salesxceleration.com/wp-content/uploads/2022/03/Case-Study_Healthcare_SX-1-thumb-2048x2048.jpg" TargetMode="External"/><Relationship Id="rId603" Type="http://schemas.openxmlformats.org/officeDocument/2006/relationships/hyperlink" Target="https://salesxceleration.com/case-study/storage-tank-manufacturer/" TargetMode="External"/><Relationship Id="rId2760" Type="http://schemas.openxmlformats.org/officeDocument/2006/relationships/hyperlink" Target="https://salesxceleration.com/wp-content/uploads/2019/04/2019-04-Training-DeHaven-Rowland-Levene-Brim-Bailey-Harrison-Wittal-B.-Jackson.jpg" TargetMode="External"/><Relationship Id="rId1430" Type="http://schemas.openxmlformats.org/officeDocument/2006/relationships/hyperlink" Target="https://salesxceleration.com/news-events/eight-sales-pros-join-sales-xceleration/" TargetMode="External"/><Relationship Id="rId2761" Type="http://schemas.openxmlformats.org/officeDocument/2006/relationships/hyperlink" Target="https://salesxceleration.com/wp-content/uploads/2017/04/JLblog2.jpg" TargetMode="External"/><Relationship Id="rId1431" Type="http://schemas.openxmlformats.org/officeDocument/2006/relationships/hyperlink" Target="https://salesxceleration.com/news-events/eight-sales-pros-join-sales-xceleration/" TargetMode="External"/><Relationship Id="rId2762" Type="http://schemas.openxmlformats.org/officeDocument/2006/relationships/hyperlink" Target="https://salesxceleration.com/wp-content/uploads/2017/04/JLblog2.jpg" TargetMode="External"/><Relationship Id="rId1432" Type="http://schemas.openxmlformats.org/officeDocument/2006/relationships/hyperlink" Target="https://salesxceleration.com/news-events/eight-sales-pros-join-sales-xceleration/" TargetMode="External"/><Relationship Id="rId2763" Type="http://schemas.openxmlformats.org/officeDocument/2006/relationships/hyperlink" Target="https://salesxceleration.com/wp-content/uploads/2017/04/JLblog1.jpg" TargetMode="External"/><Relationship Id="rId1422" Type="http://schemas.openxmlformats.org/officeDocument/2006/relationships/hyperlink" Target="https://salesxceleration.com/news-events/five-sales-leaders-join-sales-xceleration-to-build-a-path-to-more-sales/" TargetMode="External"/><Relationship Id="rId2753" Type="http://schemas.openxmlformats.org/officeDocument/2006/relationships/hyperlink" Target="https://salesxceleration.com/wp-content/themes/salesxceleratione/assets/css/style.css?ver=1769123434" TargetMode="External"/><Relationship Id="rId1423" Type="http://schemas.openxmlformats.org/officeDocument/2006/relationships/hyperlink" Target="https://salesxceleration.com/news-events/five-sales-leaders-join-sales-xceleration-to-build-a-path-to-more-sales/" TargetMode="External"/><Relationship Id="rId2754" Type="http://schemas.openxmlformats.org/officeDocument/2006/relationships/hyperlink" Target="https://salesxceleration.com/wp-content/themes/salesxceleratione/assets/css/style.css?ver=1769123434" TargetMode="External"/><Relationship Id="rId1424" Type="http://schemas.openxmlformats.org/officeDocument/2006/relationships/hyperlink" Target="https://salesxceleration.com/news-events/using-metrics-to-accelerate-sales/" TargetMode="External"/><Relationship Id="rId2755" Type="http://schemas.openxmlformats.org/officeDocument/2006/relationships/hyperlink" Target="https://salesxceleration.com/wp-content/uploads/2016/09/Sales-Metrics.png" TargetMode="External"/><Relationship Id="rId1425" Type="http://schemas.openxmlformats.org/officeDocument/2006/relationships/hyperlink" Target="https://salesxceleration.com/news-events/using-metrics-to-accelerate-sales/" TargetMode="External"/><Relationship Id="rId2756" Type="http://schemas.openxmlformats.org/officeDocument/2006/relationships/hyperlink" Target="https://salesxceleration.com/wp-content/uploads/2016/09/Sales-Metrics.png" TargetMode="External"/><Relationship Id="rId1426" Type="http://schemas.openxmlformats.org/officeDocument/2006/relationships/hyperlink" Target="https://salesxceleration.com/news-events/using-metrics-to-accelerate-sales/" TargetMode="External"/><Relationship Id="rId2757" Type="http://schemas.openxmlformats.org/officeDocument/2006/relationships/hyperlink" Target="https://salesxceleration.com/wp-content/uploads/2021/04/ABA21_Silver_Winner.jpg" TargetMode="External"/><Relationship Id="rId1427" Type="http://schemas.openxmlformats.org/officeDocument/2006/relationships/hyperlink" Target="https://salesxceleration.com/news-events/hope-realized-book-honored-as-silver-stevie-award-winner-in-2021-american-business-awards/" TargetMode="External"/><Relationship Id="rId2758" Type="http://schemas.openxmlformats.org/officeDocument/2006/relationships/hyperlink" Target="https://salesxceleration.com/wp-content/uploads/2021/04/ABA21_Silver_Winner.jpg" TargetMode="External"/><Relationship Id="rId1428" Type="http://schemas.openxmlformats.org/officeDocument/2006/relationships/hyperlink" Target="https://salesxceleration.com/news-events/hope-realized-book-honored-as-silver-stevie-award-winner-in-2021-american-business-awards/" TargetMode="External"/><Relationship Id="rId2759" Type="http://schemas.openxmlformats.org/officeDocument/2006/relationships/hyperlink" Target="https://salesxceleration.com/wp-content/uploads/2019/04/2019-04-Training-DeHaven-Rowland-Levene-Brim-Bailey-Harrison-Wittal-B.-Jackson.jpg" TargetMode="External"/><Relationship Id="rId1429" Type="http://schemas.openxmlformats.org/officeDocument/2006/relationships/hyperlink" Target="https://salesxceleration.com/news-events/hope-realized-book-honored-as-silver-stevie-award-winner-in-2021-american-business-awards/" TargetMode="External"/><Relationship Id="rId2750" Type="http://schemas.openxmlformats.org/officeDocument/2006/relationships/hyperlink" Target="https://salesxceleration.com/wp-content/uploads/2024/10/October-2024-Class.jpg" TargetMode="External"/><Relationship Id="rId1420" Type="http://schemas.openxmlformats.org/officeDocument/2006/relationships/hyperlink" Target="https://salesxceleration.com/news-events/new-fractional-sales-leaders-join-sales-xceleration-to-drive-sales-success/" TargetMode="External"/><Relationship Id="rId2751" Type="http://schemas.openxmlformats.org/officeDocument/2006/relationships/hyperlink" Target="https://salesxceleration.com/wp-content/uploads/2020/05/Business-Silhouettes-scaled-1.jpg" TargetMode="External"/><Relationship Id="rId1421" Type="http://schemas.openxmlformats.org/officeDocument/2006/relationships/hyperlink" Target="https://salesxceleration.com/news-events/five-sales-leaders-join-sales-xceleration-to-build-a-path-to-more-sales/" TargetMode="External"/><Relationship Id="rId2752" Type="http://schemas.openxmlformats.org/officeDocument/2006/relationships/hyperlink" Target="https://salesxceleration.com/wp-content/uploads/2020/05/Business-Silhouettes-scaled-1.jpg" TargetMode="External"/><Relationship Id="rId699" Type="http://schemas.openxmlformats.org/officeDocument/2006/relationships/hyperlink" Target="https://salesxceleration.com/wp-content/plugins/wp-job-manager/assets/images/company.png" TargetMode="External"/><Relationship Id="rId698" Type="http://schemas.openxmlformats.org/officeDocument/2006/relationships/hyperlink" Target="https://salesxceleration.com/wp-content/plugins/wp-job-manager/assets/images/company.png" TargetMode="External"/><Relationship Id="rId693" Type="http://schemas.openxmlformats.org/officeDocument/2006/relationships/hyperlink" Target="https://salesxceleration.com/job/vp-of-sales-revenue-opportunity-300k-detroit-mi/" TargetMode="External"/><Relationship Id="rId692" Type="http://schemas.openxmlformats.org/officeDocument/2006/relationships/hyperlink" Target="https://salesxceleration.com/job/vp-of-sales-revenue-opportunity-300k-detroit-mi/" TargetMode="External"/><Relationship Id="rId691" Type="http://schemas.openxmlformats.org/officeDocument/2006/relationships/hyperlink" Target="https://salesxceleration.com/job/vice-president-of-sales-winnipeg-canada/" TargetMode="External"/><Relationship Id="rId690" Type="http://schemas.openxmlformats.org/officeDocument/2006/relationships/hyperlink" Target="https://salesxceleration.com/job/vice-president-of-sales-winnipeg-canada/" TargetMode="External"/><Relationship Id="rId697" Type="http://schemas.openxmlformats.org/officeDocument/2006/relationships/hyperlink" Target="https://salesxceleration.com/job/vp-of-sales-revenue-opportunity-300k-greensboro-nc/" TargetMode="External"/><Relationship Id="rId696" Type="http://schemas.openxmlformats.org/officeDocument/2006/relationships/hyperlink" Target="https://salesxceleration.com/job/vp-of-sales-revenue-opportunity-300k-greensboro-nc/" TargetMode="External"/><Relationship Id="rId695" Type="http://schemas.openxmlformats.org/officeDocument/2006/relationships/hyperlink" Target="https://salesxceleration.com/job/vp-of-sales-revenue-opportunity-300k-greensboro-nc/" TargetMode="External"/><Relationship Id="rId694" Type="http://schemas.openxmlformats.org/officeDocument/2006/relationships/hyperlink" Target="https://salesxceleration.com/job/vp-of-sales-revenue-opportunity-300k-detroit-mi/" TargetMode="External"/><Relationship Id="rId1499" Type="http://schemas.openxmlformats.org/officeDocument/2006/relationships/hyperlink" Target="https://salesxceleration.com/news-events/author-mark-thacker-releases-new-book-hope-realized/" TargetMode="External"/><Relationship Id="rId668" Type="http://schemas.openxmlformats.org/officeDocument/2006/relationships/hyperlink" Target="https://salesxceleration.com/the-leadership-traits-that-predict-breakout-success/" TargetMode="External"/><Relationship Id="rId667" Type="http://schemas.openxmlformats.org/officeDocument/2006/relationships/hyperlink" Target="https://salesxceleration.com/wp-content/uploads/2025/12/SAO-YT-Thumbnail-Kurt-Schneiber-1024x576.jpg" TargetMode="External"/><Relationship Id="rId666" Type="http://schemas.openxmlformats.org/officeDocument/2006/relationships/hyperlink" Target="https://salesxceleration.com/wp-content/uploads/2025/12/SAO-YT-Thumbnail-Kurt-Schneiber-1024x576.jpg" TargetMode="External"/><Relationship Id="rId665" Type="http://schemas.openxmlformats.org/officeDocument/2006/relationships/hyperlink" Target="https://salesxceleration.com/wp-content/plugins/elementor-pro/assets/css/widget-loop-grid.min.css?ver=3.34.0" TargetMode="External"/><Relationship Id="rId669" Type="http://schemas.openxmlformats.org/officeDocument/2006/relationships/hyperlink" Target="https://salesxceleration.com/the-leadership-traits-that-predict-breakout-success/" TargetMode="External"/><Relationship Id="rId1490" Type="http://schemas.openxmlformats.org/officeDocument/2006/relationships/hyperlink" Target="https://salesxceleration.com/news-events/addressing-sales-challenges/" TargetMode="External"/><Relationship Id="rId660" Type="http://schemas.openxmlformats.org/officeDocument/2006/relationships/hyperlink" Target="https://salesxceleration.com/wp-content/uploads/2025/11/SAO-YT-Thumbnail-Tom-Gardner-1024x576.jpg" TargetMode="External"/><Relationship Id="rId1491" Type="http://schemas.openxmlformats.org/officeDocument/2006/relationships/hyperlink" Target="https://salesxceleration.com/news-events/addressing-sales-challenges/" TargetMode="External"/><Relationship Id="rId1492" Type="http://schemas.openxmlformats.org/officeDocument/2006/relationships/hyperlink" Target="https://salesxceleration.com/news-events/addressing-sales-challenges/" TargetMode="External"/><Relationship Id="rId1493" Type="http://schemas.openxmlformats.org/officeDocument/2006/relationships/hyperlink" Target="https://salesxceleration.com/news-events/sales-xceleration-consultants-grow-in-the-u-s-and-expand-into-the-u-k/" TargetMode="External"/><Relationship Id="rId1494" Type="http://schemas.openxmlformats.org/officeDocument/2006/relationships/hyperlink" Target="https://salesxceleration.com/news-events/sales-xceleration-consultants-grow-in-the-u-s-and-expand-into-the-u-k/" TargetMode="External"/><Relationship Id="rId664" Type="http://schemas.openxmlformats.org/officeDocument/2006/relationships/hyperlink" Target="https://salesxceleration.com/wp-content/plugins/elementor-pro/assets/css/widget-loop-grid.min.css?ver=3.34.0" TargetMode="External"/><Relationship Id="rId1495" Type="http://schemas.openxmlformats.org/officeDocument/2006/relationships/hyperlink" Target="https://salesxceleration.com/news-events/sales-xceleration-consultants-grow-in-the-u-s-and-expand-into-the-u-k/" TargetMode="External"/><Relationship Id="rId663" Type="http://schemas.openxmlformats.org/officeDocument/2006/relationships/hyperlink" Target="https://salesxceleration.com/wp-content/uploads/2025/11/SAO-YT-Thumbnail-Nick-Friedman-1024x576.jpg" TargetMode="External"/><Relationship Id="rId1496" Type="http://schemas.openxmlformats.org/officeDocument/2006/relationships/hyperlink" Target="https://salesxceleration.com/news-events/seven-new-outsourced-vps-of-sales-are-ready-to-build-a-path-to-more-sales/" TargetMode="External"/><Relationship Id="rId662" Type="http://schemas.openxmlformats.org/officeDocument/2006/relationships/hyperlink" Target="https://salesxceleration.com/wp-content/uploads/2025/11/SAO-YT-Thumbnail-Nick-Friedman-1024x576.jpg" TargetMode="External"/><Relationship Id="rId1497" Type="http://schemas.openxmlformats.org/officeDocument/2006/relationships/hyperlink" Target="https://salesxceleration.com/news-events/seven-new-outsourced-vps-of-sales-are-ready-to-build-a-path-to-more-sales/" TargetMode="External"/><Relationship Id="rId661" Type="http://schemas.openxmlformats.org/officeDocument/2006/relationships/hyperlink" Target="https://salesxceleration.com/wp-content/uploads/2025/11/SAO-YT-Thumbnail-Tom-Gardner-1024x576.jpg" TargetMode="External"/><Relationship Id="rId1498" Type="http://schemas.openxmlformats.org/officeDocument/2006/relationships/hyperlink" Target="https://salesxceleration.com/news-events/seven-new-outsourced-vps-of-sales-are-ready-to-build-a-path-to-more-sales/" TargetMode="External"/><Relationship Id="rId1488" Type="http://schemas.openxmlformats.org/officeDocument/2006/relationships/hyperlink" Target="https://salesxceleration.com/news-events/4-tips-for-increasing-employee-engagement-in-2023/" TargetMode="External"/><Relationship Id="rId1489" Type="http://schemas.openxmlformats.org/officeDocument/2006/relationships/hyperlink" Target="https://salesxceleration.com/news-events/4-tips-for-increasing-employee-engagement-in-2023/" TargetMode="External"/><Relationship Id="rId657" Type="http://schemas.openxmlformats.org/officeDocument/2006/relationships/hyperlink" Target="https://salesxceleration.com/what-it-really-takes-to-build-a-resilient-business/" TargetMode="External"/><Relationship Id="rId656" Type="http://schemas.openxmlformats.org/officeDocument/2006/relationships/hyperlink" Target="https://salesxceleration.com/what-it-really-takes-to-build-a-resilient-business/" TargetMode="External"/><Relationship Id="rId655" Type="http://schemas.openxmlformats.org/officeDocument/2006/relationships/hyperlink" Target="https://salesxceleration.com/what-it-really-takes-to-build-a-resilient-business/" TargetMode="External"/><Relationship Id="rId654" Type="http://schemas.openxmlformats.org/officeDocument/2006/relationships/hyperlink" Target="https://salesxceleration.com/rapid-fire-questions-on-growing-your-business/" TargetMode="External"/><Relationship Id="rId659" Type="http://schemas.openxmlformats.org/officeDocument/2006/relationships/hyperlink" Target="https://salesxceleration.com/wp-content/uploads/elementor/css/post-71921.css?ver=1768847238" TargetMode="External"/><Relationship Id="rId658" Type="http://schemas.openxmlformats.org/officeDocument/2006/relationships/hyperlink" Target="https://salesxceleration.com/wp-content/uploads/elementor/css/post-71921.css?ver=1768847238" TargetMode="External"/><Relationship Id="rId1480" Type="http://schemas.openxmlformats.org/officeDocument/2006/relationships/hyperlink" Target="https://salesxceleration.com/news-events/sales-xceleration-adds-seven-new-sales-consultants-grows-to-75-outsourced-vps-of-sales/" TargetMode="External"/><Relationship Id="rId1481" Type="http://schemas.openxmlformats.org/officeDocument/2006/relationships/hyperlink" Target="https://salesxceleration.com/news-events/yorcmo-and-sales-xceleration-forge-strategic-partnership/" TargetMode="External"/><Relationship Id="rId1482" Type="http://schemas.openxmlformats.org/officeDocument/2006/relationships/hyperlink" Target="https://salesxceleration.com/news-events/yorcmo-and-sales-xceleration-forge-strategic-partnership/" TargetMode="External"/><Relationship Id="rId1483" Type="http://schemas.openxmlformats.org/officeDocument/2006/relationships/hyperlink" Target="https://salesxceleration.com/news-events/yorcmo-and-sales-xceleration-forge-strategic-partnership/" TargetMode="External"/><Relationship Id="rId653" Type="http://schemas.openxmlformats.org/officeDocument/2006/relationships/hyperlink" Target="https://salesxceleration.com/rapid-fire-questions-on-growing-your-business/" TargetMode="External"/><Relationship Id="rId1484" Type="http://schemas.openxmlformats.org/officeDocument/2006/relationships/hyperlink" Target="https://salesxceleration.com/news-events/fifteen-new-outsourced-sales-vps-join-sales-xceleration-as-the-need-for-fractional-sales-leaders-sees-a-big-increase/" TargetMode="External"/><Relationship Id="rId652" Type="http://schemas.openxmlformats.org/officeDocument/2006/relationships/hyperlink" Target="https://salesxceleration.com/rapid-fire-questions-on-growing-your-business/" TargetMode="External"/><Relationship Id="rId1485" Type="http://schemas.openxmlformats.org/officeDocument/2006/relationships/hyperlink" Target="https://salesxceleration.com/news-events/fifteen-new-outsourced-sales-vps-join-sales-xceleration-as-the-need-for-fractional-sales-leaders-sees-a-big-increase/" TargetMode="External"/><Relationship Id="rId651" Type="http://schemas.openxmlformats.org/officeDocument/2006/relationships/hyperlink" Target="https://salesxceleration.com/wp-content/plugins/powerpack-elements/assets/css/min/widget-buttons.min.css?ver=2.12.15" TargetMode="External"/><Relationship Id="rId1486" Type="http://schemas.openxmlformats.org/officeDocument/2006/relationships/hyperlink" Target="https://salesxceleration.com/news-events/fifteen-new-outsourced-sales-vps-join-sales-xceleration-as-the-need-for-fractional-sales-leaders-sees-a-big-increase/" TargetMode="External"/><Relationship Id="rId650" Type="http://schemas.openxmlformats.org/officeDocument/2006/relationships/hyperlink" Target="https://salesxceleration.com/wp-content/plugins/powerpack-elements/assets/css/min/widget-buttons.min.css?ver=2.12.15" TargetMode="External"/><Relationship Id="rId1487" Type="http://schemas.openxmlformats.org/officeDocument/2006/relationships/hyperlink" Target="https://salesxceleration.com/news-events/4-tips-for-increasing-employee-engagement-in-2023/" TargetMode="External"/><Relationship Id="rId689" Type="http://schemas.openxmlformats.org/officeDocument/2006/relationships/hyperlink" Target="https://salesxceleration.com/job/vice-president-of-sales-winnipeg-canada/" TargetMode="External"/><Relationship Id="rId688" Type="http://schemas.openxmlformats.org/officeDocument/2006/relationships/hyperlink" Target="https://salesxceleration.com/job/vp-of-sales-revenue-opportunity-300k-kansas-city-mo/" TargetMode="External"/><Relationship Id="rId687" Type="http://schemas.openxmlformats.org/officeDocument/2006/relationships/hyperlink" Target="https://salesxceleration.com/job/vp-of-sales-revenue-opportunity-300k-kansas-city-mo/" TargetMode="External"/><Relationship Id="rId682" Type="http://schemas.openxmlformats.org/officeDocument/2006/relationships/hyperlink" Target="https://salesxceleration.com/wp-content/plugins/wp-job-manager/assets/lib/select2/select2.min.css?ver=4.0.10" TargetMode="External"/><Relationship Id="rId681" Type="http://schemas.openxmlformats.org/officeDocument/2006/relationships/hyperlink" Target="https://salesxceleration.com/wp-content/plugins/wp-job-manager/assets/lib/select2/select2.min.css?ver=4.0.10" TargetMode="External"/><Relationship Id="rId680" Type="http://schemas.openxmlformats.org/officeDocument/2006/relationships/hyperlink" Target="https://salesxceleration.com/wp-content/uploads/2021/09/shutterstock_469083911-scaled.jpg" TargetMode="External"/><Relationship Id="rId686" Type="http://schemas.openxmlformats.org/officeDocument/2006/relationships/hyperlink" Target="https://salesxceleration.com/job/vp-of-sales-revenue-opportunity-300k-kansas-city-mo/" TargetMode="External"/><Relationship Id="rId685" Type="http://schemas.openxmlformats.org/officeDocument/2006/relationships/hyperlink" Target="https://salesxceleration.com/job/vp-of-sales-revenue-opportunity-300k-columbus-ohio/" TargetMode="External"/><Relationship Id="rId684" Type="http://schemas.openxmlformats.org/officeDocument/2006/relationships/hyperlink" Target="https://salesxceleration.com/job/vp-of-sales-revenue-opportunity-300k-columbus-ohio/" TargetMode="External"/><Relationship Id="rId683" Type="http://schemas.openxmlformats.org/officeDocument/2006/relationships/hyperlink" Target="https://salesxceleration.com/job/vp-of-sales-revenue-opportunity-300k-columbus-ohio/" TargetMode="External"/><Relationship Id="rId679" Type="http://schemas.openxmlformats.org/officeDocument/2006/relationships/hyperlink" Target="https://salesxceleration.com/wp-content/uploads/2021/09/shutterstock_469083911-scaled.jpg" TargetMode="External"/><Relationship Id="rId678" Type="http://schemas.openxmlformats.org/officeDocument/2006/relationships/hyperlink" Target="https://salesxceleration.com/the-secret-to-aligning-sales-and-operations-for-success/" TargetMode="External"/><Relationship Id="rId677" Type="http://schemas.openxmlformats.org/officeDocument/2006/relationships/hyperlink" Target="https://salesxceleration.com/the-secret-to-aligning-sales-and-operations-for-success/" TargetMode="External"/><Relationship Id="rId676" Type="http://schemas.openxmlformats.org/officeDocument/2006/relationships/hyperlink" Target="https://salesxceleration.com/the-secret-to-aligning-sales-and-operations-for-success/" TargetMode="External"/><Relationship Id="rId671" Type="http://schemas.openxmlformats.org/officeDocument/2006/relationships/hyperlink" Target="https://salesxceleration.com/the-people-and-process-mistakes-that-hold-sales-back/" TargetMode="External"/><Relationship Id="rId670" Type="http://schemas.openxmlformats.org/officeDocument/2006/relationships/hyperlink" Target="https://salesxceleration.com/the-leadership-traits-that-predict-breakout-success/" TargetMode="External"/><Relationship Id="rId675" Type="http://schemas.openxmlformats.org/officeDocument/2006/relationships/hyperlink" Target="https://salesxceleration.com/wp-content/plugins/powerpack-elements/assets/js/min/frontend-buttons.min.js?ver=2.12.15" TargetMode="External"/><Relationship Id="rId674" Type="http://schemas.openxmlformats.org/officeDocument/2006/relationships/hyperlink" Target="https://salesxceleration.com/wp-content/plugins/powerpack-elements/assets/js/min/frontend-buttons.min.js?ver=2.12.15" TargetMode="External"/><Relationship Id="rId673" Type="http://schemas.openxmlformats.org/officeDocument/2006/relationships/hyperlink" Target="https://salesxceleration.com/the-people-and-process-mistakes-that-hold-sales-back/" TargetMode="External"/><Relationship Id="rId672" Type="http://schemas.openxmlformats.org/officeDocument/2006/relationships/hyperlink" Target="https://salesxceleration.com/the-people-and-process-mistakes-that-hold-sales-back/" TargetMode="External"/><Relationship Id="rId5019" Type="http://schemas.openxmlformats.org/officeDocument/2006/relationships/hyperlink" Target="https://salesxceleration.com/simplest-way-get-essential-information-boost-sales/" TargetMode="External"/><Relationship Id="rId6340" Type="http://schemas.openxmlformats.org/officeDocument/2006/relationships/hyperlink" Target="https://salesxceleration.com/wp-content/uploads/2015/09/Put-a-bow-on-it-sales-xceleration.png" TargetMode="External"/><Relationship Id="rId5010" Type="http://schemas.openxmlformats.org/officeDocument/2006/relationships/hyperlink" Target="https://salesxceleration.com/wp-content/uploads/2015/04/managers-selling.png" TargetMode="External"/><Relationship Id="rId6341" Type="http://schemas.openxmlformats.org/officeDocument/2006/relationships/hyperlink" Target="https://salesxceleration.com/wp-content/uploads/2015/09/Put-a-bow-on-it-sales-xceleration.png" TargetMode="External"/><Relationship Id="rId5013" Type="http://schemas.openxmlformats.org/officeDocument/2006/relationships/hyperlink" Target="https://salesxceleration.com/want-to-boost-sales-do-less-selling/" TargetMode="External"/><Relationship Id="rId6344" Type="http://schemas.openxmlformats.org/officeDocument/2006/relationships/hyperlink" Target="https://salesxceleration.com/why-most-sales-training-doesnt-work-and-how-to-make-sure-it-does" TargetMode="External"/><Relationship Id="rId5014" Type="http://schemas.openxmlformats.org/officeDocument/2006/relationships/hyperlink" Target="https://salesxceleration.com/want-to-boost-sales-do-less-selling/" TargetMode="External"/><Relationship Id="rId6345" Type="http://schemas.openxmlformats.org/officeDocument/2006/relationships/hyperlink" Target="https://salesxceleration.com/wp-content/uploads/2015/04/backfire.png" TargetMode="External"/><Relationship Id="rId5011" Type="http://schemas.openxmlformats.org/officeDocument/2006/relationships/hyperlink" Target="https://salesxceleration.com/wp-content/uploads/2015/04/managers-selling.png" TargetMode="External"/><Relationship Id="rId6342" Type="http://schemas.openxmlformats.org/officeDocument/2006/relationships/hyperlink" Target="https://salesxceleration.com/why-most-sales-training-doesnt-work-and-how-to-make-sure-it-does" TargetMode="External"/><Relationship Id="rId5012" Type="http://schemas.openxmlformats.org/officeDocument/2006/relationships/hyperlink" Target="https://salesxceleration.com/want-to-boost-sales-do-less-selling/" TargetMode="External"/><Relationship Id="rId6343" Type="http://schemas.openxmlformats.org/officeDocument/2006/relationships/hyperlink" Target="https://salesxceleration.com/why-most-sales-training-doesnt-work-and-how-to-make-sure-it-does/" TargetMode="External"/><Relationship Id="rId5017" Type="http://schemas.openxmlformats.org/officeDocument/2006/relationships/hyperlink" Target="https://salesxceleration.com/simplest-way-get-essential-information-boost-sales/" TargetMode="External"/><Relationship Id="rId6348" Type="http://schemas.openxmlformats.org/officeDocument/2006/relationships/hyperlink" Target="https://salesxceleration.com/confessions-of-the-misunderstood-salesperson/" TargetMode="External"/><Relationship Id="rId5018" Type="http://schemas.openxmlformats.org/officeDocument/2006/relationships/hyperlink" Target="https://salesxceleration.com/simplest-way-get-essential-information-boost-sales/" TargetMode="External"/><Relationship Id="rId6349" Type="http://schemas.openxmlformats.org/officeDocument/2006/relationships/hyperlink" Target="https://salesxceleration.com/confessions-of-the-misunderstood-salesperson/" TargetMode="External"/><Relationship Id="rId5015" Type="http://schemas.openxmlformats.org/officeDocument/2006/relationships/hyperlink" Target="https://salesxceleration.com/wp-content/uploads/2015/09/Put-a-bow-on-it-sales-xceleration-2048x2048.png" TargetMode="External"/><Relationship Id="rId6346" Type="http://schemas.openxmlformats.org/officeDocument/2006/relationships/hyperlink" Target="https://salesxceleration.com/wp-content/uploads/2015/04/backfire.png" TargetMode="External"/><Relationship Id="rId5016" Type="http://schemas.openxmlformats.org/officeDocument/2006/relationships/hyperlink" Target="https://salesxceleration.com/wp-content/uploads/2015/09/Put-a-bow-on-it-sales-xceleration-2048x2048.png" TargetMode="External"/><Relationship Id="rId6347" Type="http://schemas.openxmlformats.org/officeDocument/2006/relationships/hyperlink" Target="https://salesxceleration.com/confessions-of-the-misunderstood-salesperson/" TargetMode="External"/><Relationship Id="rId5008" Type="http://schemas.openxmlformats.org/officeDocument/2006/relationships/hyperlink" Target="https://salesxceleration.com/meet-exceed-sales-goals/" TargetMode="External"/><Relationship Id="rId6339" Type="http://schemas.openxmlformats.org/officeDocument/2006/relationships/hyperlink" Target="https://salesxceleration.com/wp-content/themes/salesxceleratione/assets/css/style.css?ver=1769123684" TargetMode="External"/><Relationship Id="rId5009" Type="http://schemas.openxmlformats.org/officeDocument/2006/relationships/hyperlink" Target="https://salesxceleration.com/meet-exceed-sales-goals/" TargetMode="External"/><Relationship Id="rId6330" Type="http://schemas.openxmlformats.org/officeDocument/2006/relationships/hyperlink" Target="https://salesxceleration.com/dont-let-a-merger-acquisition-derail-sales-results/" TargetMode="External"/><Relationship Id="rId5002" Type="http://schemas.openxmlformats.org/officeDocument/2006/relationships/hyperlink" Target="https://salesxceleration.com/wp-content/uploads/2015/04/ideal-salesperson-recruit-2048x2048.png" TargetMode="External"/><Relationship Id="rId6333" Type="http://schemas.openxmlformats.org/officeDocument/2006/relationships/hyperlink" Target="https://salesxceleration.com/wp-content/uploads/2015/12/even-More-confessions-misunderstood-salesman-1.jpg" TargetMode="External"/><Relationship Id="rId5003" Type="http://schemas.openxmlformats.org/officeDocument/2006/relationships/hyperlink" Target="https://salesxceleration.com/wp-content/themes/salesxceleratione/assets/css/style.css?ver=1769123605" TargetMode="External"/><Relationship Id="rId6334" Type="http://schemas.openxmlformats.org/officeDocument/2006/relationships/hyperlink" Target="https://salesxceleration.com/wp-content/themes/salesxceleratione/assets/css/style.css?ver=1769123685" TargetMode="External"/><Relationship Id="rId5000" Type="http://schemas.openxmlformats.org/officeDocument/2006/relationships/hyperlink" Target="https://salesxceleration.com/wp-content/uploads/2015/05/Feet-on-Scales-RS-225-High.jpg" TargetMode="External"/><Relationship Id="rId6331" Type="http://schemas.openxmlformats.org/officeDocument/2006/relationships/hyperlink" Target="https://salesxceleration.com/dont-let-a-merger-acquisition-derail-sales-results/" TargetMode="External"/><Relationship Id="rId5001" Type="http://schemas.openxmlformats.org/officeDocument/2006/relationships/hyperlink" Target="https://salesxceleration.com/wp-content/uploads/2015/04/ideal-salesperson-recruit-2048x2048.png" TargetMode="External"/><Relationship Id="rId6332" Type="http://schemas.openxmlformats.org/officeDocument/2006/relationships/hyperlink" Target="https://salesxceleration.com/wp-content/uploads/2015/12/even-More-confessions-misunderstood-salesman-1.jpg" TargetMode="External"/><Relationship Id="rId5006" Type="http://schemas.openxmlformats.org/officeDocument/2006/relationships/hyperlink" Target="https://salesxceleration.com/wp-content/uploads/2015/03/hire-salespeople-keep-them-sales-xcleration.png" TargetMode="External"/><Relationship Id="rId6337" Type="http://schemas.openxmlformats.org/officeDocument/2006/relationships/hyperlink" Target="https://salesxceleration.com/wp-content/uploads/2015/04/tp-1.jpg" TargetMode="External"/><Relationship Id="rId5007" Type="http://schemas.openxmlformats.org/officeDocument/2006/relationships/hyperlink" Target="https://salesxceleration.com/meet-exceed-sales-goals/" TargetMode="External"/><Relationship Id="rId6338" Type="http://schemas.openxmlformats.org/officeDocument/2006/relationships/hyperlink" Target="https://salesxceleration.com/wp-content/themes/salesxceleratione/assets/css/style.css?ver=1769123684" TargetMode="External"/><Relationship Id="rId5004" Type="http://schemas.openxmlformats.org/officeDocument/2006/relationships/hyperlink" Target="https://salesxceleration.com/wp-content/themes/salesxceleratione/assets/css/style.css?ver=1769123605" TargetMode="External"/><Relationship Id="rId6335" Type="http://schemas.openxmlformats.org/officeDocument/2006/relationships/hyperlink" Target="https://salesxceleration.com/wp-content/themes/salesxceleratione/assets/css/style.css?ver=1769123685" TargetMode="External"/><Relationship Id="rId5005" Type="http://schemas.openxmlformats.org/officeDocument/2006/relationships/hyperlink" Target="https://salesxceleration.com/wp-content/uploads/2015/03/hire-salespeople-keep-them-sales-xcleration.png" TargetMode="External"/><Relationship Id="rId6336" Type="http://schemas.openxmlformats.org/officeDocument/2006/relationships/hyperlink" Target="https://salesxceleration.com/wp-content/uploads/2015/04/tp-1.jpg" TargetMode="External"/><Relationship Id="rId5031" Type="http://schemas.openxmlformats.org/officeDocument/2006/relationships/hyperlink" Target="https://salesxceleration.com/what-if-you-just-cant-afford-a-sales-superstar/" TargetMode="External"/><Relationship Id="rId6362" Type="http://schemas.openxmlformats.org/officeDocument/2006/relationships/hyperlink" Target="https://salesxceleration.com/wp-content/themes/salesxceleratione/assets/css/style.css?ver=1769123683" TargetMode="External"/><Relationship Id="rId5032" Type="http://schemas.openxmlformats.org/officeDocument/2006/relationships/hyperlink" Target="https://salesxceleration.com/why-promoting-your-top-sales-performer-to-sales-manager-could-backfire/" TargetMode="External"/><Relationship Id="rId6363" Type="http://schemas.openxmlformats.org/officeDocument/2006/relationships/hyperlink" Target="https://salesxceleration.com/wp-content/themes/salesxceleratione/assets/css/style.css?ver=1769123683" TargetMode="External"/><Relationship Id="rId6360" Type="http://schemas.openxmlformats.org/officeDocument/2006/relationships/hyperlink" Target="https://salesxceleration.com/wp-content/uploads/2015/04/ideal-salesperson-recruit.png" TargetMode="External"/><Relationship Id="rId5030" Type="http://schemas.openxmlformats.org/officeDocument/2006/relationships/hyperlink" Target="https://salesxceleration.com/what-if-you-just-cant-afford-a-sales-superstar/" TargetMode="External"/><Relationship Id="rId6361" Type="http://schemas.openxmlformats.org/officeDocument/2006/relationships/hyperlink" Target="https://salesxceleration.com/wp-content/uploads/2015/04/ideal-salesperson-recruit.png" TargetMode="External"/><Relationship Id="rId5035" Type="http://schemas.openxmlformats.org/officeDocument/2006/relationships/hyperlink" Target="https://salesxceleration.com/wp-content/uploads/2015/04/onboarding.png" TargetMode="External"/><Relationship Id="rId6366" Type="http://schemas.openxmlformats.org/officeDocument/2006/relationships/hyperlink" Target="https://salesxceleration.com/wp-content/themes/salesxceleratione/assets/css/style.css?ver=1769123682" TargetMode="External"/><Relationship Id="rId5036" Type="http://schemas.openxmlformats.org/officeDocument/2006/relationships/hyperlink" Target="https://salesxceleration.com/wp-content/uploads/2015/04/onboarding.png" TargetMode="External"/><Relationship Id="rId6367" Type="http://schemas.openxmlformats.org/officeDocument/2006/relationships/hyperlink" Target="https://salesxceleration.com/wp-content/themes/salesxceleratione/assets/css/style.css?ver=1769123682" TargetMode="External"/><Relationship Id="rId5033" Type="http://schemas.openxmlformats.org/officeDocument/2006/relationships/hyperlink" Target="https://salesxceleration.com/why-promoting-your-top-sales-performer-to-sales-manager-could-backfire/" TargetMode="External"/><Relationship Id="rId6364" Type="http://schemas.openxmlformats.org/officeDocument/2006/relationships/hyperlink" Target="https://salesxceleration.com/wp-content/uploads/2015/02/Boss-and-Salespeople-RS.jpg" TargetMode="External"/><Relationship Id="rId5034" Type="http://schemas.openxmlformats.org/officeDocument/2006/relationships/hyperlink" Target="https://salesxceleration.com/why-promoting-your-top-sales-performer-to-sales-manager-could-backfire/" TargetMode="External"/><Relationship Id="rId6365" Type="http://schemas.openxmlformats.org/officeDocument/2006/relationships/hyperlink" Target="https://salesxceleration.com/wp-content/uploads/2015/02/Boss-and-Salespeople-RS.jpg" TargetMode="External"/><Relationship Id="rId5039" Type="http://schemas.openxmlformats.org/officeDocument/2006/relationships/hyperlink" Target="https://salesxceleration.com/tie-a-bow-on-your-company/" TargetMode="External"/><Relationship Id="rId5037" Type="http://schemas.openxmlformats.org/officeDocument/2006/relationships/hyperlink" Target="https://salesxceleration.com/tie-a-bow-on-your-company/" TargetMode="External"/><Relationship Id="rId6368" Type="http://schemas.openxmlformats.org/officeDocument/2006/relationships/hyperlink" Target="https://salesxceleration.com/wp-content/uploads/2015/05/New-Way-Old-Way-RS-560-x-233.jpg" TargetMode="External"/><Relationship Id="rId5038" Type="http://schemas.openxmlformats.org/officeDocument/2006/relationships/hyperlink" Target="https://salesxceleration.com/tie-a-bow-on-your-company/" TargetMode="External"/><Relationship Id="rId6369" Type="http://schemas.openxmlformats.org/officeDocument/2006/relationships/hyperlink" Target="https://salesxceleration.com/wp-content/uploads/2015/05/New-Way-Old-Way-RS-560-x-233.jpg" TargetMode="External"/><Relationship Id="rId5020" Type="http://schemas.openxmlformats.org/officeDocument/2006/relationships/hyperlink" Target="https://salesxceleration.com/wp-content/uploads/2015/03/Sales-superstars-sales-xceleration-2048x2048.png" TargetMode="External"/><Relationship Id="rId6351" Type="http://schemas.openxmlformats.org/officeDocument/2006/relationships/hyperlink" Target="https://salesxceleration.com/finding-the-right-people-for-your-sales-team/" TargetMode="External"/><Relationship Id="rId5021" Type="http://schemas.openxmlformats.org/officeDocument/2006/relationships/hyperlink" Target="https://salesxceleration.com/wp-content/uploads/2015/03/Sales-superstars-sales-xceleration-2048x2048.png" TargetMode="External"/><Relationship Id="rId6352" Type="http://schemas.openxmlformats.org/officeDocument/2006/relationships/hyperlink" Target="https://salesxceleration.com/finding-the-right-people-for-your-sales-team" TargetMode="External"/><Relationship Id="rId6350" Type="http://schemas.openxmlformats.org/officeDocument/2006/relationships/hyperlink" Target="https://salesxceleration.com/finding-the-right-people-for-your-sales-team" TargetMode="External"/><Relationship Id="rId5024" Type="http://schemas.openxmlformats.org/officeDocument/2006/relationships/hyperlink" Target="https://salesxceleration.com/how-to-recruit-your-ideal-salesperson/" TargetMode="External"/><Relationship Id="rId6355" Type="http://schemas.openxmlformats.org/officeDocument/2006/relationships/hyperlink" Target="https://salesxceleration.com/wp-content/uploads/2015/03/Sales-superstars-sales-xceleration.png" TargetMode="External"/><Relationship Id="rId5025" Type="http://schemas.openxmlformats.org/officeDocument/2006/relationships/hyperlink" Target="https://salesxceleration.com/wp-content/uploads/2015/03/Juggling-w-15-x-15-px-colored-border-JPG-206x300-1-206x300.jpg" TargetMode="External"/><Relationship Id="rId6356" Type="http://schemas.openxmlformats.org/officeDocument/2006/relationships/hyperlink" Target="https://salesxceleration.com/wp-content/uploads/2015/03/Sales-superstars-sales-xceleration.png" TargetMode="External"/><Relationship Id="rId5022" Type="http://schemas.openxmlformats.org/officeDocument/2006/relationships/hyperlink" Target="https://salesxceleration.com/how-to-recruit-your-ideal-salesperson/" TargetMode="External"/><Relationship Id="rId6353" Type="http://schemas.openxmlformats.org/officeDocument/2006/relationships/hyperlink" Target="https://salesxceleration.com/wp-content/uploads/2015/03/Salary-Cap.jpg" TargetMode="External"/><Relationship Id="rId5023" Type="http://schemas.openxmlformats.org/officeDocument/2006/relationships/hyperlink" Target="https://salesxceleration.com/how-to-recruit-your-ideal-salesperson/" TargetMode="External"/><Relationship Id="rId6354" Type="http://schemas.openxmlformats.org/officeDocument/2006/relationships/hyperlink" Target="https://salesxceleration.com/wp-content/uploads/2015/03/Salary-Cap.jpg" TargetMode="External"/><Relationship Id="rId5028" Type="http://schemas.openxmlformats.org/officeDocument/2006/relationships/hyperlink" Target="https://salesxceleration.com/wp-content/uploads/2015/03/Juggling-w-15-x-15-px-colored-border-JPG-206x300-1.jpg" TargetMode="External"/><Relationship Id="rId6359" Type="http://schemas.openxmlformats.org/officeDocument/2006/relationships/hyperlink" Target="https://salesxceleration.com/more-confessions-of-the-misunderstood-salesperson/" TargetMode="External"/><Relationship Id="rId5029" Type="http://schemas.openxmlformats.org/officeDocument/2006/relationships/hyperlink" Target="https://salesxceleration.com/what-if-you-just-cant-afford-a-sales-superstar/" TargetMode="External"/><Relationship Id="rId5026" Type="http://schemas.openxmlformats.org/officeDocument/2006/relationships/hyperlink" Target="https://salesxceleration.com/wp-content/uploads/2015/03/Juggling-w-15-x-15-px-colored-border-JPG-206x300-1-206x300.jpg" TargetMode="External"/><Relationship Id="rId6357" Type="http://schemas.openxmlformats.org/officeDocument/2006/relationships/hyperlink" Target="https://salesxceleration.com/more-confessions-of-the-misunderstood-salesperson/" TargetMode="External"/><Relationship Id="rId5027" Type="http://schemas.openxmlformats.org/officeDocument/2006/relationships/hyperlink" Target="https://salesxceleration.com/wp-content/uploads/2015/03/Juggling-w-15-x-15-px-colored-border-JPG-206x300-1.jpg" TargetMode="External"/><Relationship Id="rId6358" Type="http://schemas.openxmlformats.org/officeDocument/2006/relationships/hyperlink" Target="https://salesxceleration.com/more-confessions-of-the-misunderstood-salesperson/" TargetMode="External"/><Relationship Id="rId6308" Type="http://schemas.openxmlformats.org/officeDocument/2006/relationships/hyperlink" Target="https://salesxceleration.com/wp-content/uploads/2015/11/Consulting-sales-xceleration-300x300.png" TargetMode="External"/><Relationship Id="rId6309" Type="http://schemas.openxmlformats.org/officeDocument/2006/relationships/hyperlink" Target="https://salesxceleration.com/peer-pressure/" TargetMode="External"/><Relationship Id="rId6306" Type="http://schemas.openxmlformats.org/officeDocument/2006/relationships/hyperlink" Target="https://salesxceleration.com/wp-content/uploads/2017/05/SinkOrSwimBlog-1-300x300.jpg" TargetMode="External"/><Relationship Id="rId6307" Type="http://schemas.openxmlformats.org/officeDocument/2006/relationships/hyperlink" Target="https://salesxceleration.com/wp-content/uploads/2015/11/Consulting-sales-xceleration-300x300.png" TargetMode="External"/><Relationship Id="rId6300" Type="http://schemas.openxmlformats.org/officeDocument/2006/relationships/hyperlink" Target="https://salesxceleration.com/sales-agility-assessment-1-0-mstewart/" TargetMode="External"/><Relationship Id="rId6301" Type="http://schemas.openxmlformats.org/officeDocument/2006/relationships/hyperlink" Target="https://salesxceleration.com/sales-agility-assessment/" TargetMode="External"/><Relationship Id="rId6304" Type="http://schemas.openxmlformats.org/officeDocument/2006/relationships/hyperlink" Target="https://salesxceleration.com/wp-content/uploads/2015/12/Sales-Call-Featured--300x300.jpeg" TargetMode="External"/><Relationship Id="rId6305" Type="http://schemas.openxmlformats.org/officeDocument/2006/relationships/hyperlink" Target="https://salesxceleration.com/wp-content/uploads/2017/05/SinkOrSwimBlog-1-300x300.jpg" TargetMode="External"/><Relationship Id="rId6302" Type="http://schemas.openxmlformats.org/officeDocument/2006/relationships/hyperlink" Target="https://salesxceleration.com/sales-agility-assessment-1-0-mstewart/" TargetMode="External"/><Relationship Id="rId6303" Type="http://schemas.openxmlformats.org/officeDocument/2006/relationships/hyperlink" Target="https://salesxceleration.com/wp-content/uploads/2015/12/Sales-Call-Featured--300x300.jpeg" TargetMode="External"/><Relationship Id="rId6328" Type="http://schemas.openxmlformats.org/officeDocument/2006/relationships/hyperlink" Target="https://salesxceleration.com/comes-networking-jump-right-waters-fine/" TargetMode="External"/><Relationship Id="rId6329" Type="http://schemas.openxmlformats.org/officeDocument/2006/relationships/hyperlink" Target="https://salesxceleration.com/dont-let-a-merger-acquisition-derail-sales-results/" TargetMode="External"/><Relationship Id="rId6322" Type="http://schemas.openxmlformats.org/officeDocument/2006/relationships/hyperlink" Target="https://salesxceleration.com/how-honesty-can-help-maintain-customer-relationships/" TargetMode="External"/><Relationship Id="rId6323" Type="http://schemas.openxmlformats.org/officeDocument/2006/relationships/hyperlink" Target="https://salesxceleration.com/how-honesty-can-help-maintain-customer-relationships/" TargetMode="External"/><Relationship Id="rId6320" Type="http://schemas.openxmlformats.org/officeDocument/2006/relationships/hyperlink" Target="https://salesxceleration.com/wp-content/uploads/2016/04/sales-training-strategies-scaled-1-300x200.jpg" TargetMode="External"/><Relationship Id="rId6321" Type="http://schemas.openxmlformats.org/officeDocument/2006/relationships/hyperlink" Target="https://salesxceleration.com/how-honesty-can-help-maintain-customer-relationships/" TargetMode="External"/><Relationship Id="rId6326" Type="http://schemas.openxmlformats.org/officeDocument/2006/relationships/hyperlink" Target="https://salesxceleration.com/comes-networking-jump-right-waters-fine/" TargetMode="External"/><Relationship Id="rId6327" Type="http://schemas.openxmlformats.org/officeDocument/2006/relationships/hyperlink" Target="https://salesxceleration.com/comes-networking-jump-right-waters-fine/" TargetMode="External"/><Relationship Id="rId6324" Type="http://schemas.openxmlformats.org/officeDocument/2006/relationships/hyperlink" Target="https://salesxceleration.com/wp-content/uploads/2016/12/business-card-1525590-640x960-623x248-1-300x300.jpg" TargetMode="External"/><Relationship Id="rId6325" Type="http://schemas.openxmlformats.org/officeDocument/2006/relationships/hyperlink" Target="https://salesxceleration.com/wp-content/uploads/2016/12/business-card-1525590-640x960-623x248-1-300x300.jpg" TargetMode="External"/><Relationship Id="rId6319" Type="http://schemas.openxmlformats.org/officeDocument/2006/relationships/hyperlink" Target="https://salesxceleration.com/wp-content/uploads/2016/04/sales-training-strategies-scaled-1-300x200.jpg" TargetMode="External"/><Relationship Id="rId6317" Type="http://schemas.openxmlformats.org/officeDocument/2006/relationships/hyperlink" Target="https://salesxceleration.com/wp-content/uploads/2016/01/Doctor-Ordered-Peer-Pressure--300x143.jpg" TargetMode="External"/><Relationship Id="rId6318" Type="http://schemas.openxmlformats.org/officeDocument/2006/relationships/hyperlink" Target="https://salesxceleration.com/wp-content/uploads/2016/01/Doctor-Ordered-Peer-Pressure--300x143.jpg" TargetMode="External"/><Relationship Id="rId6311" Type="http://schemas.openxmlformats.org/officeDocument/2006/relationships/hyperlink" Target="https://salesxceleration.com/peer-pressure/" TargetMode="External"/><Relationship Id="rId6312" Type="http://schemas.openxmlformats.org/officeDocument/2006/relationships/hyperlink" Target="https://salesxceleration.com/sales-training-answer/" TargetMode="External"/><Relationship Id="rId6310" Type="http://schemas.openxmlformats.org/officeDocument/2006/relationships/hyperlink" Target="https://salesxceleration.com/peer-pressure/" TargetMode="External"/><Relationship Id="rId6315" Type="http://schemas.openxmlformats.org/officeDocument/2006/relationships/hyperlink" Target="https://salesxceleration.com/wp-content/uploads/2017/06/NetworkingBlog-300x169.jpg" TargetMode="External"/><Relationship Id="rId6316" Type="http://schemas.openxmlformats.org/officeDocument/2006/relationships/hyperlink" Target="https://salesxceleration.com/wp-content/uploads/2017/06/NetworkingBlog-300x169.jpg" TargetMode="External"/><Relationship Id="rId6313" Type="http://schemas.openxmlformats.org/officeDocument/2006/relationships/hyperlink" Target="https://salesxceleration.com/sales-training-answer/" TargetMode="External"/><Relationship Id="rId6314" Type="http://schemas.openxmlformats.org/officeDocument/2006/relationships/hyperlink" Target="https://salesxceleration.com/sales-training-answer/" TargetMode="External"/><Relationship Id="rId2820" Type="http://schemas.openxmlformats.org/officeDocument/2006/relationships/hyperlink" Target="https://salesxceleration.com/wp-content/themes/salesxceleratione/assets/css/style.css?ver=1769123440" TargetMode="External"/><Relationship Id="rId2821" Type="http://schemas.openxmlformats.org/officeDocument/2006/relationships/hyperlink" Target="https://salesxceleration.com/wp-content/uploads/2021/10/2021-10-Training-Lorz-Kiernan-Specht-Spafford-Oser-Kopp-Callen-Bair-Hefty-Bruner-Meyer-Thacker-Diemer-1024x768-1.jpg" TargetMode="External"/><Relationship Id="rId2822" Type="http://schemas.openxmlformats.org/officeDocument/2006/relationships/hyperlink" Target="https://salesxceleration.com/wp-content/uploads/2021/10/2021-10-Training-Lorz-Kiernan-Specht-Spafford-Oser-Kopp-Callen-Bair-Hefty-Bruner-Meyer-Thacker-Diemer-1024x768-1.jpg" TargetMode="External"/><Relationship Id="rId2823" Type="http://schemas.openxmlformats.org/officeDocument/2006/relationships/hyperlink" Target="https://salesxceleration.com/wp-content/uploads/2022/04/2022-04.jpg" TargetMode="External"/><Relationship Id="rId2824" Type="http://schemas.openxmlformats.org/officeDocument/2006/relationships/hyperlink" Target="https://salesxceleration.com/wp-content/uploads/2022/04/2022-04.jpg" TargetMode="External"/><Relationship Id="rId2825" Type="http://schemas.openxmlformats.org/officeDocument/2006/relationships/hyperlink" Target="https://salesxceleration.com/wp-content/themes/salesxceleratione/assets/css/style.css?ver=1769123441" TargetMode="External"/><Relationship Id="rId2826" Type="http://schemas.openxmlformats.org/officeDocument/2006/relationships/hyperlink" Target="https://salesxceleration.com/wp-content/themes/salesxceleratione/assets/css/style.css?ver=1769123441" TargetMode="External"/><Relationship Id="rId2827" Type="http://schemas.openxmlformats.org/officeDocument/2006/relationships/hyperlink" Target="https://salesxceleration.com/wp-content/uploads/2019/06/8e1c95dc-9792-11e9-9926-a0369f10330e-1.png" TargetMode="External"/><Relationship Id="rId2828" Type="http://schemas.openxmlformats.org/officeDocument/2006/relationships/hyperlink" Target="https://salesxceleration.com/wp-content/uploads/2019/06/8e1c95dc-9792-11e9-9926-a0369f10330e-1.png" TargetMode="External"/><Relationship Id="rId2829" Type="http://schemas.openxmlformats.org/officeDocument/2006/relationships/hyperlink" Target="https://salesxceleration.com/wp-content/uploads/2019/12/2019-12_Training_R._Pasko-M._King-B._Anderson-C._Byrd-S._Sorenson-scaled-1.jpg" TargetMode="External"/><Relationship Id="rId5093" Type="http://schemas.openxmlformats.org/officeDocument/2006/relationships/hyperlink" Target="https://salesxceleration.com/wp-content/uploads/2019/02/should-you-increase-your-sales-price-2048x2048.jpg" TargetMode="External"/><Relationship Id="rId5094" Type="http://schemas.openxmlformats.org/officeDocument/2006/relationships/hyperlink" Target="https://salesxceleration.com/wp-content/uploads/2019/02/should-you-increase-your-sales-price-2048x2048.jpg" TargetMode="External"/><Relationship Id="rId5091" Type="http://schemas.openxmlformats.org/officeDocument/2006/relationships/hyperlink" Target="https://salesxceleration.com/wp-content/uploads/2017/02/NFL-Football-2-scaled-1-2048x2048.jpg" TargetMode="External"/><Relationship Id="rId5092" Type="http://schemas.openxmlformats.org/officeDocument/2006/relationships/hyperlink" Target="https://salesxceleration.com/wp-content/uploads/2017/02/NFL-Football-2-scaled-1-2048x2048.jpg" TargetMode="External"/><Relationship Id="rId5097" Type="http://schemas.openxmlformats.org/officeDocument/2006/relationships/hyperlink" Target="https://salesxceleration.com/wp-content/uploads/2020/03/Tactics_for_Team_Dominance-1-scaled-1.jpg" TargetMode="External"/><Relationship Id="rId5098" Type="http://schemas.openxmlformats.org/officeDocument/2006/relationships/hyperlink" Target="https://salesxceleration.com/wp-content/uploads/2020/03/Tactics_for_Team_Dominance-1-scaled-1.jpg" TargetMode="External"/><Relationship Id="rId5095" Type="http://schemas.openxmlformats.org/officeDocument/2006/relationships/hyperlink" Target="https://salesxceleration.com/wp-content/themes/salesxceleratione/assets/css/style.css?ver=1769123610" TargetMode="External"/><Relationship Id="rId5096" Type="http://schemas.openxmlformats.org/officeDocument/2006/relationships/hyperlink" Target="https://salesxceleration.com/wp-content/themes/salesxceleratione/assets/css/style.css?ver=1769123610" TargetMode="External"/><Relationship Id="rId5099" Type="http://schemas.openxmlformats.org/officeDocument/2006/relationships/hyperlink" Target="https://salesxceleration.com/watching-super-bowl-can-teach-salespeople-sales/" TargetMode="External"/><Relationship Id="rId2810" Type="http://schemas.openxmlformats.org/officeDocument/2006/relationships/hyperlink" Target="https://salesxceleration.com/wp-content/uploads/2023/07/yorCMO-SX-Graphic.jpg" TargetMode="External"/><Relationship Id="rId2811" Type="http://schemas.openxmlformats.org/officeDocument/2006/relationships/hyperlink" Target="https://salesxceleration.com/wp-content/uploads/2020/10/2020-10-Training-Ft.-Meyers-J.-Clair-J.-Murphy-L.-Green-R.-Peterson-B.-Marquette-TM-Dickinson-G.-Harper-J.-Soares-S.-Landrum-R.-Jablonski-scaled-1.jpg" TargetMode="External"/><Relationship Id="rId2812" Type="http://schemas.openxmlformats.org/officeDocument/2006/relationships/hyperlink" Target="https://salesxceleration.com/wp-content/uploads/2020/10/2020-10-Training-Ft.-Meyers-J.-Clair-J.-Murphy-L.-Green-R.-Peterson-B.-Marquette-TM-Dickinson-G.-Harper-J.-Soares-S.-Landrum-R.-Jablonski-scaled-1.jpg" TargetMode="External"/><Relationship Id="rId2813" Type="http://schemas.openxmlformats.org/officeDocument/2006/relationships/hyperlink" Target="https://salesxceleration.com/wp-content/themes/salesxceleratione/assets/css/style.css?ver=1769123439" TargetMode="External"/><Relationship Id="rId2814" Type="http://schemas.openxmlformats.org/officeDocument/2006/relationships/hyperlink" Target="https://salesxceleration.com/wp-content/themes/salesxceleratione/assets/css/style.css?ver=1769123439" TargetMode="External"/><Relationship Id="rId2815" Type="http://schemas.openxmlformats.org/officeDocument/2006/relationships/hyperlink" Target="https://salesxceleration.com/wp-content/uploads/2022/12/960x0.jpg" TargetMode="External"/><Relationship Id="rId2816" Type="http://schemas.openxmlformats.org/officeDocument/2006/relationships/hyperlink" Target="https://salesxceleration.com/wp-content/uploads/2022/12/960x0.jpg" TargetMode="External"/><Relationship Id="rId2817" Type="http://schemas.openxmlformats.org/officeDocument/2006/relationships/hyperlink" Target="https://salesxceleration.com/wp-content/uploads/2016/10/Sales-Challenges.png" TargetMode="External"/><Relationship Id="rId2818" Type="http://schemas.openxmlformats.org/officeDocument/2006/relationships/hyperlink" Target="https://salesxceleration.com/wp-content/uploads/2016/10/Sales-Challenges.png" TargetMode="External"/><Relationship Id="rId2819" Type="http://schemas.openxmlformats.org/officeDocument/2006/relationships/hyperlink" Target="https://salesxceleration.com/wp-content/themes/salesxceleratione/assets/css/style.css?ver=1769123440" TargetMode="External"/><Relationship Id="rId5090" Type="http://schemas.openxmlformats.org/officeDocument/2006/relationships/hyperlink" Target="https://salesxceleration.com/wp-content/uploads/2016/12/Walk-Away-to-Greener-Pastures-Cropped-RS-560-x-225-2048x2048.jpg" TargetMode="External"/><Relationship Id="rId5082" Type="http://schemas.openxmlformats.org/officeDocument/2006/relationships/hyperlink" Target="https://salesxceleration.com/wp-content/uploads/2022/09/Inflation-Gauge.jpg" TargetMode="External"/><Relationship Id="rId5083" Type="http://schemas.openxmlformats.org/officeDocument/2006/relationships/hyperlink" Target="https://salesxceleration.com/wp-content/uploads/2022/09/5-Key-Steps-to-Address-Inflation.jpg" TargetMode="External"/><Relationship Id="rId5080" Type="http://schemas.openxmlformats.org/officeDocument/2006/relationships/hyperlink" Target="https://salesxceleration.com/wp-content/uploads/elementor/css/post-26253.css?ver=1768864377" TargetMode="External"/><Relationship Id="rId5081" Type="http://schemas.openxmlformats.org/officeDocument/2006/relationships/hyperlink" Target="https://salesxceleration.com/wp-content/uploads/2022/09/Inflation-Gauge.jpg" TargetMode="External"/><Relationship Id="rId5086" Type="http://schemas.openxmlformats.org/officeDocument/2006/relationships/hyperlink" Target="https://salesxceleration.com/wp-content/uploads/2020/03/What_are_Sales_Metrics-1.jpg" TargetMode="External"/><Relationship Id="rId5087" Type="http://schemas.openxmlformats.org/officeDocument/2006/relationships/hyperlink" Target="https://salesxceleration.com/wp-content/themes/salesxceleratione/assets/css/style.css?ver=1769123609" TargetMode="External"/><Relationship Id="rId5084" Type="http://schemas.openxmlformats.org/officeDocument/2006/relationships/hyperlink" Target="https://salesxceleration.com/wp-content/uploads/2022/09/5-Key-Steps-to-Address-Inflation.jpg" TargetMode="External"/><Relationship Id="rId5085" Type="http://schemas.openxmlformats.org/officeDocument/2006/relationships/hyperlink" Target="https://salesxceleration.com/wp-content/uploads/2020/03/What_are_Sales_Metrics-1.jpg" TargetMode="External"/><Relationship Id="rId5088" Type="http://schemas.openxmlformats.org/officeDocument/2006/relationships/hyperlink" Target="https://salesxceleration.com/wp-content/themes/salesxceleratione/assets/css/style.css?ver=1769123609" TargetMode="External"/><Relationship Id="rId5089" Type="http://schemas.openxmlformats.org/officeDocument/2006/relationships/hyperlink" Target="https://salesxceleration.com/wp-content/uploads/2016/12/Walk-Away-to-Greener-Pastures-Cropped-RS-560-x-225-2048x2048.jpg" TargetMode="External"/><Relationship Id="rId1510" Type="http://schemas.openxmlformats.org/officeDocument/2006/relationships/hyperlink" Target="https://salesxceleration.com/news-events/sales-agility-assessment/" TargetMode="External"/><Relationship Id="rId2841" Type="http://schemas.openxmlformats.org/officeDocument/2006/relationships/hyperlink" Target="https://salesxceleration.com/wp-content/uploads/2017/01/featured.jpg" TargetMode="External"/><Relationship Id="rId1511" Type="http://schemas.openxmlformats.org/officeDocument/2006/relationships/hyperlink" Target="https://salesxceleration.com/news-events/sales-xceleration-introduces-fractional-sales-leaders-in-multiple-key-markets/" TargetMode="External"/><Relationship Id="rId2842" Type="http://schemas.openxmlformats.org/officeDocument/2006/relationships/hyperlink" Target="https://salesxceleration.com/wp-content/uploads/2017/01/featured.jpg" TargetMode="External"/><Relationship Id="rId1512" Type="http://schemas.openxmlformats.org/officeDocument/2006/relationships/hyperlink" Target="https://salesxceleration.com/news-events/sales-xceleration-introduces-fractional-sales-leaders-in-multiple-key-markets/" TargetMode="External"/><Relationship Id="rId2843" Type="http://schemas.openxmlformats.org/officeDocument/2006/relationships/hyperlink" Target="https://salesxceleration.com/wp-content/uploads/2015/11/conference-sales-xceleration-featured.jpg" TargetMode="External"/><Relationship Id="rId1513" Type="http://schemas.openxmlformats.org/officeDocument/2006/relationships/hyperlink" Target="https://salesxceleration.com/news-events/sales-xceleration-introduces-fractional-sales-leaders-in-multiple-key-markets/" TargetMode="External"/><Relationship Id="rId2844" Type="http://schemas.openxmlformats.org/officeDocument/2006/relationships/hyperlink" Target="https://salesxceleration.com/wp-content/uploads/2015/11/conference-sales-xceleration-featured.jpg" TargetMode="External"/><Relationship Id="rId1514" Type="http://schemas.openxmlformats.org/officeDocument/2006/relationships/hyperlink" Target="https://salesxceleration.com/news-events/businesses-realize-benefit-of-utilizing-fractional-sales-vps/" TargetMode="External"/><Relationship Id="rId2845" Type="http://schemas.openxmlformats.org/officeDocument/2006/relationships/hyperlink" Target="https://salesxceleration.com/wp-content/uploads/2025/05/April-2025-Class.jpg" TargetMode="External"/><Relationship Id="rId1515" Type="http://schemas.openxmlformats.org/officeDocument/2006/relationships/hyperlink" Target="https://salesxceleration.com/news-events/businesses-realize-benefit-of-utilizing-fractional-sales-vps/" TargetMode="External"/><Relationship Id="rId2846" Type="http://schemas.openxmlformats.org/officeDocument/2006/relationships/hyperlink" Target="https://salesxceleration.com/wp-content/uploads/2025/05/April-2025-Class.jpg" TargetMode="External"/><Relationship Id="rId1516" Type="http://schemas.openxmlformats.org/officeDocument/2006/relationships/hyperlink" Target="https://salesxceleration.com/news-events/businesses-realize-benefit-of-utilizing-fractional-sales-vps/" TargetMode="External"/><Relationship Id="rId2847" Type="http://schemas.openxmlformats.org/officeDocument/2006/relationships/hyperlink" Target="https://salesxceleration.com/wp-content/uploads/2021/04/April-Class-2021.jpg" TargetMode="External"/><Relationship Id="rId1517" Type="http://schemas.openxmlformats.org/officeDocument/2006/relationships/hyperlink" Target="https://salesxceleration.com/news-events/sales-xceleration-2017-annual-conference-a-huge-success/" TargetMode="External"/><Relationship Id="rId2848" Type="http://schemas.openxmlformats.org/officeDocument/2006/relationships/hyperlink" Target="https://salesxceleration.com/wp-content/uploads/2021/04/April-Class-2021.jpg" TargetMode="External"/><Relationship Id="rId1518" Type="http://schemas.openxmlformats.org/officeDocument/2006/relationships/hyperlink" Target="https://salesxceleration.com/news-events/sales-xceleration-2017-annual-conference-a-huge-success/" TargetMode="External"/><Relationship Id="rId2849" Type="http://schemas.openxmlformats.org/officeDocument/2006/relationships/hyperlink" Target="https://salesxceleration.com/wp-content/themes/salesxceleratione/assets/css/style.css?ver=1769123443" TargetMode="External"/><Relationship Id="rId1519" Type="http://schemas.openxmlformats.org/officeDocument/2006/relationships/hyperlink" Target="https://salesxceleration.com/news-events/sales-xceleration-2017-annual-conference-a-huge-success/" TargetMode="External"/><Relationship Id="rId2840" Type="http://schemas.openxmlformats.org/officeDocument/2006/relationships/hyperlink" Target="https://salesxceleration.com/wp-content/uploads/2020/12/SX-Advisors-12-2020.jpg" TargetMode="External"/><Relationship Id="rId2830" Type="http://schemas.openxmlformats.org/officeDocument/2006/relationships/hyperlink" Target="https://salesxceleration.com/wp-content/uploads/2019/12/2019-12_Training_R._Pasko-M._King-B._Anderson-C._Byrd-S._Sorenson-scaled-1.jpg" TargetMode="External"/><Relationship Id="rId1500" Type="http://schemas.openxmlformats.org/officeDocument/2006/relationships/hyperlink" Target="https://salesxceleration.com/news-events/author-mark-thacker-releases-new-book-hope-realized/" TargetMode="External"/><Relationship Id="rId2831" Type="http://schemas.openxmlformats.org/officeDocument/2006/relationships/hyperlink" Target="https://salesxceleration.com/wp-content/uploads/2022/08/August-Class.jpg" TargetMode="External"/><Relationship Id="rId1501" Type="http://schemas.openxmlformats.org/officeDocument/2006/relationships/hyperlink" Target="https://salesxceleration.com/news-events/author-mark-thacker-releases-new-book-hope-realized/" TargetMode="External"/><Relationship Id="rId2832" Type="http://schemas.openxmlformats.org/officeDocument/2006/relationships/hyperlink" Target="https://salesxceleration.com/wp-content/uploads/2022/08/August-Class.jpg" TargetMode="External"/><Relationship Id="rId1502" Type="http://schemas.openxmlformats.org/officeDocument/2006/relationships/hyperlink" Target="https://salesxceleration.com/news-events/sales-consultants-foster-smb-growth-in-the-gig-economy/" TargetMode="External"/><Relationship Id="rId2833" Type="http://schemas.openxmlformats.org/officeDocument/2006/relationships/hyperlink" Target="https://salesxceleration.com/wp-content/uploads/2016/06/Sales-Agility-Assessment-Quote.png" TargetMode="External"/><Relationship Id="rId1503" Type="http://schemas.openxmlformats.org/officeDocument/2006/relationships/hyperlink" Target="https://salesxceleration.com/news-events/sales-consultants-foster-smb-growth-in-the-gig-economy/" TargetMode="External"/><Relationship Id="rId2834" Type="http://schemas.openxmlformats.org/officeDocument/2006/relationships/hyperlink" Target="https://salesxceleration.com/wp-content/uploads/2016/06/Sales-Agility-Assessment-Quote.png" TargetMode="External"/><Relationship Id="rId1504" Type="http://schemas.openxmlformats.org/officeDocument/2006/relationships/hyperlink" Target="https://salesxceleration.com/news-events/sales-consultants-foster-smb-growth-in-the-gig-economy/" TargetMode="External"/><Relationship Id="rId2835" Type="http://schemas.openxmlformats.org/officeDocument/2006/relationships/hyperlink" Target="https://salesxceleration.com/wp-content/uploads/2026/01/December-2025-Class.jpg" TargetMode="External"/><Relationship Id="rId1505" Type="http://schemas.openxmlformats.org/officeDocument/2006/relationships/hyperlink" Target="https://salesxceleration.com/news-events/one-new-sales-pro-joins-the-sales-xceleration-team/" TargetMode="External"/><Relationship Id="rId2836" Type="http://schemas.openxmlformats.org/officeDocument/2006/relationships/hyperlink" Target="https://salesxceleration.com/wp-content/uploads/2026/01/December-2025-Class.jpg" TargetMode="External"/><Relationship Id="rId1506" Type="http://schemas.openxmlformats.org/officeDocument/2006/relationships/hyperlink" Target="https://salesxceleration.com/news-events/one-new-sales-pro-joins-the-sales-xceleration-team/" TargetMode="External"/><Relationship Id="rId2837" Type="http://schemas.openxmlformats.org/officeDocument/2006/relationships/hyperlink" Target="https://salesxceleration.com/wp-content/themes/salesxceleratione/assets/css/style.css?ver=1769123442" TargetMode="External"/><Relationship Id="rId1507" Type="http://schemas.openxmlformats.org/officeDocument/2006/relationships/hyperlink" Target="https://salesxceleration.com/news-events/one-new-sales-pro-joins-the-sales-xceleration-team/" TargetMode="External"/><Relationship Id="rId2838" Type="http://schemas.openxmlformats.org/officeDocument/2006/relationships/hyperlink" Target="https://salesxceleration.com/wp-content/themes/salesxceleratione/assets/css/style.css?ver=1769123442" TargetMode="External"/><Relationship Id="rId1508" Type="http://schemas.openxmlformats.org/officeDocument/2006/relationships/hyperlink" Target="https://salesxceleration.com/news-events/sales-agility-assessment/" TargetMode="External"/><Relationship Id="rId2839" Type="http://schemas.openxmlformats.org/officeDocument/2006/relationships/hyperlink" Target="https://salesxceleration.com/wp-content/uploads/2020/12/SX-Advisors-12-2020.jpg" TargetMode="External"/><Relationship Id="rId1509" Type="http://schemas.openxmlformats.org/officeDocument/2006/relationships/hyperlink" Target="https://salesxceleration.com/news-events/sales-agility-assessment/" TargetMode="External"/><Relationship Id="rId6380" Type="http://schemas.openxmlformats.org/officeDocument/2006/relationships/hyperlink" Target="https://salesxceleration.com/sales-agility-assessment-1-0-efrank/" TargetMode="External"/><Relationship Id="rId5050" Type="http://schemas.openxmlformats.org/officeDocument/2006/relationships/hyperlink" Target="https://salesxceleration.com/wp-content/uploads/2014/11/one-two-punch.png" TargetMode="External"/><Relationship Id="rId6381" Type="http://schemas.openxmlformats.org/officeDocument/2006/relationships/hyperlink" Target="https://salesxceleration.com/sales-agility-assessment/" TargetMode="External"/><Relationship Id="rId5053" Type="http://schemas.openxmlformats.org/officeDocument/2006/relationships/hyperlink" Target="https://salesxceleration.com/author/klawsonsoshaughnessy/" TargetMode="External"/><Relationship Id="rId6384" Type="http://schemas.openxmlformats.org/officeDocument/2006/relationships/hyperlink" Target="https://salesxceleration.com/wp-content/themes/salesxceleratione/assets/css/style.css?ver=1769123680" TargetMode="External"/><Relationship Id="rId5054" Type="http://schemas.openxmlformats.org/officeDocument/2006/relationships/hyperlink" Target="https://salesxceleration.com/author/soshaughnessy/" TargetMode="External"/><Relationship Id="rId6385" Type="http://schemas.openxmlformats.org/officeDocument/2006/relationships/hyperlink" Target="https://salesxceleration.com/wp-content/uploads/2017/01/pie-34974_640-e1485811136122-1.png" TargetMode="External"/><Relationship Id="rId5051" Type="http://schemas.openxmlformats.org/officeDocument/2006/relationships/hyperlink" Target="https://salesxceleration.com/wp-content/uploads/2015/12/Sales-Call-Featured-.jpeg" TargetMode="External"/><Relationship Id="rId6382" Type="http://schemas.openxmlformats.org/officeDocument/2006/relationships/hyperlink" Target="https://salesxceleration.com/sales-agility-assessment-1-0-efrank/" TargetMode="External"/><Relationship Id="rId5052" Type="http://schemas.openxmlformats.org/officeDocument/2006/relationships/hyperlink" Target="https://salesxceleration.com/wp-content/uploads/2015/12/Sales-Call-Featured-.jpeg" TargetMode="External"/><Relationship Id="rId6383" Type="http://schemas.openxmlformats.org/officeDocument/2006/relationships/hyperlink" Target="https://salesxceleration.com/wp-content/themes/salesxceleratione/assets/css/style.css?ver=1769123680" TargetMode="External"/><Relationship Id="rId5057" Type="http://schemas.openxmlformats.org/officeDocument/2006/relationships/hyperlink" Target="https://salesxceleration.com/what-makes-a-top-salesperson/" TargetMode="External"/><Relationship Id="rId6388" Type="http://schemas.openxmlformats.org/officeDocument/2006/relationships/hyperlink" Target="https://salesxceleration.com/wp-content/uploads/2015/03/sales-compensation-plan.png" TargetMode="External"/><Relationship Id="rId5058" Type="http://schemas.openxmlformats.org/officeDocument/2006/relationships/hyperlink" Target="https://salesxceleration.com/what-makes-a-top-salesperson/" TargetMode="External"/><Relationship Id="rId6389" Type="http://schemas.openxmlformats.org/officeDocument/2006/relationships/hyperlink" Target="https://salesxceleration.com/sales-agility-assessment-1-0-janderson/" TargetMode="External"/><Relationship Id="rId5055" Type="http://schemas.openxmlformats.org/officeDocument/2006/relationships/hyperlink" Target="https://salesxceleration.com/author/klawsonsoshaughnessy/" TargetMode="External"/><Relationship Id="rId6386" Type="http://schemas.openxmlformats.org/officeDocument/2006/relationships/hyperlink" Target="https://salesxceleration.com/wp-content/uploads/2017/01/pie-34974_640-e1485811136122-1.png" TargetMode="External"/><Relationship Id="rId5056" Type="http://schemas.openxmlformats.org/officeDocument/2006/relationships/hyperlink" Target="https://salesxceleration.com/what-makes-a-top-salesperson/" TargetMode="External"/><Relationship Id="rId6387" Type="http://schemas.openxmlformats.org/officeDocument/2006/relationships/hyperlink" Target="https://salesxceleration.com/wp-content/uploads/2015/03/sales-compensation-plan.png" TargetMode="External"/><Relationship Id="rId5059" Type="http://schemas.openxmlformats.org/officeDocument/2006/relationships/hyperlink" Target="https://salesxceleration.com/wp-content/themes/salesxceleratione/assets/css/style.css?ver=1769123607" TargetMode="External"/><Relationship Id="rId6370" Type="http://schemas.openxmlformats.org/officeDocument/2006/relationships/hyperlink" Target="https://salesxceleration.com/wp-content/uploads/2017/01/goal-setting-1955806__340-566x248-1.png" TargetMode="External"/><Relationship Id="rId5042" Type="http://schemas.openxmlformats.org/officeDocument/2006/relationships/hyperlink" Target="https://salesxceleration.com/wp-content/themes/salesxceleratione/assets/css/style.css?ver=1769123606" TargetMode="External"/><Relationship Id="rId6373" Type="http://schemas.openxmlformats.org/officeDocument/2006/relationships/hyperlink" Target="https://salesxceleration.com/wp-content/themes/salesxceleratione/assets/css/style.css?ver=1769123681" TargetMode="External"/><Relationship Id="rId5043" Type="http://schemas.openxmlformats.org/officeDocument/2006/relationships/hyperlink" Target="https://salesxceleration.com/wp-content/themes/salesxceleratione/assets/css/style.css?ver=1769123606" TargetMode="External"/><Relationship Id="rId6374" Type="http://schemas.openxmlformats.org/officeDocument/2006/relationships/hyperlink" Target="https://salesxceleration.com/wp-content/uploads/2016/12/Walk-Away-to-Greener-Pastures-Cropped-RS-560-x-225.jpg" TargetMode="External"/><Relationship Id="rId5040" Type="http://schemas.openxmlformats.org/officeDocument/2006/relationships/hyperlink" Target="https://salesxceleration.com/wp-content/uploads/2015/01/yah5.jpg" TargetMode="External"/><Relationship Id="rId6371" Type="http://schemas.openxmlformats.org/officeDocument/2006/relationships/hyperlink" Target="https://salesxceleration.com/wp-content/uploads/2017/01/goal-setting-1955806__340-566x248-1.png" TargetMode="External"/><Relationship Id="rId5041" Type="http://schemas.openxmlformats.org/officeDocument/2006/relationships/hyperlink" Target="https://salesxceleration.com/wp-content/uploads/2015/01/yah5.jpg" TargetMode="External"/><Relationship Id="rId6372" Type="http://schemas.openxmlformats.org/officeDocument/2006/relationships/hyperlink" Target="https://salesxceleration.com/wp-content/themes/salesxceleratione/assets/css/style.css?ver=1769123681" TargetMode="External"/><Relationship Id="rId5046" Type="http://schemas.openxmlformats.org/officeDocument/2006/relationships/hyperlink" Target="https://salesxceleration.com/how-to-recruit-your-ideal-salesperson" TargetMode="External"/><Relationship Id="rId6377" Type="http://schemas.openxmlformats.org/officeDocument/2006/relationships/hyperlink" Target="https://salesxceleration.com/wp-content/uploads/2016/11/road-bikes-1562929__340.jpg" TargetMode="External"/><Relationship Id="rId5047" Type="http://schemas.openxmlformats.org/officeDocument/2006/relationships/hyperlink" Target="https://salesxceleration.com/how-to-recruit-your-ideal-salesperson/" TargetMode="External"/><Relationship Id="rId6378" Type="http://schemas.openxmlformats.org/officeDocument/2006/relationships/hyperlink" Target="https://salesxceleration.com/wp-content/uploads/2017/07/JAblog2.jpg" TargetMode="External"/><Relationship Id="rId5044" Type="http://schemas.openxmlformats.org/officeDocument/2006/relationships/hyperlink" Target="https://salesxceleration.com/wp-content/uploads/2015/03/Unstick-a-stalled-deal.png" TargetMode="External"/><Relationship Id="rId6375" Type="http://schemas.openxmlformats.org/officeDocument/2006/relationships/hyperlink" Target="https://salesxceleration.com/wp-content/uploads/2016/12/Walk-Away-to-Greener-Pastures-Cropped-RS-560-x-225.jpg" TargetMode="External"/><Relationship Id="rId5045" Type="http://schemas.openxmlformats.org/officeDocument/2006/relationships/hyperlink" Target="https://salesxceleration.com/wp-content/uploads/2015/03/Unstick-a-stalled-deal.png" TargetMode="External"/><Relationship Id="rId6376" Type="http://schemas.openxmlformats.org/officeDocument/2006/relationships/hyperlink" Target="https://salesxceleration.com/wp-content/uploads/2016/11/road-bikes-1562929__340.jpg" TargetMode="External"/><Relationship Id="rId5048" Type="http://schemas.openxmlformats.org/officeDocument/2006/relationships/hyperlink" Target="https://salesxceleration.com/how-to-recruit-your-ideal-salesperson" TargetMode="External"/><Relationship Id="rId6379" Type="http://schemas.openxmlformats.org/officeDocument/2006/relationships/hyperlink" Target="https://salesxceleration.com/wp-content/uploads/2017/07/JAblog2.jpg" TargetMode="External"/><Relationship Id="rId5049" Type="http://schemas.openxmlformats.org/officeDocument/2006/relationships/hyperlink" Target="https://salesxceleration.com/wp-content/uploads/2014/11/one-two-punch.png" TargetMode="External"/><Relationship Id="rId2800" Type="http://schemas.openxmlformats.org/officeDocument/2006/relationships/hyperlink" Target="https://salesxceleration.com/wp-content/themes/salesxceleratione/assets/css/style.css?ver=1769123438" TargetMode="External"/><Relationship Id="rId2801" Type="http://schemas.openxmlformats.org/officeDocument/2006/relationships/hyperlink" Target="https://salesxceleration.com/wp-content/uploads/2025/02/February-2025-Class.jpg" TargetMode="External"/><Relationship Id="rId2802" Type="http://schemas.openxmlformats.org/officeDocument/2006/relationships/hyperlink" Target="https://salesxceleration.com/wp-content/uploads/2025/02/February-2025-Class.jpg" TargetMode="External"/><Relationship Id="rId2803" Type="http://schemas.openxmlformats.org/officeDocument/2006/relationships/hyperlink" Target="https://salesxceleration.com/wp-content/uploads/2019/08/shutterstock_1009393072-1-scaled.jpg" TargetMode="External"/><Relationship Id="rId2804" Type="http://schemas.openxmlformats.org/officeDocument/2006/relationships/hyperlink" Target="https://salesxceleration.com/wp-content/uploads/2019/08/shutterstock_1009393072-1-scaled.jpg" TargetMode="External"/><Relationship Id="rId2805" Type="http://schemas.openxmlformats.org/officeDocument/2006/relationships/hyperlink" Target="https://salesxceleration.com/wp-content/uploads/2012/07/Book-small.png" TargetMode="External"/><Relationship Id="rId2806" Type="http://schemas.openxmlformats.org/officeDocument/2006/relationships/hyperlink" Target="https://salesxceleration.com/wp-content/uploads/2012/07/Book-small.png" TargetMode="External"/><Relationship Id="rId2807" Type="http://schemas.openxmlformats.org/officeDocument/2006/relationships/hyperlink" Target="https://salesxceleration.com/wp-content/uploads/2018/06/June_Training.jpg" TargetMode="External"/><Relationship Id="rId2808" Type="http://schemas.openxmlformats.org/officeDocument/2006/relationships/hyperlink" Target="https://salesxceleration.com/wp-content/uploads/2018/06/June_Training.jpg" TargetMode="External"/><Relationship Id="rId2809" Type="http://schemas.openxmlformats.org/officeDocument/2006/relationships/hyperlink" Target="https://salesxceleration.com/wp-content/uploads/2023/07/yorCMO-SX-Graphic.jpg" TargetMode="External"/><Relationship Id="rId5071" Type="http://schemas.openxmlformats.org/officeDocument/2006/relationships/hyperlink" Target="https://salesxceleration.com/even-more-confessions-of-the-misunderstood-salesperson/" TargetMode="External"/><Relationship Id="rId5072" Type="http://schemas.openxmlformats.org/officeDocument/2006/relationships/hyperlink" Target="https://salesxceleration.com/author/kshaughnessy/" TargetMode="External"/><Relationship Id="rId5070" Type="http://schemas.openxmlformats.org/officeDocument/2006/relationships/hyperlink" Target="https://salesxceleration.com/even-more-confessions-of-the-misunderstood-salesperson/" TargetMode="External"/><Relationship Id="rId5075" Type="http://schemas.openxmlformats.org/officeDocument/2006/relationships/hyperlink" Target="https://salesxceleration.com/breakaway-sales-recruiting/" TargetMode="External"/><Relationship Id="rId5076" Type="http://schemas.openxmlformats.org/officeDocument/2006/relationships/hyperlink" Target="https://salesxceleration.com/breakaway-sales-recruiting/" TargetMode="External"/><Relationship Id="rId5073" Type="http://schemas.openxmlformats.org/officeDocument/2006/relationships/hyperlink" Target="https://salesxceleration.com/author/kshaughnessy/" TargetMode="External"/><Relationship Id="rId5074" Type="http://schemas.openxmlformats.org/officeDocument/2006/relationships/hyperlink" Target="https://salesxceleration.com/author/kshaughnessy/" TargetMode="External"/><Relationship Id="rId5079" Type="http://schemas.openxmlformats.org/officeDocument/2006/relationships/hyperlink" Target="https://salesxceleration.com/wp-content/uploads/elementor/css/post-26253.css?ver=1768864377" TargetMode="External"/><Relationship Id="rId5077" Type="http://schemas.openxmlformats.org/officeDocument/2006/relationships/hyperlink" Target="https://salesxceleration.com/wp-content/uploads/2020/05/hiring-skilled-sales-reps-image.jpg" TargetMode="External"/><Relationship Id="rId5078" Type="http://schemas.openxmlformats.org/officeDocument/2006/relationships/hyperlink" Target="https://salesxceleration.com/wp-content/uploads/2020/05/hiring-skilled-sales-reps-image.jpg" TargetMode="External"/><Relationship Id="rId5060" Type="http://schemas.openxmlformats.org/officeDocument/2006/relationships/hyperlink" Target="https://salesxceleration.com/wp-content/themes/salesxceleratione/assets/css/style.css?ver=1769123607" TargetMode="External"/><Relationship Id="rId6391" Type="http://schemas.openxmlformats.org/officeDocument/2006/relationships/hyperlink" Target="https://salesxceleration.com/sales-agility-assessment-1-0-janderson/" TargetMode="External"/><Relationship Id="rId5061" Type="http://schemas.openxmlformats.org/officeDocument/2006/relationships/hyperlink" Target="https://salesxceleration.com/wp-content/uploads/2015/12/even-More-confessions-misunderstood-salesman-1-2048x2048.jpg" TargetMode="External"/><Relationship Id="rId6392" Type="http://schemas.openxmlformats.org/officeDocument/2006/relationships/hyperlink" Target="https://salesxceleration.com/wp-content/uploads/2015/03/sales-compensation-plan-115x200-1.jpg" TargetMode="External"/><Relationship Id="rId6390" Type="http://schemas.openxmlformats.org/officeDocument/2006/relationships/hyperlink" Target="https://salesxceleration.com/sales-agility-assessment/" TargetMode="External"/><Relationship Id="rId5064" Type="http://schemas.openxmlformats.org/officeDocument/2006/relationships/hyperlink" Target="https://salesxceleration.com/wp-content/uploads/2015/12/Sales-Networking.jpg" TargetMode="External"/><Relationship Id="rId6395" Type="http://schemas.openxmlformats.org/officeDocument/2006/relationships/hyperlink" Target="https://salesxceleration.com/wp-content/uploads/2015/03/Indifference-200x300.jpg" TargetMode="External"/><Relationship Id="rId5065" Type="http://schemas.openxmlformats.org/officeDocument/2006/relationships/hyperlink" Target="https://salesxceleration.com/wp-content/uploads/2020/06/Sales-Candidates-scaled-1.jpg" TargetMode="External"/><Relationship Id="rId6396" Type="http://schemas.openxmlformats.org/officeDocument/2006/relationships/hyperlink" Target="https://salesxceleration.com/wp-content/uploads/2015/03/Indifference.jpg" TargetMode="External"/><Relationship Id="rId5062" Type="http://schemas.openxmlformats.org/officeDocument/2006/relationships/hyperlink" Target="https://salesxceleration.com/wp-content/uploads/2015/12/even-More-confessions-misunderstood-salesman-1-2048x2048.jpg" TargetMode="External"/><Relationship Id="rId6393" Type="http://schemas.openxmlformats.org/officeDocument/2006/relationships/hyperlink" Target="https://salesxceleration.com/wp-content/uploads/2015/03/sales-compensation-plan-115x200-1.jpg" TargetMode="External"/><Relationship Id="rId5063" Type="http://schemas.openxmlformats.org/officeDocument/2006/relationships/hyperlink" Target="https://salesxceleration.com/wp-content/uploads/2015/12/Sales-Networking.jpg" TargetMode="External"/><Relationship Id="rId6394" Type="http://schemas.openxmlformats.org/officeDocument/2006/relationships/hyperlink" Target="https://salesxceleration.com/wp-content/uploads/2015/03/Indifference-200x300.jpg" TargetMode="External"/><Relationship Id="rId5068" Type="http://schemas.openxmlformats.org/officeDocument/2006/relationships/hyperlink" Target="https://salesxceleration.com/wp-content/themes/salesxceleratione/assets/css/style.css?ver=1769123608" TargetMode="External"/><Relationship Id="rId6399" Type="http://schemas.openxmlformats.org/officeDocument/2006/relationships/hyperlink" Target="https://salesxceleration.com/wp-content/uploads/2015/04/revealed-sales-x.png" TargetMode="External"/><Relationship Id="rId5069" Type="http://schemas.openxmlformats.org/officeDocument/2006/relationships/hyperlink" Target="https://salesxceleration.com/even-more-confessions-of-the-misunderstood-salesperson/" TargetMode="External"/><Relationship Id="rId5066" Type="http://schemas.openxmlformats.org/officeDocument/2006/relationships/hyperlink" Target="https://salesxceleration.com/wp-content/uploads/2020/06/Sales-Candidates-scaled-1.jpg" TargetMode="External"/><Relationship Id="rId6397" Type="http://schemas.openxmlformats.org/officeDocument/2006/relationships/hyperlink" Target="https://salesxceleration.com/wp-content/uploads/2015/03/Indifference.jpg" TargetMode="External"/><Relationship Id="rId5067" Type="http://schemas.openxmlformats.org/officeDocument/2006/relationships/hyperlink" Target="https://salesxceleration.com/wp-content/themes/salesxceleratione/assets/css/style.css?ver=1769123608" TargetMode="External"/><Relationship Id="rId6398" Type="http://schemas.openxmlformats.org/officeDocument/2006/relationships/hyperlink" Target="https://salesxceleration.com/wp-content/uploads/2015/04/revealed-sales-x.png" TargetMode="External"/><Relationship Id="rId1576" Type="http://schemas.openxmlformats.org/officeDocument/2006/relationships/hyperlink" Target="https://salesxceleration.com/wp-content/themes/salesxceleratione/assets/css/style.css?ver=1769123323" TargetMode="External"/><Relationship Id="rId1577" Type="http://schemas.openxmlformats.org/officeDocument/2006/relationships/hyperlink" Target="https://salesxceleration.com/wp-content/plugins/elementor-pro/assets/css/widget-nav-menu.min.css?ver=3.34.0" TargetMode="External"/><Relationship Id="rId1578" Type="http://schemas.openxmlformats.org/officeDocument/2006/relationships/hyperlink" Target="https://salesxceleration.com/wp-content/plugins/elementor-pro/assets/css/widget-nav-menu.min.css?ver=3.34.0" TargetMode="External"/><Relationship Id="rId1579" Type="http://schemas.openxmlformats.org/officeDocument/2006/relationships/hyperlink" Target="https://salesxceleration.com/wp-content/uploads/2024/07/Sales-Team-Effectiveness-1024x683.jpg" TargetMode="External"/><Relationship Id="rId987" Type="http://schemas.openxmlformats.org/officeDocument/2006/relationships/hyperlink" Target="https://salesxceleration.com/wp-content/uploads/2023/10/Pollard_Kael-225x225.jpg" TargetMode="External"/><Relationship Id="rId986" Type="http://schemas.openxmlformats.org/officeDocument/2006/relationships/hyperlink" Target="https://salesxceleration.com/wp-content/uploads/2023/10/Pollard_Kael-225x225.jpg" TargetMode="External"/><Relationship Id="rId985" Type="http://schemas.openxmlformats.org/officeDocument/2006/relationships/hyperlink" Target="https://salesxceleration.com/wp-content/uploads/2022/07/Sutter-Mark-225x225.jpeg" TargetMode="External"/><Relationship Id="rId984" Type="http://schemas.openxmlformats.org/officeDocument/2006/relationships/hyperlink" Target="https://salesxceleration.com/wp-content/uploads/2022/07/Sutter-Mark-225x225.jpeg" TargetMode="External"/><Relationship Id="rId989" Type="http://schemas.openxmlformats.org/officeDocument/2006/relationships/hyperlink" Target="https://salesxceleration.com/wp-content/uploads/2022/04/Wittal-Steve-225x225.jpg" TargetMode="External"/><Relationship Id="rId988" Type="http://schemas.openxmlformats.org/officeDocument/2006/relationships/hyperlink" Target="https://salesxceleration.com/wp-content/uploads/2022/04/Wittal-Steve-225x225.jpg" TargetMode="External"/><Relationship Id="rId1570" Type="http://schemas.openxmlformats.org/officeDocument/2006/relationships/hyperlink" Target="https://salesxceleration.com/case-study/it-professional-services-building-a-sustainable-sales-strategy-for-accelerated-growth/" TargetMode="External"/><Relationship Id="rId1571" Type="http://schemas.openxmlformats.org/officeDocument/2006/relationships/hyperlink" Target="https://salesxceleration.com/case-study/it-professional-services-building-a-sustainable-sales-strategy-for-accelerated-growth/" TargetMode="External"/><Relationship Id="rId983" Type="http://schemas.openxmlformats.org/officeDocument/2006/relationships/hyperlink" Target="https://salesxceleration.com/wp-content/uploads/2022/04/Hockins-Rich-275x275-1-225x225.jpg" TargetMode="External"/><Relationship Id="rId1572" Type="http://schemas.openxmlformats.org/officeDocument/2006/relationships/hyperlink" Target="https://salesxceleration.com/case-study/it-professional-services-building-a-sustainable-sales-strategy-for-accelerated-growth/" TargetMode="External"/><Relationship Id="rId982" Type="http://schemas.openxmlformats.org/officeDocument/2006/relationships/hyperlink" Target="https://salesxceleration.com/wp-content/uploads/2022/04/Hockins-Rich-275x275-1-225x225.jpg" TargetMode="External"/><Relationship Id="rId1573" Type="http://schemas.openxmlformats.org/officeDocument/2006/relationships/hyperlink" Target="https://salesxceleration.com/wp-content/uploads/elementor/css/post-34460.css?ver=1768847962" TargetMode="External"/><Relationship Id="rId981" Type="http://schemas.openxmlformats.org/officeDocument/2006/relationships/hyperlink" Target="https://salesxceleration.com/wp-content/uploads/2025/08/Hayden_Shirley2-225x225.jpg" TargetMode="External"/><Relationship Id="rId1574" Type="http://schemas.openxmlformats.org/officeDocument/2006/relationships/hyperlink" Target="https://salesxceleration.com/wp-content/uploads/elementor/css/post-34460.css?ver=1768847962" TargetMode="External"/><Relationship Id="rId980" Type="http://schemas.openxmlformats.org/officeDocument/2006/relationships/hyperlink" Target="https://salesxceleration.com/wp-content/uploads/2025/08/Hayden_Shirley2-225x225.jpg" TargetMode="External"/><Relationship Id="rId1575" Type="http://schemas.openxmlformats.org/officeDocument/2006/relationships/hyperlink" Target="https://salesxceleration.com/wp-content/themes/salesxceleratione/assets/css/style.css?ver=1769123323" TargetMode="External"/><Relationship Id="rId1565" Type="http://schemas.openxmlformats.org/officeDocument/2006/relationships/hyperlink" Target="https://salesxceleration.com/wp-content/plugins/elementor-pro/assets/lib/smartmenus/jquery.smartmenus.min.js?ver=1.2.1" TargetMode="External"/><Relationship Id="rId2896" Type="http://schemas.openxmlformats.org/officeDocument/2006/relationships/hyperlink" Target="https://salesxceleration.com/?download=36876" TargetMode="External"/><Relationship Id="rId1566" Type="http://schemas.openxmlformats.org/officeDocument/2006/relationships/hyperlink" Target="https://salesxceleration.com/wp-content/uploads/elementor/css/post-46867.css?ver=1768850931" TargetMode="External"/><Relationship Id="rId2897" Type="http://schemas.openxmlformats.org/officeDocument/2006/relationships/hyperlink" Target="https://salesxceleration.com/no-access/download-id/36876/" TargetMode="External"/><Relationship Id="rId1567" Type="http://schemas.openxmlformats.org/officeDocument/2006/relationships/hyperlink" Target="https://salesxceleration.com/wp-content/uploads/elementor/css/post-46867.css?ver=1768850931" TargetMode="External"/><Relationship Id="rId2898" Type="http://schemas.openxmlformats.org/officeDocument/2006/relationships/hyperlink" Target="https://salesxceleration.com/?download=36876" TargetMode="External"/><Relationship Id="rId1568" Type="http://schemas.openxmlformats.org/officeDocument/2006/relationships/hyperlink" Target="https://salesxceleration.com/wp-content/uploads/2024/05/logo-sx.png.webp" TargetMode="External"/><Relationship Id="rId2899" Type="http://schemas.openxmlformats.org/officeDocument/2006/relationships/hyperlink" Target="https://salesxceleration.com/?download=70147" TargetMode="External"/><Relationship Id="rId1569" Type="http://schemas.openxmlformats.org/officeDocument/2006/relationships/hyperlink" Target="https://salesxceleration.com/wp-content/uploads/2024/05/logo-sx.png.webp" TargetMode="External"/><Relationship Id="rId976" Type="http://schemas.openxmlformats.org/officeDocument/2006/relationships/hyperlink" Target="https://salesxceleration.com/wp-content/uploads/2022/04/Mann-Susan-225x225.jpg" TargetMode="External"/><Relationship Id="rId975" Type="http://schemas.openxmlformats.org/officeDocument/2006/relationships/hyperlink" Target="https://salesxceleration.com/wp-content/uploads/2022/04/English-Joe-275x275-1-225x225.jpg" TargetMode="External"/><Relationship Id="rId974" Type="http://schemas.openxmlformats.org/officeDocument/2006/relationships/hyperlink" Target="https://salesxceleration.com/wp-content/uploads/2022/04/English-Joe-275x275-1-225x225.jpg" TargetMode="External"/><Relationship Id="rId973" Type="http://schemas.openxmlformats.org/officeDocument/2006/relationships/hyperlink" Target="https://salesxceleration.com/wp-content/uploads/2025/10/Gumbiner_Ken-225x225.jpg" TargetMode="External"/><Relationship Id="rId979" Type="http://schemas.openxmlformats.org/officeDocument/2006/relationships/hyperlink" Target="https://salesxceleration.com/wp-content/uploads/2025/07/DeMint_Timothy-225x225.jpg" TargetMode="External"/><Relationship Id="rId978" Type="http://schemas.openxmlformats.org/officeDocument/2006/relationships/hyperlink" Target="https://salesxceleration.com/wp-content/uploads/2025/07/DeMint_Timothy-225x225.jpg" TargetMode="External"/><Relationship Id="rId977" Type="http://schemas.openxmlformats.org/officeDocument/2006/relationships/hyperlink" Target="https://salesxceleration.com/wp-content/uploads/2022/04/Mann-Susan-225x225.jpg" TargetMode="External"/><Relationship Id="rId2890" Type="http://schemas.openxmlformats.org/officeDocument/2006/relationships/hyperlink" Target="https://salesxceleration.com/?download=63802" TargetMode="External"/><Relationship Id="rId1560" Type="http://schemas.openxmlformats.org/officeDocument/2006/relationships/hyperlink" Target="https://salesxceleration.com/news-events/sales-xceleration-welcomes-expert-sales-growth-leaders/" TargetMode="External"/><Relationship Id="rId2891" Type="http://schemas.openxmlformats.org/officeDocument/2006/relationships/hyperlink" Target="https://salesxceleration.com/no-access/download-id/63802/" TargetMode="External"/><Relationship Id="rId972" Type="http://schemas.openxmlformats.org/officeDocument/2006/relationships/hyperlink" Target="https://salesxceleration.com/wp-content/uploads/2025/10/Gumbiner_Ken-225x225.jpg" TargetMode="External"/><Relationship Id="rId1561" Type="http://schemas.openxmlformats.org/officeDocument/2006/relationships/hyperlink" Target="https://salesxceleration.com/news-events/outsourcing-sales-leadership-provides-focus-and-results-for-business-owners/" TargetMode="External"/><Relationship Id="rId2892" Type="http://schemas.openxmlformats.org/officeDocument/2006/relationships/hyperlink" Target="https://salesxceleration.com/?download=63802" TargetMode="External"/><Relationship Id="rId971" Type="http://schemas.openxmlformats.org/officeDocument/2006/relationships/hyperlink" Target="https://salesxceleration.com/wp-content/uploads/2022/04/McKnight-Matt-225x225.jpg" TargetMode="External"/><Relationship Id="rId1562" Type="http://schemas.openxmlformats.org/officeDocument/2006/relationships/hyperlink" Target="https://salesxceleration.com/news-events/outsourcing-sales-leadership-provides-focus-and-results-for-business-owners/" TargetMode="External"/><Relationship Id="rId2893" Type="http://schemas.openxmlformats.org/officeDocument/2006/relationships/hyperlink" Target="https://salesxceleration.com/?download=68883" TargetMode="External"/><Relationship Id="rId970" Type="http://schemas.openxmlformats.org/officeDocument/2006/relationships/hyperlink" Target="https://salesxceleration.com/wp-content/uploads/2022/04/McKnight-Matt-225x225.jpg" TargetMode="External"/><Relationship Id="rId1563" Type="http://schemas.openxmlformats.org/officeDocument/2006/relationships/hyperlink" Target="https://salesxceleration.com/news-events/outsourcing-sales-leadership-provides-focus-and-results-for-business-owners/" TargetMode="External"/><Relationship Id="rId2894" Type="http://schemas.openxmlformats.org/officeDocument/2006/relationships/hyperlink" Target="https://salesxceleration.com/no-access/download-id/68883/" TargetMode="External"/><Relationship Id="rId1564" Type="http://schemas.openxmlformats.org/officeDocument/2006/relationships/hyperlink" Target="https://salesxceleration.com/wp-content/plugins/elementor-pro/assets/lib/smartmenus/jquery.smartmenus.min.js?ver=1.2.1" TargetMode="External"/><Relationship Id="rId2895" Type="http://schemas.openxmlformats.org/officeDocument/2006/relationships/hyperlink" Target="https://salesxceleration.com/?download=68883" TargetMode="External"/><Relationship Id="rId1598" Type="http://schemas.openxmlformats.org/officeDocument/2006/relationships/hyperlink" Target="https://salesxceleration.com/infographics/implementing-a-sales-data-analytics-strategy/" TargetMode="External"/><Relationship Id="rId1599" Type="http://schemas.openxmlformats.org/officeDocument/2006/relationships/hyperlink" Target="https://salesxceleration.com/?download=63802" TargetMode="External"/><Relationship Id="rId1590" Type="http://schemas.openxmlformats.org/officeDocument/2006/relationships/hyperlink" Target="https://salesxceleration.com/case-study/data-and-analytics-maintaining-sales-momentum-amidst-transition/" TargetMode="External"/><Relationship Id="rId1591" Type="http://schemas.openxmlformats.org/officeDocument/2006/relationships/hyperlink" Target="https://salesxceleration.com/case-study/data-and-analytics-maintaining-sales-momentum-amidst-transition/" TargetMode="External"/><Relationship Id="rId1592" Type="http://schemas.openxmlformats.org/officeDocument/2006/relationships/hyperlink" Target="https://salesxceleration.com/infographics-cat/marketing/" TargetMode="External"/><Relationship Id="rId1593" Type="http://schemas.openxmlformats.org/officeDocument/2006/relationships/hyperlink" Target="https://salesxceleration.com/?download=66961" TargetMode="External"/><Relationship Id="rId1594" Type="http://schemas.openxmlformats.org/officeDocument/2006/relationships/hyperlink" Target="https://salesxceleration.com/infographics-cat/marketing/" TargetMode="External"/><Relationship Id="rId1595" Type="http://schemas.openxmlformats.org/officeDocument/2006/relationships/hyperlink" Target="https://salesxceleration.com/infographics/how-to-leverage-ai-to-optimize-b2b-lead-generation/" TargetMode="External"/><Relationship Id="rId1596" Type="http://schemas.openxmlformats.org/officeDocument/2006/relationships/hyperlink" Target="https://salesxceleration.com/?download=66961" TargetMode="External"/><Relationship Id="rId1597" Type="http://schemas.openxmlformats.org/officeDocument/2006/relationships/hyperlink" Target="https://salesxceleration.com/infographics/how-to-leverage-ai-to-optimize-b2b-lead-generation/" TargetMode="External"/><Relationship Id="rId1587" Type="http://schemas.openxmlformats.org/officeDocument/2006/relationships/hyperlink" Target="https://salesxceleration.com/wp-content/uploads/2024/05/Building-a-Sales-Pipeline-with-AI-768x994.jpg" TargetMode="External"/><Relationship Id="rId1588" Type="http://schemas.openxmlformats.org/officeDocument/2006/relationships/hyperlink" Target="https://salesxceleration.com/wp-content/uploads/2024/05/Building-a-Sales-Pipeline-with-AI-768x994.jpg" TargetMode="External"/><Relationship Id="rId1589" Type="http://schemas.openxmlformats.org/officeDocument/2006/relationships/hyperlink" Target="https://salesxceleration.com/case-study/data-and-analytics-maintaining-sales-momentum-amidst-transition/" TargetMode="External"/><Relationship Id="rId998" Type="http://schemas.openxmlformats.org/officeDocument/2006/relationships/hyperlink" Target="https://salesxceleration.com/wp-content/uploads/2024/06/Garner-Chris-225x225.jpg" TargetMode="External"/><Relationship Id="rId997" Type="http://schemas.openxmlformats.org/officeDocument/2006/relationships/hyperlink" Target="https://salesxceleration.com/wp-content/uploads/2025/06/Durkee_Jeff-225x225.jpg" TargetMode="External"/><Relationship Id="rId996" Type="http://schemas.openxmlformats.org/officeDocument/2006/relationships/hyperlink" Target="https://salesxceleration.com/wp-content/uploads/2025/06/Durkee_Jeff-225x225.jpg" TargetMode="External"/><Relationship Id="rId995" Type="http://schemas.openxmlformats.org/officeDocument/2006/relationships/hyperlink" Target="https://salesxceleration.com/wp-content/uploads/2025/05/McKean_Steve-225x225.jpg" TargetMode="External"/><Relationship Id="rId999" Type="http://schemas.openxmlformats.org/officeDocument/2006/relationships/hyperlink" Target="https://salesxceleration.com/wp-content/uploads/2024/06/Garner-Chris-225x225.jpg" TargetMode="External"/><Relationship Id="rId990" Type="http://schemas.openxmlformats.org/officeDocument/2006/relationships/hyperlink" Target="https://salesxceleration.com/wp-content/uploads/2025/06/Enters_Menno-225x225.jpg" TargetMode="External"/><Relationship Id="rId1580" Type="http://schemas.openxmlformats.org/officeDocument/2006/relationships/hyperlink" Target="https://salesxceleration.com/wp-content/uploads/2024/07/Sales-Team-Effectiveness-1024x683.jpg" TargetMode="External"/><Relationship Id="rId1581" Type="http://schemas.openxmlformats.org/officeDocument/2006/relationships/hyperlink" Target="https://salesxceleration.com/wp-content/uploads/2024/07/Sales-Transformation-1024x683.jpg" TargetMode="External"/><Relationship Id="rId1582" Type="http://schemas.openxmlformats.org/officeDocument/2006/relationships/hyperlink" Target="https://salesxceleration.com/wp-content/uploads/2024/07/Sales-Transformation-1024x683.jpg" TargetMode="External"/><Relationship Id="rId994" Type="http://schemas.openxmlformats.org/officeDocument/2006/relationships/hyperlink" Target="https://salesxceleration.com/wp-content/uploads/2025/05/McKean_Steve-225x225.jpg" TargetMode="External"/><Relationship Id="rId1583" Type="http://schemas.openxmlformats.org/officeDocument/2006/relationships/hyperlink" Target="https://salesxceleration.com/wp-content/plugins/powerpack-elements/assets/css/min/widget-info-box.min.css?ver=2.12.15" TargetMode="External"/><Relationship Id="rId993" Type="http://schemas.openxmlformats.org/officeDocument/2006/relationships/hyperlink" Target="https://salesxceleration.com/wp-content/uploads/2022/04/Spafford-Chris-275x275-1-225x225.jpg" TargetMode="External"/><Relationship Id="rId1584" Type="http://schemas.openxmlformats.org/officeDocument/2006/relationships/hyperlink" Target="https://salesxceleration.com/wp-content/plugins/powerpack-elements/assets/css/min/widget-info-box.min.css?ver=2.12.15" TargetMode="External"/><Relationship Id="rId992" Type="http://schemas.openxmlformats.org/officeDocument/2006/relationships/hyperlink" Target="https://salesxceleration.com/wp-content/uploads/2022/04/Spafford-Chris-275x275-1-225x225.jpg" TargetMode="External"/><Relationship Id="rId1585" Type="http://schemas.openxmlformats.org/officeDocument/2006/relationships/hyperlink" Target="https://salesxceleration.com/wp-content/uploads/2025/08/The-AI-Security-Playbook-1-768x1062.jpg" TargetMode="External"/><Relationship Id="rId991" Type="http://schemas.openxmlformats.org/officeDocument/2006/relationships/hyperlink" Target="https://salesxceleration.com/wp-content/uploads/2025/06/Enters_Menno-225x225.jpg" TargetMode="External"/><Relationship Id="rId1586" Type="http://schemas.openxmlformats.org/officeDocument/2006/relationships/hyperlink" Target="https://salesxceleration.com/wp-content/uploads/2025/08/The-AI-Security-Playbook-1-768x1062.jpg" TargetMode="External"/><Relationship Id="rId1532" Type="http://schemas.openxmlformats.org/officeDocument/2006/relationships/hyperlink" Target="https://salesxceleration.com/news-events/sales-xceleration-launches-new-certified-sales-leader-training-program-that-is-guaranteed-to-pay-for-itself/" TargetMode="External"/><Relationship Id="rId2863" Type="http://schemas.openxmlformats.org/officeDocument/2006/relationships/hyperlink" Target="https://salesxceleration.com/wp-content/uploads/2022/06/shutterstock_380892946.jpg" TargetMode="External"/><Relationship Id="rId1533" Type="http://schemas.openxmlformats.org/officeDocument/2006/relationships/hyperlink" Target="https://salesxceleration.com/news-events/sales-xceleration-launches-new-certified-sales-leader-training-program-that-is-guaranteed-to-pay-for-itself/" TargetMode="External"/><Relationship Id="rId2864" Type="http://schemas.openxmlformats.org/officeDocument/2006/relationships/hyperlink" Target="https://salesxceleration.com/wp-content/uploads/2022/06/shutterstock_380892946.jpg" TargetMode="External"/><Relationship Id="rId1534" Type="http://schemas.openxmlformats.org/officeDocument/2006/relationships/hyperlink" Target="https://salesxceleration.com/news-events/sales-xceleration-launches-new-certified-sales-leader-training-program-that-is-guaranteed-to-pay-for-itself/" TargetMode="External"/><Relationship Id="rId2865" Type="http://schemas.openxmlformats.org/officeDocument/2006/relationships/hyperlink" Target="https://salesxceleration.com/wp-content/uploads/2023/08/August-23-Class-Photo.jpg" TargetMode="External"/><Relationship Id="rId1535" Type="http://schemas.openxmlformats.org/officeDocument/2006/relationships/hyperlink" Target="https://salesxceleration.com/news-events/sales-xceleration-named-to-selling-power-magazines-top-sales-training-companies-2023-list-for-csl-training/" TargetMode="External"/><Relationship Id="rId2866" Type="http://schemas.openxmlformats.org/officeDocument/2006/relationships/hyperlink" Target="https://salesxceleration.com/wp-content/uploads/2023/08/August-23-Class-Photo.jpg" TargetMode="External"/><Relationship Id="rId1536" Type="http://schemas.openxmlformats.org/officeDocument/2006/relationships/hyperlink" Target="https://salesxceleration.com/news-events/sales-xceleration-named-to-selling-power-magazines-top-sales-training-companies-2023-list-for-csl-training/" TargetMode="External"/><Relationship Id="rId2867" Type="http://schemas.openxmlformats.org/officeDocument/2006/relationships/hyperlink" Target="https://salesxceleration.com/wp-content/themes/salesxceleratione/assets/css/style.css?ver=1769123444" TargetMode="External"/><Relationship Id="rId1537" Type="http://schemas.openxmlformats.org/officeDocument/2006/relationships/hyperlink" Target="https://salesxceleration.com/news-events/sales-xceleration-named-to-selling-power-magazines-top-sales-training-companies-2023-list-for-csl-training/" TargetMode="External"/><Relationship Id="rId2868" Type="http://schemas.openxmlformats.org/officeDocument/2006/relationships/hyperlink" Target="https://salesxceleration.com/wp-content/themes/salesxceleratione/assets/css/style.css?ver=1769123444" TargetMode="External"/><Relationship Id="rId1538" Type="http://schemas.openxmlformats.org/officeDocument/2006/relationships/hyperlink" Target="https://salesxceleration.com/news-events/sales-growth-planning-non-sales-executive-workshop-delivered-advisor-susan-tourville/" TargetMode="External"/><Relationship Id="rId2869" Type="http://schemas.openxmlformats.org/officeDocument/2006/relationships/hyperlink" Target="https://salesxceleration.com/wp-content/uploads/2024/12/Sales-Xceleration-Welcomes-Expert-Sales-Growth-Leaders.jpg" TargetMode="External"/><Relationship Id="rId1539" Type="http://schemas.openxmlformats.org/officeDocument/2006/relationships/hyperlink" Target="https://salesxceleration.com/news-events/sales-growth-planning-non-sales-executive-workshop-delivered-advisor-susan-tourville/" TargetMode="External"/><Relationship Id="rId949" Type="http://schemas.openxmlformats.org/officeDocument/2006/relationships/hyperlink" Target="https://salesxceleration.com/wp-content/uploads/2025/02/Ted-Caulkins-225x225.jpg" TargetMode="External"/><Relationship Id="rId948" Type="http://schemas.openxmlformats.org/officeDocument/2006/relationships/hyperlink" Target="https://salesxceleration.com/wp-content/uploads/2025/02/Ted-Caulkins-225x225.jpg" TargetMode="External"/><Relationship Id="rId943" Type="http://schemas.openxmlformats.org/officeDocument/2006/relationships/hyperlink" Target="https://salesxceleration.com/wp-content/uploads/2025/08/Quinque_Ernie-225x225.jpg" TargetMode="External"/><Relationship Id="rId942" Type="http://schemas.openxmlformats.org/officeDocument/2006/relationships/hyperlink" Target="https://salesxceleration.com/wp-content/uploads/2025/08/Quinque_Ernie-225x225.jpg" TargetMode="External"/><Relationship Id="rId941" Type="http://schemas.openxmlformats.org/officeDocument/2006/relationships/hyperlink" Target="https://salesxceleration.com/wp-content/uploads/2023/12/Knotts_Joe-225x225.jpg" TargetMode="External"/><Relationship Id="rId940" Type="http://schemas.openxmlformats.org/officeDocument/2006/relationships/hyperlink" Target="https://salesxceleration.com/wp-content/uploads/2023/12/Knotts_Joe-225x225.jpg" TargetMode="External"/><Relationship Id="rId947" Type="http://schemas.openxmlformats.org/officeDocument/2006/relationships/hyperlink" Target="https://salesxceleration.com/wp-content/uploads/2017/01/Rafferty-Paul-275x275-1-225x225.jpg" TargetMode="External"/><Relationship Id="rId946" Type="http://schemas.openxmlformats.org/officeDocument/2006/relationships/hyperlink" Target="https://salesxceleration.com/wp-content/uploads/2017/01/Rafferty-Paul-275x275-1-225x225.jpg" TargetMode="External"/><Relationship Id="rId945" Type="http://schemas.openxmlformats.org/officeDocument/2006/relationships/hyperlink" Target="https://salesxceleration.com/wp-content/uploads/2023/06/Fisher_Howard-225x225.jpg" TargetMode="External"/><Relationship Id="rId944" Type="http://schemas.openxmlformats.org/officeDocument/2006/relationships/hyperlink" Target="https://salesxceleration.com/wp-content/uploads/2023/06/Fisher_Howard-225x225.jpg" TargetMode="External"/><Relationship Id="rId2860" Type="http://schemas.openxmlformats.org/officeDocument/2006/relationships/hyperlink" Target="https://salesxceleration.com/sales-agility-assessment-1-0-stourville/" TargetMode="External"/><Relationship Id="rId1530" Type="http://schemas.openxmlformats.org/officeDocument/2006/relationships/hyperlink" Target="https://salesxceleration.com/news-events/new-fractional-sales-vps-providing-value-to-small-and-mid-sized-businesses/" TargetMode="External"/><Relationship Id="rId2861" Type="http://schemas.openxmlformats.org/officeDocument/2006/relationships/hyperlink" Target="https://salesxceleration.com/sales-agility-assessment/" TargetMode="External"/><Relationship Id="rId1531" Type="http://schemas.openxmlformats.org/officeDocument/2006/relationships/hyperlink" Target="https://salesxceleration.com/news-events/new-fractional-sales-vps-providing-value-to-small-and-mid-sized-businesses/" TargetMode="External"/><Relationship Id="rId2862" Type="http://schemas.openxmlformats.org/officeDocument/2006/relationships/hyperlink" Target="https://salesxceleration.com/sales-agility-assessment-1-0-stourville/" TargetMode="External"/><Relationship Id="rId1521" Type="http://schemas.openxmlformats.org/officeDocument/2006/relationships/hyperlink" Target="https://salesxceleration.com/news-events/empowering-growth-sales-xceleration-welcomes-experienced-fractional-sales-experts/" TargetMode="External"/><Relationship Id="rId2852" Type="http://schemas.openxmlformats.org/officeDocument/2006/relationships/hyperlink" Target="https://salesxceleration.com/advisors/chris-goade/" TargetMode="External"/><Relationship Id="rId1522" Type="http://schemas.openxmlformats.org/officeDocument/2006/relationships/hyperlink" Target="https://salesxceleration.com/news-events/empowering-growth-sales-xceleration-welcomes-experienced-fractional-sales-experts/" TargetMode="External"/><Relationship Id="rId2853" Type="http://schemas.openxmlformats.org/officeDocument/2006/relationships/hyperlink" Target="https://salesxceleration.com/advisors/chris-goade/" TargetMode="External"/><Relationship Id="rId1523" Type="http://schemas.openxmlformats.org/officeDocument/2006/relationships/hyperlink" Target="https://salesxceleration.com/news-events/sales-xceleration-holds-1st-annual-conference/" TargetMode="External"/><Relationship Id="rId2854" Type="http://schemas.openxmlformats.org/officeDocument/2006/relationships/hyperlink" Target="https://salesxceleration.com/wp-content/uploads/2020/06/Jun-2020-Collage.png" TargetMode="External"/><Relationship Id="rId1524" Type="http://schemas.openxmlformats.org/officeDocument/2006/relationships/hyperlink" Target="https://salesxceleration.com/news-events/sales-xceleration-holds-1st-annual-conference/" TargetMode="External"/><Relationship Id="rId2855" Type="http://schemas.openxmlformats.org/officeDocument/2006/relationships/hyperlink" Target="https://salesxceleration.com/wp-content/uploads/2020/06/Jun-2020-Collage.png" TargetMode="External"/><Relationship Id="rId1525" Type="http://schemas.openxmlformats.org/officeDocument/2006/relationships/hyperlink" Target="https://salesxceleration.com/news-events/sales-xceleration-holds-1st-annual-conference/" TargetMode="External"/><Relationship Id="rId2856" Type="http://schemas.openxmlformats.org/officeDocument/2006/relationships/hyperlink" Target="https://salesxceleration.com/wp-content/uploads/2018/11/hero-bg.jpg" TargetMode="External"/><Relationship Id="rId1526" Type="http://schemas.openxmlformats.org/officeDocument/2006/relationships/hyperlink" Target="https://salesxceleration.com/news-events/outsourced-vps-of-sales-provide-additional-sales-expertise-in-two-markets/" TargetMode="External"/><Relationship Id="rId2857" Type="http://schemas.openxmlformats.org/officeDocument/2006/relationships/hyperlink" Target="https://salesxceleration.com/wp-content/uploads/2018/11/hero-bg.jpg" TargetMode="External"/><Relationship Id="rId1527" Type="http://schemas.openxmlformats.org/officeDocument/2006/relationships/hyperlink" Target="https://salesxceleration.com/news-events/outsourced-vps-of-sales-provide-additional-sales-expertise-in-two-markets/" TargetMode="External"/><Relationship Id="rId2858" Type="http://schemas.openxmlformats.org/officeDocument/2006/relationships/hyperlink" Target="https://salesxceleration.com/wp-content/uploads/2017/05/Susan-Tourville-Revised-e1495208071287.jpg" TargetMode="External"/><Relationship Id="rId1528" Type="http://schemas.openxmlformats.org/officeDocument/2006/relationships/hyperlink" Target="https://salesxceleration.com/news-events/outsourced-vps-of-sales-provide-additional-sales-expertise-in-two-markets/" TargetMode="External"/><Relationship Id="rId2859" Type="http://schemas.openxmlformats.org/officeDocument/2006/relationships/hyperlink" Target="https://salesxceleration.com/wp-content/uploads/2017/05/Susan-Tourville-Revised-e1495208071287.jpg" TargetMode="External"/><Relationship Id="rId1529" Type="http://schemas.openxmlformats.org/officeDocument/2006/relationships/hyperlink" Target="https://salesxceleration.com/news-events/new-fractional-sales-vps-providing-value-to-small-and-mid-sized-businesses/" TargetMode="External"/><Relationship Id="rId939" Type="http://schemas.openxmlformats.org/officeDocument/2006/relationships/hyperlink" Target="https://salesxceleration.com/wp-content/uploads/2024/08/Bidwell_Dan-225x225.jpg" TargetMode="External"/><Relationship Id="rId938" Type="http://schemas.openxmlformats.org/officeDocument/2006/relationships/hyperlink" Target="https://salesxceleration.com/wp-content/uploads/2024/08/Bidwell_Dan-225x225.jpg" TargetMode="External"/><Relationship Id="rId937" Type="http://schemas.openxmlformats.org/officeDocument/2006/relationships/hyperlink" Target="https://salesxceleration.com/wp-content/uploads/2022/04/Skerlos-Dino-275x275-1-225x225.jpg" TargetMode="External"/><Relationship Id="rId932" Type="http://schemas.openxmlformats.org/officeDocument/2006/relationships/hyperlink" Target="https://salesxceleration.com/wp-content/uploads/2024/10/Westbrooke_Steve-225x225.jpg" TargetMode="External"/><Relationship Id="rId931" Type="http://schemas.openxmlformats.org/officeDocument/2006/relationships/hyperlink" Target="https://salesxceleration.com/wp-content/uploads/2022/04/West-Gary-275x275-1-225x225.jpg" TargetMode="External"/><Relationship Id="rId930" Type="http://schemas.openxmlformats.org/officeDocument/2006/relationships/hyperlink" Target="https://salesxceleration.com/wp-content/uploads/2022/04/West-Gary-275x275-1-225x225.jpg" TargetMode="External"/><Relationship Id="rId936" Type="http://schemas.openxmlformats.org/officeDocument/2006/relationships/hyperlink" Target="https://salesxceleration.com/wp-content/uploads/2022/04/Skerlos-Dino-275x275-1-225x225.jpg" TargetMode="External"/><Relationship Id="rId935" Type="http://schemas.openxmlformats.org/officeDocument/2006/relationships/hyperlink" Target="https://salesxceleration.com/wp-content/uploads/2023/09/Neilan_Tim-225x225.jpg" TargetMode="External"/><Relationship Id="rId934" Type="http://schemas.openxmlformats.org/officeDocument/2006/relationships/hyperlink" Target="https://salesxceleration.com/wp-content/uploads/2023/09/Neilan_Tim-225x225.jpg" TargetMode="External"/><Relationship Id="rId933" Type="http://schemas.openxmlformats.org/officeDocument/2006/relationships/hyperlink" Target="https://salesxceleration.com/wp-content/uploads/2024/10/Westbrooke_Steve-225x225.jpg" TargetMode="External"/><Relationship Id="rId2850" Type="http://schemas.openxmlformats.org/officeDocument/2006/relationships/hyperlink" Target="https://salesxceleration.com/wp-content/themes/salesxceleratione/assets/css/style.css?ver=1769123443" TargetMode="External"/><Relationship Id="rId1520" Type="http://schemas.openxmlformats.org/officeDocument/2006/relationships/hyperlink" Target="https://salesxceleration.com/news-events/empowering-growth-sales-xceleration-welcomes-experienced-fractional-sales-experts/" TargetMode="External"/><Relationship Id="rId2851" Type="http://schemas.openxmlformats.org/officeDocument/2006/relationships/hyperlink" Target="https://salesxceleration.com/advisors/chris-goade/" TargetMode="External"/><Relationship Id="rId1554" Type="http://schemas.openxmlformats.org/officeDocument/2006/relationships/hyperlink" Target="https://salesxceleration.com/news-events/accelerating-success-with-sales-xcelerations-two-new-fractional-sales-leaders/" TargetMode="External"/><Relationship Id="rId2885" Type="http://schemas.openxmlformats.org/officeDocument/2006/relationships/hyperlink" Target="https://salesxceleration.com/wp-content/uploads/2024/08/Maintaining-Sales-Momentum-Amidst-Transition-Technology-Case-Study.pdf" TargetMode="External"/><Relationship Id="rId1555" Type="http://schemas.openxmlformats.org/officeDocument/2006/relationships/hyperlink" Target="https://salesxceleration.com/news-events/accelerating-success-with-sales-xcelerations-two-new-fractional-sales-leaders/" TargetMode="External"/><Relationship Id="rId2886" Type="http://schemas.openxmlformats.org/officeDocument/2006/relationships/hyperlink" Target="https://salesxceleration.com/wp-content/uploads/2024/08/Maintaining-Sales-Momentum-Amidst-Transition-Technology-Case-Study.pdf" TargetMode="External"/><Relationship Id="rId1556" Type="http://schemas.openxmlformats.org/officeDocument/2006/relationships/hyperlink" Target="https://salesxceleration.com/wp-content/uploads/elementor/css/post-40429.css?ver=1768847962" TargetMode="External"/><Relationship Id="rId2887" Type="http://schemas.openxmlformats.org/officeDocument/2006/relationships/hyperlink" Target="https://salesxceleration.com/?download=66961" TargetMode="External"/><Relationship Id="rId1557" Type="http://schemas.openxmlformats.org/officeDocument/2006/relationships/hyperlink" Target="https://salesxceleration.com/wp-content/uploads/elementor/css/post-40429.css?ver=1768847962" TargetMode="External"/><Relationship Id="rId2888" Type="http://schemas.openxmlformats.org/officeDocument/2006/relationships/hyperlink" Target="https://salesxceleration.com/no-access/download-id/66961/" TargetMode="External"/><Relationship Id="rId1558" Type="http://schemas.openxmlformats.org/officeDocument/2006/relationships/hyperlink" Target="https://salesxceleration.com/news-events/sales-xceleration-welcomes-expert-sales-growth-leaders/" TargetMode="External"/><Relationship Id="rId2889" Type="http://schemas.openxmlformats.org/officeDocument/2006/relationships/hyperlink" Target="https://salesxceleration.com/?download=66961" TargetMode="External"/><Relationship Id="rId1559" Type="http://schemas.openxmlformats.org/officeDocument/2006/relationships/hyperlink" Target="https://salesxceleration.com/news-events/sales-xceleration-welcomes-expert-sales-growth-leaders/" TargetMode="External"/><Relationship Id="rId965" Type="http://schemas.openxmlformats.org/officeDocument/2006/relationships/hyperlink" Target="https://salesxceleration.com/wp-content/uploads/2023/04/Jeane-225x225.jpg" TargetMode="External"/><Relationship Id="rId964" Type="http://schemas.openxmlformats.org/officeDocument/2006/relationships/hyperlink" Target="https://salesxceleration.com/wp-content/uploads/2023/04/Jeane-225x225.jpg" TargetMode="External"/><Relationship Id="rId963" Type="http://schemas.openxmlformats.org/officeDocument/2006/relationships/hyperlink" Target="https://salesxceleration.com/wp-content/uploads/2022/07/Porro_Michael-2-225x225.jpg" TargetMode="External"/><Relationship Id="rId962" Type="http://schemas.openxmlformats.org/officeDocument/2006/relationships/hyperlink" Target="https://salesxceleration.com/wp-content/uploads/2022/07/Porro_Michael-2-225x225.jpg" TargetMode="External"/><Relationship Id="rId969" Type="http://schemas.openxmlformats.org/officeDocument/2006/relationships/hyperlink" Target="https://salesxceleration.com/wp-content/uploads/2022/04/Rakis-Angela-225x225.jpg" TargetMode="External"/><Relationship Id="rId968" Type="http://schemas.openxmlformats.org/officeDocument/2006/relationships/hyperlink" Target="https://salesxceleration.com/wp-content/uploads/2022/04/Rakis-Angela-225x225.jpg" TargetMode="External"/><Relationship Id="rId967" Type="http://schemas.openxmlformats.org/officeDocument/2006/relationships/hyperlink" Target="https://salesxceleration.com/wp-content/uploads/2023/10/jaclyn-beatty-225x225.jpg" TargetMode="External"/><Relationship Id="rId966" Type="http://schemas.openxmlformats.org/officeDocument/2006/relationships/hyperlink" Target="https://salesxceleration.com/wp-content/uploads/2023/10/jaclyn-beatty-225x225.jpg" TargetMode="External"/><Relationship Id="rId2880" Type="http://schemas.openxmlformats.org/officeDocument/2006/relationships/hyperlink" Target="https://salesxceleration.com/wp-content/uploads/2022/09/Technology-Case-Study-Thumbnail-1024x1024.jpg" TargetMode="External"/><Relationship Id="rId961" Type="http://schemas.openxmlformats.org/officeDocument/2006/relationships/hyperlink" Target="https://salesxceleration.com/wp-content/uploads/2024/08/Schaal_Steve-225x225.jpg" TargetMode="External"/><Relationship Id="rId1550" Type="http://schemas.openxmlformats.org/officeDocument/2006/relationships/hyperlink" Target="https://salesxceleration.com/hiring-skills-assessment/" TargetMode="External"/><Relationship Id="rId2881" Type="http://schemas.openxmlformats.org/officeDocument/2006/relationships/hyperlink" Target="https://salesxceleration.com/wp-content/uploads/elementor/css/post-26615.css?ver=1768897280" TargetMode="External"/><Relationship Id="rId960" Type="http://schemas.openxmlformats.org/officeDocument/2006/relationships/hyperlink" Target="https://salesxceleration.com/wp-content/uploads/2024/08/Schaal_Steve-225x225.jpg" TargetMode="External"/><Relationship Id="rId1551" Type="http://schemas.openxmlformats.org/officeDocument/2006/relationships/hyperlink" Target="https://salesxceleration.com/wp-content/plugins/elementor-pro/assets/css/conditionals/transitions.min.css?ver=3.34.0" TargetMode="External"/><Relationship Id="rId2882" Type="http://schemas.openxmlformats.org/officeDocument/2006/relationships/hyperlink" Target="https://salesxceleration.com/wp-content/uploads/elementor/css/post-26615.css?ver=1768897280" TargetMode="External"/><Relationship Id="rId1552" Type="http://schemas.openxmlformats.org/officeDocument/2006/relationships/hyperlink" Target="https://salesxceleration.com/wp-content/plugins/elementor-pro/assets/css/conditionals/transitions.min.css?ver=3.34.0" TargetMode="External"/><Relationship Id="rId2883" Type="http://schemas.openxmlformats.org/officeDocument/2006/relationships/hyperlink" Target="https://salesxceleration.com/wp-content/themes/salesxceleratione/assets/css/style.css?ver=1769123446" TargetMode="External"/><Relationship Id="rId1553" Type="http://schemas.openxmlformats.org/officeDocument/2006/relationships/hyperlink" Target="https://salesxceleration.com/news-events/accelerating-success-with-sales-xcelerations-two-new-fractional-sales-leaders/" TargetMode="External"/><Relationship Id="rId2884" Type="http://schemas.openxmlformats.org/officeDocument/2006/relationships/hyperlink" Target="https://salesxceleration.com/wp-content/themes/salesxceleratione/assets/css/style.css?ver=1769123446" TargetMode="External"/><Relationship Id="rId1543" Type="http://schemas.openxmlformats.org/officeDocument/2006/relationships/hyperlink" Target="https://salesxceleration.com/news-events/press-mention-4-ways-social-media-marketing-drives-digital-connections-in-2022/" TargetMode="External"/><Relationship Id="rId2874" Type="http://schemas.openxmlformats.org/officeDocument/2006/relationships/hyperlink" Target="https://salesxceleration.com/wp-content/uploads/elementor/css/post-26183.css?ver=1768881794" TargetMode="External"/><Relationship Id="rId1544" Type="http://schemas.openxmlformats.org/officeDocument/2006/relationships/hyperlink" Target="https://salesxceleration.com/wp-content/plugins/powerpack-elements/assets/css/min/widget-tiled-posts.min.css?ver=2.12.15" TargetMode="External"/><Relationship Id="rId2875" Type="http://schemas.openxmlformats.org/officeDocument/2006/relationships/hyperlink" Target="https://salesxceleration.com/wp-content/themes/salesxceleratione/assets/css/style.css?ver=1769123445" TargetMode="External"/><Relationship Id="rId1545" Type="http://schemas.openxmlformats.org/officeDocument/2006/relationships/hyperlink" Target="https://salesxceleration.com/wp-content/plugins/powerpack-elements/assets/css/min/widget-tiled-posts.min.css?ver=2.12.15" TargetMode="External"/><Relationship Id="rId2876" Type="http://schemas.openxmlformats.org/officeDocument/2006/relationships/hyperlink" Target="https://salesxceleration.com/wp-content/themes/salesxceleratione/assets/css/style.css?ver=1769123445" TargetMode="External"/><Relationship Id="rId1546" Type="http://schemas.openxmlformats.org/officeDocument/2006/relationships/hyperlink" Target="https://salesxceleration.com/wp-content/plugins/elementor-pro/assets/css/widget-call-to-action.min.css?ver=3.34.0" TargetMode="External"/><Relationship Id="rId2877" Type="http://schemas.openxmlformats.org/officeDocument/2006/relationships/hyperlink" Target="https://salesxceleration.com/wp-content/uploads/2024/05/IT-Professional-Services-Building-a-Sustainable-Sales-Strategy-for-Accelerated-Growth.pdf" TargetMode="External"/><Relationship Id="rId1547" Type="http://schemas.openxmlformats.org/officeDocument/2006/relationships/hyperlink" Target="https://salesxceleration.com/wp-content/plugins/elementor-pro/assets/css/widget-call-to-action.min.css?ver=3.34.0" TargetMode="External"/><Relationship Id="rId2878" Type="http://schemas.openxmlformats.org/officeDocument/2006/relationships/hyperlink" Target="https://salesxceleration.com/wp-content/uploads/2024/05/IT-Professional-Services-Building-a-Sustainable-Sales-Strategy-for-Accelerated-Growth.pdf" TargetMode="External"/><Relationship Id="rId1548" Type="http://schemas.openxmlformats.org/officeDocument/2006/relationships/hyperlink" Target="https://salesxceleration.com/hiring-skills-assessment/" TargetMode="External"/><Relationship Id="rId2879" Type="http://schemas.openxmlformats.org/officeDocument/2006/relationships/hyperlink" Target="https://salesxceleration.com/wp-content/uploads/2022/09/Technology-Case-Study-Thumbnail-1024x1024.jpg" TargetMode="External"/><Relationship Id="rId1549" Type="http://schemas.openxmlformats.org/officeDocument/2006/relationships/hyperlink" Target="https://www.amplifyrecruiting.com/hiring-skills-assessment/" TargetMode="External"/><Relationship Id="rId959" Type="http://schemas.openxmlformats.org/officeDocument/2006/relationships/hyperlink" Target="https://salesxceleration.com/wp-content/uploads/2022/04/McMahan-Don-225x225.jpg" TargetMode="External"/><Relationship Id="rId954" Type="http://schemas.openxmlformats.org/officeDocument/2006/relationships/hyperlink" Target="https://salesxceleration.com/wp-content/uploads/2024/04/Maloof-Nick-225x225.jpg" TargetMode="External"/><Relationship Id="rId953" Type="http://schemas.openxmlformats.org/officeDocument/2006/relationships/hyperlink" Target="https://salesxceleration.com/wp-content/uploads/2022/04/Marchetti-Jerry-275x275-1-225x225.jpg" TargetMode="External"/><Relationship Id="rId952" Type="http://schemas.openxmlformats.org/officeDocument/2006/relationships/hyperlink" Target="https://salesxceleration.com/wp-content/uploads/2022/04/Marchetti-Jerry-275x275-1-225x225.jpg" TargetMode="External"/><Relationship Id="rId951" Type="http://schemas.openxmlformats.org/officeDocument/2006/relationships/hyperlink" Target="https://salesxceleration.com/wp-content/uploads/2024/03/Rosser_Troy-225x225.jpg" TargetMode="External"/><Relationship Id="rId958" Type="http://schemas.openxmlformats.org/officeDocument/2006/relationships/hyperlink" Target="https://salesxceleration.com/wp-content/uploads/2022/04/McMahan-Don-225x225.jpg" TargetMode="External"/><Relationship Id="rId957" Type="http://schemas.openxmlformats.org/officeDocument/2006/relationships/hyperlink" Target="https://salesxceleration.com/wp-content/uploads/2025/04/Buel_Rudy-225x225.jpg" TargetMode="External"/><Relationship Id="rId956" Type="http://schemas.openxmlformats.org/officeDocument/2006/relationships/hyperlink" Target="https://salesxceleration.com/wp-content/uploads/2025/04/Buel_Rudy-225x225.jpg" TargetMode="External"/><Relationship Id="rId955" Type="http://schemas.openxmlformats.org/officeDocument/2006/relationships/hyperlink" Target="https://salesxceleration.com/wp-content/uploads/2024/04/Maloof-Nick-225x225.jpg" TargetMode="External"/><Relationship Id="rId950" Type="http://schemas.openxmlformats.org/officeDocument/2006/relationships/hyperlink" Target="https://salesxceleration.com/wp-content/uploads/2024/03/Rosser_Troy-225x225.jpg" TargetMode="External"/><Relationship Id="rId2870" Type="http://schemas.openxmlformats.org/officeDocument/2006/relationships/hyperlink" Target="https://salesxceleration.com/wp-content/uploads/2024/12/Sales-Xceleration-Welcomes-Expert-Sales-Growth-Leaders.jpg" TargetMode="External"/><Relationship Id="rId1540" Type="http://schemas.openxmlformats.org/officeDocument/2006/relationships/hyperlink" Target="https://salesxceleration.com/news-events/sales-growth-planning-non-sales-executive-workshop-delivered-advisor-susan-tourville/" TargetMode="External"/><Relationship Id="rId2871" Type="http://schemas.openxmlformats.org/officeDocument/2006/relationships/hyperlink" Target="https://salesxceleration.com/wp-content/uploads/2021/02/SX-Advisors-02-2021.png" TargetMode="External"/><Relationship Id="rId1541" Type="http://schemas.openxmlformats.org/officeDocument/2006/relationships/hyperlink" Target="https://salesxceleration.com/news-events/press-mention-4-ways-social-media-marketing-drives-digital-connections-in-2022/" TargetMode="External"/><Relationship Id="rId2872" Type="http://schemas.openxmlformats.org/officeDocument/2006/relationships/hyperlink" Target="https://salesxceleration.com/wp-content/uploads/2021/02/SX-Advisors-02-2021.png" TargetMode="External"/><Relationship Id="rId1542" Type="http://schemas.openxmlformats.org/officeDocument/2006/relationships/hyperlink" Target="https://salesxceleration.com/news-events/press-mention-4-ways-social-media-marketing-drives-digital-connections-in-2022/" TargetMode="External"/><Relationship Id="rId2873" Type="http://schemas.openxmlformats.org/officeDocument/2006/relationships/hyperlink" Target="https://salesxceleration.com/wp-content/uploads/elementor/css/post-26183.css?ver=1768881794" TargetMode="External"/><Relationship Id="rId6407" Type="http://schemas.openxmlformats.org/officeDocument/2006/relationships/hyperlink" Target="https://salesxceleration.com/wp-content/uploads/2016/05/Goals-scaled-1.jpg" TargetMode="External"/><Relationship Id="rId6408" Type="http://schemas.openxmlformats.org/officeDocument/2006/relationships/hyperlink" Target="https://salesxceleration.com/wp-content/uploads/2016/05/Goals-scaled-1.jpg" TargetMode="External"/><Relationship Id="rId6405" Type="http://schemas.openxmlformats.org/officeDocument/2006/relationships/hyperlink" Target="https://salesxceleration.com/wp-content/uploads/2016/02/Identifying-problem-.jpg" TargetMode="External"/><Relationship Id="rId6406" Type="http://schemas.openxmlformats.org/officeDocument/2006/relationships/hyperlink" Target="https://salesxceleration.com/wp-content/uploads/2016/02/Identifying-problem-.jpg" TargetMode="External"/><Relationship Id="rId6409" Type="http://schemas.openxmlformats.org/officeDocument/2006/relationships/hyperlink" Target="https://salesxceleration.com/wp-content/themes/salesxceleratione/assets/css/style.css?ver=1769123677" TargetMode="External"/><Relationship Id="rId6400" Type="http://schemas.openxmlformats.org/officeDocument/2006/relationships/hyperlink" Target="https://salesxceleration.com/wp-content/themes/salesxceleratione/assets/css/style.css?ver=1769123678" TargetMode="External"/><Relationship Id="rId6403" Type="http://schemas.openxmlformats.org/officeDocument/2006/relationships/hyperlink" Target="https://salesxceleration.com/5-keys-to-a-successful-sales-compensation-plan/" TargetMode="External"/><Relationship Id="rId6404" Type="http://schemas.openxmlformats.org/officeDocument/2006/relationships/hyperlink" Target="https://salesxceleration.com/5-keys-to-a-successful-sales-compensation-plan" TargetMode="External"/><Relationship Id="rId6401" Type="http://schemas.openxmlformats.org/officeDocument/2006/relationships/hyperlink" Target="https://salesxceleration.com/wp-content/themes/salesxceleratione/assets/css/style.css?ver=1769123678" TargetMode="External"/><Relationship Id="rId6402" Type="http://schemas.openxmlformats.org/officeDocument/2006/relationships/hyperlink" Target="https://salesxceleration.com/5-keys-to-a-successful-sales-compensation-plan" TargetMode="External"/><Relationship Id="rId5130" Type="http://schemas.openxmlformats.org/officeDocument/2006/relationships/hyperlink" Target="https://salesxceleration.com/achieving-sales-excellence-a-strategic-roadmap-for-b2b-companies-with-revenues-below-100m/" TargetMode="External"/><Relationship Id="rId6461" Type="http://schemas.openxmlformats.org/officeDocument/2006/relationships/hyperlink" Target="https://salesxceleration.com/wp-content/uploads/2022/06/Business-Meeting-300x300.jpg" TargetMode="External"/><Relationship Id="rId5131" Type="http://schemas.openxmlformats.org/officeDocument/2006/relationships/hyperlink" Target="https://salesxceleration.com/achieving-sales-excellence-a-strategic-roadmap-for-b2b-companies-with-revenues-below-100m/" TargetMode="External"/><Relationship Id="rId6462" Type="http://schemas.openxmlformats.org/officeDocument/2006/relationships/hyperlink" Target="https://salesxceleration.com/wp-content/uploads/2022/06/Business-Meeting-300x300.jpg" TargetMode="External"/><Relationship Id="rId6460" Type="http://schemas.openxmlformats.org/officeDocument/2006/relationships/hyperlink" Target="https://salesxceleration.com/retired-fired-or-fired-up-the-new-vp-of-sales-opportunity/" TargetMode="External"/><Relationship Id="rId5134" Type="http://schemas.openxmlformats.org/officeDocument/2006/relationships/hyperlink" Target="https://salesxceleration.com/achieving-sales-excellence-competitive-positioning/" TargetMode="External"/><Relationship Id="rId6465" Type="http://schemas.openxmlformats.org/officeDocument/2006/relationships/hyperlink" Target="https://salesxceleration.com/wp-content/uploads/2022/05/Sales-Lifecycle-300x300.jpg" TargetMode="External"/><Relationship Id="rId5135" Type="http://schemas.openxmlformats.org/officeDocument/2006/relationships/hyperlink" Target="https://salesxceleration.com/achieving-sales-excellence-competitive-positioning/" TargetMode="External"/><Relationship Id="rId6466" Type="http://schemas.openxmlformats.org/officeDocument/2006/relationships/hyperlink" Target="https://salesxceleration.com/wp-content/uploads/2022/05/Sales-Lifecycle-300x300.jpg" TargetMode="External"/><Relationship Id="rId5132" Type="http://schemas.openxmlformats.org/officeDocument/2006/relationships/hyperlink" Target="https://salesxceleration.com/achieving-sales-excellence-a-strategic-roadmap-for-b2b-companies-with-revenues-below-100m/" TargetMode="External"/><Relationship Id="rId6463" Type="http://schemas.openxmlformats.org/officeDocument/2006/relationships/hyperlink" Target="https://salesxceleration.com/wp-content/uploads/2023/02/sales-leaders-working-together-300x200.jpg" TargetMode="External"/><Relationship Id="rId5133" Type="http://schemas.openxmlformats.org/officeDocument/2006/relationships/hyperlink" Target="https://salesxceleration.com/achieving-sales-excellence-competitive-positioning/" TargetMode="External"/><Relationship Id="rId6464" Type="http://schemas.openxmlformats.org/officeDocument/2006/relationships/hyperlink" Target="https://salesxceleration.com/wp-content/uploads/2023/02/sales-leaders-working-together-300x200.jpg" TargetMode="External"/><Relationship Id="rId5138" Type="http://schemas.openxmlformats.org/officeDocument/2006/relationships/hyperlink" Target="https://salesxceleration.com/achieving-sales-excellence-defining-the-target-market-for-b2b-companies-under-100m/" TargetMode="External"/><Relationship Id="rId6469" Type="http://schemas.openxmlformats.org/officeDocument/2006/relationships/hyperlink" Target="https://salesxceleration.com/wp-content/themes/salesxceleratione/assets/css/style.css?ver=1769123783" TargetMode="External"/><Relationship Id="rId5139" Type="http://schemas.openxmlformats.org/officeDocument/2006/relationships/hyperlink" Target="https://salesxceleration.com/how-to-build-strong-business-relationships-a-guide-to-effective-sales/" TargetMode="External"/><Relationship Id="rId5136" Type="http://schemas.openxmlformats.org/officeDocument/2006/relationships/hyperlink" Target="https://salesxceleration.com/achieving-sales-excellence-defining-the-target-market-for-b2b-companies-under-100m/" TargetMode="External"/><Relationship Id="rId6467" Type="http://schemas.openxmlformats.org/officeDocument/2006/relationships/hyperlink" Target="https://salesxceleration.com/wp-content/uploads/2022/05/Key-Performance-Indicators-300x200.jpg" TargetMode="External"/><Relationship Id="rId5137" Type="http://schemas.openxmlformats.org/officeDocument/2006/relationships/hyperlink" Target="https://salesxceleration.com/achieving-sales-excellence-defining-the-target-market-for-b2b-companies-under-100m/" TargetMode="External"/><Relationship Id="rId6468" Type="http://schemas.openxmlformats.org/officeDocument/2006/relationships/hyperlink" Target="https://salesxceleration.com/wp-content/uploads/2022/05/Key-Performance-Indicators-300x200.jpg" TargetMode="External"/><Relationship Id="rId5129" Type="http://schemas.openxmlformats.org/officeDocument/2006/relationships/hyperlink" Target="https://salesxceleration.com/achieving-sales-excellence-choosing-effective-sales-channels-for-b2b-companies-under-100m/" TargetMode="External"/><Relationship Id="rId6450" Type="http://schemas.openxmlformats.org/officeDocument/2006/relationships/hyperlink" Target="https://salesxceleration.com/wp-content/themes/salesxceleratione/assets/css/style.css?ver=1769123672" TargetMode="External"/><Relationship Id="rId5120" Type="http://schemas.openxmlformats.org/officeDocument/2006/relationships/hyperlink" Target="https://salesxceleration.com/wp-content/uploads/2024/03/Developing-a-Compelling-Value-Proposition-300x200.jpg" TargetMode="External"/><Relationship Id="rId6451" Type="http://schemas.openxmlformats.org/officeDocument/2006/relationships/hyperlink" Target="https://salesxceleration.com/wp-content/themes/salesxceleratione/assets/css/style.css?ver=1769123785" TargetMode="External"/><Relationship Id="rId5123" Type="http://schemas.openxmlformats.org/officeDocument/2006/relationships/hyperlink" Target="https://salesxceleration.com/sales-agility-assessment/" TargetMode="External"/><Relationship Id="rId6454" Type="http://schemas.openxmlformats.org/officeDocument/2006/relationships/hyperlink" Target="https://salesxceleration.com/no-access/download-id/27893/" TargetMode="External"/><Relationship Id="rId5124" Type="http://schemas.openxmlformats.org/officeDocument/2006/relationships/hyperlink" Target="https://salesxceleration.com/sales-agility-assessment/?locationid=26671639" TargetMode="External"/><Relationship Id="rId6455" Type="http://schemas.openxmlformats.org/officeDocument/2006/relationships/hyperlink" Target="https://salesxceleration.com/?download=27893" TargetMode="External"/><Relationship Id="rId5121" Type="http://schemas.openxmlformats.org/officeDocument/2006/relationships/hyperlink" Target="https://salesxceleration.com/wp-content/uploads/2024/03/Developing-a-Compelling-Value-Proposition-300x200.jpg" TargetMode="External"/><Relationship Id="rId6452" Type="http://schemas.openxmlformats.org/officeDocument/2006/relationships/hyperlink" Target="https://salesxceleration.com/wp-content/themes/salesxceleratione/assets/css/style.css?ver=1769123785" TargetMode="External"/><Relationship Id="rId5122" Type="http://schemas.openxmlformats.org/officeDocument/2006/relationships/hyperlink" Target="https://salesxceleration.com/sales-agility-assessment/?locationid=26671639" TargetMode="External"/><Relationship Id="rId6453" Type="http://schemas.openxmlformats.org/officeDocument/2006/relationships/hyperlink" Target="https://salesxceleration.com/?download=27893" TargetMode="External"/><Relationship Id="rId5127" Type="http://schemas.openxmlformats.org/officeDocument/2006/relationships/hyperlink" Target="https://salesxceleration.com/achieving-sales-excellence-choosing-effective-sales-channels-for-b2b-companies-under-100m/" TargetMode="External"/><Relationship Id="rId6458" Type="http://schemas.openxmlformats.org/officeDocument/2006/relationships/hyperlink" Target="https://salesxceleration.com/retired-fired-or-fired-up-the-new-vp-of-sales-opportunity/" TargetMode="External"/><Relationship Id="rId5128" Type="http://schemas.openxmlformats.org/officeDocument/2006/relationships/hyperlink" Target="https://salesxceleration.com/achieving-sales-excellence-choosing-effective-sales-channels-for-b2b-companies-under-100m/" TargetMode="External"/><Relationship Id="rId6459" Type="http://schemas.openxmlformats.org/officeDocument/2006/relationships/hyperlink" Target="https://salesxceleration.com/retired-fired-or-fired-up-the-new-vp-of-sales-opportunity/" TargetMode="External"/><Relationship Id="rId5125" Type="http://schemas.openxmlformats.org/officeDocument/2006/relationships/hyperlink" Target="https://salesxceleration.com/wp-content/uploads/2024/05/Competitive-Positioning-300x200.jpg" TargetMode="External"/><Relationship Id="rId6456" Type="http://schemas.openxmlformats.org/officeDocument/2006/relationships/hyperlink" Target="https://salesxceleration.com/wp-content/uploads/2022/06/Client-Connection-300x300.jpg" TargetMode="External"/><Relationship Id="rId5126" Type="http://schemas.openxmlformats.org/officeDocument/2006/relationships/hyperlink" Target="https://salesxceleration.com/wp-content/uploads/2024/05/Competitive-Positioning-300x200.jpg" TargetMode="External"/><Relationship Id="rId6457" Type="http://schemas.openxmlformats.org/officeDocument/2006/relationships/hyperlink" Target="https://salesxceleration.com/wp-content/uploads/2022/06/Client-Connection-300x300.jpg" TargetMode="External"/><Relationship Id="rId6480" Type="http://schemas.openxmlformats.org/officeDocument/2006/relationships/hyperlink" Target="https://salesxceleration.com/wp-content/uploads/2023/04/Sales-Leaders-Working-in-Office-300x200.jpg" TargetMode="External"/><Relationship Id="rId5152" Type="http://schemas.openxmlformats.org/officeDocument/2006/relationships/hyperlink" Target="https://salesxceleration.com/how-to-define-your-ideal-salesperson-and-avoid-making-a-hiring-mistake" TargetMode="External"/><Relationship Id="rId6483" Type="http://schemas.openxmlformats.org/officeDocument/2006/relationships/hyperlink" Target="https://salesxceleration.com/wp-content/themes/salesxceleratione/assets/css/style.css?ver=1769123782" TargetMode="External"/><Relationship Id="rId5153" Type="http://schemas.openxmlformats.org/officeDocument/2006/relationships/hyperlink" Target="https://salesxceleration.com/how-to-define-your-ideal-salesperson-and-avoid-making-a-hiring-mistake/" TargetMode="External"/><Relationship Id="rId6484" Type="http://schemas.openxmlformats.org/officeDocument/2006/relationships/hyperlink" Target="https://salesxceleration.com/believing-in-the-sales-lifecycle-part-3-solutioning-overcoming-buying-reticence-and-after-gaining-the-buy/" TargetMode="External"/><Relationship Id="rId5150" Type="http://schemas.openxmlformats.org/officeDocument/2006/relationships/hyperlink" Target="https://salesxceleration.com/wp-content/uploads/2015/03/find-right-salesperson-sales-team.png" TargetMode="External"/><Relationship Id="rId6481" Type="http://schemas.openxmlformats.org/officeDocument/2006/relationships/hyperlink" Target="https://salesxceleration.com/wp-content/uploads/2023/04/Sales-Leaders-Working-in-Office-300x200.jpg" TargetMode="External"/><Relationship Id="rId5151" Type="http://schemas.openxmlformats.org/officeDocument/2006/relationships/hyperlink" Target="https://salesxceleration.com/wp-content/uploads/2015/03/find-right-salesperson-sales-team.png" TargetMode="External"/><Relationship Id="rId6482" Type="http://schemas.openxmlformats.org/officeDocument/2006/relationships/hyperlink" Target="https://salesxceleration.com/wp-content/themes/salesxceleratione/assets/css/style.css?ver=1769123782" TargetMode="External"/><Relationship Id="rId5156" Type="http://schemas.openxmlformats.org/officeDocument/2006/relationships/hyperlink" Target="https://salesxceleration.com/prospecting-more-than-a-numbers-game/" TargetMode="External"/><Relationship Id="rId6487" Type="http://schemas.openxmlformats.org/officeDocument/2006/relationships/hyperlink" Target="https://salesxceleration.com/believing-in-the-sales-lifecycle-part-2-the-connection/" TargetMode="External"/><Relationship Id="rId5157" Type="http://schemas.openxmlformats.org/officeDocument/2006/relationships/hyperlink" Target="https://salesxceleration.com/prospecting-more-than-a-numbers-game/" TargetMode="External"/><Relationship Id="rId6488" Type="http://schemas.openxmlformats.org/officeDocument/2006/relationships/hyperlink" Target="https://salesxceleration.com/believing-in-the-sales-lifecycle-part-2-the-connection/" TargetMode="External"/><Relationship Id="rId5154" Type="http://schemas.openxmlformats.org/officeDocument/2006/relationships/hyperlink" Target="https://salesxceleration.com/how-to-define-your-ideal-salesperson-and-avoid-making-a-hiring-mistake" TargetMode="External"/><Relationship Id="rId6485" Type="http://schemas.openxmlformats.org/officeDocument/2006/relationships/hyperlink" Target="https://salesxceleration.com/believing-in-the-sales-lifecycle-part-3-solutioning-overcoming-buying-reticence-and-after-gaining-the-buy/" TargetMode="External"/><Relationship Id="rId5155" Type="http://schemas.openxmlformats.org/officeDocument/2006/relationships/hyperlink" Target="https://salesxceleration.com/prospecting-more-than-a-numbers-game/" TargetMode="External"/><Relationship Id="rId6486" Type="http://schemas.openxmlformats.org/officeDocument/2006/relationships/hyperlink" Target="https://salesxceleration.com/believing-in-the-sales-lifecycle-part-3-solutioning-overcoming-buying-reticence-and-after-gaining-the-buy/" TargetMode="External"/><Relationship Id="rId5158" Type="http://schemas.openxmlformats.org/officeDocument/2006/relationships/hyperlink" Target="https://salesxceleration.com/achieving-sales-excellence-developing-a-compelling-value-proposition/" TargetMode="External"/><Relationship Id="rId6489" Type="http://schemas.openxmlformats.org/officeDocument/2006/relationships/hyperlink" Target="https://salesxceleration.com/believing-in-the-sales-lifecycle-part-2-the-connection/" TargetMode="External"/><Relationship Id="rId5159" Type="http://schemas.openxmlformats.org/officeDocument/2006/relationships/hyperlink" Target="https://salesxceleration.com/achieving-sales-excellence-developing-a-compelling-value-proposition/" TargetMode="External"/><Relationship Id="rId5141" Type="http://schemas.openxmlformats.org/officeDocument/2006/relationships/hyperlink" Target="https://salesxceleration.com/how-to-build-strong-business-relationships-a-guide-to-effective-sales/" TargetMode="External"/><Relationship Id="rId6472" Type="http://schemas.openxmlformats.org/officeDocument/2006/relationships/hyperlink" Target="https://salesxceleration.com/wp-content/uploads/2022/11/Sales-Management-300x161.jpg" TargetMode="External"/><Relationship Id="rId5142" Type="http://schemas.openxmlformats.org/officeDocument/2006/relationships/hyperlink" Target="https://salesxceleration.com/wp-content/uploads/2024/06/Choosing-Effective-Sales-Channels-300x224.jpg" TargetMode="External"/><Relationship Id="rId6473" Type="http://schemas.openxmlformats.org/officeDocument/2006/relationships/hyperlink" Target="https://salesxceleration.com/5-sales-management-questions/" TargetMode="External"/><Relationship Id="rId6470" Type="http://schemas.openxmlformats.org/officeDocument/2006/relationships/hyperlink" Target="https://salesxceleration.com/wp-content/themes/salesxceleratione/assets/css/style.css?ver=1769123783" TargetMode="External"/><Relationship Id="rId5140" Type="http://schemas.openxmlformats.org/officeDocument/2006/relationships/hyperlink" Target="https://salesxceleration.com/how-to-build-strong-business-relationships-a-guide-to-effective-sales/" TargetMode="External"/><Relationship Id="rId6471" Type="http://schemas.openxmlformats.org/officeDocument/2006/relationships/hyperlink" Target="https://salesxceleration.com/wp-content/uploads/2022/11/Sales-Management-300x161.jpg" TargetMode="External"/><Relationship Id="rId5145" Type="http://schemas.openxmlformats.org/officeDocument/2006/relationships/hyperlink" Target="https://salesxceleration.com/wp-content/themes/salesxceleratione/assets/css/style.css?ver=1769123612" TargetMode="External"/><Relationship Id="rId6476" Type="http://schemas.openxmlformats.org/officeDocument/2006/relationships/hyperlink" Target="https://salesxceleration.com/wp-content/uploads/2022/09/Climbing-Mount-Whitney-California-300x200.jpg" TargetMode="External"/><Relationship Id="rId5146" Type="http://schemas.openxmlformats.org/officeDocument/2006/relationships/hyperlink" Target="https://salesxceleration.com/wp-content/uploads/2023/03/Prospecting-with-meaningful-conversations-300x218.jpg" TargetMode="External"/><Relationship Id="rId6477" Type="http://schemas.openxmlformats.org/officeDocument/2006/relationships/hyperlink" Target="https://salesxceleration.com/wp-content/uploads/2022/09/Climbing-Mount-Whitney-California-300x200.jpg" TargetMode="External"/><Relationship Id="rId5143" Type="http://schemas.openxmlformats.org/officeDocument/2006/relationships/hyperlink" Target="https://salesxceleration.com/wp-content/uploads/2024/06/Choosing-Effective-Sales-Channels-300x224.jpg" TargetMode="External"/><Relationship Id="rId6474" Type="http://schemas.openxmlformats.org/officeDocument/2006/relationships/hyperlink" Target="https://salesxceleration.com/5-sales-management-questions/" TargetMode="External"/><Relationship Id="rId5144" Type="http://schemas.openxmlformats.org/officeDocument/2006/relationships/hyperlink" Target="https://salesxceleration.com/wp-content/themes/salesxceleratione/assets/css/style.css?ver=1769123612" TargetMode="External"/><Relationship Id="rId6475" Type="http://schemas.openxmlformats.org/officeDocument/2006/relationships/hyperlink" Target="https://salesxceleration.com/5-sales-management-questions/" TargetMode="External"/><Relationship Id="rId5149" Type="http://schemas.openxmlformats.org/officeDocument/2006/relationships/hyperlink" Target="https://salesxceleration.com/wp-content/themes/salesxceleratione/assets/css/style.css?ver=1769123613" TargetMode="External"/><Relationship Id="rId5147" Type="http://schemas.openxmlformats.org/officeDocument/2006/relationships/hyperlink" Target="https://salesxceleration.com/wp-content/uploads/2023/03/Prospecting-with-meaningful-conversations-300x218.jpg" TargetMode="External"/><Relationship Id="rId6478" Type="http://schemas.openxmlformats.org/officeDocument/2006/relationships/hyperlink" Target="https://salesxceleration.com/wp-content/uploads/2023/04/Sales-Team-discussing-recession-300x218.jpg" TargetMode="External"/><Relationship Id="rId5148" Type="http://schemas.openxmlformats.org/officeDocument/2006/relationships/hyperlink" Target="https://salesxceleration.com/wp-content/themes/salesxceleratione/assets/css/style.css?ver=1769123613" TargetMode="External"/><Relationship Id="rId6479" Type="http://schemas.openxmlformats.org/officeDocument/2006/relationships/hyperlink" Target="https://salesxceleration.com/wp-content/uploads/2023/04/Sales-Team-discussing-recession-300x218.jpg" TargetMode="External"/><Relationship Id="rId6429" Type="http://schemas.openxmlformats.org/officeDocument/2006/relationships/hyperlink" Target="https://salesxceleration.com/wp-content/uploads/2016/12/business-card-1525590-640x960-623x248-1-2048x2048.jpg" TargetMode="External"/><Relationship Id="rId6427" Type="http://schemas.openxmlformats.org/officeDocument/2006/relationships/hyperlink" Target="https://salesxceleration.com/top-10-action-items-to-help-you-hit-the-ground-running/" TargetMode="External"/><Relationship Id="rId6428" Type="http://schemas.openxmlformats.org/officeDocument/2006/relationships/hyperlink" Target="https://salesxceleration.com/top-10-action-items-to-help-you-hit-the-ground-running/" TargetMode="External"/><Relationship Id="rId6421" Type="http://schemas.openxmlformats.org/officeDocument/2006/relationships/hyperlink" Target="https://salesxceleration.com/wp-content/uploads/2016/07/New-Chapter-RS-72-560-x-225.jpg" TargetMode="External"/><Relationship Id="rId6422" Type="http://schemas.openxmlformats.org/officeDocument/2006/relationships/hyperlink" Target="https://salesxceleration.com/wp-content/uploads/2019/09/shutterstock_407349148_sm.jpg" TargetMode="External"/><Relationship Id="rId6420" Type="http://schemas.openxmlformats.org/officeDocument/2006/relationships/hyperlink" Target="https://salesxceleration.com/wp-content/uploads/2016/07/New-Chapter-RS-72-560-x-225.jpg" TargetMode="External"/><Relationship Id="rId6425" Type="http://schemas.openxmlformats.org/officeDocument/2006/relationships/hyperlink" Target="https://salesxceleration.com/wp-content/themes/salesxceleratione/assets/css/style.css?ver=1769123675" TargetMode="External"/><Relationship Id="rId6426" Type="http://schemas.openxmlformats.org/officeDocument/2006/relationships/hyperlink" Target="https://salesxceleration.com/top-10-action-items-to-help-you-hit-the-ground-running/" TargetMode="External"/><Relationship Id="rId6423" Type="http://schemas.openxmlformats.org/officeDocument/2006/relationships/hyperlink" Target="https://salesxceleration.com/wp-content/uploads/2019/09/shutterstock_407349148_sm.jpg" TargetMode="External"/><Relationship Id="rId6424" Type="http://schemas.openxmlformats.org/officeDocument/2006/relationships/hyperlink" Target="https://salesxceleration.com/wp-content/themes/salesxceleratione/assets/css/style.css?ver=1769123675" TargetMode="External"/><Relationship Id="rId6418" Type="http://schemas.openxmlformats.org/officeDocument/2006/relationships/hyperlink" Target="https://salesxceleration.com/wp-content/themes/salesxceleratione/assets/css/style.css?ver=1769123676" TargetMode="External"/><Relationship Id="rId6419" Type="http://schemas.openxmlformats.org/officeDocument/2006/relationships/hyperlink" Target="https://salesxceleration.com/wp-content/themes/salesxceleratione/assets/css/style.css?ver=1769123676" TargetMode="External"/><Relationship Id="rId6416" Type="http://schemas.openxmlformats.org/officeDocument/2006/relationships/hyperlink" Target="https://salesxceleration.com/no-access/download-id/27871/" TargetMode="External"/><Relationship Id="rId6417" Type="http://schemas.openxmlformats.org/officeDocument/2006/relationships/hyperlink" Target="https://salesxceleration.com/?download=27871" TargetMode="External"/><Relationship Id="rId6410" Type="http://schemas.openxmlformats.org/officeDocument/2006/relationships/hyperlink" Target="https://salesxceleration.com/wp-content/themes/salesxceleratione/assets/css/style.css?ver=1769123677" TargetMode="External"/><Relationship Id="rId6411" Type="http://schemas.openxmlformats.org/officeDocument/2006/relationships/hyperlink" Target="https://salesxceleration.com/wp-content/uploads/2016/12/revenue-1704073__180.png" TargetMode="External"/><Relationship Id="rId6414" Type="http://schemas.openxmlformats.org/officeDocument/2006/relationships/hyperlink" Target="https://salesxceleration.com/wp-content/uploads/2016/04/Baby-Boomer-Entrepreneur.jpg" TargetMode="External"/><Relationship Id="rId6415" Type="http://schemas.openxmlformats.org/officeDocument/2006/relationships/hyperlink" Target="https://salesxceleration.com/?download=27871" TargetMode="External"/><Relationship Id="rId6412" Type="http://schemas.openxmlformats.org/officeDocument/2006/relationships/hyperlink" Target="https://salesxceleration.com/wp-content/uploads/2016/12/revenue-1704073__180.png" TargetMode="External"/><Relationship Id="rId6413" Type="http://schemas.openxmlformats.org/officeDocument/2006/relationships/hyperlink" Target="https://salesxceleration.com/wp-content/uploads/2016/04/Baby-Boomer-Entrepreneur.jpg" TargetMode="External"/><Relationship Id="rId5118" Type="http://schemas.openxmlformats.org/officeDocument/2006/relationships/hyperlink" Target="https://salesxceleration.com/sales-agility-assessment/" TargetMode="External"/><Relationship Id="rId6449" Type="http://schemas.openxmlformats.org/officeDocument/2006/relationships/hyperlink" Target="https://salesxceleration.com/wp-content/themes/salesxceleratione/assets/css/style.css?ver=1769123672" TargetMode="External"/><Relationship Id="rId5119" Type="http://schemas.openxmlformats.org/officeDocument/2006/relationships/hyperlink" Target="https://salesxceleration.com/sales-agility-assessment/?locationid=28995327" TargetMode="External"/><Relationship Id="rId6440" Type="http://schemas.openxmlformats.org/officeDocument/2006/relationships/hyperlink" Target="https://salesxceleration.com/wp-content/uploads/2019/07/shutterstock_536212654-1.jpg" TargetMode="External"/><Relationship Id="rId5112" Type="http://schemas.openxmlformats.org/officeDocument/2006/relationships/hyperlink" Target="https://salesxceleration.com/wp-content/uploads/2023/03/Building-Strong-Business-Relationships-1-300x215.jpg" TargetMode="External"/><Relationship Id="rId6443" Type="http://schemas.openxmlformats.org/officeDocument/2006/relationships/hyperlink" Target="https://salesxceleration.com/marks-book-available-now/" TargetMode="External"/><Relationship Id="rId5113" Type="http://schemas.openxmlformats.org/officeDocument/2006/relationships/hyperlink" Target="https://salesxceleration.com/wp-content/uploads/2023/03/Building-Strong-Business-Relationships-1-300x215.jpg" TargetMode="External"/><Relationship Id="rId6444" Type="http://schemas.openxmlformats.org/officeDocument/2006/relationships/hyperlink" Target="https://salesxceleration.com/?p=539" TargetMode="External"/><Relationship Id="rId5110" Type="http://schemas.openxmlformats.org/officeDocument/2006/relationships/hyperlink" Target="https://salesxceleration.com/wp-content/uploads/2024/01/Strategic-Roadmap-300x200.jpg" TargetMode="External"/><Relationship Id="rId6441" Type="http://schemas.openxmlformats.org/officeDocument/2006/relationships/hyperlink" Target="https://salesxceleration.com/wp-content/uploads/2018/07/sales-consulting-opportunity.jpg" TargetMode="External"/><Relationship Id="rId5111" Type="http://schemas.openxmlformats.org/officeDocument/2006/relationships/hyperlink" Target="https://salesxceleration.com/wp-content/uploads/2024/01/Strategic-Roadmap-300x200.jpg" TargetMode="External"/><Relationship Id="rId6442" Type="http://schemas.openxmlformats.org/officeDocument/2006/relationships/hyperlink" Target="https://salesxceleration.com/wp-content/uploads/2018/07/sales-consulting-opportunity.jpg" TargetMode="External"/><Relationship Id="rId5116" Type="http://schemas.openxmlformats.org/officeDocument/2006/relationships/hyperlink" Target="https://salesxceleration.com/sales-success-every-buyer-really-wants/" TargetMode="External"/><Relationship Id="rId6447" Type="http://schemas.openxmlformats.org/officeDocument/2006/relationships/hyperlink" Target="https://salesxceleration.com/lost-order-dont-lose-connection/" TargetMode="External"/><Relationship Id="rId5117" Type="http://schemas.openxmlformats.org/officeDocument/2006/relationships/hyperlink" Target="https://salesxceleration.com/sales-agility-assessment/?locationid=28995327" TargetMode="External"/><Relationship Id="rId6448" Type="http://schemas.openxmlformats.org/officeDocument/2006/relationships/hyperlink" Target="https://salesxceleration.com/lost-order-dont-lose-connection/" TargetMode="External"/><Relationship Id="rId5114" Type="http://schemas.openxmlformats.org/officeDocument/2006/relationships/hyperlink" Target="https://salesxceleration.com/sales-success-every-buyer-really-wants/" TargetMode="External"/><Relationship Id="rId6445" Type="http://schemas.openxmlformats.org/officeDocument/2006/relationships/hyperlink" Target="https://salesxceleration.com/marks-book-available-now/" TargetMode="External"/><Relationship Id="rId5115" Type="http://schemas.openxmlformats.org/officeDocument/2006/relationships/hyperlink" Target="https://salesxceleration.com/sales-success-every-buyer-really-wants/" TargetMode="External"/><Relationship Id="rId6446" Type="http://schemas.openxmlformats.org/officeDocument/2006/relationships/hyperlink" Target="https://salesxceleration.com/lost-order-dont-lose-connection/" TargetMode="External"/><Relationship Id="rId5109" Type="http://schemas.openxmlformats.org/officeDocument/2006/relationships/hyperlink" Target="https://salesxceleration.com/wp-content/uploads/2024/02/Achieving-Sales-Excellence_Target-Market-300x204.jpg" TargetMode="External"/><Relationship Id="rId5107" Type="http://schemas.openxmlformats.org/officeDocument/2006/relationships/hyperlink" Target="https://salesxceleration.com/wp-content/uploads/2020/02/SX-Effective_Sales_Vision_Statement.jpg" TargetMode="External"/><Relationship Id="rId6438" Type="http://schemas.openxmlformats.org/officeDocument/2006/relationships/hyperlink" Target="https://salesxceleration.com/wp-content/uploads/2019/07/2019-07-16_123451.jpg" TargetMode="External"/><Relationship Id="rId5108" Type="http://schemas.openxmlformats.org/officeDocument/2006/relationships/hyperlink" Target="https://salesxceleration.com/wp-content/uploads/2024/02/Achieving-Sales-Excellence_Target-Market-300x204.jpg" TargetMode="External"/><Relationship Id="rId6439" Type="http://schemas.openxmlformats.org/officeDocument/2006/relationships/hyperlink" Target="https://salesxceleration.com/wp-content/uploads/2019/07/shutterstock_536212654-1.jpg" TargetMode="External"/><Relationship Id="rId5101" Type="http://schemas.openxmlformats.org/officeDocument/2006/relationships/hyperlink" Target="https://salesxceleration.com/watching-super-bowl-can-teach-salespeople-sales/" TargetMode="External"/><Relationship Id="rId6432" Type="http://schemas.openxmlformats.org/officeDocument/2006/relationships/hyperlink" Target="https://salesxceleration.com/wp-content/uploads/2016/02/Dollarphotoclub_80668580-Outsource-Sign-RS-72.jpg" TargetMode="External"/><Relationship Id="rId5102" Type="http://schemas.openxmlformats.org/officeDocument/2006/relationships/hyperlink" Target="https://salesxceleration.com/wp-content/themes/salesxceleratione/assets/css/style.css?ver=1769123611" TargetMode="External"/><Relationship Id="rId6433" Type="http://schemas.openxmlformats.org/officeDocument/2006/relationships/hyperlink" Target="https://salesxceleration.com/wp-content/uploads/2019/08/shutterstock_1009393072.jpg" TargetMode="External"/><Relationship Id="rId6430" Type="http://schemas.openxmlformats.org/officeDocument/2006/relationships/hyperlink" Target="https://salesxceleration.com/wp-content/uploads/2016/12/business-card-1525590-640x960-623x248-1-2048x2048.jpg" TargetMode="External"/><Relationship Id="rId5100" Type="http://schemas.openxmlformats.org/officeDocument/2006/relationships/hyperlink" Target="https://salesxceleration.com/watching-super-bowl-can-teach-salespeople-sales/" TargetMode="External"/><Relationship Id="rId6431" Type="http://schemas.openxmlformats.org/officeDocument/2006/relationships/hyperlink" Target="https://salesxceleration.com/wp-content/uploads/2016/02/Dollarphotoclub_80668580-Outsource-Sign-RS-72.jpg" TargetMode="External"/><Relationship Id="rId5105" Type="http://schemas.openxmlformats.org/officeDocument/2006/relationships/hyperlink" Target="https://salesxceleration.com/wp-content/uploads/2017/07/Sales-Success-Buyer-Wants-2048x2048.jpg" TargetMode="External"/><Relationship Id="rId6436" Type="http://schemas.openxmlformats.org/officeDocument/2006/relationships/hyperlink" Target="https://salesxceleration.com/wp-content/themes/salesxceleratione/assets/css/style.css?ver=1769123674" TargetMode="External"/><Relationship Id="rId5106" Type="http://schemas.openxmlformats.org/officeDocument/2006/relationships/hyperlink" Target="https://salesxceleration.com/wp-content/uploads/2020/02/SX-Effective_Sales_Vision_Statement.jpg" TargetMode="External"/><Relationship Id="rId6437" Type="http://schemas.openxmlformats.org/officeDocument/2006/relationships/hyperlink" Target="https://salesxceleration.com/wp-content/uploads/2019/07/2019-07-16_123451.jpg" TargetMode="External"/><Relationship Id="rId5103" Type="http://schemas.openxmlformats.org/officeDocument/2006/relationships/hyperlink" Target="https://salesxceleration.com/wp-content/themes/salesxceleratione/assets/css/style.css?ver=1769123611" TargetMode="External"/><Relationship Id="rId6434" Type="http://schemas.openxmlformats.org/officeDocument/2006/relationships/hyperlink" Target="https://salesxceleration.com/wp-content/uploads/2019/08/shutterstock_1009393072.jpg" TargetMode="External"/><Relationship Id="rId5104" Type="http://schemas.openxmlformats.org/officeDocument/2006/relationships/hyperlink" Target="https://salesxceleration.com/wp-content/uploads/2017/07/Sales-Success-Buyer-Wants-2048x2048.jpg" TargetMode="External"/><Relationship Id="rId6435" Type="http://schemas.openxmlformats.org/officeDocument/2006/relationships/hyperlink" Target="https://salesxceleration.com/wp-content/themes/salesxceleratione/assets/css/style.css?ver=1769123674" TargetMode="External"/><Relationship Id="rId2940" Type="http://schemas.openxmlformats.org/officeDocument/2006/relationships/hyperlink" Target="https://salesxceleration.com/wp-content/uploads/elementor/css/post-14112.css?ver=1768877000" TargetMode="External"/><Relationship Id="rId1610" Type="http://schemas.openxmlformats.org/officeDocument/2006/relationships/hyperlink" Target="https://salesxceleration.com/infographics/top-sales-drivers-to-implement-for-sales-success/" TargetMode="External"/><Relationship Id="rId2941" Type="http://schemas.openxmlformats.org/officeDocument/2006/relationships/hyperlink" Target="https://salesxceleration.com/wp-content/uploads/2019/05/2019-05-28_152123.jpg" TargetMode="External"/><Relationship Id="rId1611" Type="http://schemas.openxmlformats.org/officeDocument/2006/relationships/hyperlink" Target="https://salesxceleration.com/?download=68073" TargetMode="External"/><Relationship Id="rId2942" Type="http://schemas.openxmlformats.org/officeDocument/2006/relationships/hyperlink" Target="https://salesxceleration.com/wp-content/uploads/2019/05/2019-05-28_152123.jpg" TargetMode="External"/><Relationship Id="rId1612" Type="http://schemas.openxmlformats.org/officeDocument/2006/relationships/hyperlink" Target="https://salesxceleration.com/infographics/top-sales-drivers-to-implement-for-sales-success/" TargetMode="External"/><Relationship Id="rId2943" Type="http://schemas.openxmlformats.org/officeDocument/2006/relationships/hyperlink" Target="https://salesxceleration.com/wp-content/uploads/elementor/css/post-18605.css?ver=1768862528" TargetMode="External"/><Relationship Id="rId1613" Type="http://schemas.openxmlformats.org/officeDocument/2006/relationships/hyperlink" Target="https://salesxceleration.com/wp-content/uploads/2025/02/Implementing-a-Sales-Data-Analytics-Strategy-1-768x994.jpg" TargetMode="External"/><Relationship Id="rId2944" Type="http://schemas.openxmlformats.org/officeDocument/2006/relationships/hyperlink" Target="https://salesxceleration.com/wp-content/uploads/elementor/css/post-18605.css?ver=1768862528" TargetMode="External"/><Relationship Id="rId1614" Type="http://schemas.openxmlformats.org/officeDocument/2006/relationships/hyperlink" Target="https://salesxceleration.com/wp-content/uploads/2025/02/Implementing-a-Sales-Data-Analytics-Strategy-1-768x994.jpg" TargetMode="External"/><Relationship Id="rId2945" Type="http://schemas.openxmlformats.org/officeDocument/2006/relationships/hyperlink" Target="https://salesxceleration.com/wp-content/themes/salesxceleratione/assets/css/style.css?ver=1769123454" TargetMode="External"/><Relationship Id="rId1615" Type="http://schemas.openxmlformats.org/officeDocument/2006/relationships/hyperlink" Target="https://salesxceleration.com/infographics/building-a-sales-pipeline-with-ai/" TargetMode="External"/><Relationship Id="rId2946" Type="http://schemas.openxmlformats.org/officeDocument/2006/relationships/hyperlink" Target="https://salesxceleration.com/wp-content/themes/salesxceleratione/assets/css/style.css?ver=1769123454" TargetMode="External"/><Relationship Id="rId1616" Type="http://schemas.openxmlformats.org/officeDocument/2006/relationships/hyperlink" Target="https://salesxceleration.com/?download=36876" TargetMode="External"/><Relationship Id="rId2947" Type="http://schemas.openxmlformats.org/officeDocument/2006/relationships/hyperlink" Target="https://salesxceleration.com/wp-content/uploads/elementor/css/post-16266.css?ver=1768940139" TargetMode="External"/><Relationship Id="rId907" Type="http://schemas.openxmlformats.org/officeDocument/2006/relationships/hyperlink" Target="https://salesxceleration.com/cdn-cgi/l/email-protection" TargetMode="External"/><Relationship Id="rId1617" Type="http://schemas.openxmlformats.org/officeDocument/2006/relationships/hyperlink" Target="https://salesxceleration.com/infographics/building-a-sales-pipeline-with-ai/" TargetMode="External"/><Relationship Id="rId2948" Type="http://schemas.openxmlformats.org/officeDocument/2006/relationships/hyperlink" Target="https://salesxceleration.com/wp-content/uploads/elementor/css/post-16266.css?ver=1768940139" TargetMode="External"/><Relationship Id="rId906" Type="http://schemas.openxmlformats.org/officeDocument/2006/relationships/hyperlink" Target="https://salesxceleration.com/cdn-cgi/l/email-protection" TargetMode="External"/><Relationship Id="rId1618" Type="http://schemas.openxmlformats.org/officeDocument/2006/relationships/hyperlink" Target="https://salesxceleration.com/wp-content/uploads/2025/03/How-to-Leverage-AI-to-Optimize-B2B-Lead-Generation-1-768x994.jpg" TargetMode="External"/><Relationship Id="rId2949" Type="http://schemas.openxmlformats.org/officeDocument/2006/relationships/hyperlink" Target="https://salesxceleration.com/wp-content/uploads/elementor/css/post-18128.css?ver=1768948834" TargetMode="External"/><Relationship Id="rId905" Type="http://schemas.openxmlformats.org/officeDocument/2006/relationships/hyperlink" Target="https://salesxceleration.com/wp-content/uploads/2022/04/Wilson-Scott-275x275-1-225x225.jpg" TargetMode="External"/><Relationship Id="rId1619" Type="http://schemas.openxmlformats.org/officeDocument/2006/relationships/hyperlink" Target="https://salesxceleration.com/wp-content/uploads/2025/03/How-to-Leverage-AI-to-Optimize-B2B-Lead-Generation-1-768x994.jpg" TargetMode="External"/><Relationship Id="rId904" Type="http://schemas.openxmlformats.org/officeDocument/2006/relationships/hyperlink" Target="https://salesxceleration.com/wp-content/uploads/2022/04/Wilson-Scott-275x275-1-225x225.jpg" TargetMode="External"/><Relationship Id="rId909" Type="http://schemas.openxmlformats.org/officeDocument/2006/relationships/hyperlink" Target="https://salesxceleration.com/wp-content/uploads/2022/04/McIntyre-Pat-275x275-1-225x225.jpg" TargetMode="External"/><Relationship Id="rId908" Type="http://schemas.openxmlformats.org/officeDocument/2006/relationships/hyperlink" Target="https://salesxceleration.com/wp-content/uploads/2022/04/McIntyre-Pat-275x275-1-225x225.jpg" TargetMode="External"/><Relationship Id="rId903" Type="http://schemas.openxmlformats.org/officeDocument/2006/relationships/hyperlink" Target="https://salesxceleration.com/wp-content/uploads/2025/04/Parsonson_Dominic-225x225.jpg" TargetMode="External"/><Relationship Id="rId902" Type="http://schemas.openxmlformats.org/officeDocument/2006/relationships/hyperlink" Target="https://salesxceleration.com/wp-content/uploads/2025/04/Parsonson_Dominic-225x225.jpg" TargetMode="External"/><Relationship Id="rId901" Type="http://schemas.openxmlformats.org/officeDocument/2006/relationships/hyperlink" Target="https://salesxceleration.com/wp-content/uploads/2024/08/Thompson_Daniel-225x225.jpg" TargetMode="External"/><Relationship Id="rId900" Type="http://schemas.openxmlformats.org/officeDocument/2006/relationships/hyperlink" Target="https://salesxceleration.com/wp-content/uploads/2024/08/Thompson_Daniel-225x225.jpg" TargetMode="External"/><Relationship Id="rId2930" Type="http://schemas.openxmlformats.org/officeDocument/2006/relationships/hyperlink" Target="https://salesxceleration.com/wp-content/uploads/elementor/css/post-27168.css?ver=1768900069" TargetMode="External"/><Relationship Id="rId1600" Type="http://schemas.openxmlformats.org/officeDocument/2006/relationships/hyperlink" Target="https://salesxceleration.com/infographics/implementing-a-sales-data-analytics-strategy/" TargetMode="External"/><Relationship Id="rId2931" Type="http://schemas.openxmlformats.org/officeDocument/2006/relationships/hyperlink" Target="https://salesxceleration.com/wp-content/themes/salesxceleratione/assets/css/style.css?ver=1769123452" TargetMode="External"/><Relationship Id="rId1601" Type="http://schemas.openxmlformats.org/officeDocument/2006/relationships/hyperlink" Target="https://salesxceleration.com/infographics-cat/sales-strategy/" TargetMode="External"/><Relationship Id="rId2932" Type="http://schemas.openxmlformats.org/officeDocument/2006/relationships/hyperlink" Target="https://salesxceleration.com/wp-content/themes/salesxceleratione/assets/css/style.css?ver=1769123452" TargetMode="External"/><Relationship Id="rId1602" Type="http://schemas.openxmlformats.org/officeDocument/2006/relationships/hyperlink" Target="https://salesxceleration.com/?download=36876" TargetMode="External"/><Relationship Id="rId2933" Type="http://schemas.openxmlformats.org/officeDocument/2006/relationships/hyperlink" Target="https://salesxceleration.com/wp-content/uploads/elementor/css/post-25782.css?ver=1768862527" TargetMode="External"/><Relationship Id="rId1603" Type="http://schemas.openxmlformats.org/officeDocument/2006/relationships/hyperlink" Target="https://salesxceleration.com/infographics-cat/sales-strategy/" TargetMode="External"/><Relationship Id="rId2934" Type="http://schemas.openxmlformats.org/officeDocument/2006/relationships/hyperlink" Target="https://salesxceleration.com/wp-content/uploads/elementor/css/post-25782.css?ver=1768862527" TargetMode="External"/><Relationship Id="rId1604" Type="http://schemas.openxmlformats.org/officeDocument/2006/relationships/hyperlink" Target="https://salesxceleration.com/wp-content/uploads/2025/03/Top-Sales-Drivers-to-Implement-for-Sales-Success-1-768x976.jpg" TargetMode="External"/><Relationship Id="rId2935" Type="http://schemas.openxmlformats.org/officeDocument/2006/relationships/hyperlink" Target="https://salesxceleration.com/wp-content/uploads/elementor/css/post-25952.css?ver=1768891887" TargetMode="External"/><Relationship Id="rId1605" Type="http://schemas.openxmlformats.org/officeDocument/2006/relationships/hyperlink" Target="https://salesxceleration.com/wp-content/uploads/2025/03/Top-Sales-Drivers-to-Implement-for-Sales-Success-1-768x976.jpg" TargetMode="External"/><Relationship Id="rId2936" Type="http://schemas.openxmlformats.org/officeDocument/2006/relationships/hyperlink" Target="https://salesxceleration.com/wp-content/uploads/elementor/css/post-25952.css?ver=1768891887" TargetMode="External"/><Relationship Id="rId1606" Type="http://schemas.openxmlformats.org/officeDocument/2006/relationships/hyperlink" Target="https://salesxceleration.com/wp-content/uploads/2025/04/Sales-SWOT-Worksheet-768x994.jpg" TargetMode="External"/><Relationship Id="rId2937" Type="http://schemas.openxmlformats.org/officeDocument/2006/relationships/hyperlink" Target="https://salesxceleration.com/wp-content/themes/salesxceleratione/assets/css/style.css?ver=1769123453" TargetMode="External"/><Relationship Id="rId1607" Type="http://schemas.openxmlformats.org/officeDocument/2006/relationships/hyperlink" Target="https://salesxceleration.com/wp-content/uploads/2025/04/Sales-SWOT-Worksheet-768x994.jpg" TargetMode="External"/><Relationship Id="rId2938" Type="http://schemas.openxmlformats.org/officeDocument/2006/relationships/hyperlink" Target="https://salesxceleration.com/wp-content/themes/salesxceleratione/assets/css/style.css?ver=1769123453" TargetMode="External"/><Relationship Id="rId1608" Type="http://schemas.openxmlformats.org/officeDocument/2006/relationships/hyperlink" Target="https://salesxceleration.com/wp-content/uploads/elementor/css/post-27658.css?ver=1768846883" TargetMode="External"/><Relationship Id="rId2939" Type="http://schemas.openxmlformats.org/officeDocument/2006/relationships/hyperlink" Target="https://salesxceleration.com/wp-content/uploads/elementor/css/post-14112.css?ver=1768877000" TargetMode="External"/><Relationship Id="rId1609" Type="http://schemas.openxmlformats.org/officeDocument/2006/relationships/hyperlink" Target="https://salesxceleration.com/wp-content/uploads/elementor/css/post-27658.css?ver=1768846883" TargetMode="External"/><Relationship Id="rId1631" Type="http://schemas.openxmlformats.org/officeDocument/2006/relationships/hyperlink" Target="https://salesxceleration.com/wp-content/uploads/elementor/css/post-19907.css?ver=1768848344" TargetMode="External"/><Relationship Id="rId2962" Type="http://schemas.openxmlformats.org/officeDocument/2006/relationships/hyperlink" Target="https://salesxceleration.com/wp-content/uploads/2025/11/SAO-YT-Thumbnail-Tom-Gardner-300x169.jpg" TargetMode="External"/><Relationship Id="rId1632" Type="http://schemas.openxmlformats.org/officeDocument/2006/relationships/hyperlink" Target="https://salesxceleration.com/wp-content/uploads/2024/09/Kendall.jpeg" TargetMode="External"/><Relationship Id="rId2963" Type="http://schemas.openxmlformats.org/officeDocument/2006/relationships/hyperlink" Target="https://salesxceleration.com/books/ai-sales-integration/" TargetMode="External"/><Relationship Id="rId1633" Type="http://schemas.openxmlformats.org/officeDocument/2006/relationships/hyperlink" Target="https://salesxceleration.com/wp-content/uploads/2024/09/Kendall.jpeg" TargetMode="External"/><Relationship Id="rId2964" Type="http://schemas.openxmlformats.org/officeDocument/2006/relationships/hyperlink" Target="https://salesxceleration.com/books/ai-sales-integration/" TargetMode="External"/><Relationship Id="rId1634" Type="http://schemas.openxmlformats.org/officeDocument/2006/relationships/hyperlink" Target="https://salesxceleration.com/wp-content/uploads/2024/09/Michael-Nolan.jpg" TargetMode="External"/><Relationship Id="rId2965" Type="http://schemas.openxmlformats.org/officeDocument/2006/relationships/hyperlink" Target="https://salesxceleration.com/books/ai-sales-integration/" TargetMode="External"/><Relationship Id="rId1635" Type="http://schemas.openxmlformats.org/officeDocument/2006/relationships/hyperlink" Target="https://salesxceleration.com/wp-content/uploads/2024/09/Michael-Nolan.jpg" TargetMode="External"/><Relationship Id="rId2966" Type="http://schemas.openxmlformats.org/officeDocument/2006/relationships/hyperlink" Target="https://salesxceleration.com/wp-content/uploads/2025/01/Streamlining-Sales-Processes-with-AI-300x169.jpg" TargetMode="External"/><Relationship Id="rId1636" Type="http://schemas.openxmlformats.org/officeDocument/2006/relationships/hyperlink" Target="https://salesxceleration.com/wp-content/uploads/2025/06/lee-brumbaugh.jpg" TargetMode="External"/><Relationship Id="rId2967" Type="http://schemas.openxmlformats.org/officeDocument/2006/relationships/hyperlink" Target="https://salesxceleration.com/wp-content/uploads/2025/01/Streamlining-Sales-Processes-with-AI-300x169.jpg" TargetMode="External"/><Relationship Id="rId1637" Type="http://schemas.openxmlformats.org/officeDocument/2006/relationships/hyperlink" Target="https://salesxceleration.com/wp-content/uploads/2025/06/lee-brumbaugh.jpg" TargetMode="External"/><Relationship Id="rId2968" Type="http://schemas.openxmlformats.org/officeDocument/2006/relationships/hyperlink" Target="https://salesxceleration.com/wp-content/uploads/2024/06/Future-Proof-Your-Sales-300x168.jpg" TargetMode="External"/><Relationship Id="rId1638" Type="http://schemas.openxmlformats.org/officeDocument/2006/relationships/hyperlink" Target="https://salesxceleration.com/wp-content/uploads/2024/09/Alison-Palmer.jpg" TargetMode="External"/><Relationship Id="rId2969" Type="http://schemas.openxmlformats.org/officeDocument/2006/relationships/hyperlink" Target="https://salesxceleration.com/wp-content/uploads/2024/06/Future-Proof-Your-Sales-300x168.jpg" TargetMode="External"/><Relationship Id="rId929" Type="http://schemas.openxmlformats.org/officeDocument/2006/relationships/hyperlink" Target="https://salesxceleration.com/wp-content/uploads/2022/04/LaHonta-Keith-275x275-1-225x225.jpg" TargetMode="External"/><Relationship Id="rId1639" Type="http://schemas.openxmlformats.org/officeDocument/2006/relationships/hyperlink" Target="https://salesxceleration.com/wp-content/uploads/2024/09/Alison-Palmer.jpg" TargetMode="External"/><Relationship Id="rId928" Type="http://schemas.openxmlformats.org/officeDocument/2006/relationships/hyperlink" Target="https://salesxceleration.com/wp-content/uploads/2022/04/LaHonta-Keith-275x275-1-225x225.jpg" TargetMode="External"/><Relationship Id="rId927" Type="http://schemas.openxmlformats.org/officeDocument/2006/relationships/hyperlink" Target="https://salesxceleration.com/wp-content/uploads/2022/04/Clair-Jeff-275x275-1-225x225.jpg" TargetMode="External"/><Relationship Id="rId926" Type="http://schemas.openxmlformats.org/officeDocument/2006/relationships/hyperlink" Target="https://salesxceleration.com/wp-content/uploads/2022/04/Clair-Jeff-275x275-1-225x225.jpg" TargetMode="External"/><Relationship Id="rId921" Type="http://schemas.openxmlformats.org/officeDocument/2006/relationships/hyperlink" Target="https://salesxceleration.com/wp-content/uploads/2022/04/LaBudde-Dave-225x225.jpg" TargetMode="External"/><Relationship Id="rId920" Type="http://schemas.openxmlformats.org/officeDocument/2006/relationships/hyperlink" Target="https://salesxceleration.com/wp-content/uploads/2022/04/LaBudde-Dave-225x225.jpg" TargetMode="External"/><Relationship Id="rId925" Type="http://schemas.openxmlformats.org/officeDocument/2006/relationships/hyperlink" Target="https://salesxceleration.com/wp-content/uploads/2024/12/Besse_Bob-225x225.jpg" TargetMode="External"/><Relationship Id="rId924" Type="http://schemas.openxmlformats.org/officeDocument/2006/relationships/hyperlink" Target="https://salesxceleration.com/wp-content/uploads/2024/12/Besse_Bob-225x225.jpg" TargetMode="External"/><Relationship Id="rId923" Type="http://schemas.openxmlformats.org/officeDocument/2006/relationships/hyperlink" Target="https://salesxceleration.com/wp-content/uploads/2017/01/Gardner_Tom2-225x225.jpg" TargetMode="External"/><Relationship Id="rId922" Type="http://schemas.openxmlformats.org/officeDocument/2006/relationships/hyperlink" Target="https://salesxceleration.com/wp-content/uploads/2017/01/Gardner_Tom2-225x225.jpg" TargetMode="External"/><Relationship Id="rId2960" Type="http://schemas.openxmlformats.org/officeDocument/2006/relationships/hyperlink" Target="https://salesxceleration.com/wp-content/themes/salesxceleratione/assets/css/style.css?ver=1769123459" TargetMode="External"/><Relationship Id="rId1630" Type="http://schemas.openxmlformats.org/officeDocument/2006/relationships/hyperlink" Target="https://salesxceleration.com/wp-content/uploads/elementor/css/post-19907.css?ver=1768848344" TargetMode="External"/><Relationship Id="rId2961" Type="http://schemas.openxmlformats.org/officeDocument/2006/relationships/hyperlink" Target="https://salesxceleration.com/wp-content/uploads/2025/11/SAO-YT-Thumbnail-Tom-Gardner-300x169.jpg" TargetMode="External"/><Relationship Id="rId1620" Type="http://schemas.openxmlformats.org/officeDocument/2006/relationships/hyperlink" Target="https://salesxceleration.com/infographics/the-ai-security-playbook-6-essentials-every-sales-organization-needs/" TargetMode="External"/><Relationship Id="rId2951" Type="http://schemas.openxmlformats.org/officeDocument/2006/relationships/hyperlink" Target="https://salesxceleration.com/wp-content/uploads/2022/02/eBook-How-to-Recruit-Hire-and-Onboard-Top-Sales-Performers-791x1024.jpg" TargetMode="External"/><Relationship Id="rId1621" Type="http://schemas.openxmlformats.org/officeDocument/2006/relationships/hyperlink" Target="https://salesxceleration.com/?download=70147" TargetMode="External"/><Relationship Id="rId2952" Type="http://schemas.openxmlformats.org/officeDocument/2006/relationships/hyperlink" Target="https://salesxceleration.com/wp-content/uploads/2022/02/eBook-How-to-Recruit-Hire-and-Onboard-Top-Sales-Performers-791x1024.jpg" TargetMode="External"/><Relationship Id="rId1622" Type="http://schemas.openxmlformats.org/officeDocument/2006/relationships/hyperlink" Target="https://salesxceleration.com/infographics/the-ai-security-playbook-6-essentials-every-sales-organization-needs/" TargetMode="External"/><Relationship Id="rId2953" Type="http://schemas.openxmlformats.org/officeDocument/2006/relationships/hyperlink" Target="https://salesxceleration.com/wp-content/uploads/elementor/css/post-36575.css?ver=1768862542" TargetMode="External"/><Relationship Id="rId1623" Type="http://schemas.openxmlformats.org/officeDocument/2006/relationships/hyperlink" Target="https://salesxceleration.com/infographics/sales-swot-worksheet/" TargetMode="External"/><Relationship Id="rId2954" Type="http://schemas.openxmlformats.org/officeDocument/2006/relationships/hyperlink" Target="https://salesxceleration.com/wp-content/uploads/elementor/css/post-36575.css?ver=1768862542" TargetMode="External"/><Relationship Id="rId1624" Type="http://schemas.openxmlformats.org/officeDocument/2006/relationships/hyperlink" Target="https://salesxceleration.com/?download=68883" TargetMode="External"/><Relationship Id="rId2955" Type="http://schemas.openxmlformats.org/officeDocument/2006/relationships/hyperlink" Target="https://salesxceleration.com/wp-content/uploads/elementor/css/post-61699.css?ver=1768900712" TargetMode="External"/><Relationship Id="rId1625" Type="http://schemas.openxmlformats.org/officeDocument/2006/relationships/hyperlink" Target="https://salesxceleration.com/infographics/sales-swot-worksheet/" TargetMode="External"/><Relationship Id="rId2956" Type="http://schemas.openxmlformats.org/officeDocument/2006/relationships/hyperlink" Target="https://salesxceleration.com/wp-content/uploads/elementor/css/post-61699.css?ver=1768900712" TargetMode="External"/><Relationship Id="rId1626" Type="http://schemas.openxmlformats.org/officeDocument/2006/relationships/hyperlink" Target="https://salesxceleration.com/wp-content/uploads/2024/09/Maura-Kautsky.jpg" TargetMode="External"/><Relationship Id="rId2957" Type="http://schemas.openxmlformats.org/officeDocument/2006/relationships/hyperlink" Target="https://salesxceleration.com/wp-content/uploads/2025/07/AI-for-Sales-Without-Security-Risk.jpg" TargetMode="External"/><Relationship Id="rId1627" Type="http://schemas.openxmlformats.org/officeDocument/2006/relationships/hyperlink" Target="https://salesxceleration.com/wp-content/uploads/2024/09/Maura-Kautsky.jpg" TargetMode="External"/><Relationship Id="rId2958" Type="http://schemas.openxmlformats.org/officeDocument/2006/relationships/hyperlink" Target="https://salesxceleration.com/wp-content/uploads/2025/07/AI-for-Sales-Without-Security-Risk.jpg" TargetMode="External"/><Relationship Id="rId918" Type="http://schemas.openxmlformats.org/officeDocument/2006/relationships/hyperlink" Target="https://salesxceleration.com/wp-content/uploads/2022/04/Cariglia-Bob-275x275-1-225x225.jpg" TargetMode="External"/><Relationship Id="rId1628" Type="http://schemas.openxmlformats.org/officeDocument/2006/relationships/hyperlink" Target="https://salesxceleration.com/wp-content/uploads/2024/09/Daniel-Steyn.jpg" TargetMode="External"/><Relationship Id="rId2959" Type="http://schemas.openxmlformats.org/officeDocument/2006/relationships/hyperlink" Target="https://salesxceleration.com/wp-content/themes/salesxceleratione/assets/css/style.css?ver=1769123459" TargetMode="External"/><Relationship Id="rId917" Type="http://schemas.openxmlformats.org/officeDocument/2006/relationships/hyperlink" Target="https://salesxceleration.com/wp-content/uploads/2022/04/Brumbaugh-Lee-225x225.jpg" TargetMode="External"/><Relationship Id="rId1629" Type="http://schemas.openxmlformats.org/officeDocument/2006/relationships/hyperlink" Target="https://salesxceleration.com/wp-content/uploads/2024/09/Daniel-Steyn.jpg" TargetMode="External"/><Relationship Id="rId916" Type="http://schemas.openxmlformats.org/officeDocument/2006/relationships/hyperlink" Target="https://salesxceleration.com/wp-content/uploads/2022/04/Brumbaugh-Lee-225x225.jpg" TargetMode="External"/><Relationship Id="rId915" Type="http://schemas.openxmlformats.org/officeDocument/2006/relationships/hyperlink" Target="https://salesxceleration.com/wp-content/uploads/2024/08/Lubic_Dan-225x225.jpg" TargetMode="External"/><Relationship Id="rId919" Type="http://schemas.openxmlformats.org/officeDocument/2006/relationships/hyperlink" Target="https://salesxceleration.com/wp-content/uploads/2022/04/Cariglia-Bob-275x275-1-225x225.jpg" TargetMode="External"/><Relationship Id="rId910" Type="http://schemas.openxmlformats.org/officeDocument/2006/relationships/hyperlink" Target="https://salesxceleration.com/wp-content/uploads/2025/08/Delahoz_Luis-225x225.jpg" TargetMode="External"/><Relationship Id="rId914" Type="http://schemas.openxmlformats.org/officeDocument/2006/relationships/hyperlink" Target="https://salesxceleration.com/wp-content/uploads/2024/08/Lubic_Dan-225x225.jpg" TargetMode="External"/><Relationship Id="rId913" Type="http://schemas.openxmlformats.org/officeDocument/2006/relationships/hyperlink" Target="https://salesxceleration.com/wp-content/uploads/2024/04/Harvey_Bob-225x225.jpg" TargetMode="External"/><Relationship Id="rId912" Type="http://schemas.openxmlformats.org/officeDocument/2006/relationships/hyperlink" Target="https://salesxceleration.com/wp-content/uploads/2024/04/Harvey_Bob-225x225.jpg" TargetMode="External"/><Relationship Id="rId911" Type="http://schemas.openxmlformats.org/officeDocument/2006/relationships/hyperlink" Target="https://salesxceleration.com/wp-content/uploads/2025/08/Delahoz_Luis-225x225.jpg" TargetMode="External"/><Relationship Id="rId2950" Type="http://schemas.openxmlformats.org/officeDocument/2006/relationships/hyperlink" Target="https://salesxceleration.com/wp-content/uploads/elementor/css/post-18128.css?ver=1768948834" TargetMode="External"/><Relationship Id="rId2900" Type="http://schemas.openxmlformats.org/officeDocument/2006/relationships/hyperlink" Target="https://salesxceleration.com/no-access/download-id/70147/" TargetMode="External"/><Relationship Id="rId2901" Type="http://schemas.openxmlformats.org/officeDocument/2006/relationships/hyperlink" Target="https://salesxceleration.com/?download=70147" TargetMode="External"/><Relationship Id="rId2902" Type="http://schemas.openxmlformats.org/officeDocument/2006/relationships/hyperlink" Target="https://salesxceleration.com/?download=68073" TargetMode="External"/><Relationship Id="rId2903" Type="http://schemas.openxmlformats.org/officeDocument/2006/relationships/hyperlink" Target="https://salesxceleration.com/no-access/download-id/68073/" TargetMode="External"/><Relationship Id="rId2904" Type="http://schemas.openxmlformats.org/officeDocument/2006/relationships/hyperlink" Target="https://salesxceleration.com/?download=68073" TargetMode="External"/><Relationship Id="rId2905" Type="http://schemas.openxmlformats.org/officeDocument/2006/relationships/hyperlink" Target="https://salesxceleration.com/wp-content/themes/salesxceleratione/assets/css/style.css?ver=1769123450" TargetMode="External"/><Relationship Id="rId2906" Type="http://schemas.openxmlformats.org/officeDocument/2006/relationships/hyperlink" Target="https://salesxceleration.com/wp-content/themes/salesxceleratione/assets/css/style.css?ver=1769123450" TargetMode="External"/><Relationship Id="rId2907" Type="http://schemas.openxmlformats.org/officeDocument/2006/relationships/hyperlink" Target="https://salesxceleration.com/wp-content/uploads/elementor/css/post-69537.css?ver=1768862554" TargetMode="External"/><Relationship Id="rId2908" Type="http://schemas.openxmlformats.org/officeDocument/2006/relationships/hyperlink" Target="https://salesxceleration.com/wp-content/uploads/elementor/css/post-69537.css?ver=1768862554" TargetMode="External"/><Relationship Id="rId2909" Type="http://schemas.openxmlformats.org/officeDocument/2006/relationships/hyperlink" Target="https://salesxceleration.com/wp-content/themes/salesxceleratione/assets/css/style.css?ver=1769123451" TargetMode="External"/><Relationship Id="rId5170" Type="http://schemas.openxmlformats.org/officeDocument/2006/relationships/hyperlink" Target="https://salesxceleration.com/wp-content/uploads/2023/01/Business-Manager-300x200.jpg" TargetMode="External"/><Relationship Id="rId5171" Type="http://schemas.openxmlformats.org/officeDocument/2006/relationships/hyperlink" Target="https://salesxceleration.com/wp-content/uploads/2023/01/Business-Manager-300x200.jpg" TargetMode="External"/><Relationship Id="rId5174" Type="http://schemas.openxmlformats.org/officeDocument/2006/relationships/hyperlink" Target="https://salesxceleration.com/why-variable-compensation-is-the-key-to-a-successful-sales-team-and-how-to-do-it-right/" TargetMode="External"/><Relationship Id="rId5175" Type="http://schemas.openxmlformats.org/officeDocument/2006/relationships/hyperlink" Target="https://salesxceleration.com/why-variable-compensation-is-the-key-to-a-successful-sales-team-and-how-to-do-it-right/" TargetMode="External"/><Relationship Id="rId5172" Type="http://schemas.openxmlformats.org/officeDocument/2006/relationships/hyperlink" Target="https://salesxceleration.com/wp-content/uploads/2022/05/thumb-Case-Study_Construction_SX-1-768x406.jpg" TargetMode="External"/><Relationship Id="rId5173" Type="http://schemas.openxmlformats.org/officeDocument/2006/relationships/hyperlink" Target="https://salesxceleration.com/wp-content/uploads/2022/05/thumb-Case-Study_Construction_SX-1-768x406.jpg" TargetMode="External"/><Relationship Id="rId5178" Type="http://schemas.openxmlformats.org/officeDocument/2006/relationships/hyperlink" Target="https://salesxceleration.com/wp-content/uploads/2022/05/thumb-Case-Study_Construction-Paving_SX-1-768x406.jpg" TargetMode="External"/><Relationship Id="rId5179" Type="http://schemas.openxmlformats.org/officeDocument/2006/relationships/hyperlink" Target="https://salesxceleration.com/wp-content/uploads/2023/07/Meeting-with-sales-team-300x200.jpg" TargetMode="External"/><Relationship Id="rId5176" Type="http://schemas.openxmlformats.org/officeDocument/2006/relationships/hyperlink" Target="https://salesxceleration.com/why-variable-compensation-is-the-key-to-a-successful-sales-team-and-how-to-do-it-right/" TargetMode="External"/><Relationship Id="rId5177" Type="http://schemas.openxmlformats.org/officeDocument/2006/relationships/hyperlink" Target="https://salesxceleration.com/wp-content/uploads/2022/05/thumb-Case-Study_Construction-Paving_SX-1-768x406.jpg" TargetMode="External"/><Relationship Id="rId6490" Type="http://schemas.openxmlformats.org/officeDocument/2006/relationships/hyperlink" Target="https://salesxceleration.com/hiring-skills-assessment" TargetMode="External"/><Relationship Id="rId5160" Type="http://schemas.openxmlformats.org/officeDocument/2006/relationships/hyperlink" Target="https://salesxceleration.com/achieving-sales-excellence-developing-a-compelling-value-proposition/" TargetMode="External"/><Relationship Id="rId6491" Type="http://schemas.openxmlformats.org/officeDocument/2006/relationships/hyperlink" Target="https://www.amplifyrecruiting.com/hiring-skills-assessment/" TargetMode="External"/><Relationship Id="rId5163" Type="http://schemas.openxmlformats.org/officeDocument/2006/relationships/hyperlink" Target="https://salesxceleration.com/wp-content/uploads/2022/03/Case-Study_Professional-Services_JL_SX-1-thumb-768x406.jpg" TargetMode="External"/><Relationship Id="rId6494" Type="http://schemas.openxmlformats.org/officeDocument/2006/relationships/hyperlink" Target="https://salesxceleration.com/wp-content/themes/salesxceleratione/assets/css/style.css?ver=1769123781" TargetMode="External"/><Relationship Id="rId5164" Type="http://schemas.openxmlformats.org/officeDocument/2006/relationships/hyperlink" Target="https://salesxceleration.com/wp-content/uploads/2022/03/Case-Study_Professional-Services_JL_SX-1-thumb-768x406.jpg" TargetMode="External"/><Relationship Id="rId6495" Type="http://schemas.openxmlformats.org/officeDocument/2006/relationships/hyperlink" Target="https://salesxceleration.com/wp-content/themes/salesxceleratione/assets/css/style.css?ver=1769123779" TargetMode="External"/><Relationship Id="rId5161" Type="http://schemas.openxmlformats.org/officeDocument/2006/relationships/hyperlink" Target="https://salesxceleration.com/wp-content/uploads/2023/03/CRM-300x218.jpg" TargetMode="External"/><Relationship Id="rId6492" Type="http://schemas.openxmlformats.org/officeDocument/2006/relationships/hyperlink" Target="https://salesxceleration.com/hiring-skills-assessment" TargetMode="External"/><Relationship Id="rId5162" Type="http://schemas.openxmlformats.org/officeDocument/2006/relationships/hyperlink" Target="https://salesxceleration.com/wp-content/uploads/2023/03/CRM-300x218.jpg" TargetMode="External"/><Relationship Id="rId6493" Type="http://schemas.openxmlformats.org/officeDocument/2006/relationships/hyperlink" Target="https://salesxceleration.com/wp-content/themes/salesxceleratione/assets/css/style.css?ver=1769123781" TargetMode="External"/><Relationship Id="rId5167" Type="http://schemas.openxmlformats.org/officeDocument/2006/relationships/hyperlink" Target="https://salesxceleration.com/sales-agility-assessment/?locationid=22577447" TargetMode="External"/><Relationship Id="rId6498" Type="http://schemas.openxmlformats.org/officeDocument/2006/relationships/hyperlink" Target="https://salesxceleration.com/wp-content/uploads/elementor/css/post-21363.css?ver=1768849823" TargetMode="External"/><Relationship Id="rId5168" Type="http://schemas.openxmlformats.org/officeDocument/2006/relationships/hyperlink" Target="https://salesxceleration.com/sales-agility-assessment/" TargetMode="External"/><Relationship Id="rId6499" Type="http://schemas.openxmlformats.org/officeDocument/2006/relationships/hyperlink" Target="https://salesxceleration.com/fueling-sales-by-building-the-best-sales-engine-part-1" TargetMode="External"/><Relationship Id="rId5165" Type="http://schemas.openxmlformats.org/officeDocument/2006/relationships/hyperlink" Target="https://salesxceleration.com/wp-content/uploads/2020/09/cs-hvac-full-1-768x439.jpg" TargetMode="External"/><Relationship Id="rId6496" Type="http://schemas.openxmlformats.org/officeDocument/2006/relationships/hyperlink" Target="https://salesxceleration.com/wp-content/themes/salesxceleratione/assets/css/style.css?ver=1769123779" TargetMode="External"/><Relationship Id="rId5166" Type="http://schemas.openxmlformats.org/officeDocument/2006/relationships/hyperlink" Target="https://salesxceleration.com/wp-content/uploads/2020/09/cs-hvac-full-1-768x439.jpg" TargetMode="External"/><Relationship Id="rId6497" Type="http://schemas.openxmlformats.org/officeDocument/2006/relationships/hyperlink" Target="https://salesxceleration.com/wp-content/uploads/elementor/css/post-21363.css?ver=1768849823" TargetMode="External"/><Relationship Id="rId5169" Type="http://schemas.openxmlformats.org/officeDocument/2006/relationships/hyperlink" Target="https://salesxceleration.com/sales-agility-assessment/?locationid=22577447" TargetMode="External"/><Relationship Id="rId2920" Type="http://schemas.openxmlformats.org/officeDocument/2006/relationships/hyperlink" Target="https://salesxceleration.com/wp-content/uploads/2019/10/hvac-thumbnail-2048x2048.jpg" TargetMode="External"/><Relationship Id="rId2921" Type="http://schemas.openxmlformats.org/officeDocument/2006/relationships/hyperlink" Target="https://salesxceleration.com/wp-content/uploads/2025/07/Driving-25-Higher-Topline-Revenue-for-a-Compostable-Packaging-Company.pdf" TargetMode="External"/><Relationship Id="rId2922" Type="http://schemas.openxmlformats.org/officeDocument/2006/relationships/hyperlink" Target="https://salesxceleration.com/wp-content/uploads/2025/07/Driving-25-Higher-Topline-Revenue-for-a-Compostable-Packaging-Company.pdf" TargetMode="External"/><Relationship Id="rId2923" Type="http://schemas.openxmlformats.org/officeDocument/2006/relationships/hyperlink" Target="https://salesxceleration.com/wp-content/uploads/2024/09/Plastic-Manufacturing-22-Sales-Growth-Achieved-with-Expert-Sales-Leadership.pdf" TargetMode="External"/><Relationship Id="rId2924" Type="http://schemas.openxmlformats.org/officeDocument/2006/relationships/hyperlink" Target="https://salesxceleration.com/wp-content/uploads/2024/09/Plastic-Manufacturing-22-Sales-Growth-Achieved-with-Expert-Sales-Leadership.pdf" TargetMode="External"/><Relationship Id="rId2925" Type="http://schemas.openxmlformats.org/officeDocument/2006/relationships/hyperlink" Target="https://salesxceleration.com/wp-content/uploads/elementor/css/post-52976.css?ver=1768862545" TargetMode="External"/><Relationship Id="rId2926" Type="http://schemas.openxmlformats.org/officeDocument/2006/relationships/hyperlink" Target="https://salesxceleration.com/wp-content/uploads/elementor/css/post-52976.css?ver=1768862545" TargetMode="External"/><Relationship Id="rId2927" Type="http://schemas.openxmlformats.org/officeDocument/2006/relationships/hyperlink" Target="https://salesxceleration.com/wp-content/uploads/2023/02/Solving-Gaps-in-Sales-Infrastructure-and-Processes.pdf" TargetMode="External"/><Relationship Id="rId2928" Type="http://schemas.openxmlformats.org/officeDocument/2006/relationships/hyperlink" Target="https://salesxceleration.com/wp-content/uploads/2023/02/Solving-Gaps-in-Sales-Infrastructure-and-Processes.pdf" TargetMode="External"/><Relationship Id="rId2929" Type="http://schemas.openxmlformats.org/officeDocument/2006/relationships/hyperlink" Target="https://salesxceleration.com/wp-content/uploads/elementor/css/post-27168.css?ver=1768900069" TargetMode="External"/><Relationship Id="rId5192" Type="http://schemas.openxmlformats.org/officeDocument/2006/relationships/hyperlink" Target="https://salesxceleration.com/7-things-to-measure-to-evaluate-sales-representative-performance/" TargetMode="External"/><Relationship Id="rId5193" Type="http://schemas.openxmlformats.org/officeDocument/2006/relationships/hyperlink" Target="https://salesxceleration.com/7-things-to-measure-to-evaluate-sales-representative-performance/" TargetMode="External"/><Relationship Id="rId5190" Type="http://schemas.openxmlformats.org/officeDocument/2006/relationships/hyperlink" Target="https://salesxceleration.com/wp-content/uploads/2019/03/Case_Study_Manufacturing-thumb-768x440.jpg" TargetMode="External"/><Relationship Id="rId5191" Type="http://schemas.openxmlformats.org/officeDocument/2006/relationships/hyperlink" Target="https://salesxceleration.com/wp-content/uploads/2019/03/Case_Study_Manufacturing-thumb-768x440.jpg" TargetMode="External"/><Relationship Id="rId5196" Type="http://schemas.openxmlformats.org/officeDocument/2006/relationships/hyperlink" Target="https://salesxceleration.com/wp-content/uploads/2022/06/thumb-Case-Study_Security_SX-1-768x406.jpg" TargetMode="External"/><Relationship Id="rId5197" Type="http://schemas.openxmlformats.org/officeDocument/2006/relationships/hyperlink" Target="https://salesxceleration.com/wp-content/uploads/2019/01/shutterstock_727711573-resized-300x200.jpg" TargetMode="External"/><Relationship Id="rId5194" Type="http://schemas.openxmlformats.org/officeDocument/2006/relationships/hyperlink" Target="https://salesxceleration.com/7-things-to-measure-to-evaluate-sales-representative-performance/" TargetMode="External"/><Relationship Id="rId5195" Type="http://schemas.openxmlformats.org/officeDocument/2006/relationships/hyperlink" Target="https://salesxceleration.com/wp-content/uploads/2022/06/thumb-Case-Study_Security_SX-1-768x406.jpg" TargetMode="External"/><Relationship Id="rId5198" Type="http://schemas.openxmlformats.org/officeDocument/2006/relationships/hyperlink" Target="https://salesxceleration.com/wp-content/uploads/2019/01/shutterstock_727711573-resized-300x200.jpg" TargetMode="External"/><Relationship Id="rId5199" Type="http://schemas.openxmlformats.org/officeDocument/2006/relationships/hyperlink" Target="https://salesxceleration.com/wp-content/uploads/2020/09/cs-distrib-full-1-768x439.jpg" TargetMode="External"/><Relationship Id="rId2910" Type="http://schemas.openxmlformats.org/officeDocument/2006/relationships/hyperlink" Target="https://salesxceleration.com/wp-content/themes/salesxceleratione/assets/css/style.css?ver=1769123451" TargetMode="External"/><Relationship Id="rId2911" Type="http://schemas.openxmlformats.org/officeDocument/2006/relationships/hyperlink" Target="https://salesxceleration.com/wp-content/uploads/2025/07/Driving-25-Higher-Topline-Revenue-for-a-Compostable-Packaging-Company.jpg" TargetMode="External"/><Relationship Id="rId2912" Type="http://schemas.openxmlformats.org/officeDocument/2006/relationships/hyperlink" Target="https://salesxceleration.com/wp-content/uploads/2025/07/Driving-25-Higher-Topline-Revenue-for-a-Compostable-Packaging-Company.jpg" TargetMode="External"/><Relationship Id="rId2913" Type="http://schemas.openxmlformats.org/officeDocument/2006/relationships/hyperlink" Target="https://salesxceleration.com/wp-content/uploads/2019/11/retail-thumb-2048x2048.jpg" TargetMode="External"/><Relationship Id="rId2914" Type="http://schemas.openxmlformats.org/officeDocument/2006/relationships/hyperlink" Target="https://salesxceleration.com/wp-content/uploads/2019/11/retail-thumb-2048x2048.jpg" TargetMode="External"/><Relationship Id="rId2915" Type="http://schemas.openxmlformats.org/officeDocument/2006/relationships/hyperlink" Target="https://salesxceleration.com/wp-content/uploads/2020/02/foodagthumb-2048x2048.jpg" TargetMode="External"/><Relationship Id="rId2916" Type="http://schemas.openxmlformats.org/officeDocument/2006/relationships/hyperlink" Target="https://salesxceleration.com/wp-content/uploads/2020/02/foodagthumb-2048x2048.jpg" TargetMode="External"/><Relationship Id="rId2917" Type="http://schemas.openxmlformats.org/officeDocument/2006/relationships/hyperlink" Target="https://salesxceleration.com/wp-content/uploads/2019/07/cs-finance-2048x2048.jpg" TargetMode="External"/><Relationship Id="rId2918" Type="http://schemas.openxmlformats.org/officeDocument/2006/relationships/hyperlink" Target="https://salesxceleration.com/wp-content/uploads/2019/07/cs-finance-2048x2048.jpg" TargetMode="External"/><Relationship Id="rId2919" Type="http://schemas.openxmlformats.org/officeDocument/2006/relationships/hyperlink" Target="https://salesxceleration.com/wp-content/uploads/2019/10/hvac-thumbnail-2048x2048.jpg" TargetMode="External"/><Relationship Id="rId5181" Type="http://schemas.openxmlformats.org/officeDocument/2006/relationships/hyperlink" Target="https://salesxceleration.com/wp-content/uploads/2019/12/streamline-manu-thumb-768x442.jpg" TargetMode="External"/><Relationship Id="rId5182" Type="http://schemas.openxmlformats.org/officeDocument/2006/relationships/hyperlink" Target="https://salesxceleration.com/wp-content/uploads/2019/12/streamline-manu-thumb-768x442.jpg" TargetMode="External"/><Relationship Id="rId5180" Type="http://schemas.openxmlformats.org/officeDocument/2006/relationships/hyperlink" Target="https://salesxceleration.com/wp-content/uploads/2023/07/Meeting-with-sales-team-300x200.jpg" TargetMode="External"/><Relationship Id="rId5185" Type="http://schemas.openxmlformats.org/officeDocument/2006/relationships/hyperlink" Target="https://salesxceleration.com/why-bother-using-a-crm/" TargetMode="External"/><Relationship Id="rId5186" Type="http://schemas.openxmlformats.org/officeDocument/2006/relationships/hyperlink" Target="https://salesxceleration.com/why-bother-using-a-crm/" TargetMode="External"/><Relationship Id="rId5183" Type="http://schemas.openxmlformats.org/officeDocument/2006/relationships/hyperlink" Target="https://salesxceleration.com/wp-content/uploads/2023/05/Successful-Sales-Team-300x189.jpg" TargetMode="External"/><Relationship Id="rId5184" Type="http://schemas.openxmlformats.org/officeDocument/2006/relationships/hyperlink" Target="https://salesxceleration.com/wp-content/uploads/2023/05/Successful-Sales-Team-300x189.jpg" TargetMode="External"/><Relationship Id="rId5189" Type="http://schemas.openxmlformats.org/officeDocument/2006/relationships/hyperlink" Target="https://salesxceleration.com/wp-content/uploads/2022/05/thumb-Case-Study_Food-Industry_SX-1-768x406.jpg" TargetMode="External"/><Relationship Id="rId5187" Type="http://schemas.openxmlformats.org/officeDocument/2006/relationships/hyperlink" Target="https://salesxceleration.com/why-bother-using-a-crm/" TargetMode="External"/><Relationship Id="rId5188" Type="http://schemas.openxmlformats.org/officeDocument/2006/relationships/hyperlink" Target="https://salesxceleration.com/wp-content/uploads/2022/05/thumb-Case-Study_Food-Industry_SX-1-768x406.jpg" TargetMode="External"/><Relationship Id="rId1697" Type="http://schemas.openxmlformats.org/officeDocument/2006/relationships/hyperlink" Target="https://salesxceleration.com/books/four-painful-manufacturing-sales-challenges/" TargetMode="External"/><Relationship Id="rId1698" Type="http://schemas.openxmlformats.org/officeDocument/2006/relationships/hyperlink" Target="https://salesxceleration.com/books/four-painful-manufacturing-sales-challenges/" TargetMode="External"/><Relationship Id="rId1699" Type="http://schemas.openxmlformats.org/officeDocument/2006/relationships/hyperlink" Target="https://salesxceleration.com/wp-content/uploads/elementor/css/post-19807.css?ver=1768847459" TargetMode="External"/><Relationship Id="rId866" Type="http://schemas.openxmlformats.org/officeDocument/2006/relationships/hyperlink" Target="https://salesxceleration.com/wp-content/uploads/2023/06/Openshaw_Rob-225x225.jpg" TargetMode="External"/><Relationship Id="rId865" Type="http://schemas.openxmlformats.org/officeDocument/2006/relationships/hyperlink" Target="https://salesxceleration.com/wp-content/uploads/2022/04/Dowhan-Mike-275x275-1-225x225.jpg" TargetMode="External"/><Relationship Id="rId864" Type="http://schemas.openxmlformats.org/officeDocument/2006/relationships/hyperlink" Target="https://salesxceleration.com/wp-content/uploads/2022/04/Dowhan-Mike-275x275-1-225x225.jpg" TargetMode="External"/><Relationship Id="rId863" Type="http://schemas.openxmlformats.org/officeDocument/2006/relationships/hyperlink" Target="https://salesxceleration.com/wp-content/uploads/2023/02/Burkhalter_Bill-225x225.jpg" TargetMode="External"/><Relationship Id="rId869" Type="http://schemas.openxmlformats.org/officeDocument/2006/relationships/hyperlink" Target="https://salesxceleration.com/wp-content/uploads/2025/12/Winings_Tim-225x225.jpeg" TargetMode="External"/><Relationship Id="rId868" Type="http://schemas.openxmlformats.org/officeDocument/2006/relationships/hyperlink" Target="https://salesxceleration.com/wp-content/uploads/2025/12/Winings_Tim-225x225.jpeg" TargetMode="External"/><Relationship Id="rId867" Type="http://schemas.openxmlformats.org/officeDocument/2006/relationships/hyperlink" Target="https://salesxceleration.com/wp-content/uploads/2023/06/Openshaw_Rob-225x225.jpg" TargetMode="External"/><Relationship Id="rId1690" Type="http://schemas.openxmlformats.org/officeDocument/2006/relationships/hyperlink" Target="https://salesxceleration.com/case-study/solving-gaps-in-sales-infrastructure-and-processes/" TargetMode="External"/><Relationship Id="rId1691" Type="http://schemas.openxmlformats.org/officeDocument/2006/relationships/hyperlink" Target="https://salesxceleration.com/case-study/solving-gaps-in-sales-infrastructure-and-processes/" TargetMode="External"/><Relationship Id="rId1692" Type="http://schemas.openxmlformats.org/officeDocument/2006/relationships/hyperlink" Target="https://salesxceleration.com/wp-content/uploads/2022/08/Amplify-Recruiting-eBook_Page_01.jpg" TargetMode="External"/><Relationship Id="rId862" Type="http://schemas.openxmlformats.org/officeDocument/2006/relationships/hyperlink" Target="https://salesxceleration.com/wp-content/uploads/2023/02/Burkhalter_Bill-225x225.jpg" TargetMode="External"/><Relationship Id="rId1693" Type="http://schemas.openxmlformats.org/officeDocument/2006/relationships/hyperlink" Target="https://salesxceleration.com/wp-content/uploads/2022/08/Amplify-Recruiting-eBook_Page_01.jpg" TargetMode="External"/><Relationship Id="rId861" Type="http://schemas.openxmlformats.org/officeDocument/2006/relationships/hyperlink" Target="https://salesxceleration.com/wp-content/uploads/2024/12/Johnson_John-1-225x225.jpg" TargetMode="External"/><Relationship Id="rId1694" Type="http://schemas.openxmlformats.org/officeDocument/2006/relationships/hyperlink" Target="https://salesxceleration.com/wp-content/uploads/2011/03/Highly-Effective-Sales-Structure-Cover-scaled-1-791x1024.jpg" TargetMode="External"/><Relationship Id="rId860" Type="http://schemas.openxmlformats.org/officeDocument/2006/relationships/hyperlink" Target="https://salesxceleration.com/wp-content/uploads/2024/12/Johnson_John-1-225x225.jpg" TargetMode="External"/><Relationship Id="rId1695" Type="http://schemas.openxmlformats.org/officeDocument/2006/relationships/hyperlink" Target="https://salesxceleration.com/wp-content/uploads/2011/03/Highly-Effective-Sales-Structure-Cover-scaled-1-791x1024.jpg" TargetMode="External"/><Relationship Id="rId1696" Type="http://schemas.openxmlformats.org/officeDocument/2006/relationships/hyperlink" Target="https://salesxceleration.com/books/four-painful-manufacturing-sales-challenges/" TargetMode="External"/><Relationship Id="rId1686" Type="http://schemas.openxmlformats.org/officeDocument/2006/relationships/hyperlink" Target="https://salesxceleration.com/case-study/plastic-manufacturing-22-sales-growth-achieved-with-expert-sales-leadership/" TargetMode="External"/><Relationship Id="rId1687" Type="http://schemas.openxmlformats.org/officeDocument/2006/relationships/hyperlink" Target="https://salesxceleration.com/wp-content/uploads/2024/04/Getting-Started-with-Social-Media-eBook-791x1024.jpg" TargetMode="External"/><Relationship Id="rId1688" Type="http://schemas.openxmlformats.org/officeDocument/2006/relationships/hyperlink" Target="https://salesxceleration.com/wp-content/uploads/2024/04/Getting-Started-with-Social-Media-eBook-791x1024.jpg" TargetMode="External"/><Relationship Id="rId1689" Type="http://schemas.openxmlformats.org/officeDocument/2006/relationships/hyperlink" Target="https://salesxceleration.com/case-study/solving-gaps-in-sales-infrastructure-and-processes/" TargetMode="External"/><Relationship Id="rId855" Type="http://schemas.openxmlformats.org/officeDocument/2006/relationships/hyperlink" Target="https://salesxceleration.com/wp-content/uploads/2024/10/Klodnicki_John_Color-1-225x225.jpg" TargetMode="External"/><Relationship Id="rId854" Type="http://schemas.openxmlformats.org/officeDocument/2006/relationships/hyperlink" Target="https://salesxceleration.com/wp-content/uploads/2024/10/Klodnicki_John_Color-1-225x225.jpg" TargetMode="External"/><Relationship Id="rId853" Type="http://schemas.openxmlformats.org/officeDocument/2006/relationships/hyperlink" Target="https://salesxceleration.com/wp-content/uploads/2025/05/Gerard_Phil-225x225.jpg" TargetMode="External"/><Relationship Id="rId852" Type="http://schemas.openxmlformats.org/officeDocument/2006/relationships/hyperlink" Target="https://salesxceleration.com/wp-content/uploads/2025/05/Gerard_Phil-225x225.jpg" TargetMode="External"/><Relationship Id="rId859" Type="http://schemas.openxmlformats.org/officeDocument/2006/relationships/hyperlink" Target="https://salesxceleration.com/wp-content/uploads/2022/04/Dickinson-TM-275x275-1-225x225.jpg" TargetMode="External"/><Relationship Id="rId858" Type="http://schemas.openxmlformats.org/officeDocument/2006/relationships/hyperlink" Target="https://salesxceleration.com/wp-content/uploads/2022/04/Dickinson-TM-275x275-1-225x225.jpg" TargetMode="External"/><Relationship Id="rId857" Type="http://schemas.openxmlformats.org/officeDocument/2006/relationships/hyperlink" Target="https://salesxceleration.com/wp-content/uploads/2025/10/Mulyk_Lisa-225x225.jpg" TargetMode="External"/><Relationship Id="rId856" Type="http://schemas.openxmlformats.org/officeDocument/2006/relationships/hyperlink" Target="https://salesxceleration.com/wp-content/uploads/2025/10/Mulyk_Lisa-225x225.jpg" TargetMode="External"/><Relationship Id="rId1680" Type="http://schemas.openxmlformats.org/officeDocument/2006/relationships/hyperlink" Target="https://salesxceleration.com/wp-content/uploads/2025/07/AdobeStock_1544365320.jpeg" TargetMode="External"/><Relationship Id="rId1681" Type="http://schemas.openxmlformats.org/officeDocument/2006/relationships/hyperlink" Target="https://salesxceleration.com/case-study/food-and-beverage-driving-25-higher-topline-revenue-for-a-compostable-packaging-company/" TargetMode="External"/><Relationship Id="rId851" Type="http://schemas.openxmlformats.org/officeDocument/2006/relationships/hyperlink" Target="https://salesxceleration.com/wp-content/uploads/2022/04/Green-Peter-275x275-1-225x225.jpg" TargetMode="External"/><Relationship Id="rId1682" Type="http://schemas.openxmlformats.org/officeDocument/2006/relationships/hyperlink" Target="https://salesxceleration.com/case-study/food-and-beverage-driving-25-higher-topline-revenue-for-a-compostable-packaging-company/" TargetMode="External"/><Relationship Id="rId850" Type="http://schemas.openxmlformats.org/officeDocument/2006/relationships/hyperlink" Target="https://salesxceleration.com/wp-content/uploads/2022/04/Green-Peter-275x275-1-225x225.jpg" TargetMode="External"/><Relationship Id="rId1683" Type="http://schemas.openxmlformats.org/officeDocument/2006/relationships/hyperlink" Target="https://salesxceleration.com/case-study/food-and-beverage-driving-25-higher-topline-revenue-for-a-compostable-packaging-company/" TargetMode="External"/><Relationship Id="rId1684" Type="http://schemas.openxmlformats.org/officeDocument/2006/relationships/hyperlink" Target="https://salesxceleration.com/case-study/plastic-manufacturing-22-sales-growth-achieved-with-expert-sales-leadership/" TargetMode="External"/><Relationship Id="rId1685" Type="http://schemas.openxmlformats.org/officeDocument/2006/relationships/hyperlink" Target="https://salesxceleration.com/case-study/plastic-manufacturing-22-sales-growth-achieved-with-expert-sales-leadership/" TargetMode="External"/><Relationship Id="rId888" Type="http://schemas.openxmlformats.org/officeDocument/2006/relationships/hyperlink" Target="https://salesxceleration.com/wp-content/uploads/2025/09/Casey_Bill-225x225.jpg" TargetMode="External"/><Relationship Id="rId887" Type="http://schemas.openxmlformats.org/officeDocument/2006/relationships/hyperlink" Target="https://salesxceleration.com/wp-content/uploads/2022/04/OShaughnessey-Sean-275x275-1-225x225.jpg" TargetMode="External"/><Relationship Id="rId886" Type="http://schemas.openxmlformats.org/officeDocument/2006/relationships/hyperlink" Target="https://salesxceleration.com/wp-content/uploads/2022/04/OShaughnessey-Sean-275x275-1-225x225.jpg" TargetMode="External"/><Relationship Id="rId885" Type="http://schemas.openxmlformats.org/officeDocument/2006/relationships/hyperlink" Target="https://salesxceleration.com/wp-content/uploads/2022/06/Pilay_Jorge-225x225.jpg" TargetMode="External"/><Relationship Id="rId889" Type="http://schemas.openxmlformats.org/officeDocument/2006/relationships/hyperlink" Target="https://salesxceleration.com/wp-content/uploads/2025/09/Casey_Bill-225x225.jpg" TargetMode="External"/><Relationship Id="rId880" Type="http://schemas.openxmlformats.org/officeDocument/2006/relationships/hyperlink" Target="https://salesxceleration.com/wp-content/uploads/2024/04/Parodi-Eduardo-225x225.jpg" TargetMode="External"/><Relationship Id="rId884" Type="http://schemas.openxmlformats.org/officeDocument/2006/relationships/hyperlink" Target="https://salesxceleration.com/wp-content/uploads/2022/06/Pilay_Jorge-225x225.jpg" TargetMode="External"/><Relationship Id="rId883" Type="http://schemas.openxmlformats.org/officeDocument/2006/relationships/hyperlink" Target="https://salesxceleration.com/wp-content/uploads/2017/01/Kurtz-Glenn-225x225.jpg" TargetMode="External"/><Relationship Id="rId882" Type="http://schemas.openxmlformats.org/officeDocument/2006/relationships/hyperlink" Target="https://salesxceleration.com/wp-content/uploads/2017/01/Kurtz-Glenn-225x225.jpg" TargetMode="External"/><Relationship Id="rId881" Type="http://schemas.openxmlformats.org/officeDocument/2006/relationships/hyperlink" Target="https://salesxceleration.com/wp-content/uploads/2024/04/Parodi-Eduardo-225x225.jpg" TargetMode="External"/><Relationship Id="rId877" Type="http://schemas.openxmlformats.org/officeDocument/2006/relationships/hyperlink" Target="https://salesxceleration.com/wp-content/uploads/2025/08/Wiemeyer_Susan-225x225.jpg" TargetMode="External"/><Relationship Id="rId876" Type="http://schemas.openxmlformats.org/officeDocument/2006/relationships/hyperlink" Target="https://salesxceleration.com/wp-content/uploads/2025/08/Wiemeyer_Susan-225x225.jpg" TargetMode="External"/><Relationship Id="rId875" Type="http://schemas.openxmlformats.org/officeDocument/2006/relationships/hyperlink" Target="https://salesxceleration.com/wp-content/uploads/2022/04/Harper-Dan-225x225.jpg" TargetMode="External"/><Relationship Id="rId874" Type="http://schemas.openxmlformats.org/officeDocument/2006/relationships/hyperlink" Target="https://salesxceleration.com/wp-content/uploads/2022/04/Harper-Dan-225x225.jpg" TargetMode="External"/><Relationship Id="rId879" Type="http://schemas.openxmlformats.org/officeDocument/2006/relationships/hyperlink" Target="https://salesxceleration.com/wp-content/uploads/2022/04/Y-John-275x275-1-225x225.jpg" TargetMode="External"/><Relationship Id="rId878" Type="http://schemas.openxmlformats.org/officeDocument/2006/relationships/hyperlink" Target="https://salesxceleration.com/wp-content/uploads/2022/04/Y-John-275x275-1-225x225.jpg" TargetMode="External"/><Relationship Id="rId873" Type="http://schemas.openxmlformats.org/officeDocument/2006/relationships/hyperlink" Target="https://salesxceleration.com/wp-content/uploads/2024/12/ORourke_Megan-225x225.jpg" TargetMode="External"/><Relationship Id="rId872" Type="http://schemas.openxmlformats.org/officeDocument/2006/relationships/hyperlink" Target="https://salesxceleration.com/wp-content/uploads/2024/12/ORourke_Megan-225x225.jpg" TargetMode="External"/><Relationship Id="rId871" Type="http://schemas.openxmlformats.org/officeDocument/2006/relationships/hyperlink" Target="https://salesxceleration.com/wp-content/uploads/2022/03/prive_michael-225x225.jpg" TargetMode="External"/><Relationship Id="rId870" Type="http://schemas.openxmlformats.org/officeDocument/2006/relationships/hyperlink" Target="https://salesxceleration.com/wp-content/uploads/2022/03/prive_michael-225x225.jpg" TargetMode="External"/><Relationship Id="rId1653" Type="http://schemas.openxmlformats.org/officeDocument/2006/relationships/hyperlink" Target="https://salesxceleration.com/wp-content/uploads/2025/07/Infrastructure_Header-2-e1752526593732.jpg" TargetMode="External"/><Relationship Id="rId2984" Type="http://schemas.openxmlformats.org/officeDocument/2006/relationships/hyperlink" Target="https://salesxceleration.com/wp-content/themes/salesxceleratione/assets/css/style.css?ver=1769123462" TargetMode="External"/><Relationship Id="rId1654" Type="http://schemas.openxmlformats.org/officeDocument/2006/relationships/hyperlink" Target="https://salesxceleration.com/wp-content/uploads/2025/07/presentation-meeting-planning-with-senior-business-man-talking-his-strategy-team-boardroom-work-training-workshop-seminar-with-professional-corporate-colleagues_590464-78692-e1752591969302.avif" TargetMode="External"/><Relationship Id="rId2985" Type="http://schemas.openxmlformats.org/officeDocument/2006/relationships/hyperlink" Target="https://salesxceleration.com/wp-content/uploads/2025/10/SAO-YT-Thumbnail-John-Hirsh-300x169.jpg" TargetMode="External"/><Relationship Id="rId1655" Type="http://schemas.openxmlformats.org/officeDocument/2006/relationships/hyperlink" Target="https://salesxceleration.com/wp-content/uploads/2025/07/presentation-meeting-planning-with-senior-business-man-talking-his-strategy-team-boardroom-work-training-workshop-seminar-with-professional-corporate-colleagues_590464-78692-e1752591969302.avif" TargetMode="External"/><Relationship Id="rId2986" Type="http://schemas.openxmlformats.org/officeDocument/2006/relationships/hyperlink" Target="https://salesxceleration.com/wp-content/uploads/2025/10/SAO-YT-Thumbnail-John-Hirsh-300x169.jpg" TargetMode="External"/><Relationship Id="rId1656" Type="http://schemas.openxmlformats.org/officeDocument/2006/relationships/hyperlink" Target="https://salesxceleration.com/wp-content/uploads/2025/07/shutterstock_633365168-scaled-1-1-e1752526054729.jpg" TargetMode="External"/><Relationship Id="rId2987" Type="http://schemas.openxmlformats.org/officeDocument/2006/relationships/hyperlink" Target="https://salesxceleration.com/wp-content/uploads/2024/01/New-AI-Sales-Trends-300x139.jpg" TargetMode="External"/><Relationship Id="rId1657" Type="http://schemas.openxmlformats.org/officeDocument/2006/relationships/hyperlink" Target="https://salesxceleration.com/wp-content/uploads/2025/07/shutterstock_633365168-scaled-1-1-e1752526054729.jpg" TargetMode="External"/><Relationship Id="rId2988" Type="http://schemas.openxmlformats.org/officeDocument/2006/relationships/hyperlink" Target="https://salesxceleration.com/wp-content/uploads/2024/01/New-AI-Sales-Trends-300x139.jpg" TargetMode="External"/><Relationship Id="rId1658" Type="http://schemas.openxmlformats.org/officeDocument/2006/relationships/hyperlink" Target="https://salesxceleration.com/wp-content/themes/salesxceleratione/assets/css/style.css?ver=1769123324" TargetMode="External"/><Relationship Id="rId2989" Type="http://schemas.openxmlformats.org/officeDocument/2006/relationships/hyperlink" Target="https://salesxceleration.com/2024-sales-trends-top-ways-ai-can-support-your-sales-organization/" TargetMode="External"/><Relationship Id="rId1659" Type="http://schemas.openxmlformats.org/officeDocument/2006/relationships/hyperlink" Target="https://salesxceleration.com/wp-content/themes/salesxceleratione/assets/css/style.css?ver=1769123324" TargetMode="External"/><Relationship Id="rId829" Type="http://schemas.openxmlformats.org/officeDocument/2006/relationships/hyperlink" Target="https://salesxceleration.com/wp-content/uploads/2024/06/Zuckman_Bobby-225x225.jpg" TargetMode="External"/><Relationship Id="rId828" Type="http://schemas.openxmlformats.org/officeDocument/2006/relationships/hyperlink" Target="https://salesxceleration.com/wp-content/uploads/2024/06/Zuckman_Bobby-225x225.jpg" TargetMode="External"/><Relationship Id="rId827" Type="http://schemas.openxmlformats.org/officeDocument/2006/relationships/hyperlink" Target="https://salesxceleration.com/wp-content/uploads/2022/04/Schottenfeld-Harry-225x225.jpg" TargetMode="External"/><Relationship Id="rId822" Type="http://schemas.openxmlformats.org/officeDocument/2006/relationships/hyperlink" Target="https://salesxceleration.com/wp-content/uploads/2022/04/Pila-Jay-225x225.jpg" TargetMode="External"/><Relationship Id="rId821" Type="http://schemas.openxmlformats.org/officeDocument/2006/relationships/hyperlink" Target="https://salesxceleration.com/wp-content/uploads/2025/04/LaGanke_Ryan-225x225.jpg" TargetMode="External"/><Relationship Id="rId820" Type="http://schemas.openxmlformats.org/officeDocument/2006/relationships/hyperlink" Target="https://salesxceleration.com/wp-content/uploads/2025/04/LaGanke_Ryan-225x225.jpg" TargetMode="External"/><Relationship Id="rId826" Type="http://schemas.openxmlformats.org/officeDocument/2006/relationships/hyperlink" Target="https://salesxceleration.com/wp-content/uploads/2022/04/Schottenfeld-Harry-225x225.jpg" TargetMode="External"/><Relationship Id="rId825" Type="http://schemas.openxmlformats.org/officeDocument/2006/relationships/hyperlink" Target="https://salesxceleration.com/wp-content/uploads/2022/04/Donovan-Kevin-275x275-1-225x225.jpg" TargetMode="External"/><Relationship Id="rId824" Type="http://schemas.openxmlformats.org/officeDocument/2006/relationships/hyperlink" Target="https://salesxceleration.com/wp-content/uploads/2022/04/Donovan-Kevin-275x275-1-225x225.jpg" TargetMode="External"/><Relationship Id="rId823" Type="http://schemas.openxmlformats.org/officeDocument/2006/relationships/hyperlink" Target="https://salesxceleration.com/wp-content/uploads/2022/04/Pila-Jay-225x225.jpg" TargetMode="External"/><Relationship Id="rId2980" Type="http://schemas.openxmlformats.org/officeDocument/2006/relationships/hyperlink" Target="https://salesxceleration.com/future-proof-your-sales-4-essential-technologies-and-trends/" TargetMode="External"/><Relationship Id="rId1650" Type="http://schemas.openxmlformats.org/officeDocument/2006/relationships/hyperlink" Target="https://salesxceleration.com/wp-content/uploads/elementor/css/post-19774.css?ver=1768857108" TargetMode="External"/><Relationship Id="rId2981" Type="http://schemas.openxmlformats.org/officeDocument/2006/relationships/hyperlink" Target="https://salesxceleration.com/future-proof-your-sales-4-essential-technologies-and-trends/" TargetMode="External"/><Relationship Id="rId1651" Type="http://schemas.openxmlformats.org/officeDocument/2006/relationships/hyperlink" Target="https://salesxceleration.com/wp-content/uploads/elementor/css/post-19774.css?ver=1768857108" TargetMode="External"/><Relationship Id="rId2982" Type="http://schemas.openxmlformats.org/officeDocument/2006/relationships/hyperlink" Target="https://salesxceleration.com/future-proof-your-sales-4-essential-technologies-and-trends/" TargetMode="External"/><Relationship Id="rId1652" Type="http://schemas.openxmlformats.org/officeDocument/2006/relationships/hyperlink" Target="https://salesxceleration.com/wp-content/uploads/2025/07/Infrastructure_Header-2-e1752526593732.jpg" TargetMode="External"/><Relationship Id="rId2983" Type="http://schemas.openxmlformats.org/officeDocument/2006/relationships/hyperlink" Target="https://salesxceleration.com/wp-content/themes/salesxceleratione/assets/css/style.css?ver=1769123462" TargetMode="External"/><Relationship Id="rId1642" Type="http://schemas.openxmlformats.org/officeDocument/2006/relationships/hyperlink" Target="https://salesxceleration.com/wp-content/uploads/2021/11/1343118326.jpg" TargetMode="External"/><Relationship Id="rId2973" Type="http://schemas.openxmlformats.org/officeDocument/2006/relationships/hyperlink" Target="https://salesxceleration.com/the-ai-advantage-how-sales-leaders-can-drive-growth-and-efficiency-in-the-new-year/" TargetMode="External"/><Relationship Id="rId1643" Type="http://schemas.openxmlformats.org/officeDocument/2006/relationships/hyperlink" Target="https://salesxceleration.com/wp-content/uploads/2021/11/1343118326.jpg" TargetMode="External"/><Relationship Id="rId2974" Type="http://schemas.openxmlformats.org/officeDocument/2006/relationships/hyperlink" Target="https://salesxceleration.com/the-ai-advantage-how-sales-leaders-can-drive-growth-and-efficiency-in-the-new-year/" TargetMode="External"/><Relationship Id="rId1644" Type="http://schemas.openxmlformats.org/officeDocument/2006/relationships/hyperlink" Target="https://salesxceleration.com/wp-content/uploads/elementor/thumbs/Tom-Gardner-e1748540699702-r6j7gq8ctkq8owymb64s55bsmb5dkk0jb38mk96ql0.jpg" TargetMode="External"/><Relationship Id="rId2975" Type="http://schemas.openxmlformats.org/officeDocument/2006/relationships/hyperlink" Target="https://salesxceleration.com/wp-content/uploads/2025/01/The-AI-Advantage-300x194.jpg" TargetMode="External"/><Relationship Id="rId1645" Type="http://schemas.openxmlformats.org/officeDocument/2006/relationships/hyperlink" Target="https://salesxceleration.com/wp-content/uploads/elementor/thumbs/Tom-Gardner-e1748540699702-r6j7gq8ctkq8owymb64s55bsmb5dkk0jb38mk96ql0.jpg" TargetMode="External"/><Relationship Id="rId2976" Type="http://schemas.openxmlformats.org/officeDocument/2006/relationships/hyperlink" Target="https://salesxceleration.com/wp-content/uploads/2025/01/The-AI-Advantage-300x194.jpg" TargetMode="External"/><Relationship Id="rId1646" Type="http://schemas.openxmlformats.org/officeDocument/2006/relationships/hyperlink" Target="https://salesxceleration.com/wp-content/uploads/2024/09/Brandi-Johnson.jpg" TargetMode="External"/><Relationship Id="rId2977" Type="http://schemas.openxmlformats.org/officeDocument/2006/relationships/hyperlink" Target="https://salesxceleration.com/streamlining-sales-processes-with-ai/" TargetMode="External"/><Relationship Id="rId1647" Type="http://schemas.openxmlformats.org/officeDocument/2006/relationships/hyperlink" Target="https://salesxceleration.com/wp-content/uploads/2024/09/Brandi-Johnson.jpg" TargetMode="External"/><Relationship Id="rId2978" Type="http://schemas.openxmlformats.org/officeDocument/2006/relationships/hyperlink" Target="https://salesxceleration.com/streamlining-sales-processes-with-ai/" TargetMode="External"/><Relationship Id="rId1648" Type="http://schemas.openxmlformats.org/officeDocument/2006/relationships/hyperlink" Target="https://salesxceleration.com/wp-content/uploads/2025/07/salesx_certified_sales_leader_logo-300x125.png.webp" TargetMode="External"/><Relationship Id="rId2979" Type="http://schemas.openxmlformats.org/officeDocument/2006/relationships/hyperlink" Target="https://salesxceleration.com/streamlining-sales-processes-with-ai/" TargetMode="External"/><Relationship Id="rId1649" Type="http://schemas.openxmlformats.org/officeDocument/2006/relationships/hyperlink" Target="https://salesxceleration.com/wp-content/uploads/2025/07/salesx_certified_sales_leader_logo-300x125.png.webp" TargetMode="External"/><Relationship Id="rId819" Type="http://schemas.openxmlformats.org/officeDocument/2006/relationships/hyperlink" Target="https://salesxceleration.com/wp-content/uploads/2025/08/Hindman_Daniel-225x225.jpg" TargetMode="External"/><Relationship Id="rId818" Type="http://schemas.openxmlformats.org/officeDocument/2006/relationships/hyperlink" Target="https://salesxceleration.com/wp-content/uploads/2025/08/Hindman_Daniel-225x225.jpg" TargetMode="External"/><Relationship Id="rId817" Type="http://schemas.openxmlformats.org/officeDocument/2006/relationships/hyperlink" Target="https://salesxceleration.com/wp-content/uploads/2017/01/1732070552083-225x225.jpg" TargetMode="External"/><Relationship Id="rId816" Type="http://schemas.openxmlformats.org/officeDocument/2006/relationships/hyperlink" Target="https://salesxceleration.com/wp-content/uploads/2017/01/1732070552083-225x225.jpg" TargetMode="External"/><Relationship Id="rId811" Type="http://schemas.openxmlformats.org/officeDocument/2006/relationships/hyperlink" Target="https://salesxceleration.com/wp-content/uploads/2024/04/Schulert_Mark-Updated-Headshot-225x225.jpg" TargetMode="External"/><Relationship Id="rId810" Type="http://schemas.openxmlformats.org/officeDocument/2006/relationships/hyperlink" Target="https://salesxceleration.com/wp-content/uploads/2024/04/Schulert_Mark-Updated-Headshot-225x225.jpg" TargetMode="External"/><Relationship Id="rId815" Type="http://schemas.openxmlformats.org/officeDocument/2006/relationships/hyperlink" Target="https://salesxceleration.com/wp-content/uploads/2022/04/Nolan-Michael-225x225.jpg" TargetMode="External"/><Relationship Id="rId814" Type="http://schemas.openxmlformats.org/officeDocument/2006/relationships/hyperlink" Target="https://salesxceleration.com/wp-content/uploads/2022/04/Nolan-Michael-225x225.jpg" TargetMode="External"/><Relationship Id="rId813" Type="http://schemas.openxmlformats.org/officeDocument/2006/relationships/hyperlink" Target="https://salesxceleration.com/wp-content/uploads/2022/04/Noonan-John-275x275-1-225x225.jpg" TargetMode="External"/><Relationship Id="rId812" Type="http://schemas.openxmlformats.org/officeDocument/2006/relationships/hyperlink" Target="https://salesxceleration.com/wp-content/uploads/2022/04/Noonan-John-275x275-1-225x225.jpg" TargetMode="External"/><Relationship Id="rId2970" Type="http://schemas.openxmlformats.org/officeDocument/2006/relationships/hyperlink" Target="https://salesxceleration.com/wp-content/uploads/2025/10/AI-Powered-Sales-Assistant-300x169.jpg" TargetMode="External"/><Relationship Id="rId1640" Type="http://schemas.openxmlformats.org/officeDocument/2006/relationships/hyperlink" Target="https://salesxceleration.com/wp-content/uploads/2024/09/Curt-Wible.jpg" TargetMode="External"/><Relationship Id="rId2971" Type="http://schemas.openxmlformats.org/officeDocument/2006/relationships/hyperlink" Target="https://salesxceleration.com/wp-content/uploads/2025/10/AI-Powered-Sales-Assistant-300x169.jpg" TargetMode="External"/><Relationship Id="rId1641" Type="http://schemas.openxmlformats.org/officeDocument/2006/relationships/hyperlink" Target="https://salesxceleration.com/wp-content/uploads/2024/09/Curt-Wible.jpg" TargetMode="External"/><Relationship Id="rId2972" Type="http://schemas.openxmlformats.org/officeDocument/2006/relationships/hyperlink" Target="https://salesxceleration.com/the-ai-advantage-how-sales-leaders-can-drive-growth-and-efficiency-in-the-new-year/" TargetMode="External"/><Relationship Id="rId1675" Type="http://schemas.openxmlformats.org/officeDocument/2006/relationships/hyperlink" Target="https://salesxceleration.com/client-solutions/" TargetMode="External"/><Relationship Id="rId1676" Type="http://schemas.openxmlformats.org/officeDocument/2006/relationships/hyperlink" Target="https://salesxceleration.com/client-solutions" TargetMode="External"/><Relationship Id="rId1677" Type="http://schemas.openxmlformats.org/officeDocument/2006/relationships/hyperlink" Target="https://salesxceleration.com/wp-content/uploads/2025/07/AdobeStock_278047235.jpeg" TargetMode="External"/><Relationship Id="rId1678" Type="http://schemas.openxmlformats.org/officeDocument/2006/relationships/hyperlink" Target="https://salesxceleration.com/wp-content/uploads/2025/07/AdobeStock_278047235.jpeg" TargetMode="External"/><Relationship Id="rId1679" Type="http://schemas.openxmlformats.org/officeDocument/2006/relationships/hyperlink" Target="https://salesxceleration.com/wp-content/uploads/2025/07/AdobeStock_1544365320.jpeg" TargetMode="External"/><Relationship Id="rId849" Type="http://schemas.openxmlformats.org/officeDocument/2006/relationships/hyperlink" Target="https://salesxceleration.com/wp-content/uploads/2024/08/Murphy_Chris-225x225.jpg" TargetMode="External"/><Relationship Id="rId844" Type="http://schemas.openxmlformats.org/officeDocument/2006/relationships/hyperlink" Target="https://salesxceleration.com/wp-content/uploads/2022/04/Callen-Todd-275x275-1-225x225.jpg" TargetMode="External"/><Relationship Id="rId843" Type="http://schemas.openxmlformats.org/officeDocument/2006/relationships/hyperlink" Target="https://salesxceleration.com/wp-content/uploads/2025/10/Uberoy_Vikas-225x225.jpg" TargetMode="External"/><Relationship Id="rId842" Type="http://schemas.openxmlformats.org/officeDocument/2006/relationships/hyperlink" Target="https://salesxceleration.com/wp-content/uploads/2025/10/Uberoy_Vikas-225x225.jpg" TargetMode="External"/><Relationship Id="rId841" Type="http://schemas.openxmlformats.org/officeDocument/2006/relationships/hyperlink" Target="https://salesxceleration.com/wp-content/uploads/2025/06/Richie_Bryant-225x225.jpg" TargetMode="External"/><Relationship Id="rId848" Type="http://schemas.openxmlformats.org/officeDocument/2006/relationships/hyperlink" Target="https://salesxceleration.com/wp-content/uploads/2024/08/Murphy_Chris-225x225.jpg" TargetMode="External"/><Relationship Id="rId847" Type="http://schemas.openxmlformats.org/officeDocument/2006/relationships/hyperlink" Target="https://salesxceleration.com/wp-content/uploads/2022/04/Jaques-225x225.jpg" TargetMode="External"/><Relationship Id="rId846" Type="http://schemas.openxmlformats.org/officeDocument/2006/relationships/hyperlink" Target="https://salesxceleration.com/wp-content/uploads/2022/04/Jaques-225x225.jpg" TargetMode="External"/><Relationship Id="rId845" Type="http://schemas.openxmlformats.org/officeDocument/2006/relationships/hyperlink" Target="https://salesxceleration.com/wp-content/uploads/2022/04/Callen-Todd-275x275-1-225x225.jpg" TargetMode="External"/><Relationship Id="rId1670" Type="http://schemas.openxmlformats.org/officeDocument/2006/relationships/hyperlink" Target="https://salesxceleration.com/resource-sitemap/" TargetMode="External"/><Relationship Id="rId840" Type="http://schemas.openxmlformats.org/officeDocument/2006/relationships/hyperlink" Target="https://salesxceleration.com/wp-content/uploads/2025/06/Richie_Bryant-225x225.jpg" TargetMode="External"/><Relationship Id="rId1671" Type="http://schemas.openxmlformats.org/officeDocument/2006/relationships/hyperlink" Target="https://salesxceleration.com/resource-sitemap/" TargetMode="External"/><Relationship Id="rId1672" Type="http://schemas.openxmlformats.org/officeDocument/2006/relationships/hyperlink" Target="https://salesxceleration.com/wp-content/uploads/2025/07/AdobeStock_1581977588.jpeg" TargetMode="External"/><Relationship Id="rId1673" Type="http://schemas.openxmlformats.org/officeDocument/2006/relationships/hyperlink" Target="https://salesxceleration.com/wp-content/uploads/2025/07/AdobeStock_1581977588.jpeg" TargetMode="External"/><Relationship Id="rId1674" Type="http://schemas.openxmlformats.org/officeDocument/2006/relationships/hyperlink" Target="https://salesxceleration.com/client-solutions" TargetMode="External"/><Relationship Id="rId1664" Type="http://schemas.openxmlformats.org/officeDocument/2006/relationships/hyperlink" Target="https://salesxceleration.com/sales-recruiting/" TargetMode="External"/><Relationship Id="rId2995" Type="http://schemas.openxmlformats.org/officeDocument/2006/relationships/hyperlink" Target="https://salesxceleration.com/wp-content/uploads/elementor/css/post-67056.css?ver=1768862532" TargetMode="External"/><Relationship Id="rId1665" Type="http://schemas.openxmlformats.org/officeDocument/2006/relationships/hyperlink" Target="https://salesxceleration.com/amplify-recruiting/" TargetMode="External"/><Relationship Id="rId2996" Type="http://schemas.openxmlformats.org/officeDocument/2006/relationships/hyperlink" Target="https://salesxceleration.com/wp-content/uploads/2025/03/How-to-Leverage-AI-to-Optimize-B2B-Lead-Generation-Promo-1024x576.jpg" TargetMode="External"/><Relationship Id="rId1666" Type="http://schemas.openxmlformats.org/officeDocument/2006/relationships/hyperlink" Target="https://salesxceleration.com/wp-content/uploads/elementor/css/post-47725.css?ver=1768856114" TargetMode="External"/><Relationship Id="rId2997" Type="http://schemas.openxmlformats.org/officeDocument/2006/relationships/hyperlink" Target="https://salesxceleration.com/wp-content/uploads/2025/03/How-to-Leverage-AI-to-Optimize-B2B-Lead-Generation-Promo-1024x576.jpg" TargetMode="External"/><Relationship Id="rId1667" Type="http://schemas.openxmlformats.org/officeDocument/2006/relationships/hyperlink" Target="https://salesxceleration.com/wp-content/uploads/elementor/css/post-47725.css?ver=1768856114" TargetMode="External"/><Relationship Id="rId2998" Type="http://schemas.openxmlformats.org/officeDocument/2006/relationships/hyperlink" Target="https://salesxceleration.com/wp-content/uploads/elementor/css/post-30502.css?ver=1768855838" TargetMode="External"/><Relationship Id="rId1668" Type="http://schemas.openxmlformats.org/officeDocument/2006/relationships/hyperlink" Target="https://salesxceleration.com/resource-sitemap/" TargetMode="External"/><Relationship Id="rId2999" Type="http://schemas.openxmlformats.org/officeDocument/2006/relationships/hyperlink" Target="https://salesxceleration.com/wp-content/uploads/elementor/css/post-30502.css?ver=1768855838" TargetMode="External"/><Relationship Id="rId1669" Type="http://schemas.openxmlformats.org/officeDocument/2006/relationships/hyperlink" Target="https://medium.com/@matthewsniff/what-is-a-sales-crm-and-how-do-you-utilize-it-for-your-business-7a34f0ac5aa2" TargetMode="External"/><Relationship Id="rId839" Type="http://schemas.openxmlformats.org/officeDocument/2006/relationships/hyperlink" Target="https://salesxceleration.com/wp-content/uploads/2025/03/Gagnon-Gary-225x225.jpg" TargetMode="External"/><Relationship Id="rId838" Type="http://schemas.openxmlformats.org/officeDocument/2006/relationships/hyperlink" Target="https://salesxceleration.com/wp-content/uploads/2025/03/Gagnon-Gary-225x225.jpg" TargetMode="External"/><Relationship Id="rId833" Type="http://schemas.openxmlformats.org/officeDocument/2006/relationships/hyperlink" Target="https://salesxceleration.com/wp-content/uploads/2024/10/Gill_John-225x225.jpg" TargetMode="External"/><Relationship Id="rId832" Type="http://schemas.openxmlformats.org/officeDocument/2006/relationships/hyperlink" Target="https://salesxceleration.com/wp-content/uploads/2024/10/Gill_John-225x225.jpg" TargetMode="External"/><Relationship Id="rId831" Type="http://schemas.openxmlformats.org/officeDocument/2006/relationships/hyperlink" Target="https://salesxceleration.com/wp-content/uploads/2022/04/Halasz-Susie-275x275-1-225x225.jpg" TargetMode="External"/><Relationship Id="rId830" Type="http://schemas.openxmlformats.org/officeDocument/2006/relationships/hyperlink" Target="https://salesxceleration.com/wp-content/uploads/2022/04/Halasz-Susie-275x275-1-225x225.jpg" TargetMode="External"/><Relationship Id="rId837" Type="http://schemas.openxmlformats.org/officeDocument/2006/relationships/hyperlink" Target="https://salesxceleration.com/wp-content/uploads/2017/01/Joe-Jackson-1-225x225.jpg" TargetMode="External"/><Relationship Id="rId836" Type="http://schemas.openxmlformats.org/officeDocument/2006/relationships/hyperlink" Target="https://salesxceleration.com/wp-content/uploads/2017/01/Joe-Jackson-1-225x225.jpg" TargetMode="External"/><Relationship Id="rId835" Type="http://schemas.openxmlformats.org/officeDocument/2006/relationships/hyperlink" Target="https://salesxceleration.com/wp-content/uploads/2024/02/Lopes-Chris-225x225.jpg" TargetMode="External"/><Relationship Id="rId834" Type="http://schemas.openxmlformats.org/officeDocument/2006/relationships/hyperlink" Target="https://salesxceleration.com/wp-content/uploads/2024/02/Lopes-Chris-225x225.jpg" TargetMode="External"/><Relationship Id="rId2990" Type="http://schemas.openxmlformats.org/officeDocument/2006/relationships/hyperlink" Target="https://salesxceleration.com/2024-sales-trends-top-ways-ai-can-support-your-sales-organization/" TargetMode="External"/><Relationship Id="rId1660" Type="http://schemas.openxmlformats.org/officeDocument/2006/relationships/hyperlink" Target="https://salesxceleration.com/resources/state-of-sales/" TargetMode="External"/><Relationship Id="rId2991" Type="http://schemas.openxmlformats.org/officeDocument/2006/relationships/hyperlink" Target="https://salesxceleration.com/2024-sales-trends-top-ways-ai-can-support-your-sales-organization/" TargetMode="External"/><Relationship Id="rId1661" Type="http://schemas.openxmlformats.org/officeDocument/2006/relationships/hyperlink" Target="https://salesxceleration.com/state-of-sales/" TargetMode="External"/><Relationship Id="rId2992" Type="http://schemas.openxmlformats.org/officeDocument/2006/relationships/hyperlink" Target="https://salesxceleration.com/wp-content/themes/salesxceleratione/assets/css/style.css?ver=1769123463" TargetMode="External"/><Relationship Id="rId1662" Type="http://schemas.openxmlformats.org/officeDocument/2006/relationships/hyperlink" Target="https://salesxceleration.com/resources/state-of-sales/" TargetMode="External"/><Relationship Id="rId2993" Type="http://schemas.openxmlformats.org/officeDocument/2006/relationships/hyperlink" Target="https://salesxceleration.com/wp-content/themes/salesxceleratione/assets/css/style.css?ver=1769123463" TargetMode="External"/><Relationship Id="rId1663" Type="http://schemas.openxmlformats.org/officeDocument/2006/relationships/hyperlink" Target="https://salesxceleration.com/amplify-recruiting/" TargetMode="External"/><Relationship Id="rId2994" Type="http://schemas.openxmlformats.org/officeDocument/2006/relationships/hyperlink" Target="https://salesxceleration.com/wp-content/uploads/elementor/css/post-67056.css?ver=1768862532" TargetMode="External"/><Relationship Id="rId6506" Type="http://schemas.openxmlformats.org/officeDocument/2006/relationships/hyperlink" Target="https://salesxceleration.com/wp-content/uploads/2021/09/header-breakaway-case-study.jpg" TargetMode="External"/><Relationship Id="rId6507" Type="http://schemas.openxmlformats.org/officeDocument/2006/relationships/hyperlink" Target="https://salesxceleration.com/wp-content/uploads/2021/09/header-breakaway-case-study.jpg" TargetMode="External"/><Relationship Id="rId6504" Type="http://schemas.openxmlformats.org/officeDocument/2006/relationships/hyperlink" Target="https://salesxceleration.com/wp-content/themes/salesxceleratione/assets/css/style.css?ver=1769123775" TargetMode="External"/><Relationship Id="rId6505" Type="http://schemas.openxmlformats.org/officeDocument/2006/relationships/hyperlink" Target="https://salesxceleration.com/wp-content/themes/salesxceleratione/assets/css/style.css?ver=1769123775" TargetMode="External"/><Relationship Id="rId6508" Type="http://schemas.openxmlformats.org/officeDocument/2006/relationships/hyperlink" Target="https://salesxceleration.com/wp-content/uploads/2018/08/jump_blog.jpg" TargetMode="External"/><Relationship Id="rId6509" Type="http://schemas.openxmlformats.org/officeDocument/2006/relationships/hyperlink" Target="https://salesxceleration.com/wp-content/uploads/2018/08/jump_blog.jpg" TargetMode="External"/><Relationship Id="rId6502" Type="http://schemas.openxmlformats.org/officeDocument/2006/relationships/hyperlink" Target="https://salesxceleration.com/wp-content/uploads/elementor/css/post-21241.css?ver=1768917369" TargetMode="External"/><Relationship Id="rId6503" Type="http://schemas.openxmlformats.org/officeDocument/2006/relationships/hyperlink" Target="https://salesxceleration.com/wp-content/uploads/elementor/css/post-21241.css?ver=1768917369" TargetMode="External"/><Relationship Id="rId6500" Type="http://schemas.openxmlformats.org/officeDocument/2006/relationships/hyperlink" Target="https://salesxceleration.com/fueling-sales-by-building-the-best-sales-engine-part-1/" TargetMode="External"/><Relationship Id="rId6501" Type="http://schemas.openxmlformats.org/officeDocument/2006/relationships/hyperlink" Target="https://salesxceleration.com/fueling-sales-by-building-the-best-sales-engine-part-1" TargetMode="External"/><Relationship Id="rId6528" Type="http://schemas.openxmlformats.org/officeDocument/2006/relationships/hyperlink" Target="https://salesxceleration.com/more-about-halftime-finding-your-purpose-as-you-prepare-for-a-second-half-of-significance/" TargetMode="External"/><Relationship Id="rId6529" Type="http://schemas.openxmlformats.org/officeDocument/2006/relationships/hyperlink" Target="https://salesxceleration.com/more-about-halftime-finding-your-purpose-as-you-prepare-for-a-second-half-of-significance/" TargetMode="External"/><Relationship Id="rId6526" Type="http://schemas.openxmlformats.org/officeDocument/2006/relationships/hyperlink" Target="https://salesxceleration.com/wp-content/uploads/2023/12/5-Tips-to-Boost-Sales-Performance.png" TargetMode="External"/><Relationship Id="rId6527" Type="http://schemas.openxmlformats.org/officeDocument/2006/relationships/hyperlink" Target="https://salesxceleration.com/wp-content/uploads/2023/12/5-Tips-to-Boost-Sales-Performance.png" TargetMode="External"/><Relationship Id="rId6520" Type="http://schemas.openxmlformats.org/officeDocument/2006/relationships/hyperlink" Target="https://salesxceleration.com/wp-content/uploads/2019/09/Hope_Realized_Book_sm-1160x580-1.png" TargetMode="External"/><Relationship Id="rId6521" Type="http://schemas.openxmlformats.org/officeDocument/2006/relationships/hyperlink" Target="https://salesxceleration.com/wp-content/uploads/2019/09/Hope_Realized_Book_sm-1160x580-1.png" TargetMode="External"/><Relationship Id="rId6524" Type="http://schemas.openxmlformats.org/officeDocument/2006/relationships/hyperlink" Target="https://salesxceleration.com/wp-content/themes/salesxceleratione/assets/css/style.css?ver=1769123769" TargetMode="External"/><Relationship Id="rId6525" Type="http://schemas.openxmlformats.org/officeDocument/2006/relationships/hyperlink" Target="https://salesxceleration.com/wp-content/themes/salesxceleratione/assets/css/style.css?ver=1769123769" TargetMode="External"/><Relationship Id="rId6522" Type="http://schemas.openxmlformats.org/officeDocument/2006/relationships/hyperlink" Target="https://salesxceleration.com/wp-content/uploads/2015/12/sales-compensation-plan-get-fired-up-2048x2048.jpg" TargetMode="External"/><Relationship Id="rId6523" Type="http://schemas.openxmlformats.org/officeDocument/2006/relationships/hyperlink" Target="https://salesxceleration.com/wp-content/uploads/2015/12/sales-compensation-plan-get-fired-up-2048x2048.jpg" TargetMode="External"/><Relationship Id="rId6517" Type="http://schemas.openxmlformats.org/officeDocument/2006/relationships/hyperlink" Target="https://salesxceleration.com/staying-ahead-of-the-fall-how-sales-teams-can-be-proactive-when-the-economy-tightens/" TargetMode="External"/><Relationship Id="rId6518" Type="http://schemas.openxmlformats.org/officeDocument/2006/relationships/hyperlink" Target="https://salesxceleration.com/staying-ahead-of-the-fall-how-sales-teams-can-be-proactive-when-the-economy-tightens/" TargetMode="External"/><Relationship Id="rId6515" Type="http://schemas.openxmlformats.org/officeDocument/2006/relationships/hyperlink" Target="https://salesxceleration.com/wp-content/themes/salesxceleratione/assets/css/style.css?ver=1769123771" TargetMode="External"/><Relationship Id="rId6516" Type="http://schemas.openxmlformats.org/officeDocument/2006/relationships/hyperlink" Target="https://salesxceleration.com/wp-content/themes/salesxceleratione/assets/css/style.css?ver=1769123771" TargetMode="External"/><Relationship Id="rId6519" Type="http://schemas.openxmlformats.org/officeDocument/2006/relationships/hyperlink" Target="https://salesxceleration.com/staying-ahead-of-the-fall-how-sales-teams-can-be-proactive-when-the-economy-tightens/" TargetMode="External"/><Relationship Id="rId6510" Type="http://schemas.openxmlformats.org/officeDocument/2006/relationships/hyperlink" Target="https://salesxceleration.com/wp-content/uploads/2018/11/shutterstock_518412169-scaled.jpg" TargetMode="External"/><Relationship Id="rId6513" Type="http://schemas.openxmlformats.org/officeDocument/2006/relationships/hyperlink" Target="https://salesxceleration.com/finding-your-target-market-and-target-customer/" TargetMode="External"/><Relationship Id="rId6514" Type="http://schemas.openxmlformats.org/officeDocument/2006/relationships/hyperlink" Target="https://salesxceleration.com/finding-your-target-market-and-target-customer/" TargetMode="External"/><Relationship Id="rId6511" Type="http://schemas.openxmlformats.org/officeDocument/2006/relationships/hyperlink" Target="https://salesxceleration.com/wp-content/uploads/2018/11/shutterstock_518412169-scaled.jpg" TargetMode="External"/><Relationship Id="rId6512" Type="http://schemas.openxmlformats.org/officeDocument/2006/relationships/hyperlink" Target="https://salesxceleration.com/finding-your-target-market-and-target-customer/" TargetMode="External"/><Relationship Id="rId899" Type="http://schemas.openxmlformats.org/officeDocument/2006/relationships/hyperlink" Target="https://salesxceleration.com/wp-content/uploads/2022/04/Ryder-Harrison-275x275-1-225x225.jpg" TargetMode="External"/><Relationship Id="rId898" Type="http://schemas.openxmlformats.org/officeDocument/2006/relationships/hyperlink" Target="https://salesxceleration.com/wp-content/uploads/2022/04/Ryder-Harrison-275x275-1-225x225.jpg" TargetMode="External"/><Relationship Id="rId897" Type="http://schemas.openxmlformats.org/officeDocument/2006/relationships/hyperlink" Target="https://salesxceleration.com/wp-content/uploads/2024/03/Yahnite_Jill-225x225.jpg" TargetMode="External"/><Relationship Id="rId896" Type="http://schemas.openxmlformats.org/officeDocument/2006/relationships/hyperlink" Target="https://salesxceleration.com/wp-content/uploads/2024/03/Yahnite_Jill-225x225.jpg" TargetMode="External"/><Relationship Id="rId891" Type="http://schemas.openxmlformats.org/officeDocument/2006/relationships/hyperlink" Target="https://salesxceleration.com/wp-content/uploads/2022/03/griffith_steve-225x225.jpg" TargetMode="External"/><Relationship Id="rId890" Type="http://schemas.openxmlformats.org/officeDocument/2006/relationships/hyperlink" Target="https://salesxceleration.com/wp-content/uploads/2022/03/griffith_steve-225x225.jpg" TargetMode="External"/><Relationship Id="rId895" Type="http://schemas.openxmlformats.org/officeDocument/2006/relationships/hyperlink" Target="https://salesxceleration.com/wp-content/uploads/2022/04/Hoelderle-Tom-275x275-1-225x225.jpg" TargetMode="External"/><Relationship Id="rId894" Type="http://schemas.openxmlformats.org/officeDocument/2006/relationships/hyperlink" Target="https://salesxceleration.com/wp-content/uploads/2022/04/Hoelderle-Tom-275x275-1-225x225.jpg" TargetMode="External"/><Relationship Id="rId893" Type="http://schemas.openxmlformats.org/officeDocument/2006/relationships/hyperlink" Target="https://salesxceleration.com/wp-content/uploads/2024/08/Legault_Darren-225x225.jpg" TargetMode="External"/><Relationship Id="rId892" Type="http://schemas.openxmlformats.org/officeDocument/2006/relationships/hyperlink" Target="https://salesxceleration.com/wp-content/uploads/2024/08/Legault_Darren-225x225.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72.0"/>
    <col customWidth="1" min="7" max="7" width="20.63"/>
    <col customWidth="1" min="12" max="12" width="25.0"/>
    <col customWidth="1" min="13" max="13" width="50.88"/>
    <col customWidth="1" min="14" max="14" width="25.0"/>
    <col customWidth="1" min="15" max="15" width="49.13"/>
    <col customWidth="1" min="17" max="17" width="42.75"/>
    <col customWidth="1" min="18" max="18" width="4.25"/>
    <col customWidth="1" min="20" max="20" width="26.75"/>
    <col customWidth="1" min="21" max="21" width="20.38"/>
    <col customWidth="1" min="22" max="22" width="19.13"/>
    <col customWidth="1" min="23" max="23" width="20.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S1" s="3" t="s">
        <v>17</v>
      </c>
      <c r="T1" s="4"/>
      <c r="U1" s="4"/>
      <c r="V1" s="4"/>
      <c r="W1" s="5"/>
    </row>
    <row r="2">
      <c r="A2" s="1">
        <v>1.0</v>
      </c>
      <c r="B2" s="1" t="s">
        <v>18</v>
      </c>
      <c r="C2" s="1">
        <v>35.0</v>
      </c>
      <c r="D2" s="1">
        <v>24.0</v>
      </c>
      <c r="E2" s="1">
        <v>20.0</v>
      </c>
      <c r="F2" s="1">
        <v>15.0</v>
      </c>
      <c r="G2" s="1">
        <f t="shared" ref="G2:G21" si="1">sum(C2:F2)</f>
        <v>94</v>
      </c>
      <c r="H2" s="1">
        <v>249.0</v>
      </c>
      <c r="I2" s="1" t="s">
        <v>19</v>
      </c>
      <c r="J2" s="6">
        <v>0.18</v>
      </c>
      <c r="K2" s="1" t="s">
        <v>20</v>
      </c>
      <c r="L2" s="7">
        <v>0.5583</v>
      </c>
      <c r="M2" s="1" t="s">
        <v>21</v>
      </c>
      <c r="N2" s="1" t="s">
        <v>22</v>
      </c>
      <c r="O2" s="8" t="str">
        <f t="shared" ref="O2:O21" si="2">IF(AND(I2="Service", H2&gt;100), "Banner", 
  IF(OR(N2="nav menu", N2="nav CTA", N2="nav phone"), "Button",
    IF(OR(N2="below-fold", N2="trust carousel", N2="hero CTA", N2="hero image"), "Button",
      IF(OR(N2="hero headline", N2="hero text"), "Button",
        IF(OR(N2="text block", N2="headings"), "Anchor Link",
          IF(OR(I2="Industry", I2="Case Study"), "Button", 
            IF(OR(N2="none", N2=""), "Banner",
              "Button")))))))</f>
        <v>Banner</v>
      </c>
      <c r="P2" s="1" t="b">
        <v>1</v>
      </c>
      <c r="Q2" s="9" t="s">
        <v>23</v>
      </c>
      <c r="R2" s="1"/>
      <c r="S2" s="10" t="s">
        <v>24</v>
      </c>
      <c r="T2" s="10" t="s">
        <v>25</v>
      </c>
      <c r="U2" s="10" t="s">
        <v>26</v>
      </c>
      <c r="V2" s="10" t="s">
        <v>27</v>
      </c>
      <c r="W2" s="10" t="s">
        <v>28</v>
      </c>
      <c r="X2" s="1"/>
    </row>
    <row r="3">
      <c r="A3" s="1">
        <v>2.0</v>
      </c>
      <c r="B3" s="1" t="s">
        <v>29</v>
      </c>
      <c r="C3" s="1">
        <v>35.0</v>
      </c>
      <c r="D3" s="1">
        <v>30.0</v>
      </c>
      <c r="E3" s="1">
        <v>20.0</v>
      </c>
      <c r="F3" s="1">
        <v>5.0</v>
      </c>
      <c r="G3" s="1">
        <f t="shared" si="1"/>
        <v>90</v>
      </c>
      <c r="H3" s="1">
        <v>308.0</v>
      </c>
      <c r="I3" s="1" t="s">
        <v>19</v>
      </c>
      <c r="J3" s="6">
        <v>0.73</v>
      </c>
      <c r="K3" s="1" t="s">
        <v>30</v>
      </c>
      <c r="L3" s="7">
        <v>0.4208</v>
      </c>
      <c r="M3" s="1" t="s">
        <v>31</v>
      </c>
      <c r="N3" s="1" t="s">
        <v>22</v>
      </c>
      <c r="O3" s="8" t="str">
        <f t="shared" si="2"/>
        <v>Banner</v>
      </c>
      <c r="P3" s="1" t="b">
        <v>1</v>
      </c>
      <c r="Q3" s="9" t="s">
        <v>32</v>
      </c>
      <c r="S3" s="11">
        <v>1.0</v>
      </c>
      <c r="T3" s="12" t="s">
        <v>33</v>
      </c>
      <c r="U3" s="11" t="s">
        <v>34</v>
      </c>
      <c r="V3" s="12" t="s">
        <v>35</v>
      </c>
      <c r="W3" s="12" t="s">
        <v>36</v>
      </c>
      <c r="X3" s="1"/>
    </row>
    <row r="4">
      <c r="A4" s="1">
        <v>3.0</v>
      </c>
      <c r="B4" s="1" t="s">
        <v>37</v>
      </c>
      <c r="C4" s="1">
        <v>35.0</v>
      </c>
      <c r="D4" s="1">
        <v>8.0</v>
      </c>
      <c r="E4" s="1">
        <v>20.0</v>
      </c>
      <c r="F4" s="1">
        <v>15.0</v>
      </c>
      <c r="G4" s="1">
        <f t="shared" si="1"/>
        <v>78</v>
      </c>
      <c r="H4" s="1">
        <v>83.0</v>
      </c>
      <c r="I4" s="1" t="s">
        <v>19</v>
      </c>
      <c r="J4" s="6">
        <v>0.18</v>
      </c>
      <c r="K4" s="1" t="s">
        <v>38</v>
      </c>
      <c r="L4" s="7">
        <v>0.5897</v>
      </c>
      <c r="M4" s="1" t="s">
        <v>21</v>
      </c>
      <c r="N4" s="1" t="s">
        <v>22</v>
      </c>
      <c r="O4" s="8" t="str">
        <f t="shared" si="2"/>
        <v>Button</v>
      </c>
      <c r="P4" s="1" t="b">
        <v>1</v>
      </c>
      <c r="Q4" s="9" t="s">
        <v>39</v>
      </c>
      <c r="S4" s="11">
        <v>2.0</v>
      </c>
      <c r="T4" s="13" t="s">
        <v>40</v>
      </c>
      <c r="U4" s="11" t="s">
        <v>41</v>
      </c>
      <c r="V4" s="11" t="s">
        <v>42</v>
      </c>
      <c r="W4" s="11" t="s">
        <v>43</v>
      </c>
      <c r="X4" s="1"/>
    </row>
    <row r="5">
      <c r="A5" s="1">
        <v>4.0</v>
      </c>
      <c r="B5" s="1" t="s">
        <v>44</v>
      </c>
      <c r="C5" s="1">
        <v>35.0</v>
      </c>
      <c r="D5" s="1">
        <v>5.0</v>
      </c>
      <c r="E5" s="1">
        <v>20.0</v>
      </c>
      <c r="F5" s="1">
        <v>15.0</v>
      </c>
      <c r="G5" s="1">
        <f t="shared" si="1"/>
        <v>75</v>
      </c>
      <c r="H5" s="1">
        <v>47.0</v>
      </c>
      <c r="I5" s="1" t="s">
        <v>19</v>
      </c>
      <c r="J5" s="6">
        <v>0.15</v>
      </c>
      <c r="K5" s="1" t="s">
        <v>45</v>
      </c>
      <c r="L5" s="7">
        <v>0.589</v>
      </c>
      <c r="M5" s="1" t="s">
        <v>21</v>
      </c>
      <c r="N5" s="1" t="s">
        <v>46</v>
      </c>
      <c r="O5" s="8" t="str">
        <f t="shared" si="2"/>
        <v>Button</v>
      </c>
      <c r="P5" s="1" t="b">
        <v>1</v>
      </c>
      <c r="Q5" s="9" t="s">
        <v>47</v>
      </c>
      <c r="S5" s="11">
        <v>3.0</v>
      </c>
      <c r="T5" s="13" t="s">
        <v>48</v>
      </c>
      <c r="U5" s="11" t="s">
        <v>49</v>
      </c>
      <c r="V5" s="11" t="s">
        <v>50</v>
      </c>
      <c r="W5" s="11" t="s">
        <v>51</v>
      </c>
      <c r="X5" s="1"/>
    </row>
    <row r="6">
      <c r="A6" s="1">
        <v>5.0</v>
      </c>
      <c r="B6" s="1" t="s">
        <v>52</v>
      </c>
      <c r="C6" s="1">
        <v>35.0</v>
      </c>
      <c r="D6" s="1">
        <v>9.0</v>
      </c>
      <c r="E6" s="1">
        <v>15.0</v>
      </c>
      <c r="F6" s="1">
        <v>15.0</v>
      </c>
      <c r="G6" s="1">
        <f t="shared" si="1"/>
        <v>74</v>
      </c>
      <c r="H6" s="1">
        <v>89.0</v>
      </c>
      <c r="I6" s="1" t="s">
        <v>53</v>
      </c>
      <c r="J6" s="6">
        <v>0.43</v>
      </c>
      <c r="K6" s="1" t="s">
        <v>54</v>
      </c>
      <c r="L6" s="7">
        <v>0.5793</v>
      </c>
      <c r="M6" s="1" t="s">
        <v>21</v>
      </c>
      <c r="N6" s="1" t="s">
        <v>55</v>
      </c>
      <c r="O6" s="8" t="str">
        <f t="shared" si="2"/>
        <v>Button</v>
      </c>
      <c r="P6" s="1" t="b">
        <v>1</v>
      </c>
      <c r="Q6" s="9" t="s">
        <v>56</v>
      </c>
      <c r="S6" s="11">
        <v>4.0</v>
      </c>
      <c r="T6" s="13" t="s">
        <v>57</v>
      </c>
      <c r="U6" s="11" t="s">
        <v>58</v>
      </c>
      <c r="V6" s="11" t="s">
        <v>59</v>
      </c>
      <c r="W6" s="11" t="s">
        <v>60</v>
      </c>
      <c r="X6" s="1"/>
    </row>
    <row r="7">
      <c r="A7" s="1">
        <v>6.0</v>
      </c>
      <c r="B7" s="1" t="s">
        <v>61</v>
      </c>
      <c r="C7" s="1">
        <v>35.0</v>
      </c>
      <c r="D7" s="1">
        <v>4.0</v>
      </c>
      <c r="E7" s="1">
        <v>20.0</v>
      </c>
      <c r="F7" s="1">
        <v>15.0</v>
      </c>
      <c r="G7" s="1">
        <f t="shared" si="1"/>
        <v>74</v>
      </c>
      <c r="H7" s="1">
        <v>42.0</v>
      </c>
      <c r="I7" s="1" t="s">
        <v>19</v>
      </c>
      <c r="J7" s="6">
        <v>0.29</v>
      </c>
      <c r="K7" s="1" t="s">
        <v>62</v>
      </c>
      <c r="L7" s="7">
        <v>0.5774</v>
      </c>
      <c r="M7" s="1" t="s">
        <v>21</v>
      </c>
      <c r="N7" s="1" t="s">
        <v>22</v>
      </c>
      <c r="O7" s="8" t="str">
        <f t="shared" si="2"/>
        <v>Button</v>
      </c>
      <c r="P7" s="1" t="b">
        <v>1</v>
      </c>
      <c r="Q7" s="9" t="s">
        <v>63</v>
      </c>
      <c r="S7" s="11">
        <v>5.0</v>
      </c>
      <c r="T7" s="14" t="s">
        <v>64</v>
      </c>
      <c r="U7" s="11" t="s">
        <v>65</v>
      </c>
      <c r="V7" s="11" t="s">
        <v>66</v>
      </c>
      <c r="W7" s="11" t="s">
        <v>67</v>
      </c>
      <c r="X7" s="1"/>
    </row>
    <row r="8">
      <c r="A8" s="1">
        <v>7.0</v>
      </c>
      <c r="B8" s="1" t="s">
        <v>68</v>
      </c>
      <c r="C8" s="1">
        <v>35.0</v>
      </c>
      <c r="D8" s="1">
        <v>5.0</v>
      </c>
      <c r="E8" s="1">
        <v>20.0</v>
      </c>
      <c r="F8" s="1">
        <v>12.0</v>
      </c>
      <c r="G8" s="1">
        <f t="shared" si="1"/>
        <v>72</v>
      </c>
      <c r="H8" s="1">
        <v>50.0</v>
      </c>
      <c r="I8" s="1" t="s">
        <v>19</v>
      </c>
      <c r="J8" s="6">
        <v>0.12</v>
      </c>
      <c r="K8" s="1" t="s">
        <v>69</v>
      </c>
      <c r="L8" s="7">
        <v>0.5824</v>
      </c>
      <c r="M8" s="1" t="s">
        <v>21</v>
      </c>
      <c r="N8" s="1" t="s">
        <v>22</v>
      </c>
      <c r="O8" s="8" t="str">
        <f t="shared" si="2"/>
        <v>Button</v>
      </c>
      <c r="P8" s="1" t="b">
        <v>1</v>
      </c>
      <c r="Q8" s="15" t="s">
        <v>70</v>
      </c>
      <c r="R8" s="16"/>
      <c r="S8" s="11">
        <v>5.0</v>
      </c>
      <c r="T8" s="14" t="s">
        <v>71</v>
      </c>
      <c r="U8" s="11" t="s">
        <v>72</v>
      </c>
      <c r="V8" s="11" t="s">
        <v>73</v>
      </c>
      <c r="W8" s="11" t="s">
        <v>74</v>
      </c>
      <c r="X8" s="1"/>
    </row>
    <row r="9">
      <c r="A9" s="1">
        <v>8.0</v>
      </c>
      <c r="B9" s="1" t="s">
        <v>75</v>
      </c>
      <c r="C9" s="1">
        <v>35.0</v>
      </c>
      <c r="D9" s="1">
        <v>6.0</v>
      </c>
      <c r="E9" s="1">
        <v>20.0</v>
      </c>
      <c r="F9" s="1">
        <v>10.0</v>
      </c>
      <c r="G9" s="1">
        <f t="shared" si="1"/>
        <v>71</v>
      </c>
      <c r="H9" s="1">
        <v>57.0</v>
      </c>
      <c r="I9" s="1" t="s">
        <v>19</v>
      </c>
      <c r="J9" s="6">
        <v>0.46</v>
      </c>
      <c r="K9" s="1" t="s">
        <v>76</v>
      </c>
      <c r="L9" s="7">
        <v>0.5958</v>
      </c>
      <c r="M9" s="1" t="s">
        <v>21</v>
      </c>
      <c r="N9" s="1" t="s">
        <v>22</v>
      </c>
      <c r="O9" s="8" t="str">
        <f t="shared" si="2"/>
        <v>Button</v>
      </c>
      <c r="P9" s="1" t="b">
        <v>1</v>
      </c>
      <c r="Q9" s="15" t="s">
        <v>77</v>
      </c>
      <c r="R9" s="16"/>
      <c r="S9" s="11">
        <v>6.0</v>
      </c>
      <c r="T9" s="10" t="s">
        <v>78</v>
      </c>
      <c r="U9" s="11" t="s">
        <v>34</v>
      </c>
      <c r="V9" s="11" t="s">
        <v>79</v>
      </c>
      <c r="W9" s="11" t="s">
        <v>80</v>
      </c>
      <c r="X9" s="1"/>
    </row>
    <row r="10">
      <c r="A10" s="1">
        <v>9.0</v>
      </c>
      <c r="B10" s="1" t="s">
        <v>81</v>
      </c>
      <c r="C10" s="1">
        <v>35.0</v>
      </c>
      <c r="D10" s="1">
        <v>4.0</v>
      </c>
      <c r="E10" s="1">
        <v>20.0</v>
      </c>
      <c r="F10" s="1">
        <v>12.0</v>
      </c>
      <c r="G10" s="1">
        <f t="shared" si="1"/>
        <v>71</v>
      </c>
      <c r="H10" s="1">
        <v>46.0</v>
      </c>
      <c r="I10" s="1" t="s">
        <v>19</v>
      </c>
      <c r="J10" s="6">
        <v>0.3</v>
      </c>
      <c r="K10" s="1" t="s">
        <v>82</v>
      </c>
      <c r="L10" s="7">
        <v>0.6264</v>
      </c>
      <c r="M10" s="1" t="s">
        <v>83</v>
      </c>
      <c r="N10" s="1" t="s">
        <v>22</v>
      </c>
      <c r="O10" s="8" t="str">
        <f t="shared" si="2"/>
        <v>Button</v>
      </c>
      <c r="P10" s="1" t="b">
        <v>1</v>
      </c>
      <c r="Q10" s="9" t="s">
        <v>84</v>
      </c>
      <c r="S10" s="11">
        <v>7.0</v>
      </c>
      <c r="T10" s="10" t="s">
        <v>85</v>
      </c>
      <c r="U10" s="11" t="s">
        <v>86</v>
      </c>
      <c r="V10" s="11" t="s">
        <v>87</v>
      </c>
      <c r="W10" s="11" t="s">
        <v>88</v>
      </c>
      <c r="X10" s="1"/>
    </row>
    <row r="11">
      <c r="A11" s="1">
        <v>10.0</v>
      </c>
      <c r="B11" s="1" t="s">
        <v>89</v>
      </c>
      <c r="C11" s="1">
        <v>35.0</v>
      </c>
      <c r="D11" s="1">
        <v>3.0</v>
      </c>
      <c r="E11" s="1">
        <v>18.0</v>
      </c>
      <c r="F11" s="1">
        <v>15.0</v>
      </c>
      <c r="G11" s="1">
        <f t="shared" si="1"/>
        <v>71</v>
      </c>
      <c r="H11" s="1">
        <v>32.0</v>
      </c>
      <c r="I11" s="1" t="s">
        <v>90</v>
      </c>
      <c r="J11" s="6">
        <v>0.38</v>
      </c>
      <c r="K11" s="1" t="s">
        <v>91</v>
      </c>
      <c r="L11" s="7">
        <v>0.6226</v>
      </c>
      <c r="M11" s="1" t="s">
        <v>83</v>
      </c>
      <c r="N11" s="1" t="s">
        <v>92</v>
      </c>
      <c r="O11" s="8" t="str">
        <f t="shared" si="2"/>
        <v>Button</v>
      </c>
      <c r="P11" s="1" t="b">
        <v>1</v>
      </c>
      <c r="Q11" s="9" t="s">
        <v>93</v>
      </c>
      <c r="S11" s="11">
        <v>8.0</v>
      </c>
      <c r="T11" s="10" t="s">
        <v>94</v>
      </c>
      <c r="U11" s="11" t="s">
        <v>95</v>
      </c>
      <c r="V11" s="11" t="s">
        <v>96</v>
      </c>
      <c r="W11" s="11" t="s">
        <v>36</v>
      </c>
      <c r="X11" s="1"/>
    </row>
    <row r="12">
      <c r="A12" s="1">
        <v>11.0</v>
      </c>
      <c r="B12" s="1" t="s">
        <v>97</v>
      </c>
      <c r="C12" s="1">
        <v>35.0</v>
      </c>
      <c r="D12" s="1">
        <v>4.0</v>
      </c>
      <c r="E12" s="1">
        <v>20.0</v>
      </c>
      <c r="F12" s="1">
        <v>10.0</v>
      </c>
      <c r="G12" s="1">
        <f t="shared" si="1"/>
        <v>69</v>
      </c>
      <c r="H12" s="1">
        <v>41.0</v>
      </c>
      <c r="I12" s="1" t="s">
        <v>19</v>
      </c>
      <c r="J12" s="6">
        <v>0.44</v>
      </c>
      <c r="K12" s="1" t="s">
        <v>98</v>
      </c>
      <c r="L12" s="7">
        <v>0.5675</v>
      </c>
      <c r="M12" s="1" t="s">
        <v>21</v>
      </c>
      <c r="N12" s="1" t="s">
        <v>22</v>
      </c>
      <c r="O12" s="8" t="str">
        <f t="shared" si="2"/>
        <v>Button</v>
      </c>
      <c r="P12" s="1" t="b">
        <v>1</v>
      </c>
      <c r="Q12" s="17" t="s">
        <v>99</v>
      </c>
    </row>
    <row r="13">
      <c r="A13" s="1">
        <v>12.0</v>
      </c>
      <c r="B13" s="1" t="s">
        <v>100</v>
      </c>
      <c r="C13" s="1">
        <v>35.0</v>
      </c>
      <c r="D13" s="1">
        <v>6.0</v>
      </c>
      <c r="E13" s="1">
        <v>15.0</v>
      </c>
      <c r="F13" s="1">
        <v>12.0</v>
      </c>
      <c r="G13" s="1">
        <f t="shared" si="1"/>
        <v>68</v>
      </c>
      <c r="H13" s="1">
        <v>62.0</v>
      </c>
      <c r="I13" s="1" t="s">
        <v>53</v>
      </c>
      <c r="J13" s="6">
        <v>0.34</v>
      </c>
      <c r="K13" s="1" t="s">
        <v>101</v>
      </c>
      <c r="L13" s="7">
        <v>0.4671</v>
      </c>
      <c r="M13" s="1" t="s">
        <v>31</v>
      </c>
      <c r="N13" s="1" t="s">
        <v>92</v>
      </c>
      <c r="O13" s="8" t="str">
        <f t="shared" si="2"/>
        <v>Button</v>
      </c>
      <c r="P13" s="1" t="b">
        <v>1</v>
      </c>
      <c r="Q13" s="9" t="s">
        <v>102</v>
      </c>
    </row>
    <row r="14">
      <c r="A14" s="1">
        <v>13.0</v>
      </c>
      <c r="B14" s="1" t="s">
        <v>103</v>
      </c>
      <c r="C14" s="1">
        <v>35.0</v>
      </c>
      <c r="D14" s="1">
        <v>1.0</v>
      </c>
      <c r="E14" s="1">
        <v>18.0</v>
      </c>
      <c r="F14" s="1">
        <v>12.0</v>
      </c>
      <c r="G14" s="1">
        <f t="shared" si="1"/>
        <v>66</v>
      </c>
      <c r="H14" s="1">
        <v>12.0</v>
      </c>
      <c r="I14" s="1" t="s">
        <v>90</v>
      </c>
      <c r="J14" s="6">
        <v>0.17</v>
      </c>
      <c r="K14" s="1" t="s">
        <v>104</v>
      </c>
      <c r="L14" s="7">
        <v>0.622</v>
      </c>
      <c r="M14" s="1" t="s">
        <v>83</v>
      </c>
      <c r="N14" s="1" t="s">
        <v>22</v>
      </c>
      <c r="O14" s="8" t="str">
        <f t="shared" si="2"/>
        <v>Button</v>
      </c>
      <c r="P14" s="1" t="b">
        <v>1</v>
      </c>
      <c r="Q14" s="9" t="s">
        <v>105</v>
      </c>
    </row>
    <row r="15">
      <c r="A15" s="1">
        <v>14.0</v>
      </c>
      <c r="B15" s="1" t="s">
        <v>106</v>
      </c>
      <c r="C15" s="1">
        <v>35.0</v>
      </c>
      <c r="D15" s="1">
        <v>2.0</v>
      </c>
      <c r="E15" s="1">
        <v>18.0</v>
      </c>
      <c r="F15" s="1">
        <v>10.0</v>
      </c>
      <c r="G15" s="1">
        <f t="shared" si="1"/>
        <v>65</v>
      </c>
      <c r="H15" s="1">
        <v>25.0</v>
      </c>
      <c r="I15" s="1" t="s">
        <v>90</v>
      </c>
      <c r="J15" s="6">
        <v>0.56</v>
      </c>
      <c r="K15" s="1" t="s">
        <v>107</v>
      </c>
      <c r="L15" s="7">
        <v>0.5754</v>
      </c>
      <c r="M15" s="1" t="s">
        <v>21</v>
      </c>
      <c r="N15" s="1" t="s">
        <v>92</v>
      </c>
      <c r="O15" s="8" t="str">
        <f t="shared" si="2"/>
        <v>Button</v>
      </c>
      <c r="P15" s="1" t="b">
        <v>1</v>
      </c>
      <c r="Q15" s="9" t="s">
        <v>108</v>
      </c>
    </row>
    <row r="16">
      <c r="A16" s="1">
        <v>15.0</v>
      </c>
      <c r="B16" s="1" t="s">
        <v>109</v>
      </c>
      <c r="C16" s="1">
        <v>35.0</v>
      </c>
      <c r="D16" s="1">
        <v>2.0</v>
      </c>
      <c r="E16" s="1">
        <v>18.0</v>
      </c>
      <c r="F16" s="1">
        <v>10.0</v>
      </c>
      <c r="G16" s="1">
        <f t="shared" si="1"/>
        <v>65</v>
      </c>
      <c r="H16" s="1">
        <v>24.0</v>
      </c>
      <c r="I16" s="1" t="s">
        <v>90</v>
      </c>
      <c r="J16" s="6">
        <v>0.42</v>
      </c>
      <c r="K16" s="1" t="s">
        <v>110</v>
      </c>
      <c r="L16" s="7">
        <v>0.6054</v>
      </c>
      <c r="M16" s="1" t="s">
        <v>83</v>
      </c>
      <c r="N16" s="1" t="s">
        <v>92</v>
      </c>
      <c r="O16" s="8" t="str">
        <f t="shared" si="2"/>
        <v>Button</v>
      </c>
      <c r="P16" s="1" t="b">
        <v>1</v>
      </c>
      <c r="Q16" s="9" t="s">
        <v>111</v>
      </c>
    </row>
    <row r="17">
      <c r="A17" s="1">
        <v>16.0</v>
      </c>
      <c r="B17" s="1" t="s">
        <v>112</v>
      </c>
      <c r="C17" s="1">
        <v>35.0</v>
      </c>
      <c r="D17" s="1">
        <v>1.0</v>
      </c>
      <c r="E17" s="1">
        <v>18.0</v>
      </c>
      <c r="F17" s="1">
        <v>10.0</v>
      </c>
      <c r="G17" s="1">
        <f t="shared" si="1"/>
        <v>64</v>
      </c>
      <c r="H17" s="1">
        <v>9.0</v>
      </c>
      <c r="I17" s="1" t="s">
        <v>90</v>
      </c>
      <c r="J17" s="6">
        <v>0.44</v>
      </c>
      <c r="K17" s="1" t="s">
        <v>113</v>
      </c>
      <c r="L17" s="7">
        <v>0.5181</v>
      </c>
      <c r="M17" s="1" t="s">
        <v>21</v>
      </c>
      <c r="N17" s="1" t="s">
        <v>22</v>
      </c>
      <c r="O17" s="8" t="str">
        <f t="shared" si="2"/>
        <v>Button</v>
      </c>
      <c r="P17" s="1" t="b">
        <v>1</v>
      </c>
      <c r="Q17" s="17" t="s">
        <v>114</v>
      </c>
    </row>
    <row r="18">
      <c r="A18" s="1">
        <v>17.0</v>
      </c>
      <c r="B18" s="1" t="s">
        <v>115</v>
      </c>
      <c r="C18" s="1">
        <v>35.0</v>
      </c>
      <c r="D18" s="1">
        <v>1.0</v>
      </c>
      <c r="E18" s="1">
        <v>18.0</v>
      </c>
      <c r="F18" s="1">
        <v>5.0</v>
      </c>
      <c r="G18" s="1">
        <f t="shared" si="1"/>
        <v>59</v>
      </c>
      <c r="H18" s="1">
        <v>9.0</v>
      </c>
      <c r="I18" s="1" t="s">
        <v>90</v>
      </c>
      <c r="J18" s="6">
        <v>0.67</v>
      </c>
      <c r="K18" s="1" t="s">
        <v>116</v>
      </c>
      <c r="L18" s="7">
        <v>0.462</v>
      </c>
      <c r="M18" s="1" t="s">
        <v>31</v>
      </c>
      <c r="N18" s="1" t="s">
        <v>92</v>
      </c>
      <c r="O18" s="8" t="str">
        <f t="shared" si="2"/>
        <v>Button</v>
      </c>
      <c r="P18" s="1" t="b">
        <v>1</v>
      </c>
      <c r="Q18" s="9" t="s">
        <v>117</v>
      </c>
    </row>
    <row r="19">
      <c r="A19" s="1">
        <v>18.0</v>
      </c>
      <c r="B19" s="1" t="s">
        <v>118</v>
      </c>
      <c r="C19" s="1">
        <v>35.0</v>
      </c>
      <c r="D19" s="1">
        <v>0.0</v>
      </c>
      <c r="E19" s="1">
        <v>18.0</v>
      </c>
      <c r="F19" s="1">
        <v>5.0</v>
      </c>
      <c r="G19" s="1">
        <f t="shared" si="1"/>
        <v>58</v>
      </c>
      <c r="H19" s="1">
        <v>5.0</v>
      </c>
      <c r="I19" s="1" t="s">
        <v>90</v>
      </c>
      <c r="J19" s="6">
        <v>0.8</v>
      </c>
      <c r="K19" s="1" t="s">
        <v>119</v>
      </c>
      <c r="L19" s="7">
        <v>0.5664</v>
      </c>
      <c r="M19" s="1" t="s">
        <v>21</v>
      </c>
      <c r="N19" s="1" t="s">
        <v>92</v>
      </c>
      <c r="O19" s="8" t="str">
        <f t="shared" si="2"/>
        <v>Button</v>
      </c>
      <c r="P19" s="1" t="b">
        <v>1</v>
      </c>
      <c r="Q19" s="17" t="s">
        <v>120</v>
      </c>
    </row>
    <row r="20">
      <c r="A20" s="1">
        <v>19.0</v>
      </c>
      <c r="B20" s="1" t="s">
        <v>121</v>
      </c>
      <c r="C20" s="1">
        <v>35.0</v>
      </c>
      <c r="D20" s="1">
        <v>1.0</v>
      </c>
      <c r="E20" s="1">
        <v>15.0</v>
      </c>
      <c r="F20" s="1">
        <v>5.0</v>
      </c>
      <c r="G20" s="1">
        <f t="shared" si="1"/>
        <v>56</v>
      </c>
      <c r="H20" s="1">
        <v>15.0</v>
      </c>
      <c r="I20" s="1" t="s">
        <v>53</v>
      </c>
      <c r="J20" s="6">
        <v>0.73</v>
      </c>
      <c r="K20" s="1" t="s">
        <v>122</v>
      </c>
      <c r="L20" s="7">
        <v>0.6136</v>
      </c>
      <c r="M20" s="1" t="s">
        <v>83</v>
      </c>
      <c r="N20" s="1" t="s">
        <v>22</v>
      </c>
      <c r="O20" s="8" t="str">
        <f t="shared" si="2"/>
        <v>Button</v>
      </c>
      <c r="P20" s="1" t="b">
        <v>1</v>
      </c>
      <c r="Q20" s="9" t="s">
        <v>123</v>
      </c>
    </row>
    <row r="21">
      <c r="A21" s="1">
        <v>20.0</v>
      </c>
      <c r="B21" s="1" t="s">
        <v>124</v>
      </c>
      <c r="C21" s="1">
        <v>20.0</v>
      </c>
      <c r="D21" s="1">
        <v>3.0</v>
      </c>
      <c r="E21" s="1">
        <v>20.0</v>
      </c>
      <c r="F21" s="1">
        <v>12.0</v>
      </c>
      <c r="G21" s="1">
        <f t="shared" si="1"/>
        <v>55</v>
      </c>
      <c r="H21" s="1">
        <v>35.0</v>
      </c>
      <c r="I21" s="1" t="s">
        <v>19</v>
      </c>
      <c r="J21" s="6">
        <v>0.2</v>
      </c>
      <c r="K21" s="1" t="s">
        <v>76</v>
      </c>
      <c r="L21" s="7">
        <v>0.5609</v>
      </c>
      <c r="M21" s="1" t="s">
        <v>21</v>
      </c>
      <c r="N21" s="1" t="s">
        <v>92</v>
      </c>
      <c r="O21" s="8" t="str">
        <f t="shared" si="2"/>
        <v>Button</v>
      </c>
      <c r="P21" s="1" t="b">
        <v>1</v>
      </c>
      <c r="Q21" s="9" t="s">
        <v>125</v>
      </c>
    </row>
    <row r="22">
      <c r="J22" s="6"/>
    </row>
    <row r="23">
      <c r="C23" s="1" t="s">
        <v>126</v>
      </c>
      <c r="J23" s="6"/>
      <c r="M23" s="2" t="s">
        <v>127</v>
      </c>
      <c r="N23" s="18" t="s">
        <v>128</v>
      </c>
    </row>
    <row r="24">
      <c r="J24" s="6"/>
      <c r="M24" s="1" t="s">
        <v>129</v>
      </c>
      <c r="N24" s="19" t="s">
        <v>130</v>
      </c>
    </row>
    <row r="25">
      <c r="C25" s="1" t="s">
        <v>131</v>
      </c>
      <c r="D25" s="1" t="s">
        <v>132</v>
      </c>
      <c r="E25" s="1" t="s">
        <v>132</v>
      </c>
      <c r="J25" s="6"/>
      <c r="M25" s="1" t="s">
        <v>133</v>
      </c>
      <c r="N25" s="19" t="s">
        <v>134</v>
      </c>
    </row>
    <row r="26">
      <c r="C26" s="1" t="s">
        <v>132</v>
      </c>
      <c r="D26" s="1" t="s">
        <v>132</v>
      </c>
      <c r="E26" s="1" t="s">
        <v>132</v>
      </c>
      <c r="J26" s="6"/>
      <c r="M26" s="1" t="s">
        <v>135</v>
      </c>
      <c r="N26" s="19" t="s">
        <v>136</v>
      </c>
    </row>
    <row r="27">
      <c r="C27" s="1" t="s">
        <v>137</v>
      </c>
      <c r="D27" s="1" t="s">
        <v>138</v>
      </c>
      <c r="E27" s="1" t="s">
        <v>139</v>
      </c>
      <c r="J27" s="6"/>
      <c r="M27" s="1"/>
      <c r="N27" s="19"/>
    </row>
    <row r="28">
      <c r="C28" s="1" t="s">
        <v>140</v>
      </c>
      <c r="D28" s="1" t="s">
        <v>141</v>
      </c>
      <c r="E28" s="19" t="s">
        <v>142</v>
      </c>
      <c r="J28" s="6"/>
      <c r="M28" s="1"/>
      <c r="N28" s="19"/>
    </row>
    <row r="29">
      <c r="C29" s="1" t="s">
        <v>143</v>
      </c>
      <c r="D29" s="1" t="s">
        <v>144</v>
      </c>
      <c r="E29" s="1" t="s">
        <v>145</v>
      </c>
      <c r="J29" s="6"/>
      <c r="M29" s="1"/>
      <c r="N29" s="19"/>
    </row>
    <row r="30">
      <c r="C30" s="1" t="s">
        <v>146</v>
      </c>
      <c r="D30" s="1" t="s">
        <v>147</v>
      </c>
      <c r="E30" s="1" t="s">
        <v>148</v>
      </c>
      <c r="J30" s="6"/>
      <c r="M30" s="1"/>
      <c r="N30" s="19"/>
    </row>
    <row r="31">
      <c r="C31" s="1" t="s">
        <v>132</v>
      </c>
      <c r="D31" s="1" t="s">
        <v>132</v>
      </c>
      <c r="E31" s="1" t="s">
        <v>132</v>
      </c>
      <c r="J31" s="6"/>
      <c r="M31" s="1"/>
      <c r="N31" s="19"/>
    </row>
    <row r="32">
      <c r="C32" s="1" t="s">
        <v>149</v>
      </c>
      <c r="D32" s="1" t="s">
        <v>132</v>
      </c>
      <c r="E32" s="1" t="s">
        <v>132</v>
      </c>
      <c r="J32" s="6"/>
      <c r="M32" s="1"/>
      <c r="N32" s="19"/>
    </row>
    <row r="33">
      <c r="C33" s="1" t="s">
        <v>132</v>
      </c>
      <c r="D33" s="1" t="s">
        <v>132</v>
      </c>
      <c r="E33" s="1" t="s">
        <v>132</v>
      </c>
      <c r="J33" s="6"/>
      <c r="M33" s="1"/>
      <c r="N33" s="19"/>
    </row>
    <row r="34">
      <c r="C34" s="1" t="s">
        <v>150</v>
      </c>
      <c r="D34" s="1" t="s">
        <v>151</v>
      </c>
      <c r="E34" s="1" t="s">
        <v>152</v>
      </c>
      <c r="J34" s="6"/>
      <c r="M34" s="1"/>
      <c r="N34" s="19"/>
    </row>
    <row r="35">
      <c r="C35" s="1" t="s">
        <v>2</v>
      </c>
      <c r="D35" s="1">
        <v>35.0</v>
      </c>
      <c r="E35" s="1" t="s">
        <v>153</v>
      </c>
      <c r="J35" s="6"/>
      <c r="M35" s="1"/>
      <c r="N35" s="19"/>
    </row>
    <row r="36">
      <c r="C36" s="1" t="s">
        <v>3</v>
      </c>
      <c r="D36" s="1">
        <v>30.0</v>
      </c>
      <c r="E36" s="1" t="s">
        <v>154</v>
      </c>
      <c r="J36" s="6"/>
      <c r="M36" s="1"/>
      <c r="N36" s="19"/>
    </row>
    <row r="37">
      <c r="C37" s="1" t="s">
        <v>4</v>
      </c>
      <c r="D37" s="1">
        <v>20.0</v>
      </c>
      <c r="E37" s="1" t="s">
        <v>155</v>
      </c>
      <c r="J37" s="6"/>
      <c r="M37" s="1"/>
      <c r="N37" s="19"/>
    </row>
    <row r="38">
      <c r="C38" s="1" t="s">
        <v>5</v>
      </c>
      <c r="D38" s="1">
        <v>15.0</v>
      </c>
      <c r="E38" s="1" t="s">
        <v>156</v>
      </c>
      <c r="J38" s="6"/>
      <c r="M38" s="1"/>
      <c r="N38" s="19"/>
    </row>
  </sheetData>
  <autoFilter ref="$A$1:$P$21">
    <sortState ref="A1:P21">
      <sortCondition descending="1" ref="G1:G21"/>
    </sortState>
  </autoFilter>
  <mergeCells count="1">
    <mergeCell ref="S1:W1"/>
  </mergeCells>
  <dataValidations>
    <dataValidation type="list" allowBlank="1" showErrorMessage="1" sqref="M2:M21">
      <formula1>"TOP,MID,UPPER MID"</formula1>
    </dataValidation>
  </dataValidations>
  <hyperlinks>
    <hyperlink display="Click Hot Zone References (Column R)" location="'top-20-selection'!N1:N21" ref="S1"/>
    <hyperlink r:id="rId2" ref="Q2"/>
    <hyperlink r:id="rId3" ref="Q3"/>
    <hyperlink r:id="rId4" ref="Q4"/>
    <hyperlink display="Nav menu/CTA/phone clicks" location="'top-20-selection'!N1:N21" ref="T4"/>
    <hyperlink r:id="rId5" ref="Q5"/>
    <hyperlink display="Below-fold text, CTA or carousel" location="'top-20-selection'!N1:N21" ref="T5"/>
    <hyperlink r:id="rId6" ref="Q6"/>
    <hyperlink display="Hero element clicks" location="'top-20-selection'!N1:N21" ref="T6"/>
    <hyperlink r:id="rId7" ref="Q7"/>
    <hyperlink r:id="rId8" ref="Q8"/>
    <hyperlink r:id="rId9" ref="Q9"/>
    <hyperlink r:id="rId10" ref="Q10"/>
    <hyperlink r:id="rId11" ref="Q11"/>
    <hyperlink r:id="rId12" ref="Q12"/>
    <hyperlink r:id="rId13" ref="Q13"/>
    <hyperlink r:id="rId14" ref="Q14"/>
    <hyperlink r:id="rId15" ref="Q15"/>
    <hyperlink r:id="rId16" ref="Q16"/>
    <hyperlink r:id="rId17" ref="Q17"/>
    <hyperlink r:id="rId18" ref="Q18"/>
    <hyperlink r:id="rId19" ref="Q19"/>
    <hyperlink r:id="rId20" ref="Q20"/>
    <hyperlink r:id="rId21" ref="Q21"/>
  </hyperlinks>
  <drawing r:id="rId22"/>
  <legacy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13"/>
  </cols>
  <sheetData>
    <row r="1">
      <c r="A1" s="2" t="s">
        <v>157</v>
      </c>
      <c r="B1" s="2" t="s">
        <v>158</v>
      </c>
      <c r="C1" s="2" t="s">
        <v>7</v>
      </c>
      <c r="D1" s="2" t="s">
        <v>159</v>
      </c>
      <c r="E1" s="2" t="s">
        <v>160</v>
      </c>
      <c r="F1" s="2" t="s">
        <v>161</v>
      </c>
      <c r="G1" s="2" t="s">
        <v>162</v>
      </c>
      <c r="H1" s="2" t="s">
        <v>163</v>
      </c>
      <c r="I1" s="2" t="s">
        <v>164</v>
      </c>
      <c r="J1" s="2" t="s">
        <v>165</v>
      </c>
      <c r="K1" s="2" t="s">
        <v>166</v>
      </c>
      <c r="L1" s="2" t="s">
        <v>167</v>
      </c>
      <c r="M1" s="2" t="s">
        <v>168</v>
      </c>
      <c r="N1" s="2" t="s">
        <v>169</v>
      </c>
    </row>
    <row r="2">
      <c r="A2" s="1" t="s">
        <v>29</v>
      </c>
      <c r="B2" s="1">
        <f t="shared" ref="B2:B671" si="1">len(A2)</f>
        <v>16</v>
      </c>
      <c r="C2" s="1">
        <v>308.0</v>
      </c>
      <c r="D2" s="1">
        <v>0.0</v>
      </c>
      <c r="E2" s="1">
        <v>300.0</v>
      </c>
      <c r="F2" s="6">
        <v>0.733766233766233</v>
      </c>
      <c r="G2" s="1">
        <v>266.0</v>
      </c>
      <c r="H2" s="1">
        <v>82.0</v>
      </c>
      <c r="I2" s="1">
        <v>309.0</v>
      </c>
      <c r="J2" s="1">
        <v>297.0</v>
      </c>
      <c r="K2" s="1">
        <v>3.51515151515151</v>
      </c>
      <c r="L2" s="8" t="str">
        <f>vlookup(A2,salesx_all!B:E,2,0)</f>
        <v>2025 State of Sales | Small to Mid-Size Businesses</v>
      </c>
      <c r="M2" s="8" t="str">
        <f>vlookup(A2,salesx_all!B:D,3,0)</f>
        <v>The State of Sales: Crafting High-Performing Sales Organizations</v>
      </c>
      <c r="N2" s="8" t="str">
        <f>vlookup(A2,salesx_all!B:E,4,0)</f>
        <v>Sales Strategy</v>
      </c>
    </row>
    <row r="3">
      <c r="A3" s="1" t="s">
        <v>18</v>
      </c>
      <c r="B3" s="1">
        <f t="shared" si="1"/>
        <v>18</v>
      </c>
      <c r="C3" s="1">
        <v>249.0</v>
      </c>
      <c r="D3" s="1">
        <v>2.0</v>
      </c>
      <c r="E3" s="1">
        <v>206.0</v>
      </c>
      <c r="F3" s="6">
        <v>0.176706827309236</v>
      </c>
      <c r="G3" s="1">
        <v>28.0</v>
      </c>
      <c r="H3" s="1">
        <v>205.0</v>
      </c>
      <c r="I3" s="1">
        <v>269.0</v>
      </c>
      <c r="J3" s="1">
        <v>203.0</v>
      </c>
      <c r="K3" s="1">
        <v>39.2216748768472</v>
      </c>
      <c r="L3" s="8" t="str">
        <f>vlookup(A3,salesx_all!B:E,2,0)</f>
        <v>Tailored Sales Solutions for Your Business</v>
      </c>
      <c r="M3" s="8" t="str">
        <f>vlookup(A3,salesx_all!B:D,3,0)</f>
        <v>Fractional Sales Leader: Your Source for Sales Success</v>
      </c>
      <c r="N3" s="8" t="str">
        <f>vlookup(A3,salesx_all!B:E,4,0)</f>
        <v>Certified Sales Operating Management SystemTM</v>
      </c>
    </row>
    <row r="4">
      <c r="A4" s="1" t="s">
        <v>170</v>
      </c>
      <c r="B4" s="1">
        <f t="shared" si="1"/>
        <v>12</v>
      </c>
      <c r="C4" s="1">
        <v>153.0</v>
      </c>
      <c r="D4" s="1">
        <v>0.0</v>
      </c>
      <c r="E4" s="1">
        <v>152.0</v>
      </c>
      <c r="F4" s="6">
        <v>0.248366013071895</v>
      </c>
      <c r="G4" s="1">
        <v>50.0</v>
      </c>
      <c r="H4" s="1">
        <v>115.0</v>
      </c>
      <c r="I4" s="1">
        <v>205.0</v>
      </c>
      <c r="J4" s="1">
        <v>152.0</v>
      </c>
      <c r="K4" s="1">
        <v>24.0263157894736</v>
      </c>
      <c r="L4" s="8" t="str">
        <f>vlookup(A4,salesx_all!B:E,2,0)</f>
        <v>Contact Us</v>
      </c>
      <c r="M4" s="8" t="str">
        <f>vlookup(A4,salesx_all!B:D,3,0)</f>
        <v/>
      </c>
      <c r="N4" s="8" t="str">
        <f>vlookup(A4,salesx_all!B:E,4,0)</f>
        <v/>
      </c>
    </row>
    <row r="5">
      <c r="A5" s="1" t="s">
        <v>171</v>
      </c>
      <c r="B5" s="1">
        <f t="shared" si="1"/>
        <v>10</v>
      </c>
      <c r="C5" s="1">
        <v>126.0</v>
      </c>
      <c r="D5" s="1">
        <v>0.0</v>
      </c>
      <c r="E5" s="1">
        <v>114.0</v>
      </c>
      <c r="F5" s="6">
        <v>0.253968253968253</v>
      </c>
      <c r="G5" s="1">
        <v>58.0</v>
      </c>
      <c r="H5" s="1">
        <v>94.0</v>
      </c>
      <c r="I5" s="1">
        <v>121.0</v>
      </c>
      <c r="J5" s="1">
        <v>113.0</v>
      </c>
      <c r="K5" s="1">
        <v>21.1415929203539</v>
      </c>
      <c r="L5" s="8" t="str">
        <f>vlookup(A5,salesx_all!B:E,2,0)</f>
        <v>Sales Against The Odds</v>
      </c>
      <c r="M5" s="8" t="str">
        <f>vlookup(A5,salesx_all!B:D,3,0)</f>
        <v>Latest Episode</v>
      </c>
      <c r="N5" s="8" t="str">
        <f>vlookup(A5,salesx_all!B:E,4,0)</f>
        <v>Episode Library</v>
      </c>
    </row>
    <row r="6">
      <c r="A6" s="1" t="s">
        <v>172</v>
      </c>
      <c r="B6" s="1">
        <f t="shared" si="1"/>
        <v>22</v>
      </c>
      <c r="C6" s="1">
        <v>95.0</v>
      </c>
      <c r="D6" s="1">
        <v>0.0</v>
      </c>
      <c r="E6" s="1">
        <v>75.0</v>
      </c>
      <c r="F6" s="6">
        <v>0.589473684210526</v>
      </c>
      <c r="G6" s="1">
        <v>43.0</v>
      </c>
      <c r="H6" s="1">
        <v>39.0</v>
      </c>
      <c r="I6" s="1">
        <v>135.0</v>
      </c>
      <c r="J6" s="1">
        <v>74.0</v>
      </c>
      <c r="K6" s="1">
        <v>51.6621621621621</v>
      </c>
      <c r="L6" s="8" t="str">
        <f>vlookup(A6,salesx_all!B:E,2,0)</f>
        <v>Free Sales Tools and Resources</v>
      </c>
      <c r="M6" s="8" t="str">
        <f>vlookup(A6,salesx_all!B:D,3,0)</f>
        <v>Not sure where to start? Here are our top picks:</v>
      </c>
      <c r="N6" s="8" t="str">
        <f>vlookup(A6,salesx_all!B:E,4,0)</f>
        <v>The AI Security Playbook: 6 Essentials Every Sales Organization Needs</v>
      </c>
    </row>
    <row r="7">
      <c r="A7" s="1" t="s">
        <v>173</v>
      </c>
      <c r="B7" s="1">
        <f t="shared" si="1"/>
        <v>14</v>
      </c>
      <c r="C7" s="1">
        <v>92.0</v>
      </c>
      <c r="D7" s="1">
        <v>0.0</v>
      </c>
      <c r="E7" s="1">
        <v>87.0</v>
      </c>
      <c r="F7" s="6">
        <v>0.521739130434782</v>
      </c>
      <c r="G7" s="1">
        <v>58.0</v>
      </c>
      <c r="H7" s="1">
        <v>44.0</v>
      </c>
      <c r="I7" s="1">
        <v>102.0</v>
      </c>
      <c r="J7" s="1">
        <v>86.0</v>
      </c>
      <c r="K7" s="1">
        <v>18.8023255813953</v>
      </c>
      <c r="L7" s="8" t="str">
        <f>vlookup(A7,salesx_all!B:E,2,0)</f>
        <v>Sales Success Stories and Case Studies</v>
      </c>
      <c r="M7" s="8" t="str">
        <f>vlookup(A7,salesx_all!B:D,3,0)</f>
        <v>Featured Case Studies</v>
      </c>
      <c r="N7" s="8" t="str">
        <f>vlookup(A7,salesx_all!B:E,4,0)</f>
        <v/>
      </c>
    </row>
    <row r="8">
      <c r="A8" s="1" t="s">
        <v>52</v>
      </c>
      <c r="B8" s="1">
        <f t="shared" si="1"/>
        <v>46</v>
      </c>
      <c r="C8" s="1">
        <v>89.0</v>
      </c>
      <c r="D8" s="1">
        <v>0.0</v>
      </c>
      <c r="E8" s="1">
        <v>50.0</v>
      </c>
      <c r="F8" s="6">
        <v>0.426966292134831</v>
      </c>
      <c r="G8" s="1">
        <v>44.0</v>
      </c>
      <c r="H8" s="1">
        <v>51.0</v>
      </c>
      <c r="I8" s="1">
        <v>98.0</v>
      </c>
      <c r="J8" s="1">
        <v>49.0</v>
      </c>
      <c r="K8" s="1">
        <v>126.38775510204</v>
      </c>
      <c r="L8" s="8" t="str">
        <f>vlookup(A8,salesx_all!B:E,2,0)</f>
        <v>Investment Profile and Challenges</v>
      </c>
      <c r="M8" s="8" t="str">
        <f>vlookup(A8,salesx_all!B:D,3,0)</f>
        <v>$5M Turnaround: Inside Sales Xceleration's Sales Growth Strategy</v>
      </c>
      <c r="N8" s="8" t="str">
        <f>vlookup(A8,salesx_all!B:E,4,0)</f>
        <v>Portfolio Company Challenges</v>
      </c>
    </row>
    <row r="9">
      <c r="A9" s="1" t="s">
        <v>37</v>
      </c>
      <c r="B9" s="1">
        <f t="shared" si="1"/>
        <v>16</v>
      </c>
      <c r="C9" s="1">
        <v>83.0</v>
      </c>
      <c r="D9" s="1">
        <v>0.0</v>
      </c>
      <c r="E9" s="1">
        <v>70.0</v>
      </c>
      <c r="F9" s="6">
        <v>0.180722891566265</v>
      </c>
      <c r="G9" s="1">
        <v>7.0</v>
      </c>
      <c r="H9" s="1">
        <v>68.0</v>
      </c>
      <c r="I9" s="1">
        <v>87.0</v>
      </c>
      <c r="J9" s="1">
        <v>70.0</v>
      </c>
      <c r="K9" s="1">
        <v>76.5285714285714</v>
      </c>
      <c r="L9" s="8" t="str">
        <f>vlookup(A9,salesx_all!B:E,2,0)</f>
        <v>Sales Strategy Consulting Services</v>
      </c>
      <c r="M9" s="8" t="str">
        <f>vlookup(A9,salesx_all!B:D,3,0)</f>
        <v>Transform Your Sales with Proven Expertise</v>
      </c>
      <c r="N9" s="8" t="str">
        <f>vlookup(A9,salesx_all!B:E,4,0)</f>
        <v>Build Your Sales Strategy with Our Proven Framework</v>
      </c>
    </row>
    <row r="10">
      <c r="A10" s="1" t="s">
        <v>174</v>
      </c>
      <c r="B10" s="1">
        <f t="shared" si="1"/>
        <v>28</v>
      </c>
      <c r="C10" s="1">
        <v>65.0</v>
      </c>
      <c r="D10" s="1">
        <v>0.0</v>
      </c>
      <c r="E10" s="1">
        <v>57.0</v>
      </c>
      <c r="F10" s="6">
        <v>0.215384615384615</v>
      </c>
      <c r="G10" s="1">
        <v>11.0</v>
      </c>
      <c r="H10" s="1">
        <v>51.0</v>
      </c>
      <c r="I10" s="1">
        <v>64.0</v>
      </c>
      <c r="J10" s="1">
        <v>57.0</v>
      </c>
      <c r="K10" s="1">
        <v>57.6842105263157</v>
      </c>
      <c r="L10" s="8" t="str">
        <f>vlookup(A10,salesx_all!B:E,2,0)</f>
        <v>Frequently Asked Questions</v>
      </c>
      <c r="M10" s="8" t="str">
        <f>vlookup(A10,salesx_all!B:D,3,0)</f>
        <v>General Questions</v>
      </c>
      <c r="N10" s="8" t="str">
        <f>vlookup(A10,salesx_all!B:E,4,0)</f>
        <v>Engagement &amp; Pricing</v>
      </c>
    </row>
    <row r="11">
      <c r="A11" s="1" t="s">
        <v>100</v>
      </c>
      <c r="B11" s="1">
        <f t="shared" si="1"/>
        <v>65</v>
      </c>
      <c r="C11" s="1">
        <v>62.0</v>
      </c>
      <c r="D11" s="1">
        <v>0.0</v>
      </c>
      <c r="E11" s="1">
        <v>60.0</v>
      </c>
      <c r="F11" s="6">
        <v>0.338709677419354</v>
      </c>
      <c r="G11" s="1">
        <v>27.0</v>
      </c>
      <c r="H11" s="1">
        <v>41.0</v>
      </c>
      <c r="I11" s="1">
        <v>61.0</v>
      </c>
      <c r="J11" s="1">
        <v>60.0</v>
      </c>
      <c r="K11" s="1">
        <v>27.0166666666666</v>
      </c>
      <c r="L11" s="8" t="str">
        <f>vlookup(A11,salesx_all!B:E,2,0)</f>
        <v>Company Profile and Challenges</v>
      </c>
      <c r="M11" s="8" t="str">
        <f>vlookup(A11,salesx_all!B:D,3,0)</f>
        <v>25x Return On Investment In One Year: How Sales Xceleration Increased Value</v>
      </c>
      <c r="N11" s="8" t="str">
        <f>vlookup(A11,salesx_all!B:E,4,0)</f>
        <v>Platform/Portfolio Company Challenges</v>
      </c>
    </row>
    <row r="12">
      <c r="A12" s="1" t="s">
        <v>175</v>
      </c>
      <c r="B12" s="1">
        <f t="shared" si="1"/>
        <v>67</v>
      </c>
      <c r="C12" s="1">
        <v>59.0</v>
      </c>
      <c r="D12" s="1">
        <v>0.0</v>
      </c>
      <c r="E12" s="1">
        <v>56.0</v>
      </c>
      <c r="F12" s="6">
        <v>0.389830508474576</v>
      </c>
      <c r="G12" s="1">
        <v>26.0</v>
      </c>
      <c r="H12" s="1">
        <v>36.0</v>
      </c>
      <c r="I12" s="1">
        <v>50.0</v>
      </c>
      <c r="J12" s="1">
        <v>56.0</v>
      </c>
      <c r="K12" s="1">
        <v>7.91071428571428</v>
      </c>
      <c r="L12" s="8" t="str">
        <f>vlookup(A12,salesx_all!B:E,2,0)</f>
        <v>#N/A</v>
      </c>
      <c r="M12" s="8" t="str">
        <f>vlookup(A12,salesx_all!B:D,3,0)</f>
        <v>#N/A</v>
      </c>
      <c r="N12" s="8" t="str">
        <f>vlookup(A12,salesx_all!B:E,4,0)</f>
        <v>#N/A</v>
      </c>
    </row>
    <row r="13">
      <c r="A13" s="1" t="s">
        <v>75</v>
      </c>
      <c r="B13" s="1">
        <f t="shared" si="1"/>
        <v>41</v>
      </c>
      <c r="C13" s="1">
        <v>57.0</v>
      </c>
      <c r="D13" s="1">
        <v>0.0</v>
      </c>
      <c r="E13" s="1">
        <v>42.0</v>
      </c>
      <c r="F13" s="6">
        <v>0.456140350877192</v>
      </c>
      <c r="G13" s="1">
        <v>10.0</v>
      </c>
      <c r="H13" s="1">
        <v>31.0</v>
      </c>
      <c r="I13" s="1">
        <v>59.0</v>
      </c>
      <c r="J13" s="1">
        <v>40.0</v>
      </c>
      <c r="K13" s="1">
        <v>22.925</v>
      </c>
      <c r="L13" s="8" t="str">
        <f>vlookup(A13,salesx_all!B:E,2,0)</f>
        <v>Private Equity Growth with Expert Sales Strategies</v>
      </c>
      <c r="M13" s="8" t="str">
        <f>vlookup(A13,salesx_all!B:D,3,0)</f>
        <v>Accelerate Growth. Maximize Returns.</v>
      </c>
      <c r="N13" s="8" t="str">
        <f>vlookup(A13,salesx_all!B:E,4,0)</f>
        <v>Maximizing Organic Growth</v>
      </c>
    </row>
    <row r="14">
      <c r="A14" s="1" t="s">
        <v>176</v>
      </c>
      <c r="B14" s="1">
        <f t="shared" si="1"/>
        <v>14</v>
      </c>
      <c r="C14" s="1">
        <v>55.0</v>
      </c>
      <c r="D14" s="1">
        <v>0.0</v>
      </c>
      <c r="E14" s="1">
        <v>46.0</v>
      </c>
      <c r="F14" s="6">
        <v>0.127272727272727</v>
      </c>
      <c r="G14" s="1">
        <v>5.0</v>
      </c>
      <c r="H14" s="1">
        <v>48.0</v>
      </c>
      <c r="I14" s="1">
        <v>55.0</v>
      </c>
      <c r="J14" s="1">
        <v>46.0</v>
      </c>
      <c r="K14" s="1">
        <v>38.9565217391304</v>
      </c>
      <c r="L14" s="8" t="str">
        <f>vlookup(A14,salesx_all!B:E,2,0)</f>
        <v>How We Serve</v>
      </c>
      <c r="M14" s="8" t="str">
        <f>vlookup(A14,salesx_all!B:D,3,0)</f>
        <v>“Integrity, character and ethics, lived out in service for others"</v>
      </c>
      <c r="N14" s="8" t="str">
        <f>vlookup(A14,salesx_all!B:E,4,0)</f>
        <v>Sales Xceleration Day of Giving</v>
      </c>
    </row>
    <row r="15">
      <c r="A15" s="1" t="s">
        <v>177</v>
      </c>
      <c r="B15" s="1">
        <f t="shared" si="1"/>
        <v>14</v>
      </c>
      <c r="C15" s="1">
        <v>52.0</v>
      </c>
      <c r="D15" s="1">
        <v>0.0</v>
      </c>
      <c r="E15" s="1">
        <v>44.0</v>
      </c>
      <c r="F15" s="6">
        <v>0.346153846153846</v>
      </c>
      <c r="G15" s="1">
        <v>17.0</v>
      </c>
      <c r="H15" s="1">
        <v>34.0</v>
      </c>
      <c r="I15" s="1">
        <v>48.0</v>
      </c>
      <c r="J15" s="1">
        <v>44.0</v>
      </c>
      <c r="K15" s="1">
        <v>60.5454545454545</v>
      </c>
      <c r="L15" s="8" t="str">
        <f>vlookup(A15,salesx_all!B:E,2,0)</f>
        <v>Client Testimonials and Success Stories from Sales Xceleration</v>
      </c>
      <c r="M15" s="8" t="str">
        <f>vlookup(A15,salesx_all!B:D,3,0)</f>
        <v/>
      </c>
      <c r="N15" s="8" t="str">
        <f>vlookup(A15,salesx_all!B:E,4,0)</f>
        <v/>
      </c>
    </row>
    <row r="16">
      <c r="A16" s="1" t="s">
        <v>68</v>
      </c>
      <c r="B16" s="1">
        <f t="shared" si="1"/>
        <v>12</v>
      </c>
      <c r="C16" s="1">
        <v>50.0</v>
      </c>
      <c r="D16" s="1">
        <v>0.0</v>
      </c>
      <c r="E16" s="1">
        <v>45.0</v>
      </c>
      <c r="F16" s="6">
        <v>0.12</v>
      </c>
      <c r="G16" s="1">
        <v>5.0</v>
      </c>
      <c r="H16" s="1">
        <v>44.0</v>
      </c>
      <c r="I16" s="1">
        <v>53.0</v>
      </c>
      <c r="J16" s="1">
        <v>45.0</v>
      </c>
      <c r="K16" s="1">
        <v>17.9555555555555</v>
      </c>
      <c r="L16" s="8" t="str">
        <f>vlookup(A16,salesx_all!B:E,2,0)</f>
        <v>Sales Team Development Services</v>
      </c>
      <c r="M16" s="8" t="str">
        <f>vlookup(A16,salesx_all!B:D,3,0)</f>
        <v>Your Foundation for Scalable and Efficient Growth</v>
      </c>
      <c r="N16" s="8" t="str">
        <f>vlookup(A16,salesx_all!B:E,4,0)</f>
        <v>Read Real Success Stories</v>
      </c>
    </row>
    <row r="17">
      <c r="A17" s="1" t="s">
        <v>178</v>
      </c>
      <c r="B17" s="1">
        <f t="shared" si="1"/>
        <v>24</v>
      </c>
      <c r="C17" s="1">
        <v>49.0</v>
      </c>
      <c r="D17" s="1">
        <v>0.0</v>
      </c>
      <c r="E17" s="1">
        <v>49.0</v>
      </c>
      <c r="F17" s="6">
        <v>0.979591836734693</v>
      </c>
      <c r="G17" s="1">
        <v>49.0</v>
      </c>
      <c r="H17" s="1">
        <v>1.0</v>
      </c>
      <c r="I17" s="1">
        <v>49.0</v>
      </c>
      <c r="J17" s="1">
        <v>49.0</v>
      </c>
      <c r="K17" s="1">
        <v>0.448979591836734</v>
      </c>
      <c r="L17" s="8" t="str">
        <f>vlookup(A17,salesx_all!B:E,2,0)</f>
        <v>#N/A</v>
      </c>
      <c r="M17" s="8" t="str">
        <f>vlookup(A17,salesx_all!B:D,3,0)</f>
        <v>#N/A</v>
      </c>
      <c r="N17" s="8" t="str">
        <f>vlookup(A17,salesx_all!B:E,4,0)</f>
        <v>#N/A</v>
      </c>
    </row>
    <row r="18">
      <c r="A18" s="1" t="s">
        <v>44</v>
      </c>
      <c r="B18" s="1">
        <f t="shared" si="1"/>
        <v>26</v>
      </c>
      <c r="C18" s="1">
        <v>47.0</v>
      </c>
      <c r="D18" s="1">
        <v>0.0</v>
      </c>
      <c r="E18" s="1">
        <v>38.0</v>
      </c>
      <c r="F18" s="6">
        <v>0.148936170212765</v>
      </c>
      <c r="G18" s="1">
        <v>1.0</v>
      </c>
      <c r="H18" s="1">
        <v>40.0</v>
      </c>
      <c r="I18" s="1">
        <v>66.0</v>
      </c>
      <c r="J18" s="1">
        <v>37.0</v>
      </c>
      <c r="K18" s="1">
        <v>86.2162162162162</v>
      </c>
      <c r="L18" s="8" t="str">
        <f>vlookup(A18,salesx_all!B:E,2,0)</f>
        <v>Creating Scalable, Profitable Revenue Growth</v>
      </c>
      <c r="M18" s="8" t="str">
        <f>vlookup(A18,salesx_all!B:D,3,0)</f>
        <v>Our Advisors have a proven track record of collaborating with PE Firms</v>
      </c>
      <c r="N18" s="8" t="str">
        <f>vlookup(A18,salesx_all!B:E,4,0)</f>
        <v>Maximize Your Return on Investment</v>
      </c>
    </row>
    <row r="19">
      <c r="A19" s="1" t="s">
        <v>179</v>
      </c>
      <c r="B19" s="1">
        <f t="shared" si="1"/>
        <v>6</v>
      </c>
      <c r="C19" s="1">
        <v>46.0</v>
      </c>
      <c r="D19" s="1">
        <v>0.0</v>
      </c>
      <c r="E19" s="1">
        <v>33.0</v>
      </c>
      <c r="F19" s="6">
        <v>0.347826086956521</v>
      </c>
      <c r="G19" s="1">
        <v>16.0</v>
      </c>
      <c r="H19" s="1">
        <v>30.0</v>
      </c>
      <c r="I19" s="1">
        <v>49.0</v>
      </c>
      <c r="J19" s="1">
        <v>33.0</v>
      </c>
      <c r="K19" s="1">
        <v>42.6969696969696</v>
      </c>
      <c r="L19" s="8" t="str">
        <f>vlookup(A19,salesx_all!B:E,2,0)</f>
        <v>Expert Sales Tips and Insights from Sales Xceleration</v>
      </c>
      <c r="M19" s="8" t="str">
        <f>vlookup(A19,salesx_all!B:D,3,0)</f>
        <v>Not sure where to start? Here are our top picks:</v>
      </c>
      <c r="N19" s="8" t="str">
        <f>vlookup(A19,salesx_all!B:E,4,0)</f>
        <v>Complete Library</v>
      </c>
    </row>
    <row r="20">
      <c r="A20" s="1" t="s">
        <v>81</v>
      </c>
      <c r="B20" s="1">
        <f t="shared" si="1"/>
        <v>44</v>
      </c>
      <c r="C20" s="1">
        <v>46.0</v>
      </c>
      <c r="D20" s="1">
        <v>0.0</v>
      </c>
      <c r="E20" s="1">
        <v>40.0</v>
      </c>
      <c r="F20" s="6">
        <v>0.304347826086956</v>
      </c>
      <c r="G20" s="1">
        <v>8.0</v>
      </c>
      <c r="H20" s="1">
        <v>32.0</v>
      </c>
      <c r="I20" s="1">
        <v>46.0</v>
      </c>
      <c r="J20" s="1">
        <v>40.0</v>
      </c>
      <c r="K20" s="1">
        <v>15.15</v>
      </c>
      <c r="L20" s="8" t="str">
        <f>vlookup(A20,salesx_all!B:E,2,0)</f>
        <v>Accelerate Your Sales Success with Proven Expertise</v>
      </c>
      <c r="M20" s="8" t="str">
        <f>vlookup(A20,salesx_all!B:D,3,0)</f>
        <v>Maximizing Sales Growth</v>
      </c>
      <c r="N20" s="8" t="str">
        <f>vlookup(A20,salesx_all!B:E,4,0)</f>
        <v>Certified Sales Leadership</v>
      </c>
    </row>
    <row r="21">
      <c r="A21" s="1" t="s">
        <v>180</v>
      </c>
      <c r="B21" s="1">
        <f t="shared" si="1"/>
        <v>34</v>
      </c>
      <c r="C21" s="1">
        <v>44.0</v>
      </c>
      <c r="D21" s="1">
        <v>0.0</v>
      </c>
      <c r="E21" s="1">
        <v>44.0</v>
      </c>
      <c r="F21" s="6">
        <v>0.159090909090909</v>
      </c>
      <c r="G21" s="1">
        <v>21.0</v>
      </c>
      <c r="H21" s="1">
        <v>37.0</v>
      </c>
      <c r="I21" s="1">
        <v>40.0</v>
      </c>
      <c r="J21" s="1">
        <v>44.0</v>
      </c>
      <c r="K21" s="1">
        <v>8.72727272727272</v>
      </c>
      <c r="L21" s="8" t="str">
        <f>vlookup(A21,salesx_all!B:E,2,0)</f>
        <v>Contact Our PE Team</v>
      </c>
      <c r="M21" s="8" t="str">
        <f>vlookup(A21,salesx_all!B:D,3,0)</f>
        <v/>
      </c>
      <c r="N21" s="8" t="str">
        <f>vlookup(A21,salesx_all!B:E,4,0)</f>
        <v/>
      </c>
    </row>
    <row r="22">
      <c r="A22" s="1" t="s">
        <v>61</v>
      </c>
      <c r="B22" s="1">
        <f t="shared" si="1"/>
        <v>22</v>
      </c>
      <c r="C22" s="1">
        <v>42.0</v>
      </c>
      <c r="D22" s="1">
        <v>0.0</v>
      </c>
      <c r="E22" s="1">
        <v>37.0</v>
      </c>
      <c r="F22" s="6">
        <v>0.285714285714285</v>
      </c>
      <c r="G22" s="1">
        <v>8.0</v>
      </c>
      <c r="H22" s="1">
        <v>30.0</v>
      </c>
      <c r="I22" s="1">
        <v>43.0</v>
      </c>
      <c r="J22" s="1">
        <v>36.0</v>
      </c>
      <c r="K22" s="1">
        <v>49.4722222222222</v>
      </c>
      <c r="L22" s="8" t="str">
        <f>vlookup(A22,salesx_all!B:E,2,0)</f>
        <v>Sales Infrastructure Consulting Services</v>
      </c>
      <c r="M22" s="8" t="str">
        <f>vlookup(A22,salesx_all!B:D,3,0)</f>
        <v>What is Sales Infrastructure?</v>
      </c>
      <c r="N22" s="8" t="str">
        <f>vlookup(A22,salesx_all!B:E,4,0)</f>
        <v>Your Foundation for Scalable and Efficient Growth</v>
      </c>
    </row>
    <row r="23">
      <c r="A23" s="1" t="s">
        <v>181</v>
      </c>
      <c r="B23" s="1">
        <f t="shared" si="1"/>
        <v>39</v>
      </c>
      <c r="C23" s="1">
        <v>41.0</v>
      </c>
      <c r="D23" s="1">
        <v>0.0</v>
      </c>
      <c r="E23" s="1">
        <v>32.0</v>
      </c>
      <c r="F23" s="6">
        <v>0.121951219512195</v>
      </c>
      <c r="G23" s="1">
        <v>3.0</v>
      </c>
      <c r="H23" s="1">
        <v>36.0</v>
      </c>
      <c r="I23" s="1">
        <v>45.0</v>
      </c>
      <c r="J23" s="1">
        <v>32.0</v>
      </c>
      <c r="K23" s="1">
        <v>17.8125</v>
      </c>
      <c r="L23" s="8" t="str">
        <f>vlookup(A23,salesx_all!B:E,2,0)</f>
        <v>Private Equity Case Studies</v>
      </c>
      <c r="M23" s="8" t="str">
        <f>vlookup(A23,salesx_all!B:D,3,0)</f>
        <v>Let’s build your path to profitability, together.</v>
      </c>
      <c r="N23" s="8" t="str">
        <f>vlookup(A23,salesx_all!B:E,4,0)</f>
        <v/>
      </c>
    </row>
    <row r="24">
      <c r="A24" s="1" t="s">
        <v>97</v>
      </c>
      <c r="B24" s="1">
        <f t="shared" si="1"/>
        <v>18</v>
      </c>
      <c r="C24" s="1">
        <v>41.0</v>
      </c>
      <c r="D24" s="1">
        <v>0.0</v>
      </c>
      <c r="E24" s="1">
        <v>37.0</v>
      </c>
      <c r="F24" s="6">
        <v>0.439024390243902</v>
      </c>
      <c r="G24" s="1">
        <v>16.0</v>
      </c>
      <c r="H24" s="1">
        <v>23.0</v>
      </c>
      <c r="I24" s="1">
        <v>41.0</v>
      </c>
      <c r="J24" s="1">
        <v>37.0</v>
      </c>
      <c r="K24" s="1">
        <v>23.6486486486486</v>
      </c>
      <c r="L24" s="8" t="str">
        <f>vlookup(A24,salesx_all!B:E,2,0)</f>
        <v>Sales Management Consulting Services</v>
      </c>
      <c r="M24" s="8" t="str">
        <f>vlookup(A24,salesx_all!B:D,3,0)</f>
        <v>Transform Your Sales with Proven Expertise</v>
      </c>
      <c r="N24" s="8" t="str">
        <f>vlookup(A24,salesx_all!B:E,4,0)</f>
        <v>How We Build Your Sales Success</v>
      </c>
    </row>
    <row r="25">
      <c r="A25" s="1" t="s">
        <v>182</v>
      </c>
      <c r="B25" s="1">
        <f t="shared" si="1"/>
        <v>25</v>
      </c>
      <c r="C25" s="1">
        <v>36.0</v>
      </c>
      <c r="D25" s="1">
        <v>0.0</v>
      </c>
      <c r="E25" s="1">
        <v>34.0</v>
      </c>
      <c r="F25" s="6">
        <v>0.888888888888888</v>
      </c>
      <c r="G25" s="1">
        <v>33.0</v>
      </c>
      <c r="H25" s="1">
        <v>4.0</v>
      </c>
      <c r="I25" s="1">
        <v>35.0</v>
      </c>
      <c r="J25" s="1">
        <v>34.0</v>
      </c>
      <c r="K25" s="1">
        <v>1.29411764705882</v>
      </c>
      <c r="L25" s="8" t="str">
        <f>vlookup(A25,salesx_all!B:E,2,0)</f>
        <v>#N/A</v>
      </c>
      <c r="M25" s="8" t="str">
        <f>vlookup(A25,salesx_all!B:D,3,0)</f>
        <v>#N/A</v>
      </c>
      <c r="N25" s="8" t="str">
        <f>vlookup(A25,salesx_all!B:E,4,0)</f>
        <v>#N/A</v>
      </c>
    </row>
    <row r="26">
      <c r="A26" s="1" t="s">
        <v>124</v>
      </c>
      <c r="B26" s="1">
        <f t="shared" si="1"/>
        <v>14</v>
      </c>
      <c r="C26" s="1">
        <v>35.0</v>
      </c>
      <c r="D26" s="1">
        <v>0.0</v>
      </c>
      <c r="E26" s="1">
        <v>31.0</v>
      </c>
      <c r="F26" s="6">
        <v>0.2</v>
      </c>
      <c r="G26" s="1">
        <v>7.0</v>
      </c>
      <c r="H26" s="1">
        <v>28.0</v>
      </c>
      <c r="I26" s="1">
        <v>33.0</v>
      </c>
      <c r="J26" s="1">
        <v>31.0</v>
      </c>
      <c r="K26" s="1">
        <v>22.8709677419354</v>
      </c>
      <c r="L26" s="8" t="str">
        <f>vlookup(A26,salesx_all!B:E,2,0)</f>
        <v>Artificial Intelligence (AI) for Sales</v>
      </c>
      <c r="M26" s="8" t="str">
        <f>vlookup(A26,salesx_all!B:D,3,0)</f>
        <v>Embrace AI to Enhance Sales Strategies</v>
      </c>
      <c r="N26" s="8" t="str">
        <f>vlookup(A26,salesx_all!B:E,4,0)</f>
        <v/>
      </c>
    </row>
    <row r="27">
      <c r="A27" s="1" t="s">
        <v>89</v>
      </c>
      <c r="B27" s="1">
        <f t="shared" si="1"/>
        <v>23</v>
      </c>
      <c r="C27" s="1">
        <v>32.0</v>
      </c>
      <c r="D27" s="1">
        <v>0.0</v>
      </c>
      <c r="E27" s="1">
        <v>22.0</v>
      </c>
      <c r="F27" s="6">
        <v>0.375</v>
      </c>
      <c r="G27" s="1">
        <v>7.0</v>
      </c>
      <c r="H27" s="1">
        <v>20.0</v>
      </c>
      <c r="I27" s="1">
        <v>29.0</v>
      </c>
      <c r="J27" s="1">
        <v>22.0</v>
      </c>
      <c r="K27" s="1">
        <v>55.590909090909</v>
      </c>
      <c r="L27" s="8" t="str">
        <f>vlookup(A27,salesx_all!B:E,2,0)</f>
        <v>Fractional Sales Leadership for Tech Companies</v>
      </c>
      <c r="M27" s="8" t="str">
        <f>vlookup(A27,salesx_all!B:D,3,0)</f>
        <v>Scale Revenue in Competitive Markets</v>
      </c>
      <c r="N27" s="8" t="str">
        <f>vlookup(A27,salesx_all!B:E,4,0)</f>
        <v>Key Sales Challenges in the Tech Space</v>
      </c>
    </row>
    <row r="28">
      <c r="A28" s="1" t="s">
        <v>183</v>
      </c>
      <c r="B28" s="1">
        <f t="shared" si="1"/>
        <v>84</v>
      </c>
      <c r="C28" s="1">
        <v>31.0</v>
      </c>
      <c r="D28" s="1">
        <v>0.0</v>
      </c>
      <c r="E28" s="1">
        <v>23.0</v>
      </c>
      <c r="F28" s="6">
        <v>0.806451612903225</v>
      </c>
      <c r="G28" s="1">
        <v>22.0</v>
      </c>
      <c r="H28" s="1">
        <v>6.0</v>
      </c>
      <c r="I28" s="1">
        <v>27.0</v>
      </c>
      <c r="J28" s="1">
        <v>23.0</v>
      </c>
      <c r="K28" s="1">
        <v>10.9565217391304</v>
      </c>
      <c r="L28" s="8" t="str">
        <f>vlookup(A28,salesx_all!B:E,2,0)</f>
        <v>Answer Your Customer’s Three Whys to Ensure Your Sales Process is Perfectly Aligned</v>
      </c>
      <c r="M28" s="8" t="str">
        <f>vlookup(A28,salesx_all!B:D,3,0)</f>
        <v>Why do anything? Confirming the Business Necessity</v>
      </c>
      <c r="N28" s="8" t="str">
        <f>vlookup(A28,salesx_all!B:E,4,0)</f>
        <v>Why you? Choosing Who to Work With and What Solution to Buy</v>
      </c>
    </row>
    <row r="29">
      <c r="A29" s="1" t="s">
        <v>184</v>
      </c>
      <c r="B29" s="1">
        <f t="shared" si="1"/>
        <v>25</v>
      </c>
      <c r="C29" s="1">
        <v>31.0</v>
      </c>
      <c r="D29" s="1">
        <v>0.0</v>
      </c>
      <c r="E29" s="1">
        <v>31.0</v>
      </c>
      <c r="F29" s="6">
        <v>1.0</v>
      </c>
      <c r="G29" s="1">
        <v>30.0</v>
      </c>
      <c r="H29" s="1">
        <v>0.0</v>
      </c>
      <c r="I29" s="1">
        <v>30.0</v>
      </c>
      <c r="J29" s="1">
        <v>31.0</v>
      </c>
      <c r="K29" s="1">
        <v>0.64516129032258</v>
      </c>
      <c r="L29" s="8" t="str">
        <f>vlookup(A29,salesx_all!B:E,2,0)</f>
        <v>#N/A</v>
      </c>
      <c r="M29" s="8" t="str">
        <f>vlookup(A29,salesx_all!B:D,3,0)</f>
        <v>#N/A</v>
      </c>
      <c r="N29" s="8" t="str">
        <f>vlookup(A29,salesx_all!B:E,4,0)</f>
        <v>#N/A</v>
      </c>
    </row>
    <row r="30">
      <c r="A30" s="1" t="s">
        <v>185</v>
      </c>
      <c r="B30" s="1">
        <f t="shared" si="1"/>
        <v>37</v>
      </c>
      <c r="C30" s="1">
        <v>30.0</v>
      </c>
      <c r="D30" s="1">
        <v>0.0</v>
      </c>
      <c r="E30" s="1">
        <v>28.0</v>
      </c>
      <c r="F30" s="6">
        <v>0.366666666666666</v>
      </c>
      <c r="G30" s="1">
        <v>10.0</v>
      </c>
      <c r="H30" s="1">
        <v>19.0</v>
      </c>
      <c r="I30" s="1">
        <v>42.0</v>
      </c>
      <c r="J30" s="1">
        <v>28.0</v>
      </c>
      <c r="K30" s="1">
        <v>18.9285714285714</v>
      </c>
      <c r="L30" s="8" t="str">
        <f>vlookup(A30,salesx_all!B:E,2,0)</f>
        <v>AI Readiness Check: Is Your Sales Organization Ready to Transform?</v>
      </c>
      <c r="M30" s="8" t="str">
        <f>vlookup(A30,salesx_all!B:D,3,0)</f>
        <v/>
      </c>
      <c r="N30" s="8" t="str">
        <f>vlookup(A30,salesx_all!B:E,4,0)</f>
        <v/>
      </c>
    </row>
    <row r="31">
      <c r="A31" s="1" t="s">
        <v>186</v>
      </c>
      <c r="B31" s="1">
        <f t="shared" si="1"/>
        <v>63</v>
      </c>
      <c r="C31" s="1">
        <v>30.0</v>
      </c>
      <c r="D31" s="1">
        <v>0.0</v>
      </c>
      <c r="E31" s="1">
        <v>27.0</v>
      </c>
      <c r="F31" s="6">
        <v>0.466666666666666</v>
      </c>
      <c r="G31" s="1">
        <v>26.0</v>
      </c>
      <c r="H31" s="1">
        <v>16.0</v>
      </c>
      <c r="I31" s="1">
        <v>26.0</v>
      </c>
      <c r="J31" s="1">
        <v>27.0</v>
      </c>
      <c r="K31" s="1">
        <v>66.4444444444444</v>
      </c>
      <c r="L31" s="8" t="str">
        <f>vlookup(A31,salesx_all!B:E,2,0)</f>
        <v>#N/A</v>
      </c>
      <c r="M31" s="8" t="str">
        <f>vlookup(A31,salesx_all!B:D,3,0)</f>
        <v>#N/A</v>
      </c>
      <c r="N31" s="8" t="str">
        <f>vlookup(A31,salesx_all!B:E,4,0)</f>
        <v>#N/A</v>
      </c>
    </row>
    <row r="32">
      <c r="A32" s="1" t="s">
        <v>187</v>
      </c>
      <c r="B32" s="1">
        <f t="shared" si="1"/>
        <v>60</v>
      </c>
      <c r="C32" s="1">
        <v>29.0</v>
      </c>
      <c r="D32" s="1">
        <v>0.0</v>
      </c>
      <c r="E32" s="1">
        <v>29.0</v>
      </c>
      <c r="F32" s="6">
        <v>0.586206896551724</v>
      </c>
      <c r="G32" s="1">
        <v>28.0</v>
      </c>
      <c r="H32" s="1">
        <v>12.0</v>
      </c>
      <c r="I32" s="1">
        <v>36.0</v>
      </c>
      <c r="J32" s="1">
        <v>29.0</v>
      </c>
      <c r="K32" s="1">
        <v>17.2758620689655</v>
      </c>
      <c r="L32" s="8" t="str">
        <f>vlookup(A32,salesx_all!B:E,2,0)</f>
        <v>#N/A</v>
      </c>
      <c r="M32" s="8" t="str">
        <f>vlookup(A32,salesx_all!B:D,3,0)</f>
        <v>#N/A</v>
      </c>
      <c r="N32" s="8" t="str">
        <f>vlookup(A32,salesx_all!B:E,4,0)</f>
        <v>#N/A</v>
      </c>
    </row>
    <row r="33">
      <c r="A33" s="1" t="s">
        <v>188</v>
      </c>
      <c r="B33" s="1">
        <f t="shared" si="1"/>
        <v>49</v>
      </c>
      <c r="C33" s="1">
        <v>27.0</v>
      </c>
      <c r="D33" s="1">
        <v>0.0</v>
      </c>
      <c r="E33" s="1">
        <v>23.0</v>
      </c>
      <c r="F33" s="6">
        <v>0.74074074074074</v>
      </c>
      <c r="G33" s="1">
        <v>22.0</v>
      </c>
      <c r="H33" s="1">
        <v>7.0</v>
      </c>
      <c r="I33" s="1">
        <v>25.0</v>
      </c>
      <c r="J33" s="1">
        <v>23.0</v>
      </c>
      <c r="K33" s="1">
        <v>15.6521739130434</v>
      </c>
      <c r="L33" s="8" t="str">
        <f>vlookup(A33,salesx_all!B:E,2,0)</f>
        <v>Important Benefits and Pitfalls of AI for Sales</v>
      </c>
      <c r="M33" s="8" t="str">
        <f>vlookup(A33,salesx_all!B:D,3,0)</f>
        <v>What Is AI?</v>
      </c>
      <c r="N33" s="8" t="str">
        <f>vlookup(A33,salesx_all!B:E,4,0)</f>
        <v>And What Is ChatGPT?</v>
      </c>
    </row>
    <row r="34">
      <c r="A34" s="1" t="s">
        <v>106</v>
      </c>
      <c r="B34" s="1">
        <f t="shared" si="1"/>
        <v>34</v>
      </c>
      <c r="C34" s="1">
        <v>25.0</v>
      </c>
      <c r="D34" s="1">
        <v>0.0</v>
      </c>
      <c r="E34" s="1">
        <v>21.0</v>
      </c>
      <c r="F34" s="6">
        <v>0.56</v>
      </c>
      <c r="G34" s="1">
        <v>12.0</v>
      </c>
      <c r="H34" s="1">
        <v>11.0</v>
      </c>
      <c r="I34" s="1">
        <v>24.0</v>
      </c>
      <c r="J34" s="1">
        <v>20.0</v>
      </c>
      <c r="K34" s="1">
        <v>26.7</v>
      </c>
      <c r="L34" s="8" t="str">
        <f>vlookup(A34,salesx_all!B:E,2,0)</f>
        <v>Fractional Sales Leadership for Professional Services</v>
      </c>
      <c r="M34" s="8" t="str">
        <f>vlookup(A34,salesx_all!B:D,3,0)</f>
        <v>Scale Revenue in Competitive Markets</v>
      </c>
      <c r="N34" s="8" t="str">
        <f>vlookup(A34,salesx_all!B:E,4,0)</f>
        <v>Key Sales Challenges in Professional Services</v>
      </c>
    </row>
    <row r="35">
      <c r="A35" s="1" t="s">
        <v>189</v>
      </c>
      <c r="B35" s="1">
        <f t="shared" si="1"/>
        <v>94</v>
      </c>
      <c r="C35" s="1">
        <v>25.0</v>
      </c>
      <c r="D35" s="1">
        <v>0.0</v>
      </c>
      <c r="E35" s="1">
        <v>23.0</v>
      </c>
      <c r="F35" s="6">
        <v>0.56</v>
      </c>
      <c r="G35" s="1">
        <v>23.0</v>
      </c>
      <c r="H35" s="1">
        <v>11.0</v>
      </c>
      <c r="I35" s="1">
        <v>25.0</v>
      </c>
      <c r="J35" s="1">
        <v>23.0</v>
      </c>
      <c r="K35" s="1">
        <v>13.7826086956521</v>
      </c>
      <c r="L35" s="8" t="str">
        <f>vlookup(A35,salesx_all!B:E,2,0)</f>
        <v>Which Role is Right for Your New Hire: Account Manager or Business Development Representative?</v>
      </c>
      <c r="M35" s="8" t="str">
        <f>vlookup(A35,salesx_all!B:D,3,0)</f>
        <v>Account Manager (AM)</v>
      </c>
      <c r="N35" s="8" t="str">
        <f>vlookup(A35,salesx_all!B:E,4,0)</f>
        <v>Business Development Representative (BDR)</v>
      </c>
    </row>
    <row r="36">
      <c r="A36" s="1" t="s">
        <v>109</v>
      </c>
      <c r="B36" s="1">
        <f t="shared" si="1"/>
        <v>26</v>
      </c>
      <c r="C36" s="1">
        <v>24.0</v>
      </c>
      <c r="D36" s="1">
        <v>0.0</v>
      </c>
      <c r="E36" s="1">
        <v>21.0</v>
      </c>
      <c r="F36" s="6">
        <v>0.416666666666666</v>
      </c>
      <c r="G36" s="1">
        <v>10.0</v>
      </c>
      <c r="H36" s="1">
        <v>14.0</v>
      </c>
      <c r="I36" s="1">
        <v>23.0</v>
      </c>
      <c r="J36" s="1">
        <v>21.0</v>
      </c>
      <c r="K36" s="1">
        <v>18.6190476190476</v>
      </c>
      <c r="L36" s="8" t="str">
        <f>vlookup(A36,salesx_all!B:E,2,0)</f>
        <v>Fractional Sales Leadership for Manufacturing Companies</v>
      </c>
      <c r="M36" s="8" t="str">
        <f>vlookup(A36,salesx_all!B:D,3,0)</f>
        <v>Scale Revenue in Competitive Markets</v>
      </c>
      <c r="N36" s="8" t="str">
        <f>vlookup(A36,salesx_all!B:E,4,0)</f>
        <v>Key Sales Challenges in Manufacturing</v>
      </c>
    </row>
    <row r="37">
      <c r="A37" s="1" t="s">
        <v>190</v>
      </c>
      <c r="B37" s="1">
        <f t="shared" si="1"/>
        <v>38</v>
      </c>
      <c r="C37" s="1">
        <v>24.0</v>
      </c>
      <c r="D37" s="1">
        <v>0.0</v>
      </c>
      <c r="E37" s="1">
        <v>22.0</v>
      </c>
      <c r="F37" s="6">
        <v>0.625</v>
      </c>
      <c r="G37" s="1">
        <v>21.0</v>
      </c>
      <c r="H37" s="1">
        <v>9.0</v>
      </c>
      <c r="I37" s="1">
        <v>23.0</v>
      </c>
      <c r="J37" s="1">
        <v>22.0</v>
      </c>
      <c r="K37" s="1">
        <v>21.2727272727272</v>
      </c>
      <c r="L37" s="8" t="str">
        <f>vlookup(A37,salesx_all!B:E,2,0)</f>
        <v>The Consequences of Price Reductions</v>
      </c>
      <c r="M37" s="8" t="str">
        <f>vlookup(A37,salesx_all!B:D,3,0)</f>
        <v>Think Twice Before You Discount</v>
      </c>
      <c r="N37" s="8" t="str">
        <f>vlookup(A37,salesx_all!B:E,4,0)</f>
        <v>When should you offer discounts?</v>
      </c>
    </row>
    <row r="38">
      <c r="A38" s="1" t="s">
        <v>191</v>
      </c>
      <c r="B38" s="1">
        <f t="shared" si="1"/>
        <v>80</v>
      </c>
      <c r="C38" s="1">
        <v>23.0</v>
      </c>
      <c r="D38" s="1">
        <v>0.0</v>
      </c>
      <c r="E38" s="1">
        <v>21.0</v>
      </c>
      <c r="F38" s="6">
        <v>0.478260869565217</v>
      </c>
      <c r="G38" s="1">
        <v>21.0</v>
      </c>
      <c r="H38" s="1">
        <v>12.0</v>
      </c>
      <c r="I38" s="1">
        <v>21.0</v>
      </c>
      <c r="J38" s="1">
        <v>21.0</v>
      </c>
      <c r="K38" s="1">
        <v>28.6666666666666</v>
      </c>
      <c r="L38" s="8" t="str">
        <f>vlookup(A38,salesx_all!B:E,2,0)</f>
        <v>Four Essential Elements to Include in Your Sales Action Plan to Increase Sales</v>
      </c>
      <c r="M38" s="8" t="str">
        <f>vlookup(A38,salesx_all!B:D,3,0)</f>
        <v>Is There a Difference Between a Sales Plan and a Sales Action Plan?</v>
      </c>
      <c r="N38" s="8" t="str">
        <f>vlookup(A38,salesx_all!B:E,4,0)</f>
        <v>Sales Action Plan Essential #1: Alignment with Your Sales Plan</v>
      </c>
    </row>
    <row r="39">
      <c r="A39" s="1" t="s">
        <v>192</v>
      </c>
      <c r="B39" s="1">
        <f t="shared" si="1"/>
        <v>34</v>
      </c>
      <c r="C39" s="1">
        <v>22.0</v>
      </c>
      <c r="D39" s="1">
        <v>0.0</v>
      </c>
      <c r="E39" s="1">
        <v>20.0</v>
      </c>
      <c r="F39" s="6">
        <v>0.681818181818181</v>
      </c>
      <c r="G39" s="1">
        <v>20.0</v>
      </c>
      <c r="H39" s="1">
        <v>7.0</v>
      </c>
      <c r="I39" s="1">
        <v>22.0</v>
      </c>
      <c r="J39" s="1">
        <v>20.0</v>
      </c>
      <c r="K39" s="1">
        <v>9.1</v>
      </c>
      <c r="L39" s="8" t="str">
        <f>vlookup(A39,salesx_all!B:E,2,0)</f>
        <v>7 Things Sales Managers Do WRONG</v>
      </c>
      <c r="M39" s="8" t="str">
        <f>vlookup(A39,salesx_all!B:D,3,0)</f>
        <v>Not Setting Clear Goals and Targets</v>
      </c>
      <c r="N39" s="8" t="str">
        <f>vlookup(A39,salesx_all!B:E,4,0)</f>
        <v>Not Providing Enough Training and Support</v>
      </c>
    </row>
    <row r="40">
      <c r="A40" s="1" t="s">
        <v>193</v>
      </c>
      <c r="B40" s="1">
        <f t="shared" si="1"/>
        <v>88</v>
      </c>
      <c r="C40" s="1">
        <v>22.0</v>
      </c>
      <c r="D40" s="1">
        <v>0.0</v>
      </c>
      <c r="E40" s="1">
        <v>22.0</v>
      </c>
      <c r="F40" s="6">
        <v>0.818181818181818</v>
      </c>
      <c r="G40" s="1">
        <v>20.0</v>
      </c>
      <c r="H40" s="1">
        <v>4.0</v>
      </c>
      <c r="I40" s="1">
        <v>22.0</v>
      </c>
      <c r="J40" s="1">
        <v>22.0</v>
      </c>
      <c r="K40" s="1">
        <v>8.31818181818181</v>
      </c>
      <c r="L40" s="8" t="str">
        <f>vlookup(A40,salesx_all!B:E,2,0)</f>
        <v>Payroll Human Resources: Revitalizing Sales Strategy for Sustained Growth</v>
      </c>
      <c r="M40" s="8" t="str">
        <f>vlookup(A40,salesx_all!B:D,3,0)</f>
        <v>Company Profile</v>
      </c>
      <c r="N40" s="8" t="str">
        <f>vlookup(A40,salesx_all!B:E,4,0)</f>
        <v>Sales Success Snapshot</v>
      </c>
    </row>
    <row r="41">
      <c r="A41" s="1" t="s">
        <v>194</v>
      </c>
      <c r="B41" s="1">
        <f t="shared" si="1"/>
        <v>65</v>
      </c>
      <c r="C41" s="1">
        <v>22.0</v>
      </c>
      <c r="D41" s="1">
        <v>0.0</v>
      </c>
      <c r="E41" s="1">
        <v>17.0</v>
      </c>
      <c r="F41" s="6">
        <v>0.59090909090909</v>
      </c>
      <c r="G41" s="1">
        <v>7.0</v>
      </c>
      <c r="H41" s="1">
        <v>9.0</v>
      </c>
      <c r="I41" s="1">
        <v>20.0</v>
      </c>
      <c r="J41" s="1">
        <v>17.0</v>
      </c>
      <c r="K41" s="1">
        <v>8.11764705882352</v>
      </c>
      <c r="L41" s="8" t="str">
        <f>vlookup(A41,salesx_all!B:E,2,0)</f>
        <v>How Clear Messaging Turns Noise Into Revenue with Donald Miller</v>
      </c>
      <c r="M41" s="8" t="str">
        <f>vlookup(A41,salesx_all!B:D,3,0)</f>
        <v/>
      </c>
      <c r="N41" s="8" t="str">
        <f>vlookup(A41,salesx_all!B:E,4,0)</f>
        <v/>
      </c>
    </row>
    <row r="42">
      <c r="A42" s="1" t="s">
        <v>195</v>
      </c>
      <c r="B42" s="1">
        <f t="shared" si="1"/>
        <v>63</v>
      </c>
      <c r="C42" s="1">
        <v>21.0</v>
      </c>
      <c r="D42" s="1">
        <v>0.0</v>
      </c>
      <c r="E42" s="1">
        <v>20.0</v>
      </c>
      <c r="F42" s="6">
        <v>0.285714285714285</v>
      </c>
      <c r="G42" s="1">
        <v>19.0</v>
      </c>
      <c r="H42" s="1">
        <v>15.0</v>
      </c>
      <c r="I42" s="1">
        <v>21.0</v>
      </c>
      <c r="J42" s="1">
        <v>20.0</v>
      </c>
      <c r="K42" s="1">
        <v>20.6</v>
      </c>
      <c r="L42" s="8" t="str">
        <f>vlookup(A42,salesx_all!B:E,2,0)</f>
        <v>You’re Fired! Why You Might Have to Let Your Top Salesperson Go.</v>
      </c>
      <c r="M42" s="8" t="str">
        <f>vlookup(A42,salesx_all!B:D,3,0)</f>
        <v/>
      </c>
      <c r="N42" s="8" t="str">
        <f>vlookup(A42,salesx_all!B:E,4,0)</f>
        <v/>
      </c>
    </row>
    <row r="43">
      <c r="A43" s="1" t="s">
        <v>196</v>
      </c>
      <c r="B43" s="1">
        <f t="shared" si="1"/>
        <v>92</v>
      </c>
      <c r="C43" s="1">
        <v>20.0</v>
      </c>
      <c r="D43" s="1">
        <v>0.0</v>
      </c>
      <c r="E43" s="1">
        <v>18.0</v>
      </c>
      <c r="F43" s="6">
        <v>0.75</v>
      </c>
      <c r="G43" s="1">
        <v>17.0</v>
      </c>
      <c r="H43" s="1">
        <v>5.0</v>
      </c>
      <c r="I43" s="1">
        <v>15.0</v>
      </c>
      <c r="J43" s="1">
        <v>18.0</v>
      </c>
      <c r="K43" s="1">
        <v>23.2222222222222</v>
      </c>
      <c r="L43" s="8" t="str">
        <f>vlookup(A43,salesx_all!B:E,2,0)</f>
        <v>#N/A</v>
      </c>
      <c r="M43" s="8" t="str">
        <f>vlookup(A43,salesx_all!B:D,3,0)</f>
        <v>#N/A</v>
      </c>
      <c r="N43" s="8" t="str">
        <f>vlookup(A43,salesx_all!B:E,4,0)</f>
        <v>#N/A</v>
      </c>
    </row>
    <row r="44">
      <c r="A44" s="1" t="s">
        <v>197</v>
      </c>
      <c r="B44" s="1">
        <f t="shared" si="1"/>
        <v>12</v>
      </c>
      <c r="C44" s="1">
        <v>19.0</v>
      </c>
      <c r="D44" s="1">
        <v>0.0</v>
      </c>
      <c r="E44" s="1">
        <v>15.0</v>
      </c>
      <c r="F44" s="6">
        <v>0.105263157894736</v>
      </c>
      <c r="G44" s="1">
        <v>0.0</v>
      </c>
      <c r="H44" s="1">
        <v>17.0</v>
      </c>
      <c r="I44" s="1">
        <v>17.0</v>
      </c>
      <c r="J44" s="1">
        <v>15.0</v>
      </c>
      <c r="K44" s="1">
        <v>25.0666666666666</v>
      </c>
      <c r="L44" s="8" t="str">
        <f>vlookup(A44,salesx_all!B:E,2,0)</f>
        <v>Industries We Serve</v>
      </c>
      <c r="M44" s="8" t="str">
        <f>vlookup(A44,salesx_all!B:D,3,0)</f>
        <v>Industry-Recognized for Driving Growth</v>
      </c>
      <c r="N44" s="8" t="str">
        <f>vlookup(A44,salesx_all!B:E,4,0)</f>
        <v>Proven Sales Leadership for Your Industry</v>
      </c>
    </row>
    <row r="45">
      <c r="A45" s="1" t="s">
        <v>198</v>
      </c>
      <c r="B45" s="1">
        <f t="shared" si="1"/>
        <v>30</v>
      </c>
      <c r="C45" s="1">
        <v>19.0</v>
      </c>
      <c r="D45" s="1">
        <v>0.0</v>
      </c>
      <c r="E45" s="1">
        <v>19.0</v>
      </c>
      <c r="F45" s="6">
        <v>0.0526315789473684</v>
      </c>
      <c r="G45" s="1">
        <v>2.0</v>
      </c>
      <c r="H45" s="1">
        <v>18.0</v>
      </c>
      <c r="I45" s="1">
        <v>19.0</v>
      </c>
      <c r="J45" s="1">
        <v>19.0</v>
      </c>
      <c r="K45" s="1">
        <v>11.2105263157894</v>
      </c>
      <c r="L45" s="8" t="str">
        <f>vlookup(A45,salesx_all!B:E,2,0)</f>
        <v>Sales Xcelerators Peer Group</v>
      </c>
      <c r="M45" s="8" t="str">
        <f>vlookup(A45,salesx_all!B:D,3,0)</f>
        <v/>
      </c>
      <c r="N45" s="8" t="str">
        <f>vlookup(A45,salesx_all!B:E,4,0)</f>
        <v/>
      </c>
    </row>
    <row r="46">
      <c r="A46" s="1" t="s">
        <v>199</v>
      </c>
      <c r="B46" s="1">
        <f t="shared" si="1"/>
        <v>80</v>
      </c>
      <c r="C46" s="1">
        <v>18.0</v>
      </c>
      <c r="D46" s="1">
        <v>0.0</v>
      </c>
      <c r="E46" s="1">
        <v>17.0</v>
      </c>
      <c r="F46" s="6">
        <v>0.777777777777777</v>
      </c>
      <c r="G46" s="1">
        <v>17.0</v>
      </c>
      <c r="H46" s="1">
        <v>4.0</v>
      </c>
      <c r="I46" s="1">
        <v>19.0</v>
      </c>
      <c r="J46" s="1">
        <v>17.0</v>
      </c>
      <c r="K46" s="1">
        <v>7.8235294117647</v>
      </c>
      <c r="L46" s="8" t="str">
        <f>vlookup(A46,salesx_all!B:E,2,0)</f>
        <v>#N/A</v>
      </c>
      <c r="M46" s="8" t="str">
        <f>vlookup(A46,salesx_all!B:D,3,0)</f>
        <v>#N/A</v>
      </c>
      <c r="N46" s="8" t="str">
        <f>vlookup(A46,salesx_all!B:E,4,0)</f>
        <v>#N/A</v>
      </c>
    </row>
    <row r="47">
      <c r="A47" s="1" t="s">
        <v>200</v>
      </c>
      <c r="B47" s="1">
        <f t="shared" si="1"/>
        <v>8</v>
      </c>
      <c r="C47" s="1">
        <v>18.0</v>
      </c>
      <c r="D47" s="1">
        <v>0.0</v>
      </c>
      <c r="E47" s="1">
        <v>15.0</v>
      </c>
      <c r="F47" s="6">
        <v>0.388888888888888</v>
      </c>
      <c r="G47" s="1">
        <v>8.0</v>
      </c>
      <c r="H47" s="1">
        <v>11.0</v>
      </c>
      <c r="I47" s="1">
        <v>18.0</v>
      </c>
      <c r="J47" s="1">
        <v>15.0</v>
      </c>
      <c r="K47" s="1">
        <v>15.0666666666666</v>
      </c>
      <c r="L47" s="8" t="str">
        <f>vlookup(A47,salesx_all!B:E,2,0)</f>
        <v>Sales eBooks for SMBs from Sales Xceleration</v>
      </c>
      <c r="M47" s="8" t="str">
        <f>vlookup(A47,salesx_all!B:D,3,0)</f>
        <v>Unlock Sales Growth with AI</v>
      </c>
      <c r="N47" s="8" t="str">
        <f>vlookup(A47,salesx_all!B:E,4,0)</f>
        <v>State of Sales: Small to Mid-Size Business</v>
      </c>
    </row>
    <row r="48">
      <c r="A48" s="1" t="s">
        <v>201</v>
      </c>
      <c r="B48" s="1">
        <f t="shared" si="1"/>
        <v>28</v>
      </c>
      <c r="C48" s="1">
        <v>18.0</v>
      </c>
      <c r="D48" s="1">
        <v>14.0</v>
      </c>
      <c r="E48" s="1">
        <v>16.0</v>
      </c>
      <c r="F48" s="6">
        <v>0.0</v>
      </c>
      <c r="G48" s="1">
        <v>0.0</v>
      </c>
      <c r="H48" s="1">
        <v>18.0</v>
      </c>
      <c r="I48" s="1">
        <v>17.0</v>
      </c>
      <c r="J48" s="1">
        <v>16.0</v>
      </c>
      <c r="K48" s="1">
        <v>4.75</v>
      </c>
      <c r="L48" s="8" t="str">
        <f>vlookup(A48,salesx_all!B:E,2,0)</f>
        <v>#N/A</v>
      </c>
      <c r="M48" s="8" t="str">
        <f>vlookup(A48,salesx_all!B:D,3,0)</f>
        <v>#N/A</v>
      </c>
      <c r="N48" s="8" t="str">
        <f>vlookup(A48,salesx_all!B:E,4,0)</f>
        <v>#N/A</v>
      </c>
    </row>
    <row r="49">
      <c r="A49" s="1" t="s">
        <v>202</v>
      </c>
      <c r="B49" s="1">
        <f t="shared" si="1"/>
        <v>60</v>
      </c>
      <c r="C49" s="1">
        <v>17.0</v>
      </c>
      <c r="D49" s="1">
        <v>0.0</v>
      </c>
      <c r="E49" s="1">
        <v>15.0</v>
      </c>
      <c r="F49" s="6">
        <v>0.705882352941176</v>
      </c>
      <c r="G49" s="1">
        <v>14.0</v>
      </c>
      <c r="H49" s="1">
        <v>5.0</v>
      </c>
      <c r="I49" s="1">
        <v>14.0</v>
      </c>
      <c r="J49" s="1">
        <v>15.0</v>
      </c>
      <c r="K49" s="1">
        <v>8.8</v>
      </c>
      <c r="L49" s="8" t="str">
        <f>vlookup(A49,salesx_all!B:E,2,0)</f>
        <v>#N/A</v>
      </c>
      <c r="M49" s="8" t="str">
        <f>vlookup(A49,salesx_all!B:D,3,0)</f>
        <v>#N/A</v>
      </c>
      <c r="N49" s="8" t="str">
        <f>vlookup(A49,salesx_all!B:E,4,0)</f>
        <v>#N/A</v>
      </c>
    </row>
    <row r="50">
      <c r="A50" s="1" t="s">
        <v>203</v>
      </c>
      <c r="B50" s="1">
        <f t="shared" si="1"/>
        <v>41</v>
      </c>
      <c r="C50" s="1">
        <v>17.0</v>
      </c>
      <c r="D50" s="1">
        <v>0.0</v>
      </c>
      <c r="E50" s="1">
        <v>17.0</v>
      </c>
      <c r="F50" s="6">
        <v>0.470588235294117</v>
      </c>
      <c r="G50" s="1">
        <v>16.0</v>
      </c>
      <c r="H50" s="1">
        <v>9.0</v>
      </c>
      <c r="I50" s="1">
        <v>16.0</v>
      </c>
      <c r="J50" s="1">
        <v>17.0</v>
      </c>
      <c r="K50" s="1">
        <v>36.0588235294117</v>
      </c>
      <c r="L50" s="8" t="str">
        <f>vlookup(A50,salesx_all!B:E,2,0)</f>
        <v>Sales Consulting 101: The “Why, When &amp; Who” of Hiring a Fractional VP of Sales</v>
      </c>
      <c r="M50" s="8" t="str">
        <f>vlookup(A50,salesx_all!B:D,3,0)</f>
        <v/>
      </c>
      <c r="N50" s="8" t="str">
        <f>vlookup(A50,salesx_all!B:E,4,0)</f>
        <v/>
      </c>
    </row>
    <row r="51">
      <c r="A51" s="1" t="s">
        <v>204</v>
      </c>
      <c r="B51" s="1">
        <f t="shared" si="1"/>
        <v>55</v>
      </c>
      <c r="C51" s="1">
        <v>16.0</v>
      </c>
      <c r="D51" s="1">
        <v>0.0</v>
      </c>
      <c r="E51" s="1">
        <v>13.0</v>
      </c>
      <c r="F51" s="6">
        <v>0.625</v>
      </c>
      <c r="G51" s="1">
        <v>12.0</v>
      </c>
      <c r="H51" s="1">
        <v>6.0</v>
      </c>
      <c r="I51" s="1">
        <v>15.0</v>
      </c>
      <c r="J51" s="1">
        <v>13.0</v>
      </c>
      <c r="K51" s="1">
        <v>29.5384615384615</v>
      </c>
      <c r="L51" s="8" t="str">
        <f>vlookup(A51,salesx_all!B:E,2,0)</f>
        <v>#N/A</v>
      </c>
      <c r="M51" s="8" t="str">
        <f>vlookup(A51,salesx_all!B:D,3,0)</f>
        <v>#N/A</v>
      </c>
      <c r="N51" s="8" t="str">
        <f>vlookup(A51,salesx_all!B:E,4,0)</f>
        <v>#N/A</v>
      </c>
    </row>
    <row r="52">
      <c r="A52" s="1" t="s">
        <v>205</v>
      </c>
      <c r="B52" s="1">
        <f t="shared" si="1"/>
        <v>35</v>
      </c>
      <c r="C52" s="1">
        <v>16.0</v>
      </c>
      <c r="D52" s="1">
        <v>0.0</v>
      </c>
      <c r="E52" s="1">
        <v>15.0</v>
      </c>
      <c r="F52" s="6">
        <v>0.6875</v>
      </c>
      <c r="G52" s="1">
        <v>14.0</v>
      </c>
      <c r="H52" s="1">
        <v>5.0</v>
      </c>
      <c r="I52" s="1">
        <v>12.0</v>
      </c>
      <c r="J52" s="1">
        <v>15.0</v>
      </c>
      <c r="K52" s="1">
        <v>19.2666666666666</v>
      </c>
      <c r="L52" s="8" t="str">
        <f>vlookup(A52,salesx_all!B:E,2,0)</f>
        <v>#N/A</v>
      </c>
      <c r="M52" s="8" t="str">
        <f>vlookup(A52,salesx_all!B:D,3,0)</f>
        <v>#N/A</v>
      </c>
      <c r="N52" s="8" t="str">
        <f>vlookup(A52,salesx_all!B:E,4,0)</f>
        <v>#N/A</v>
      </c>
    </row>
    <row r="53">
      <c r="A53" s="1" t="s">
        <v>206</v>
      </c>
      <c r="B53" s="1">
        <f t="shared" si="1"/>
        <v>36</v>
      </c>
      <c r="C53" s="1">
        <v>16.0</v>
      </c>
      <c r="D53" s="1">
        <v>0.0</v>
      </c>
      <c r="E53" s="1">
        <v>14.0</v>
      </c>
      <c r="F53" s="6">
        <v>0.6875</v>
      </c>
      <c r="G53" s="1">
        <v>14.0</v>
      </c>
      <c r="H53" s="1">
        <v>5.0</v>
      </c>
      <c r="I53" s="1">
        <v>14.0</v>
      </c>
      <c r="J53" s="1">
        <v>14.0</v>
      </c>
      <c r="K53" s="1">
        <v>7.71428571428571</v>
      </c>
      <c r="L53" s="8" t="str">
        <f>vlookup(A53,salesx_all!B:E,2,0)</f>
        <v>Mastering AI for Sales Prospecting</v>
      </c>
      <c r="M53" s="8" t="str">
        <f>vlookup(A53,salesx_all!B:D,3,0)</f>
        <v>AI’s Role in Sales Prospecting</v>
      </c>
      <c r="N53" s="8" t="str">
        <f>vlookup(A53,salesx_all!B:E,4,0)</f>
        <v>Building the Sales Pipeline</v>
      </c>
    </row>
    <row r="54">
      <c r="A54" s="1" t="s">
        <v>207</v>
      </c>
      <c r="B54" s="1">
        <f t="shared" si="1"/>
        <v>64</v>
      </c>
      <c r="C54" s="1">
        <v>16.0</v>
      </c>
      <c r="D54" s="1">
        <v>0.0</v>
      </c>
      <c r="E54" s="1">
        <v>13.0</v>
      </c>
      <c r="F54" s="6">
        <v>0.5</v>
      </c>
      <c r="G54" s="1">
        <v>12.0</v>
      </c>
      <c r="H54" s="1">
        <v>8.0</v>
      </c>
      <c r="I54" s="1">
        <v>15.0</v>
      </c>
      <c r="J54" s="1">
        <v>13.0</v>
      </c>
      <c r="K54" s="1">
        <v>14.9230769230769</v>
      </c>
      <c r="L54" s="8" t="str">
        <f>vlookup(A54,salesx_all!B:E,2,0)</f>
        <v>#N/A</v>
      </c>
      <c r="M54" s="8" t="str">
        <f>vlookup(A54,salesx_all!B:D,3,0)</f>
        <v>#N/A</v>
      </c>
      <c r="N54" s="8" t="str">
        <f>vlookup(A54,salesx_all!B:E,4,0)</f>
        <v>#N/A</v>
      </c>
    </row>
    <row r="55">
      <c r="A55" s="1" t="s">
        <v>208</v>
      </c>
      <c r="B55" s="1">
        <f t="shared" si="1"/>
        <v>27</v>
      </c>
      <c r="C55" s="1">
        <v>15.0</v>
      </c>
      <c r="D55" s="1">
        <v>0.0</v>
      </c>
      <c r="E55" s="1">
        <v>15.0</v>
      </c>
      <c r="F55" s="6">
        <v>0.866666666666666</v>
      </c>
      <c r="G55" s="1">
        <v>15.0</v>
      </c>
      <c r="H55" s="1">
        <v>2.0</v>
      </c>
      <c r="I55" s="1">
        <v>14.0</v>
      </c>
      <c r="J55" s="1">
        <v>15.0</v>
      </c>
      <c r="K55" s="1">
        <v>13.8666666666666</v>
      </c>
      <c r="L55" s="8" t="str">
        <f>vlookup(A55,salesx_all!B:E,2,0)</f>
        <v>Active Listening in Sales: The Secret to Selling More by Overcoming Objections and Providing Real Solutions</v>
      </c>
      <c r="M55" s="8" t="str">
        <f>vlookup(A55,salesx_all!B:D,3,0)</f>
        <v/>
      </c>
      <c r="N55" s="8" t="str">
        <f>vlookup(A55,salesx_all!B:E,4,0)</f>
        <v/>
      </c>
    </row>
    <row r="56">
      <c r="A56" s="1" t="s">
        <v>209</v>
      </c>
      <c r="B56" s="1">
        <f t="shared" si="1"/>
        <v>42</v>
      </c>
      <c r="C56" s="1">
        <v>15.0</v>
      </c>
      <c r="D56" s="1">
        <v>0.0</v>
      </c>
      <c r="E56" s="1">
        <v>13.0</v>
      </c>
      <c r="F56" s="6">
        <v>0.533333333333333</v>
      </c>
      <c r="G56" s="1">
        <v>12.0</v>
      </c>
      <c r="H56" s="1">
        <v>7.0</v>
      </c>
      <c r="I56" s="1">
        <v>14.0</v>
      </c>
      <c r="J56" s="1">
        <v>13.0</v>
      </c>
      <c r="K56" s="1">
        <v>28.7692307692307</v>
      </c>
      <c r="L56" s="8" t="str">
        <f>vlookup(A56,salesx_all!B:E,2,0)</f>
        <v>#N/A</v>
      </c>
      <c r="M56" s="8" t="str">
        <f>vlookup(A56,salesx_all!B:D,3,0)</f>
        <v>#N/A</v>
      </c>
      <c r="N56" s="8" t="str">
        <f>vlookup(A56,salesx_all!B:E,4,0)</f>
        <v>#N/A</v>
      </c>
    </row>
    <row r="57">
      <c r="A57" s="1" t="s">
        <v>121</v>
      </c>
      <c r="B57" s="1">
        <f t="shared" si="1"/>
        <v>91</v>
      </c>
      <c r="C57" s="1">
        <v>15.0</v>
      </c>
      <c r="D57" s="1">
        <v>0.0</v>
      </c>
      <c r="E57" s="1">
        <v>15.0</v>
      </c>
      <c r="F57" s="6">
        <v>0.733333333333333</v>
      </c>
      <c r="G57" s="1">
        <v>11.0</v>
      </c>
      <c r="H57" s="1">
        <v>4.0</v>
      </c>
      <c r="I57" s="1">
        <v>15.0</v>
      </c>
      <c r="J57" s="1">
        <v>15.0</v>
      </c>
      <c r="K57" s="1">
        <v>13.3333333333333</v>
      </c>
      <c r="L57" s="8" t="str">
        <f>vlookup(A57,salesx_all!B:E,2,0)</f>
        <v>Electrical Manufacturing: Sales Strategy and Processes Provide Immediate Growth</v>
      </c>
      <c r="M57" s="8" t="str">
        <f>vlookup(A57,salesx_all!B:D,3,0)</f>
        <v>Executive Summary</v>
      </c>
      <c r="N57" s="8" t="str">
        <f>vlookup(A57,salesx_all!B:E,4,0)</f>
        <v>The Big Win</v>
      </c>
    </row>
    <row r="58">
      <c r="A58" s="1" t="s">
        <v>210</v>
      </c>
      <c r="B58" s="1">
        <f t="shared" si="1"/>
        <v>24</v>
      </c>
      <c r="C58" s="1">
        <v>15.0</v>
      </c>
      <c r="D58" s="1">
        <v>0.0</v>
      </c>
      <c r="E58" s="1">
        <v>13.0</v>
      </c>
      <c r="F58" s="6">
        <v>0.666666666666666</v>
      </c>
      <c r="G58" s="1">
        <v>13.0</v>
      </c>
      <c r="H58" s="1">
        <v>5.0</v>
      </c>
      <c r="I58" s="1">
        <v>13.0</v>
      </c>
      <c r="J58" s="1">
        <v>13.0</v>
      </c>
      <c r="K58" s="1">
        <v>39.7692307692307</v>
      </c>
      <c r="L58" s="8" t="str">
        <f>vlookup(A58,salesx_all!B:E,2,0)</f>
        <v>Should You Discount Your Selling Price?</v>
      </c>
      <c r="M58" s="8" t="str">
        <f>vlookup(A58,salesx_all!B:D,3,0)</f>
        <v/>
      </c>
      <c r="N58" s="8" t="str">
        <f>vlookup(A58,salesx_all!B:E,4,0)</f>
        <v/>
      </c>
    </row>
    <row r="59">
      <c r="A59" s="1" t="s">
        <v>211</v>
      </c>
      <c r="B59" s="1">
        <f t="shared" si="1"/>
        <v>16</v>
      </c>
      <c r="C59" s="1">
        <v>15.0</v>
      </c>
      <c r="D59" s="1">
        <v>0.0</v>
      </c>
      <c r="E59" s="1">
        <v>15.0</v>
      </c>
      <c r="F59" s="6">
        <v>0.533333333333333</v>
      </c>
      <c r="G59" s="1">
        <v>9.0</v>
      </c>
      <c r="H59" s="1">
        <v>7.0</v>
      </c>
      <c r="I59" s="1">
        <v>14.0</v>
      </c>
      <c r="J59" s="1">
        <v>15.0</v>
      </c>
      <c r="K59" s="1">
        <v>9.46666666666666</v>
      </c>
      <c r="L59" s="8" t="str">
        <f>vlookup(A59,salesx_all!B:E,2,0)</f>
        <v>Privacy Policy</v>
      </c>
      <c r="M59" s="8" t="str">
        <f>vlookup(A59,salesx_all!B:D,3,0)</f>
        <v/>
      </c>
      <c r="N59" s="8" t="str">
        <f>vlookup(A59,salesx_all!B:E,4,0)</f>
        <v/>
      </c>
    </row>
    <row r="60">
      <c r="A60" s="1" t="s">
        <v>212</v>
      </c>
      <c r="B60" s="1">
        <f t="shared" si="1"/>
        <v>51</v>
      </c>
      <c r="C60" s="1">
        <v>15.0</v>
      </c>
      <c r="D60" s="1">
        <v>0.0</v>
      </c>
      <c r="E60" s="1">
        <v>13.0</v>
      </c>
      <c r="F60" s="6">
        <v>0.8</v>
      </c>
      <c r="G60" s="1">
        <v>13.0</v>
      </c>
      <c r="H60" s="1">
        <v>3.0</v>
      </c>
      <c r="I60" s="1">
        <v>13.0</v>
      </c>
      <c r="J60" s="1">
        <v>13.0</v>
      </c>
      <c r="K60" s="1">
        <v>14.076923076923</v>
      </c>
      <c r="L60" s="8" t="str">
        <f>vlookup(A60,salesx_all!B:E,2,0)</f>
        <v>#N/A</v>
      </c>
      <c r="M60" s="8" t="str">
        <f>vlookup(A60,salesx_all!B:D,3,0)</f>
        <v>#N/A</v>
      </c>
      <c r="N60" s="8" t="str">
        <f>vlookup(A60,salesx_all!B:E,4,0)</f>
        <v>#N/A</v>
      </c>
    </row>
    <row r="61">
      <c r="A61" s="1" t="s">
        <v>213</v>
      </c>
      <c r="B61" s="1">
        <f t="shared" si="1"/>
        <v>66</v>
      </c>
      <c r="C61" s="1">
        <v>14.0</v>
      </c>
      <c r="D61" s="1">
        <v>0.0</v>
      </c>
      <c r="E61" s="1">
        <v>12.0</v>
      </c>
      <c r="F61" s="6">
        <v>0.571428571428571</v>
      </c>
      <c r="G61" s="1">
        <v>11.0</v>
      </c>
      <c r="H61" s="1">
        <v>6.0</v>
      </c>
      <c r="I61" s="1">
        <v>13.0</v>
      </c>
      <c r="J61" s="1">
        <v>12.0</v>
      </c>
      <c r="K61" s="1">
        <v>20.5</v>
      </c>
      <c r="L61" s="8" t="str">
        <f>vlookup(A61,salesx_all!B:E,2,0)</f>
        <v>7 Things to Measure to Evaluate Sales Representative Performance</v>
      </c>
      <c r="M61" s="8" t="str">
        <f>vlookup(A61,salesx_all!B:D,3,0)</f>
        <v>Sales Revenue/Margin</v>
      </c>
      <c r="N61" s="8" t="str">
        <f>vlookup(A61,salesx_all!B:E,4,0)</f>
        <v>Number of Deals Closed</v>
      </c>
    </row>
    <row r="62">
      <c r="A62" s="1" t="s">
        <v>214</v>
      </c>
      <c r="B62" s="1">
        <f t="shared" si="1"/>
        <v>100</v>
      </c>
      <c r="C62" s="1">
        <v>14.0</v>
      </c>
      <c r="D62" s="1">
        <v>0.0</v>
      </c>
      <c r="E62" s="1">
        <v>12.0</v>
      </c>
      <c r="F62" s="6">
        <v>0.571428571428571</v>
      </c>
      <c r="G62" s="1">
        <v>7.0</v>
      </c>
      <c r="H62" s="1">
        <v>6.0</v>
      </c>
      <c r="I62" s="1">
        <v>13.0</v>
      </c>
      <c r="J62" s="1">
        <v>12.0</v>
      </c>
      <c r="K62" s="1">
        <v>7.25</v>
      </c>
      <c r="L62" s="8" t="str">
        <f>vlookup(A62,salesx_all!B:E,2,0)</f>
        <v>Food and Beverage: Driving 25% Higher Topline Revenue for a Compostable Packaging Company</v>
      </c>
      <c r="M62" s="8" t="str">
        <f>vlookup(A62,salesx_all!B:D,3,0)</f>
        <v>Company Profile</v>
      </c>
      <c r="N62" s="8" t="str">
        <f>vlookup(A62,salesx_all!B:E,4,0)</f>
        <v>Sales Success Snapshot</v>
      </c>
    </row>
    <row r="63">
      <c r="A63" s="1" t="s">
        <v>215</v>
      </c>
      <c r="B63" s="1">
        <f t="shared" si="1"/>
        <v>55</v>
      </c>
      <c r="C63" s="1">
        <v>14.0</v>
      </c>
      <c r="D63" s="1">
        <v>0.0</v>
      </c>
      <c r="E63" s="1">
        <v>11.0</v>
      </c>
      <c r="F63" s="6">
        <v>0.428571428571428</v>
      </c>
      <c r="G63" s="1">
        <v>6.0</v>
      </c>
      <c r="H63" s="1">
        <v>8.0</v>
      </c>
      <c r="I63" s="1">
        <v>14.0</v>
      </c>
      <c r="J63" s="1">
        <v>11.0</v>
      </c>
      <c r="K63" s="1">
        <v>42.1818181818181</v>
      </c>
      <c r="L63" s="8" t="str">
        <f>vlookup(A63,salesx_all!B:E,2,0)</f>
        <v>Specialty Electrical Component Distributor: Aligning Management with Sales to Reduce Costs</v>
      </c>
      <c r="M63" s="8" t="str">
        <f>vlookup(A63,salesx_all!B:D,3,0)</f>
        <v>Executive Summary</v>
      </c>
      <c r="N63" s="8" t="str">
        <f>vlookup(A63,salesx_all!B:E,4,0)</f>
        <v>The Big Win</v>
      </c>
    </row>
    <row r="64">
      <c r="A64" s="1" t="s">
        <v>216</v>
      </c>
      <c r="B64" s="1">
        <f t="shared" si="1"/>
        <v>63</v>
      </c>
      <c r="C64" s="1">
        <v>14.0</v>
      </c>
      <c r="D64" s="1">
        <v>0.0</v>
      </c>
      <c r="E64" s="1">
        <v>14.0</v>
      </c>
      <c r="F64" s="6">
        <v>0.642857142857142</v>
      </c>
      <c r="G64" s="1">
        <v>13.0</v>
      </c>
      <c r="H64" s="1">
        <v>5.0</v>
      </c>
      <c r="I64" s="1">
        <v>14.0</v>
      </c>
      <c r="J64" s="1">
        <v>14.0</v>
      </c>
      <c r="K64" s="1">
        <v>23.2857142857142</v>
      </c>
      <c r="L64" s="8" t="str">
        <f>vlookup(A64,salesx_all!B:E,2,0)</f>
        <v>What’s Your Superpower? (And How Are You Using It to Help Others?)</v>
      </c>
      <c r="M64" s="8" t="str">
        <f>vlookup(A64,salesx_all!B:D,3,0)</f>
        <v>X-Ray Vision</v>
      </c>
      <c r="N64" s="8" t="str">
        <f>vlookup(A64,salesx_all!B:E,4,0)</f>
        <v>Strength</v>
      </c>
    </row>
    <row r="65">
      <c r="A65" s="1" t="s">
        <v>217</v>
      </c>
      <c r="B65" s="1">
        <f t="shared" si="1"/>
        <v>80</v>
      </c>
      <c r="C65" s="1">
        <v>13.0</v>
      </c>
      <c r="D65" s="1">
        <v>0.0</v>
      </c>
      <c r="E65" s="1">
        <v>12.0</v>
      </c>
      <c r="F65" s="6">
        <v>0.769230769230769</v>
      </c>
      <c r="G65" s="1">
        <v>10.0</v>
      </c>
      <c r="H65" s="1">
        <v>3.0</v>
      </c>
      <c r="I65" s="1">
        <v>9.0</v>
      </c>
      <c r="J65" s="1">
        <v>12.0</v>
      </c>
      <c r="K65" s="1">
        <v>3.58333333333333</v>
      </c>
      <c r="L65" s="8" t="str">
        <f>vlookup(A65,salesx_all!B:E,2,0)</f>
        <v>Four Painful Manufacturing Sales Challenges (and the Cure Hiding in Plain Sight)</v>
      </c>
      <c r="M65" s="8" t="str">
        <f>vlookup(A65,salesx_all!B:D,3,0)</f>
        <v/>
      </c>
      <c r="N65" s="8" t="str">
        <f>vlookup(A65,salesx_all!B:E,4,0)</f>
        <v/>
      </c>
    </row>
    <row r="66">
      <c r="A66" s="1" t="s">
        <v>218</v>
      </c>
      <c r="B66" s="1">
        <f t="shared" si="1"/>
        <v>14</v>
      </c>
      <c r="C66" s="1">
        <v>13.0</v>
      </c>
      <c r="D66" s="1">
        <v>0.0</v>
      </c>
      <c r="E66" s="1">
        <v>9.0</v>
      </c>
      <c r="F66" s="6">
        <v>0.538461538461538</v>
      </c>
      <c r="G66" s="1">
        <v>8.0</v>
      </c>
      <c r="H66" s="1">
        <v>6.0</v>
      </c>
      <c r="I66" s="1">
        <v>14.0</v>
      </c>
      <c r="J66" s="1">
        <v>9.0</v>
      </c>
      <c r="K66" s="1">
        <v>25.4444444444444</v>
      </c>
      <c r="L66" s="8" t="str">
        <f>vlookup(A66,salesx_all!B:E,2,0)</f>
        <v>#N/A</v>
      </c>
      <c r="M66" s="8" t="str">
        <f>vlookup(A66,salesx_all!B:D,3,0)</f>
        <v>#N/A</v>
      </c>
      <c r="N66" s="8" t="str">
        <f>vlookup(A66,salesx_all!B:E,4,0)</f>
        <v>#N/A</v>
      </c>
    </row>
    <row r="67">
      <c r="A67" s="1" t="s">
        <v>219</v>
      </c>
      <c r="B67" s="1">
        <f t="shared" si="1"/>
        <v>43</v>
      </c>
      <c r="C67" s="1">
        <v>13.0</v>
      </c>
      <c r="D67" s="1">
        <v>0.0</v>
      </c>
      <c r="E67" s="1">
        <v>13.0</v>
      </c>
      <c r="F67" s="6">
        <v>0.538461538461538</v>
      </c>
      <c r="G67" s="1">
        <v>13.0</v>
      </c>
      <c r="H67" s="1">
        <v>6.0</v>
      </c>
      <c r="I67" s="1">
        <v>12.0</v>
      </c>
      <c r="J67" s="1">
        <v>13.0</v>
      </c>
      <c r="K67" s="1">
        <v>24.076923076923</v>
      </c>
      <c r="L67" s="8" t="str">
        <f>vlookup(A67,salesx_all!B:E,2,0)</f>
        <v>Why Salesperson Reputations Are So Bad (and How to Overcome This Trap)</v>
      </c>
      <c r="M67" s="8" t="str">
        <f>vlookup(A67,salesx_all!B:D,3,0)</f>
        <v/>
      </c>
      <c r="N67" s="8" t="str">
        <f>vlookup(A67,salesx_all!B:E,4,0)</f>
        <v/>
      </c>
    </row>
    <row r="68">
      <c r="A68" s="1" t="s">
        <v>220</v>
      </c>
      <c r="B68" s="1">
        <f t="shared" si="1"/>
        <v>68</v>
      </c>
      <c r="C68" s="1">
        <v>13.0</v>
      </c>
      <c r="D68" s="1">
        <v>0.0</v>
      </c>
      <c r="E68" s="1">
        <v>10.0</v>
      </c>
      <c r="F68" s="6">
        <v>0.461538461538461</v>
      </c>
      <c r="G68" s="1">
        <v>5.0</v>
      </c>
      <c r="H68" s="1">
        <v>7.0</v>
      </c>
      <c r="I68" s="1">
        <v>9.0</v>
      </c>
      <c r="J68" s="1">
        <v>10.0</v>
      </c>
      <c r="K68" s="1">
        <v>12.3</v>
      </c>
      <c r="L68" s="8" t="str">
        <f>vlookup(A68,salesx_all!B:E,2,0)</f>
        <v>The Competitive Advantage of Hiring Sales Talent in a Slow Economy</v>
      </c>
      <c r="M68" s="8" t="str">
        <f>vlookup(A68,salesx_all!B:D,3,0)</f>
        <v>Great Sales Talent Is More Accessible in a Down Market</v>
      </c>
      <c r="N68" s="8" t="str">
        <f>vlookup(A68,salesx_all!B:E,4,0)</f>
        <v>Hire Now, Train While It’s Quiet</v>
      </c>
    </row>
    <row r="69">
      <c r="A69" s="1" t="s">
        <v>221</v>
      </c>
      <c r="B69" s="1">
        <f t="shared" si="1"/>
        <v>81</v>
      </c>
      <c r="C69" s="1">
        <v>13.0</v>
      </c>
      <c r="D69" s="1">
        <v>0.0</v>
      </c>
      <c r="E69" s="1">
        <v>13.0</v>
      </c>
      <c r="F69" s="6">
        <v>0.846153846153846</v>
      </c>
      <c r="G69" s="1">
        <v>12.0</v>
      </c>
      <c r="H69" s="1">
        <v>2.0</v>
      </c>
      <c r="I69" s="1">
        <v>6.0</v>
      </c>
      <c r="J69" s="1">
        <v>13.0</v>
      </c>
      <c r="K69" s="1">
        <v>2.84615384615384</v>
      </c>
      <c r="L69" s="8" t="str">
        <f>vlookup(A69,salesx_all!B:E,2,0)</f>
        <v>The Rise of Fractional Sales Leadership: A Growing Opportunity for Sales Leaders</v>
      </c>
      <c r="M69" s="8" t="str">
        <f>vlookup(A69,salesx_all!B:D,3,0)</f>
        <v/>
      </c>
      <c r="N69" s="8" t="str">
        <f>vlookup(A69,salesx_all!B:E,4,0)</f>
        <v/>
      </c>
    </row>
    <row r="70">
      <c r="A70" s="1" t="s">
        <v>222</v>
      </c>
      <c r="B70" s="1">
        <f t="shared" si="1"/>
        <v>33</v>
      </c>
      <c r="C70" s="1">
        <v>13.0</v>
      </c>
      <c r="D70" s="1">
        <v>0.0</v>
      </c>
      <c r="E70" s="1">
        <v>8.0</v>
      </c>
      <c r="F70" s="6">
        <v>0.461538461538461</v>
      </c>
      <c r="G70" s="1">
        <v>4.0</v>
      </c>
      <c r="H70" s="1">
        <v>7.0</v>
      </c>
      <c r="I70" s="1">
        <v>12.0</v>
      </c>
      <c r="J70" s="1">
        <v>8.0</v>
      </c>
      <c r="K70" s="1">
        <v>21.25</v>
      </c>
      <c r="L70" s="8" t="str">
        <f>vlookup(A70,salesx_all!B:E,2,0)</f>
        <v>The Rise of Skills-Based Hiring</v>
      </c>
      <c r="M70" s="8" t="str">
        <f>vlookup(A70,salesx_all!B:D,3,0)</f>
        <v>What is Skills-Based Hiring?</v>
      </c>
      <c r="N70" s="8" t="str">
        <f>vlookup(A70,salesx_all!B:E,4,0)</f>
        <v>Why is This Shift Happening Now?</v>
      </c>
    </row>
    <row r="71">
      <c r="A71" s="1" t="s">
        <v>223</v>
      </c>
      <c r="B71" s="1">
        <f t="shared" si="1"/>
        <v>39</v>
      </c>
      <c r="C71" s="1">
        <v>13.0</v>
      </c>
      <c r="D71" s="1">
        <v>0.0</v>
      </c>
      <c r="E71" s="1">
        <v>13.0</v>
      </c>
      <c r="F71" s="6">
        <v>0.923076923076923</v>
      </c>
      <c r="G71" s="1">
        <v>12.0</v>
      </c>
      <c r="H71" s="1">
        <v>1.0</v>
      </c>
      <c r="I71" s="1">
        <v>13.0</v>
      </c>
      <c r="J71" s="1">
        <v>13.0</v>
      </c>
      <c r="K71" s="1">
        <v>0.769230769230769</v>
      </c>
      <c r="L71" s="8" t="str">
        <f>vlookup(A71,salesx_all!B:E,2,0)</f>
        <v>#N/A</v>
      </c>
      <c r="M71" s="8" t="str">
        <f>vlookup(A71,salesx_all!B:D,3,0)</f>
        <v>#N/A</v>
      </c>
      <c r="N71" s="8" t="str">
        <f>vlookup(A71,salesx_all!B:E,4,0)</f>
        <v>#N/A</v>
      </c>
    </row>
    <row r="72">
      <c r="A72" s="1" t="s">
        <v>224</v>
      </c>
      <c r="B72" s="1">
        <f t="shared" si="1"/>
        <v>57</v>
      </c>
      <c r="C72" s="1">
        <v>12.0</v>
      </c>
      <c r="D72" s="1">
        <v>0.0</v>
      </c>
      <c r="E72" s="1">
        <v>10.0</v>
      </c>
      <c r="F72" s="6">
        <v>0.583333333333333</v>
      </c>
      <c r="G72" s="1">
        <v>8.0</v>
      </c>
      <c r="H72" s="1">
        <v>5.0</v>
      </c>
      <c r="I72" s="1">
        <v>9.0</v>
      </c>
      <c r="J72" s="1">
        <v>10.0</v>
      </c>
      <c r="K72" s="1">
        <v>15.5</v>
      </c>
      <c r="L72" s="8" t="str">
        <f>vlookup(A72,salesx_all!B:E,2,0)</f>
        <v>How to Define and Analyze Your Target Market for Growth</v>
      </c>
      <c r="M72" s="8" t="str">
        <f>vlookup(A72,salesx_all!B:D,3,0)</f>
        <v>Target Market Segments</v>
      </c>
      <c r="N72" s="8" t="str">
        <f>vlookup(A72,salesx_all!B:E,4,0)</f>
        <v>Target Market Examples</v>
      </c>
    </row>
    <row r="73">
      <c r="A73" s="1" t="s">
        <v>103</v>
      </c>
      <c r="B73" s="1">
        <f t="shared" si="1"/>
        <v>23</v>
      </c>
      <c r="C73" s="1">
        <v>12.0</v>
      </c>
      <c r="D73" s="1">
        <v>0.0</v>
      </c>
      <c r="E73" s="1">
        <v>11.0</v>
      </c>
      <c r="F73" s="6">
        <v>0.166666666666666</v>
      </c>
      <c r="G73" s="1">
        <v>4.0</v>
      </c>
      <c r="H73" s="1">
        <v>10.0</v>
      </c>
      <c r="I73" s="1">
        <v>10.0</v>
      </c>
      <c r="J73" s="1">
        <v>11.0</v>
      </c>
      <c r="K73" s="1">
        <v>21.5454545454545</v>
      </c>
      <c r="L73" s="8" t="str">
        <f>vlookup(A73,salesx_all!B:E,2,0)</f>
        <v>Fractional Sales Leadership for Franchises</v>
      </c>
      <c r="M73" s="8" t="str">
        <f>vlookup(A73,salesx_all!B:D,3,0)</f>
        <v>Key Sales Challenges in Franchising</v>
      </c>
      <c r="N73" s="8" t="str">
        <f>vlookup(A73,salesx_all!B:E,4,0)</f>
        <v>Why Fractional Sales Leadership Fits Franchises</v>
      </c>
    </row>
    <row r="74">
      <c r="A74" s="1" t="s">
        <v>225</v>
      </c>
      <c r="B74" s="1">
        <f t="shared" si="1"/>
        <v>46</v>
      </c>
      <c r="C74" s="1">
        <v>12.0</v>
      </c>
      <c r="D74" s="1">
        <v>0.0</v>
      </c>
      <c r="E74" s="1">
        <v>10.0</v>
      </c>
      <c r="F74" s="6">
        <v>0.666666666666666</v>
      </c>
      <c r="G74" s="1">
        <v>10.0</v>
      </c>
      <c r="H74" s="1">
        <v>4.0</v>
      </c>
      <c r="I74" s="1">
        <v>10.0</v>
      </c>
      <c r="J74" s="1">
        <v>10.0</v>
      </c>
      <c r="K74" s="1">
        <v>25.0</v>
      </c>
      <c r="L74" s="8" t="str">
        <f>vlookup(A74,salesx_all!B:E,2,0)</f>
        <v>#N/A</v>
      </c>
      <c r="M74" s="8" t="str">
        <f>vlookup(A74,salesx_all!B:D,3,0)</f>
        <v>#N/A</v>
      </c>
      <c r="N74" s="8" t="str">
        <f>vlookup(A74,salesx_all!B:E,4,0)</f>
        <v>#N/A</v>
      </c>
    </row>
    <row r="75">
      <c r="A75" s="1" t="s">
        <v>226</v>
      </c>
      <c r="B75" s="1">
        <f t="shared" si="1"/>
        <v>57</v>
      </c>
      <c r="C75" s="1">
        <v>12.0</v>
      </c>
      <c r="D75" s="1">
        <v>0.0</v>
      </c>
      <c r="E75" s="1">
        <v>12.0</v>
      </c>
      <c r="F75" s="6">
        <v>0.416666666666666</v>
      </c>
      <c r="G75" s="1">
        <v>6.0</v>
      </c>
      <c r="H75" s="1">
        <v>7.0</v>
      </c>
      <c r="I75" s="1">
        <v>13.0</v>
      </c>
      <c r="J75" s="1">
        <v>12.0</v>
      </c>
      <c r="K75" s="1">
        <v>4.83333333333333</v>
      </c>
      <c r="L75" s="8" t="str">
        <f>vlookup(A75,salesx_all!B:E,2,0)</f>
        <v>The Secret to Aligning Sales and Operations for Success</v>
      </c>
      <c r="M75" s="8" t="str">
        <f>vlookup(A75,salesx_all!B:D,3,0)</f>
        <v/>
      </c>
      <c r="N75" s="8" t="str">
        <f>vlookup(A75,salesx_all!B:E,4,0)</f>
        <v/>
      </c>
    </row>
    <row r="76">
      <c r="A76" s="1" t="s">
        <v>227</v>
      </c>
      <c r="B76" s="1">
        <f t="shared" si="1"/>
        <v>46</v>
      </c>
      <c r="C76" s="1">
        <v>11.0</v>
      </c>
      <c r="D76" s="1">
        <v>0.0</v>
      </c>
      <c r="E76" s="1">
        <v>10.0</v>
      </c>
      <c r="F76" s="6">
        <v>0.454545454545454</v>
      </c>
      <c r="G76" s="1">
        <v>5.0</v>
      </c>
      <c r="H76" s="1">
        <v>6.0</v>
      </c>
      <c r="I76" s="1">
        <v>11.0</v>
      </c>
      <c r="J76" s="1">
        <v>10.0</v>
      </c>
      <c r="K76" s="1">
        <v>17.0</v>
      </c>
      <c r="L76" s="8" t="str">
        <f>vlookup(A76,salesx_all!B:E,2,0)</f>
        <v>Commercial and Residential Paving: Driving Growth With a Disciplined Sales Process</v>
      </c>
      <c r="M76" s="8" t="str">
        <f>vlookup(A76,salesx_all!B:D,3,0)</f>
        <v>Executive Summary</v>
      </c>
      <c r="N76" s="8" t="str">
        <f>vlookup(A76,salesx_all!B:E,4,0)</f>
        <v>The Big Win</v>
      </c>
    </row>
    <row r="77">
      <c r="A77" s="1" t="s">
        <v>228</v>
      </c>
      <c r="B77" s="1">
        <f t="shared" si="1"/>
        <v>85</v>
      </c>
      <c r="C77" s="1">
        <v>11.0</v>
      </c>
      <c r="D77" s="1">
        <v>0.0</v>
      </c>
      <c r="E77" s="1">
        <v>9.0</v>
      </c>
      <c r="F77" s="6">
        <v>0.454545454545454</v>
      </c>
      <c r="G77" s="1">
        <v>6.0</v>
      </c>
      <c r="H77" s="1">
        <v>6.0</v>
      </c>
      <c r="I77" s="1">
        <v>11.0</v>
      </c>
      <c r="J77" s="1">
        <v>9.0</v>
      </c>
      <c r="K77" s="1">
        <v>8.0</v>
      </c>
      <c r="L77" s="8" t="str">
        <f>vlookup(A77,salesx_all!B:E,2,0)</f>
        <v>Influencer Marketing Agency: Building a Future-Proof Sales Infrastructure</v>
      </c>
      <c r="M77" s="8" t="str">
        <f>vlookup(A77,salesx_all!B:D,3,0)</f>
        <v>Company Profile</v>
      </c>
      <c r="N77" s="8" t="str">
        <f>vlookup(A77,salesx_all!B:E,4,0)</f>
        <v>Sales Success Snapshot</v>
      </c>
    </row>
    <row r="78">
      <c r="A78" s="1" t="s">
        <v>229</v>
      </c>
      <c r="B78" s="1">
        <f t="shared" si="1"/>
        <v>94</v>
      </c>
      <c r="C78" s="1">
        <v>11.0</v>
      </c>
      <c r="D78" s="1">
        <v>0.0</v>
      </c>
      <c r="E78" s="1">
        <v>9.0</v>
      </c>
      <c r="F78" s="6">
        <v>0.636363636363636</v>
      </c>
      <c r="G78" s="1">
        <v>5.0</v>
      </c>
      <c r="H78" s="1">
        <v>4.0</v>
      </c>
      <c r="I78" s="1">
        <v>10.0</v>
      </c>
      <c r="J78" s="1">
        <v>9.0</v>
      </c>
      <c r="K78" s="1">
        <v>8.55555555555555</v>
      </c>
      <c r="L78" s="8" t="str">
        <f>vlookup(A78,salesx_all!B:E,2,0)</f>
        <v>Medical Equipment Healthcare: Improving Sales Infrastructure for Long-Term Success</v>
      </c>
      <c r="M78" s="8" t="str">
        <f>vlookup(A78,salesx_all!B:D,3,0)</f>
        <v>Company Profile</v>
      </c>
      <c r="N78" s="8" t="str">
        <f>vlookup(A78,salesx_all!B:E,4,0)</f>
        <v>Sales Success Snapshot</v>
      </c>
    </row>
    <row r="79">
      <c r="A79" s="1" t="s">
        <v>230</v>
      </c>
      <c r="B79" s="1">
        <f t="shared" si="1"/>
        <v>23</v>
      </c>
      <c r="C79" s="1">
        <v>11.0</v>
      </c>
      <c r="D79" s="1">
        <v>0.0</v>
      </c>
      <c r="E79" s="1">
        <v>11.0</v>
      </c>
      <c r="F79" s="6">
        <v>0.545454545454545</v>
      </c>
      <c r="G79" s="1">
        <v>10.0</v>
      </c>
      <c r="H79" s="1">
        <v>5.0</v>
      </c>
      <c r="I79" s="1">
        <v>12.0</v>
      </c>
      <c r="J79" s="1">
        <v>11.0</v>
      </c>
      <c r="K79" s="1">
        <v>3.09090909090909</v>
      </c>
      <c r="L79" s="8" t="str">
        <f>vlookup(A79,salesx_all!B:E,2,0)</f>
        <v>Technology: Learning to Build a True Sales Organization</v>
      </c>
      <c r="M79" s="8" t="str">
        <f>vlookup(A79,salesx_all!B:D,3,0)</f>
        <v/>
      </c>
      <c r="N79" s="8" t="str">
        <f>vlookup(A79,salesx_all!B:E,4,0)</f>
        <v/>
      </c>
    </row>
    <row r="80">
      <c r="A80" s="1" t="s">
        <v>231</v>
      </c>
      <c r="B80" s="1">
        <f t="shared" si="1"/>
        <v>14</v>
      </c>
      <c r="C80" s="1">
        <v>11.0</v>
      </c>
      <c r="D80" s="1">
        <v>0.0</v>
      </c>
      <c r="E80" s="1">
        <v>11.0</v>
      </c>
      <c r="F80" s="6">
        <v>0.636363636363636</v>
      </c>
      <c r="G80" s="1">
        <v>7.0</v>
      </c>
      <c r="H80" s="1">
        <v>4.0</v>
      </c>
      <c r="I80" s="1">
        <v>12.0</v>
      </c>
      <c r="J80" s="1">
        <v>11.0</v>
      </c>
      <c r="K80" s="1">
        <v>5.0</v>
      </c>
      <c r="L80" s="8" t="str">
        <f>vlookup(A80,salesx_all!B:E,2,0)</f>
        <v>HTML Sitemap</v>
      </c>
      <c r="M80" s="8" t="str">
        <f>vlookup(A80,salesx_all!B:D,3,0)</f>
        <v/>
      </c>
      <c r="N80" s="8" t="str">
        <f>vlookup(A80,salesx_all!B:E,4,0)</f>
        <v/>
      </c>
    </row>
    <row r="81">
      <c r="A81" s="1" t="s">
        <v>232</v>
      </c>
      <c r="B81" s="1">
        <f t="shared" si="1"/>
        <v>54</v>
      </c>
      <c r="C81" s="1">
        <v>11.0</v>
      </c>
      <c r="D81" s="1">
        <v>0.0</v>
      </c>
      <c r="E81" s="1">
        <v>11.0</v>
      </c>
      <c r="F81" s="6">
        <v>0.727272727272727</v>
      </c>
      <c r="G81" s="1">
        <v>9.0</v>
      </c>
      <c r="H81" s="1">
        <v>3.0</v>
      </c>
      <c r="I81" s="1">
        <v>9.0</v>
      </c>
      <c r="J81" s="1">
        <v>11.0</v>
      </c>
      <c r="K81" s="1">
        <v>3.81818181818181</v>
      </c>
      <c r="L81" s="8" t="str">
        <f>vlookup(A81,salesx_all!B:E,2,0)</f>
        <v>Sales Hiring Strategy: How to Hire Top Sales Talent</v>
      </c>
      <c r="M81" s="8" t="str">
        <f>vlookup(A81,salesx_all!B:D,3,0)</f>
        <v>1. Define Your Ideal Candidate</v>
      </c>
      <c r="N81" s="8" t="str">
        <f>vlookup(A81,salesx_all!B:E,4,0)</f>
        <v>2. Source Candidates Via Multiple Platforms And Channels</v>
      </c>
    </row>
    <row r="82">
      <c r="A82" s="1" t="s">
        <v>233</v>
      </c>
      <c r="B82" s="1">
        <f t="shared" si="1"/>
        <v>27</v>
      </c>
      <c r="C82" s="1">
        <v>11.0</v>
      </c>
      <c r="D82" s="1">
        <v>0.0</v>
      </c>
      <c r="E82" s="1">
        <v>10.0</v>
      </c>
      <c r="F82" s="6">
        <v>0.181818181818181</v>
      </c>
      <c r="G82" s="1">
        <v>4.0</v>
      </c>
      <c r="H82" s="1">
        <v>9.0</v>
      </c>
      <c r="I82" s="1">
        <v>12.0</v>
      </c>
      <c r="J82" s="1">
        <v>10.0</v>
      </c>
      <c r="K82" s="1">
        <v>50.7</v>
      </c>
      <c r="L82" s="8" t="str">
        <f>vlookup(A82,salesx_all!B:E,2,0)</f>
        <v>#N/A</v>
      </c>
      <c r="M82" s="8" t="str">
        <f>vlookup(A82,salesx_all!B:D,3,0)</f>
        <v>#N/A</v>
      </c>
      <c r="N82" s="8" t="str">
        <f>vlookup(A82,salesx_all!B:E,4,0)</f>
        <v>#N/A</v>
      </c>
    </row>
    <row r="83">
      <c r="A83" s="1" t="s">
        <v>234</v>
      </c>
      <c r="B83" s="1">
        <f t="shared" si="1"/>
        <v>39</v>
      </c>
      <c r="C83" s="1">
        <v>11.0</v>
      </c>
      <c r="D83" s="1">
        <v>0.0</v>
      </c>
      <c r="E83" s="1">
        <v>10.0</v>
      </c>
      <c r="F83" s="6">
        <v>0.727272727272727</v>
      </c>
      <c r="G83" s="1">
        <v>10.0</v>
      </c>
      <c r="H83" s="1">
        <v>3.0</v>
      </c>
      <c r="I83" s="1">
        <v>10.0</v>
      </c>
      <c r="J83" s="1">
        <v>10.0</v>
      </c>
      <c r="K83" s="1">
        <v>57.1</v>
      </c>
      <c r="L83" s="8" t="str">
        <f>vlookup(A83,salesx_all!B:E,2,0)</f>
        <v>“What’s in your Wallet?” Time to Fund Your Sales Tool Kit</v>
      </c>
      <c r="M83" s="8" t="str">
        <f>vlookup(A83,salesx_all!B:D,3,0)</f>
        <v/>
      </c>
      <c r="N83" s="8" t="str">
        <f>vlookup(A83,salesx_all!B:E,4,0)</f>
        <v/>
      </c>
    </row>
    <row r="84">
      <c r="A84" s="1" t="s">
        <v>235</v>
      </c>
      <c r="B84" s="1">
        <f t="shared" si="1"/>
        <v>77</v>
      </c>
      <c r="C84" s="1">
        <v>11.0</v>
      </c>
      <c r="D84" s="1">
        <v>0.0</v>
      </c>
      <c r="E84" s="1">
        <v>7.0</v>
      </c>
      <c r="F84" s="6">
        <v>0.818181818181818</v>
      </c>
      <c r="G84" s="1">
        <v>5.0</v>
      </c>
      <c r="H84" s="1">
        <v>2.0</v>
      </c>
      <c r="I84" s="1">
        <v>11.0</v>
      </c>
      <c r="J84" s="1">
        <v>7.0</v>
      </c>
      <c r="K84" s="1">
        <v>7.14285714285714</v>
      </c>
      <c r="L84" s="8" t="str">
        <f>vlookup(A84,salesx_all!B:E,2,0)</f>
        <v>Why Outsourcing Leadership Roles Is the Best Business Decision You Can Make</v>
      </c>
      <c r="M84" s="8" t="str">
        <f>vlookup(A84,salesx_all!B:D,3,0)</f>
        <v>The Generalist vs. Specialist Debate</v>
      </c>
      <c r="N84" s="8" t="str">
        <f>vlookup(A84,salesx_all!B:E,4,0)</f>
        <v>What Are the Benefits of a Fractional Executive?</v>
      </c>
    </row>
    <row r="85">
      <c r="A85" s="1" t="s">
        <v>236</v>
      </c>
      <c r="B85" s="1">
        <f t="shared" si="1"/>
        <v>72</v>
      </c>
      <c r="C85" s="1">
        <v>10.0</v>
      </c>
      <c r="D85" s="1">
        <v>0.0</v>
      </c>
      <c r="E85" s="1">
        <v>10.0</v>
      </c>
      <c r="F85" s="6">
        <v>0.8</v>
      </c>
      <c r="G85" s="1">
        <v>8.0</v>
      </c>
      <c r="H85" s="1">
        <v>2.0</v>
      </c>
      <c r="I85" s="1">
        <v>10.0</v>
      </c>
      <c r="J85" s="1">
        <v>10.0</v>
      </c>
      <c r="K85" s="1">
        <v>19.9</v>
      </c>
      <c r="L85" s="8" t="str">
        <f>vlookup(A85,salesx_all!B:E,2,0)</f>
        <v>Five Sales Compensation Plan Mistakes that Damage Morale and Ruin Revenue</v>
      </c>
      <c r="M85" s="8" t="str">
        <f>vlookup(A85,salesx_all!B:D,3,0)</f>
        <v/>
      </c>
      <c r="N85" s="8" t="str">
        <f>vlookup(A85,salesx_all!B:E,4,0)</f>
        <v/>
      </c>
    </row>
    <row r="86">
      <c r="A86" s="1" t="s">
        <v>237</v>
      </c>
      <c r="B86" s="1">
        <f t="shared" si="1"/>
        <v>49</v>
      </c>
      <c r="C86" s="1">
        <v>10.0</v>
      </c>
      <c r="D86" s="1">
        <v>0.0</v>
      </c>
      <c r="E86" s="1">
        <v>9.0</v>
      </c>
      <c r="F86" s="6">
        <v>0.5</v>
      </c>
      <c r="G86" s="1">
        <v>5.0</v>
      </c>
      <c r="H86" s="1">
        <v>5.0</v>
      </c>
      <c r="I86" s="1">
        <v>9.0</v>
      </c>
      <c r="J86" s="1">
        <v>9.0</v>
      </c>
      <c r="K86" s="1">
        <v>40.3333333333333</v>
      </c>
      <c r="L86" s="8" t="str">
        <f>vlookup(A86,salesx_all!B:E,2,0)</f>
        <v>Brick Oven Manufacturer: Record-Breaking Revenue Achieved by Strengthening Sales Processes</v>
      </c>
      <c r="M86" s="8" t="str">
        <f>vlookup(A86,salesx_all!B:D,3,0)</f>
        <v>Executive Summary</v>
      </c>
      <c r="N86" s="8" t="str">
        <f>vlookup(A86,salesx_all!B:E,4,0)</f>
        <v>The Big Win</v>
      </c>
    </row>
    <row r="87">
      <c r="A87" s="1" t="s">
        <v>238</v>
      </c>
      <c r="B87" s="1">
        <f t="shared" si="1"/>
        <v>98</v>
      </c>
      <c r="C87" s="1">
        <v>10.0</v>
      </c>
      <c r="D87" s="1">
        <v>0.0</v>
      </c>
      <c r="E87" s="1">
        <v>10.0</v>
      </c>
      <c r="F87" s="6">
        <v>0.9</v>
      </c>
      <c r="G87" s="1">
        <v>9.0</v>
      </c>
      <c r="H87" s="1">
        <v>1.0</v>
      </c>
      <c r="I87" s="1">
        <v>10.0</v>
      </c>
      <c r="J87" s="1">
        <v>10.0</v>
      </c>
      <c r="K87" s="1">
        <v>5.5</v>
      </c>
      <c r="L87" s="8" t="str">
        <f>vlookup(A87,salesx_all!B:E,2,0)</f>
        <v>IT Professional Services: Building a Sustainable Sales Strategy for Accelerated Growth</v>
      </c>
      <c r="M87" s="8" t="str">
        <f>vlookup(A87,salesx_all!B:D,3,0)</f>
        <v>Executive Summary</v>
      </c>
      <c r="N87" s="8" t="str">
        <f>vlookup(A87,salesx_all!B:E,4,0)</f>
        <v>The Big Win</v>
      </c>
    </row>
    <row r="88">
      <c r="A88" s="1" t="s">
        <v>239</v>
      </c>
      <c r="B88" s="1">
        <f t="shared" si="1"/>
        <v>46</v>
      </c>
      <c r="C88" s="1">
        <v>10.0</v>
      </c>
      <c r="D88" s="1">
        <v>0.0</v>
      </c>
      <c r="E88" s="1">
        <v>9.0</v>
      </c>
      <c r="F88" s="6">
        <v>0.4</v>
      </c>
      <c r="G88" s="1">
        <v>8.0</v>
      </c>
      <c r="H88" s="1">
        <v>6.0</v>
      </c>
      <c r="I88" s="1">
        <v>9.0</v>
      </c>
      <c r="J88" s="1">
        <v>9.0</v>
      </c>
      <c r="K88" s="1">
        <v>24.7777777777777</v>
      </c>
      <c r="L88" s="8" t="str">
        <f>vlookup(A88,salesx_all!B:E,2,0)</f>
        <v>#N/A</v>
      </c>
      <c r="M88" s="8" t="str">
        <f>vlookup(A88,salesx_all!B:D,3,0)</f>
        <v>#N/A</v>
      </c>
      <c r="N88" s="8" t="str">
        <f>vlookup(A88,salesx_all!B:E,4,0)</f>
        <v>#N/A</v>
      </c>
    </row>
    <row r="89">
      <c r="A89" s="1" t="s">
        <v>240</v>
      </c>
      <c r="B89" s="1">
        <f t="shared" si="1"/>
        <v>39</v>
      </c>
      <c r="C89" s="1">
        <v>10.0</v>
      </c>
      <c r="D89" s="1">
        <v>0.0</v>
      </c>
      <c r="E89" s="1">
        <v>7.0</v>
      </c>
      <c r="F89" s="6">
        <v>0.6</v>
      </c>
      <c r="G89" s="1">
        <v>7.0</v>
      </c>
      <c r="H89" s="1">
        <v>4.0</v>
      </c>
      <c r="I89" s="1">
        <v>9.0</v>
      </c>
      <c r="J89" s="1">
        <v>7.0</v>
      </c>
      <c r="K89" s="1">
        <v>24.8571428571428</v>
      </c>
      <c r="L89" s="8" t="str">
        <f>vlookup(A89,salesx_all!B:E,2,0)</f>
        <v>#N/A</v>
      </c>
      <c r="M89" s="8" t="str">
        <f>vlookup(A89,salesx_all!B:D,3,0)</f>
        <v>#N/A</v>
      </c>
      <c r="N89" s="8" t="str">
        <f>vlookup(A89,salesx_all!B:E,4,0)</f>
        <v>#N/A</v>
      </c>
    </row>
    <row r="90">
      <c r="A90" s="1" t="s">
        <v>241</v>
      </c>
      <c r="B90" s="1">
        <f t="shared" si="1"/>
        <v>24</v>
      </c>
      <c r="C90" s="1">
        <v>10.0</v>
      </c>
      <c r="D90" s="1">
        <v>0.0</v>
      </c>
      <c r="E90" s="1">
        <v>9.0</v>
      </c>
      <c r="F90" s="6">
        <v>0.6</v>
      </c>
      <c r="G90" s="1">
        <v>7.0</v>
      </c>
      <c r="H90" s="1">
        <v>4.0</v>
      </c>
      <c r="I90" s="1">
        <v>8.0</v>
      </c>
      <c r="J90" s="1">
        <v>9.0</v>
      </c>
      <c r="K90" s="1">
        <v>9.0</v>
      </c>
      <c r="L90" s="8" t="str">
        <f>vlookup(A90,salesx_all!B:E,2,0)</f>
        <v>Should You Increase Your Selling Price?</v>
      </c>
      <c r="M90" s="8" t="str">
        <f>vlookup(A90,salesx_all!B:D,3,0)</f>
        <v/>
      </c>
      <c r="N90" s="8" t="str">
        <f>vlookup(A90,salesx_all!B:E,4,0)</f>
        <v/>
      </c>
    </row>
    <row r="91">
      <c r="A91" s="1" t="s">
        <v>242</v>
      </c>
      <c r="B91" s="1">
        <f t="shared" si="1"/>
        <v>75</v>
      </c>
      <c r="C91" s="1">
        <v>10.0</v>
      </c>
      <c r="D91" s="1">
        <v>0.0</v>
      </c>
      <c r="E91" s="1">
        <v>10.0</v>
      </c>
      <c r="F91" s="6">
        <v>0.5</v>
      </c>
      <c r="G91" s="1">
        <v>10.0</v>
      </c>
      <c r="H91" s="1">
        <v>5.0</v>
      </c>
      <c r="I91" s="1">
        <v>10.0</v>
      </c>
      <c r="J91" s="1">
        <v>10.0</v>
      </c>
      <c r="K91" s="1">
        <v>5.0</v>
      </c>
      <c r="L91" s="8" t="str">
        <f>vlookup(A91,salesx_all!B:E,2,0)</f>
        <v>When One Door Closes, Another Opens and Leads to Opportunity (If You Let It)</v>
      </c>
      <c r="M91" s="8" t="str">
        <f>vlookup(A91,salesx_all!B:D,3,0)</f>
        <v>When One Door Closes…</v>
      </c>
      <c r="N91" s="8" t="str">
        <f>vlookup(A91,salesx_all!B:E,4,0)</f>
        <v>Another Door Opens</v>
      </c>
    </row>
    <row r="92">
      <c r="A92" s="1" t="s">
        <v>243</v>
      </c>
      <c r="B92" s="1">
        <f t="shared" si="1"/>
        <v>50</v>
      </c>
      <c r="C92" s="1">
        <v>9.0</v>
      </c>
      <c r="D92" s="1">
        <v>0.0</v>
      </c>
      <c r="E92" s="1">
        <v>9.0</v>
      </c>
      <c r="F92" s="6">
        <v>0.444444444444444</v>
      </c>
      <c r="G92" s="1">
        <v>8.0</v>
      </c>
      <c r="H92" s="1">
        <v>5.0</v>
      </c>
      <c r="I92" s="1">
        <v>9.0</v>
      </c>
      <c r="J92" s="1">
        <v>9.0</v>
      </c>
      <c r="K92" s="1">
        <v>28.1111111111111</v>
      </c>
      <c r="L92" s="8" t="str">
        <f>vlookup(A92,salesx_all!B:E,2,0)</f>
        <v>#N/A</v>
      </c>
      <c r="M92" s="8" t="str">
        <f>vlookup(A92,salesx_all!B:D,3,0)</f>
        <v>#N/A</v>
      </c>
      <c r="N92" s="8" t="str">
        <f>vlookup(A92,salesx_all!B:E,4,0)</f>
        <v>#N/A</v>
      </c>
    </row>
    <row r="93">
      <c r="A93" s="1" t="s">
        <v>244</v>
      </c>
      <c r="B93" s="1">
        <f t="shared" si="1"/>
        <v>8</v>
      </c>
      <c r="C93" s="1">
        <v>9.0</v>
      </c>
      <c r="D93" s="1">
        <v>0.0</v>
      </c>
      <c r="E93" s="1">
        <v>9.0</v>
      </c>
      <c r="F93" s="6">
        <v>1.0</v>
      </c>
      <c r="G93" s="1">
        <v>9.0</v>
      </c>
      <c r="H93" s="1">
        <v>0.0</v>
      </c>
      <c r="I93" s="1">
        <v>9.0</v>
      </c>
      <c r="J93" s="1">
        <v>9.0</v>
      </c>
      <c r="K93" s="1">
        <v>0.0</v>
      </c>
      <c r="L93" s="8" t="str">
        <f>vlookup(A93,salesx_all!B:E,2,0)</f>
        <v>#N/A</v>
      </c>
      <c r="M93" s="8" t="str">
        <f>vlookup(A93,salesx_all!B:D,3,0)</f>
        <v>#N/A</v>
      </c>
      <c r="N93" s="8" t="str">
        <f>vlookup(A93,salesx_all!B:E,4,0)</f>
        <v>#N/A</v>
      </c>
    </row>
    <row r="94">
      <c r="A94" s="1" t="s">
        <v>112</v>
      </c>
      <c r="B94" s="1">
        <f t="shared" si="1"/>
        <v>31</v>
      </c>
      <c r="C94" s="1">
        <v>9.0</v>
      </c>
      <c r="D94" s="1">
        <v>0.0</v>
      </c>
      <c r="E94" s="1">
        <v>9.0</v>
      </c>
      <c r="F94" s="6">
        <v>0.444444444444444</v>
      </c>
      <c r="G94" s="1">
        <v>6.0</v>
      </c>
      <c r="H94" s="1">
        <v>5.0</v>
      </c>
      <c r="I94" s="1">
        <v>8.0</v>
      </c>
      <c r="J94" s="1">
        <v>9.0</v>
      </c>
      <c r="K94" s="1">
        <v>14.1111111111111</v>
      </c>
      <c r="L94" s="8" t="str">
        <f>vlookup(A94,salesx_all!B:E,2,0)</f>
        <v>Fractional Sales Leadership for Financial Services</v>
      </c>
      <c r="M94" s="8" t="str">
        <f>vlookup(A94,salesx_all!B:D,3,0)</f>
        <v>Scale Revenue in Competitive Markets</v>
      </c>
      <c r="N94" s="8" t="str">
        <f>vlookup(A94,salesx_all!B:E,4,0)</f>
        <v>Key Sales Challenges in Financial Services</v>
      </c>
    </row>
    <row r="95">
      <c r="A95" s="1" t="s">
        <v>115</v>
      </c>
      <c r="B95" s="1">
        <f t="shared" si="1"/>
        <v>18</v>
      </c>
      <c r="C95" s="1">
        <v>9.0</v>
      </c>
      <c r="D95" s="1">
        <v>0.0</v>
      </c>
      <c r="E95" s="1">
        <v>9.0</v>
      </c>
      <c r="F95" s="6">
        <v>0.666666666666666</v>
      </c>
      <c r="G95" s="1">
        <v>7.0</v>
      </c>
      <c r="H95" s="1">
        <v>3.0</v>
      </c>
      <c r="I95" s="1">
        <v>8.0</v>
      </c>
      <c r="J95" s="1">
        <v>9.0</v>
      </c>
      <c r="K95" s="1">
        <v>4.33333333333333</v>
      </c>
      <c r="L95" s="8" t="str">
        <f>vlookup(A95,salesx_all!B:E,2,0)</f>
        <v>Fractional Sales Leadership for Legal Firms</v>
      </c>
      <c r="M95" s="8" t="str">
        <f>vlookup(A95,salesx_all!B:D,3,0)</f>
        <v>Key Sales Challenges in the Legal Industry</v>
      </c>
      <c r="N95" s="8" t="str">
        <f>vlookup(A95,salesx_all!B:E,4,0)</f>
        <v>Why Fractional Sales Leadership Fits Legal Firms</v>
      </c>
    </row>
    <row r="96">
      <c r="A96" s="1" t="s">
        <v>245</v>
      </c>
      <c r="B96" s="1">
        <f t="shared" si="1"/>
        <v>68</v>
      </c>
      <c r="C96" s="1">
        <v>9.0</v>
      </c>
      <c r="D96" s="1">
        <v>0.0</v>
      </c>
      <c r="E96" s="1">
        <v>8.0</v>
      </c>
      <c r="F96" s="6">
        <v>0.666666666666666</v>
      </c>
      <c r="G96" s="1">
        <v>8.0</v>
      </c>
      <c r="H96" s="1">
        <v>3.0</v>
      </c>
      <c r="I96" s="1">
        <v>9.0</v>
      </c>
      <c r="J96" s="1">
        <v>8.0</v>
      </c>
      <c r="K96" s="1">
        <v>43.5</v>
      </c>
      <c r="L96" s="8" t="str">
        <f>vlookup(A96,salesx_all!B:E,2,0)</f>
        <v>#N/A</v>
      </c>
      <c r="M96" s="8" t="str">
        <f>vlookup(A96,salesx_all!B:D,3,0)</f>
        <v>#N/A</v>
      </c>
      <c r="N96" s="8" t="str">
        <f>vlookup(A96,salesx_all!B:E,4,0)</f>
        <v>#N/A</v>
      </c>
    </row>
    <row r="97">
      <c r="A97" s="1" t="s">
        <v>246</v>
      </c>
      <c r="B97" s="1">
        <f t="shared" si="1"/>
        <v>51</v>
      </c>
      <c r="C97" s="1">
        <v>9.0</v>
      </c>
      <c r="D97" s="1">
        <v>0.0</v>
      </c>
      <c r="E97" s="1">
        <v>9.0</v>
      </c>
      <c r="F97" s="6">
        <v>0.444444444444444</v>
      </c>
      <c r="G97" s="1">
        <v>9.0</v>
      </c>
      <c r="H97" s="1">
        <v>5.0</v>
      </c>
      <c r="I97" s="1">
        <v>9.0</v>
      </c>
      <c r="J97" s="1">
        <v>9.0</v>
      </c>
      <c r="K97" s="1">
        <v>140.333333333333</v>
      </c>
      <c r="L97" s="8" t="str">
        <f>vlookup(A97,salesx_all!B:E,2,0)</f>
        <v>Using the Ride-Along for Better Sales Management and Coaching</v>
      </c>
      <c r="M97" s="8" t="str">
        <f>vlookup(A97,salesx_all!B:D,3,0)</f>
        <v/>
      </c>
      <c r="N97" s="8" t="str">
        <f>vlookup(A97,salesx_all!B:E,4,0)</f>
        <v/>
      </c>
    </row>
    <row r="98">
      <c r="A98" s="1" t="s">
        <v>247</v>
      </c>
      <c r="B98" s="1">
        <f t="shared" si="1"/>
        <v>46</v>
      </c>
      <c r="C98" s="1">
        <v>8.0</v>
      </c>
      <c r="D98" s="1">
        <v>0.0</v>
      </c>
      <c r="E98" s="1">
        <v>8.0</v>
      </c>
      <c r="F98" s="6">
        <v>0.75</v>
      </c>
      <c r="G98" s="1">
        <v>6.0</v>
      </c>
      <c r="H98" s="1">
        <v>2.0</v>
      </c>
      <c r="I98" s="1">
        <v>7.0</v>
      </c>
      <c r="J98" s="1">
        <v>8.0</v>
      </c>
      <c r="K98" s="1">
        <v>6.25</v>
      </c>
      <c r="L98" s="8" t="str">
        <f>vlookup(A98,salesx_all!B:E,2,0)</f>
        <v>#N/A</v>
      </c>
      <c r="M98" s="8" t="str">
        <f>vlookup(A98,salesx_all!B:D,3,0)</f>
        <v>#N/A</v>
      </c>
      <c r="N98" s="8" t="str">
        <f>vlookup(A98,salesx_all!B:E,4,0)</f>
        <v>#N/A</v>
      </c>
    </row>
    <row r="99">
      <c r="A99" s="1" t="s">
        <v>248</v>
      </c>
      <c r="B99" s="1">
        <f t="shared" si="1"/>
        <v>46</v>
      </c>
      <c r="C99" s="1">
        <v>8.0</v>
      </c>
      <c r="D99" s="1">
        <v>0.0</v>
      </c>
      <c r="E99" s="1">
        <v>8.0</v>
      </c>
      <c r="F99" s="6">
        <v>0.875</v>
      </c>
      <c r="G99" s="1">
        <v>8.0</v>
      </c>
      <c r="H99" s="1">
        <v>1.0</v>
      </c>
      <c r="I99" s="1">
        <v>8.0</v>
      </c>
      <c r="J99" s="1">
        <v>8.0</v>
      </c>
      <c r="K99" s="1">
        <v>4.75</v>
      </c>
      <c r="L99" s="8" t="str">
        <f>vlookup(A99,salesx_all!B:E,2,0)</f>
        <v>#N/A</v>
      </c>
      <c r="M99" s="8" t="str">
        <f>vlookup(A99,salesx_all!B:D,3,0)</f>
        <v>#N/A</v>
      </c>
      <c r="N99" s="8" t="str">
        <f>vlookup(A99,salesx_all!B:E,4,0)</f>
        <v>#N/A</v>
      </c>
    </row>
    <row r="100">
      <c r="A100" s="1" t="s">
        <v>249</v>
      </c>
      <c r="B100" s="1">
        <f t="shared" si="1"/>
        <v>54</v>
      </c>
      <c r="C100" s="1">
        <v>8.0</v>
      </c>
      <c r="D100" s="1">
        <v>0.0</v>
      </c>
      <c r="E100" s="1">
        <v>7.0</v>
      </c>
      <c r="F100" s="6">
        <v>0.375</v>
      </c>
      <c r="G100" s="1">
        <v>5.0</v>
      </c>
      <c r="H100" s="1">
        <v>5.0</v>
      </c>
      <c r="I100" s="1">
        <v>7.0</v>
      </c>
      <c r="J100" s="1">
        <v>7.0</v>
      </c>
      <c r="K100" s="1">
        <v>35.4285714285714</v>
      </c>
      <c r="L100" s="8" t="str">
        <f>vlookup(A100,salesx_all!B:E,2,0)</f>
        <v>Medical Device Healthcare: Developing a Strategy for Ensured Success</v>
      </c>
      <c r="M100" s="8" t="str">
        <f>vlookup(A100,salesx_all!B:D,3,0)</f>
        <v>Executive Summary</v>
      </c>
      <c r="N100" s="8" t="str">
        <f>vlookup(A100,salesx_all!B:E,4,0)</f>
        <v>The Big Win</v>
      </c>
    </row>
    <row r="101">
      <c r="A101" s="1" t="s">
        <v>250</v>
      </c>
      <c r="B101" s="1">
        <f t="shared" si="1"/>
        <v>69</v>
      </c>
      <c r="C101" s="1">
        <v>8.0</v>
      </c>
      <c r="D101" s="1">
        <v>0.0</v>
      </c>
      <c r="E101" s="1">
        <v>7.0</v>
      </c>
      <c r="F101" s="6">
        <v>0.625</v>
      </c>
      <c r="G101" s="1">
        <v>4.0</v>
      </c>
      <c r="H101" s="1">
        <v>3.0</v>
      </c>
      <c r="I101" s="1">
        <v>7.0</v>
      </c>
      <c r="J101" s="1">
        <v>7.0</v>
      </c>
      <c r="K101" s="1">
        <v>1.57142857142857</v>
      </c>
      <c r="L101" s="8" t="str">
        <f>vlookup(A101,salesx_all!B:E,2,0)</f>
        <v>Internet Service Provider: Improving Close Rates to 44.09%</v>
      </c>
      <c r="M101" s="8" t="str">
        <f>vlookup(A101,salesx_all!B:D,3,0)</f>
        <v>Company Profile</v>
      </c>
      <c r="N101" s="8" t="str">
        <f>vlookup(A101,salesx_all!B:E,4,0)</f>
        <v>Sales Success Snapshot</v>
      </c>
    </row>
    <row r="102">
      <c r="A102" s="1" t="s">
        <v>251</v>
      </c>
      <c r="B102" s="1">
        <f t="shared" si="1"/>
        <v>58</v>
      </c>
      <c r="C102" s="1">
        <v>8.0</v>
      </c>
      <c r="D102" s="1">
        <v>0.0</v>
      </c>
      <c r="E102" s="1">
        <v>7.0</v>
      </c>
      <c r="F102" s="6">
        <v>0.75</v>
      </c>
      <c r="G102" s="1">
        <v>6.0</v>
      </c>
      <c r="H102" s="1">
        <v>2.0</v>
      </c>
      <c r="I102" s="1">
        <v>7.0</v>
      </c>
      <c r="J102" s="1">
        <v>7.0</v>
      </c>
      <c r="K102" s="1">
        <v>3.42857142857142</v>
      </c>
      <c r="L102" s="8" t="str">
        <f>vlookup(A102,salesx_all!B:E,2,0)</f>
        <v>Lab Equipment/Microbiology: Building a Field Sales Strategy to Attain Growth</v>
      </c>
      <c r="M102" s="8" t="str">
        <f>vlookup(A102,salesx_all!B:D,3,0)</f>
        <v>Executive Summary</v>
      </c>
      <c r="N102" s="8" t="str">
        <f>vlookup(A102,salesx_all!B:E,4,0)</f>
        <v>The Big Win</v>
      </c>
    </row>
    <row r="103">
      <c r="A103" s="1" t="s">
        <v>252</v>
      </c>
      <c r="B103" s="1">
        <f t="shared" si="1"/>
        <v>61</v>
      </c>
      <c r="C103" s="1">
        <v>8.0</v>
      </c>
      <c r="D103" s="1">
        <v>0.0</v>
      </c>
      <c r="E103" s="1">
        <v>5.0</v>
      </c>
      <c r="F103" s="6">
        <v>0.875</v>
      </c>
      <c r="G103" s="1">
        <v>5.0</v>
      </c>
      <c r="H103" s="1">
        <v>1.0</v>
      </c>
      <c r="I103" s="1">
        <v>6.0</v>
      </c>
      <c r="J103" s="1">
        <v>5.0</v>
      </c>
      <c r="K103" s="1">
        <v>2.6</v>
      </c>
      <c r="L103" s="8" t="str">
        <f>vlookup(A103,salesx_all!B:E,2,0)</f>
        <v>Future-Proof Your Sales: 4 Essential Technologies and Trends</v>
      </c>
      <c r="M103" s="8" t="str">
        <f>vlookup(A103,salesx_all!B:D,3,0)</f>
        <v>1. CRM Systems</v>
      </c>
      <c r="N103" s="8" t="str">
        <f>vlookup(A103,salesx_all!B:E,4,0)</f>
        <v>2. Virtual Selling</v>
      </c>
    </row>
    <row r="104">
      <c r="A104" s="1" t="s">
        <v>253</v>
      </c>
      <c r="B104" s="1">
        <f t="shared" si="1"/>
        <v>61</v>
      </c>
      <c r="C104" s="1">
        <v>8.0</v>
      </c>
      <c r="D104" s="1">
        <v>0.0</v>
      </c>
      <c r="E104" s="1">
        <v>8.0</v>
      </c>
      <c r="F104" s="6">
        <v>1.0</v>
      </c>
      <c r="G104" s="1">
        <v>8.0</v>
      </c>
      <c r="H104" s="1">
        <v>0.0</v>
      </c>
      <c r="I104" s="1">
        <v>6.0</v>
      </c>
      <c r="J104" s="1">
        <v>8.0</v>
      </c>
      <c r="K104" s="1">
        <v>0.0</v>
      </c>
      <c r="L104" s="8" t="str">
        <f>vlookup(A104,salesx_all!B:E,2,0)</f>
        <v>Harness the Power of Artificial Intelligence to Drive Sales</v>
      </c>
      <c r="M104" s="8" t="str">
        <f>vlookup(A104,salesx_all!B:D,3,0)</f>
        <v>Customer Insights and Personalization</v>
      </c>
      <c r="N104" s="8" t="str">
        <f>vlookup(A104,salesx_all!B:E,4,0)</f>
        <v>Enhanced Lead Generation</v>
      </c>
    </row>
    <row r="105">
      <c r="A105" s="1" t="s">
        <v>254</v>
      </c>
      <c r="B105" s="1">
        <f t="shared" si="1"/>
        <v>51</v>
      </c>
      <c r="C105" s="1">
        <v>8.0</v>
      </c>
      <c r="D105" s="1">
        <v>0.0</v>
      </c>
      <c r="E105" s="1">
        <v>6.0</v>
      </c>
      <c r="F105" s="6">
        <v>0.875</v>
      </c>
      <c r="G105" s="1">
        <v>5.0</v>
      </c>
      <c r="H105" s="1">
        <v>1.0</v>
      </c>
      <c r="I105" s="1">
        <v>7.0</v>
      </c>
      <c r="J105" s="1">
        <v>6.0</v>
      </c>
      <c r="K105" s="1">
        <v>7.5</v>
      </c>
      <c r="L105" s="8" t="str">
        <f>vlookup(A105,salesx_all!B:E,2,0)</f>
        <v>How Do You Keep Sales Human In An AI-Driven World?</v>
      </c>
      <c r="M105" s="8" t="str">
        <f>vlookup(A105,salesx_all!B:D,3,0)</f>
        <v>Key takeaways:</v>
      </c>
      <c r="N105" s="8" t="str">
        <f>vlookup(A105,salesx_all!B:E,4,0)</f>
        <v>Episode highlights:</v>
      </c>
    </row>
    <row r="106">
      <c r="A106" s="1" t="s">
        <v>255</v>
      </c>
      <c r="B106" s="1">
        <f t="shared" si="1"/>
        <v>50</v>
      </c>
      <c r="C106" s="1">
        <v>8.0</v>
      </c>
      <c r="D106" s="1">
        <v>0.0</v>
      </c>
      <c r="E106" s="1">
        <v>7.0</v>
      </c>
      <c r="F106" s="6">
        <v>0.875</v>
      </c>
      <c r="G106" s="1">
        <v>4.0</v>
      </c>
      <c r="H106" s="1">
        <v>1.0</v>
      </c>
      <c r="I106" s="1">
        <v>7.0</v>
      </c>
      <c r="J106" s="1">
        <v>6.0</v>
      </c>
      <c r="K106" s="1">
        <v>21.1666666666666</v>
      </c>
      <c r="L106" s="8" t="str">
        <f>vlookup(A106,salesx_all!B:E,2,0)</f>
        <v>#N/A</v>
      </c>
      <c r="M106" s="8" t="str">
        <f>vlookup(A106,salesx_all!B:D,3,0)</f>
        <v>#N/A</v>
      </c>
      <c r="N106" s="8" t="str">
        <f>vlookup(A106,salesx_all!B:E,4,0)</f>
        <v>#N/A</v>
      </c>
    </row>
    <row r="107">
      <c r="A107" s="1" t="s">
        <v>256</v>
      </c>
      <c r="B107" s="1">
        <f t="shared" si="1"/>
        <v>36</v>
      </c>
      <c r="C107" s="1">
        <v>8.0</v>
      </c>
      <c r="D107" s="1">
        <v>0.0</v>
      </c>
      <c r="E107" s="1">
        <v>7.0</v>
      </c>
      <c r="F107" s="6">
        <v>1.0</v>
      </c>
      <c r="G107" s="1">
        <v>6.0</v>
      </c>
      <c r="H107" s="1">
        <v>0.0</v>
      </c>
      <c r="I107" s="1">
        <v>4.0</v>
      </c>
      <c r="J107" s="1">
        <v>7.0</v>
      </c>
      <c r="K107" s="1">
        <v>4.42857142857142</v>
      </c>
      <c r="L107" s="8" t="str">
        <f>vlookup(A107,salesx_all!B:E,2,0)</f>
        <v>#N/A</v>
      </c>
      <c r="M107" s="8" t="str">
        <f>vlookup(A107,salesx_all!B:D,3,0)</f>
        <v>#N/A</v>
      </c>
      <c r="N107" s="8" t="str">
        <f>vlookup(A107,salesx_all!B:E,4,0)</f>
        <v>#N/A</v>
      </c>
    </row>
    <row r="108">
      <c r="A108" s="1" t="s">
        <v>257</v>
      </c>
      <c r="B108" s="1">
        <f t="shared" si="1"/>
        <v>26</v>
      </c>
      <c r="C108" s="1">
        <v>8.0</v>
      </c>
      <c r="D108" s="1">
        <v>0.0</v>
      </c>
      <c r="E108" s="1">
        <v>7.0</v>
      </c>
      <c r="F108" s="6">
        <v>0.75</v>
      </c>
      <c r="G108" s="1">
        <v>7.0</v>
      </c>
      <c r="H108" s="1">
        <v>2.0</v>
      </c>
      <c r="I108" s="1">
        <v>8.0</v>
      </c>
      <c r="J108" s="1">
        <v>7.0</v>
      </c>
      <c r="K108" s="1">
        <v>20.1428571428571</v>
      </c>
      <c r="L108" s="8" t="str">
        <f>vlookup(A108,salesx_all!B:E,2,0)</f>
        <v>#N/A</v>
      </c>
      <c r="M108" s="8" t="str">
        <f>vlookup(A108,salesx_all!B:D,3,0)</f>
        <v>#N/A</v>
      </c>
      <c r="N108" s="8" t="str">
        <f>vlookup(A108,salesx_all!B:E,4,0)</f>
        <v>#N/A</v>
      </c>
    </row>
    <row r="109">
      <c r="A109" s="1" t="s">
        <v>258</v>
      </c>
      <c r="B109" s="1">
        <f t="shared" si="1"/>
        <v>66</v>
      </c>
      <c r="C109" s="1">
        <v>8.0</v>
      </c>
      <c r="D109" s="1">
        <v>0.0</v>
      </c>
      <c r="E109" s="1">
        <v>8.0</v>
      </c>
      <c r="F109" s="6">
        <v>0.625</v>
      </c>
      <c r="G109" s="1">
        <v>5.0</v>
      </c>
      <c r="H109" s="1">
        <v>3.0</v>
      </c>
      <c r="I109" s="1">
        <v>7.0</v>
      </c>
      <c r="J109" s="1">
        <v>7.0</v>
      </c>
      <c r="K109" s="1">
        <v>26.4285714285714</v>
      </c>
      <c r="L109" s="8" t="str">
        <f>vlookup(A109,salesx_all!B:E,2,0)</f>
        <v>Time to Turn Over a New Leaf? Here Are Signs You Should Watch For</v>
      </c>
      <c r="M109" s="8" t="str">
        <f>vlookup(A109,salesx_all!B:D,3,0)</f>
        <v>When is a Leaf Not a Leaf?</v>
      </c>
      <c r="N109" s="8" t="str">
        <f>vlookup(A109,salesx_all!B:E,4,0)</f>
        <v>Signs It Might be Time to Rethink Your Future</v>
      </c>
    </row>
    <row r="110">
      <c r="A110" s="1" t="s">
        <v>259</v>
      </c>
      <c r="B110" s="1">
        <f t="shared" si="1"/>
        <v>38</v>
      </c>
      <c r="C110" s="1">
        <v>8.0</v>
      </c>
      <c r="D110" s="1">
        <v>0.0</v>
      </c>
      <c r="E110" s="1">
        <v>6.0</v>
      </c>
      <c r="F110" s="6">
        <v>0.5</v>
      </c>
      <c r="G110" s="1">
        <v>4.0</v>
      </c>
      <c r="H110" s="1">
        <v>4.0</v>
      </c>
      <c r="I110" s="1">
        <v>8.0</v>
      </c>
      <c r="J110" s="1">
        <v>6.0</v>
      </c>
      <c r="K110" s="1">
        <v>6.0</v>
      </c>
      <c r="L110" s="8" t="str">
        <f>vlookup(A110,salesx_all!B:E,2,0)</f>
        <v>#N/A</v>
      </c>
      <c r="M110" s="8" t="str">
        <f>vlookup(A110,salesx_all!B:D,3,0)</f>
        <v>#N/A</v>
      </c>
      <c r="N110" s="8" t="str">
        <f>vlookup(A110,salesx_all!B:E,4,0)</f>
        <v>#N/A</v>
      </c>
    </row>
    <row r="111">
      <c r="A111" s="1" t="s">
        <v>260</v>
      </c>
      <c r="B111" s="1">
        <f t="shared" si="1"/>
        <v>53</v>
      </c>
      <c r="C111" s="1">
        <v>8.0</v>
      </c>
      <c r="D111" s="1">
        <v>0.0</v>
      </c>
      <c r="E111" s="1">
        <v>6.0</v>
      </c>
      <c r="F111" s="6">
        <v>0.5</v>
      </c>
      <c r="G111" s="1">
        <v>1.0</v>
      </c>
      <c r="H111" s="1">
        <v>4.0</v>
      </c>
      <c r="I111" s="1">
        <v>5.0</v>
      </c>
      <c r="J111" s="1">
        <v>6.0</v>
      </c>
      <c r="K111" s="1">
        <v>4.5</v>
      </c>
      <c r="L111" s="8" t="str">
        <f>vlookup(A111,salesx_all!B:E,2,0)</f>
        <v>Why 68% Can’t Trust Sales Forecasts | Sales Xceleration</v>
      </c>
      <c r="M111" s="8" t="str">
        <f>vlookup(A111,salesx_all!B:D,3,0)</f>
        <v>Why Forecasting Fails Before the Forecast Ever Begins</v>
      </c>
      <c r="N111" s="8" t="str">
        <f>vlookup(A111,salesx_all!B:E,4,0)</f>
        <v>Why Most Sales Teams are Flying Blind</v>
      </c>
    </row>
    <row r="112">
      <c r="A112" s="1" t="s">
        <v>261</v>
      </c>
      <c r="B112" s="1">
        <f t="shared" si="1"/>
        <v>49</v>
      </c>
      <c r="C112" s="1">
        <v>7.0</v>
      </c>
      <c r="D112" s="1">
        <v>0.0</v>
      </c>
      <c r="E112" s="1">
        <v>6.0</v>
      </c>
      <c r="F112" s="6">
        <v>0.857142857142857</v>
      </c>
      <c r="G112" s="1">
        <v>5.0</v>
      </c>
      <c r="H112" s="1">
        <v>1.0</v>
      </c>
      <c r="I112" s="1">
        <v>5.0</v>
      </c>
      <c r="J112" s="1">
        <v>6.0</v>
      </c>
      <c r="K112" s="1">
        <v>11.1666666666666</v>
      </c>
      <c r="L112" s="8" t="str">
        <f>vlookup(A112,salesx_all!B:E,2,0)</f>
        <v>#N/A</v>
      </c>
      <c r="M112" s="8" t="str">
        <f>vlookup(A112,salesx_all!B:D,3,0)</f>
        <v>#N/A</v>
      </c>
      <c r="N112" s="8" t="str">
        <f>vlookup(A112,salesx_all!B:E,4,0)</f>
        <v>#N/A</v>
      </c>
    </row>
    <row r="113">
      <c r="A113" s="1" t="s">
        <v>262</v>
      </c>
      <c r="B113" s="1">
        <f t="shared" si="1"/>
        <v>40</v>
      </c>
      <c r="C113" s="1">
        <v>7.0</v>
      </c>
      <c r="D113" s="1">
        <v>0.0</v>
      </c>
      <c r="E113" s="1">
        <v>6.0</v>
      </c>
      <c r="F113" s="6">
        <v>0.428571428571428</v>
      </c>
      <c r="G113" s="1">
        <v>6.0</v>
      </c>
      <c r="H113" s="1">
        <v>4.0</v>
      </c>
      <c r="I113" s="1">
        <v>7.0</v>
      </c>
      <c r="J113" s="1">
        <v>6.0</v>
      </c>
      <c r="K113" s="1">
        <v>18.3333333333333</v>
      </c>
      <c r="L113" s="8" t="str">
        <f>vlookup(A113,salesx_all!B:E,2,0)</f>
        <v>5 Tips to Boost Your Sales Performance</v>
      </c>
      <c r="M113" s="8" t="str">
        <f>vlookup(A113,salesx_all!B:D,3,0)</f>
        <v>1. Evaluate Your Sales Performance from the Previous Year</v>
      </c>
      <c r="N113" s="8" t="str">
        <f>vlookup(A113,salesx_all!B:E,4,0)</f>
        <v>2. Develop a Sales Strategy with Realistic Goals</v>
      </c>
    </row>
    <row r="114">
      <c r="A114" s="1" t="s">
        <v>263</v>
      </c>
      <c r="B114" s="1">
        <f t="shared" si="1"/>
        <v>91</v>
      </c>
      <c r="C114" s="1">
        <v>7.0</v>
      </c>
      <c r="D114" s="1">
        <v>0.0</v>
      </c>
      <c r="E114" s="1">
        <v>7.0</v>
      </c>
      <c r="F114" s="6">
        <v>0.714285714285714</v>
      </c>
      <c r="G114" s="1">
        <v>6.0</v>
      </c>
      <c r="H114" s="1">
        <v>2.0</v>
      </c>
      <c r="I114" s="1">
        <v>6.0</v>
      </c>
      <c r="J114" s="1">
        <v>7.0</v>
      </c>
      <c r="K114" s="1">
        <v>2.0</v>
      </c>
      <c r="L114" s="8" t="str">
        <f>vlookup(A114,salesx_all!B:E,2,0)</f>
        <v>Achieving Sales Excellence: Choosing Effective Sales Channels for B2B Companies Under $100M</v>
      </c>
      <c r="M114" s="8" t="str">
        <f>vlookup(A114,salesx_all!B:D,3,0)</f>
        <v>Who, What, How, and Where</v>
      </c>
      <c r="N114" s="8" t="str">
        <f>vlookup(A114,salesx_all!B:E,4,0)</f>
        <v>The Significance of Sales Channels</v>
      </c>
    </row>
    <row r="115">
      <c r="A115" s="1" t="s">
        <v>264</v>
      </c>
      <c r="B115" s="1">
        <f t="shared" si="1"/>
        <v>14</v>
      </c>
      <c r="C115" s="1">
        <v>7.0</v>
      </c>
      <c r="D115" s="1">
        <v>0.0</v>
      </c>
      <c r="E115" s="1">
        <v>7.0</v>
      </c>
      <c r="F115" s="6">
        <v>0.571428571428571</v>
      </c>
      <c r="G115" s="1">
        <v>4.0</v>
      </c>
      <c r="H115" s="1">
        <v>3.0</v>
      </c>
      <c r="I115" s="1">
        <v>7.0</v>
      </c>
      <c r="J115" s="1">
        <v>7.0</v>
      </c>
      <c r="K115" s="1">
        <v>4.14285714285714</v>
      </c>
      <c r="L115" s="8" t="str">
        <f>vlookup(A115,salesx_all!B:E,2,0)</f>
        <v>AI Statement</v>
      </c>
      <c r="M115" s="8" t="str">
        <f>vlookup(A115,salesx_all!B:D,3,0)</f>
        <v/>
      </c>
      <c r="N115" s="8" t="str">
        <f>vlookup(A115,salesx_all!B:E,4,0)</f>
        <v/>
      </c>
    </row>
    <row r="116">
      <c r="A116" s="1" t="s">
        <v>265</v>
      </c>
      <c r="B116" s="1">
        <f t="shared" si="1"/>
        <v>71</v>
      </c>
      <c r="C116" s="1">
        <v>7.0</v>
      </c>
      <c r="D116" s="1">
        <v>0.0</v>
      </c>
      <c r="E116" s="1">
        <v>7.0</v>
      </c>
      <c r="F116" s="6">
        <v>0.428571428571428</v>
      </c>
      <c r="G116" s="1">
        <v>3.0</v>
      </c>
      <c r="H116" s="1">
        <v>4.0</v>
      </c>
      <c r="I116" s="1">
        <v>6.0</v>
      </c>
      <c r="J116" s="1">
        <v>7.0</v>
      </c>
      <c r="K116" s="1">
        <v>3.42857142857142</v>
      </c>
      <c r="L116" s="8" t="str">
        <f>vlookup(A116,salesx_all!B:E,2,0)</f>
        <v>Hiring a Sales Team? The Dos and Don’ts of Finding the Right Candidates</v>
      </c>
      <c r="M116" s="8" t="str">
        <f>vlookup(A116,salesx_all!B:D,3,0)</f>
        <v/>
      </c>
      <c r="N116" s="8" t="str">
        <f>vlookup(A116,salesx_all!B:E,4,0)</f>
        <v/>
      </c>
    </row>
    <row r="117">
      <c r="A117" s="1" t="s">
        <v>266</v>
      </c>
      <c r="B117" s="1">
        <f t="shared" si="1"/>
        <v>73</v>
      </c>
      <c r="C117" s="1">
        <v>7.0</v>
      </c>
      <c r="D117" s="1">
        <v>0.0</v>
      </c>
      <c r="E117" s="1">
        <v>7.0</v>
      </c>
      <c r="F117" s="6">
        <v>0.571428571428571</v>
      </c>
      <c r="G117" s="1">
        <v>5.0</v>
      </c>
      <c r="H117" s="1">
        <v>3.0</v>
      </c>
      <c r="I117" s="1">
        <v>5.0</v>
      </c>
      <c r="J117" s="1">
        <v>7.0</v>
      </c>
      <c r="K117" s="1">
        <v>33.4285714285714</v>
      </c>
      <c r="L117" s="8" t="str">
        <f>vlookup(A117,salesx_all!B:E,2,0)</f>
        <v>How Firing Your Top Salesperson Might Fire Up Overall Sales Performance?</v>
      </c>
      <c r="M117" s="8" t="str">
        <f>vlookup(A117,salesx_all!B:D,3,0)</f>
        <v>There’s No “I” in Team</v>
      </c>
      <c r="N117" s="8" t="str">
        <f>vlookup(A117,salesx_all!B:E,4,0)</f>
        <v>Recognizing a Disruptive Influence</v>
      </c>
    </row>
    <row r="118">
      <c r="A118" s="1" t="s">
        <v>267</v>
      </c>
      <c r="B118" s="1">
        <f t="shared" si="1"/>
        <v>65</v>
      </c>
      <c r="C118" s="1">
        <v>7.0</v>
      </c>
      <c r="D118" s="1">
        <v>0.0</v>
      </c>
      <c r="E118" s="1">
        <v>7.0</v>
      </c>
      <c r="F118" s="6">
        <v>1.0</v>
      </c>
      <c r="G118" s="1">
        <v>7.0</v>
      </c>
      <c r="H118" s="1">
        <v>0.0</v>
      </c>
      <c r="I118" s="1">
        <v>4.0</v>
      </c>
      <c r="J118" s="1">
        <v>7.0</v>
      </c>
      <c r="K118" s="1">
        <v>0.714285714285714</v>
      </c>
      <c r="L118" s="8" t="str">
        <f>vlookup(A118,salesx_all!B:E,2,0)</f>
        <v>How to Use AI for B2B Lead Generation: Strategies to Boost Sales</v>
      </c>
      <c r="M118" s="8" t="str">
        <f>vlookup(A118,salesx_all!B:D,3,0)</f>
        <v>B2B Lead Generation Challenges</v>
      </c>
      <c r="N118" s="8" t="str">
        <f>vlookup(A118,salesx_all!B:E,4,0)</f>
        <v>Best AI Tools for B2B Lead Generation:</v>
      </c>
    </row>
    <row r="119">
      <c r="A119" s="1" t="s">
        <v>268</v>
      </c>
      <c r="B119" s="1">
        <f t="shared" si="1"/>
        <v>50</v>
      </c>
      <c r="C119" s="1">
        <v>7.0</v>
      </c>
      <c r="D119" s="1">
        <v>0.0</v>
      </c>
      <c r="E119" s="1">
        <v>6.0</v>
      </c>
      <c r="F119" s="6">
        <v>0.714285714285714</v>
      </c>
      <c r="G119" s="1">
        <v>6.0</v>
      </c>
      <c r="H119" s="1">
        <v>2.0</v>
      </c>
      <c r="I119" s="1">
        <v>6.0</v>
      </c>
      <c r="J119" s="1">
        <v>6.0</v>
      </c>
      <c r="K119" s="1">
        <v>10.6666666666666</v>
      </c>
      <c r="L119" s="8" t="str">
        <f>vlookup(A119,salesx_all!B:E,2,0)</f>
        <v>#N/A</v>
      </c>
      <c r="M119" s="8" t="str">
        <f>vlookup(A119,salesx_all!B:D,3,0)</f>
        <v>#N/A</v>
      </c>
      <c r="N119" s="8" t="str">
        <f>vlookup(A119,salesx_all!B:E,4,0)</f>
        <v>#N/A</v>
      </c>
    </row>
    <row r="120">
      <c r="A120" s="1" t="s">
        <v>269</v>
      </c>
      <c r="B120" s="1">
        <f t="shared" si="1"/>
        <v>83</v>
      </c>
      <c r="C120" s="1">
        <v>7.0</v>
      </c>
      <c r="D120" s="1">
        <v>0.0</v>
      </c>
      <c r="E120" s="1">
        <v>7.0</v>
      </c>
      <c r="F120" s="6">
        <v>0.857142857142857</v>
      </c>
      <c r="G120" s="1">
        <v>7.0</v>
      </c>
      <c r="H120" s="1">
        <v>1.0</v>
      </c>
      <c r="I120" s="1">
        <v>7.0</v>
      </c>
      <c r="J120" s="1">
        <v>7.0</v>
      </c>
      <c r="K120" s="1">
        <v>8.0</v>
      </c>
      <c r="L120" s="8" t="str">
        <f>vlookup(A120,salesx_all!B:E,2,0)</f>
        <v>Maximizing Productivity at Every Level: An Introduction to Level 10 Sales Meetings</v>
      </c>
      <c r="M120" s="8" t="str">
        <f>vlookup(A120,salesx_all!B:D,3,0)</f>
        <v>Best Practices for Running a Level 10 Sales Meeting</v>
      </c>
      <c r="N120" s="8" t="str">
        <f>vlookup(A120,salesx_all!B:E,4,0)</f>
        <v/>
      </c>
    </row>
    <row r="121">
      <c r="A121" s="1" t="s">
        <v>270</v>
      </c>
      <c r="B121" s="1">
        <f t="shared" si="1"/>
        <v>75</v>
      </c>
      <c r="C121" s="1">
        <v>7.0</v>
      </c>
      <c r="D121" s="1">
        <v>0.0</v>
      </c>
      <c r="E121" s="1">
        <v>7.0</v>
      </c>
      <c r="F121" s="6">
        <v>0.857142857142857</v>
      </c>
      <c r="G121" s="1">
        <v>7.0</v>
      </c>
      <c r="H121" s="1">
        <v>1.0</v>
      </c>
      <c r="I121" s="1">
        <v>7.0</v>
      </c>
      <c r="J121" s="1">
        <v>7.0</v>
      </c>
      <c r="K121" s="1">
        <v>19.1428571428571</v>
      </c>
      <c r="L121" s="8" t="str">
        <f>vlookup(A121,salesx_all!B:E,2,0)</f>
        <v>Professionalism in Virtual Meetings: How It Impacts the Remote Work Debate</v>
      </c>
      <c r="M121" s="8" t="str">
        <f>vlookup(A121,salesx_all!B:D,3,0)</f>
        <v>The Effects of a Lack of Professionalism in Virtual Meetings</v>
      </c>
      <c r="N121" s="8" t="str">
        <f>vlookup(A121,salesx_all!B:E,4,0)</f>
        <v>Establishing Professionalism Guidelines for Remote Teams</v>
      </c>
    </row>
    <row r="122">
      <c r="A122" s="1" t="s">
        <v>271</v>
      </c>
      <c r="B122" s="1">
        <f t="shared" si="1"/>
        <v>18</v>
      </c>
      <c r="C122" s="1">
        <v>7.0</v>
      </c>
      <c r="D122" s="1">
        <v>0.0</v>
      </c>
      <c r="E122" s="1">
        <v>7.0</v>
      </c>
      <c r="F122" s="6">
        <v>0.428571428571428</v>
      </c>
      <c r="G122" s="1">
        <v>3.0</v>
      </c>
      <c r="H122" s="1">
        <v>4.0</v>
      </c>
      <c r="I122" s="1">
        <v>7.0</v>
      </c>
      <c r="J122" s="1">
        <v>7.0</v>
      </c>
      <c r="K122" s="1">
        <v>9.28571428571428</v>
      </c>
      <c r="L122" s="8" t="str">
        <f>vlookup(A122,salesx_all!B:E,2,0)</f>
        <v>Sales Connection</v>
      </c>
      <c r="M122" s="8" t="str">
        <f>vlookup(A122,salesx_all!B:D,3,0)</f>
        <v/>
      </c>
      <c r="N122" s="8" t="str">
        <f>vlookup(A122,salesx_all!B:E,4,0)</f>
        <v/>
      </c>
    </row>
    <row r="123">
      <c r="A123" s="1" t="s">
        <v>272</v>
      </c>
      <c r="B123" s="1">
        <f t="shared" si="1"/>
        <v>85</v>
      </c>
      <c r="C123" s="1">
        <v>7.0</v>
      </c>
      <c r="D123" s="1">
        <v>0.0</v>
      </c>
      <c r="E123" s="1">
        <v>7.0</v>
      </c>
      <c r="F123" s="6">
        <v>0.285714285714285</v>
      </c>
      <c r="G123" s="1">
        <v>5.0</v>
      </c>
      <c r="H123" s="1">
        <v>5.0</v>
      </c>
      <c r="I123" s="1">
        <v>7.0</v>
      </c>
      <c r="J123" s="1">
        <v>7.0</v>
      </c>
      <c r="K123" s="1">
        <v>6.85714285714285</v>
      </c>
      <c r="L123" s="8" t="str">
        <f>vlookup(A123,salesx_all!B:E,2,0)</f>
        <v>Sales Forecasting the Future: How AI Turns Sales Strategy from Guesswork into Growth</v>
      </c>
      <c r="M123" s="8" t="str">
        <f>vlookup(A123,salesx_all!B:D,3,0)</f>
        <v>Traditional Forecasting Is Biased and Backward Looking</v>
      </c>
      <c r="N123" s="8" t="str">
        <f>vlookup(A123,salesx_all!B:E,4,0)</f>
        <v>Aligning Sales Strategy for Accurate Forecasting with AI</v>
      </c>
    </row>
    <row r="124">
      <c r="A124" s="1" t="s">
        <v>273</v>
      </c>
      <c r="B124" s="1">
        <f t="shared" si="1"/>
        <v>52</v>
      </c>
      <c r="C124" s="1">
        <v>7.0</v>
      </c>
      <c r="D124" s="1">
        <v>0.0</v>
      </c>
      <c r="E124" s="1">
        <v>7.0</v>
      </c>
      <c r="F124" s="6">
        <v>0.857142857142857</v>
      </c>
      <c r="G124" s="1">
        <v>6.0</v>
      </c>
      <c r="H124" s="1">
        <v>1.0</v>
      </c>
      <c r="I124" s="1">
        <v>8.0</v>
      </c>
      <c r="J124" s="1">
        <v>7.0</v>
      </c>
      <c r="K124" s="1">
        <v>3.0</v>
      </c>
      <c r="L124" s="8" t="str">
        <f>vlookup(A124,salesx_all!B:E,2,0)</f>
        <v>Sales Hiring Strategy: How to Hire Top Sales Talent</v>
      </c>
      <c r="M124" s="8" t="str">
        <f>vlookup(A124,salesx_all!B:D,3,0)</f>
        <v>1. Define Your Ideal Candidate</v>
      </c>
      <c r="N124" s="8" t="str">
        <f>vlookup(A124,salesx_all!B:E,4,0)</f>
        <v>2. Source Candidates Via Multiple Platforms And Channels</v>
      </c>
    </row>
    <row r="125">
      <c r="A125" s="1" t="s">
        <v>274</v>
      </c>
      <c r="B125" s="1">
        <f t="shared" si="1"/>
        <v>25</v>
      </c>
      <c r="C125" s="1">
        <v>7.0</v>
      </c>
      <c r="D125" s="1">
        <v>0.0</v>
      </c>
      <c r="E125" s="1">
        <v>7.0</v>
      </c>
      <c r="F125" s="6">
        <v>0.857142857142857</v>
      </c>
      <c r="G125" s="1">
        <v>7.0</v>
      </c>
      <c r="H125" s="1">
        <v>1.0</v>
      </c>
      <c r="I125" s="1">
        <v>8.0</v>
      </c>
      <c r="J125" s="1">
        <v>7.0</v>
      </c>
      <c r="K125" s="1">
        <v>0.142857142857142</v>
      </c>
      <c r="L125" s="8" t="str">
        <f>vlookup(A125,salesx_all!B:E,2,0)</f>
        <v>#N/A</v>
      </c>
      <c r="M125" s="8" t="str">
        <f>vlookup(A125,salesx_all!B:D,3,0)</f>
        <v>#N/A</v>
      </c>
      <c r="N125" s="8" t="str">
        <f>vlookup(A125,salesx_all!B:E,4,0)</f>
        <v>#N/A</v>
      </c>
    </row>
    <row r="126">
      <c r="A126" s="1" t="s">
        <v>275</v>
      </c>
      <c r="B126" s="1">
        <f t="shared" si="1"/>
        <v>69</v>
      </c>
      <c r="C126" s="1">
        <v>7.0</v>
      </c>
      <c r="D126" s="1">
        <v>0.0</v>
      </c>
      <c r="E126" s="1">
        <v>5.0</v>
      </c>
      <c r="F126" s="6">
        <v>1.0</v>
      </c>
      <c r="G126" s="1">
        <v>4.0</v>
      </c>
      <c r="H126" s="1">
        <v>0.0</v>
      </c>
      <c r="I126" s="1">
        <v>4.0</v>
      </c>
      <c r="J126" s="1">
        <v>5.0</v>
      </c>
      <c r="K126" s="1">
        <v>9.4</v>
      </c>
      <c r="L126" s="8" t="str">
        <f>vlookup(A126,salesx_all!B:E,2,0)</f>
        <v>Business.com – Sales Tips and Strategies for Business Facing Seasonal Fluctuations</v>
      </c>
      <c r="M126" s="8" t="str">
        <f>vlookup(A126,salesx_all!B:D,3,0)</f>
        <v>If your business faces seasonal fluctuations in sales, it is important to prepare for those dips.</v>
      </c>
      <c r="N126" s="8" t="str">
        <f>vlookup(A126,salesx_all!B:E,4,0)</f>
        <v>1. Adjust for the impact of seasonality when forecasting sales.</v>
      </c>
    </row>
    <row r="127">
      <c r="A127" s="1" t="s">
        <v>276</v>
      </c>
      <c r="B127" s="1">
        <f t="shared" si="1"/>
        <v>85</v>
      </c>
      <c r="C127" s="1">
        <v>7.0</v>
      </c>
      <c r="D127" s="1">
        <v>0.0</v>
      </c>
      <c r="E127" s="1">
        <v>7.0</v>
      </c>
      <c r="F127" s="6">
        <v>0.714285714285714</v>
      </c>
      <c r="G127" s="1">
        <v>6.0</v>
      </c>
      <c r="H127" s="1">
        <v>2.0</v>
      </c>
      <c r="I127" s="1">
        <v>5.0</v>
      </c>
      <c r="J127" s="1">
        <v>7.0</v>
      </c>
      <c r="K127" s="1">
        <v>5.0</v>
      </c>
      <c r="L127" s="8" t="str">
        <f>vlookup(A127,salesx_all!B:E,2,0)</f>
        <v>Sales Xceleration Spotlight: Why Many Small Businesses Don’t Prepare a Sales Forecast</v>
      </c>
      <c r="M127" s="8" t="str">
        <f>vlookup(A127,salesx_all!B:D,3,0)</f>
        <v/>
      </c>
      <c r="N127" s="8" t="str">
        <f>vlookup(A127,salesx_all!B:E,4,0)</f>
        <v/>
      </c>
    </row>
    <row r="128">
      <c r="A128" s="1" t="s">
        <v>277</v>
      </c>
      <c r="B128" s="1">
        <f t="shared" si="1"/>
        <v>70</v>
      </c>
      <c r="C128" s="1">
        <v>7.0</v>
      </c>
      <c r="D128" s="1">
        <v>0.0</v>
      </c>
      <c r="E128" s="1">
        <v>7.0</v>
      </c>
      <c r="F128" s="6">
        <v>0.714285714285714</v>
      </c>
      <c r="G128" s="1">
        <v>7.0</v>
      </c>
      <c r="H128" s="1">
        <v>2.0</v>
      </c>
      <c r="I128" s="1">
        <v>7.0</v>
      </c>
      <c r="J128" s="1">
        <v>7.0</v>
      </c>
      <c r="K128" s="1">
        <v>2.57142857142857</v>
      </c>
      <c r="L128" s="8" t="str">
        <f>vlookup(A128,salesx_all!B:E,2,0)</f>
        <v>Forbes – The High-Performance Traits that Power A High-Performance Sales Team</v>
      </c>
      <c r="M128" s="8" t="str">
        <f>vlookup(A128,salesx_all!B:D,3,0)</f>
        <v>High-Performance Sales Team Traits</v>
      </c>
      <c r="N128" s="8" t="str">
        <f>vlookup(A128,salesx_all!B:E,4,0)</f>
        <v/>
      </c>
    </row>
    <row r="129">
      <c r="A129" s="1" t="s">
        <v>278</v>
      </c>
      <c r="B129" s="1">
        <f t="shared" si="1"/>
        <v>85</v>
      </c>
      <c r="C129" s="1">
        <v>7.0</v>
      </c>
      <c r="D129" s="1">
        <v>0.0</v>
      </c>
      <c r="E129" s="1">
        <v>7.0</v>
      </c>
      <c r="F129" s="6">
        <v>1.0</v>
      </c>
      <c r="G129" s="1">
        <v>7.0</v>
      </c>
      <c r="H129" s="1">
        <v>0.0</v>
      </c>
      <c r="I129" s="1">
        <v>4.0</v>
      </c>
      <c r="J129" s="1">
        <v>7.0</v>
      </c>
      <c r="K129" s="1">
        <v>0.571428571428571</v>
      </c>
      <c r="L129" s="8" t="str">
        <f>vlookup(A129,salesx_all!B:E,2,0)</f>
        <v>#N/A</v>
      </c>
      <c r="M129" s="8" t="str">
        <f>vlookup(A129,salesx_all!B:D,3,0)</f>
        <v>#N/A</v>
      </c>
      <c r="N129" s="8" t="str">
        <f>vlookup(A129,salesx_all!B:E,4,0)</f>
        <v>#N/A</v>
      </c>
    </row>
    <row r="130">
      <c r="A130" s="1" t="s">
        <v>279</v>
      </c>
      <c r="B130" s="1">
        <f t="shared" si="1"/>
        <v>52</v>
      </c>
      <c r="C130" s="1">
        <v>7.0</v>
      </c>
      <c r="D130" s="1">
        <v>0.0</v>
      </c>
      <c r="E130" s="1">
        <v>7.0</v>
      </c>
      <c r="F130" s="6">
        <v>0.714285714285714</v>
      </c>
      <c r="G130" s="1">
        <v>5.0</v>
      </c>
      <c r="H130" s="1">
        <v>2.0</v>
      </c>
      <c r="I130" s="1">
        <v>7.0</v>
      </c>
      <c r="J130" s="1">
        <v>7.0</v>
      </c>
      <c r="K130" s="1">
        <v>0.571428571428571</v>
      </c>
      <c r="L130" s="8" t="str">
        <f>vlookup(A130,salesx_all!B:E,2,0)</f>
        <v>What It Really Takes To Build A Resilient Business</v>
      </c>
      <c r="M130" s="8" t="str">
        <f>vlookup(A130,salesx_all!B:D,3,0)</f>
        <v/>
      </c>
      <c r="N130" s="8" t="str">
        <f>vlookup(A130,salesx_all!B:E,4,0)</f>
        <v/>
      </c>
    </row>
    <row r="131">
      <c r="A131" s="1" t="s">
        <v>280</v>
      </c>
      <c r="B131" s="1">
        <f t="shared" si="1"/>
        <v>59</v>
      </c>
      <c r="C131" s="1">
        <v>6.0</v>
      </c>
      <c r="D131" s="1">
        <v>0.0</v>
      </c>
      <c r="E131" s="1">
        <v>6.0</v>
      </c>
      <c r="F131" s="6">
        <v>1.0</v>
      </c>
      <c r="G131" s="1">
        <v>6.0</v>
      </c>
      <c r="H131" s="1">
        <v>0.0</v>
      </c>
      <c r="I131" s="1">
        <v>3.0</v>
      </c>
      <c r="J131" s="1">
        <v>6.0</v>
      </c>
      <c r="K131" s="1">
        <v>0.0</v>
      </c>
      <c r="L131" s="8" t="str">
        <f>vlookup(A131,salesx_all!B:E,2,0)</f>
        <v>SMB CEO – 3 Ways to Smooth the Friction Between Sales and Marketing</v>
      </c>
      <c r="M131" s="8" t="str">
        <f>vlookup(A131,salesx_all!B:D,3,0)</f>
        <v>Marketing vs. Sales: What’s the Difference?</v>
      </c>
      <c r="N131" s="8" t="str">
        <f>vlookup(A131,salesx_all!B:E,4,0)</f>
        <v/>
      </c>
    </row>
    <row r="132">
      <c r="A132" s="1" t="s">
        <v>281</v>
      </c>
      <c r="B132" s="1">
        <f t="shared" si="1"/>
        <v>56</v>
      </c>
      <c r="C132" s="1">
        <v>6.0</v>
      </c>
      <c r="D132" s="1">
        <v>0.0</v>
      </c>
      <c r="E132" s="1">
        <v>6.0</v>
      </c>
      <c r="F132" s="6">
        <v>0.833333333333333</v>
      </c>
      <c r="G132" s="1">
        <v>6.0</v>
      </c>
      <c r="H132" s="1">
        <v>1.0</v>
      </c>
      <c r="I132" s="1">
        <v>7.0</v>
      </c>
      <c r="J132" s="1">
        <v>6.0</v>
      </c>
      <c r="K132" s="1">
        <v>103.166666666666</v>
      </c>
      <c r="L132" s="8" t="str">
        <f>vlookup(A132,salesx_all!B:E,2,0)</f>
        <v>#N/A</v>
      </c>
      <c r="M132" s="8" t="str">
        <f>vlookup(A132,salesx_all!B:D,3,0)</f>
        <v>#N/A</v>
      </c>
      <c r="N132" s="8" t="str">
        <f>vlookup(A132,salesx_all!B:E,4,0)</f>
        <v>#N/A</v>
      </c>
    </row>
    <row r="133">
      <c r="A133" s="1" t="s">
        <v>282</v>
      </c>
      <c r="B133" s="1">
        <f t="shared" si="1"/>
        <v>70</v>
      </c>
      <c r="C133" s="1">
        <v>6.0</v>
      </c>
      <c r="D133" s="1">
        <v>0.0</v>
      </c>
      <c r="E133" s="1">
        <v>5.0</v>
      </c>
      <c r="F133" s="6">
        <v>0.5</v>
      </c>
      <c r="G133" s="1">
        <v>5.0</v>
      </c>
      <c r="H133" s="1">
        <v>3.0</v>
      </c>
      <c r="I133" s="1">
        <v>5.0</v>
      </c>
      <c r="J133" s="1">
        <v>5.0</v>
      </c>
      <c r="K133" s="1">
        <v>2.2</v>
      </c>
      <c r="L133" s="8" t="str">
        <f>vlookup(A133,salesx_all!B:E,2,0)</f>
        <v>#N/A</v>
      </c>
      <c r="M133" s="8" t="str">
        <f>vlookup(A133,salesx_all!B:D,3,0)</f>
        <v>#N/A</v>
      </c>
      <c r="N133" s="8" t="str">
        <f>vlookup(A133,salesx_all!B:E,4,0)</f>
        <v>#N/A</v>
      </c>
    </row>
    <row r="134">
      <c r="A134" s="1" t="s">
        <v>283</v>
      </c>
      <c r="B134" s="1">
        <f t="shared" si="1"/>
        <v>65</v>
      </c>
      <c r="C134" s="1">
        <v>6.0</v>
      </c>
      <c r="D134" s="1">
        <v>0.0</v>
      </c>
      <c r="E134" s="1">
        <v>5.0</v>
      </c>
      <c r="F134" s="6">
        <v>0.833333333333333</v>
      </c>
      <c r="G134" s="1">
        <v>5.0</v>
      </c>
      <c r="H134" s="1">
        <v>1.0</v>
      </c>
      <c r="I134" s="1">
        <v>5.0</v>
      </c>
      <c r="J134" s="1">
        <v>5.0</v>
      </c>
      <c r="K134" s="1">
        <v>15.6</v>
      </c>
      <c r="L134" s="8" t="str">
        <f>vlookup(A134,salesx_all!B:E,2,0)</f>
        <v>Don’t Prescribe a Sales Solution Before You Diagnose the Problem</v>
      </c>
      <c r="M134" s="8" t="str">
        <f>vlookup(A134,salesx_all!B:D,3,0)</f>
        <v/>
      </c>
      <c r="N134" s="8" t="str">
        <f>vlookup(A134,salesx_all!B:E,4,0)</f>
        <v/>
      </c>
    </row>
    <row r="135">
      <c r="A135" s="1" t="s">
        <v>284</v>
      </c>
      <c r="B135" s="1">
        <f t="shared" si="1"/>
        <v>68</v>
      </c>
      <c r="C135" s="1">
        <v>6.0</v>
      </c>
      <c r="D135" s="1">
        <v>0.0</v>
      </c>
      <c r="E135" s="1">
        <v>6.0</v>
      </c>
      <c r="F135" s="6">
        <v>0.833333333333333</v>
      </c>
      <c r="G135" s="1">
        <v>6.0</v>
      </c>
      <c r="H135" s="1">
        <v>1.0</v>
      </c>
      <c r="I135" s="1">
        <v>6.0</v>
      </c>
      <c r="J135" s="1">
        <v>6.0</v>
      </c>
      <c r="K135" s="1">
        <v>2.0</v>
      </c>
      <c r="L135" s="8" t="str">
        <f>vlookup(A135,salesx_all!B:E,2,0)</f>
        <v>#N/A</v>
      </c>
      <c r="M135" s="8" t="str">
        <f>vlookup(A135,salesx_all!B:D,3,0)</f>
        <v>#N/A</v>
      </c>
      <c r="N135" s="8" t="str">
        <f>vlookup(A135,salesx_all!B:E,4,0)</f>
        <v>#N/A</v>
      </c>
    </row>
    <row r="136">
      <c r="A136" s="1" t="s">
        <v>285</v>
      </c>
      <c r="B136" s="1">
        <f t="shared" si="1"/>
        <v>56</v>
      </c>
      <c r="C136" s="1">
        <v>6.0</v>
      </c>
      <c r="D136" s="1">
        <v>0.0</v>
      </c>
      <c r="E136" s="1">
        <v>6.0</v>
      </c>
      <c r="F136" s="6">
        <v>0.5</v>
      </c>
      <c r="G136" s="1">
        <v>6.0</v>
      </c>
      <c r="H136" s="1">
        <v>3.0</v>
      </c>
      <c r="I136" s="1">
        <v>6.0</v>
      </c>
      <c r="J136" s="1">
        <v>6.0</v>
      </c>
      <c r="K136" s="1">
        <v>12.1666666666666</v>
      </c>
      <c r="L136" s="8" t="str">
        <f>vlookup(A136,salesx_all!B:E,2,0)</f>
        <v>How to Use Your Past to Shape a More Purposeful Future</v>
      </c>
      <c r="M136" s="8" t="str">
        <f>vlookup(A136,salesx_all!B:D,3,0)</f>
        <v/>
      </c>
      <c r="N136" s="8" t="str">
        <f>vlookup(A136,salesx_all!B:E,4,0)</f>
        <v/>
      </c>
    </row>
    <row r="137">
      <c r="A137" s="1" t="s">
        <v>286</v>
      </c>
      <c r="B137" s="1">
        <f t="shared" si="1"/>
        <v>50</v>
      </c>
      <c r="C137" s="1">
        <v>6.0</v>
      </c>
      <c r="D137" s="1">
        <v>0.0</v>
      </c>
      <c r="E137" s="1">
        <v>6.0</v>
      </c>
      <c r="F137" s="6">
        <v>0.833333333333333</v>
      </c>
      <c r="G137" s="1">
        <v>6.0</v>
      </c>
      <c r="H137" s="1">
        <v>1.0</v>
      </c>
      <c r="I137" s="1">
        <v>5.0</v>
      </c>
      <c r="J137" s="1">
        <v>6.0</v>
      </c>
      <c r="K137" s="1">
        <v>1.83333333333333</v>
      </c>
      <c r="L137" s="8" t="str">
        <f>vlookup(A137,salesx_all!B:E,2,0)</f>
        <v>How Top Salespeople Thrive in a Fast-Paced World</v>
      </c>
      <c r="M137" s="8" t="str">
        <f>vlookup(A137,salesx_all!B:D,3,0)</f>
        <v/>
      </c>
      <c r="N137" s="8" t="str">
        <f>vlookup(A137,salesx_all!B:E,4,0)</f>
        <v/>
      </c>
    </row>
    <row r="138">
      <c r="A138" s="1" t="s">
        <v>287</v>
      </c>
      <c r="B138" s="1">
        <f t="shared" si="1"/>
        <v>74</v>
      </c>
      <c r="C138" s="1">
        <v>6.0</v>
      </c>
      <c r="D138" s="1">
        <v>0.0</v>
      </c>
      <c r="E138" s="1">
        <v>5.0</v>
      </c>
      <c r="F138" s="6">
        <v>0.166666666666666</v>
      </c>
      <c r="G138" s="1">
        <v>2.0</v>
      </c>
      <c r="H138" s="1">
        <v>5.0</v>
      </c>
      <c r="I138" s="1">
        <v>5.0</v>
      </c>
      <c r="J138" s="1">
        <v>5.0</v>
      </c>
      <c r="K138" s="1">
        <v>45.2</v>
      </c>
      <c r="L138" s="8" t="str">
        <f>vlookup(A138,salesx_all!B:E,2,0)</f>
        <v>#N/A</v>
      </c>
      <c r="M138" s="8" t="str">
        <f>vlookup(A138,salesx_all!B:D,3,0)</f>
        <v>#N/A</v>
      </c>
      <c r="N138" s="8" t="str">
        <f>vlookup(A138,salesx_all!B:E,4,0)</f>
        <v>#N/A</v>
      </c>
    </row>
    <row r="139">
      <c r="A139" s="1" t="s">
        <v>288</v>
      </c>
      <c r="B139" s="1">
        <f t="shared" si="1"/>
        <v>49</v>
      </c>
      <c r="C139" s="1">
        <v>6.0</v>
      </c>
      <c r="D139" s="1">
        <v>0.0</v>
      </c>
      <c r="E139" s="1">
        <v>5.0</v>
      </c>
      <c r="F139" s="6">
        <v>0.666666666666666</v>
      </c>
      <c r="G139" s="1">
        <v>4.0</v>
      </c>
      <c r="H139" s="1">
        <v>2.0</v>
      </c>
      <c r="I139" s="1">
        <v>5.0</v>
      </c>
      <c r="J139" s="1">
        <v>5.0</v>
      </c>
      <c r="K139" s="1">
        <v>3.4</v>
      </c>
      <c r="L139" s="8" t="str">
        <f>vlookup(A139,salesx_all!B:E,2,0)</f>
        <v>Smarter Sales with AI—Without the Security Risk</v>
      </c>
      <c r="M139" s="8" t="str">
        <f>vlookup(A139,salesx_all!B:D,3,0)</f>
        <v>Securing Success: AI Safety and Data Protocols Every SMB Sales Teams</v>
      </c>
      <c r="N139" s="8" t="str">
        <f>vlookup(A139,salesx_all!B:E,4,0)</f>
        <v>Why AI Security Matters More Than Ever</v>
      </c>
    </row>
    <row r="140">
      <c r="A140" s="1" t="s">
        <v>289</v>
      </c>
      <c r="B140" s="1">
        <f t="shared" si="1"/>
        <v>53</v>
      </c>
      <c r="C140" s="1">
        <v>6.0</v>
      </c>
      <c r="D140" s="1">
        <v>0.0</v>
      </c>
      <c r="E140" s="1">
        <v>6.0</v>
      </c>
      <c r="F140" s="6">
        <v>0.5</v>
      </c>
      <c r="G140" s="1">
        <v>4.0</v>
      </c>
      <c r="H140" s="1">
        <v>3.0</v>
      </c>
      <c r="I140" s="1">
        <v>9.0</v>
      </c>
      <c r="J140" s="1">
        <v>6.0</v>
      </c>
      <c r="K140" s="1">
        <v>4.66666666666666</v>
      </c>
      <c r="L140" s="8" t="str">
        <f>vlookup(A140,salesx_all!B:E,2,0)</f>
        <v>The Leadership Traits That Predict Breakout Success</v>
      </c>
      <c r="M140" s="8" t="str">
        <f>vlookup(A140,salesx_all!B:D,3,0)</f>
        <v/>
      </c>
      <c r="N140" s="8" t="str">
        <f>vlookup(A140,salesx_all!B:E,4,0)</f>
        <v/>
      </c>
    </row>
    <row r="141">
      <c r="A141" s="1" t="s">
        <v>290</v>
      </c>
      <c r="B141" s="1">
        <f t="shared" si="1"/>
        <v>83</v>
      </c>
      <c r="C141" s="1">
        <v>6.0</v>
      </c>
      <c r="D141" s="1">
        <v>0.0</v>
      </c>
      <c r="E141" s="1">
        <v>5.0</v>
      </c>
      <c r="F141" s="6">
        <v>0.666666666666666</v>
      </c>
      <c r="G141" s="1">
        <v>5.0</v>
      </c>
      <c r="H141" s="1">
        <v>2.0</v>
      </c>
      <c r="I141" s="1">
        <v>4.0</v>
      </c>
      <c r="J141" s="1">
        <v>5.0</v>
      </c>
      <c r="K141" s="1">
        <v>8.8</v>
      </c>
      <c r="L141" s="8" t="str">
        <f>vlookup(A141,salesx_all!B:E,2,0)</f>
        <v>#N/A</v>
      </c>
      <c r="M141" s="8" t="str">
        <f>vlookup(A141,salesx_all!B:D,3,0)</f>
        <v>#N/A</v>
      </c>
      <c r="N141" s="8" t="str">
        <f>vlookup(A141,salesx_all!B:E,4,0)</f>
        <v>#N/A</v>
      </c>
    </row>
    <row r="142">
      <c r="A142" s="1" t="s">
        <v>291</v>
      </c>
      <c r="B142" s="1">
        <f t="shared" si="1"/>
        <v>55</v>
      </c>
      <c r="C142" s="1">
        <v>6.0</v>
      </c>
      <c r="D142" s="1">
        <v>0.0</v>
      </c>
      <c r="E142" s="1">
        <v>4.0</v>
      </c>
      <c r="F142" s="6">
        <v>1.0</v>
      </c>
      <c r="G142" s="1">
        <v>4.0</v>
      </c>
      <c r="H142" s="1">
        <v>0.0</v>
      </c>
      <c r="I142" s="1">
        <v>4.0</v>
      </c>
      <c r="J142" s="1">
        <v>4.0</v>
      </c>
      <c r="K142" s="1">
        <v>0.5</v>
      </c>
      <c r="L142" s="8" t="str">
        <f>vlookup(A142,salesx_all!B:E,2,0)</f>
        <v>What You Need to Know About Hiring During a Recession</v>
      </c>
      <c r="M142" s="8" t="str">
        <f>vlookup(A142,salesx_all!B:D,3,0)</f>
        <v>It’s Still a Candidate’s Market: What You Need to Know About Hiring During a Recession</v>
      </c>
      <c r="N142" s="8" t="str">
        <f>vlookup(A142,salesx_all!B:E,4,0)</f>
        <v>What to Consider When Hiring During a Recession</v>
      </c>
    </row>
    <row r="143">
      <c r="A143" s="1" t="s">
        <v>292</v>
      </c>
      <c r="B143" s="1">
        <f t="shared" si="1"/>
        <v>63</v>
      </c>
      <c r="C143" s="1">
        <v>6.0</v>
      </c>
      <c r="D143" s="1">
        <v>0.0</v>
      </c>
      <c r="E143" s="1">
        <v>6.0</v>
      </c>
      <c r="F143" s="6">
        <v>1.0</v>
      </c>
      <c r="G143" s="1">
        <v>6.0</v>
      </c>
      <c r="H143" s="1">
        <v>0.0</v>
      </c>
      <c r="I143" s="1">
        <v>4.0</v>
      </c>
      <c r="J143" s="1">
        <v>6.0</v>
      </c>
      <c r="K143" s="1">
        <v>0.0</v>
      </c>
      <c r="L143" s="8" t="str">
        <f>vlookup(A143,salesx_all!B:E,2,0)</f>
        <v>#N/A</v>
      </c>
      <c r="M143" s="8" t="str">
        <f>vlookup(A143,salesx_all!B:D,3,0)</f>
        <v>#N/A</v>
      </c>
      <c r="N143" s="8" t="str">
        <f>vlookup(A143,salesx_all!B:E,4,0)</f>
        <v>#N/A</v>
      </c>
    </row>
    <row r="144">
      <c r="A144" s="1" t="s">
        <v>293</v>
      </c>
      <c r="B144" s="1">
        <f t="shared" si="1"/>
        <v>70</v>
      </c>
      <c r="C144" s="1">
        <v>6.0</v>
      </c>
      <c r="D144" s="1">
        <v>0.0</v>
      </c>
      <c r="E144" s="1">
        <v>5.0</v>
      </c>
      <c r="F144" s="6">
        <v>0.833333333333333</v>
      </c>
      <c r="G144" s="1">
        <v>5.0</v>
      </c>
      <c r="H144" s="1">
        <v>1.0</v>
      </c>
      <c r="I144" s="1">
        <v>6.0</v>
      </c>
      <c r="J144" s="1">
        <v>5.0</v>
      </c>
      <c r="K144" s="1">
        <v>4.4</v>
      </c>
      <c r="L144" s="8" t="str">
        <f>vlookup(A144,salesx_all!B:E,2,0)</f>
        <v>#N/A</v>
      </c>
      <c r="M144" s="8" t="str">
        <f>vlookup(A144,salesx_all!B:D,3,0)</f>
        <v>#N/A</v>
      </c>
      <c r="N144" s="8" t="str">
        <f>vlookup(A144,salesx_all!B:E,4,0)</f>
        <v>#N/A</v>
      </c>
    </row>
    <row r="145">
      <c r="A145" s="1" t="s">
        <v>294</v>
      </c>
      <c r="B145" s="1">
        <f t="shared" si="1"/>
        <v>67</v>
      </c>
      <c r="C145" s="1">
        <v>6.0</v>
      </c>
      <c r="D145" s="1">
        <v>0.0</v>
      </c>
      <c r="E145" s="1">
        <v>6.0</v>
      </c>
      <c r="F145" s="6">
        <v>0.666666666666666</v>
      </c>
      <c r="G145" s="1">
        <v>5.0</v>
      </c>
      <c r="H145" s="1">
        <v>2.0</v>
      </c>
      <c r="I145" s="1">
        <v>6.0</v>
      </c>
      <c r="J145" s="1">
        <v>6.0</v>
      </c>
      <c r="K145" s="1">
        <v>5.0</v>
      </c>
      <c r="L145" s="8" t="str">
        <f>vlookup(A145,salesx_all!B:E,2,0)</f>
        <v>Wondering How to Overcome Sales Challenges? Focus on These 3 Areas</v>
      </c>
      <c r="M145" s="8" t="str">
        <f>vlookup(A145,salesx_all!B:D,3,0)</f>
        <v>Key Takeaways</v>
      </c>
      <c r="N145" s="8" t="str">
        <f>vlookup(A145,salesx_all!B:E,4,0)</f>
        <v>1. Take a second look at onboarding sales reps</v>
      </c>
    </row>
    <row r="146">
      <c r="A146" s="1" t="s">
        <v>295</v>
      </c>
      <c r="B146" s="1">
        <f t="shared" si="1"/>
        <v>56</v>
      </c>
      <c r="C146" s="1">
        <v>5.0</v>
      </c>
      <c r="D146" s="1">
        <v>0.0</v>
      </c>
      <c r="E146" s="1">
        <v>5.0</v>
      </c>
      <c r="F146" s="6">
        <v>1.0</v>
      </c>
      <c r="G146" s="1">
        <v>5.0</v>
      </c>
      <c r="H146" s="1">
        <v>0.0</v>
      </c>
      <c r="I146" s="1">
        <v>4.0</v>
      </c>
      <c r="J146" s="1">
        <v>5.0</v>
      </c>
      <c r="K146" s="1">
        <v>0.0</v>
      </c>
      <c r="L146" s="8" t="str">
        <f>vlookup(A146,salesx_all!B:E,2,0)</f>
        <v>12 Ways to Make Sure Your Vision Casting Makes Ripples</v>
      </c>
      <c r="M146" s="8" t="str">
        <f>vlookup(A146,salesx_all!B:D,3,0)</f>
        <v/>
      </c>
      <c r="N146" s="8" t="str">
        <f>vlookup(A146,salesx_all!B:E,4,0)</f>
        <v/>
      </c>
    </row>
    <row r="147">
      <c r="A147" s="1" t="s">
        <v>296</v>
      </c>
      <c r="B147" s="1">
        <f t="shared" si="1"/>
        <v>56</v>
      </c>
      <c r="C147" s="1">
        <v>5.0</v>
      </c>
      <c r="D147" s="1">
        <v>0.0</v>
      </c>
      <c r="E147" s="1">
        <v>4.0</v>
      </c>
      <c r="F147" s="6">
        <v>0.8</v>
      </c>
      <c r="G147" s="1">
        <v>4.0</v>
      </c>
      <c r="H147" s="1">
        <v>1.0</v>
      </c>
      <c r="I147" s="1">
        <v>4.0</v>
      </c>
      <c r="J147" s="1">
        <v>4.0</v>
      </c>
      <c r="K147" s="1">
        <v>0.25</v>
      </c>
      <c r="L147" s="8" t="str">
        <f>vlookup(A147,salesx_all!B:E,2,0)</f>
        <v>#N/A</v>
      </c>
      <c r="M147" s="8" t="str">
        <f>vlookup(A147,salesx_all!B:D,3,0)</f>
        <v>#N/A</v>
      </c>
      <c r="N147" s="8" t="str">
        <f>vlookup(A147,salesx_all!B:E,4,0)</f>
        <v>#N/A</v>
      </c>
    </row>
    <row r="148">
      <c r="A148" s="1" t="s">
        <v>297</v>
      </c>
      <c r="B148" s="1">
        <f t="shared" si="1"/>
        <v>91</v>
      </c>
      <c r="C148" s="1">
        <v>5.0</v>
      </c>
      <c r="D148" s="1">
        <v>0.0</v>
      </c>
      <c r="E148" s="1">
        <v>5.0</v>
      </c>
      <c r="F148" s="6">
        <v>0.8</v>
      </c>
      <c r="G148" s="1">
        <v>5.0</v>
      </c>
      <c r="H148" s="1">
        <v>1.0</v>
      </c>
      <c r="I148" s="1">
        <v>5.0</v>
      </c>
      <c r="J148" s="1">
        <v>5.0</v>
      </c>
      <c r="K148" s="1">
        <v>0.0</v>
      </c>
      <c r="L148" s="8" t="str">
        <f>vlookup(A148,salesx_all!B:E,2,0)</f>
        <v>Achieving Sales Excellence: A Strategic Roadmap for B2B Companies with Revenues Below $100M</v>
      </c>
      <c r="M148" s="8" t="str">
        <f>vlookup(A148,salesx_all!B:D,3,0)</f>
        <v>Four Focal areas for this series:</v>
      </c>
      <c r="N148" s="8" t="str">
        <f>vlookup(A148,salesx_all!B:E,4,0)</f>
        <v>The remaining 12 areas for additional focus:</v>
      </c>
    </row>
    <row r="149">
      <c r="A149" s="1" t="s">
        <v>298</v>
      </c>
      <c r="B149" s="1">
        <f t="shared" si="1"/>
        <v>85</v>
      </c>
      <c r="C149" s="1">
        <v>5.0</v>
      </c>
      <c r="D149" s="1">
        <v>0.0</v>
      </c>
      <c r="E149" s="1">
        <v>5.0</v>
      </c>
      <c r="F149" s="6">
        <v>1.0</v>
      </c>
      <c r="G149" s="1">
        <v>5.0</v>
      </c>
      <c r="H149" s="1">
        <v>0.0</v>
      </c>
      <c r="I149" s="1">
        <v>5.0</v>
      </c>
      <c r="J149" s="1">
        <v>5.0</v>
      </c>
      <c r="K149" s="1">
        <v>0.0</v>
      </c>
      <c r="L149" s="8" t="str">
        <f>vlookup(A149,salesx_all!B:E,2,0)</f>
        <v>#N/A</v>
      </c>
      <c r="M149" s="8" t="str">
        <f>vlookup(A149,salesx_all!B:D,3,0)</f>
        <v>#N/A</v>
      </c>
      <c r="N149" s="8" t="str">
        <f>vlookup(A149,salesx_all!B:E,4,0)</f>
        <v>#N/A</v>
      </c>
    </row>
    <row r="150">
      <c r="A150" s="1" t="s">
        <v>299</v>
      </c>
      <c r="B150" s="1">
        <f t="shared" si="1"/>
        <v>51</v>
      </c>
      <c r="C150" s="1">
        <v>5.0</v>
      </c>
      <c r="D150" s="1">
        <v>0.0</v>
      </c>
      <c r="E150" s="1">
        <v>5.0</v>
      </c>
      <c r="F150" s="6">
        <v>0.2</v>
      </c>
      <c r="G150" s="1">
        <v>2.0</v>
      </c>
      <c r="H150" s="1">
        <v>4.0</v>
      </c>
      <c r="I150" s="1">
        <v>5.0</v>
      </c>
      <c r="J150" s="1">
        <v>5.0</v>
      </c>
      <c r="K150" s="1">
        <v>65.6</v>
      </c>
      <c r="L150" s="8" t="str">
        <f>vlookup(A150,salesx_all!B:E,2,0)</f>
        <v>Construction Technology: Expanding Business with Sales Playbook</v>
      </c>
      <c r="M150" s="8" t="str">
        <f>vlookup(A150,salesx_all!B:D,3,0)</f>
        <v>Executive Summary</v>
      </c>
      <c r="N150" s="8" t="str">
        <f>vlookup(A150,salesx_all!B:E,4,0)</f>
        <v>The Big Win</v>
      </c>
    </row>
    <row r="151">
      <c r="A151" s="1" t="s">
        <v>300</v>
      </c>
      <c r="B151" s="1">
        <f t="shared" si="1"/>
        <v>42</v>
      </c>
      <c r="C151" s="1">
        <v>5.0</v>
      </c>
      <c r="D151" s="1">
        <v>0.0</v>
      </c>
      <c r="E151" s="1">
        <v>5.0</v>
      </c>
      <c r="F151" s="6">
        <v>0.4</v>
      </c>
      <c r="G151" s="1">
        <v>4.0</v>
      </c>
      <c r="H151" s="1">
        <v>3.0</v>
      </c>
      <c r="I151" s="1">
        <v>5.0</v>
      </c>
      <c r="J151" s="1">
        <v>5.0</v>
      </c>
      <c r="K151" s="1">
        <v>1.0</v>
      </c>
      <c r="L151" s="8" t="str">
        <f>vlookup(A151,salesx_all!B:E,2,0)</f>
        <v>Full-Service Marketing Agency: Developing a Sales Management Cadence that Grows Revenue</v>
      </c>
      <c r="M151" s="8" t="str">
        <f>vlookup(A151,salesx_all!B:D,3,0)</f>
        <v>Executive Summary</v>
      </c>
      <c r="N151" s="8" t="str">
        <f>vlookup(A151,salesx_all!B:E,4,0)</f>
        <v>The Big Win</v>
      </c>
    </row>
    <row r="152">
      <c r="A152" s="1" t="s">
        <v>301</v>
      </c>
      <c r="B152" s="1">
        <f t="shared" si="1"/>
        <v>22</v>
      </c>
      <c r="C152" s="1">
        <v>5.0</v>
      </c>
      <c r="D152" s="1">
        <v>0.0</v>
      </c>
      <c r="E152" s="1">
        <v>5.0</v>
      </c>
      <c r="F152" s="6">
        <v>0.8</v>
      </c>
      <c r="G152" s="1">
        <v>5.0</v>
      </c>
      <c r="H152" s="1">
        <v>1.0</v>
      </c>
      <c r="I152" s="1">
        <v>5.0</v>
      </c>
      <c r="J152" s="1">
        <v>5.0</v>
      </c>
      <c r="K152" s="1">
        <v>1.2</v>
      </c>
      <c r="L152" s="8" t="str">
        <f>vlookup(A152,salesx_all!B:E,2,0)</f>
        <v>Logistics: Defining a Sales Story to Help Drive Revenue Results</v>
      </c>
      <c r="M152" s="8" t="str">
        <f>vlookup(A152,salesx_all!B:D,3,0)</f>
        <v/>
      </c>
      <c r="N152" s="8" t="str">
        <f>vlookup(A152,salesx_all!B:E,4,0)</f>
        <v/>
      </c>
    </row>
    <row r="153">
      <c r="A153" s="1" t="s">
        <v>302</v>
      </c>
      <c r="B153" s="1">
        <f t="shared" si="1"/>
        <v>56</v>
      </c>
      <c r="C153" s="1">
        <v>5.0</v>
      </c>
      <c r="D153" s="1">
        <v>0.0</v>
      </c>
      <c r="E153" s="1">
        <v>5.0</v>
      </c>
      <c r="F153" s="6">
        <v>0.8</v>
      </c>
      <c r="G153" s="1">
        <v>4.0</v>
      </c>
      <c r="H153" s="1">
        <v>1.0</v>
      </c>
      <c r="I153" s="1">
        <v>5.0</v>
      </c>
      <c r="J153" s="1">
        <v>5.0</v>
      </c>
      <c r="K153" s="1">
        <v>4.2</v>
      </c>
      <c r="L153" s="8" t="str">
        <f>vlookup(A153,salesx_all!B:E,2,0)</f>
        <v>Creating a Sales Process That Meets Modern Buyer Needs</v>
      </c>
      <c r="M153" s="8" t="str">
        <f>vlookup(A153,salesx_all!B:D,3,0)</f>
        <v>Component 1: Sales Process</v>
      </c>
      <c r="N153" s="8" t="str">
        <f>vlookup(A153,salesx_all!B:E,4,0)</f>
        <v>Component 2: Sales Compensation Plans</v>
      </c>
    </row>
    <row r="154">
      <c r="A154" s="1" t="s">
        <v>303</v>
      </c>
      <c r="B154" s="1">
        <f t="shared" si="1"/>
        <v>37</v>
      </c>
      <c r="C154" s="1">
        <v>5.0</v>
      </c>
      <c r="D154" s="1">
        <v>0.0</v>
      </c>
      <c r="E154" s="1">
        <v>5.0</v>
      </c>
      <c r="F154" s="6">
        <v>0.6</v>
      </c>
      <c r="G154" s="1">
        <v>4.0</v>
      </c>
      <c r="H154" s="1">
        <v>2.0</v>
      </c>
      <c r="I154" s="1">
        <v>4.0</v>
      </c>
      <c r="J154" s="1">
        <v>5.0</v>
      </c>
      <c r="K154" s="1">
        <v>16.8</v>
      </c>
      <c r="L154" s="8" t="str">
        <f>vlookup(A154,salesx_all!B:E,2,0)</f>
        <v>What is a CRM (and Why Is It Essential To Your Sales Team’s Success)?</v>
      </c>
      <c r="M154" s="8" t="str">
        <f>vlookup(A154,salesx_all!B:D,3,0)</f>
        <v/>
      </c>
      <c r="N154" s="8" t="str">
        <f>vlookup(A154,salesx_all!B:E,4,0)</f>
        <v/>
      </c>
    </row>
    <row r="155">
      <c r="A155" s="1" t="s">
        <v>304</v>
      </c>
      <c r="B155" s="1">
        <f t="shared" si="1"/>
        <v>47</v>
      </c>
      <c r="C155" s="1">
        <v>5.0</v>
      </c>
      <c r="D155" s="1">
        <v>0.0</v>
      </c>
      <c r="E155" s="1">
        <v>4.0</v>
      </c>
      <c r="F155" s="6">
        <v>0.8</v>
      </c>
      <c r="G155" s="1">
        <v>4.0</v>
      </c>
      <c r="H155" s="1">
        <v>1.0</v>
      </c>
      <c r="I155" s="1">
        <v>4.0</v>
      </c>
      <c r="J155" s="1">
        <v>4.0</v>
      </c>
      <c r="K155" s="1">
        <v>0.25</v>
      </c>
      <c r="L155" s="8" t="str">
        <f>vlookup(A155,salesx_all!B:E,2,0)</f>
        <v>Five Steps to Master Personalization in Sales</v>
      </c>
      <c r="M155" s="8" t="str">
        <f>vlookup(A155,salesx_all!B:D,3,0)</f>
        <v>Understanding the Power of Personalization</v>
      </c>
      <c r="N155" s="8" t="str">
        <f>vlookup(A155,salesx_all!B:E,4,0)</f>
        <v>Five Actionable Steps to Tailor Your Sales Approach</v>
      </c>
    </row>
    <row r="156">
      <c r="A156" s="1" t="s">
        <v>305</v>
      </c>
      <c r="B156" s="1">
        <f t="shared" si="1"/>
        <v>56</v>
      </c>
      <c r="C156" s="1">
        <v>5.0</v>
      </c>
      <c r="D156" s="1">
        <v>0.0</v>
      </c>
      <c r="E156" s="1">
        <v>5.0</v>
      </c>
      <c r="F156" s="6">
        <v>0.6</v>
      </c>
      <c r="G156" s="1">
        <v>3.0</v>
      </c>
      <c r="H156" s="1">
        <v>2.0</v>
      </c>
      <c r="I156" s="1">
        <v>5.0</v>
      </c>
      <c r="J156" s="1">
        <v>5.0</v>
      </c>
      <c r="K156" s="1">
        <v>31.6</v>
      </c>
      <c r="L156" s="8" t="str">
        <f>vlookup(A156,salesx_all!B:E,2,0)</f>
        <v>Harnessing AI-Powered Sales Assistants for SMB Success</v>
      </c>
      <c r="M156" s="8" t="str">
        <f>vlookup(A156,salesx_all!B:D,3,0)</f>
        <v>Steps to Set Up an AI Sales Assistant in ChatGPT</v>
      </c>
      <c r="N156" s="8" t="str">
        <f>vlookup(A156,salesx_all!B:E,4,0)</f>
        <v>Improving Lead Generation and Customer Engagement</v>
      </c>
    </row>
    <row r="157">
      <c r="A157" s="1" t="s">
        <v>306</v>
      </c>
      <c r="B157" s="1">
        <f t="shared" si="1"/>
        <v>32</v>
      </c>
      <c r="C157" s="1">
        <v>5.0</v>
      </c>
      <c r="D157" s="1">
        <v>0.0</v>
      </c>
      <c r="E157" s="1">
        <v>5.0</v>
      </c>
      <c r="F157" s="6">
        <v>0.6</v>
      </c>
      <c r="G157" s="1">
        <v>5.0</v>
      </c>
      <c r="H157" s="1">
        <v>2.0</v>
      </c>
      <c r="I157" s="1">
        <v>5.0</v>
      </c>
      <c r="J157" s="1">
        <v>5.0</v>
      </c>
      <c r="K157" s="1">
        <v>7.8</v>
      </c>
      <c r="L157" s="8" t="str">
        <f>vlookup(A157,salesx_all!B:E,2,0)</f>
        <v>Hiring a Fractional Sales Leader – A Staffing Solution That Works</v>
      </c>
      <c r="M157" s="8" t="str">
        <f>vlookup(A157,salesx_all!B:D,3,0)</f>
        <v/>
      </c>
      <c r="N157" s="8" t="str">
        <f>vlookup(A157,salesx_all!B:E,4,0)</f>
        <v/>
      </c>
    </row>
    <row r="158">
      <c r="A158" s="1" t="s">
        <v>307</v>
      </c>
      <c r="B158" s="1">
        <f t="shared" si="1"/>
        <v>75</v>
      </c>
      <c r="C158" s="1">
        <v>5.0</v>
      </c>
      <c r="D158" s="1">
        <v>0.0</v>
      </c>
      <c r="E158" s="1">
        <v>5.0</v>
      </c>
      <c r="F158" s="6">
        <v>1.0</v>
      </c>
      <c r="G158" s="1">
        <v>5.0</v>
      </c>
      <c r="H158" s="1">
        <v>0.0</v>
      </c>
      <c r="I158" s="1">
        <v>3.0</v>
      </c>
      <c r="J158" s="1">
        <v>5.0</v>
      </c>
      <c r="K158" s="1">
        <v>0.4</v>
      </c>
      <c r="L158" s="8" t="str">
        <f>vlookup(A158,salesx_all!B:E,2,0)</f>
        <v>Hiring Smarter: The Importance of Understanding an Ideal Candidate Profile</v>
      </c>
      <c r="M158" s="8" t="str">
        <f>vlookup(A158,salesx_all!B:D,3,0)</f>
        <v/>
      </c>
      <c r="N158" s="8" t="str">
        <f>vlookup(A158,salesx_all!B:E,4,0)</f>
        <v/>
      </c>
    </row>
    <row r="159">
      <c r="A159" s="1" t="s">
        <v>308</v>
      </c>
      <c r="B159" s="1">
        <f t="shared" si="1"/>
        <v>38</v>
      </c>
      <c r="C159" s="1">
        <v>5.0</v>
      </c>
      <c r="D159" s="1">
        <v>0.0</v>
      </c>
      <c r="E159" s="1">
        <v>4.0</v>
      </c>
      <c r="F159" s="6">
        <v>0.4</v>
      </c>
      <c r="G159" s="1">
        <v>4.0</v>
      </c>
      <c r="H159" s="1">
        <v>3.0</v>
      </c>
      <c r="I159" s="1">
        <v>5.0</v>
      </c>
      <c r="J159" s="1">
        <v>4.0</v>
      </c>
      <c r="K159" s="1">
        <v>32.0</v>
      </c>
      <c r="L159" s="8" t="str">
        <f>vlookup(A159,salesx_all!B:E,2,0)</f>
        <v>How to Implement a Crisis Sales Plan</v>
      </c>
      <c r="M159" s="8" t="str">
        <f>vlookup(A159,salesx_all!B:D,3,0)</f>
        <v/>
      </c>
      <c r="N159" s="8" t="str">
        <f>vlookup(A159,salesx_all!B:E,4,0)</f>
        <v/>
      </c>
    </row>
    <row r="160">
      <c r="A160" s="1" t="s">
        <v>309</v>
      </c>
      <c r="B160" s="1">
        <f t="shared" si="1"/>
        <v>59</v>
      </c>
      <c r="C160" s="1">
        <v>5.0</v>
      </c>
      <c r="D160" s="1">
        <v>0.0</v>
      </c>
      <c r="E160" s="1">
        <v>5.0</v>
      </c>
      <c r="F160" s="6">
        <v>0.8</v>
      </c>
      <c r="G160" s="1">
        <v>4.0</v>
      </c>
      <c r="H160" s="1">
        <v>1.0</v>
      </c>
      <c r="I160" s="1">
        <v>4.0</v>
      </c>
      <c r="J160" s="1">
        <v>5.0</v>
      </c>
      <c r="K160" s="1">
        <v>31.0</v>
      </c>
      <c r="L160" s="8" t="str">
        <f>vlookup(A160,salesx_all!B:E,2,0)</f>
        <v>How to Increase Sales: 7 Ways to Enhance Sales Performance</v>
      </c>
      <c r="M160" s="8" t="str">
        <f>vlookup(A160,salesx_all!B:D,3,0)</f>
        <v>Sales Team Performance Lagging? You Need a Sales Process Improvement Plan:</v>
      </c>
      <c r="N160" s="8" t="str">
        <f>vlookup(A160,salesx_all!B:E,4,0)</f>
        <v>1. Understand Where You Are</v>
      </c>
    </row>
    <row r="161">
      <c r="A161" s="1" t="s">
        <v>118</v>
      </c>
      <c r="B161" s="1">
        <f t="shared" si="1"/>
        <v>27</v>
      </c>
      <c r="C161" s="1">
        <v>5.0</v>
      </c>
      <c r="D161" s="1">
        <v>0.0</v>
      </c>
      <c r="E161" s="1">
        <v>5.0</v>
      </c>
      <c r="F161" s="6">
        <v>0.8</v>
      </c>
      <c r="G161" s="1">
        <v>5.0</v>
      </c>
      <c r="H161" s="1">
        <v>1.0</v>
      </c>
      <c r="I161" s="1">
        <v>6.0</v>
      </c>
      <c r="J161" s="1">
        <v>5.0</v>
      </c>
      <c r="K161" s="1">
        <v>5.0</v>
      </c>
      <c r="L161" s="8" t="str">
        <f>vlookup(A161,salesx_all!B:E,2,0)</f>
        <v>Fractional Sales Leadership for Private Equity</v>
      </c>
      <c r="M161" s="8" t="str">
        <f>vlookup(A161,salesx_all!B:D,3,0)</f>
        <v>Key Sales Challenges in Private Equity</v>
      </c>
      <c r="N161" s="8" t="str">
        <f>vlookup(A161,salesx_all!B:E,4,0)</f>
        <v>Why Fractional Sales Leadership Fits Private Equity</v>
      </c>
    </row>
    <row r="162">
      <c r="A162" s="1" t="s">
        <v>310</v>
      </c>
      <c r="B162" s="1">
        <f t="shared" si="1"/>
        <v>47</v>
      </c>
      <c r="C162" s="1">
        <v>5.0</v>
      </c>
      <c r="D162" s="1">
        <v>0.0</v>
      </c>
      <c r="E162" s="1">
        <v>4.0</v>
      </c>
      <c r="F162" s="6">
        <v>0.8</v>
      </c>
      <c r="G162" s="1">
        <v>3.0</v>
      </c>
      <c r="H162" s="1">
        <v>1.0</v>
      </c>
      <c r="I162" s="1">
        <v>4.0</v>
      </c>
      <c r="J162" s="1">
        <v>4.0</v>
      </c>
      <c r="K162" s="1">
        <v>0.0</v>
      </c>
      <c r="L162" s="8" t="str">
        <f>vlookup(A162,salesx_all!B:E,2,0)</f>
        <v>Rapid-Fire Questions on Growing Your Business</v>
      </c>
      <c r="M162" s="8" t="str">
        <f>vlookup(A162,salesx_all!B:D,3,0)</f>
        <v/>
      </c>
      <c r="N162" s="8" t="str">
        <f>vlookup(A162,salesx_all!B:E,4,0)</f>
        <v/>
      </c>
    </row>
    <row r="163">
      <c r="A163" s="1" t="s">
        <v>311</v>
      </c>
      <c r="B163" s="1">
        <f t="shared" si="1"/>
        <v>55</v>
      </c>
      <c r="C163" s="1">
        <v>5.0</v>
      </c>
      <c r="D163" s="1">
        <v>0.0</v>
      </c>
      <c r="E163" s="1">
        <v>5.0</v>
      </c>
      <c r="F163" s="6">
        <v>0.6</v>
      </c>
      <c r="G163" s="1">
        <v>5.0</v>
      </c>
      <c r="H163" s="1">
        <v>2.0</v>
      </c>
      <c r="I163" s="1">
        <v>5.0</v>
      </c>
      <c r="J163" s="1">
        <v>5.0</v>
      </c>
      <c r="K163" s="1">
        <v>32.8</v>
      </c>
      <c r="L163" s="8" t="str">
        <f>vlookup(A163,salesx_all!B:E,2,0)</f>
        <v>#N/A</v>
      </c>
      <c r="M163" s="8" t="str">
        <f>vlookup(A163,salesx_all!B:D,3,0)</f>
        <v>#N/A</v>
      </c>
      <c r="N163" s="8" t="str">
        <f>vlookup(A163,salesx_all!B:E,4,0)</f>
        <v>#N/A</v>
      </c>
    </row>
    <row r="164">
      <c r="A164" s="1" t="s">
        <v>312</v>
      </c>
      <c r="B164" s="1">
        <f t="shared" si="1"/>
        <v>84</v>
      </c>
      <c r="C164" s="1">
        <v>5.0</v>
      </c>
      <c r="D164" s="1">
        <v>0.0</v>
      </c>
      <c r="E164" s="1">
        <v>5.0</v>
      </c>
      <c r="F164" s="6">
        <v>0.8</v>
      </c>
      <c r="G164" s="1">
        <v>4.0</v>
      </c>
      <c r="H164" s="1">
        <v>1.0</v>
      </c>
      <c r="I164" s="1">
        <v>4.0</v>
      </c>
      <c r="J164" s="1">
        <v>5.0</v>
      </c>
      <c r="K164" s="1">
        <v>0.8</v>
      </c>
      <c r="L164" s="8" t="str">
        <f>vlookup(A164,salesx_all!B:E,2,0)</f>
        <v>The AI Advantage: How Sales Leaders Can Drive Growth and Efficiency in the New Year</v>
      </c>
      <c r="M164" s="8" t="str">
        <f>vlookup(A164,salesx_all!B:D,3,0)</f>
        <v>1. Assess Current Sales Processes and Identify Needs</v>
      </c>
      <c r="N164" s="8" t="str">
        <f>vlookup(A164,salesx_all!B:E,4,0)</f>
        <v>2. Start Small with Targeted AI Tools</v>
      </c>
    </row>
    <row r="165">
      <c r="A165" s="1" t="s">
        <v>313</v>
      </c>
      <c r="B165" s="1">
        <f t="shared" si="1"/>
        <v>56</v>
      </c>
      <c r="C165" s="1">
        <v>5.0</v>
      </c>
      <c r="D165" s="1">
        <v>0.0</v>
      </c>
      <c r="E165" s="1">
        <v>4.0</v>
      </c>
      <c r="F165" s="6">
        <v>0.4</v>
      </c>
      <c r="G165" s="1">
        <v>2.0</v>
      </c>
      <c r="H165" s="1">
        <v>3.0</v>
      </c>
      <c r="I165" s="1">
        <v>5.0</v>
      </c>
      <c r="J165" s="1">
        <v>4.0</v>
      </c>
      <c r="K165" s="1">
        <v>5.25</v>
      </c>
      <c r="L165" s="8" t="str">
        <f>vlookup(A165,salesx_all!B:E,2,0)</f>
        <v>The Importance of Building a Top-Performing Sales Team</v>
      </c>
      <c r="M165" s="8" t="str">
        <f>vlookup(A165,salesx_all!B:D,3,0)</f>
        <v/>
      </c>
      <c r="N165" s="8" t="str">
        <f>vlookup(A165,salesx_all!B:E,4,0)</f>
        <v/>
      </c>
    </row>
    <row r="166">
      <c r="A166" s="1" t="s">
        <v>314</v>
      </c>
      <c r="B166" s="1">
        <f t="shared" si="1"/>
        <v>45</v>
      </c>
      <c r="C166" s="1">
        <v>5.0</v>
      </c>
      <c r="D166" s="1">
        <v>0.0</v>
      </c>
      <c r="E166" s="1">
        <v>5.0</v>
      </c>
      <c r="F166" s="6">
        <v>1.0</v>
      </c>
      <c r="G166" s="1">
        <v>5.0</v>
      </c>
      <c r="H166" s="1">
        <v>0.0</v>
      </c>
      <c r="I166" s="1">
        <v>5.0</v>
      </c>
      <c r="J166" s="1">
        <v>5.0</v>
      </c>
      <c r="K166" s="1">
        <v>2.6</v>
      </c>
      <c r="L166" s="8" t="str">
        <f>vlookup(A166,salesx_all!B:E,2,0)</f>
        <v>The Sales Strategy Shift Most Founders Miss</v>
      </c>
      <c r="M166" s="8" t="str">
        <f>vlookup(A166,salesx_all!B:D,3,0)</f>
        <v>Key takeaways:</v>
      </c>
      <c r="N166" s="8" t="str">
        <f>vlookup(A166,salesx_all!B:E,4,0)</f>
        <v>Episode highlights:</v>
      </c>
    </row>
    <row r="167">
      <c r="A167" s="1" t="s">
        <v>315</v>
      </c>
      <c r="B167" s="1">
        <f t="shared" si="1"/>
        <v>43</v>
      </c>
      <c r="C167" s="1">
        <v>5.0</v>
      </c>
      <c r="D167" s="1">
        <v>0.0</v>
      </c>
      <c r="E167" s="1">
        <v>5.0</v>
      </c>
      <c r="F167" s="6">
        <v>0.6</v>
      </c>
      <c r="G167" s="1">
        <v>4.0</v>
      </c>
      <c r="H167" s="1">
        <v>2.0</v>
      </c>
      <c r="I167" s="1">
        <v>5.0</v>
      </c>
      <c r="J167" s="1">
        <v>5.0</v>
      </c>
      <c r="K167" s="1">
        <v>12.6</v>
      </c>
      <c r="L167" s="8" t="str">
        <f>vlookup(A167,salesx_all!B:E,2,0)</f>
        <v>Thriving with Outsourced Sales Leadership</v>
      </c>
      <c r="M167" s="8" t="str">
        <f>vlookup(A167,salesx_all!B:D,3,0)</f>
        <v>Success Story 1: A Technology Company</v>
      </c>
      <c r="N167" s="8" t="str">
        <f>vlookup(A167,salesx_all!B:E,4,0)</f>
        <v>Success Story 2: A Manufacturing Company</v>
      </c>
    </row>
    <row r="168">
      <c r="A168" s="1" t="s">
        <v>316</v>
      </c>
      <c r="B168" s="1">
        <f t="shared" si="1"/>
        <v>27</v>
      </c>
      <c r="C168" s="1">
        <v>5.0</v>
      </c>
      <c r="D168" s="1">
        <v>0.0</v>
      </c>
      <c r="E168" s="1">
        <v>5.0</v>
      </c>
      <c r="F168" s="6">
        <v>1.0</v>
      </c>
      <c r="G168" s="1">
        <v>5.0</v>
      </c>
      <c r="H168" s="1">
        <v>0.0</v>
      </c>
      <c r="I168" s="1">
        <v>5.0</v>
      </c>
      <c r="J168" s="1">
        <v>5.0</v>
      </c>
      <c r="K168" s="1">
        <v>0.0</v>
      </c>
      <c r="L168" s="8" t="str">
        <f>vlookup(A168,salesx_all!B:E,2,0)</f>
        <v>Tie A BOW on Your Company</v>
      </c>
      <c r="M168" s="8" t="str">
        <f>vlookup(A168,salesx_all!B:D,3,0)</f>
        <v/>
      </c>
      <c r="N168" s="8" t="str">
        <f>vlookup(A168,salesx_all!B:E,4,0)</f>
        <v/>
      </c>
    </row>
    <row r="169">
      <c r="A169" s="1" t="s">
        <v>317</v>
      </c>
      <c r="B169" s="1">
        <f t="shared" si="1"/>
        <v>53</v>
      </c>
      <c r="C169" s="1">
        <v>5.0</v>
      </c>
      <c r="D169" s="1">
        <v>0.0</v>
      </c>
      <c r="E169" s="1">
        <v>5.0</v>
      </c>
      <c r="F169" s="6">
        <v>0.8</v>
      </c>
      <c r="G169" s="1">
        <v>5.0</v>
      </c>
      <c r="H169" s="1">
        <v>1.0</v>
      </c>
      <c r="I169" s="1">
        <v>5.0</v>
      </c>
      <c r="J169" s="1">
        <v>5.0</v>
      </c>
      <c r="K169" s="1">
        <v>1.0</v>
      </c>
      <c r="L169" s="8" t="str">
        <f>vlookup(A169,salesx_all!B:E,2,0)</f>
        <v>#N/A</v>
      </c>
      <c r="M169" s="8" t="str">
        <f>vlookup(A169,salesx_all!B:D,3,0)</f>
        <v>#N/A</v>
      </c>
      <c r="N169" s="8" t="str">
        <f>vlookup(A169,salesx_all!B:E,4,0)</f>
        <v>#N/A</v>
      </c>
    </row>
    <row r="170">
      <c r="A170" s="1" t="s">
        <v>318</v>
      </c>
      <c r="B170" s="1">
        <f t="shared" si="1"/>
        <v>45</v>
      </c>
      <c r="C170" s="1">
        <v>5.0</v>
      </c>
      <c r="D170" s="1">
        <v>0.0</v>
      </c>
      <c r="E170" s="1">
        <v>5.0</v>
      </c>
      <c r="F170" s="6">
        <v>0.8</v>
      </c>
      <c r="G170" s="1">
        <v>4.0</v>
      </c>
      <c r="H170" s="1">
        <v>1.0</v>
      </c>
      <c r="I170" s="1">
        <v>3.0</v>
      </c>
      <c r="J170" s="1">
        <v>5.0</v>
      </c>
      <c r="K170" s="1">
        <v>6.6</v>
      </c>
      <c r="L170" s="8" t="str">
        <f>vlookup(A170,salesx_all!B:E,2,0)</f>
        <v>Using the 3 Cs to Improve Sales Performance</v>
      </c>
      <c r="M170" s="8" t="str">
        <f>vlookup(A170,salesx_all!B:D,3,0)</f>
        <v/>
      </c>
      <c r="N170" s="8" t="str">
        <f>vlookup(A170,salesx_all!B:E,4,0)</f>
        <v/>
      </c>
    </row>
    <row r="171">
      <c r="A171" s="1" t="s">
        <v>319</v>
      </c>
      <c r="B171" s="1">
        <f t="shared" si="1"/>
        <v>75</v>
      </c>
      <c r="C171" s="1">
        <v>5.0</v>
      </c>
      <c r="D171" s="1">
        <v>0.0</v>
      </c>
      <c r="E171" s="1">
        <v>4.0</v>
      </c>
      <c r="F171" s="6">
        <v>0.6</v>
      </c>
      <c r="G171" s="1">
        <v>3.0</v>
      </c>
      <c r="H171" s="1">
        <v>2.0</v>
      </c>
      <c r="I171" s="1">
        <v>5.0</v>
      </c>
      <c r="J171" s="1">
        <v>4.0</v>
      </c>
      <c r="K171" s="1">
        <v>11.5</v>
      </c>
      <c r="L171" s="8" t="str">
        <f>vlookup(A171,salesx_all!B:E,2,0)</f>
        <v>Why a CRM is Essential for Successful Sales: A Representative’s Perspective</v>
      </c>
      <c r="M171" s="8" t="str">
        <f>vlookup(A171,salesx_all!B:D,3,0)</f>
        <v/>
      </c>
      <c r="N171" s="8" t="str">
        <f>vlookup(A171,salesx_all!B:E,4,0)</f>
        <v/>
      </c>
    </row>
    <row r="172">
      <c r="A172" s="1" t="s">
        <v>320</v>
      </c>
      <c r="B172" s="1">
        <f t="shared" si="1"/>
        <v>72</v>
      </c>
      <c r="C172" s="1">
        <v>4.0</v>
      </c>
      <c r="D172" s="1">
        <v>0.0</v>
      </c>
      <c r="E172" s="1">
        <v>4.0</v>
      </c>
      <c r="F172" s="6">
        <v>0.75</v>
      </c>
      <c r="G172" s="1">
        <v>3.0</v>
      </c>
      <c r="H172" s="1">
        <v>1.0</v>
      </c>
      <c r="I172" s="1">
        <v>3.0</v>
      </c>
      <c r="J172" s="1">
        <v>4.0</v>
      </c>
      <c r="K172" s="1">
        <v>12.75</v>
      </c>
      <c r="L172" s="8" t="str">
        <f>vlookup(A172,salesx_all!B:E,2,0)</f>
        <v>#N/A</v>
      </c>
      <c r="M172" s="8" t="str">
        <f>vlookup(A172,salesx_all!B:D,3,0)</f>
        <v>#N/A</v>
      </c>
      <c r="N172" s="8" t="str">
        <f>vlookup(A172,salesx_all!B:E,4,0)</f>
        <v>#N/A</v>
      </c>
    </row>
    <row r="173">
      <c r="A173" s="1" t="s">
        <v>321</v>
      </c>
      <c r="B173" s="1">
        <f t="shared" si="1"/>
        <v>75</v>
      </c>
      <c r="C173" s="1">
        <v>4.0</v>
      </c>
      <c r="D173" s="1">
        <v>0.0</v>
      </c>
      <c r="E173" s="1">
        <v>4.0</v>
      </c>
      <c r="F173" s="6">
        <v>0.75</v>
      </c>
      <c r="G173" s="1">
        <v>3.0</v>
      </c>
      <c r="H173" s="1">
        <v>1.0</v>
      </c>
      <c r="I173" s="1">
        <v>3.0</v>
      </c>
      <c r="J173" s="1">
        <v>4.0</v>
      </c>
      <c r="K173" s="1">
        <v>1.25</v>
      </c>
      <c r="L173" s="8" t="str">
        <f>vlookup(A173,salesx_all!B:E,2,0)</f>
        <v>5 Hiring Strategies You Can’t Overlook if You Want to Avoid the Wrong Hire</v>
      </c>
      <c r="M173" s="8" t="str">
        <f>vlookup(A173,salesx_all!B:D,3,0)</f>
        <v>1. Avoid Common Hiring Myths</v>
      </c>
      <c r="N173" s="8" t="str">
        <f>vlookup(A173,salesx_all!B:E,4,0)</f>
        <v>2. Define Clear Roles and Responsibilities</v>
      </c>
    </row>
    <row r="174">
      <c r="A174" s="1" t="s">
        <v>322</v>
      </c>
      <c r="B174" s="1">
        <f t="shared" si="1"/>
        <v>64</v>
      </c>
      <c r="C174" s="1">
        <v>4.0</v>
      </c>
      <c r="D174" s="1">
        <v>0.0</v>
      </c>
      <c r="E174" s="1">
        <v>4.0</v>
      </c>
      <c r="F174" s="6">
        <v>0.75</v>
      </c>
      <c r="G174" s="1">
        <v>2.0</v>
      </c>
      <c r="H174" s="1">
        <v>1.0</v>
      </c>
      <c r="I174" s="1">
        <v>2.0</v>
      </c>
      <c r="J174" s="1">
        <v>4.0</v>
      </c>
      <c r="K174" s="1">
        <v>9.0</v>
      </c>
      <c r="L174" s="8" t="str">
        <f>vlookup(A174,salesx_all!B:E,2,0)</f>
        <v>5 Reasons to Focus on Increasing Sales with Existing Customers</v>
      </c>
      <c r="M174" s="8" t="str">
        <f>vlookup(A174,salesx_all!B:D,3,0)</f>
        <v>Reason #1: To Strengthen Your Existing Customer Relationships – For Their Benefit and Yours</v>
      </c>
      <c r="N174" s="8" t="str">
        <f>vlookup(A174,salesx_all!B:E,4,0)</f>
        <v>Reason #2: To Boost the ROI of Your Sales Efforts</v>
      </c>
    </row>
    <row r="175">
      <c r="A175" s="1" t="s">
        <v>323</v>
      </c>
      <c r="B175" s="1">
        <f t="shared" si="1"/>
        <v>51</v>
      </c>
      <c r="C175" s="1">
        <v>4.0</v>
      </c>
      <c r="D175" s="1">
        <v>0.0</v>
      </c>
      <c r="E175" s="1">
        <v>4.0</v>
      </c>
      <c r="F175" s="6">
        <v>1.0</v>
      </c>
      <c r="G175" s="1">
        <v>4.0</v>
      </c>
      <c r="H175" s="1">
        <v>0.0</v>
      </c>
      <c r="I175" s="1">
        <v>4.0</v>
      </c>
      <c r="J175" s="1">
        <v>4.0</v>
      </c>
      <c r="K175" s="1">
        <v>2.0</v>
      </c>
      <c r="L175" s="8" t="str">
        <f>vlookup(A175,salesx_all!B:E,2,0)</f>
        <v>#N/A</v>
      </c>
      <c r="M175" s="8" t="str">
        <f>vlookup(A175,salesx_all!B:D,3,0)</f>
        <v>#N/A</v>
      </c>
      <c r="N175" s="8" t="str">
        <f>vlookup(A175,salesx_all!B:E,4,0)</f>
        <v>#N/A</v>
      </c>
    </row>
    <row r="176">
      <c r="A176" s="1" t="s">
        <v>324</v>
      </c>
      <c r="B176" s="1">
        <f t="shared" si="1"/>
        <v>40</v>
      </c>
      <c r="C176" s="1">
        <v>4.0</v>
      </c>
      <c r="D176" s="1">
        <v>0.0</v>
      </c>
      <c r="E176" s="1">
        <v>4.0</v>
      </c>
      <c r="F176" s="6">
        <v>0.25</v>
      </c>
      <c r="G176" s="1">
        <v>2.0</v>
      </c>
      <c r="H176" s="1">
        <v>3.0</v>
      </c>
      <c r="I176" s="1">
        <v>4.0</v>
      </c>
      <c r="J176" s="1">
        <v>4.0</v>
      </c>
      <c r="K176" s="1">
        <v>5.0</v>
      </c>
      <c r="L176" s="8" t="str">
        <f>vlookup(A176,salesx_all!B:E,2,0)</f>
        <v>A Beginner’s Guide to Sales Forecasting</v>
      </c>
      <c r="M176" s="8" t="str">
        <f>vlookup(A176,salesx_all!B:D,3,0)</f>
        <v>Why Does Sales Forecasting Matter?</v>
      </c>
      <c r="N176" s="8" t="str">
        <f>vlookup(A176,salesx_all!B:E,4,0)</f>
        <v>Sales Forecasting Examples</v>
      </c>
    </row>
    <row r="177">
      <c r="A177" s="1" t="s">
        <v>325</v>
      </c>
      <c r="B177" s="1">
        <f t="shared" si="1"/>
        <v>56</v>
      </c>
      <c r="C177" s="1">
        <v>4.0</v>
      </c>
      <c r="D177" s="1">
        <v>0.0</v>
      </c>
      <c r="E177" s="1">
        <v>4.0</v>
      </c>
      <c r="F177" s="6">
        <v>0.75</v>
      </c>
      <c r="G177" s="1">
        <v>4.0</v>
      </c>
      <c r="H177" s="1">
        <v>1.0</v>
      </c>
      <c r="I177" s="1">
        <v>4.0</v>
      </c>
      <c r="J177" s="1">
        <v>4.0</v>
      </c>
      <c r="K177" s="1">
        <v>2.75</v>
      </c>
      <c r="L177" s="8" t="str">
        <f>vlookup(A177,salesx_all!B:E,2,0)</f>
        <v>#N/A</v>
      </c>
      <c r="M177" s="8" t="str">
        <f>vlookup(A177,salesx_all!B:D,3,0)</f>
        <v>#N/A</v>
      </c>
      <c r="N177" s="8" t="str">
        <f>vlookup(A177,salesx_all!B:E,4,0)</f>
        <v>#N/A</v>
      </c>
    </row>
    <row r="178">
      <c r="A178" s="1" t="s">
        <v>326</v>
      </c>
      <c r="B178" s="1">
        <f t="shared" si="1"/>
        <v>90</v>
      </c>
      <c r="C178" s="1">
        <v>4.0</v>
      </c>
      <c r="D178" s="1">
        <v>0.0</v>
      </c>
      <c r="E178" s="1">
        <v>4.0</v>
      </c>
      <c r="F178" s="6">
        <v>1.0</v>
      </c>
      <c r="G178" s="1">
        <v>4.0</v>
      </c>
      <c r="H178" s="1">
        <v>0.0</v>
      </c>
      <c r="I178" s="1">
        <v>4.0</v>
      </c>
      <c r="J178" s="1">
        <v>4.0</v>
      </c>
      <c r="K178" s="1">
        <v>0.0</v>
      </c>
      <c r="L178" s="8" t="str">
        <f>vlookup(A178,salesx_all!B:E,2,0)</f>
        <v>#N/A</v>
      </c>
      <c r="M178" s="8" t="str">
        <f>vlookup(A178,salesx_all!B:D,3,0)</f>
        <v>#N/A</v>
      </c>
      <c r="N178" s="8" t="str">
        <f>vlookup(A178,salesx_all!B:E,4,0)</f>
        <v>#N/A</v>
      </c>
    </row>
    <row r="179">
      <c r="A179" s="1" t="s">
        <v>327</v>
      </c>
      <c r="B179" s="1">
        <f t="shared" si="1"/>
        <v>46</v>
      </c>
      <c r="C179" s="1">
        <v>4.0</v>
      </c>
      <c r="D179" s="1">
        <v>0.0</v>
      </c>
      <c r="E179" s="1">
        <v>4.0</v>
      </c>
      <c r="F179" s="6">
        <v>1.0</v>
      </c>
      <c r="G179" s="1">
        <v>4.0</v>
      </c>
      <c r="H179" s="1">
        <v>0.0</v>
      </c>
      <c r="I179" s="1">
        <v>4.0</v>
      </c>
      <c r="J179" s="1">
        <v>4.0</v>
      </c>
      <c r="K179" s="1">
        <v>0.25</v>
      </c>
      <c r="L179" s="8" t="str">
        <f>vlookup(A179,salesx_all!B:E,2,0)</f>
        <v>#N/A</v>
      </c>
      <c r="M179" s="8" t="str">
        <f>vlookup(A179,salesx_all!B:D,3,0)</f>
        <v>#N/A</v>
      </c>
      <c r="N179" s="8" t="str">
        <f>vlookup(A179,salesx_all!B:E,4,0)</f>
        <v>#N/A</v>
      </c>
    </row>
    <row r="180">
      <c r="A180" s="1" t="s">
        <v>328</v>
      </c>
      <c r="B180" s="1">
        <f t="shared" si="1"/>
        <v>86</v>
      </c>
      <c r="C180" s="1">
        <v>4.0</v>
      </c>
      <c r="D180" s="1">
        <v>0.0</v>
      </c>
      <c r="E180" s="1">
        <v>3.0</v>
      </c>
      <c r="F180" s="6">
        <v>0.5</v>
      </c>
      <c r="G180" s="1">
        <v>2.0</v>
      </c>
      <c r="H180" s="1">
        <v>2.0</v>
      </c>
      <c r="I180" s="1">
        <v>3.0</v>
      </c>
      <c r="J180" s="1">
        <v>3.0</v>
      </c>
      <c r="K180" s="1">
        <v>253.666666666666</v>
      </c>
      <c r="L180" s="8" t="str">
        <f>vlookup(A180,salesx_all!B:E,2,0)</f>
        <v>Aerospace Manufacturing: Turning a 10% Decrease in Sales into a 14% Increase</v>
      </c>
      <c r="M180" s="8" t="str">
        <f>vlookup(A180,salesx_all!B:D,3,0)</f>
        <v>Company Profile</v>
      </c>
      <c r="N180" s="8" t="str">
        <f>vlookup(A180,salesx_all!B:E,4,0)</f>
        <v>Sales Success Snapshot</v>
      </c>
    </row>
    <row r="181">
      <c r="A181" s="1" t="s">
        <v>329</v>
      </c>
      <c r="B181" s="1">
        <f t="shared" si="1"/>
        <v>45</v>
      </c>
      <c r="C181" s="1">
        <v>4.0</v>
      </c>
      <c r="D181" s="1">
        <v>0.0</v>
      </c>
      <c r="E181" s="1">
        <v>4.0</v>
      </c>
      <c r="F181" s="6">
        <v>0.25</v>
      </c>
      <c r="G181" s="1">
        <v>2.0</v>
      </c>
      <c r="H181" s="1">
        <v>3.0</v>
      </c>
      <c r="I181" s="1">
        <v>4.0</v>
      </c>
      <c r="J181" s="1">
        <v>4.0</v>
      </c>
      <c r="K181" s="1">
        <v>86.75</v>
      </c>
      <c r="L181" s="8" t="str">
        <f>vlookup(A181,salesx_all!B:E,2,0)</f>
        <v>Air Purification Systems: Building Sales Infrastructure to Expand into a New Channel</v>
      </c>
      <c r="M181" s="8" t="str">
        <f>vlookup(A181,salesx_all!B:D,3,0)</f>
        <v>Executive Summary</v>
      </c>
      <c r="N181" s="8" t="str">
        <f>vlookup(A181,salesx_all!B:E,4,0)</f>
        <v>The Big Win</v>
      </c>
    </row>
    <row r="182">
      <c r="A182" s="1" t="s">
        <v>330</v>
      </c>
      <c r="B182" s="1">
        <f t="shared" si="1"/>
        <v>37</v>
      </c>
      <c r="C182" s="1">
        <v>4.0</v>
      </c>
      <c r="D182" s="1">
        <v>0.0</v>
      </c>
      <c r="E182" s="1">
        <v>4.0</v>
      </c>
      <c r="F182" s="6">
        <v>0.25</v>
      </c>
      <c r="G182" s="1">
        <v>1.0</v>
      </c>
      <c r="H182" s="1">
        <v>3.0</v>
      </c>
      <c r="I182" s="1">
        <v>4.0</v>
      </c>
      <c r="J182" s="1">
        <v>4.0</v>
      </c>
      <c r="K182" s="1">
        <v>88.75</v>
      </c>
      <c r="L182" s="8" t="str">
        <f>vlookup(A182,salesx_all!B:E,2,0)</f>
        <v>Food &amp; Agriculture: From Declining Sales to Exceeding Revenue Growth</v>
      </c>
      <c r="M182" s="8" t="str">
        <f>vlookup(A182,salesx_all!B:D,3,0)</f>
        <v>Executive Summary</v>
      </c>
      <c r="N182" s="8" t="str">
        <f>vlookup(A182,salesx_all!B:E,4,0)</f>
        <v>The Big Win</v>
      </c>
    </row>
    <row r="183">
      <c r="A183" s="1" t="s">
        <v>331</v>
      </c>
      <c r="B183" s="1">
        <f t="shared" si="1"/>
        <v>42</v>
      </c>
      <c r="C183" s="1">
        <v>4.0</v>
      </c>
      <c r="D183" s="1">
        <v>0.0</v>
      </c>
      <c r="E183" s="1">
        <v>4.0</v>
      </c>
      <c r="F183" s="6">
        <v>0.25</v>
      </c>
      <c r="G183" s="1">
        <v>2.0</v>
      </c>
      <c r="H183" s="1">
        <v>3.0</v>
      </c>
      <c r="I183" s="1">
        <v>4.0</v>
      </c>
      <c r="J183" s="1">
        <v>4.0</v>
      </c>
      <c r="K183" s="1">
        <v>94.25</v>
      </c>
      <c r="L183" s="8" t="str">
        <f>vlookup(A183,salesx_all!B:E,2,0)</f>
        <v>Information Security: Accelerating Growth with CSL Training and Effective Tools and Processes</v>
      </c>
      <c r="M183" s="8" t="str">
        <f>vlookup(A183,salesx_all!B:D,3,0)</f>
        <v>Executive Summary</v>
      </c>
      <c r="N183" s="8" t="str">
        <f>vlookup(A183,salesx_all!B:E,4,0)</f>
        <v>The Big Win</v>
      </c>
    </row>
    <row r="184">
      <c r="A184" s="1" t="s">
        <v>332</v>
      </c>
      <c r="B184" s="1">
        <f t="shared" si="1"/>
        <v>29</v>
      </c>
      <c r="C184" s="1">
        <v>4.0</v>
      </c>
      <c r="D184" s="1">
        <v>0.0</v>
      </c>
      <c r="E184" s="1">
        <v>4.0</v>
      </c>
      <c r="F184" s="6">
        <v>1.0</v>
      </c>
      <c r="G184" s="1">
        <v>4.0</v>
      </c>
      <c r="H184" s="1">
        <v>0.0</v>
      </c>
      <c r="I184" s="1">
        <v>4.0</v>
      </c>
      <c r="J184" s="1">
        <v>4.0</v>
      </c>
      <c r="K184" s="1">
        <v>2.5</v>
      </c>
      <c r="L184" s="8" t="str">
        <f>vlookup(A184,salesx_all!B:E,2,0)</f>
        <v>Marketing Consultancy: A Sales Plateau Converted to $4 Million in Growth</v>
      </c>
      <c r="M184" s="8" t="str">
        <f>vlookup(A184,salesx_all!B:D,3,0)</f>
        <v/>
      </c>
      <c r="N184" s="8" t="str">
        <f>vlookup(A184,salesx_all!B:E,4,0)</f>
        <v/>
      </c>
    </row>
    <row r="185">
      <c r="A185" s="1" t="s">
        <v>333</v>
      </c>
      <c r="B185" s="1">
        <f t="shared" si="1"/>
        <v>40</v>
      </c>
      <c r="C185" s="1">
        <v>4.0</v>
      </c>
      <c r="D185" s="1">
        <v>0.0</v>
      </c>
      <c r="E185" s="1">
        <v>4.0</v>
      </c>
      <c r="F185" s="6">
        <v>1.0</v>
      </c>
      <c r="G185" s="1">
        <v>4.0</v>
      </c>
      <c r="H185" s="1">
        <v>0.0</v>
      </c>
      <c r="I185" s="1">
        <v>4.0</v>
      </c>
      <c r="J185" s="1">
        <v>4.0</v>
      </c>
      <c r="K185" s="1">
        <v>0.25</v>
      </c>
      <c r="L185" s="8" t="str">
        <f>vlookup(A185,salesx_all!B:E,2,0)</f>
        <v>Choose Your Path and Make a Difference</v>
      </c>
      <c r="M185" s="8" t="str">
        <f>vlookup(A185,salesx_all!B:D,3,0)</f>
        <v>“Fear Disguised as Practicality”</v>
      </c>
      <c r="N185" s="8" t="str">
        <f>vlookup(A185,salesx_all!B:E,4,0)</f>
        <v>“You Can Fail at What You Don’t Want”</v>
      </c>
    </row>
    <row r="186">
      <c r="A186" s="1" t="s">
        <v>334</v>
      </c>
      <c r="B186" s="1">
        <f t="shared" si="1"/>
        <v>43</v>
      </c>
      <c r="C186" s="1">
        <v>4.0</v>
      </c>
      <c r="D186" s="1">
        <v>0.0</v>
      </c>
      <c r="E186" s="1">
        <v>4.0</v>
      </c>
      <c r="F186" s="6">
        <v>0.75</v>
      </c>
      <c r="G186" s="1">
        <v>3.0</v>
      </c>
      <c r="H186" s="1">
        <v>1.0</v>
      </c>
      <c r="I186" s="1">
        <v>4.0</v>
      </c>
      <c r="J186" s="1">
        <v>4.0</v>
      </c>
      <c r="K186" s="1">
        <v>4.25</v>
      </c>
      <c r="L186" s="8" t="str">
        <f>vlookup(A186,salesx_all!B:E,2,0)</f>
        <v>Compensation Plans and Performance Management</v>
      </c>
      <c r="M186" s="8" t="str">
        <f>vlookup(A186,salesx_all!B:D,3,0)</f>
        <v/>
      </c>
      <c r="N186" s="8" t="str">
        <f>vlookup(A186,salesx_all!B:E,4,0)</f>
        <v/>
      </c>
    </row>
    <row r="187">
      <c r="A187" s="1" t="s">
        <v>335</v>
      </c>
      <c r="B187" s="1">
        <f t="shared" si="1"/>
        <v>46</v>
      </c>
      <c r="C187" s="1">
        <v>4.0</v>
      </c>
      <c r="D187" s="1">
        <v>0.0</v>
      </c>
      <c r="E187" s="1">
        <v>4.0</v>
      </c>
      <c r="F187" s="6">
        <v>0.75</v>
      </c>
      <c r="G187" s="1">
        <v>4.0</v>
      </c>
      <c r="H187" s="1">
        <v>1.0</v>
      </c>
      <c r="I187" s="1">
        <v>4.0</v>
      </c>
      <c r="J187" s="1">
        <v>4.0</v>
      </c>
      <c r="K187" s="1">
        <v>0.25</v>
      </c>
      <c r="L187" s="8" t="str">
        <f>vlookup(A187,salesx_all!B:E,2,0)</f>
        <v>Confessions of the Misunderstood Salesperson</v>
      </c>
      <c r="M187" s="8" t="str">
        <f>vlookup(A187,salesx_all!B:D,3,0)</f>
        <v/>
      </c>
      <c r="N187" s="8" t="str">
        <f>vlookup(A187,salesx_all!B:E,4,0)</f>
        <v/>
      </c>
    </row>
    <row r="188">
      <c r="A188" s="1" t="s">
        <v>336</v>
      </c>
      <c r="B188" s="1">
        <f t="shared" si="1"/>
        <v>65</v>
      </c>
      <c r="C188" s="1">
        <v>4.0</v>
      </c>
      <c r="D188" s="1">
        <v>0.0</v>
      </c>
      <c r="E188" s="1">
        <v>4.0</v>
      </c>
      <c r="F188" s="6">
        <v>0.5</v>
      </c>
      <c r="G188" s="1">
        <v>3.0</v>
      </c>
      <c r="H188" s="1">
        <v>2.0</v>
      </c>
      <c r="I188" s="1">
        <v>4.0</v>
      </c>
      <c r="J188" s="1">
        <v>4.0</v>
      </c>
      <c r="K188" s="1">
        <v>10.25</v>
      </c>
      <c r="L188" s="8" t="str">
        <f>vlookup(A188,salesx_all!B:E,2,0)</f>
        <v>Do You Know the 4 Parts of a Successful Sales Compensation Plan?</v>
      </c>
      <c r="M188" s="8" t="str">
        <f>vlookup(A188,salesx_all!B:D,3,0)</f>
        <v/>
      </c>
      <c r="N188" s="8" t="str">
        <f>vlookup(A188,salesx_all!B:E,4,0)</f>
        <v/>
      </c>
    </row>
    <row r="189">
      <c r="A189" s="1" t="s">
        <v>337</v>
      </c>
      <c r="B189" s="1">
        <f t="shared" si="1"/>
        <v>55</v>
      </c>
      <c r="C189" s="1">
        <v>4.0</v>
      </c>
      <c r="D189" s="1">
        <v>0.0</v>
      </c>
      <c r="E189" s="1">
        <v>3.0</v>
      </c>
      <c r="F189" s="6">
        <v>0.75</v>
      </c>
      <c r="G189" s="1">
        <v>2.0</v>
      </c>
      <c r="H189" s="1">
        <v>1.0</v>
      </c>
      <c r="I189" s="1">
        <v>3.0</v>
      </c>
      <c r="J189" s="1">
        <v>3.0</v>
      </c>
      <c r="K189" s="1">
        <v>0.0</v>
      </c>
      <c r="L189" s="8" t="str">
        <f>vlookup(A189,salesx_all!B:E,2,0)</f>
        <v>Five Keys to More Successful Sales Compensation Plans</v>
      </c>
      <c r="M189" s="8" t="str">
        <f>vlookup(A189,salesx_all!B:D,3,0)</f>
        <v>The Bottom Line:</v>
      </c>
      <c r="N189" s="8" t="str">
        <f>vlookup(A189,salesx_all!B:E,4,0)</f>
        <v/>
      </c>
    </row>
    <row r="190">
      <c r="A190" s="1" t="s">
        <v>338</v>
      </c>
      <c r="B190" s="1">
        <f t="shared" si="1"/>
        <v>67</v>
      </c>
      <c r="C190" s="1">
        <v>4.0</v>
      </c>
      <c r="D190" s="1">
        <v>0.0</v>
      </c>
      <c r="E190" s="1">
        <v>4.0</v>
      </c>
      <c r="F190" s="6">
        <v>1.0</v>
      </c>
      <c r="G190" s="1">
        <v>4.0</v>
      </c>
      <c r="H190" s="1">
        <v>0.0</v>
      </c>
      <c r="I190" s="1">
        <v>2.0</v>
      </c>
      <c r="J190" s="1">
        <v>4.0</v>
      </c>
      <c r="K190" s="1">
        <v>1.75</v>
      </c>
      <c r="L190" s="8" t="str">
        <f>vlookup(A190,salesx_all!B:E,2,0)</f>
        <v>Fractional Work: The Ultimate Smart-Business Competitive Advantage</v>
      </c>
      <c r="M190" s="8" t="str">
        <f>vlookup(A190,salesx_all!B:D,3,0)</f>
        <v>What is Fractional Work?</v>
      </c>
      <c r="N190" s="8" t="str">
        <f>vlookup(A190,salesx_all!B:E,4,0)</f>
        <v>The Growth of Fractional Work</v>
      </c>
    </row>
    <row r="191">
      <c r="A191" s="1" t="s">
        <v>339</v>
      </c>
      <c r="B191" s="1">
        <f t="shared" si="1"/>
        <v>61</v>
      </c>
      <c r="C191" s="1">
        <v>4.0</v>
      </c>
      <c r="D191" s="1">
        <v>0.0</v>
      </c>
      <c r="E191" s="1">
        <v>4.0</v>
      </c>
      <c r="F191" s="6">
        <v>0.75</v>
      </c>
      <c r="G191" s="1">
        <v>3.0</v>
      </c>
      <c r="H191" s="1">
        <v>1.0</v>
      </c>
      <c r="I191" s="1">
        <v>4.0</v>
      </c>
      <c r="J191" s="1">
        <v>4.0</v>
      </c>
      <c r="K191" s="1">
        <v>0.5</v>
      </c>
      <c r="L191" s="8" t="str">
        <f>vlookup(A191,salesx_all!B:E,2,0)</f>
        <v>Halftime is Prime Time to Move from Success to Significance</v>
      </c>
      <c r="M191" s="8" t="str">
        <f>vlookup(A191,salesx_all!B:D,3,0)</f>
        <v/>
      </c>
      <c r="N191" s="8" t="str">
        <f>vlookup(A191,salesx_all!B:E,4,0)</f>
        <v/>
      </c>
    </row>
    <row r="192">
      <c r="A192" s="1" t="s">
        <v>340</v>
      </c>
      <c r="B192" s="1">
        <f t="shared" si="1"/>
        <v>90</v>
      </c>
      <c r="C192" s="1">
        <v>4.0</v>
      </c>
      <c r="D192" s="1">
        <v>0.0</v>
      </c>
      <c r="E192" s="1">
        <v>4.0</v>
      </c>
      <c r="F192" s="6">
        <v>1.0</v>
      </c>
      <c r="G192" s="1">
        <v>4.0</v>
      </c>
      <c r="H192" s="1">
        <v>0.0</v>
      </c>
      <c r="I192" s="1">
        <v>4.0</v>
      </c>
      <c r="J192" s="1">
        <v>4.0</v>
      </c>
      <c r="K192" s="1">
        <v>0.0</v>
      </c>
      <c r="L192" s="8" t="str">
        <f>vlookup(A192,salesx_all!B:E,2,0)</f>
        <v>Hiring a Sales Professional? Use Fresh Strategies to ‘Sell’ Your Organization to Top Talent</v>
      </c>
      <c r="M192" s="8" t="str">
        <f>vlookup(A192,salesx_all!B:D,3,0)</f>
        <v/>
      </c>
      <c r="N192" s="8" t="str">
        <f>vlookup(A192,salesx_all!B:E,4,0)</f>
        <v/>
      </c>
    </row>
    <row r="193">
      <c r="A193" s="1" t="s">
        <v>341</v>
      </c>
      <c r="B193" s="1">
        <f t="shared" si="1"/>
        <v>68</v>
      </c>
      <c r="C193" s="1">
        <v>4.0</v>
      </c>
      <c r="D193" s="1">
        <v>0.0</v>
      </c>
      <c r="E193" s="1">
        <v>4.0</v>
      </c>
      <c r="F193" s="6">
        <v>0.25</v>
      </c>
      <c r="G193" s="1">
        <v>1.0</v>
      </c>
      <c r="H193" s="1">
        <v>3.0</v>
      </c>
      <c r="I193" s="1">
        <v>4.0</v>
      </c>
      <c r="J193" s="1">
        <v>4.0</v>
      </c>
      <c r="K193" s="1">
        <v>31.0</v>
      </c>
      <c r="L193" s="8" t="str">
        <f>vlookup(A193,salesx_all!B:E,2,0)</f>
        <v>How Sales Teams Can Practice Proactive Rather than Reactive Hiring</v>
      </c>
      <c r="M193" s="8" t="str">
        <f>vlookup(A193,salesx_all!B:D,3,0)</f>
        <v/>
      </c>
      <c r="N193" s="8" t="str">
        <f>vlookup(A193,salesx_all!B:E,4,0)</f>
        <v/>
      </c>
    </row>
    <row r="194">
      <c r="A194" s="1" t="s">
        <v>342</v>
      </c>
      <c r="B194" s="1">
        <f t="shared" si="1"/>
        <v>50</v>
      </c>
      <c r="C194" s="1">
        <v>4.0</v>
      </c>
      <c r="D194" s="1">
        <v>0.0</v>
      </c>
      <c r="E194" s="1">
        <v>4.0</v>
      </c>
      <c r="F194" s="6">
        <v>1.0</v>
      </c>
      <c r="G194" s="1">
        <v>4.0</v>
      </c>
      <c r="H194" s="1">
        <v>0.0</v>
      </c>
      <c r="I194" s="1">
        <v>4.0</v>
      </c>
      <c r="J194" s="1">
        <v>4.0</v>
      </c>
      <c r="K194" s="1">
        <v>0.0</v>
      </c>
      <c r="L194" s="8" t="str">
        <f>vlookup(A194,salesx_all!B:E,2,0)</f>
        <v>How SMBs Should Address Inflation in 5 Key Steps</v>
      </c>
      <c r="M194" s="8" t="str">
        <f>vlookup(A194,salesx_all!B:D,3,0)</f>
        <v>What challenges does a recession pose to SMBs?</v>
      </c>
      <c r="N194" s="8" t="str">
        <f>vlookup(A194,salesx_all!B:E,4,0)</f>
        <v>Why does the recession affect SMBs so disproportionately?</v>
      </c>
    </row>
    <row r="195">
      <c r="A195" s="1" t="s">
        <v>343</v>
      </c>
      <c r="B195" s="1">
        <f t="shared" si="1"/>
        <v>42</v>
      </c>
      <c r="C195" s="1">
        <v>4.0</v>
      </c>
      <c r="D195" s="1">
        <v>0.0</v>
      </c>
      <c r="E195" s="1">
        <v>4.0</v>
      </c>
      <c r="F195" s="6">
        <v>0.75</v>
      </c>
      <c r="G195" s="1">
        <v>4.0</v>
      </c>
      <c r="H195" s="1">
        <v>1.0</v>
      </c>
      <c r="I195" s="1">
        <v>3.0</v>
      </c>
      <c r="J195" s="1">
        <v>4.0</v>
      </c>
      <c r="K195" s="1">
        <v>45.75</v>
      </c>
      <c r="L195" s="8" t="str">
        <f>vlookup(A195,salesx_all!B:E,2,0)</f>
        <v>How to Develop a Sales Compensation Plan</v>
      </c>
      <c r="M195" s="8" t="str">
        <f>vlookup(A195,salesx_all!B:D,3,0)</f>
        <v/>
      </c>
      <c r="N195" s="8" t="str">
        <f>vlookup(A195,salesx_all!B:E,4,0)</f>
        <v/>
      </c>
    </row>
    <row r="196">
      <c r="A196" s="1" t="s">
        <v>344</v>
      </c>
      <c r="B196" s="1">
        <f t="shared" si="1"/>
        <v>63</v>
      </c>
      <c r="C196" s="1">
        <v>4.0</v>
      </c>
      <c r="D196" s="1">
        <v>0.0</v>
      </c>
      <c r="E196" s="1">
        <v>4.0</v>
      </c>
      <c r="F196" s="6">
        <v>0.75</v>
      </c>
      <c r="G196" s="1">
        <v>4.0</v>
      </c>
      <c r="H196" s="1">
        <v>1.0</v>
      </c>
      <c r="I196" s="1">
        <v>4.0</v>
      </c>
      <c r="J196" s="1">
        <v>4.0</v>
      </c>
      <c r="K196" s="1">
        <v>14.25</v>
      </c>
      <c r="L196" s="8" t="str">
        <f>vlookup(A196,salesx_all!B:E,2,0)</f>
        <v>How to Unstick a Stalled Deal (Even if it Means No Deal at All)</v>
      </c>
      <c r="M196" s="8" t="str">
        <f>vlookup(A196,salesx_all!B:D,3,0)</f>
        <v/>
      </c>
      <c r="N196" s="8" t="str">
        <f>vlookup(A196,salesx_all!B:E,4,0)</f>
        <v/>
      </c>
    </row>
    <row r="197">
      <c r="A197" s="1" t="s">
        <v>345</v>
      </c>
      <c r="B197" s="1">
        <f t="shared" si="1"/>
        <v>73</v>
      </c>
      <c r="C197" s="1">
        <v>4.0</v>
      </c>
      <c r="D197" s="1">
        <v>0.0</v>
      </c>
      <c r="E197" s="1">
        <v>4.0</v>
      </c>
      <c r="F197" s="6">
        <v>0.25</v>
      </c>
      <c r="G197" s="1">
        <v>3.0</v>
      </c>
      <c r="H197" s="1">
        <v>3.0</v>
      </c>
      <c r="I197" s="1">
        <v>4.0</v>
      </c>
      <c r="J197" s="1">
        <v>4.0</v>
      </c>
      <c r="K197" s="1">
        <v>37.5</v>
      </c>
      <c r="L197" s="8" t="str">
        <f>vlookup(A197,salesx_all!B:E,2,0)</f>
        <v>Improving Sales Success Starts with Your Sales Executive Hiring Process</v>
      </c>
      <c r="M197" s="8" t="str">
        <f>vlookup(A197,salesx_all!B:D,3,0)</f>
        <v/>
      </c>
      <c r="N197" s="8" t="str">
        <f>vlookup(A197,salesx_all!B:E,4,0)</f>
        <v/>
      </c>
    </row>
    <row r="198">
      <c r="A198" s="1" t="s">
        <v>346</v>
      </c>
      <c r="B198" s="1">
        <f t="shared" si="1"/>
        <v>62</v>
      </c>
      <c r="C198" s="1">
        <v>4.0</v>
      </c>
      <c r="D198" s="1">
        <v>0.0</v>
      </c>
      <c r="E198" s="1">
        <v>4.0</v>
      </c>
      <c r="F198" s="6">
        <v>0.75</v>
      </c>
      <c r="G198" s="1">
        <v>3.0</v>
      </c>
      <c r="H198" s="1">
        <v>1.0</v>
      </c>
      <c r="I198" s="1">
        <v>4.0</v>
      </c>
      <c r="J198" s="1">
        <v>4.0</v>
      </c>
      <c r="K198" s="1">
        <v>3.5</v>
      </c>
      <c r="L198" s="8" t="str">
        <f>vlookup(A198,salesx_all!B:E,2,0)</f>
        <v>Independence Way: Finding the Freedom to Fulfill Your Purpose</v>
      </c>
      <c r="M198" s="8" t="str">
        <f>vlookup(A198,salesx_all!B:D,3,0)</f>
        <v>Life, Liberty, and the Pursuit of Happiness</v>
      </c>
      <c r="N198" s="8" t="str">
        <f>vlookup(A198,salesx_all!B:E,4,0)</f>
        <v>Beyond The Pursuit</v>
      </c>
    </row>
    <row r="199">
      <c r="A199" s="1" t="s">
        <v>347</v>
      </c>
      <c r="B199" s="1">
        <f t="shared" si="1"/>
        <v>93</v>
      </c>
      <c r="C199" s="1">
        <v>4.0</v>
      </c>
      <c r="D199" s="1">
        <v>0.0</v>
      </c>
      <c r="E199" s="1">
        <v>4.0</v>
      </c>
      <c r="F199" s="6">
        <v>1.0</v>
      </c>
      <c r="G199" s="1">
        <v>4.0</v>
      </c>
      <c r="H199" s="1">
        <v>0.0</v>
      </c>
      <c r="I199" s="1">
        <v>4.0</v>
      </c>
      <c r="J199" s="1">
        <v>4.0</v>
      </c>
      <c r="K199" s="1">
        <v>0.0</v>
      </c>
      <c r="L199" s="8" t="str">
        <f>vlookup(A199,salesx_all!B:E,2,0)</f>
        <v>#N/A</v>
      </c>
      <c r="M199" s="8" t="str">
        <f>vlookup(A199,salesx_all!B:D,3,0)</f>
        <v>#N/A</v>
      </c>
      <c r="N199" s="8" t="str">
        <f>vlookup(A199,salesx_all!B:E,4,0)</f>
        <v>#N/A</v>
      </c>
    </row>
    <row r="200">
      <c r="A200" s="1" t="s">
        <v>348</v>
      </c>
      <c r="B200" s="1">
        <f t="shared" si="1"/>
        <v>65</v>
      </c>
      <c r="C200" s="1">
        <v>4.0</v>
      </c>
      <c r="D200" s="1">
        <v>0.0</v>
      </c>
      <c r="E200" s="1">
        <v>4.0</v>
      </c>
      <c r="F200" s="6">
        <v>1.0</v>
      </c>
      <c r="G200" s="1">
        <v>2.0</v>
      </c>
      <c r="H200" s="1">
        <v>0.0</v>
      </c>
      <c r="I200" s="1">
        <v>3.0</v>
      </c>
      <c r="J200" s="1">
        <v>4.0</v>
      </c>
      <c r="K200" s="1">
        <v>9.0</v>
      </c>
      <c r="L200" s="8" t="str">
        <f>vlookup(A200,salesx_all!B:E,2,0)</f>
        <v>Is Small Business Success Possible During a Period of Inflation?</v>
      </c>
      <c r="M200" s="8" t="str">
        <f>vlookup(A200,salesx_all!B:D,3,0)</f>
        <v>The Impact of Inflation on Small Business</v>
      </c>
      <c r="N200" s="8" t="str">
        <f>vlookup(A200,salesx_all!B:E,4,0)</f>
        <v>5 Strategies to Combat Inflation</v>
      </c>
    </row>
    <row r="201">
      <c r="A201" s="1" t="s">
        <v>349</v>
      </c>
      <c r="B201" s="1">
        <f t="shared" si="1"/>
        <v>59</v>
      </c>
      <c r="C201" s="1">
        <v>4.0</v>
      </c>
      <c r="D201" s="1">
        <v>0.0</v>
      </c>
      <c r="E201" s="1">
        <v>4.0</v>
      </c>
      <c r="F201" s="6">
        <v>0.75</v>
      </c>
      <c r="G201" s="1">
        <v>3.0</v>
      </c>
      <c r="H201" s="1">
        <v>1.0</v>
      </c>
      <c r="I201" s="1">
        <v>4.0</v>
      </c>
      <c r="J201" s="1">
        <v>4.0</v>
      </c>
      <c r="K201" s="1">
        <v>0.0</v>
      </c>
      <c r="L201" s="8" t="str">
        <f>vlookup(A201,salesx_all!B:E,2,0)</f>
        <v>Is Your Sales Manager Still Selling? Big Mistake. Here’s Why:</v>
      </c>
      <c r="M201" s="8" t="str">
        <f>vlookup(A201,salesx_all!B:D,3,0)</f>
        <v/>
      </c>
      <c r="N201" s="8" t="str">
        <f>vlookup(A201,salesx_all!B:E,4,0)</f>
        <v/>
      </c>
    </row>
    <row r="202">
      <c r="A202" s="1" t="s">
        <v>350</v>
      </c>
      <c r="B202" s="1">
        <f t="shared" si="1"/>
        <v>44</v>
      </c>
      <c r="C202" s="1">
        <v>4.0</v>
      </c>
      <c r="D202" s="1">
        <v>0.0</v>
      </c>
      <c r="E202" s="1">
        <v>4.0</v>
      </c>
      <c r="F202" s="6">
        <v>0.25</v>
      </c>
      <c r="G202" s="1">
        <v>4.0</v>
      </c>
      <c r="H202" s="1">
        <v>3.0</v>
      </c>
      <c r="I202" s="1">
        <v>4.0</v>
      </c>
      <c r="J202" s="1">
        <v>4.0</v>
      </c>
      <c r="K202" s="1">
        <v>33.75</v>
      </c>
      <c r="L202" s="8" t="str">
        <f>vlookup(A202,salesx_all!B:E,2,0)</f>
        <v>#N/A</v>
      </c>
      <c r="M202" s="8" t="str">
        <f>vlookup(A202,salesx_all!B:D,3,0)</f>
        <v>#N/A</v>
      </c>
      <c r="N202" s="8" t="str">
        <f>vlookup(A202,salesx_all!B:E,4,0)</f>
        <v>#N/A</v>
      </c>
    </row>
    <row r="203">
      <c r="A203" s="1" t="s">
        <v>351</v>
      </c>
      <c r="B203" s="1">
        <f t="shared" si="1"/>
        <v>33</v>
      </c>
      <c r="C203" s="1">
        <v>4.0</v>
      </c>
      <c r="D203" s="1">
        <v>0.0</v>
      </c>
      <c r="E203" s="1">
        <v>4.0</v>
      </c>
      <c r="F203" s="6">
        <v>0.5</v>
      </c>
      <c r="G203" s="1">
        <v>4.0</v>
      </c>
      <c r="H203" s="1">
        <v>2.0</v>
      </c>
      <c r="I203" s="1">
        <v>4.0</v>
      </c>
      <c r="J203" s="1">
        <v>4.0</v>
      </c>
      <c r="K203" s="1">
        <v>21.5</v>
      </c>
      <c r="L203" s="8" t="str">
        <f>vlookup(A203,salesx_all!B:E,2,0)</f>
        <v>You Lost the Order – Don’t Make Things Worse by Losing the Connection</v>
      </c>
      <c r="M203" s="8" t="str">
        <f>vlookup(A203,salesx_all!B:D,3,0)</f>
        <v/>
      </c>
      <c r="N203" s="8" t="str">
        <f>vlookup(A203,salesx_all!B:E,4,0)</f>
        <v/>
      </c>
    </row>
    <row r="204">
      <c r="A204" s="1" t="s">
        <v>352</v>
      </c>
      <c r="B204" s="1">
        <f t="shared" si="1"/>
        <v>48</v>
      </c>
      <c r="C204" s="1">
        <v>4.0</v>
      </c>
      <c r="D204" s="1">
        <v>0.0</v>
      </c>
      <c r="E204" s="1">
        <v>4.0</v>
      </c>
      <c r="F204" s="6">
        <v>0.75</v>
      </c>
      <c r="G204" s="1">
        <v>3.0</v>
      </c>
      <c r="H204" s="1">
        <v>1.0</v>
      </c>
      <c r="I204" s="1">
        <v>4.0</v>
      </c>
      <c r="J204" s="1">
        <v>4.0</v>
      </c>
      <c r="K204" s="1">
        <v>2.0</v>
      </c>
      <c r="L204" s="8" t="str">
        <f>vlookup(A204,salesx_all!B:E,2,0)</f>
        <v>Mastering Virtual Selling to Accelerate Growth</v>
      </c>
      <c r="M204" s="8" t="str">
        <f>vlookup(A204,salesx_all!B:D,3,0)</f>
        <v>What Is Virtual Selling?</v>
      </c>
      <c r="N204" s="8" t="str">
        <f>vlookup(A204,salesx_all!B:E,4,0)</f>
        <v>What Are Some Benefits of Virtual Selling?</v>
      </c>
    </row>
    <row r="205">
      <c r="A205" s="1" t="s">
        <v>353</v>
      </c>
      <c r="B205" s="1">
        <f t="shared" si="1"/>
        <v>96</v>
      </c>
      <c r="C205" s="1">
        <v>4.0</v>
      </c>
      <c r="D205" s="1">
        <v>0.0</v>
      </c>
      <c r="E205" s="1">
        <v>4.0</v>
      </c>
      <c r="F205" s="6">
        <v>0.5</v>
      </c>
      <c r="G205" s="1">
        <v>3.0</v>
      </c>
      <c r="H205" s="1">
        <v>2.0</v>
      </c>
      <c r="I205" s="1">
        <v>4.0</v>
      </c>
      <c r="J205" s="1">
        <v>4.0</v>
      </c>
      <c r="K205" s="1">
        <v>3.5</v>
      </c>
      <c r="L205" s="8" t="str">
        <f>vlookup(A205,salesx_all!B:E,2,0)</f>
        <v>Next-Level Sales Success: Why You Absolutely MUST Assess and Evaluate Your Sales Team Regularly</v>
      </c>
      <c r="M205" s="8" t="str">
        <f>vlookup(A205,salesx_all!B:D,3,0)</f>
        <v>The Difference Between Measurement, Assessment, and Evaluation</v>
      </c>
      <c r="N205" s="8" t="str">
        <f>vlookup(A205,salesx_all!B:E,4,0)</f>
        <v>Sales Team Member Skills to Assess</v>
      </c>
    </row>
    <row r="206">
      <c r="A206" s="1" t="s">
        <v>354</v>
      </c>
      <c r="B206" s="1">
        <f t="shared" si="1"/>
        <v>24</v>
      </c>
      <c r="C206" s="1">
        <v>4.0</v>
      </c>
      <c r="D206" s="1">
        <v>0.0</v>
      </c>
      <c r="E206" s="1">
        <v>4.0</v>
      </c>
      <c r="F206" s="6">
        <v>1.0</v>
      </c>
      <c r="G206" s="1">
        <v>4.0</v>
      </c>
      <c r="H206" s="1">
        <v>0.0</v>
      </c>
      <c r="I206" s="1">
        <v>4.0</v>
      </c>
      <c r="J206" s="1">
        <v>4.0</v>
      </c>
      <c r="K206" s="1">
        <v>0.0</v>
      </c>
      <c r="L206" s="8" t="str">
        <f>vlookup(A206,salesx_all!B:E,2,0)</f>
        <v>That Was Then, This Is Now: The Sure-Fire Way to Sell More</v>
      </c>
      <c r="M206" s="8" t="str">
        <f>vlookup(A206,salesx_all!B:D,3,0)</f>
        <v/>
      </c>
      <c r="N206" s="8" t="str">
        <f>vlookup(A206,salesx_all!B:E,4,0)</f>
        <v/>
      </c>
    </row>
    <row r="207">
      <c r="A207" s="1" t="s">
        <v>355</v>
      </c>
      <c r="B207" s="1">
        <f t="shared" si="1"/>
        <v>54</v>
      </c>
      <c r="C207" s="1">
        <v>4.0</v>
      </c>
      <c r="D207" s="1">
        <v>0.0</v>
      </c>
      <c r="E207" s="1">
        <v>4.0</v>
      </c>
      <c r="F207" s="6">
        <v>1.0</v>
      </c>
      <c r="G207" s="1">
        <v>4.0</v>
      </c>
      <c r="H207" s="1">
        <v>0.0</v>
      </c>
      <c r="I207" s="1">
        <v>2.0</v>
      </c>
      <c r="J207" s="1">
        <v>4.0</v>
      </c>
      <c r="K207" s="1">
        <v>0.25</v>
      </c>
      <c r="L207" s="8" t="str">
        <f>vlookup(A207,salesx_all!B:E,2,0)</f>
        <v>#N/A</v>
      </c>
      <c r="M207" s="8" t="str">
        <f>vlookup(A207,salesx_all!B:D,3,0)</f>
        <v>#N/A</v>
      </c>
      <c r="N207" s="8" t="str">
        <f>vlookup(A207,salesx_all!B:E,4,0)</f>
        <v>#N/A</v>
      </c>
    </row>
    <row r="208">
      <c r="A208" s="1" t="s">
        <v>356</v>
      </c>
      <c r="B208" s="1">
        <f t="shared" si="1"/>
        <v>16</v>
      </c>
      <c r="C208" s="1">
        <v>4.0</v>
      </c>
      <c r="D208" s="1">
        <v>0.0</v>
      </c>
      <c r="E208" s="1">
        <v>4.0</v>
      </c>
      <c r="F208" s="6">
        <v>1.0</v>
      </c>
      <c r="G208" s="1">
        <v>4.0</v>
      </c>
      <c r="H208" s="1">
        <v>0.0</v>
      </c>
      <c r="I208" s="1">
        <v>4.0</v>
      </c>
      <c r="J208" s="1">
        <v>4.0</v>
      </c>
      <c r="K208" s="1">
        <v>0.0</v>
      </c>
      <c r="L208" s="8" t="str">
        <f>vlookup(A208,salesx_all!B:E,2,0)</f>
        <v>I Need Revenue Growth NOW and I Don’t Have Time for All That Sales Strategy Stuff</v>
      </c>
      <c r="M208" s="8" t="str">
        <f>vlookup(A208,salesx_all!B:D,3,0)</f>
        <v/>
      </c>
      <c r="N208" s="8" t="str">
        <f>vlookup(A208,salesx_all!B:E,4,0)</f>
        <v/>
      </c>
    </row>
    <row r="209">
      <c r="A209" s="1" t="s">
        <v>357</v>
      </c>
      <c r="B209" s="1">
        <f t="shared" si="1"/>
        <v>78</v>
      </c>
      <c r="C209" s="1">
        <v>4.0</v>
      </c>
      <c r="D209" s="1">
        <v>0.0</v>
      </c>
      <c r="E209" s="1">
        <v>4.0</v>
      </c>
      <c r="F209" s="6">
        <v>1.0</v>
      </c>
      <c r="G209" s="1">
        <v>4.0</v>
      </c>
      <c r="H209" s="1">
        <v>0.0</v>
      </c>
      <c r="I209" s="1">
        <v>2.0</v>
      </c>
      <c r="J209" s="1">
        <v>4.0</v>
      </c>
      <c r="K209" s="1">
        <v>0.0</v>
      </c>
      <c r="L209" s="8" t="str">
        <f>vlookup(A209,salesx_all!B:E,2,0)</f>
        <v>Published Article: Sales Agility Excellence: The Sales Infrastructure You Need to Enable Success</v>
      </c>
      <c r="M209" s="8" t="str">
        <f>vlookup(A209,salesx_all!B:D,3,0)</f>
        <v/>
      </c>
      <c r="N209" s="8" t="str">
        <f>vlookup(A209,salesx_all!B:E,4,0)</f>
        <v/>
      </c>
    </row>
    <row r="210">
      <c r="A210" s="1" t="s">
        <v>358</v>
      </c>
      <c r="B210" s="1">
        <f t="shared" si="1"/>
        <v>57</v>
      </c>
      <c r="C210" s="1">
        <v>4.0</v>
      </c>
      <c r="D210" s="1">
        <v>0.0</v>
      </c>
      <c r="E210" s="1">
        <v>2.0</v>
      </c>
      <c r="F210" s="6">
        <v>0.75</v>
      </c>
      <c r="G210" s="1">
        <v>2.0</v>
      </c>
      <c r="H210" s="1">
        <v>1.0</v>
      </c>
      <c r="I210" s="1">
        <v>3.0</v>
      </c>
      <c r="J210" s="1">
        <v>2.0</v>
      </c>
      <c r="K210" s="1">
        <v>2.0</v>
      </c>
      <c r="L210" s="8" t="str">
        <f>vlookup(A210,salesx_all!B:E,2,0)</f>
        <v>Sales Agility: The Secret to Successful Small Businesses</v>
      </c>
      <c r="M210" s="8" t="str">
        <f>vlookup(A210,salesx_all!B:D,3,0)</f>
        <v>Unpacking the Sales Agility Assessment</v>
      </c>
      <c r="N210" s="8" t="str">
        <f>vlookup(A210,salesx_all!B:E,4,0)</f>
        <v>1. Companies aren’t compensating sales reps in a way that drives desired behaviors.</v>
      </c>
    </row>
    <row r="211">
      <c r="A211" s="1" t="s">
        <v>359</v>
      </c>
      <c r="B211" s="1">
        <f t="shared" si="1"/>
        <v>61</v>
      </c>
      <c r="C211" s="1">
        <v>4.0</v>
      </c>
      <c r="D211" s="1">
        <v>0.0</v>
      </c>
      <c r="E211" s="1">
        <v>4.0</v>
      </c>
      <c r="F211" s="6">
        <v>0.5</v>
      </c>
      <c r="G211" s="1">
        <v>2.0</v>
      </c>
      <c r="H211" s="1">
        <v>2.0</v>
      </c>
      <c r="I211" s="1">
        <v>3.0</v>
      </c>
      <c r="J211" s="1">
        <v>4.0</v>
      </c>
      <c r="K211" s="1">
        <v>6.5</v>
      </c>
      <c r="L211" s="8" t="str">
        <f>vlookup(A211,salesx_all!B:E,2,0)</f>
        <v>Talent Acquisition Trends for Small to Mid-sized Businesses</v>
      </c>
      <c r="M211" s="8" t="str">
        <f>vlookup(A211,salesx_all!B:D,3,0)</f>
        <v>Remote Hiring and Work</v>
      </c>
      <c r="N211" s="8" t="str">
        <f>vlookup(A211,salesx_all!B:E,4,0)</f>
        <v>Hiring for Skills</v>
      </c>
    </row>
    <row r="212">
      <c r="A212" s="1" t="s">
        <v>360</v>
      </c>
      <c r="B212" s="1">
        <f t="shared" si="1"/>
        <v>65</v>
      </c>
      <c r="C212" s="1">
        <v>4.0</v>
      </c>
      <c r="D212" s="1">
        <v>0.0</v>
      </c>
      <c r="E212" s="1">
        <v>4.0</v>
      </c>
      <c r="F212" s="6">
        <v>0.75</v>
      </c>
      <c r="G212" s="1">
        <v>2.0</v>
      </c>
      <c r="H212" s="1">
        <v>1.0</v>
      </c>
      <c r="I212" s="1">
        <v>4.0</v>
      </c>
      <c r="J212" s="1">
        <v>4.0</v>
      </c>
      <c r="K212" s="1">
        <v>1.25</v>
      </c>
      <c r="L212" s="8" t="str">
        <f>vlookup(A212,salesx_all!B:E,2,0)</f>
        <v>#N/A</v>
      </c>
      <c r="M212" s="8" t="str">
        <f>vlookup(A212,salesx_all!B:D,3,0)</f>
        <v>#N/A</v>
      </c>
      <c r="N212" s="8" t="str">
        <f>vlookup(A212,salesx_all!B:E,4,0)</f>
        <v>#N/A</v>
      </c>
    </row>
    <row r="213">
      <c r="A213" s="1" t="s">
        <v>361</v>
      </c>
      <c r="B213" s="1">
        <f t="shared" si="1"/>
        <v>54</v>
      </c>
      <c r="C213" s="1">
        <v>4.0</v>
      </c>
      <c r="D213" s="1">
        <v>0.0</v>
      </c>
      <c r="E213" s="1">
        <v>3.0</v>
      </c>
      <c r="F213" s="6">
        <v>0.5</v>
      </c>
      <c r="G213" s="1">
        <v>0.0</v>
      </c>
      <c r="H213" s="1">
        <v>2.0</v>
      </c>
      <c r="I213" s="1">
        <v>3.0</v>
      </c>
      <c r="J213" s="1">
        <v>3.0</v>
      </c>
      <c r="K213" s="1">
        <v>22.3333333333333</v>
      </c>
      <c r="L213" s="8" t="str">
        <f>vlookup(A213,salesx_all!B:E,2,0)</f>
        <v>The People and Process Mistakes That Hold Sales Back</v>
      </c>
      <c r="M213" s="8" t="str">
        <f>vlookup(A213,salesx_all!B:D,3,0)</f>
        <v/>
      </c>
      <c r="N213" s="8" t="str">
        <f>vlookup(A213,salesx_all!B:E,4,0)</f>
        <v/>
      </c>
    </row>
    <row r="214">
      <c r="A214" s="1" t="s">
        <v>362</v>
      </c>
      <c r="B214" s="1">
        <f t="shared" si="1"/>
        <v>37</v>
      </c>
      <c r="C214" s="1">
        <v>4.0</v>
      </c>
      <c r="D214" s="1">
        <v>0.0</v>
      </c>
      <c r="E214" s="1">
        <v>4.0</v>
      </c>
      <c r="F214" s="6">
        <v>1.0</v>
      </c>
      <c r="G214" s="1">
        <v>4.0</v>
      </c>
      <c r="H214" s="1">
        <v>0.0</v>
      </c>
      <c r="I214" s="1">
        <v>4.0</v>
      </c>
      <c r="J214" s="1">
        <v>4.0</v>
      </c>
      <c r="K214" s="1">
        <v>0.0</v>
      </c>
      <c r="L214" s="8" t="str">
        <f>vlookup(A214,salesx_all!B:E,2,0)</f>
        <v>The Power of Serving Versus Selling</v>
      </c>
      <c r="M214" s="8" t="str">
        <f>vlookup(A214,salesx_all!B:D,3,0)</f>
        <v>The Trouble with Selling</v>
      </c>
      <c r="N214" s="8" t="str">
        <f>vlookup(A214,salesx_all!B:E,4,0)</f>
        <v>The Power of Serving</v>
      </c>
    </row>
    <row r="215">
      <c r="A215" s="1" t="s">
        <v>363</v>
      </c>
      <c r="B215" s="1">
        <f t="shared" si="1"/>
        <v>53</v>
      </c>
      <c r="C215" s="1">
        <v>4.0</v>
      </c>
      <c r="D215" s="1">
        <v>0.0</v>
      </c>
      <c r="E215" s="1">
        <v>4.0</v>
      </c>
      <c r="F215" s="6">
        <v>0.5</v>
      </c>
      <c r="G215" s="1">
        <v>2.0</v>
      </c>
      <c r="H215" s="1">
        <v>2.0</v>
      </c>
      <c r="I215" s="1">
        <v>4.0</v>
      </c>
      <c r="J215" s="1">
        <v>4.0</v>
      </c>
      <c r="K215" s="1">
        <v>6.25</v>
      </c>
      <c r="L215" s="8" t="str">
        <f>vlookup(A215,salesx_all!B:E,2,0)</f>
        <v>The Surprising Data Behind Sales Team Effectiveness</v>
      </c>
      <c r="M215" s="8" t="str">
        <f>vlookup(A215,salesx_all!B:D,3,0)</f>
        <v>The Alarming Stat on Onboarding and Training</v>
      </c>
      <c r="N215" s="8" t="str">
        <f>vlookup(A215,salesx_all!B:E,4,0)</f>
        <v>Performance Review and Transparency Deficit</v>
      </c>
    </row>
    <row r="216">
      <c r="A216" s="1" t="s">
        <v>364</v>
      </c>
      <c r="B216" s="1">
        <f t="shared" si="1"/>
        <v>71</v>
      </c>
      <c r="C216" s="1">
        <v>4.0</v>
      </c>
      <c r="D216" s="1">
        <v>0.0</v>
      </c>
      <c r="E216" s="1">
        <v>4.0</v>
      </c>
      <c r="F216" s="6">
        <v>1.0</v>
      </c>
      <c r="G216" s="1">
        <v>4.0</v>
      </c>
      <c r="H216" s="1">
        <v>0.0</v>
      </c>
      <c r="I216" s="1">
        <v>4.0</v>
      </c>
      <c r="J216" s="1">
        <v>4.0</v>
      </c>
      <c r="K216" s="1">
        <v>2.0</v>
      </c>
      <c r="L216" s="8" t="str">
        <f>vlookup(A216,salesx_all!B:E,2,0)</f>
        <v>#N/A</v>
      </c>
      <c r="M216" s="8" t="str">
        <f>vlookup(A216,salesx_all!B:D,3,0)</f>
        <v>#N/A</v>
      </c>
      <c r="N216" s="8" t="str">
        <f>vlookup(A216,salesx_all!B:E,4,0)</f>
        <v>#N/A</v>
      </c>
    </row>
    <row r="217">
      <c r="A217" s="1" t="s">
        <v>365</v>
      </c>
      <c r="B217" s="1">
        <f t="shared" si="1"/>
        <v>55</v>
      </c>
      <c r="C217" s="1">
        <v>4.0</v>
      </c>
      <c r="D217" s="1">
        <v>0.0</v>
      </c>
      <c r="E217" s="1">
        <v>4.0</v>
      </c>
      <c r="F217" s="6">
        <v>0.75</v>
      </c>
      <c r="G217" s="1">
        <v>4.0</v>
      </c>
      <c r="H217" s="1">
        <v>1.0</v>
      </c>
      <c r="I217" s="1">
        <v>4.0</v>
      </c>
      <c r="J217" s="1">
        <v>4.0</v>
      </c>
      <c r="K217" s="1">
        <v>6.75</v>
      </c>
      <c r="L217" s="8" t="str">
        <f>vlookup(A217,salesx_all!B:E,2,0)</f>
        <v>Top 4 Disruptors in the Future of Sales. Are You Ready?</v>
      </c>
      <c r="M217" s="8" t="str">
        <f>vlookup(A217,salesx_all!B:D,3,0)</f>
        <v>How did the future of selling event work?</v>
      </c>
      <c r="N217" s="8" t="str">
        <f>vlookup(A217,salesx_all!B:E,4,0)</f>
        <v>What did the experts find?</v>
      </c>
    </row>
    <row r="218">
      <c r="A218" s="1" t="s">
        <v>366</v>
      </c>
      <c r="B218" s="1">
        <f t="shared" si="1"/>
        <v>64</v>
      </c>
      <c r="C218" s="1">
        <v>4.0</v>
      </c>
      <c r="D218" s="1">
        <v>0.0</v>
      </c>
      <c r="E218" s="1">
        <v>4.0</v>
      </c>
      <c r="F218" s="6">
        <v>0.25</v>
      </c>
      <c r="G218" s="1">
        <v>2.0</v>
      </c>
      <c r="H218" s="1">
        <v>3.0</v>
      </c>
      <c r="I218" s="1">
        <v>4.0</v>
      </c>
      <c r="J218" s="1">
        <v>4.0</v>
      </c>
      <c r="K218" s="1">
        <v>14.5</v>
      </c>
      <c r="L218" s="8" t="str">
        <f>vlookup(A218,salesx_all!B:E,2,0)</f>
        <v>#N/A</v>
      </c>
      <c r="M218" s="8" t="str">
        <f>vlookup(A218,salesx_all!B:D,3,0)</f>
        <v>#N/A</v>
      </c>
      <c r="N218" s="8" t="str">
        <f>vlookup(A218,salesx_all!B:E,4,0)</f>
        <v>#N/A</v>
      </c>
    </row>
    <row r="219">
      <c r="A219" s="1" t="s">
        <v>367</v>
      </c>
      <c r="B219" s="1">
        <f t="shared" si="1"/>
        <v>75</v>
      </c>
      <c r="C219" s="1">
        <v>4.0</v>
      </c>
      <c r="D219" s="1">
        <v>0.0</v>
      </c>
      <c r="E219" s="1">
        <v>4.0</v>
      </c>
      <c r="F219" s="6">
        <v>0.75</v>
      </c>
      <c r="G219" s="1">
        <v>3.0</v>
      </c>
      <c r="H219" s="1">
        <v>1.0</v>
      </c>
      <c r="I219" s="1">
        <v>6.0</v>
      </c>
      <c r="J219" s="1">
        <v>4.0</v>
      </c>
      <c r="K219" s="1">
        <v>5.0</v>
      </c>
      <c r="L219" s="8" t="str">
        <f>vlookup(A219,salesx_all!B:E,2,0)</f>
        <v>Turn, Turn, Turn: Making the Pivot to a New Season in Your Professional Life</v>
      </c>
      <c r="M219" s="8" t="str">
        <f>vlookup(A219,salesx_all!B:D,3,0)</f>
        <v>Turning Expertise and Experience into Fulfillment</v>
      </c>
      <c r="N219" s="8" t="str">
        <f>vlookup(A219,salesx_all!B:E,4,0)</f>
        <v>Turning Passion into Purpose</v>
      </c>
    </row>
    <row r="220">
      <c r="A220" s="1" t="s">
        <v>368</v>
      </c>
      <c r="B220" s="1">
        <f t="shared" si="1"/>
        <v>84</v>
      </c>
      <c r="C220" s="1">
        <v>4.0</v>
      </c>
      <c r="D220" s="1">
        <v>0.0</v>
      </c>
      <c r="E220" s="1">
        <v>4.0</v>
      </c>
      <c r="F220" s="6">
        <v>0.75</v>
      </c>
      <c r="G220" s="1">
        <v>4.0</v>
      </c>
      <c r="H220" s="1">
        <v>1.0</v>
      </c>
      <c r="I220" s="1">
        <v>4.0</v>
      </c>
      <c r="J220" s="1">
        <v>4.0</v>
      </c>
      <c r="K220" s="1">
        <v>0.25</v>
      </c>
      <c r="L220" s="8" t="str">
        <f>vlookup(A220,salesx_all!B:E,2,0)</f>
        <v>Forbes – What are Sales Metrics and Which Ones are Essential to Improving Sales Performance?</v>
      </c>
      <c r="M220" s="8" t="str">
        <f>vlookup(A220,salesx_all!B:D,3,0)</f>
        <v/>
      </c>
      <c r="N220" s="8" t="str">
        <f>vlookup(A220,salesx_all!B:E,4,0)</f>
        <v/>
      </c>
    </row>
    <row r="221">
      <c r="A221" s="1" t="s">
        <v>369</v>
      </c>
      <c r="B221" s="1">
        <f t="shared" si="1"/>
        <v>48</v>
      </c>
      <c r="C221" s="1">
        <v>4.0</v>
      </c>
      <c r="D221" s="1">
        <v>0.0</v>
      </c>
      <c r="E221" s="1">
        <v>4.0</v>
      </c>
      <c r="F221" s="6">
        <v>1.0</v>
      </c>
      <c r="G221" s="1">
        <v>4.0</v>
      </c>
      <c r="H221" s="1">
        <v>0.0</v>
      </c>
      <c r="I221" s="1">
        <v>4.0</v>
      </c>
      <c r="J221" s="1">
        <v>4.0</v>
      </c>
      <c r="K221" s="1">
        <v>0.0</v>
      </c>
      <c r="L221" s="8" t="str">
        <f>vlookup(A221,salesx_all!B:E,2,0)</f>
        <v>What if You Just Can’t Afford a Sales Superstar?</v>
      </c>
      <c r="M221" s="8" t="str">
        <f>vlookup(A221,salesx_all!B:D,3,0)</f>
        <v/>
      </c>
      <c r="N221" s="8" t="str">
        <f>vlookup(A221,salesx_all!B:E,4,0)</f>
        <v/>
      </c>
    </row>
    <row r="222">
      <c r="A222" s="1" t="s">
        <v>370</v>
      </c>
      <c r="B222" s="1">
        <f t="shared" si="1"/>
        <v>56</v>
      </c>
      <c r="C222" s="1">
        <v>4.0</v>
      </c>
      <c r="D222" s="1">
        <v>0.0</v>
      </c>
      <c r="E222" s="1">
        <v>4.0</v>
      </c>
      <c r="F222" s="6">
        <v>0.5</v>
      </c>
      <c r="G222" s="1">
        <v>2.0</v>
      </c>
      <c r="H222" s="1">
        <v>2.0</v>
      </c>
      <c r="I222" s="1">
        <v>4.0</v>
      </c>
      <c r="J222" s="1">
        <v>4.0</v>
      </c>
      <c r="K222" s="1">
        <v>13.0</v>
      </c>
      <c r="L222" s="8" t="str">
        <f>vlookup(A222,salesx_all!B:E,2,0)</f>
        <v>Why (and How) It Pays to Become a Certified Sales Leader</v>
      </c>
      <c r="M222" s="8" t="str">
        <f>vlookup(A222,salesx_all!B:D,3,0)</f>
        <v/>
      </c>
      <c r="N222" s="8" t="str">
        <f>vlookup(A222,salesx_all!B:E,4,0)</f>
        <v/>
      </c>
    </row>
    <row r="223">
      <c r="A223" s="1" t="s">
        <v>371</v>
      </c>
      <c r="B223" s="1">
        <f t="shared" si="1"/>
        <v>60</v>
      </c>
      <c r="C223" s="1">
        <v>4.0</v>
      </c>
      <c r="D223" s="1">
        <v>0.0</v>
      </c>
      <c r="E223" s="1">
        <v>4.0</v>
      </c>
      <c r="F223" s="6">
        <v>0.5</v>
      </c>
      <c r="G223" s="1">
        <v>4.0</v>
      </c>
      <c r="H223" s="1">
        <v>2.0</v>
      </c>
      <c r="I223" s="1">
        <v>4.0</v>
      </c>
      <c r="J223" s="1">
        <v>4.0</v>
      </c>
      <c r="K223" s="1">
        <v>42.75</v>
      </c>
      <c r="L223" s="8" t="str">
        <f>vlookup(A223,salesx_all!B:E,2,0)</f>
        <v>Why do Businesses Struggle with Key Performance Indicators?</v>
      </c>
      <c r="M223" s="8" t="str">
        <f>vlookup(A223,salesx_all!B:D,3,0)</f>
        <v>KPIs to consider:</v>
      </c>
      <c r="N223" s="8" t="str">
        <f>vlookup(A223,salesx_all!B:E,4,0)</f>
        <v/>
      </c>
    </row>
    <row r="224">
      <c r="A224" s="1" t="s">
        <v>372</v>
      </c>
      <c r="B224" s="1">
        <f t="shared" si="1"/>
        <v>78</v>
      </c>
      <c r="C224" s="1">
        <v>4.0</v>
      </c>
      <c r="D224" s="1">
        <v>0.0</v>
      </c>
      <c r="E224" s="1">
        <v>3.0</v>
      </c>
      <c r="F224" s="6">
        <v>1.0</v>
      </c>
      <c r="G224" s="1">
        <v>3.0</v>
      </c>
      <c r="H224" s="1">
        <v>0.0</v>
      </c>
      <c r="I224" s="1">
        <v>4.0</v>
      </c>
      <c r="J224" s="1">
        <v>3.0</v>
      </c>
      <c r="K224" s="1">
        <v>0.0</v>
      </c>
      <c r="L224" s="8" t="str">
        <f>vlookup(A224,salesx_all!B:E,2,0)</f>
        <v>Why Sales Managers Must Be Coaches (So Salespeople Can Perform When it Counts)</v>
      </c>
      <c r="M224" s="8" t="str">
        <f>vlookup(A224,salesx_all!B:D,3,0)</f>
        <v/>
      </c>
      <c r="N224" s="8" t="str">
        <f>vlookup(A224,salesx_all!B:E,4,0)</f>
        <v/>
      </c>
    </row>
    <row r="225">
      <c r="A225" s="1" t="s">
        <v>373</v>
      </c>
      <c r="B225" s="1">
        <f t="shared" si="1"/>
        <v>51</v>
      </c>
      <c r="C225" s="1">
        <v>4.0</v>
      </c>
      <c r="D225" s="1">
        <v>0.0</v>
      </c>
      <c r="E225" s="1">
        <v>4.0</v>
      </c>
      <c r="F225" s="6">
        <v>0.75</v>
      </c>
      <c r="G225" s="1">
        <v>3.0</v>
      </c>
      <c r="H225" s="1">
        <v>1.0</v>
      </c>
      <c r="I225" s="1">
        <v>4.0</v>
      </c>
      <c r="J225" s="1">
        <v>4.0</v>
      </c>
      <c r="K225" s="1">
        <v>14.75</v>
      </c>
      <c r="L225" s="8" t="str">
        <f>vlookup(A225,salesx_all!B:E,2,0)</f>
        <v>You’ve Earned Respect But Are You Still Getting It?</v>
      </c>
      <c r="M225" s="8" t="str">
        <f>vlookup(A225,salesx_all!B:D,3,0)</f>
        <v>The Impact of Lack of Respect</v>
      </c>
      <c r="N225" s="8" t="str">
        <f>vlookup(A225,salesx_all!B:E,4,0)</f>
        <v>Reaching the Point of Diminishing Respect</v>
      </c>
    </row>
    <row r="226">
      <c r="A226" s="1" t="s">
        <v>374</v>
      </c>
      <c r="B226" s="1">
        <f t="shared" si="1"/>
        <v>23</v>
      </c>
      <c r="C226" s="1">
        <v>3.0</v>
      </c>
      <c r="D226" s="1">
        <v>0.0</v>
      </c>
      <c r="E226" s="1">
        <v>3.0</v>
      </c>
      <c r="F226" s="6">
        <v>1.0</v>
      </c>
      <c r="G226" s="1">
        <v>3.0</v>
      </c>
      <c r="H226" s="1">
        <v>0.0</v>
      </c>
      <c r="I226" s="1">
        <v>3.0</v>
      </c>
      <c r="J226" s="1">
        <v>3.0</v>
      </c>
      <c r="K226" s="1">
        <v>0.0</v>
      </c>
      <c r="L226" s="8" t="str">
        <f>vlookup(A226,salesx_all!B:E,2,0)</f>
        <v>#N/A</v>
      </c>
      <c r="M226" s="8" t="str">
        <f>vlookup(A226,salesx_all!B:D,3,0)</f>
        <v>#N/A</v>
      </c>
      <c r="N226" s="8" t="str">
        <f>vlookup(A226,salesx_all!B:E,4,0)</f>
        <v>#N/A</v>
      </c>
    </row>
    <row r="227">
      <c r="A227" s="1" t="s">
        <v>375</v>
      </c>
      <c r="B227" s="1">
        <f t="shared" si="1"/>
        <v>51</v>
      </c>
      <c r="C227" s="1">
        <v>3.0</v>
      </c>
      <c r="D227" s="1">
        <v>0.0</v>
      </c>
      <c r="E227" s="1">
        <v>3.0</v>
      </c>
      <c r="F227" s="6">
        <v>1.0</v>
      </c>
      <c r="G227" s="1">
        <v>3.0</v>
      </c>
      <c r="H227" s="1">
        <v>0.0</v>
      </c>
      <c r="I227" s="1">
        <v>3.0</v>
      </c>
      <c r="J227" s="1">
        <v>3.0</v>
      </c>
      <c r="K227" s="1">
        <v>0.0</v>
      </c>
      <c r="L227" s="8" t="str">
        <f>vlookup(A227,salesx_all!B:E,2,0)</f>
        <v>#N/A</v>
      </c>
      <c r="M227" s="8" t="str">
        <f>vlookup(A227,salesx_all!B:D,3,0)</f>
        <v>#N/A</v>
      </c>
      <c r="N227" s="8" t="str">
        <f>vlookup(A227,salesx_all!B:E,4,0)</f>
        <v>#N/A</v>
      </c>
    </row>
    <row r="228">
      <c r="A228" s="1" t="s">
        <v>376</v>
      </c>
      <c r="B228" s="1">
        <f t="shared" si="1"/>
        <v>38</v>
      </c>
      <c r="C228" s="1">
        <v>3.0</v>
      </c>
      <c r="D228" s="1">
        <v>0.0</v>
      </c>
      <c r="E228" s="1">
        <v>3.0</v>
      </c>
      <c r="F228" s="6">
        <v>1.0</v>
      </c>
      <c r="G228" s="1">
        <v>3.0</v>
      </c>
      <c r="H228" s="1">
        <v>0.0</v>
      </c>
      <c r="I228" s="1">
        <v>3.0</v>
      </c>
      <c r="J228" s="1">
        <v>3.0</v>
      </c>
      <c r="K228" s="1">
        <v>0.0</v>
      </c>
      <c r="L228" s="8" t="str">
        <f>vlookup(A228,salesx_all!B:E,2,0)</f>
        <v>#N/A</v>
      </c>
      <c r="M228" s="8" t="str">
        <f>vlookup(A228,salesx_all!B:D,3,0)</f>
        <v>#N/A</v>
      </c>
      <c r="N228" s="8" t="str">
        <f>vlookup(A228,salesx_all!B:E,4,0)</f>
        <v>#N/A</v>
      </c>
    </row>
    <row r="229">
      <c r="A229" s="1" t="s">
        <v>377</v>
      </c>
      <c r="B229" s="1">
        <f t="shared" si="1"/>
        <v>46</v>
      </c>
      <c r="C229" s="1">
        <v>3.0</v>
      </c>
      <c r="D229" s="1">
        <v>0.0</v>
      </c>
      <c r="E229" s="1">
        <v>3.0</v>
      </c>
      <c r="F229" s="6">
        <v>1.0</v>
      </c>
      <c r="G229" s="1">
        <v>3.0</v>
      </c>
      <c r="H229" s="1">
        <v>0.0</v>
      </c>
      <c r="I229" s="1">
        <v>3.0</v>
      </c>
      <c r="J229" s="1">
        <v>3.0</v>
      </c>
      <c r="K229" s="1">
        <v>0.0</v>
      </c>
      <c r="L229" s="8" t="str">
        <f>vlookup(A229,salesx_all!B:E,2,0)</f>
        <v>SmartBrief – 4 Tips for Succeeding as a New Sales Manager</v>
      </c>
      <c r="M229" s="8" t="str">
        <f>vlookup(A229,salesx_all!B:D,3,0)</f>
        <v>How to be a good sales manager</v>
      </c>
      <c r="N229" s="8" t="str">
        <f>vlookup(A229,salesx_all!B:E,4,0)</f>
        <v/>
      </c>
    </row>
    <row r="230">
      <c r="A230" s="1" t="s">
        <v>378</v>
      </c>
      <c r="B230" s="1">
        <f t="shared" si="1"/>
        <v>48</v>
      </c>
      <c r="C230" s="1">
        <v>3.0</v>
      </c>
      <c r="D230" s="1">
        <v>0.0</v>
      </c>
      <c r="E230" s="1">
        <v>3.0</v>
      </c>
      <c r="F230" s="6">
        <v>0.666666666666666</v>
      </c>
      <c r="G230" s="1">
        <v>3.0</v>
      </c>
      <c r="H230" s="1">
        <v>1.0</v>
      </c>
      <c r="I230" s="1">
        <v>2.0</v>
      </c>
      <c r="J230" s="1">
        <v>3.0</v>
      </c>
      <c r="K230" s="1">
        <v>9.0</v>
      </c>
      <c r="L230" s="8" t="str">
        <f>vlookup(A230,salesx_all!B:E,2,0)</f>
        <v>5 Keys to a Successful Sales Compensation Plan</v>
      </c>
      <c r="M230" s="8" t="str">
        <f>vlookup(A230,salesx_all!B:D,3,0)</f>
        <v/>
      </c>
      <c r="N230" s="8" t="str">
        <f>vlookup(A230,salesx_all!B:E,4,0)</f>
        <v/>
      </c>
    </row>
    <row r="231">
      <c r="A231" s="1" t="s">
        <v>379</v>
      </c>
      <c r="B231" s="1">
        <f t="shared" si="1"/>
        <v>46</v>
      </c>
      <c r="C231" s="1">
        <v>3.0</v>
      </c>
      <c r="D231" s="1">
        <v>0.0</v>
      </c>
      <c r="E231" s="1">
        <v>3.0</v>
      </c>
      <c r="F231" s="6">
        <v>0.666666666666666</v>
      </c>
      <c r="G231" s="1">
        <v>2.0</v>
      </c>
      <c r="H231" s="1">
        <v>1.0</v>
      </c>
      <c r="I231" s="1">
        <v>2.0</v>
      </c>
      <c r="J231" s="1">
        <v>3.0</v>
      </c>
      <c r="K231" s="1">
        <v>37.6666666666666</v>
      </c>
      <c r="L231" s="8" t="str">
        <f>vlookup(A231,salesx_all!B:E,2,0)</f>
        <v>#N/A</v>
      </c>
      <c r="M231" s="8" t="str">
        <f>vlookup(A231,salesx_all!B:D,3,0)</f>
        <v>#N/A</v>
      </c>
      <c r="N231" s="8" t="str">
        <f>vlookup(A231,salesx_all!B:E,4,0)</f>
        <v>#N/A</v>
      </c>
    </row>
    <row r="232">
      <c r="A232" s="1" t="s">
        <v>380</v>
      </c>
      <c r="B232" s="1">
        <f t="shared" si="1"/>
        <v>10</v>
      </c>
      <c r="C232" s="1">
        <v>3.0</v>
      </c>
      <c r="D232" s="1">
        <v>0.0</v>
      </c>
      <c r="E232" s="1">
        <v>3.0</v>
      </c>
      <c r="F232" s="6">
        <v>1.0</v>
      </c>
      <c r="G232" s="1">
        <v>3.0</v>
      </c>
      <c r="H232" s="1">
        <v>0.0</v>
      </c>
      <c r="I232" s="1">
        <v>3.0</v>
      </c>
      <c r="J232" s="1">
        <v>3.0</v>
      </c>
      <c r="K232" s="1">
        <v>0.0</v>
      </c>
      <c r="L232" s="8" t="str">
        <f>vlookup(A232,salesx_all!B:E,2,0)</f>
        <v>#N/A</v>
      </c>
      <c r="M232" s="8" t="str">
        <f>vlookup(A232,salesx_all!B:D,3,0)</f>
        <v>#N/A</v>
      </c>
      <c r="N232" s="8" t="str">
        <f>vlookup(A232,salesx_all!B:E,4,0)</f>
        <v>#N/A</v>
      </c>
    </row>
    <row r="233">
      <c r="A233" s="1" t="s">
        <v>381</v>
      </c>
      <c r="B233" s="1">
        <f t="shared" si="1"/>
        <v>29</v>
      </c>
      <c r="C233" s="1">
        <v>3.0</v>
      </c>
      <c r="D233" s="1">
        <v>0.0</v>
      </c>
      <c r="E233" s="1">
        <v>3.0</v>
      </c>
      <c r="F233" s="6">
        <v>1.0</v>
      </c>
      <c r="G233" s="1">
        <v>3.0</v>
      </c>
      <c r="H233" s="1">
        <v>0.0</v>
      </c>
      <c r="I233" s="1">
        <v>3.0</v>
      </c>
      <c r="J233" s="1">
        <v>3.0</v>
      </c>
      <c r="K233" s="1">
        <v>0.0</v>
      </c>
      <c r="L233" s="8" t="str">
        <f>vlookup(A233,salesx_all!B:E,2,0)</f>
        <v>#N/A</v>
      </c>
      <c r="M233" s="8" t="str">
        <f>vlookup(A233,salesx_all!B:D,3,0)</f>
        <v>#N/A</v>
      </c>
      <c r="N233" s="8" t="str">
        <f>vlookup(A233,salesx_all!B:E,4,0)</f>
        <v>#N/A</v>
      </c>
    </row>
    <row r="234">
      <c r="A234" s="1" t="s">
        <v>382</v>
      </c>
      <c r="B234" s="1">
        <f t="shared" si="1"/>
        <v>62</v>
      </c>
      <c r="C234" s="1">
        <v>3.0</v>
      </c>
      <c r="D234" s="1">
        <v>0.0</v>
      </c>
      <c r="E234" s="1">
        <v>3.0</v>
      </c>
      <c r="F234" s="6">
        <v>0.666666666666666</v>
      </c>
      <c r="G234" s="1">
        <v>3.0</v>
      </c>
      <c r="H234" s="1">
        <v>1.0</v>
      </c>
      <c r="I234" s="1">
        <v>2.0</v>
      </c>
      <c r="J234" s="1">
        <v>3.0</v>
      </c>
      <c r="K234" s="1">
        <v>7.0</v>
      </c>
      <c r="L234" s="8" t="str">
        <f>vlookup(A234,salesx_all!B:E,2,0)</f>
        <v>#N/A</v>
      </c>
      <c r="M234" s="8" t="str">
        <f>vlookup(A234,salesx_all!B:D,3,0)</f>
        <v>#N/A</v>
      </c>
      <c r="N234" s="8" t="str">
        <f>vlookup(A234,salesx_all!B:E,4,0)</f>
        <v>#N/A</v>
      </c>
    </row>
    <row r="235">
      <c r="A235" s="1" t="s">
        <v>383</v>
      </c>
      <c r="B235" s="1">
        <f t="shared" si="1"/>
        <v>58</v>
      </c>
      <c r="C235" s="1">
        <v>3.0</v>
      </c>
      <c r="D235" s="1">
        <v>0.0</v>
      </c>
      <c r="E235" s="1">
        <v>3.0</v>
      </c>
      <c r="F235" s="6">
        <v>0.666666666666666</v>
      </c>
      <c r="G235" s="1">
        <v>2.0</v>
      </c>
      <c r="H235" s="1">
        <v>1.0</v>
      </c>
      <c r="I235" s="1">
        <v>3.0</v>
      </c>
      <c r="J235" s="1">
        <v>3.0</v>
      </c>
      <c r="K235" s="1">
        <v>0.666666666666666</v>
      </c>
      <c r="L235" s="8" t="str">
        <f>vlookup(A235,salesx_all!B:E,2,0)</f>
        <v>As the Days and Years Wind Down, What Are You Waiting For?</v>
      </c>
      <c r="M235" s="8" t="str">
        <f>vlookup(A235,salesx_all!B:D,3,0)</f>
        <v>The Waiting Game</v>
      </c>
      <c r="N235" s="8" t="str">
        <f>vlookup(A235,salesx_all!B:E,4,0)</f>
        <v>Making a Rewarding Adjustment</v>
      </c>
    </row>
    <row r="236">
      <c r="A236" s="1" t="s">
        <v>384</v>
      </c>
      <c r="B236" s="1">
        <f t="shared" si="1"/>
        <v>47</v>
      </c>
      <c r="C236" s="1">
        <v>3.0</v>
      </c>
      <c r="D236" s="1">
        <v>0.0</v>
      </c>
      <c r="E236" s="1">
        <v>3.0</v>
      </c>
      <c r="F236" s="6">
        <v>1.0</v>
      </c>
      <c r="G236" s="1">
        <v>3.0</v>
      </c>
      <c r="H236" s="1">
        <v>0.0</v>
      </c>
      <c r="I236" s="1">
        <v>3.0</v>
      </c>
      <c r="J236" s="1">
        <v>3.0</v>
      </c>
      <c r="K236" s="1">
        <v>0.0</v>
      </c>
      <c r="L236" s="8" t="str">
        <f>vlookup(A236,salesx_all!B:E,2,0)</f>
        <v>#N/A</v>
      </c>
      <c r="M236" s="8" t="str">
        <f>vlookup(A236,salesx_all!B:D,3,0)</f>
        <v>#N/A</v>
      </c>
      <c r="N236" s="8" t="str">
        <f>vlookup(A236,salesx_all!B:E,4,0)</f>
        <v>#N/A</v>
      </c>
    </row>
    <row r="237">
      <c r="A237" s="1" t="s">
        <v>385</v>
      </c>
      <c r="B237" s="1">
        <f t="shared" si="1"/>
        <v>56</v>
      </c>
      <c r="C237" s="1">
        <v>3.0</v>
      </c>
      <c r="D237" s="1">
        <v>0.0</v>
      </c>
      <c r="E237" s="1">
        <v>3.0</v>
      </c>
      <c r="F237" s="6">
        <v>0.666666666666666</v>
      </c>
      <c r="G237" s="1">
        <v>2.0</v>
      </c>
      <c r="H237" s="1">
        <v>1.0</v>
      </c>
      <c r="I237" s="1">
        <v>3.0</v>
      </c>
      <c r="J237" s="1">
        <v>3.0</v>
      </c>
      <c r="K237" s="1">
        <v>1.0</v>
      </c>
      <c r="L237" s="8" t="str">
        <f>vlookup(A237,salesx_all!B:E,2,0)</f>
        <v>Business Growth During COVID? We’re Proof it Can Be Done!</v>
      </c>
      <c r="M237" s="8" t="str">
        <f>vlookup(A237,salesx_all!B:D,3,0)</f>
        <v>Recognizing Underlying Problems and Vulnerabilities</v>
      </c>
      <c r="N237" s="8" t="str">
        <f>vlookup(A237,salesx_all!B:E,4,0)</f>
        <v>Solving Problems and Vulnerabilities and Creating Growth Opportunities</v>
      </c>
    </row>
    <row r="238">
      <c r="A238" s="1" t="s">
        <v>386</v>
      </c>
      <c r="B238" s="1">
        <f t="shared" si="1"/>
        <v>61</v>
      </c>
      <c r="C238" s="1">
        <v>3.0</v>
      </c>
      <c r="D238" s="1">
        <v>0.0</v>
      </c>
      <c r="E238" s="1">
        <v>3.0</v>
      </c>
      <c r="F238" s="6">
        <v>0.666666666666666</v>
      </c>
      <c r="G238" s="1">
        <v>3.0</v>
      </c>
      <c r="H238" s="1">
        <v>1.0</v>
      </c>
      <c r="I238" s="1">
        <v>3.0</v>
      </c>
      <c r="J238" s="1">
        <v>3.0</v>
      </c>
      <c r="K238" s="1">
        <v>0.0</v>
      </c>
      <c r="L238" s="8" t="str">
        <f>vlookup(A238,salesx_all!B:E,2,0)</f>
        <v>Can Being Too Resilient Keep You from Realizing Opportunity?</v>
      </c>
      <c r="M238" s="8" t="str">
        <f>vlookup(A238,salesx_all!B:D,3,0)</f>
        <v>Just What IS This Resilience Thing, Anyway?</v>
      </c>
      <c r="N238" s="8" t="str">
        <f>vlookup(A238,salesx_all!B:E,4,0)</f>
        <v>The Dangers of Being Over-Resilient</v>
      </c>
    </row>
    <row r="239">
      <c r="A239" s="1" t="s">
        <v>387</v>
      </c>
      <c r="B239" s="1">
        <f t="shared" si="1"/>
        <v>90</v>
      </c>
      <c r="C239" s="1">
        <v>3.0</v>
      </c>
      <c r="D239" s="1">
        <v>0.0</v>
      </c>
      <c r="E239" s="1">
        <v>3.0</v>
      </c>
      <c r="F239" s="6">
        <v>0.666666666666666</v>
      </c>
      <c r="G239" s="1">
        <v>3.0</v>
      </c>
      <c r="H239" s="1">
        <v>1.0</v>
      </c>
      <c r="I239" s="1">
        <v>3.0</v>
      </c>
      <c r="J239" s="1">
        <v>3.0</v>
      </c>
      <c r="K239" s="1">
        <v>2.33333333333333</v>
      </c>
      <c r="L239" s="8" t="str">
        <f>vlookup(A239,salesx_all!B:E,2,0)</f>
        <v>#N/A</v>
      </c>
      <c r="M239" s="8" t="str">
        <f>vlookup(A239,salesx_all!B:D,3,0)</f>
        <v>#N/A</v>
      </c>
      <c r="N239" s="8" t="str">
        <f>vlookup(A239,salesx_all!B:E,4,0)</f>
        <v>#N/A</v>
      </c>
    </row>
    <row r="240">
      <c r="A240" s="1" t="s">
        <v>388</v>
      </c>
      <c r="B240" s="1">
        <f t="shared" si="1"/>
        <v>6</v>
      </c>
      <c r="C240" s="1">
        <v>3.0</v>
      </c>
      <c r="D240" s="1">
        <v>0.0</v>
      </c>
      <c r="E240" s="1">
        <v>3.0</v>
      </c>
      <c r="F240" s="6">
        <v>1.0</v>
      </c>
      <c r="G240" s="1">
        <v>3.0</v>
      </c>
      <c r="H240" s="1">
        <v>0.0</v>
      </c>
      <c r="I240" s="1">
        <v>3.0</v>
      </c>
      <c r="J240" s="1">
        <v>3.0</v>
      </c>
      <c r="K240" s="1">
        <v>0.333333333333333</v>
      </c>
      <c r="L240" s="8" t="str">
        <f>vlookup(A240,salesx_all!B:E,2,0)</f>
        <v>#N/A</v>
      </c>
      <c r="M240" s="8" t="str">
        <f>vlookup(A240,salesx_all!B:D,3,0)</f>
        <v>#N/A</v>
      </c>
      <c r="N240" s="8" t="str">
        <f>vlookup(A240,salesx_all!B:E,4,0)</f>
        <v>#N/A</v>
      </c>
    </row>
    <row r="241">
      <c r="A241" s="1" t="s">
        <v>389</v>
      </c>
      <c r="B241" s="1">
        <f t="shared" si="1"/>
        <v>34</v>
      </c>
      <c r="C241" s="1">
        <v>3.0</v>
      </c>
      <c r="D241" s="1">
        <v>0.0</v>
      </c>
      <c r="E241" s="1">
        <v>2.0</v>
      </c>
      <c r="F241" s="6">
        <v>0.333333333333333</v>
      </c>
      <c r="G241" s="1">
        <v>0.0</v>
      </c>
      <c r="H241" s="1">
        <v>2.0</v>
      </c>
      <c r="I241" s="1">
        <v>3.0</v>
      </c>
      <c r="J241" s="1">
        <v>2.0</v>
      </c>
      <c r="K241" s="1">
        <v>17.0</v>
      </c>
      <c r="L241" s="8" t="str">
        <f>vlookup(A241,salesx_all!B:E,2,0)</f>
        <v>Construction Services: From Sales Uncertainty to Revenue Growth &amp; Increased Team Morale</v>
      </c>
      <c r="M241" s="8" t="str">
        <f>vlookup(A241,salesx_all!B:D,3,0)</f>
        <v>Client Overview</v>
      </c>
      <c r="N241" s="8" t="str">
        <f>vlookup(A241,salesx_all!B:E,4,0)</f>
        <v>Executive Summary</v>
      </c>
    </row>
    <row r="242">
      <c r="A242" s="1" t="s">
        <v>390</v>
      </c>
      <c r="B242" s="1">
        <f t="shared" si="1"/>
        <v>25</v>
      </c>
      <c r="C242" s="1">
        <v>3.0</v>
      </c>
      <c r="D242" s="1">
        <v>0.0</v>
      </c>
      <c r="E242" s="1">
        <v>3.0</v>
      </c>
      <c r="F242" s="6">
        <v>0.333333333333333</v>
      </c>
      <c r="G242" s="1">
        <v>2.0</v>
      </c>
      <c r="H242" s="1">
        <v>2.0</v>
      </c>
      <c r="I242" s="1">
        <v>3.0</v>
      </c>
      <c r="J242" s="1">
        <v>3.0</v>
      </c>
      <c r="K242" s="1">
        <v>8.66666666666666</v>
      </c>
      <c r="L242" s="8" t="str">
        <f>vlookup(A242,salesx_all!B:E,2,0)</f>
        <v>Construction: Setting Sales Records by Creating a Defined Sales Structure</v>
      </c>
      <c r="M242" s="8" t="str">
        <f>vlookup(A242,salesx_all!B:D,3,0)</f>
        <v/>
      </c>
      <c r="N242" s="8" t="str">
        <f>vlookup(A242,salesx_all!B:E,4,0)</f>
        <v/>
      </c>
    </row>
    <row r="243">
      <c r="A243" s="1" t="s">
        <v>391</v>
      </c>
      <c r="B243" s="1">
        <f t="shared" si="1"/>
        <v>72</v>
      </c>
      <c r="C243" s="1">
        <v>3.0</v>
      </c>
      <c r="D243" s="1">
        <v>0.0</v>
      </c>
      <c r="E243" s="1">
        <v>3.0</v>
      </c>
      <c r="F243" s="6">
        <v>0.333333333333333</v>
      </c>
      <c r="G243" s="1">
        <v>2.0</v>
      </c>
      <c r="H243" s="1">
        <v>2.0</v>
      </c>
      <c r="I243" s="1">
        <v>3.0</v>
      </c>
      <c r="J243" s="1">
        <v>3.0</v>
      </c>
      <c r="K243" s="1">
        <v>69.0</v>
      </c>
      <c r="L243" s="8" t="str">
        <f>vlookup(A243,salesx_all!B:E,2,0)</f>
        <v>Consumer Packaged Goods: Developing a Go-to-Market Strategy for Unparalleled Success</v>
      </c>
      <c r="M243" s="8" t="str">
        <f>vlookup(A243,salesx_all!B:D,3,0)</f>
        <v>Executive Summary</v>
      </c>
      <c r="N243" s="8" t="str">
        <f>vlookup(A243,salesx_all!B:E,4,0)</f>
        <v>The Big Win</v>
      </c>
    </row>
    <row r="244">
      <c r="A244" s="1" t="s">
        <v>392</v>
      </c>
      <c r="B244" s="1">
        <f t="shared" si="1"/>
        <v>20</v>
      </c>
      <c r="C244" s="1">
        <v>3.0</v>
      </c>
      <c r="D244" s="1">
        <v>0.0</v>
      </c>
      <c r="E244" s="1">
        <v>3.0</v>
      </c>
      <c r="F244" s="6">
        <v>1.0</v>
      </c>
      <c r="G244" s="1">
        <v>3.0</v>
      </c>
      <c r="H244" s="1">
        <v>0.0</v>
      </c>
      <c r="I244" s="1">
        <v>3.0</v>
      </c>
      <c r="J244" s="1">
        <v>3.0</v>
      </c>
      <c r="K244" s="1">
        <v>1.66666666666666</v>
      </c>
      <c r="L244" s="8" t="str">
        <f>vlookup(A244,salesx_all!B:E,2,0)</f>
        <v>Finance: Creating a Positive Work Environment Through Refined Sales Processes</v>
      </c>
      <c r="M244" s="8" t="str">
        <f>vlookup(A244,salesx_all!B:D,3,0)</f>
        <v/>
      </c>
      <c r="N244" s="8" t="str">
        <f>vlookup(A244,salesx_all!B:E,4,0)</f>
        <v/>
      </c>
    </row>
    <row r="245">
      <c r="A245" s="1" t="s">
        <v>393</v>
      </c>
      <c r="B245" s="1">
        <f t="shared" si="1"/>
        <v>50</v>
      </c>
      <c r="C245" s="1">
        <v>3.0</v>
      </c>
      <c r="D245" s="1">
        <v>0.0</v>
      </c>
      <c r="E245" s="1">
        <v>3.0</v>
      </c>
      <c r="F245" s="6">
        <v>0.666666666666666</v>
      </c>
      <c r="G245" s="1">
        <v>2.0</v>
      </c>
      <c r="H245" s="1">
        <v>1.0</v>
      </c>
      <c r="I245" s="1">
        <v>4.0</v>
      </c>
      <c r="J245" s="1">
        <v>3.0</v>
      </c>
      <c r="K245" s="1">
        <v>1.33333333333333</v>
      </c>
      <c r="L245" s="8" t="str">
        <f>vlookup(A245,salesx_all!B:E,2,0)</f>
        <v>Equipment Manufacturing: Streamlining Processes to Accomplish Forecast Accuracy</v>
      </c>
      <c r="M245" s="8" t="str">
        <f>vlookup(A245,salesx_all!B:D,3,0)</f>
        <v>Executive Summary</v>
      </c>
      <c r="N245" s="8" t="str">
        <f>vlookup(A245,salesx_all!B:E,4,0)</f>
        <v>The Big Win</v>
      </c>
    </row>
    <row r="246">
      <c r="A246" s="1" t="s">
        <v>394</v>
      </c>
      <c r="B246" s="1">
        <f t="shared" si="1"/>
        <v>36</v>
      </c>
      <c r="C246" s="1">
        <v>3.0</v>
      </c>
      <c r="D246" s="1">
        <v>0.0</v>
      </c>
      <c r="E246" s="1">
        <v>3.0</v>
      </c>
      <c r="F246" s="6">
        <v>1.0</v>
      </c>
      <c r="G246" s="1">
        <v>3.0</v>
      </c>
      <c r="H246" s="1">
        <v>0.0</v>
      </c>
      <c r="I246" s="1">
        <v>3.0</v>
      </c>
      <c r="J246" s="1">
        <v>3.0</v>
      </c>
      <c r="K246" s="1">
        <v>0.0</v>
      </c>
      <c r="L246" s="8" t="str">
        <f>vlookup(A246,salesx_all!B:E,2,0)</f>
        <v>Healthcare Benefits: Properly Incentivizing to Acquire New Business</v>
      </c>
      <c r="M246" s="8" t="str">
        <f>vlookup(A246,salesx_all!B:D,3,0)</f>
        <v/>
      </c>
      <c r="N246" s="8" t="str">
        <f>vlookup(A246,salesx_all!B:E,4,0)</f>
        <v/>
      </c>
    </row>
    <row r="247">
      <c r="A247" s="1" t="s">
        <v>395</v>
      </c>
      <c r="B247" s="1">
        <f t="shared" si="1"/>
        <v>51</v>
      </c>
      <c r="C247" s="1">
        <v>3.0</v>
      </c>
      <c r="D247" s="1">
        <v>0.0</v>
      </c>
      <c r="E247" s="1">
        <v>2.0</v>
      </c>
      <c r="F247" s="6">
        <v>0.333333333333333</v>
      </c>
      <c r="G247" s="1">
        <v>1.0</v>
      </c>
      <c r="H247" s="1">
        <v>2.0</v>
      </c>
      <c r="I247" s="1">
        <v>3.0</v>
      </c>
      <c r="J247" s="1">
        <v>2.0</v>
      </c>
      <c r="K247" s="1">
        <v>3.0</v>
      </c>
      <c r="L247" s="8" t="str">
        <f>vlookup(A247,salesx_all!B:E,2,0)</f>
        <v>Large Chain Convenience Store: Utilizing a Fractional Sales Leader to Build Processes, Mentor the Team, and Drive Growth</v>
      </c>
      <c r="M247" s="8" t="str">
        <f>vlookup(A247,salesx_all!B:D,3,0)</f>
        <v>Executive Summary</v>
      </c>
      <c r="N247" s="8" t="str">
        <f>vlookup(A247,salesx_all!B:E,4,0)</f>
        <v>The Big Win</v>
      </c>
    </row>
    <row r="248">
      <c r="A248" s="1" t="s">
        <v>396</v>
      </c>
      <c r="B248" s="1">
        <f t="shared" si="1"/>
        <v>26</v>
      </c>
      <c r="C248" s="1">
        <v>3.0</v>
      </c>
      <c r="D248" s="1">
        <v>0.0</v>
      </c>
      <c r="E248" s="1">
        <v>3.0</v>
      </c>
      <c r="F248" s="6">
        <v>0.666666666666666</v>
      </c>
      <c r="G248" s="1">
        <v>3.0</v>
      </c>
      <c r="H248" s="1">
        <v>1.0</v>
      </c>
      <c r="I248" s="1">
        <v>3.0</v>
      </c>
      <c r="J248" s="1">
        <v>3.0</v>
      </c>
      <c r="K248" s="1">
        <v>1.66666666666666</v>
      </c>
      <c r="L248" s="8" t="str">
        <f>vlookup(A248,salesx_all!B:E,2,0)</f>
        <v>Manufacturing: Creating the Structure to Boost Revenue &amp; Profit</v>
      </c>
      <c r="M248" s="8" t="str">
        <f>vlookup(A248,salesx_all!B:D,3,0)</f>
        <v/>
      </c>
      <c r="N248" s="8" t="str">
        <f>vlookup(A248,salesx_all!B:E,4,0)</f>
        <v/>
      </c>
    </row>
    <row r="249">
      <c r="A249" s="1" t="s">
        <v>397</v>
      </c>
      <c r="B249" s="1">
        <f t="shared" si="1"/>
        <v>88</v>
      </c>
      <c r="C249" s="1">
        <v>3.0</v>
      </c>
      <c r="D249" s="1">
        <v>0.0</v>
      </c>
      <c r="E249" s="1">
        <v>3.0</v>
      </c>
      <c r="F249" s="6">
        <v>0.333333333333333</v>
      </c>
      <c r="G249" s="1">
        <v>1.0</v>
      </c>
      <c r="H249" s="1">
        <v>2.0</v>
      </c>
      <c r="I249" s="1">
        <v>4.0</v>
      </c>
      <c r="J249" s="1">
        <v>3.0</v>
      </c>
      <c r="K249" s="1">
        <v>5.0</v>
      </c>
      <c r="L249" s="8" t="str">
        <f>vlookup(A249,salesx_all!B:E,2,0)</f>
        <v>Plastic Manufacturing: 22% Sales Growth Achieved with Expert Sales Leadership</v>
      </c>
      <c r="M249" s="8" t="str">
        <f>vlookup(A249,salesx_all!B:D,3,0)</f>
        <v>Company Profile</v>
      </c>
      <c r="N249" s="8" t="str">
        <f>vlookup(A249,salesx_all!B:E,4,0)</f>
        <v>Sales Success Snapshot</v>
      </c>
    </row>
    <row r="250">
      <c r="A250" s="1" t="s">
        <v>398</v>
      </c>
      <c r="B250" s="1">
        <f t="shared" si="1"/>
        <v>40</v>
      </c>
      <c r="C250" s="1">
        <v>3.0</v>
      </c>
      <c r="D250" s="1">
        <v>0.0</v>
      </c>
      <c r="E250" s="1">
        <v>2.0</v>
      </c>
      <c r="F250" s="6">
        <v>0.333333333333333</v>
      </c>
      <c r="G250" s="1">
        <v>1.0</v>
      </c>
      <c r="H250" s="1">
        <v>2.0</v>
      </c>
      <c r="I250" s="1">
        <v>2.0</v>
      </c>
      <c r="J250" s="1">
        <v>2.0</v>
      </c>
      <c r="K250" s="1">
        <v>11.5</v>
      </c>
      <c r="L250" s="8" t="str">
        <f>vlookup(A250,salesx_all!B:E,2,0)</f>
        <v>Software Technology: Revamping a Sales Structure to Grow Revenue</v>
      </c>
      <c r="M250" s="8" t="str">
        <f>vlookup(A250,salesx_all!B:D,3,0)</f>
        <v>Executive Summary</v>
      </c>
      <c r="N250" s="8" t="str">
        <f>vlookup(A250,salesx_all!B:E,4,0)</f>
        <v>The Big Win</v>
      </c>
    </row>
    <row r="251">
      <c r="A251" s="1" t="s">
        <v>399</v>
      </c>
      <c r="B251" s="1">
        <f t="shared" si="1"/>
        <v>35</v>
      </c>
      <c r="C251" s="1">
        <v>3.0</v>
      </c>
      <c r="D251" s="1">
        <v>0.0</v>
      </c>
      <c r="E251" s="1">
        <v>3.0</v>
      </c>
      <c r="F251" s="6">
        <v>0.333333333333333</v>
      </c>
      <c r="G251" s="1">
        <v>1.0</v>
      </c>
      <c r="H251" s="1">
        <v>2.0</v>
      </c>
      <c r="I251" s="1">
        <v>2.0</v>
      </c>
      <c r="J251" s="1">
        <v>3.0</v>
      </c>
      <c r="K251" s="1">
        <v>0.0</v>
      </c>
      <c r="L251" s="8" t="str">
        <f>vlookup(A251,salesx_all!B:E,2,0)</f>
        <v>Compensation Plan Errors to Avoid</v>
      </c>
      <c r="M251" s="8" t="str">
        <f>vlookup(A251,salesx_all!B:D,3,0)</f>
        <v>Lack of Alignment Between Individual, Team, and Company Goals</v>
      </c>
      <c r="N251" s="8" t="str">
        <f>vlookup(A251,salesx_all!B:E,4,0)</f>
        <v>Inadequate Balance Between Base and Variable Compensation</v>
      </c>
    </row>
    <row r="252">
      <c r="A252" s="1" t="s">
        <v>400</v>
      </c>
      <c r="B252" s="1">
        <f t="shared" si="1"/>
        <v>109</v>
      </c>
      <c r="C252" s="1">
        <v>3.0</v>
      </c>
      <c r="D252" s="1">
        <v>0.0</v>
      </c>
      <c r="E252" s="1">
        <v>3.0</v>
      </c>
      <c r="F252" s="6">
        <v>0.333333333333333</v>
      </c>
      <c r="G252" s="1">
        <v>2.0</v>
      </c>
      <c r="H252" s="1">
        <v>2.0</v>
      </c>
      <c r="I252" s="1">
        <v>3.0</v>
      </c>
      <c r="J252" s="1">
        <v>3.0</v>
      </c>
      <c r="K252" s="1">
        <v>120.333333333333</v>
      </c>
      <c r="L252" s="8" t="str">
        <f>vlookup(A252,salesx_all!B:E,2,0)</f>
        <v>#N/A</v>
      </c>
      <c r="M252" s="8" t="str">
        <f>vlookup(A252,salesx_all!B:D,3,0)</f>
        <v>#N/A</v>
      </c>
      <c r="N252" s="8" t="str">
        <f>vlookup(A252,salesx_all!B:E,4,0)</f>
        <v>#N/A</v>
      </c>
    </row>
    <row r="253">
      <c r="A253" s="1" t="s">
        <v>401</v>
      </c>
      <c r="B253" s="1">
        <f t="shared" si="1"/>
        <v>42</v>
      </c>
      <c r="C253" s="1">
        <v>3.0</v>
      </c>
      <c r="D253" s="1">
        <v>0.0</v>
      </c>
      <c r="E253" s="1">
        <v>3.0</v>
      </c>
      <c r="F253" s="6">
        <v>1.0</v>
      </c>
      <c r="G253" s="1">
        <v>3.0</v>
      </c>
      <c r="H253" s="1">
        <v>0.0</v>
      </c>
      <c r="I253" s="1">
        <v>3.0</v>
      </c>
      <c r="J253" s="1">
        <v>3.0</v>
      </c>
      <c r="K253" s="1">
        <v>0.0</v>
      </c>
      <c r="L253" s="8" t="str">
        <f>vlookup(A253,salesx_all!B:E,2,0)</f>
        <v>#N/A</v>
      </c>
      <c r="M253" s="8" t="str">
        <f>vlookup(A253,salesx_all!B:D,3,0)</f>
        <v>#N/A</v>
      </c>
      <c r="N253" s="8" t="str">
        <f>vlookup(A253,salesx_all!B:E,4,0)</f>
        <v>#N/A</v>
      </c>
    </row>
    <row r="254">
      <c r="A254" s="1" t="s">
        <v>402</v>
      </c>
      <c r="B254" s="1">
        <f t="shared" si="1"/>
        <v>73</v>
      </c>
      <c r="C254" s="1">
        <v>3.0</v>
      </c>
      <c r="D254" s="1">
        <v>0.0</v>
      </c>
      <c r="E254" s="1">
        <v>3.0</v>
      </c>
      <c r="F254" s="6">
        <v>0.666666666666666</v>
      </c>
      <c r="G254" s="1">
        <v>2.0</v>
      </c>
      <c r="H254" s="1">
        <v>1.0</v>
      </c>
      <c r="I254" s="1">
        <v>3.0</v>
      </c>
      <c r="J254" s="1">
        <v>3.0</v>
      </c>
      <c r="K254" s="1">
        <v>3.33333333333333</v>
      </c>
      <c r="L254" s="8" t="str">
        <f>vlookup(A254,salesx_all!B:E,2,0)</f>
        <v>Dreading the Excessive Travel of “Business as Usual?” Here’s an Alternative</v>
      </c>
      <c r="M254" s="8" t="str">
        <f>vlookup(A254,salesx_all!B:D,3,0)</f>
        <v>The Great Resignation</v>
      </c>
      <c r="N254" s="8" t="str">
        <f>vlookup(A254,salesx_all!B:E,4,0)</f>
        <v>Home Away from Home?</v>
      </c>
    </row>
    <row r="255">
      <c r="A255" s="1" t="s">
        <v>403</v>
      </c>
      <c r="B255" s="1">
        <f t="shared" si="1"/>
        <v>52</v>
      </c>
      <c r="C255" s="1">
        <v>3.0</v>
      </c>
      <c r="D255" s="1">
        <v>0.0</v>
      </c>
      <c r="E255" s="1">
        <v>3.0</v>
      </c>
      <c r="F255" s="6">
        <v>1.0</v>
      </c>
      <c r="G255" s="1">
        <v>3.0</v>
      </c>
      <c r="H255" s="1">
        <v>0.0</v>
      </c>
      <c r="I255" s="1">
        <v>3.0</v>
      </c>
      <c r="J255" s="1">
        <v>3.0</v>
      </c>
      <c r="K255" s="1">
        <v>0.0</v>
      </c>
      <c r="L255" s="8" t="str">
        <f>vlookup(A255,salesx_all!B:E,2,0)</f>
        <v>#N/A</v>
      </c>
      <c r="M255" s="8" t="str">
        <f>vlookup(A255,salesx_all!B:D,3,0)</f>
        <v>#N/A</v>
      </c>
      <c r="N255" s="8" t="str">
        <f>vlookup(A255,salesx_all!B:E,4,0)</f>
        <v>#N/A</v>
      </c>
    </row>
    <row r="256">
      <c r="A256" s="1" t="s">
        <v>404</v>
      </c>
      <c r="B256" s="1">
        <f t="shared" si="1"/>
        <v>79</v>
      </c>
      <c r="C256" s="1">
        <v>3.0</v>
      </c>
      <c r="D256" s="1">
        <v>0.0</v>
      </c>
      <c r="E256" s="1">
        <v>3.0</v>
      </c>
      <c r="F256" s="6">
        <v>1.0</v>
      </c>
      <c r="G256" s="1">
        <v>3.0</v>
      </c>
      <c r="H256" s="1">
        <v>0.0</v>
      </c>
      <c r="I256" s="1">
        <v>3.0</v>
      </c>
      <c r="J256" s="1">
        <v>3.0</v>
      </c>
      <c r="K256" s="1">
        <v>0.0</v>
      </c>
      <c r="L256" s="8" t="str">
        <f>vlookup(A256,salesx_all!B:E,2,0)</f>
        <v>#N/A</v>
      </c>
      <c r="M256" s="8" t="str">
        <f>vlookup(A256,salesx_all!B:D,3,0)</f>
        <v>#N/A</v>
      </c>
      <c r="N256" s="8" t="str">
        <f>vlookup(A256,salesx_all!B:E,4,0)</f>
        <v>#N/A</v>
      </c>
    </row>
    <row r="257">
      <c r="A257" s="1" t="s">
        <v>405</v>
      </c>
      <c r="B257" s="1">
        <f t="shared" si="1"/>
        <v>47</v>
      </c>
      <c r="C257" s="1">
        <v>3.0</v>
      </c>
      <c r="D257" s="1">
        <v>0.0</v>
      </c>
      <c r="E257" s="1">
        <v>3.0</v>
      </c>
      <c r="F257" s="6">
        <v>1.0</v>
      </c>
      <c r="G257" s="1">
        <v>3.0</v>
      </c>
      <c r="H257" s="1">
        <v>0.0</v>
      </c>
      <c r="I257" s="1">
        <v>2.0</v>
      </c>
      <c r="J257" s="1">
        <v>3.0</v>
      </c>
      <c r="K257" s="1">
        <v>0.0</v>
      </c>
      <c r="L257" s="8" t="str">
        <f>vlookup(A257,salesx_all!B:E,2,0)</f>
        <v>#N/A</v>
      </c>
      <c r="M257" s="8" t="str">
        <f>vlookup(A257,salesx_all!B:D,3,0)</f>
        <v>#N/A</v>
      </c>
      <c r="N257" s="8" t="str">
        <f>vlookup(A257,salesx_all!B:E,4,0)</f>
        <v>#N/A</v>
      </c>
    </row>
    <row r="258">
      <c r="A258" s="1" t="s">
        <v>406</v>
      </c>
      <c r="B258" s="1">
        <f t="shared" si="1"/>
        <v>35</v>
      </c>
      <c r="C258" s="1">
        <v>3.0</v>
      </c>
      <c r="D258" s="1">
        <v>0.0</v>
      </c>
      <c r="E258" s="1">
        <v>3.0</v>
      </c>
      <c r="F258" s="6">
        <v>1.0</v>
      </c>
      <c r="G258" s="1">
        <v>3.0</v>
      </c>
      <c r="H258" s="1">
        <v>0.0</v>
      </c>
      <c r="I258" s="1">
        <v>3.0</v>
      </c>
      <c r="J258" s="1">
        <v>3.0</v>
      </c>
      <c r="K258" s="1">
        <v>0.0</v>
      </c>
      <c r="L258" s="8" t="str">
        <f>vlookup(A258,salesx_all!B:E,2,0)</f>
        <v>#N/A</v>
      </c>
      <c r="M258" s="8" t="str">
        <f>vlookup(A258,salesx_all!B:D,3,0)</f>
        <v>#N/A</v>
      </c>
      <c r="N258" s="8" t="str">
        <f>vlookup(A258,salesx_all!B:E,4,0)</f>
        <v>#N/A</v>
      </c>
    </row>
    <row r="259">
      <c r="A259" s="1" t="s">
        <v>407</v>
      </c>
      <c r="B259" s="1">
        <f t="shared" si="1"/>
        <v>43</v>
      </c>
      <c r="C259" s="1">
        <v>3.0</v>
      </c>
      <c r="D259" s="1">
        <v>0.0</v>
      </c>
      <c r="E259" s="1">
        <v>3.0</v>
      </c>
      <c r="F259" s="6">
        <v>1.0</v>
      </c>
      <c r="G259" s="1">
        <v>3.0</v>
      </c>
      <c r="H259" s="1">
        <v>0.0</v>
      </c>
      <c r="I259" s="1">
        <v>3.0</v>
      </c>
      <c r="J259" s="1">
        <v>3.0</v>
      </c>
      <c r="K259" s="1">
        <v>0.0</v>
      </c>
      <c r="L259" s="8" t="str">
        <f>vlookup(A259,salesx_all!B:E,2,0)</f>
        <v>Five Things Top Sales Leaders Do Differently</v>
      </c>
      <c r="M259" s="8" t="str">
        <f>vlookup(A259,salesx_all!B:D,3,0)</f>
        <v/>
      </c>
      <c r="N259" s="8" t="str">
        <f>vlookup(A259,salesx_all!B:E,4,0)</f>
        <v/>
      </c>
    </row>
    <row r="260">
      <c r="A260" s="1" t="s">
        <v>408</v>
      </c>
      <c r="B260" s="1">
        <f t="shared" si="1"/>
        <v>55</v>
      </c>
      <c r="C260" s="1">
        <v>3.0</v>
      </c>
      <c r="D260" s="1">
        <v>0.0</v>
      </c>
      <c r="E260" s="1">
        <v>3.0</v>
      </c>
      <c r="F260" s="6">
        <v>1.0</v>
      </c>
      <c r="G260" s="1">
        <v>3.0</v>
      </c>
      <c r="H260" s="1">
        <v>0.0</v>
      </c>
      <c r="I260" s="1">
        <v>3.0</v>
      </c>
      <c r="J260" s="1">
        <v>3.0</v>
      </c>
      <c r="K260" s="1">
        <v>0.0</v>
      </c>
      <c r="L260" s="8" t="str">
        <f>vlookup(A260,salesx_all!B:E,2,0)</f>
        <v>Forbes – Five Ways Social Media Can Elevate Your Sales Efforts</v>
      </c>
      <c r="M260" s="8" t="str">
        <f>vlookup(A260,salesx_all!B:D,3,0)</f>
        <v/>
      </c>
      <c r="N260" s="8" t="str">
        <f>vlookup(A260,salesx_all!B:E,4,0)</f>
        <v/>
      </c>
    </row>
    <row r="261">
      <c r="A261" s="1" t="s">
        <v>409</v>
      </c>
      <c r="B261" s="1">
        <f t="shared" si="1"/>
        <v>87</v>
      </c>
      <c r="C261" s="1">
        <v>3.0</v>
      </c>
      <c r="D261" s="1">
        <v>0.0</v>
      </c>
      <c r="E261" s="1">
        <v>3.0</v>
      </c>
      <c r="F261" s="6">
        <v>0.666666666666666</v>
      </c>
      <c r="G261" s="1">
        <v>2.0</v>
      </c>
      <c r="H261" s="1">
        <v>1.0</v>
      </c>
      <c r="I261" s="1">
        <v>3.0</v>
      </c>
      <c r="J261" s="1">
        <v>3.0</v>
      </c>
      <c r="K261" s="1">
        <v>8.33333333333333</v>
      </c>
      <c r="L261" s="8" t="str">
        <f>vlookup(A261,salesx_all!B:E,2,0)</f>
        <v>Focus on Activity Management: Doing (and Measuring) the Right Things for Sales Success</v>
      </c>
      <c r="M261" s="8" t="str">
        <f>vlookup(A261,salesx_all!B:D,3,0)</f>
        <v/>
      </c>
      <c r="N261" s="8" t="str">
        <f>vlookup(A261,salesx_all!B:E,4,0)</f>
        <v/>
      </c>
    </row>
    <row r="262">
      <c r="A262" s="1" t="s">
        <v>410</v>
      </c>
      <c r="B262" s="1">
        <f t="shared" si="1"/>
        <v>76</v>
      </c>
      <c r="C262" s="1">
        <v>3.0</v>
      </c>
      <c r="D262" s="1">
        <v>0.0</v>
      </c>
      <c r="E262" s="1">
        <v>3.0</v>
      </c>
      <c r="F262" s="6">
        <v>0.333333333333333</v>
      </c>
      <c r="G262" s="1">
        <v>2.0</v>
      </c>
      <c r="H262" s="1">
        <v>2.0</v>
      </c>
      <c r="I262" s="1">
        <v>3.0</v>
      </c>
      <c r="J262" s="1">
        <v>3.0</v>
      </c>
      <c r="K262" s="1">
        <v>7.66666666666666</v>
      </c>
      <c r="L262" s="8" t="str">
        <f>vlookup(A262,salesx_all!B:E,2,0)</f>
        <v>For Businesses in Crisis, Fractional Sales Leadership Can Make a Difference</v>
      </c>
      <c r="M262" s="8" t="str">
        <f>vlookup(A262,salesx_all!B:D,3,0)</f>
        <v>What is a Fractional Sales Leadership Consultant?</v>
      </c>
      <c r="N262" s="8" t="str">
        <f>vlookup(A262,salesx_all!B:E,4,0)</f>
        <v>What Does a Fractional Sales Leadership Consultant Offer?</v>
      </c>
    </row>
    <row r="263">
      <c r="A263" s="1" t="s">
        <v>411</v>
      </c>
      <c r="B263" s="1">
        <f t="shared" si="1"/>
        <v>47</v>
      </c>
      <c r="C263" s="1">
        <v>3.0</v>
      </c>
      <c r="D263" s="1">
        <v>0.0</v>
      </c>
      <c r="E263" s="1">
        <v>3.0</v>
      </c>
      <c r="F263" s="6">
        <v>0.666666666666666</v>
      </c>
      <c r="G263" s="1">
        <v>2.0</v>
      </c>
      <c r="H263" s="1">
        <v>1.0</v>
      </c>
      <c r="I263" s="1">
        <v>3.0</v>
      </c>
      <c r="J263" s="1">
        <v>3.0</v>
      </c>
      <c r="K263" s="1">
        <v>0.666666666666666</v>
      </c>
      <c r="L263" s="8" t="str">
        <f>vlookup(A263,salesx_all!B:E,2,0)</f>
        <v>Give Yourself the Gift of Making a Difference</v>
      </c>
      <c r="M263" s="8" t="str">
        <f>vlookup(A263,salesx_all!B:D,3,0)</f>
        <v>Your Gifts Aligning with Their Needs</v>
      </c>
      <c r="N263" s="8" t="str">
        <f>vlookup(A263,salesx_all!B:E,4,0)</f>
        <v>That Double Blessing in Action</v>
      </c>
    </row>
    <row r="264">
      <c r="A264" s="1" t="s">
        <v>412</v>
      </c>
      <c r="B264" s="1">
        <f t="shared" si="1"/>
        <v>72</v>
      </c>
      <c r="C264" s="1">
        <v>3.0</v>
      </c>
      <c r="D264" s="1">
        <v>0.0</v>
      </c>
      <c r="E264" s="1">
        <v>3.0</v>
      </c>
      <c r="F264" s="6">
        <v>0.666666666666666</v>
      </c>
      <c r="G264" s="1">
        <v>1.0</v>
      </c>
      <c r="H264" s="1">
        <v>1.0</v>
      </c>
      <c r="I264" s="1">
        <v>2.0</v>
      </c>
      <c r="J264" s="1">
        <v>3.0</v>
      </c>
      <c r="K264" s="1">
        <v>12.6666666666666</v>
      </c>
      <c r="L264" s="8" t="str">
        <f>vlookup(A264,salesx_all!B:E,2,0)</f>
        <v>Sales Hacker – Hiring Sales Reps: 3 Tips for Better, Faster &amp; More Profitable Sales Hires</v>
      </c>
      <c r="M264" s="8" t="str">
        <f>vlookup(A264,salesx_all!B:D,3,0)</f>
        <v>What to Look for When Hiring Salespeople</v>
      </c>
      <c r="N264" s="8" t="str">
        <f>vlookup(A264,salesx_all!B:E,4,0)</f>
        <v>Best Training for Sales Team Hires</v>
      </c>
    </row>
    <row r="265">
      <c r="A265" s="1" t="s">
        <v>413</v>
      </c>
      <c r="B265" s="1">
        <f t="shared" si="1"/>
        <v>15</v>
      </c>
      <c r="C265" s="1">
        <v>3.0</v>
      </c>
      <c r="D265" s="1">
        <v>0.0</v>
      </c>
      <c r="E265" s="1">
        <v>3.0</v>
      </c>
      <c r="F265" s="6">
        <v>1.0</v>
      </c>
      <c r="G265" s="1">
        <v>3.0</v>
      </c>
      <c r="H265" s="1">
        <v>0.0</v>
      </c>
      <c r="I265" s="1">
        <v>3.0</v>
      </c>
      <c r="J265" s="1">
        <v>3.0</v>
      </c>
      <c r="K265" s="1">
        <v>0.0</v>
      </c>
      <c r="L265" s="8" t="str">
        <f>vlookup(A265,salesx_all!B:E,2,0)</f>
        <v>#N/A</v>
      </c>
      <c r="M265" s="8" t="str">
        <f>vlookup(A265,salesx_all!B:D,3,0)</f>
        <v>#N/A</v>
      </c>
      <c r="N265" s="8" t="str">
        <f>vlookup(A265,salesx_all!B:E,4,0)</f>
        <v>#N/A</v>
      </c>
    </row>
    <row r="266">
      <c r="A266" s="1" t="s">
        <v>414</v>
      </c>
      <c r="B266" s="1">
        <f t="shared" si="1"/>
        <v>57</v>
      </c>
      <c r="C266" s="1">
        <v>3.0</v>
      </c>
      <c r="D266" s="1">
        <v>0.0</v>
      </c>
      <c r="E266" s="1">
        <v>3.0</v>
      </c>
      <c r="F266" s="6">
        <v>1.0</v>
      </c>
      <c r="G266" s="1">
        <v>3.0</v>
      </c>
      <c r="H266" s="1">
        <v>0.0</v>
      </c>
      <c r="I266" s="1">
        <v>3.0</v>
      </c>
      <c r="J266" s="1">
        <v>3.0</v>
      </c>
      <c r="K266" s="1">
        <v>0.0</v>
      </c>
      <c r="L266" s="8" t="str">
        <f>vlookup(A266,salesx_all!B:E,2,0)</f>
        <v>How AI Can Act as the Perfect Complement to Sales Teams</v>
      </c>
      <c r="M266" s="8" t="str">
        <f>vlookup(A266,salesx_all!B:D,3,0)</f>
        <v/>
      </c>
      <c r="N266" s="8" t="str">
        <f>vlookup(A266,salesx_all!B:E,4,0)</f>
        <v/>
      </c>
    </row>
    <row r="267">
      <c r="A267" s="1" t="s">
        <v>415</v>
      </c>
      <c r="B267" s="1">
        <f t="shared" si="1"/>
        <v>66</v>
      </c>
      <c r="C267" s="1">
        <v>3.0</v>
      </c>
      <c r="D267" s="1">
        <v>0.0</v>
      </c>
      <c r="E267" s="1">
        <v>3.0</v>
      </c>
      <c r="F267" s="6">
        <v>0.666666666666666</v>
      </c>
      <c r="G267" s="1">
        <v>4.0</v>
      </c>
      <c r="H267" s="1">
        <v>1.0</v>
      </c>
      <c r="I267" s="1">
        <v>4.0</v>
      </c>
      <c r="J267" s="1">
        <v>3.0</v>
      </c>
      <c r="K267" s="1">
        <v>0.0</v>
      </c>
      <c r="L267" s="8" t="str">
        <f>vlookup(A267,salesx_all!B:E,2,0)</f>
        <v>How Leaders Create Sales Action Plans to Improve the Bottom Line</v>
      </c>
      <c r="M267" s="8" t="str">
        <f>vlookup(A267,salesx_all!B:D,3,0)</f>
        <v/>
      </c>
      <c r="N267" s="8" t="str">
        <f>vlookup(A267,salesx_all!B:E,4,0)</f>
        <v/>
      </c>
    </row>
    <row r="268">
      <c r="A268" s="1" t="s">
        <v>416</v>
      </c>
      <c r="B268" s="1">
        <f t="shared" si="1"/>
        <v>80</v>
      </c>
      <c r="C268" s="1">
        <v>3.0</v>
      </c>
      <c r="D268" s="1">
        <v>0.0</v>
      </c>
      <c r="E268" s="1">
        <v>3.0</v>
      </c>
      <c r="F268" s="6">
        <v>1.0</v>
      </c>
      <c r="G268" s="1">
        <v>3.0</v>
      </c>
      <c r="H268" s="1">
        <v>0.0</v>
      </c>
      <c r="I268" s="1">
        <v>3.0</v>
      </c>
      <c r="J268" s="1">
        <v>3.0</v>
      </c>
      <c r="K268" s="1">
        <v>0.333333333333333</v>
      </c>
      <c r="L268" s="8" t="str">
        <f>vlookup(A268,salesx_all!B:E,2,0)</f>
        <v>Forbes – How To Establish Rapport With A Prospect And Create A Solid Sales Relationship</v>
      </c>
      <c r="M268" s="8" t="str">
        <f>vlookup(A268,salesx_all!B:D,3,0)</f>
        <v/>
      </c>
      <c r="N268" s="8" t="str">
        <f>vlookup(A268,salesx_all!B:E,4,0)</f>
        <v/>
      </c>
    </row>
    <row r="269">
      <c r="A269" s="1" t="s">
        <v>417</v>
      </c>
      <c r="B269" s="1">
        <f t="shared" si="1"/>
        <v>66</v>
      </c>
      <c r="C269" s="1">
        <v>3.0</v>
      </c>
      <c r="D269" s="1">
        <v>0.0</v>
      </c>
      <c r="E269" s="1">
        <v>3.0</v>
      </c>
      <c r="F269" s="6">
        <v>1.0</v>
      </c>
      <c r="G269" s="1">
        <v>3.0</v>
      </c>
      <c r="H269" s="1">
        <v>0.0</v>
      </c>
      <c r="I269" s="1">
        <v>3.0</v>
      </c>
      <c r="J269" s="1">
        <v>3.0</v>
      </c>
      <c r="K269" s="1">
        <v>0.0</v>
      </c>
      <c r="L269" s="8" t="str">
        <f>vlookup(A269,salesx_all!B:E,2,0)</f>
        <v>#N/A</v>
      </c>
      <c r="M269" s="8" t="str">
        <f>vlookup(A269,salesx_all!B:D,3,0)</f>
        <v>#N/A</v>
      </c>
      <c r="N269" s="8" t="str">
        <f>vlookup(A269,salesx_all!B:E,4,0)</f>
        <v>#N/A</v>
      </c>
    </row>
    <row r="270">
      <c r="A270" s="1" t="s">
        <v>418</v>
      </c>
      <c r="B270" s="1">
        <f t="shared" si="1"/>
        <v>59</v>
      </c>
      <c r="C270" s="1">
        <v>3.0</v>
      </c>
      <c r="D270" s="1">
        <v>0.0</v>
      </c>
      <c r="E270" s="1">
        <v>3.0</v>
      </c>
      <c r="F270" s="6">
        <v>1.0</v>
      </c>
      <c r="G270" s="1">
        <v>3.0</v>
      </c>
      <c r="H270" s="1">
        <v>0.0</v>
      </c>
      <c r="I270" s="1">
        <v>3.0</v>
      </c>
      <c r="J270" s="1">
        <v>3.0</v>
      </c>
      <c r="K270" s="1">
        <v>0.0</v>
      </c>
      <c r="L270" s="8" t="str">
        <f>vlookup(A270,salesx_all!B:E,2,0)</f>
        <v>#N/A</v>
      </c>
      <c r="M270" s="8" t="str">
        <f>vlookup(A270,salesx_all!B:D,3,0)</f>
        <v>#N/A</v>
      </c>
      <c r="N270" s="8" t="str">
        <f>vlookup(A270,salesx_all!B:E,4,0)</f>
        <v>#N/A</v>
      </c>
    </row>
    <row r="271">
      <c r="A271" s="1" t="s">
        <v>419</v>
      </c>
      <c r="B271" s="1">
        <f t="shared" si="1"/>
        <v>16</v>
      </c>
      <c r="C271" s="1">
        <v>3.0</v>
      </c>
      <c r="D271" s="1">
        <v>0.0</v>
      </c>
      <c r="E271" s="1">
        <v>3.0</v>
      </c>
      <c r="F271" s="6">
        <v>1.0</v>
      </c>
      <c r="G271" s="1">
        <v>2.0</v>
      </c>
      <c r="H271" s="1">
        <v>0.0</v>
      </c>
      <c r="I271" s="1">
        <v>2.0</v>
      </c>
      <c r="J271" s="1">
        <v>3.0</v>
      </c>
      <c r="K271" s="1">
        <v>12.3333333333333</v>
      </c>
      <c r="L271" s="8" t="str">
        <f>vlookup(A271,salesx_all!B:E,2,0)</f>
        <v>“If I Was 6 Feet Tall”</v>
      </c>
      <c r="M271" s="8" t="str">
        <f>vlookup(A271,salesx_all!B:D,3,0)</f>
        <v/>
      </c>
      <c r="N271" s="8" t="str">
        <f>vlookup(A271,salesx_all!B:E,4,0)</f>
        <v/>
      </c>
    </row>
    <row r="272">
      <c r="A272" s="1" t="s">
        <v>420</v>
      </c>
      <c r="B272" s="1">
        <f t="shared" si="1"/>
        <v>36</v>
      </c>
      <c r="C272" s="1">
        <v>3.0</v>
      </c>
      <c r="D272" s="1">
        <v>0.0</v>
      </c>
      <c r="E272" s="1">
        <v>3.0</v>
      </c>
      <c r="F272" s="6">
        <v>1.0</v>
      </c>
      <c r="G272" s="1">
        <v>3.0</v>
      </c>
      <c r="H272" s="1">
        <v>0.0</v>
      </c>
      <c r="I272" s="1">
        <v>3.0</v>
      </c>
      <c r="J272" s="1">
        <v>3.0</v>
      </c>
      <c r="K272" s="1">
        <v>0.0</v>
      </c>
      <c r="L272" s="8" t="str">
        <f>vlookup(A272,salesx_all!B:E,2,0)</f>
        <v>Introducing Sales Against The Odds</v>
      </c>
      <c r="M272" s="8" t="str">
        <f>vlookup(A272,salesx_all!B:D,3,0)</f>
        <v/>
      </c>
      <c r="N272" s="8" t="str">
        <f>vlookup(A272,salesx_all!B:E,4,0)</f>
        <v/>
      </c>
    </row>
    <row r="273">
      <c r="A273" s="1" t="s">
        <v>421</v>
      </c>
      <c r="B273" s="1">
        <f t="shared" si="1"/>
        <v>36</v>
      </c>
      <c r="C273" s="1">
        <v>3.0</v>
      </c>
      <c r="D273" s="1">
        <v>0.0</v>
      </c>
      <c r="E273" s="1">
        <v>3.0</v>
      </c>
      <c r="F273" s="6">
        <v>1.0</v>
      </c>
      <c r="G273" s="1">
        <v>3.0</v>
      </c>
      <c r="H273" s="1">
        <v>0.0</v>
      </c>
      <c r="I273" s="1">
        <v>2.0</v>
      </c>
      <c r="J273" s="1">
        <v>3.0</v>
      </c>
      <c r="K273" s="1">
        <v>0.0</v>
      </c>
      <c r="L273" s="8" t="str">
        <f>vlookup(A273,salesx_all!B:E,2,0)</f>
        <v>#N/A</v>
      </c>
      <c r="M273" s="8" t="str">
        <f>vlookup(A273,salesx_all!B:D,3,0)</f>
        <v>#N/A</v>
      </c>
      <c r="N273" s="8" t="str">
        <f>vlookup(A273,salesx_all!B:E,4,0)</f>
        <v>#N/A</v>
      </c>
    </row>
    <row r="274">
      <c r="A274" s="1" t="s">
        <v>422</v>
      </c>
      <c r="B274" s="1">
        <f t="shared" si="1"/>
        <v>50</v>
      </c>
      <c r="C274" s="1">
        <v>3.0</v>
      </c>
      <c r="D274" s="1">
        <v>0.0</v>
      </c>
      <c r="E274" s="1">
        <v>3.0</v>
      </c>
      <c r="F274" s="6">
        <v>1.0</v>
      </c>
      <c r="G274" s="1">
        <v>3.0</v>
      </c>
      <c r="H274" s="1">
        <v>0.0</v>
      </c>
      <c r="I274" s="1">
        <v>2.0</v>
      </c>
      <c r="J274" s="1">
        <v>3.0</v>
      </c>
      <c r="K274" s="1">
        <v>0.0</v>
      </c>
      <c r="L274" s="8" t="str">
        <f>vlookup(A274,salesx_all!B:E,2,0)</f>
        <v>#N/A</v>
      </c>
      <c r="M274" s="8" t="str">
        <f>vlookup(A274,salesx_all!B:D,3,0)</f>
        <v>#N/A</v>
      </c>
      <c r="N274" s="8" t="str">
        <f>vlookup(A274,salesx_all!B:E,4,0)</f>
        <v>#N/A</v>
      </c>
    </row>
    <row r="275">
      <c r="A275" s="1" t="s">
        <v>423</v>
      </c>
      <c r="B275" s="1">
        <f t="shared" si="1"/>
        <v>50</v>
      </c>
      <c r="C275" s="1">
        <v>3.0</v>
      </c>
      <c r="D275" s="1">
        <v>0.0</v>
      </c>
      <c r="E275" s="1">
        <v>3.0</v>
      </c>
      <c r="F275" s="6">
        <v>1.0</v>
      </c>
      <c r="G275" s="1">
        <v>3.0</v>
      </c>
      <c r="H275" s="1">
        <v>0.0</v>
      </c>
      <c r="I275" s="1">
        <v>3.0</v>
      </c>
      <c r="J275" s="1">
        <v>3.0</v>
      </c>
      <c r="K275" s="1">
        <v>0.333333333333333</v>
      </c>
      <c r="L275" s="8" t="str">
        <f>vlookup(A275,salesx_all!B:E,2,0)</f>
        <v>#N/A</v>
      </c>
      <c r="M275" s="8" t="str">
        <f>vlookup(A275,salesx_all!B:D,3,0)</f>
        <v>#N/A</v>
      </c>
      <c r="N275" s="8" t="str">
        <f>vlookup(A275,salesx_all!B:E,4,0)</f>
        <v>#N/A</v>
      </c>
    </row>
    <row r="276">
      <c r="A276" s="1" t="s">
        <v>424</v>
      </c>
      <c r="B276" s="1">
        <f t="shared" si="1"/>
        <v>73</v>
      </c>
      <c r="C276" s="1">
        <v>3.0</v>
      </c>
      <c r="D276" s="1">
        <v>0.0</v>
      </c>
      <c r="E276" s="1">
        <v>3.0</v>
      </c>
      <c r="F276" s="6">
        <v>1.0</v>
      </c>
      <c r="G276" s="1">
        <v>3.0</v>
      </c>
      <c r="H276" s="1">
        <v>0.0</v>
      </c>
      <c r="I276" s="1">
        <v>3.0</v>
      </c>
      <c r="J276" s="1">
        <v>3.0</v>
      </c>
      <c r="K276" s="1">
        <v>0.0</v>
      </c>
      <c r="L276" s="8" t="str">
        <f>vlookup(A276,salesx_all!B:E,2,0)</f>
        <v>Lemonade from Lemons: How to Turn a Lost Sale into a Positive Experience</v>
      </c>
      <c r="M276" s="8" t="str">
        <f>vlookup(A276,salesx_all!B:D,3,0)</f>
        <v/>
      </c>
      <c r="N276" s="8" t="str">
        <f>vlookup(A276,salesx_all!B:E,4,0)</f>
        <v/>
      </c>
    </row>
    <row r="277">
      <c r="A277" s="1" t="s">
        <v>425</v>
      </c>
      <c r="B277" s="1">
        <f t="shared" si="1"/>
        <v>39</v>
      </c>
      <c r="C277" s="1">
        <v>3.0</v>
      </c>
      <c r="D277" s="1">
        <v>0.0</v>
      </c>
      <c r="E277" s="1">
        <v>3.0</v>
      </c>
      <c r="F277" s="6">
        <v>1.0</v>
      </c>
      <c r="G277" s="1">
        <v>3.0</v>
      </c>
      <c r="H277" s="1">
        <v>0.0</v>
      </c>
      <c r="I277" s="1">
        <v>3.0</v>
      </c>
      <c r="J277" s="1">
        <v>3.0</v>
      </c>
      <c r="K277" s="1">
        <v>0.0</v>
      </c>
      <c r="L277" s="8" t="str">
        <f>vlookup(A277,salesx_all!B:E,2,0)</f>
        <v>Life Changes Can Propel You to Where You Were Meant to Be</v>
      </c>
      <c r="M277" s="8" t="str">
        <f>vlookup(A277,salesx_all!B:D,3,0)</f>
        <v/>
      </c>
      <c r="N277" s="8" t="str">
        <f>vlookup(A277,salesx_all!B:E,4,0)</f>
        <v/>
      </c>
    </row>
    <row r="278">
      <c r="A278" s="1" t="s">
        <v>426</v>
      </c>
      <c r="B278" s="1">
        <f t="shared" si="1"/>
        <v>31</v>
      </c>
      <c r="C278" s="1">
        <v>3.0</v>
      </c>
      <c r="D278" s="1">
        <v>0.0</v>
      </c>
      <c r="E278" s="1">
        <v>3.0</v>
      </c>
      <c r="F278" s="6">
        <v>1.0</v>
      </c>
      <c r="G278" s="1">
        <v>3.0</v>
      </c>
      <c r="H278" s="1">
        <v>0.0</v>
      </c>
      <c r="I278" s="1">
        <v>2.0</v>
      </c>
      <c r="J278" s="1">
        <v>3.0</v>
      </c>
      <c r="K278" s="1">
        <v>0.0</v>
      </c>
      <c r="L278" s="8" t="str">
        <f>vlookup(A278,salesx_all!B:E,2,0)</f>
        <v>Mastering Your Sales Pipeline</v>
      </c>
      <c r="M278" s="8" t="str">
        <f>vlookup(A278,salesx_all!B:D,3,0)</f>
        <v/>
      </c>
      <c r="N278" s="8" t="str">
        <f>vlookup(A278,salesx_all!B:E,4,0)</f>
        <v/>
      </c>
    </row>
    <row r="279">
      <c r="A279" s="1" t="s">
        <v>427</v>
      </c>
      <c r="B279" s="1">
        <f t="shared" si="1"/>
        <v>14</v>
      </c>
      <c r="C279" s="1">
        <v>3.0</v>
      </c>
      <c r="D279" s="1">
        <v>0.0</v>
      </c>
      <c r="E279" s="1">
        <v>3.0</v>
      </c>
      <c r="F279" s="6">
        <v>1.0</v>
      </c>
      <c r="G279" s="1">
        <v>3.0</v>
      </c>
      <c r="H279" s="1">
        <v>0.0</v>
      </c>
      <c r="I279" s="1">
        <v>3.0</v>
      </c>
      <c r="J279" s="1">
        <v>3.0</v>
      </c>
      <c r="K279" s="1">
        <v>0.0</v>
      </c>
      <c r="L279" s="8" t="str">
        <f>vlookup(A279,salesx_all!B:E,2,0)</f>
        <v>#N/A</v>
      </c>
      <c r="M279" s="8" t="str">
        <f>vlookup(A279,salesx_all!B:D,3,0)</f>
        <v>#N/A</v>
      </c>
      <c r="N279" s="8" t="str">
        <f>vlookup(A279,salesx_all!B:E,4,0)</f>
        <v>#N/A</v>
      </c>
    </row>
    <row r="280">
      <c r="A280" s="1" t="s">
        <v>428</v>
      </c>
      <c r="B280" s="1">
        <f t="shared" si="1"/>
        <v>110</v>
      </c>
      <c r="C280" s="1">
        <v>3.0</v>
      </c>
      <c r="D280" s="1">
        <v>0.0</v>
      </c>
      <c r="E280" s="1">
        <v>3.0</v>
      </c>
      <c r="F280" s="6">
        <v>1.0</v>
      </c>
      <c r="G280" s="1">
        <v>3.0</v>
      </c>
      <c r="H280" s="1">
        <v>0.0</v>
      </c>
      <c r="I280" s="1">
        <v>3.0</v>
      </c>
      <c r="J280" s="1">
        <v>3.0</v>
      </c>
      <c r="K280" s="1">
        <v>0.0</v>
      </c>
      <c r="L280" s="8" t="str">
        <f>vlookup(A280,salesx_all!B:E,2,0)</f>
        <v>PRESS RELEASE: Chief Outsiders and Sales Xceleration Announce Interactive Sales and Marketing Breakfast Workshop for CEOs</v>
      </c>
      <c r="M280" s="8" t="str">
        <f>vlookup(A280,salesx_all!B:D,3,0)</f>
        <v/>
      </c>
      <c r="N280" s="8" t="str">
        <f>vlookup(A280,salesx_all!B:E,4,0)</f>
        <v/>
      </c>
    </row>
    <row r="281">
      <c r="A281" s="1" t="s">
        <v>429</v>
      </c>
      <c r="B281" s="1">
        <f t="shared" si="1"/>
        <v>63</v>
      </c>
      <c r="C281" s="1">
        <v>3.0</v>
      </c>
      <c r="D281" s="1">
        <v>0.0</v>
      </c>
      <c r="E281" s="1">
        <v>3.0</v>
      </c>
      <c r="F281" s="6">
        <v>0.666666666666666</v>
      </c>
      <c r="G281" s="1">
        <v>2.0</v>
      </c>
      <c r="H281" s="1">
        <v>1.0</v>
      </c>
      <c r="I281" s="1">
        <v>3.0</v>
      </c>
      <c r="J281" s="1">
        <v>3.0</v>
      </c>
      <c r="K281" s="1">
        <v>128.666666666666</v>
      </c>
      <c r="L281" s="8" t="str">
        <f>vlookup(A281,salesx_all!B:E,2,0)</f>
        <v>#N/A</v>
      </c>
      <c r="M281" s="8" t="str">
        <f>vlookup(A281,salesx_all!B:D,3,0)</f>
        <v>#N/A</v>
      </c>
      <c r="N281" s="8" t="str">
        <f>vlookup(A281,salesx_all!B:E,4,0)</f>
        <v>#N/A</v>
      </c>
    </row>
    <row r="282">
      <c r="A282" s="1" t="s">
        <v>430</v>
      </c>
      <c r="B282" s="1">
        <f t="shared" si="1"/>
        <v>80</v>
      </c>
      <c r="C282" s="1">
        <v>3.0</v>
      </c>
      <c r="D282" s="1">
        <v>0.0</v>
      </c>
      <c r="E282" s="1">
        <v>3.0</v>
      </c>
      <c r="F282" s="6">
        <v>1.0</v>
      </c>
      <c r="G282" s="1">
        <v>3.0</v>
      </c>
      <c r="H282" s="1">
        <v>0.0</v>
      </c>
      <c r="I282" s="1">
        <v>3.0</v>
      </c>
      <c r="J282" s="1">
        <v>3.0</v>
      </c>
      <c r="K282" s="1">
        <v>0.0</v>
      </c>
      <c r="L282" s="8" t="str">
        <f>vlookup(A282,salesx_all!B:E,2,0)</f>
        <v>#N/A</v>
      </c>
      <c r="M282" s="8" t="str">
        <f>vlookup(A282,salesx_all!B:D,3,0)</f>
        <v>#N/A</v>
      </c>
      <c r="N282" s="8" t="str">
        <f>vlookup(A282,salesx_all!B:E,4,0)</f>
        <v>#N/A</v>
      </c>
    </row>
    <row r="283">
      <c r="A283" s="1" t="s">
        <v>431</v>
      </c>
      <c r="B283" s="1">
        <f t="shared" si="1"/>
        <v>46</v>
      </c>
      <c r="C283" s="1">
        <v>3.0</v>
      </c>
      <c r="D283" s="1">
        <v>0.0</v>
      </c>
      <c r="E283" s="1">
        <v>3.0</v>
      </c>
      <c r="F283" s="6">
        <v>1.0</v>
      </c>
      <c r="G283" s="1">
        <v>3.0</v>
      </c>
      <c r="H283" s="1">
        <v>0.0</v>
      </c>
      <c r="I283" s="1">
        <v>2.0</v>
      </c>
      <c r="J283" s="1">
        <v>3.0</v>
      </c>
      <c r="K283" s="1">
        <v>0.0</v>
      </c>
      <c r="L283" s="8" t="str">
        <f>vlookup(A283,salesx_all!B:E,2,0)</f>
        <v>Recession-Proof Strategies for Sales Leaders</v>
      </c>
      <c r="M283" s="8" t="str">
        <f>vlookup(A283,salesx_all!B:D,3,0)</f>
        <v>Get more specific on your Ideal Client Profile (ICP)</v>
      </c>
      <c r="N283" s="8" t="str">
        <f>vlookup(A283,salesx_all!B:E,4,0)</f>
        <v>Add Relevance to your Value Proposition</v>
      </c>
    </row>
    <row r="284">
      <c r="A284" s="1" t="s">
        <v>432</v>
      </c>
      <c r="B284" s="1">
        <f t="shared" si="1"/>
        <v>38</v>
      </c>
      <c r="C284" s="1">
        <v>3.0</v>
      </c>
      <c r="D284" s="1">
        <v>0.0</v>
      </c>
      <c r="E284" s="1">
        <v>3.0</v>
      </c>
      <c r="F284" s="6">
        <v>1.0</v>
      </c>
      <c r="G284" s="1">
        <v>3.0</v>
      </c>
      <c r="H284" s="1">
        <v>0.0</v>
      </c>
      <c r="I284" s="1">
        <v>3.0</v>
      </c>
      <c r="J284" s="1">
        <v>3.0</v>
      </c>
      <c r="K284" s="1">
        <v>0.0</v>
      </c>
      <c r="L284" s="8" t="str">
        <f>vlookup(A284,salesx_all!B:E,2,0)</f>
        <v>Results! That’s all that matters, right?</v>
      </c>
      <c r="M284" s="8" t="str">
        <f>vlookup(A284,salesx_all!B:D,3,0)</f>
        <v/>
      </c>
      <c r="N284" s="8" t="str">
        <f>vlookup(A284,salesx_all!B:E,4,0)</f>
        <v/>
      </c>
    </row>
    <row r="285">
      <c r="A285" s="1" t="s">
        <v>433</v>
      </c>
      <c r="B285" s="1">
        <f t="shared" si="1"/>
        <v>59</v>
      </c>
      <c r="C285" s="1">
        <v>3.0</v>
      </c>
      <c r="D285" s="1">
        <v>0.0</v>
      </c>
      <c r="E285" s="1">
        <v>3.0</v>
      </c>
      <c r="F285" s="6">
        <v>0.666666666666666</v>
      </c>
      <c r="G285" s="1">
        <v>2.0</v>
      </c>
      <c r="H285" s="1">
        <v>1.0</v>
      </c>
      <c r="I285" s="1">
        <v>3.0</v>
      </c>
      <c r="J285" s="1">
        <v>3.0</v>
      </c>
      <c r="K285" s="1">
        <v>3.0</v>
      </c>
      <c r="L285" s="8" t="str">
        <f>vlookup(A285,salesx_all!B:E,2,0)</f>
        <v>Retired, Fired or FIRED UP? The New VP of Sales Opportunity.</v>
      </c>
      <c r="M285" s="8" t="str">
        <f>vlookup(A285,salesx_all!B:D,3,0)</f>
        <v/>
      </c>
      <c r="N285" s="8" t="str">
        <f>vlookup(A285,salesx_all!B:E,4,0)</f>
        <v/>
      </c>
    </row>
    <row r="286">
      <c r="A286" s="1" t="s">
        <v>434</v>
      </c>
      <c r="B286" s="1">
        <f t="shared" si="1"/>
        <v>39</v>
      </c>
      <c r="C286" s="1">
        <v>3.0</v>
      </c>
      <c r="D286" s="1">
        <v>0.0</v>
      </c>
      <c r="E286" s="1">
        <v>3.0</v>
      </c>
      <c r="F286" s="6">
        <v>1.0</v>
      </c>
      <c r="G286" s="1">
        <v>3.0</v>
      </c>
      <c r="H286" s="1">
        <v>0.0</v>
      </c>
      <c r="I286" s="1">
        <v>3.0</v>
      </c>
      <c r="J286" s="1">
        <v>3.0</v>
      </c>
      <c r="K286" s="1">
        <v>0.0</v>
      </c>
      <c r="L286" s="8" t="str">
        <f>vlookup(A286,salesx_all!B:E,2,0)</f>
        <v>#N/A</v>
      </c>
      <c r="M286" s="8" t="str">
        <f>vlookup(A286,salesx_all!B:D,3,0)</f>
        <v>#N/A</v>
      </c>
      <c r="N286" s="8" t="str">
        <f>vlookup(A286,salesx_all!B:E,4,0)</f>
        <v>#N/A</v>
      </c>
    </row>
    <row r="287">
      <c r="A287" s="1" t="s">
        <v>435</v>
      </c>
      <c r="B287" s="1">
        <f t="shared" si="1"/>
        <v>46</v>
      </c>
      <c r="C287" s="1">
        <v>3.0</v>
      </c>
      <c r="D287" s="1">
        <v>0.0</v>
      </c>
      <c r="E287" s="1">
        <v>3.0</v>
      </c>
      <c r="F287" s="6">
        <v>0.666666666666666</v>
      </c>
      <c r="G287" s="1">
        <v>2.0</v>
      </c>
      <c r="H287" s="1">
        <v>1.0</v>
      </c>
      <c r="I287" s="1">
        <v>3.0</v>
      </c>
      <c r="J287" s="1">
        <v>3.0</v>
      </c>
      <c r="K287" s="1">
        <v>2.33333333333333</v>
      </c>
      <c r="L287" s="8" t="str">
        <f>vlookup(A287,salesx_all!B:E,2,0)</f>
        <v>Sales Planning: Setting Goals That Achieve Results</v>
      </c>
      <c r="M287" s="8" t="str">
        <f>vlookup(A287,salesx_all!B:D,3,0)</f>
        <v/>
      </c>
      <c r="N287" s="8" t="str">
        <f>vlookup(A287,salesx_all!B:E,4,0)</f>
        <v/>
      </c>
    </row>
    <row r="288">
      <c r="A288" s="1" t="s">
        <v>436</v>
      </c>
      <c r="B288" s="1">
        <f t="shared" si="1"/>
        <v>25</v>
      </c>
      <c r="C288" s="1">
        <v>3.0</v>
      </c>
      <c r="D288" s="1">
        <v>0.0</v>
      </c>
      <c r="E288" s="1">
        <v>2.0</v>
      </c>
      <c r="F288" s="6">
        <v>0.666666666666666</v>
      </c>
      <c r="G288" s="1">
        <v>0.0</v>
      </c>
      <c r="H288" s="1">
        <v>1.0</v>
      </c>
      <c r="I288" s="1">
        <v>2.0</v>
      </c>
      <c r="J288" s="1">
        <v>1.0</v>
      </c>
      <c r="K288" s="1">
        <v>0.0</v>
      </c>
      <c r="L288" s="8" t="str">
        <f>vlookup(A288,salesx_all!B:E,2,0)</f>
        <v>The Sales Playbook: Why You Need It, and How to Use It to Improve Sales</v>
      </c>
      <c r="M288" s="8" t="str">
        <f>vlookup(A288,salesx_all!B:D,3,0)</f>
        <v/>
      </c>
      <c r="N288" s="8" t="str">
        <f>vlookup(A288,salesx_all!B:E,4,0)</f>
        <v/>
      </c>
    </row>
    <row r="289">
      <c r="A289" s="1" t="s">
        <v>437</v>
      </c>
      <c r="B289" s="1">
        <f t="shared" si="1"/>
        <v>65</v>
      </c>
      <c r="C289" s="1">
        <v>3.0</v>
      </c>
      <c r="D289" s="1">
        <v>0.0</v>
      </c>
      <c r="E289" s="1">
        <v>3.0</v>
      </c>
      <c r="F289" s="6">
        <v>1.0</v>
      </c>
      <c r="G289" s="1">
        <v>3.0</v>
      </c>
      <c r="H289" s="1">
        <v>0.0</v>
      </c>
      <c r="I289" s="1">
        <v>2.0</v>
      </c>
      <c r="J289" s="1">
        <v>3.0</v>
      </c>
      <c r="K289" s="1">
        <v>0.333333333333333</v>
      </c>
      <c r="L289" s="8" t="str">
        <f>vlookup(A289,salesx_all!B:E,2,0)</f>
        <v>#N/A</v>
      </c>
      <c r="M289" s="8" t="str">
        <f>vlookup(A289,salesx_all!B:D,3,0)</f>
        <v>#N/A</v>
      </c>
      <c r="N289" s="8" t="str">
        <f>vlookup(A289,salesx_all!B:E,4,0)</f>
        <v>#N/A</v>
      </c>
    </row>
    <row r="290">
      <c r="A290" s="1" t="s">
        <v>438</v>
      </c>
      <c r="B290" s="1">
        <f t="shared" si="1"/>
        <v>33</v>
      </c>
      <c r="C290" s="1">
        <v>3.0</v>
      </c>
      <c r="D290" s="1">
        <v>0.0</v>
      </c>
      <c r="E290" s="1">
        <v>3.0</v>
      </c>
      <c r="F290" s="6">
        <v>1.0</v>
      </c>
      <c r="G290" s="1">
        <v>3.0</v>
      </c>
      <c r="H290" s="1">
        <v>0.0</v>
      </c>
      <c r="I290" s="1">
        <v>3.0</v>
      </c>
      <c r="J290" s="1">
        <v>3.0</v>
      </c>
      <c r="K290" s="1">
        <v>0.0</v>
      </c>
      <c r="L290" s="8" t="str">
        <f>vlookup(A290,salesx_all!B:E,2,0)</f>
        <v>#N/A</v>
      </c>
      <c r="M290" s="8" t="str">
        <f>vlookup(A290,salesx_all!B:D,3,0)</f>
        <v>#N/A</v>
      </c>
      <c r="N290" s="8" t="str">
        <f>vlookup(A290,salesx_all!B:E,4,0)</f>
        <v>#N/A</v>
      </c>
    </row>
    <row r="291">
      <c r="A291" s="1" t="s">
        <v>439</v>
      </c>
      <c r="B291" s="1">
        <f t="shared" si="1"/>
        <v>53</v>
      </c>
      <c r="C291" s="1">
        <v>3.0</v>
      </c>
      <c r="D291" s="1">
        <v>0.0</v>
      </c>
      <c r="E291" s="1">
        <v>3.0</v>
      </c>
      <c r="F291" s="6">
        <v>1.0</v>
      </c>
      <c r="G291" s="1">
        <v>3.0</v>
      </c>
      <c r="H291" s="1">
        <v>0.0</v>
      </c>
      <c r="I291" s="1">
        <v>3.0</v>
      </c>
      <c r="J291" s="1">
        <v>3.0</v>
      </c>
      <c r="K291" s="1">
        <v>0.666666666666666</v>
      </c>
      <c r="L291" s="8" t="str">
        <f>vlookup(A291,salesx_all!B:E,2,0)</f>
        <v>#N/A</v>
      </c>
      <c r="M291" s="8" t="str">
        <f>vlookup(A291,salesx_all!B:D,3,0)</f>
        <v>#N/A</v>
      </c>
      <c r="N291" s="8" t="str">
        <f>vlookup(A291,salesx_all!B:E,4,0)</f>
        <v>#N/A</v>
      </c>
    </row>
    <row r="292">
      <c r="A292" s="1" t="s">
        <v>440</v>
      </c>
      <c r="B292" s="1">
        <f t="shared" si="1"/>
        <v>38</v>
      </c>
      <c r="C292" s="1">
        <v>3.0</v>
      </c>
      <c r="D292" s="1">
        <v>0.0</v>
      </c>
      <c r="E292" s="1">
        <v>3.0</v>
      </c>
      <c r="F292" s="6">
        <v>1.0</v>
      </c>
      <c r="G292" s="1">
        <v>3.0</v>
      </c>
      <c r="H292" s="1">
        <v>0.0</v>
      </c>
      <c r="I292" s="1">
        <v>3.0</v>
      </c>
      <c r="J292" s="1">
        <v>3.0</v>
      </c>
      <c r="K292" s="1">
        <v>5.0</v>
      </c>
      <c r="L292" s="8" t="str">
        <f>vlookup(A292,salesx_all!B:E,2,0)</f>
        <v>#N/A</v>
      </c>
      <c r="M292" s="8" t="str">
        <f>vlookup(A292,salesx_all!B:D,3,0)</f>
        <v>#N/A</v>
      </c>
      <c r="N292" s="8" t="str">
        <f>vlookup(A292,salesx_all!B:E,4,0)</f>
        <v>#N/A</v>
      </c>
    </row>
    <row r="293">
      <c r="A293" s="1" t="s">
        <v>441</v>
      </c>
      <c r="B293" s="1">
        <f t="shared" si="1"/>
        <v>64</v>
      </c>
      <c r="C293" s="1">
        <v>3.0</v>
      </c>
      <c r="D293" s="1">
        <v>0.0</v>
      </c>
      <c r="E293" s="1">
        <v>3.0</v>
      </c>
      <c r="F293" s="6">
        <v>1.0</v>
      </c>
      <c r="G293" s="1">
        <v>3.0</v>
      </c>
      <c r="H293" s="1">
        <v>0.0</v>
      </c>
      <c r="I293" s="1">
        <v>3.0</v>
      </c>
      <c r="J293" s="1">
        <v>3.0</v>
      </c>
      <c r="K293" s="1">
        <v>0.0</v>
      </c>
      <c r="L293" s="8" t="str">
        <f>vlookup(A293,salesx_all!B:E,2,0)</f>
        <v>#N/A</v>
      </c>
      <c r="M293" s="8" t="str">
        <f>vlookup(A293,salesx_all!B:D,3,0)</f>
        <v>#N/A</v>
      </c>
      <c r="N293" s="8" t="str">
        <f>vlookup(A293,salesx_all!B:E,4,0)</f>
        <v>#N/A</v>
      </c>
    </row>
    <row r="294">
      <c r="A294" s="1" t="s">
        <v>442</v>
      </c>
      <c r="B294" s="1">
        <f t="shared" si="1"/>
        <v>86</v>
      </c>
      <c r="C294" s="1">
        <v>3.0</v>
      </c>
      <c r="D294" s="1">
        <v>0.0</v>
      </c>
      <c r="E294" s="1">
        <v>3.0</v>
      </c>
      <c r="F294" s="6">
        <v>0.666666666666666</v>
      </c>
      <c r="G294" s="1">
        <v>2.0</v>
      </c>
      <c r="H294" s="1">
        <v>1.0</v>
      </c>
      <c r="I294" s="1">
        <v>3.0</v>
      </c>
      <c r="J294" s="1">
        <v>3.0</v>
      </c>
      <c r="K294" s="1">
        <v>5.66666666666666</v>
      </c>
      <c r="L294" s="8" t="str">
        <f>vlookup(A294,salesx_all!B:E,2,0)</f>
        <v>Staying Ahead of the Fall: How Sales Teams Can Be Proactive When the Economy Tightens</v>
      </c>
      <c r="M294" s="8" t="str">
        <f>vlookup(A294,salesx_all!B:D,3,0)</f>
        <v>What Happens to Sales Strategies During Recessions?</v>
      </c>
      <c r="N294" s="8" t="str">
        <f>vlookup(A294,salesx_all!B:E,4,0)</f>
        <v/>
      </c>
    </row>
    <row r="295">
      <c r="A295" s="1" t="s">
        <v>443</v>
      </c>
      <c r="B295" s="1">
        <f t="shared" si="1"/>
        <v>64</v>
      </c>
      <c r="C295" s="1">
        <v>3.0</v>
      </c>
      <c r="D295" s="1">
        <v>0.0</v>
      </c>
      <c r="E295" s="1">
        <v>3.0</v>
      </c>
      <c r="F295" s="6">
        <v>1.0</v>
      </c>
      <c r="G295" s="1">
        <v>3.0</v>
      </c>
      <c r="H295" s="1">
        <v>0.0</v>
      </c>
      <c r="I295" s="1">
        <v>3.0</v>
      </c>
      <c r="J295" s="1">
        <v>3.0</v>
      </c>
      <c r="K295" s="1">
        <v>0.0</v>
      </c>
      <c r="L295" s="8" t="str">
        <f>vlookup(A295,salesx_all!B:E,2,0)</f>
        <v>Technology Is Creating New Ways to Sell to Prospects. Here’s How.</v>
      </c>
      <c r="M295" s="8" t="str">
        <f>vlookup(A295,salesx_all!B:D,3,0)</f>
        <v/>
      </c>
      <c r="N295" s="8" t="str">
        <f>vlookup(A295,salesx_all!B:E,4,0)</f>
        <v/>
      </c>
    </row>
    <row r="296">
      <c r="A296" s="1" t="s">
        <v>444</v>
      </c>
      <c r="B296" s="1">
        <f t="shared" si="1"/>
        <v>36</v>
      </c>
      <c r="C296" s="1">
        <v>3.0</v>
      </c>
      <c r="D296" s="1">
        <v>0.0</v>
      </c>
      <c r="E296" s="1">
        <v>3.0</v>
      </c>
      <c r="F296" s="6">
        <v>1.0</v>
      </c>
      <c r="G296" s="1">
        <v>3.0</v>
      </c>
      <c r="H296" s="1">
        <v>0.0</v>
      </c>
      <c r="I296" s="1">
        <v>3.0</v>
      </c>
      <c r="J296" s="1">
        <v>3.0</v>
      </c>
      <c r="K296" s="1">
        <v>0.0</v>
      </c>
      <c r="L296" s="8" t="str">
        <f>vlookup(A296,salesx_all!B:E,2,0)</f>
        <v>#N/A</v>
      </c>
      <c r="M296" s="8" t="str">
        <f>vlookup(A296,salesx_all!B:D,3,0)</f>
        <v>#N/A</v>
      </c>
      <c r="N296" s="8" t="str">
        <f>vlookup(A296,salesx_all!B:E,4,0)</f>
        <v>#N/A</v>
      </c>
    </row>
    <row r="297">
      <c r="A297" s="1" t="s">
        <v>445</v>
      </c>
      <c r="B297" s="1">
        <f t="shared" si="1"/>
        <v>54</v>
      </c>
      <c r="C297" s="1">
        <v>3.0</v>
      </c>
      <c r="D297" s="1">
        <v>0.0</v>
      </c>
      <c r="E297" s="1">
        <v>3.0</v>
      </c>
      <c r="F297" s="6">
        <v>1.0</v>
      </c>
      <c r="G297" s="1">
        <v>3.0</v>
      </c>
      <c r="H297" s="1">
        <v>0.0</v>
      </c>
      <c r="I297" s="1">
        <v>2.0</v>
      </c>
      <c r="J297" s="1">
        <v>3.0</v>
      </c>
      <c r="K297" s="1">
        <v>0.0</v>
      </c>
      <c r="L297" s="8" t="str">
        <f>vlookup(A297,salesx_all!B:E,2,0)</f>
        <v>The Real Benefits of Better Sales Compensation Plans</v>
      </c>
      <c r="M297" s="8" t="str">
        <f>vlookup(A297,salesx_all!B:D,3,0)</f>
        <v>What Should Sales Compensation Plans Include?</v>
      </c>
      <c r="N297" s="8" t="str">
        <f>vlookup(A297,salesx_all!B:E,4,0)</f>
        <v>The Risks of a Poor Sales Comp Plan</v>
      </c>
    </row>
    <row r="298">
      <c r="A298" s="1" t="s">
        <v>446</v>
      </c>
      <c r="B298" s="1">
        <f t="shared" si="1"/>
        <v>78</v>
      </c>
      <c r="C298" s="1">
        <v>3.0</v>
      </c>
      <c r="D298" s="1">
        <v>0.0</v>
      </c>
      <c r="E298" s="1">
        <v>3.0</v>
      </c>
      <c r="F298" s="6">
        <v>0.333333333333333</v>
      </c>
      <c r="G298" s="1">
        <v>2.0</v>
      </c>
      <c r="H298" s="1">
        <v>2.0</v>
      </c>
      <c r="I298" s="1">
        <v>3.0</v>
      </c>
      <c r="J298" s="1">
        <v>3.0</v>
      </c>
      <c r="K298" s="1">
        <v>2.0</v>
      </c>
      <c r="L298" s="8" t="str">
        <f>vlookup(A298,salesx_all!B:E,2,0)</f>
        <v>The Success Formula for Your Next Chapter as a Sales Leadership Professional</v>
      </c>
      <c r="M298" s="8" t="str">
        <f>vlookup(A298,salesx_all!B:D,3,0)</f>
        <v>Part One of the Sales Leadership Success Formula: Preparation</v>
      </c>
      <c r="N298" s="8" t="str">
        <f>vlookup(A298,salesx_all!B:E,4,0)</f>
        <v>Part Two of the Sales Leadership Success Formula: Opportunity</v>
      </c>
    </row>
    <row r="299">
      <c r="A299" s="1" t="s">
        <v>447</v>
      </c>
      <c r="B299" s="1">
        <f t="shared" si="1"/>
        <v>33</v>
      </c>
      <c r="C299" s="1">
        <v>3.0</v>
      </c>
      <c r="D299" s="1">
        <v>0.0</v>
      </c>
      <c r="E299" s="1">
        <v>3.0</v>
      </c>
      <c r="F299" s="6">
        <v>1.0</v>
      </c>
      <c r="G299" s="1">
        <v>3.0</v>
      </c>
      <c r="H299" s="1">
        <v>0.0</v>
      </c>
      <c r="I299" s="1">
        <v>3.0</v>
      </c>
      <c r="J299" s="1">
        <v>3.0</v>
      </c>
      <c r="K299" s="1">
        <v>0.0</v>
      </c>
      <c r="L299" s="8" t="str">
        <f>vlookup(A299,salesx_all!B:E,2,0)</f>
        <v>#N/A</v>
      </c>
      <c r="M299" s="8" t="str">
        <f>vlookup(A299,salesx_all!B:D,3,0)</f>
        <v>#N/A</v>
      </c>
      <c r="N299" s="8" t="str">
        <f>vlookup(A299,salesx_all!B:E,4,0)</f>
        <v>#N/A</v>
      </c>
    </row>
    <row r="300">
      <c r="A300" s="1" t="s">
        <v>448</v>
      </c>
      <c r="B300" s="1">
        <f t="shared" si="1"/>
        <v>49</v>
      </c>
      <c r="C300" s="1">
        <v>3.0</v>
      </c>
      <c r="D300" s="1">
        <v>0.0</v>
      </c>
      <c r="E300" s="1">
        <v>3.0</v>
      </c>
      <c r="F300" s="6">
        <v>0.666666666666666</v>
      </c>
      <c r="G300" s="1">
        <v>2.0</v>
      </c>
      <c r="H300" s="1">
        <v>1.0</v>
      </c>
      <c r="I300" s="1">
        <v>1.0</v>
      </c>
      <c r="J300" s="1">
        <v>3.0</v>
      </c>
      <c r="K300" s="1">
        <v>13.0</v>
      </c>
      <c r="L300" s="8" t="str">
        <f>vlookup(A300,salesx_all!B:E,2,0)</f>
        <v>#N/A</v>
      </c>
      <c r="M300" s="8" t="str">
        <f>vlookup(A300,salesx_all!B:D,3,0)</f>
        <v>#N/A</v>
      </c>
      <c r="N300" s="8" t="str">
        <f>vlookup(A300,salesx_all!B:E,4,0)</f>
        <v>#N/A</v>
      </c>
    </row>
    <row r="301">
      <c r="A301" s="1" t="s">
        <v>449</v>
      </c>
      <c r="B301" s="1">
        <f t="shared" si="1"/>
        <v>37</v>
      </c>
      <c r="C301" s="1">
        <v>3.0</v>
      </c>
      <c r="D301" s="1">
        <v>0.0</v>
      </c>
      <c r="E301" s="1">
        <v>2.0</v>
      </c>
      <c r="F301" s="6">
        <v>1.0</v>
      </c>
      <c r="G301" s="1">
        <v>2.0</v>
      </c>
      <c r="H301" s="1">
        <v>0.0</v>
      </c>
      <c r="I301" s="1">
        <v>2.0</v>
      </c>
      <c r="J301" s="1">
        <v>2.0</v>
      </c>
      <c r="K301" s="1">
        <v>0.0</v>
      </c>
      <c r="L301" s="8" t="str">
        <f>vlookup(A301,salesx_all!B:E,2,0)</f>
        <v>Understanding Your Leadership Voice</v>
      </c>
      <c r="M301" s="8" t="str">
        <f>vlookup(A301,salesx_all!B:D,3,0)</f>
        <v/>
      </c>
      <c r="N301" s="8" t="str">
        <f>vlookup(A301,salesx_all!B:E,4,0)</f>
        <v/>
      </c>
    </row>
    <row r="302">
      <c r="A302" s="1" t="s">
        <v>450</v>
      </c>
      <c r="B302" s="1">
        <f t="shared" si="1"/>
        <v>37</v>
      </c>
      <c r="C302" s="1">
        <v>3.0</v>
      </c>
      <c r="D302" s="1">
        <v>0.0</v>
      </c>
      <c r="E302" s="1">
        <v>3.0</v>
      </c>
      <c r="F302" s="6">
        <v>0.666666666666666</v>
      </c>
      <c r="G302" s="1">
        <v>3.0</v>
      </c>
      <c r="H302" s="1">
        <v>1.0</v>
      </c>
      <c r="I302" s="1">
        <v>3.0</v>
      </c>
      <c r="J302" s="1">
        <v>3.0</v>
      </c>
      <c r="K302" s="1">
        <v>0.666666666666666</v>
      </c>
      <c r="L302" s="8" t="str">
        <f>vlookup(A302,salesx_all!B:E,2,0)</f>
        <v>Want to Boost Sales? Do Less “Selling”</v>
      </c>
      <c r="M302" s="8" t="str">
        <f>vlookup(A302,salesx_all!B:D,3,0)</f>
        <v/>
      </c>
      <c r="N302" s="8" t="str">
        <f>vlookup(A302,salesx_all!B:E,4,0)</f>
        <v/>
      </c>
    </row>
    <row r="303">
      <c r="A303" s="1" t="s">
        <v>451</v>
      </c>
      <c r="B303" s="1">
        <f t="shared" si="1"/>
        <v>39</v>
      </c>
      <c r="C303" s="1">
        <v>3.0</v>
      </c>
      <c r="D303" s="1">
        <v>0.0</v>
      </c>
      <c r="E303" s="1">
        <v>3.0</v>
      </c>
      <c r="F303" s="6">
        <v>1.0</v>
      </c>
      <c r="G303" s="1">
        <v>3.0</v>
      </c>
      <c r="H303" s="1">
        <v>0.0</v>
      </c>
      <c r="I303" s="1">
        <v>3.0</v>
      </c>
      <c r="J303" s="1">
        <v>3.0</v>
      </c>
      <c r="K303" s="1">
        <v>0.0</v>
      </c>
      <c r="L303" s="8" t="str">
        <f>vlookup(A303,salesx_all!B:E,2,0)</f>
        <v>Want to Close More Sales? Stop Closing.</v>
      </c>
      <c r="M303" s="8" t="str">
        <f>vlookup(A303,salesx_all!B:D,3,0)</f>
        <v/>
      </c>
      <c r="N303" s="8" t="str">
        <f>vlookup(A303,salesx_all!B:E,4,0)</f>
        <v/>
      </c>
    </row>
    <row r="304">
      <c r="A304" s="1" t="s">
        <v>452</v>
      </c>
      <c r="B304" s="1">
        <f t="shared" si="1"/>
        <v>39</v>
      </c>
      <c r="C304" s="1">
        <v>3.0</v>
      </c>
      <c r="D304" s="1">
        <v>0.0</v>
      </c>
      <c r="E304" s="1">
        <v>3.0</v>
      </c>
      <c r="F304" s="6">
        <v>0.666666666666666</v>
      </c>
      <c r="G304" s="1">
        <v>3.0</v>
      </c>
      <c r="H304" s="1">
        <v>1.0</v>
      </c>
      <c r="I304" s="1">
        <v>2.0</v>
      </c>
      <c r="J304" s="1">
        <v>3.0</v>
      </c>
      <c r="K304" s="1">
        <v>1.33333333333333</v>
      </c>
      <c r="L304" s="8" t="str">
        <f>vlookup(A304,salesx_all!B:E,2,0)</f>
        <v>#N/A</v>
      </c>
      <c r="M304" s="8" t="str">
        <f>vlookup(A304,salesx_all!B:D,3,0)</f>
        <v>#N/A</v>
      </c>
      <c r="N304" s="8" t="str">
        <f>vlookup(A304,salesx_all!B:E,4,0)</f>
        <v>#N/A</v>
      </c>
    </row>
    <row r="305">
      <c r="A305" s="1" t="s">
        <v>453</v>
      </c>
      <c r="B305" s="1">
        <f t="shared" si="1"/>
        <v>31</v>
      </c>
      <c r="C305" s="1">
        <v>3.0</v>
      </c>
      <c r="D305" s="1">
        <v>0.0</v>
      </c>
      <c r="E305" s="1">
        <v>3.0</v>
      </c>
      <c r="F305" s="6">
        <v>1.0</v>
      </c>
      <c r="G305" s="1">
        <v>3.0</v>
      </c>
      <c r="H305" s="1">
        <v>0.0</v>
      </c>
      <c r="I305" s="1">
        <v>3.0</v>
      </c>
      <c r="J305" s="1">
        <v>3.0</v>
      </c>
      <c r="K305" s="1">
        <v>0.0</v>
      </c>
      <c r="L305" s="8" t="str">
        <f>vlookup(A305,salesx_all!B:E,2,0)</f>
        <v/>
      </c>
      <c r="M305" s="8" t="str">
        <f>vlookup(A305,salesx_all!B:D,3,0)</f>
        <v/>
      </c>
      <c r="N305" s="8" t="str">
        <f>vlookup(A305,salesx_all!B:E,4,0)</f>
        <v/>
      </c>
    </row>
    <row r="306">
      <c r="A306" s="1" t="s">
        <v>454</v>
      </c>
      <c r="B306" s="1">
        <f t="shared" si="1"/>
        <v>64</v>
      </c>
      <c r="C306" s="1">
        <v>3.0</v>
      </c>
      <c r="D306" s="1">
        <v>0.0</v>
      </c>
      <c r="E306" s="1">
        <v>3.0</v>
      </c>
      <c r="F306" s="6">
        <v>0.0</v>
      </c>
      <c r="G306" s="1">
        <v>2.0</v>
      </c>
      <c r="H306" s="1">
        <v>3.0</v>
      </c>
      <c r="I306" s="1">
        <v>4.0</v>
      </c>
      <c r="J306" s="1">
        <v>3.0</v>
      </c>
      <c r="K306" s="1">
        <v>12.6666666666666</v>
      </c>
      <c r="L306" s="8" t="str">
        <f>vlookup(A306,salesx_all!B:E,2,0)</f>
        <v>What’s the GIG Idea? What You Need to Know About the Gig Economy</v>
      </c>
      <c r="M306" s="8" t="str">
        <f>vlookup(A306,salesx_all!B:D,3,0)</f>
        <v>“Gig Economy” Defined</v>
      </c>
      <c r="N306" s="8" t="str">
        <f>vlookup(A306,salesx_all!B:E,4,0)</f>
        <v>How Big Has the Gig Economy Become?</v>
      </c>
    </row>
    <row r="307">
      <c r="A307" s="1" t="s">
        <v>455</v>
      </c>
      <c r="B307" s="1">
        <f t="shared" si="1"/>
        <v>24</v>
      </c>
      <c r="C307" s="1">
        <v>3.0</v>
      </c>
      <c r="D307" s="1">
        <v>0.0</v>
      </c>
      <c r="E307" s="1">
        <v>3.0</v>
      </c>
      <c r="F307" s="6">
        <v>1.0</v>
      </c>
      <c r="G307" s="1">
        <v>3.0</v>
      </c>
      <c r="H307" s="1">
        <v>0.0</v>
      </c>
      <c r="I307" s="1">
        <v>3.0</v>
      </c>
      <c r="J307" s="1">
        <v>3.0</v>
      </c>
      <c r="K307" s="1">
        <v>0.0</v>
      </c>
      <c r="L307" s="8" t="str">
        <f>vlookup(A307,salesx_all!B:E,2,0)</f>
        <v>Why Bother Using a CRM?</v>
      </c>
      <c r="M307" s="8" t="str">
        <f>vlookup(A307,salesx_all!B:D,3,0)</f>
        <v/>
      </c>
      <c r="N307" s="8" t="str">
        <f>vlookup(A307,salesx_all!B:E,4,0)</f>
        <v/>
      </c>
    </row>
    <row r="308">
      <c r="A308" s="1" t="s">
        <v>456</v>
      </c>
      <c r="B308" s="1">
        <f t="shared" si="1"/>
        <v>44</v>
      </c>
      <c r="C308" s="1">
        <v>3.0</v>
      </c>
      <c r="D308" s="1">
        <v>0.0</v>
      </c>
      <c r="E308" s="1">
        <v>3.0</v>
      </c>
      <c r="F308" s="6">
        <v>1.0</v>
      </c>
      <c r="G308" s="1">
        <v>3.0</v>
      </c>
      <c r="H308" s="1">
        <v>0.0</v>
      </c>
      <c r="I308" s="1">
        <v>2.0</v>
      </c>
      <c r="J308" s="1">
        <v>3.0</v>
      </c>
      <c r="K308" s="1">
        <v>0.0</v>
      </c>
      <c r="L308" s="8" t="str">
        <f>vlookup(A308,salesx_all!B:E,2,0)</f>
        <v>Why Customers Don’t Return Your Sales Calls</v>
      </c>
      <c r="M308" s="8" t="str">
        <f>vlookup(A308,salesx_all!B:D,3,0)</f>
        <v/>
      </c>
      <c r="N308" s="8" t="str">
        <f>vlookup(A308,salesx_all!B:E,4,0)</f>
        <v/>
      </c>
    </row>
    <row r="309">
      <c r="A309" s="1" t="s">
        <v>457</v>
      </c>
      <c r="B309" s="1">
        <f t="shared" si="1"/>
        <v>49</v>
      </c>
      <c r="C309" s="1">
        <v>3.0</v>
      </c>
      <c r="D309" s="1">
        <v>0.0</v>
      </c>
      <c r="E309" s="1">
        <v>3.0</v>
      </c>
      <c r="F309" s="6">
        <v>0.666666666666666</v>
      </c>
      <c r="G309" s="1">
        <v>2.0</v>
      </c>
      <c r="H309" s="1">
        <v>1.0</v>
      </c>
      <c r="I309" s="1">
        <v>3.0</v>
      </c>
      <c r="J309" s="1">
        <v>3.0</v>
      </c>
      <c r="K309" s="1">
        <v>3.33333333333333</v>
      </c>
      <c r="L309" s="8" t="str">
        <f>vlookup(A309,salesx_all!B:E,2,0)</f>
        <v>Why Focus on Sales if They are Already Thriving?</v>
      </c>
      <c r="M309" s="8" t="str">
        <f>vlookup(A309,salesx_all!B:D,3,0)</f>
        <v>Customer Review</v>
      </c>
      <c r="N309" s="8" t="str">
        <f>vlookup(A309,salesx_all!B:E,4,0)</f>
        <v>Sales Team</v>
      </c>
    </row>
    <row r="310">
      <c r="A310" s="1" t="s">
        <v>458</v>
      </c>
      <c r="B310" s="1">
        <f t="shared" si="1"/>
        <v>70</v>
      </c>
      <c r="C310" s="1">
        <v>3.0</v>
      </c>
      <c r="D310" s="1">
        <v>0.0</v>
      </c>
      <c r="E310" s="1">
        <v>3.0</v>
      </c>
      <c r="F310" s="6">
        <v>1.0</v>
      </c>
      <c r="G310" s="1">
        <v>3.0</v>
      </c>
      <c r="H310" s="1">
        <v>0.0</v>
      </c>
      <c r="I310" s="1">
        <v>3.0</v>
      </c>
      <c r="J310" s="1">
        <v>3.0</v>
      </c>
      <c r="K310" s="1">
        <v>0.0</v>
      </c>
      <c r="L310" s="8" t="str">
        <f>vlookup(A310,salesx_all!B:E,2,0)</f>
        <v>#N/A</v>
      </c>
      <c r="M310" s="8" t="str">
        <f>vlookup(A310,salesx_all!B:D,3,0)</f>
        <v>#N/A</v>
      </c>
      <c r="N310" s="8" t="str">
        <f>vlookup(A310,salesx_all!B:E,4,0)</f>
        <v>#N/A</v>
      </c>
    </row>
    <row r="311">
      <c r="A311" s="1" t="s">
        <v>459</v>
      </c>
      <c r="B311" s="1">
        <f t="shared" si="1"/>
        <v>72</v>
      </c>
      <c r="C311" s="1">
        <v>3.0</v>
      </c>
      <c r="D311" s="1">
        <v>0.0</v>
      </c>
      <c r="E311" s="1">
        <v>3.0</v>
      </c>
      <c r="F311" s="6">
        <v>0.333333333333333</v>
      </c>
      <c r="G311" s="1">
        <v>3.0</v>
      </c>
      <c r="H311" s="1">
        <v>2.0</v>
      </c>
      <c r="I311" s="1">
        <v>3.0</v>
      </c>
      <c r="J311" s="1">
        <v>3.0</v>
      </c>
      <c r="K311" s="1">
        <v>0.0</v>
      </c>
      <c r="L311" s="8" t="str">
        <f>vlookup(A311,salesx_all!B:E,2,0)</f>
        <v>Why Promoting Your Top Sales Performer to Sales Manager Could Backfire</v>
      </c>
      <c r="M311" s="8" t="str">
        <f>vlookup(A311,salesx_all!B:D,3,0)</f>
        <v/>
      </c>
      <c r="N311" s="8" t="str">
        <f>vlookup(A311,salesx_all!B:E,4,0)</f>
        <v/>
      </c>
    </row>
    <row r="312">
      <c r="A312" s="1" t="s">
        <v>460</v>
      </c>
      <c r="B312" s="1">
        <f t="shared" si="1"/>
        <v>47</v>
      </c>
      <c r="C312" s="1">
        <v>3.0</v>
      </c>
      <c r="D312" s="1">
        <v>0.0</v>
      </c>
      <c r="E312" s="1">
        <v>3.0</v>
      </c>
      <c r="F312" s="6">
        <v>0.666666666666666</v>
      </c>
      <c r="G312" s="1">
        <v>1.0</v>
      </c>
      <c r="H312" s="1">
        <v>1.0</v>
      </c>
      <c r="I312" s="1">
        <v>2.0</v>
      </c>
      <c r="J312" s="1">
        <v>3.0</v>
      </c>
      <c r="K312" s="1">
        <v>11.6666666666666</v>
      </c>
      <c r="L312" s="8" t="str">
        <f>vlookup(A312,salesx_all!B:E,2,0)</f>
        <v>#N/A</v>
      </c>
      <c r="M312" s="8" t="str">
        <f>vlookup(A312,salesx_all!B:D,3,0)</f>
        <v>#N/A</v>
      </c>
      <c r="N312" s="8" t="str">
        <f>vlookup(A312,salesx_all!B:E,4,0)</f>
        <v>#N/A</v>
      </c>
    </row>
    <row r="313">
      <c r="A313" s="1" t="s">
        <v>461</v>
      </c>
      <c r="B313" s="1">
        <f t="shared" si="1"/>
        <v>69</v>
      </c>
      <c r="C313" s="1">
        <v>3.0</v>
      </c>
      <c r="D313" s="1">
        <v>0.0</v>
      </c>
      <c r="E313" s="1">
        <v>3.0</v>
      </c>
      <c r="F313" s="6">
        <v>0.333333333333333</v>
      </c>
      <c r="G313" s="1">
        <v>1.0</v>
      </c>
      <c r="H313" s="1">
        <v>2.0</v>
      </c>
      <c r="I313" s="1">
        <v>2.0</v>
      </c>
      <c r="J313" s="1">
        <v>3.0</v>
      </c>
      <c r="K313" s="1">
        <v>1.0</v>
      </c>
      <c r="L313" s="8" t="str">
        <f>vlookup(A313,salesx_all!B:E,2,0)</f>
        <v>Your Most Valuable Resource: The Right People in the Right Positions</v>
      </c>
      <c r="M313" s="8" t="str">
        <f>vlookup(A313,salesx_all!B:D,3,0)</f>
        <v/>
      </c>
      <c r="N313" s="8" t="str">
        <f>vlookup(A313,salesx_all!B:E,4,0)</f>
        <v/>
      </c>
    </row>
    <row r="314">
      <c r="A314" s="1" t="s">
        <v>462</v>
      </c>
      <c r="B314" s="1">
        <f t="shared" si="1"/>
        <v>51</v>
      </c>
      <c r="C314" s="1">
        <v>2.0</v>
      </c>
      <c r="D314" s="1">
        <v>0.0</v>
      </c>
      <c r="E314" s="1">
        <v>2.0</v>
      </c>
      <c r="F314" s="6">
        <v>1.0</v>
      </c>
      <c r="G314" s="1">
        <v>2.0</v>
      </c>
      <c r="H314" s="1">
        <v>0.0</v>
      </c>
      <c r="I314" s="1">
        <v>2.0</v>
      </c>
      <c r="J314" s="1">
        <v>2.0</v>
      </c>
      <c r="K314" s="1">
        <v>0.0</v>
      </c>
      <c r="L314" s="8" t="str">
        <f>vlookup(A314,salesx_all!B:E,2,0)</f>
        <v>Forbes – 14 Techniques for Onboarding New Remote Employees</v>
      </c>
      <c r="M314" s="8" t="str">
        <f>vlookup(A314,salesx_all!B:D,3,0)</f>
        <v/>
      </c>
      <c r="N314" s="8" t="str">
        <f>vlookup(A314,salesx_all!B:E,4,0)</f>
        <v/>
      </c>
    </row>
    <row r="315">
      <c r="A315" s="1" t="s">
        <v>463</v>
      </c>
      <c r="B315" s="1">
        <f t="shared" si="1"/>
        <v>51</v>
      </c>
      <c r="C315" s="1">
        <v>2.0</v>
      </c>
      <c r="D315" s="1">
        <v>0.0</v>
      </c>
      <c r="E315" s="1">
        <v>2.0</v>
      </c>
      <c r="F315" s="6">
        <v>1.0</v>
      </c>
      <c r="G315" s="1">
        <v>2.0</v>
      </c>
      <c r="H315" s="1">
        <v>0.0</v>
      </c>
      <c r="I315" s="1">
        <v>2.0</v>
      </c>
      <c r="J315" s="1">
        <v>2.0</v>
      </c>
      <c r="K315" s="1">
        <v>0.0</v>
      </c>
      <c r="L315" s="8" t="str">
        <f>vlookup(A315,salesx_all!B:E,2,0)</f>
        <v>#N/A</v>
      </c>
      <c r="M315" s="8" t="str">
        <f>vlookup(A315,salesx_all!B:D,3,0)</f>
        <v>#N/A</v>
      </c>
      <c r="N315" s="8" t="str">
        <f>vlookup(A315,salesx_all!B:E,4,0)</f>
        <v>#N/A</v>
      </c>
    </row>
    <row r="316">
      <c r="A316" s="1" t="s">
        <v>464</v>
      </c>
      <c r="B316" s="1">
        <f t="shared" si="1"/>
        <v>9</v>
      </c>
      <c r="C316" s="1">
        <v>2.0</v>
      </c>
      <c r="D316" s="1">
        <v>0.0</v>
      </c>
      <c r="E316" s="1">
        <v>2.0</v>
      </c>
      <c r="F316" s="6">
        <v>1.0</v>
      </c>
      <c r="G316" s="1">
        <v>2.0</v>
      </c>
      <c r="H316" s="1">
        <v>0.0</v>
      </c>
      <c r="I316" s="1">
        <v>2.0</v>
      </c>
      <c r="J316" s="1">
        <v>2.0</v>
      </c>
      <c r="K316" s="1">
        <v>0.0</v>
      </c>
      <c r="L316" s="8" t="str">
        <f>vlookup(A316,salesx_all!B:E,2,0)</f>
        <v>#N/A</v>
      </c>
      <c r="M316" s="8" t="str">
        <f>vlookup(A316,salesx_all!B:D,3,0)</f>
        <v>#N/A</v>
      </c>
      <c r="N316" s="8" t="str">
        <f>vlookup(A316,salesx_all!B:E,4,0)</f>
        <v>#N/A</v>
      </c>
    </row>
    <row r="317">
      <c r="A317" s="1" t="s">
        <v>465</v>
      </c>
      <c r="B317" s="1">
        <f t="shared" si="1"/>
        <v>51</v>
      </c>
      <c r="C317" s="1">
        <v>2.0</v>
      </c>
      <c r="D317" s="1">
        <v>0.0</v>
      </c>
      <c r="E317" s="1">
        <v>2.0</v>
      </c>
      <c r="F317" s="6">
        <v>1.0</v>
      </c>
      <c r="G317" s="1">
        <v>2.0</v>
      </c>
      <c r="H317" s="1">
        <v>0.0</v>
      </c>
      <c r="I317" s="1">
        <v>2.0</v>
      </c>
      <c r="J317" s="1">
        <v>2.0</v>
      </c>
      <c r="K317" s="1">
        <v>0.0</v>
      </c>
      <c r="L317" s="8" t="str">
        <f>vlookup(A317,salesx_all!B:E,2,0)</f>
        <v>Success – 4 Key Investments New Business Owners Should Make</v>
      </c>
      <c r="M317" s="8" t="str">
        <f>vlookup(A317,salesx_all!B:D,3,0)</f>
        <v/>
      </c>
      <c r="N317" s="8" t="str">
        <f>vlookup(A317,salesx_all!B:E,4,0)</f>
        <v/>
      </c>
    </row>
    <row r="318">
      <c r="A318" s="1" t="s">
        <v>466</v>
      </c>
      <c r="B318" s="1">
        <f t="shared" si="1"/>
        <v>64</v>
      </c>
      <c r="C318" s="1">
        <v>2.0</v>
      </c>
      <c r="D318" s="1">
        <v>0.0</v>
      </c>
      <c r="E318" s="1">
        <v>2.0</v>
      </c>
      <c r="F318" s="6">
        <v>1.0</v>
      </c>
      <c r="G318" s="1">
        <v>2.0</v>
      </c>
      <c r="H318" s="1">
        <v>0.0</v>
      </c>
      <c r="I318" s="1">
        <v>2.0</v>
      </c>
      <c r="J318" s="1">
        <v>2.0</v>
      </c>
      <c r="K318" s="1">
        <v>0.0</v>
      </c>
      <c r="L318" s="8" t="str">
        <f>vlookup(A318,salesx_all!B:E,2,0)</f>
        <v>4 Leadership Lessons I Learned From a Mountain-Climbing Crisis</v>
      </c>
      <c r="M318" s="8" t="str">
        <f>vlookup(A318,salesx_all!B:D,3,0)</f>
        <v/>
      </c>
      <c r="N318" s="8" t="str">
        <f>vlookup(A318,salesx_all!B:E,4,0)</f>
        <v/>
      </c>
    </row>
    <row r="319">
      <c r="A319" s="1" t="s">
        <v>467</v>
      </c>
      <c r="B319" s="1">
        <f t="shared" si="1"/>
        <v>56</v>
      </c>
      <c r="C319" s="1">
        <v>2.0</v>
      </c>
      <c r="D319" s="1">
        <v>0.0</v>
      </c>
      <c r="E319" s="1">
        <v>2.0</v>
      </c>
      <c r="F319" s="6">
        <v>1.0</v>
      </c>
      <c r="G319" s="1">
        <v>2.0</v>
      </c>
      <c r="H319" s="1">
        <v>0.0</v>
      </c>
      <c r="I319" s="1">
        <v>2.0</v>
      </c>
      <c r="J319" s="1">
        <v>2.0</v>
      </c>
      <c r="K319" s="1">
        <v>0.0</v>
      </c>
      <c r="L319" s="8" t="str">
        <f>vlookup(A319,salesx_all!B:E,2,0)</f>
        <v>SMB CEO – 4 Signs It Might Be Time To Outsource Sales Leadership</v>
      </c>
      <c r="M319" s="8" t="str">
        <f>vlookup(A319,salesx_all!B:D,3,0)</f>
        <v>Challenges Faced by Small Business Owners</v>
      </c>
      <c r="N319" s="8" t="str">
        <f>vlookup(A319,salesx_all!B:E,4,0)</f>
        <v>How to Respond to a Crisis in Business</v>
      </c>
    </row>
    <row r="320">
      <c r="A320" s="1" t="s">
        <v>468</v>
      </c>
      <c r="B320" s="1">
        <f t="shared" si="1"/>
        <v>55</v>
      </c>
      <c r="C320" s="1">
        <v>2.0</v>
      </c>
      <c r="D320" s="1">
        <v>0.0</v>
      </c>
      <c r="E320" s="1">
        <v>2.0</v>
      </c>
      <c r="F320" s="6">
        <v>0.5</v>
      </c>
      <c r="G320" s="1">
        <v>1.0</v>
      </c>
      <c r="H320" s="1">
        <v>1.0</v>
      </c>
      <c r="I320" s="1">
        <v>2.0</v>
      </c>
      <c r="J320" s="1">
        <v>2.0</v>
      </c>
      <c r="K320" s="1">
        <v>7.5</v>
      </c>
      <c r="L320" s="8" t="str">
        <f>vlookup(A320,salesx_all!B:E,2,0)</f>
        <v>4 Tips for Using a Sales Process to Improve Your Wins</v>
      </c>
      <c r="M320" s="8" t="str">
        <f>vlookup(A320,salesx_all!B:D,3,0)</f>
        <v/>
      </c>
      <c r="N320" s="8" t="str">
        <f>vlookup(A320,salesx_all!B:E,4,0)</f>
        <v/>
      </c>
    </row>
    <row r="321">
      <c r="A321" s="1" t="s">
        <v>469</v>
      </c>
      <c r="B321" s="1">
        <f t="shared" si="1"/>
        <v>49</v>
      </c>
      <c r="C321" s="1">
        <v>2.0</v>
      </c>
      <c r="D321" s="1">
        <v>0.0</v>
      </c>
      <c r="E321" s="1">
        <v>2.0</v>
      </c>
      <c r="F321" s="6">
        <v>0.5</v>
      </c>
      <c r="G321" s="1">
        <v>1.0</v>
      </c>
      <c r="H321" s="1">
        <v>1.0</v>
      </c>
      <c r="I321" s="1">
        <v>2.0</v>
      </c>
      <c r="J321" s="1">
        <v>2.0</v>
      </c>
      <c r="K321" s="1">
        <v>6.0</v>
      </c>
      <c r="L321" s="8" t="str">
        <f>vlookup(A321,salesx_all!B:E,2,0)</f>
        <v>Five Emerging Sales Strategies and How to Use Them</v>
      </c>
      <c r="M321" s="8" t="str">
        <f>vlookup(A321,salesx_all!B:D,3,0)</f>
        <v>Emerging Sales Strategies and How to Use Them to Close the Deal</v>
      </c>
      <c r="N321" s="8" t="str">
        <f>vlookup(A321,salesx_all!B:E,4,0)</f>
        <v>The Evolution of Sales: What Can We Learn From the ‘2022 State of Sales’ Report?</v>
      </c>
    </row>
    <row r="322">
      <c r="A322" s="1" t="s">
        <v>470</v>
      </c>
      <c r="B322" s="1">
        <f t="shared" si="1"/>
        <v>54</v>
      </c>
      <c r="C322" s="1">
        <v>2.0</v>
      </c>
      <c r="D322" s="1">
        <v>0.0</v>
      </c>
      <c r="E322" s="1">
        <v>2.0</v>
      </c>
      <c r="F322" s="6">
        <v>1.0</v>
      </c>
      <c r="G322" s="1">
        <v>2.0</v>
      </c>
      <c r="H322" s="1">
        <v>0.0</v>
      </c>
      <c r="I322" s="1">
        <v>2.0</v>
      </c>
      <c r="J322" s="1">
        <v>2.0</v>
      </c>
      <c r="K322" s="1">
        <v>0.0</v>
      </c>
      <c r="L322" s="8" t="str">
        <f>vlookup(A322,salesx_all!B:E,2,0)</f>
        <v>#N/A</v>
      </c>
      <c r="M322" s="8" t="str">
        <f>vlookup(A322,salesx_all!B:D,3,0)</f>
        <v>#N/A</v>
      </c>
      <c r="N322" s="8" t="str">
        <f>vlookup(A322,salesx_all!B:E,4,0)</f>
        <v>#N/A</v>
      </c>
    </row>
    <row r="323">
      <c r="A323" s="1" t="s">
        <v>471</v>
      </c>
      <c r="B323" s="1">
        <f t="shared" si="1"/>
        <v>50</v>
      </c>
      <c r="C323" s="1">
        <v>2.0</v>
      </c>
      <c r="D323" s="1">
        <v>0.0</v>
      </c>
      <c r="E323" s="1">
        <v>2.0</v>
      </c>
      <c r="F323" s="6">
        <v>1.0</v>
      </c>
      <c r="G323" s="1">
        <v>2.0</v>
      </c>
      <c r="H323" s="1">
        <v>0.0</v>
      </c>
      <c r="I323" s="1">
        <v>1.0</v>
      </c>
      <c r="J323" s="1">
        <v>2.0</v>
      </c>
      <c r="K323" s="1">
        <v>0.0</v>
      </c>
      <c r="L323" s="8" t="str">
        <f>vlookup(A323,salesx_all!B:E,2,0)</f>
        <v>#N/A</v>
      </c>
      <c r="M323" s="8" t="str">
        <f>vlookup(A323,salesx_all!B:D,3,0)</f>
        <v>#N/A</v>
      </c>
      <c r="N323" s="8" t="str">
        <f>vlookup(A323,salesx_all!B:E,4,0)</f>
        <v>#N/A</v>
      </c>
    </row>
    <row r="324">
      <c r="A324" s="1" t="s">
        <v>472</v>
      </c>
      <c r="B324" s="1">
        <f t="shared" si="1"/>
        <v>84</v>
      </c>
      <c r="C324" s="1">
        <v>2.0</v>
      </c>
      <c r="D324" s="1">
        <v>0.0</v>
      </c>
      <c r="E324" s="1">
        <v>2.0</v>
      </c>
      <c r="F324" s="6">
        <v>1.0</v>
      </c>
      <c r="G324" s="1">
        <v>2.0</v>
      </c>
      <c r="H324" s="1">
        <v>0.0</v>
      </c>
      <c r="I324" s="1">
        <v>2.0</v>
      </c>
      <c r="J324" s="1">
        <v>2.0</v>
      </c>
      <c r="K324" s="1">
        <v>0.0</v>
      </c>
      <c r="L324" s="8" t="str">
        <f>vlookup(A324,salesx_all!B:E,2,0)</f>
        <v>Achieving Sales Excellence: Defining the Target Market for B2B Companies Under $100M</v>
      </c>
      <c r="M324" s="8" t="str">
        <f>vlookup(A324,salesx_all!B:D,3,0)</f>
        <v>Building on a Firm Foundation</v>
      </c>
      <c r="N324" s="8" t="str">
        <f>vlookup(A324,salesx_all!B:E,4,0)</f>
        <v>The Importance of Target Market Definition</v>
      </c>
    </row>
    <row r="325">
      <c r="A325" s="1" t="s">
        <v>473</v>
      </c>
      <c r="B325" s="1">
        <f t="shared" si="1"/>
        <v>100</v>
      </c>
      <c r="C325" s="1">
        <v>2.0</v>
      </c>
      <c r="D325" s="1">
        <v>0.0</v>
      </c>
      <c r="E325" s="1">
        <v>2.0</v>
      </c>
      <c r="F325" s="6">
        <v>0.5</v>
      </c>
      <c r="G325" s="1">
        <v>1.0</v>
      </c>
      <c r="H325" s="1">
        <v>1.0</v>
      </c>
      <c r="I325" s="1">
        <v>2.0</v>
      </c>
      <c r="J325" s="1">
        <v>2.0</v>
      </c>
      <c r="K325" s="1">
        <v>3.5</v>
      </c>
      <c r="L325" s="8" t="str">
        <f>vlookup(A325,salesx_all!B:E,2,0)</f>
        <v>Adapting Leadership Styles to the Situation: Sales Growth vs. Sales Recovery Part Two: Sales Recovery</v>
      </c>
      <c r="M325" s="8" t="str">
        <f>vlookup(A325,salesx_all!B:D,3,0)</f>
        <v>Recovery Leadership Action Items</v>
      </c>
      <c r="N325" s="8" t="str">
        <f>vlookup(A325,salesx_all!B:E,4,0)</f>
        <v/>
      </c>
    </row>
    <row r="326">
      <c r="A326" s="1" t="s">
        <v>474</v>
      </c>
      <c r="B326" s="1">
        <f t="shared" si="1"/>
        <v>33</v>
      </c>
      <c r="C326" s="1">
        <v>2.0</v>
      </c>
      <c r="D326" s="1">
        <v>0.0</v>
      </c>
      <c r="E326" s="1">
        <v>2.0</v>
      </c>
      <c r="F326" s="6">
        <v>1.0</v>
      </c>
      <c r="G326" s="1">
        <v>2.0</v>
      </c>
      <c r="H326" s="1">
        <v>0.0</v>
      </c>
      <c r="I326" s="1">
        <v>2.0</v>
      </c>
      <c r="J326" s="1">
        <v>2.0</v>
      </c>
      <c r="K326" s="1">
        <v>0.0</v>
      </c>
      <c r="L326" s="8" t="str">
        <f>vlookup(A326,salesx_all!B:E,2,0)</f>
        <v>#N/A</v>
      </c>
      <c r="M326" s="8" t="str">
        <f>vlookup(A326,salesx_all!B:D,3,0)</f>
        <v>#N/A</v>
      </c>
      <c r="N326" s="8" t="str">
        <f>vlookup(A326,salesx_all!B:E,4,0)</f>
        <v>#N/A</v>
      </c>
    </row>
    <row r="327">
      <c r="A327" s="1" t="s">
        <v>475</v>
      </c>
      <c r="B327" s="1">
        <f t="shared" si="1"/>
        <v>77</v>
      </c>
      <c r="C327" s="1">
        <v>2.0</v>
      </c>
      <c r="D327" s="1">
        <v>0.0</v>
      </c>
      <c r="E327" s="1">
        <v>2.0</v>
      </c>
      <c r="F327" s="6">
        <v>0.0</v>
      </c>
      <c r="G327" s="1">
        <v>1.0</v>
      </c>
      <c r="H327" s="1">
        <v>2.0</v>
      </c>
      <c r="I327" s="1">
        <v>2.0</v>
      </c>
      <c r="J327" s="1">
        <v>2.0</v>
      </c>
      <c r="K327" s="1">
        <v>22.5</v>
      </c>
      <c r="L327" s="8" t="str">
        <f>vlookup(A327,salesx_all!B:E,2,0)</f>
        <v>Are You Leading or Lagging in Sales? Why Your Metrics Should Be…Revolutionary</v>
      </c>
      <c r="M327" s="8" t="str">
        <f>vlookup(A327,salesx_all!B:D,3,0)</f>
        <v/>
      </c>
      <c r="N327" s="8" t="str">
        <f>vlookup(A327,salesx_all!B:E,4,0)</f>
        <v/>
      </c>
    </row>
    <row r="328">
      <c r="A328" s="1" t="s">
        <v>476</v>
      </c>
      <c r="B328" s="1">
        <f t="shared" si="1"/>
        <v>42</v>
      </c>
      <c r="C328" s="1">
        <v>2.0</v>
      </c>
      <c r="D328" s="1">
        <v>0.0</v>
      </c>
      <c r="E328" s="1">
        <v>2.0</v>
      </c>
      <c r="F328" s="6">
        <v>1.0</v>
      </c>
      <c r="G328" s="1">
        <v>2.0</v>
      </c>
      <c r="H328" s="1">
        <v>0.0</v>
      </c>
      <c r="I328" s="1">
        <v>2.0</v>
      </c>
      <c r="J328" s="1">
        <v>2.0</v>
      </c>
      <c r="K328" s="1">
        <v>0.0</v>
      </c>
      <c r="L328" s="8" t="str">
        <f>vlookup(A328,salesx_all!B:E,2,0)</f>
        <v>#N/A</v>
      </c>
      <c r="M328" s="8" t="str">
        <f>vlookup(A328,salesx_all!B:D,3,0)</f>
        <v>#N/A</v>
      </c>
      <c r="N328" s="8" t="str">
        <f>vlookup(A328,salesx_all!B:E,4,0)</f>
        <v>#N/A</v>
      </c>
    </row>
    <row r="329">
      <c r="A329" s="1" t="s">
        <v>477</v>
      </c>
      <c r="B329" s="1">
        <f t="shared" si="1"/>
        <v>38</v>
      </c>
      <c r="C329" s="1">
        <v>2.0</v>
      </c>
      <c r="D329" s="1">
        <v>0.0</v>
      </c>
      <c r="E329" s="1">
        <v>2.0</v>
      </c>
      <c r="F329" s="6">
        <v>1.0</v>
      </c>
      <c r="G329" s="1">
        <v>2.0</v>
      </c>
      <c r="H329" s="1">
        <v>0.0</v>
      </c>
      <c r="I329" s="1">
        <v>2.0</v>
      </c>
      <c r="J329" s="1">
        <v>2.0</v>
      </c>
      <c r="K329" s="1">
        <v>0.0</v>
      </c>
      <c r="L329" s="8" t="str">
        <f>vlookup(A329,salesx_all!B:E,2,0)</f>
        <v>#N/A</v>
      </c>
      <c r="M329" s="8" t="str">
        <f>vlookup(A329,salesx_all!B:D,3,0)</f>
        <v>#N/A</v>
      </c>
      <c r="N329" s="8" t="str">
        <f>vlookup(A329,salesx_all!B:E,4,0)</f>
        <v>#N/A</v>
      </c>
    </row>
    <row r="330">
      <c r="A330" s="1" t="s">
        <v>478</v>
      </c>
      <c r="B330" s="1">
        <f t="shared" si="1"/>
        <v>56</v>
      </c>
      <c r="C330" s="1">
        <v>2.0</v>
      </c>
      <c r="D330" s="1">
        <v>0.0</v>
      </c>
      <c r="E330" s="1">
        <v>2.0</v>
      </c>
      <c r="F330" s="6">
        <v>1.0</v>
      </c>
      <c r="G330" s="1">
        <v>2.0</v>
      </c>
      <c r="H330" s="1">
        <v>0.0</v>
      </c>
      <c r="I330" s="1">
        <v>2.0</v>
      </c>
      <c r="J330" s="1">
        <v>2.0</v>
      </c>
      <c r="K330" s="1">
        <v>0.0</v>
      </c>
      <c r="L330" s="8" t="str">
        <f>vlookup(A330,salesx_all!B:E,2,0)</f>
        <v>Believing in the Sales Lifecycle, Part 2: The Connection</v>
      </c>
      <c r="M330" s="8" t="str">
        <f>vlookup(A330,salesx_all!B:D,3,0)</f>
        <v>The Connection</v>
      </c>
      <c r="N330" s="8" t="str">
        <f>vlookup(A330,salesx_all!B:E,4,0)</f>
        <v>1. Your First-Connect Pitch</v>
      </c>
    </row>
    <row r="331">
      <c r="A331" s="1" t="s">
        <v>479</v>
      </c>
      <c r="B331" s="1">
        <f t="shared" si="1"/>
        <v>107</v>
      </c>
      <c r="C331" s="1">
        <v>2.0</v>
      </c>
      <c r="D331" s="1">
        <v>0.0</v>
      </c>
      <c r="E331" s="1">
        <v>2.0</v>
      </c>
      <c r="F331" s="6">
        <v>1.0</v>
      </c>
      <c r="G331" s="1">
        <v>2.0</v>
      </c>
      <c r="H331" s="1">
        <v>0.0</v>
      </c>
      <c r="I331" s="1">
        <v>2.0</v>
      </c>
      <c r="J331" s="1">
        <v>2.0</v>
      </c>
      <c r="K331" s="1">
        <v>0.0</v>
      </c>
      <c r="L331" s="8" t="str">
        <f>vlookup(A331,salesx_all!B:E,2,0)</f>
        <v>Believing in the Sales Lifecycle, Part 3: Solutioning, Overcoming Buying Reticence, and After Gaining the Buy</v>
      </c>
      <c r="M331" s="8" t="str">
        <f>vlookup(A331,salesx_all!B:D,3,0)</f>
        <v>Solutioning</v>
      </c>
      <c r="N331" s="8" t="str">
        <f>vlookup(A331,salesx_all!B:E,4,0)</f>
        <v>Buying Reticence</v>
      </c>
    </row>
    <row r="332">
      <c r="A332" s="1" t="s">
        <v>480</v>
      </c>
      <c r="B332" s="1">
        <f t="shared" si="1"/>
        <v>52</v>
      </c>
      <c r="C332" s="1">
        <v>2.0</v>
      </c>
      <c r="D332" s="1">
        <v>0.0</v>
      </c>
      <c r="E332" s="1">
        <v>2.0</v>
      </c>
      <c r="F332" s="6">
        <v>1.0</v>
      </c>
      <c r="G332" s="1">
        <v>2.0</v>
      </c>
      <c r="H332" s="1">
        <v>0.0</v>
      </c>
      <c r="I332" s="1">
        <v>2.0</v>
      </c>
      <c r="J332" s="1">
        <v>2.0</v>
      </c>
      <c r="K332" s="1">
        <v>0.0</v>
      </c>
      <c r="L332" s="8" t="str">
        <f>vlookup(A332,salesx_all!B:E,2,0)</f>
        <v>#N/A</v>
      </c>
      <c r="M332" s="8" t="str">
        <f>vlookup(A332,salesx_all!B:D,3,0)</f>
        <v>#N/A</v>
      </c>
      <c r="N332" s="8" t="str">
        <f>vlookup(A332,salesx_all!B:E,4,0)</f>
        <v>#N/A</v>
      </c>
    </row>
    <row r="333">
      <c r="A333" s="1" t="s">
        <v>481</v>
      </c>
      <c r="B333" s="1">
        <f t="shared" si="1"/>
        <v>21</v>
      </c>
      <c r="C333" s="1">
        <v>2.0</v>
      </c>
      <c r="D333" s="1">
        <v>0.0</v>
      </c>
      <c r="E333" s="1">
        <v>2.0</v>
      </c>
      <c r="F333" s="6">
        <v>1.0</v>
      </c>
      <c r="G333" s="1">
        <v>2.0</v>
      </c>
      <c r="H333" s="1">
        <v>0.0</v>
      </c>
      <c r="I333" s="1">
        <v>2.0</v>
      </c>
      <c r="J333" s="1">
        <v>2.0</v>
      </c>
      <c r="K333" s="1">
        <v>0.0</v>
      </c>
      <c r="L333" s="8" t="str">
        <f>vlookup(A333,salesx_all!B:E,2,0)</f>
        <v>#N/A</v>
      </c>
      <c r="M333" s="8" t="str">
        <f>vlookup(A333,salesx_all!B:D,3,0)</f>
        <v>#N/A</v>
      </c>
      <c r="N333" s="8" t="str">
        <f>vlookup(A333,salesx_all!B:E,4,0)</f>
        <v>#N/A</v>
      </c>
    </row>
    <row r="334">
      <c r="A334" s="1" t="s">
        <v>482</v>
      </c>
      <c r="B334" s="1">
        <f t="shared" si="1"/>
        <v>41</v>
      </c>
      <c r="C334" s="1">
        <v>2.0</v>
      </c>
      <c r="D334" s="1">
        <v>0.0</v>
      </c>
      <c r="E334" s="1">
        <v>2.0</v>
      </c>
      <c r="F334" s="6">
        <v>1.0</v>
      </c>
      <c r="G334" s="1">
        <v>2.0</v>
      </c>
      <c r="H334" s="1">
        <v>0.0</v>
      </c>
      <c r="I334" s="1">
        <v>2.0</v>
      </c>
      <c r="J334" s="1">
        <v>2.0</v>
      </c>
      <c r="K334" s="1">
        <v>0.0</v>
      </c>
      <c r="L334" s="8" t="str">
        <f>vlookup(A334,salesx_all!B:E,2,0)</f>
        <v>Construction Manufacturing: Turning Flat/Declining Sales Profitable</v>
      </c>
      <c r="M334" s="8" t="str">
        <f>vlookup(A334,salesx_all!B:D,3,0)</f>
        <v>Executive Summary</v>
      </c>
      <c r="N334" s="8" t="str">
        <f>vlookup(A334,salesx_all!B:E,4,0)</f>
        <v>The Big Win</v>
      </c>
    </row>
    <row r="335">
      <c r="A335" s="1" t="s">
        <v>483</v>
      </c>
      <c r="B335" s="1">
        <f t="shared" si="1"/>
        <v>76</v>
      </c>
      <c r="C335" s="1">
        <v>2.0</v>
      </c>
      <c r="D335" s="1">
        <v>0.0</v>
      </c>
      <c r="E335" s="1">
        <v>2.0</v>
      </c>
      <c r="F335" s="6">
        <v>0.5</v>
      </c>
      <c r="G335" s="1">
        <v>1.0</v>
      </c>
      <c r="H335" s="1">
        <v>1.0</v>
      </c>
      <c r="I335" s="1">
        <v>2.0</v>
      </c>
      <c r="J335" s="1">
        <v>2.0</v>
      </c>
      <c r="K335" s="1">
        <v>39.5</v>
      </c>
      <c r="L335" s="8" t="str">
        <f>vlookup(A335,salesx_all!B:E,2,0)</f>
        <v>Data and Analytics: Maintaining Sales Momentum Amidst Transition</v>
      </c>
      <c r="M335" s="8" t="str">
        <f>vlookup(A335,salesx_all!B:D,3,0)</f>
        <v>Executive Summary</v>
      </c>
      <c r="N335" s="8" t="str">
        <f>vlookup(A335,salesx_all!B:E,4,0)</f>
        <v>The Big Win</v>
      </c>
    </row>
    <row r="336">
      <c r="A336" s="1" t="s">
        <v>484</v>
      </c>
      <c r="B336" s="1">
        <f t="shared" si="1"/>
        <v>70</v>
      </c>
      <c r="C336" s="1">
        <v>2.0</v>
      </c>
      <c r="D336" s="1">
        <v>0.0</v>
      </c>
      <c r="E336" s="1">
        <v>2.0</v>
      </c>
      <c r="F336" s="6">
        <v>0.5</v>
      </c>
      <c r="G336" s="1">
        <v>1.0</v>
      </c>
      <c r="H336" s="1">
        <v>1.0</v>
      </c>
      <c r="I336" s="1">
        <v>2.0</v>
      </c>
      <c r="J336" s="1">
        <v>2.0</v>
      </c>
      <c r="K336" s="1">
        <v>1.0</v>
      </c>
      <c r="L336" s="8" t="str">
        <f>vlookup(A336,salesx_all!B:E,2,0)</f>
        <v>Equipment Manufacturing: Driving Sales Efficiency Through Strategic Transformation</v>
      </c>
      <c r="M336" s="8" t="str">
        <f>vlookup(A336,salesx_all!B:D,3,0)</f>
        <v>Executive Summary</v>
      </c>
      <c r="N336" s="8" t="str">
        <f>vlookup(A336,salesx_all!B:E,4,0)</f>
        <v>The Big Win</v>
      </c>
    </row>
    <row r="337">
      <c r="A337" s="1" t="s">
        <v>485</v>
      </c>
      <c r="B337" s="1">
        <f t="shared" si="1"/>
        <v>28</v>
      </c>
      <c r="C337" s="1">
        <v>2.0</v>
      </c>
      <c r="D337" s="1">
        <v>0.0</v>
      </c>
      <c r="E337" s="1">
        <v>2.0</v>
      </c>
      <c r="F337" s="6">
        <v>1.0</v>
      </c>
      <c r="G337" s="1">
        <v>2.0</v>
      </c>
      <c r="H337" s="1">
        <v>0.0</v>
      </c>
      <c r="I337" s="1">
        <v>2.0</v>
      </c>
      <c r="J337" s="1">
        <v>2.0</v>
      </c>
      <c r="K337" s="1">
        <v>0.0</v>
      </c>
      <c r="L337" s="8" t="str">
        <f>vlookup(A337,salesx_all!B:E,2,0)</f>
        <v>Non-Medical Home Healthcare: Creating Sales Processes to Grow Sales Revenue</v>
      </c>
      <c r="M337" s="8" t="str">
        <f>vlookup(A337,salesx_all!B:D,3,0)</f>
        <v/>
      </c>
      <c r="N337" s="8" t="str">
        <f>vlookup(A337,salesx_all!B:E,4,0)</f>
        <v/>
      </c>
    </row>
    <row r="338">
      <c r="A338" s="1" t="s">
        <v>486</v>
      </c>
      <c r="B338" s="1">
        <f t="shared" si="1"/>
        <v>17</v>
      </c>
      <c r="C338" s="1">
        <v>2.0</v>
      </c>
      <c r="D338" s="1">
        <v>0.0</v>
      </c>
      <c r="E338" s="1">
        <v>2.0</v>
      </c>
      <c r="F338" s="6">
        <v>0.5</v>
      </c>
      <c r="G338" s="1">
        <v>2.0</v>
      </c>
      <c r="H338" s="1">
        <v>1.0</v>
      </c>
      <c r="I338" s="1">
        <v>2.0</v>
      </c>
      <c r="J338" s="1">
        <v>2.0</v>
      </c>
      <c r="K338" s="1">
        <v>30.0</v>
      </c>
      <c r="L338" s="8" t="str">
        <f>vlookup(A338,salesx_all!B:E,2,0)</f>
        <v>Heating and Cooling: Increased Growth &amp; Reducing the Sales Cycle to Improve Performance</v>
      </c>
      <c r="M338" s="8" t="str">
        <f>vlookup(A338,salesx_all!B:D,3,0)</f>
        <v/>
      </c>
      <c r="N338" s="8" t="str">
        <f>vlookup(A338,salesx_all!B:E,4,0)</f>
        <v/>
      </c>
    </row>
    <row r="339">
      <c r="A339" s="1" t="s">
        <v>487</v>
      </c>
      <c r="B339" s="1">
        <f t="shared" si="1"/>
        <v>39</v>
      </c>
      <c r="C339" s="1">
        <v>2.0</v>
      </c>
      <c r="D339" s="1">
        <v>0.0</v>
      </c>
      <c r="E339" s="1">
        <v>2.0</v>
      </c>
      <c r="F339" s="6">
        <v>1.0</v>
      </c>
      <c r="G339" s="1">
        <v>2.0</v>
      </c>
      <c r="H339" s="1">
        <v>0.0</v>
      </c>
      <c r="I339" s="1">
        <v>2.0</v>
      </c>
      <c r="J339" s="1">
        <v>2.0</v>
      </c>
      <c r="K339" s="1">
        <v>0.0</v>
      </c>
      <c r="L339" s="8" t="str">
        <f>vlookup(A339,salesx_all!B:E,2,0)</f>
        <v>Intelligence Power Modules: Building Infrastructure to Improve Sales Funnel Conversion</v>
      </c>
      <c r="M339" s="8" t="str">
        <f>vlookup(A339,salesx_all!B:D,3,0)</f>
        <v>Executive Summary</v>
      </c>
      <c r="N339" s="8" t="str">
        <f>vlookup(A339,salesx_all!B:E,4,0)</f>
        <v>The Big Win</v>
      </c>
    </row>
    <row r="340">
      <c r="A340" s="1" t="s">
        <v>488</v>
      </c>
      <c r="B340" s="1">
        <f t="shared" si="1"/>
        <v>43</v>
      </c>
      <c r="C340" s="1">
        <v>2.0</v>
      </c>
      <c r="D340" s="1">
        <v>0.0</v>
      </c>
      <c r="E340" s="1">
        <v>2.0</v>
      </c>
      <c r="F340" s="6">
        <v>1.0</v>
      </c>
      <c r="G340" s="1">
        <v>2.0</v>
      </c>
      <c r="H340" s="1">
        <v>0.0</v>
      </c>
      <c r="I340" s="1">
        <v>2.0</v>
      </c>
      <c r="J340" s="1">
        <v>2.0</v>
      </c>
      <c r="K340" s="1">
        <v>0.0</v>
      </c>
      <c r="L340" s="8" t="str">
        <f>vlookup(A340,salesx_all!B:E,2,0)</f>
        <v>Promotional Product Marketing: Improving Profitability &amp; Forecasted Revenue Accuracy</v>
      </c>
      <c r="M340" s="8" t="str">
        <f>vlookup(A340,salesx_all!B:D,3,0)</f>
        <v/>
      </c>
      <c r="N340" s="8" t="str">
        <f>vlookup(A340,salesx_all!B:E,4,0)</f>
        <v/>
      </c>
    </row>
    <row r="341">
      <c r="A341" s="1" t="s">
        <v>489</v>
      </c>
      <c r="B341" s="1">
        <f t="shared" si="1"/>
        <v>42</v>
      </c>
      <c r="C341" s="1">
        <v>2.0</v>
      </c>
      <c r="D341" s="1">
        <v>0.0</v>
      </c>
      <c r="E341" s="1">
        <v>2.0</v>
      </c>
      <c r="F341" s="6">
        <v>0.5</v>
      </c>
      <c r="G341" s="1">
        <v>2.0</v>
      </c>
      <c r="H341" s="1">
        <v>1.0</v>
      </c>
      <c r="I341" s="1">
        <v>2.0</v>
      </c>
      <c r="J341" s="1">
        <v>2.0</v>
      </c>
      <c r="K341" s="1">
        <v>16.5</v>
      </c>
      <c r="L341" s="8" t="str">
        <f>vlookup(A341,salesx_all!B:E,2,0)</f>
        <v>Residential Wall Manufacturer: Identifying Ideal Client Profile Leads to Major Deal</v>
      </c>
      <c r="M341" s="8" t="str">
        <f>vlookup(A341,salesx_all!B:D,3,0)</f>
        <v>Executive Summary</v>
      </c>
      <c r="N341" s="8" t="str">
        <f>vlookup(A341,salesx_all!B:E,4,0)</f>
        <v>The Big Win</v>
      </c>
    </row>
    <row r="342">
      <c r="A342" s="1" t="s">
        <v>490</v>
      </c>
      <c r="B342" s="1">
        <f t="shared" si="1"/>
        <v>63</v>
      </c>
      <c r="C342" s="1">
        <v>2.0</v>
      </c>
      <c r="D342" s="1">
        <v>0.0</v>
      </c>
      <c r="E342" s="1">
        <v>2.0</v>
      </c>
      <c r="F342" s="6">
        <v>1.0</v>
      </c>
      <c r="G342" s="1">
        <v>2.0</v>
      </c>
      <c r="H342" s="1">
        <v>0.0</v>
      </c>
      <c r="I342" s="1">
        <v>2.0</v>
      </c>
      <c r="J342" s="1">
        <v>2.0</v>
      </c>
      <c r="K342" s="1">
        <v>0.0</v>
      </c>
      <c r="L342" s="8" t="str">
        <f>vlookup(A342,salesx_all!B:E,2,0)</f>
        <v>Technology Grants: Solving Gaps in Sales Infrastructure and Processes</v>
      </c>
      <c r="M342" s="8" t="str">
        <f>vlookup(A342,salesx_all!B:D,3,0)</f>
        <v>Executive Summary</v>
      </c>
      <c r="N342" s="8" t="str">
        <f>vlookup(A342,salesx_all!B:E,4,0)</f>
        <v>The Big Win</v>
      </c>
    </row>
    <row r="343">
      <c r="A343" s="1" t="s">
        <v>491</v>
      </c>
      <c r="B343" s="1">
        <f t="shared" si="1"/>
        <v>39</v>
      </c>
      <c r="C343" s="1">
        <v>2.0</v>
      </c>
      <c r="D343" s="1">
        <v>0.0</v>
      </c>
      <c r="E343" s="1">
        <v>2.0</v>
      </c>
      <c r="F343" s="6">
        <v>1.0</v>
      </c>
      <c r="G343" s="1">
        <v>2.0</v>
      </c>
      <c r="H343" s="1">
        <v>0.0</v>
      </c>
      <c r="I343" s="1">
        <v>2.0</v>
      </c>
      <c r="J343" s="1">
        <v>2.0</v>
      </c>
      <c r="K343" s="1">
        <v>0.0</v>
      </c>
      <c r="L343" s="8" t="str">
        <f>vlookup(A343,salesx_all!B:E,2,0)</f>
        <v>#N/A</v>
      </c>
      <c r="M343" s="8" t="str">
        <f>vlookup(A343,salesx_all!B:D,3,0)</f>
        <v>#N/A</v>
      </c>
      <c r="N343" s="8" t="str">
        <f>vlookup(A343,salesx_all!B:E,4,0)</f>
        <v>#N/A</v>
      </c>
    </row>
    <row r="344">
      <c r="A344" s="1" t="s">
        <v>492</v>
      </c>
      <c r="B344" s="1">
        <f t="shared" si="1"/>
        <v>38</v>
      </c>
      <c r="C344" s="1">
        <v>2.0</v>
      </c>
      <c r="D344" s="1">
        <v>0.0</v>
      </c>
      <c r="E344" s="1">
        <v>2.0</v>
      </c>
      <c r="F344" s="6">
        <v>1.0</v>
      </c>
      <c r="G344" s="1">
        <v>2.0</v>
      </c>
      <c r="H344" s="1">
        <v>0.0</v>
      </c>
      <c r="I344" s="1">
        <v>2.0</v>
      </c>
      <c r="J344" s="1">
        <v>2.0</v>
      </c>
      <c r="K344" s="1">
        <v>0.0</v>
      </c>
      <c r="L344" s="8" t="str">
        <f>vlookup(A344,salesx_all!B:E,2,0)</f>
        <v>#N/A</v>
      </c>
      <c r="M344" s="8" t="str">
        <f>vlookup(A344,salesx_all!B:D,3,0)</f>
        <v>#N/A</v>
      </c>
      <c r="N344" s="8" t="str">
        <f>vlookup(A344,salesx_all!B:E,4,0)</f>
        <v>#N/A</v>
      </c>
    </row>
    <row r="345">
      <c r="A345" s="1" t="s">
        <v>493</v>
      </c>
      <c r="B345" s="1">
        <f t="shared" si="1"/>
        <v>11</v>
      </c>
      <c r="C345" s="1">
        <v>2.0</v>
      </c>
      <c r="D345" s="1">
        <v>0.0</v>
      </c>
      <c r="E345" s="1">
        <v>2.0</v>
      </c>
      <c r="F345" s="6">
        <v>1.0</v>
      </c>
      <c r="G345" s="1">
        <v>2.0</v>
      </c>
      <c r="H345" s="1">
        <v>0.0</v>
      </c>
      <c r="I345" s="1">
        <v>2.0</v>
      </c>
      <c r="J345" s="1">
        <v>2.0</v>
      </c>
      <c r="K345" s="1">
        <v>0.0</v>
      </c>
      <c r="L345" s="8" t="str">
        <f>vlookup(A345,salesx_all!B:E,2,0)</f>
        <v>#N/A</v>
      </c>
      <c r="M345" s="8" t="str">
        <f>vlookup(A345,salesx_all!B:D,3,0)</f>
        <v>#N/A</v>
      </c>
      <c r="N345" s="8" t="str">
        <f>vlookup(A345,salesx_all!B:E,4,0)</f>
        <v>#N/A</v>
      </c>
    </row>
    <row r="346">
      <c r="A346" s="1" t="s">
        <v>494</v>
      </c>
      <c r="B346" s="1">
        <f t="shared" si="1"/>
        <v>72</v>
      </c>
      <c r="C346" s="1">
        <v>2.0</v>
      </c>
      <c r="D346" s="1">
        <v>0.0</v>
      </c>
      <c r="E346" s="1">
        <v>2.0</v>
      </c>
      <c r="F346" s="6">
        <v>1.0</v>
      </c>
      <c r="G346" s="1">
        <v>2.0</v>
      </c>
      <c r="H346" s="1">
        <v>0.0</v>
      </c>
      <c r="I346" s="1">
        <v>2.0</v>
      </c>
      <c r="J346" s="1">
        <v>2.0</v>
      </c>
      <c r="K346" s="1">
        <v>0.0</v>
      </c>
      <c r="L346" s="8" t="str">
        <f>vlookup(A346,salesx_all!B:E,2,0)</f>
        <v>#N/A</v>
      </c>
      <c r="M346" s="8" t="str">
        <f>vlookup(A346,salesx_all!B:D,3,0)</f>
        <v>#N/A</v>
      </c>
      <c r="N346" s="8" t="str">
        <f>vlookup(A346,salesx_all!B:E,4,0)</f>
        <v>#N/A</v>
      </c>
    </row>
    <row r="347">
      <c r="A347" s="1" t="s">
        <v>495</v>
      </c>
      <c r="B347" s="1">
        <f t="shared" si="1"/>
        <v>70</v>
      </c>
      <c r="C347" s="1">
        <v>2.0</v>
      </c>
      <c r="D347" s="1">
        <v>0.0</v>
      </c>
      <c r="E347" s="1">
        <v>2.0</v>
      </c>
      <c r="F347" s="6">
        <v>0.5</v>
      </c>
      <c r="G347" s="1">
        <v>1.0</v>
      </c>
      <c r="H347" s="1">
        <v>1.0</v>
      </c>
      <c r="I347" s="1">
        <v>2.0</v>
      </c>
      <c r="J347" s="1">
        <v>2.0</v>
      </c>
      <c r="K347" s="1">
        <v>39.5</v>
      </c>
      <c r="L347" s="8" t="str">
        <f>vlookup(A347,salesx_all!B:E,2,0)</f>
        <v>#N/A</v>
      </c>
      <c r="M347" s="8" t="str">
        <f>vlookup(A347,salesx_all!B:D,3,0)</f>
        <v>#N/A</v>
      </c>
      <c r="N347" s="8" t="str">
        <f>vlookup(A347,salesx_all!B:E,4,0)</f>
        <v>#N/A</v>
      </c>
    </row>
    <row r="348">
      <c r="A348" s="1" t="s">
        <v>496</v>
      </c>
      <c r="B348" s="1">
        <f t="shared" si="1"/>
        <v>33</v>
      </c>
      <c r="C348" s="1">
        <v>2.0</v>
      </c>
      <c r="D348" s="1">
        <v>0.0</v>
      </c>
      <c r="E348" s="1">
        <v>2.0</v>
      </c>
      <c r="F348" s="6">
        <v>1.0</v>
      </c>
      <c r="G348" s="1">
        <v>2.0</v>
      </c>
      <c r="H348" s="1">
        <v>0.0</v>
      </c>
      <c r="I348" s="1">
        <v>0.0</v>
      </c>
      <c r="J348" s="1">
        <v>2.0</v>
      </c>
      <c r="K348" s="1">
        <v>0.0</v>
      </c>
      <c r="L348" s="8" t="str">
        <f>vlookup(A348,salesx_all!B:E,2,0)</f>
        <v>#N/A</v>
      </c>
      <c r="M348" s="8" t="str">
        <f>vlookup(A348,salesx_all!B:D,3,0)</f>
        <v>#N/A</v>
      </c>
      <c r="N348" s="8" t="str">
        <f>vlookup(A348,salesx_all!B:E,4,0)</f>
        <v>#N/A</v>
      </c>
    </row>
    <row r="349">
      <c r="A349" s="1" t="s">
        <v>497</v>
      </c>
      <c r="B349" s="1">
        <f t="shared" si="1"/>
        <v>60</v>
      </c>
      <c r="C349" s="1">
        <v>2.0</v>
      </c>
      <c r="D349" s="1">
        <v>0.0</v>
      </c>
      <c r="E349" s="1">
        <v>2.0</v>
      </c>
      <c r="F349" s="6">
        <v>1.0</v>
      </c>
      <c r="G349" s="1">
        <v>2.0</v>
      </c>
      <c r="H349" s="1">
        <v>0.0</v>
      </c>
      <c r="I349" s="1">
        <v>2.0</v>
      </c>
      <c r="J349" s="1">
        <v>2.0</v>
      </c>
      <c r="K349" s="1">
        <v>0.0</v>
      </c>
      <c r="L349" s="8" t="str">
        <f>vlookup(A349,salesx_all!B:E,2,0)</f>
        <v>Don’t Be Surprised by Success. Plan For Growth. (And Manage It.)</v>
      </c>
      <c r="M349" s="8" t="str">
        <f>vlookup(A349,salesx_all!B:D,3,0)</f>
        <v/>
      </c>
      <c r="N349" s="8" t="str">
        <f>vlookup(A349,salesx_all!B:E,4,0)</f>
        <v/>
      </c>
    </row>
    <row r="350">
      <c r="A350" s="1" t="s">
        <v>498</v>
      </c>
      <c r="B350" s="1">
        <f t="shared" si="1"/>
        <v>18</v>
      </c>
      <c r="C350" s="1">
        <v>2.0</v>
      </c>
      <c r="D350" s="1">
        <v>0.0</v>
      </c>
      <c r="E350" s="1">
        <v>2.0</v>
      </c>
      <c r="F350" s="6">
        <v>1.0</v>
      </c>
      <c r="G350" s="1">
        <v>2.0</v>
      </c>
      <c r="H350" s="1">
        <v>0.0</v>
      </c>
      <c r="I350" s="1">
        <v>2.0</v>
      </c>
      <c r="J350" s="1">
        <v>2.0</v>
      </c>
      <c r="K350" s="1">
        <v>0.0</v>
      </c>
      <c r="L350" s="8" t="str">
        <f>vlookup(A350,salesx_all!B:E,2,0)</f>
        <v>#N/A</v>
      </c>
      <c r="M350" s="8" t="str">
        <f>vlookup(A350,salesx_all!B:D,3,0)</f>
        <v>#N/A</v>
      </c>
      <c r="N350" s="8" t="str">
        <f>vlookup(A350,salesx_all!B:E,4,0)</f>
        <v>#N/A</v>
      </c>
    </row>
    <row r="351">
      <c r="A351" s="1" t="s">
        <v>499</v>
      </c>
      <c r="B351" s="1">
        <f t="shared" si="1"/>
        <v>118</v>
      </c>
      <c r="C351" s="1">
        <v>2.0</v>
      </c>
      <c r="D351" s="1">
        <v>0.0</v>
      </c>
      <c r="E351" s="1">
        <v>2.0</v>
      </c>
      <c r="F351" s="6">
        <v>0.0</v>
      </c>
      <c r="G351" s="1">
        <v>0.0</v>
      </c>
      <c r="H351" s="1">
        <v>2.0</v>
      </c>
      <c r="I351" s="1">
        <v>2.0</v>
      </c>
      <c r="J351" s="1">
        <v>2.0</v>
      </c>
      <c r="K351" s="1">
        <v>8.0</v>
      </c>
      <c r="L351" s="8" t="str">
        <f>vlookup(A351,salesx_all!B:E,2,0)</f>
        <v>#N/A</v>
      </c>
      <c r="M351" s="8" t="str">
        <f>vlookup(A351,salesx_all!B:D,3,0)</f>
        <v>#N/A</v>
      </c>
      <c r="N351" s="8" t="str">
        <f>vlookup(A351,salesx_all!B:E,4,0)</f>
        <v>#N/A</v>
      </c>
    </row>
    <row r="352">
      <c r="A352" s="1" t="s">
        <v>500</v>
      </c>
      <c r="B352" s="1">
        <f t="shared" si="1"/>
        <v>119</v>
      </c>
      <c r="C352" s="1">
        <v>2.0</v>
      </c>
      <c r="D352" s="1">
        <v>0.0</v>
      </c>
      <c r="E352" s="1">
        <v>2.0</v>
      </c>
      <c r="F352" s="6">
        <v>1.0</v>
      </c>
      <c r="G352" s="1">
        <v>1.0</v>
      </c>
      <c r="H352" s="1">
        <v>0.0</v>
      </c>
      <c r="I352" s="1">
        <v>1.0</v>
      </c>
      <c r="J352" s="1">
        <v>2.0</v>
      </c>
      <c r="K352" s="1">
        <v>0.0</v>
      </c>
      <c r="L352" s="8" t="str">
        <f>vlookup(A352,salesx_all!B:E,2,0)</f>
        <v>#N/A</v>
      </c>
      <c r="M352" s="8" t="str">
        <f>vlookup(A352,salesx_all!B:D,3,0)</f>
        <v>#N/A</v>
      </c>
      <c r="N352" s="8" t="str">
        <f>vlookup(A352,salesx_all!B:E,4,0)</f>
        <v>#N/A</v>
      </c>
    </row>
    <row r="353">
      <c r="A353" s="1" t="s">
        <v>501</v>
      </c>
      <c r="B353" s="1">
        <f t="shared" si="1"/>
        <v>66</v>
      </c>
      <c r="C353" s="1">
        <v>2.0</v>
      </c>
      <c r="D353" s="1">
        <v>0.0</v>
      </c>
      <c r="E353" s="1">
        <v>2.0</v>
      </c>
      <c r="F353" s="6">
        <v>1.0</v>
      </c>
      <c r="G353" s="1">
        <v>2.0</v>
      </c>
      <c r="H353" s="1">
        <v>0.0</v>
      </c>
      <c r="I353" s="1">
        <v>2.0</v>
      </c>
      <c r="J353" s="1">
        <v>2.0</v>
      </c>
      <c r="K353" s="1">
        <v>0.0</v>
      </c>
      <c r="L353" s="8" t="str">
        <f>vlookup(A353,salesx_all!B:E,2,0)</f>
        <v>#N/A</v>
      </c>
      <c r="M353" s="8" t="str">
        <f>vlookup(A353,salesx_all!B:D,3,0)</f>
        <v>#N/A</v>
      </c>
      <c r="N353" s="8" t="str">
        <f>vlookup(A353,salesx_all!B:E,4,0)</f>
        <v>#N/A</v>
      </c>
    </row>
    <row r="354">
      <c r="A354" s="1" t="s">
        <v>502</v>
      </c>
      <c r="B354" s="1">
        <f t="shared" si="1"/>
        <v>64</v>
      </c>
      <c r="C354" s="1">
        <v>2.0</v>
      </c>
      <c r="D354" s="1">
        <v>0.0</v>
      </c>
      <c r="E354" s="1">
        <v>2.0</v>
      </c>
      <c r="F354" s="6">
        <v>1.0</v>
      </c>
      <c r="G354" s="1">
        <v>2.0</v>
      </c>
      <c r="H354" s="1">
        <v>0.0</v>
      </c>
      <c r="I354" s="1">
        <v>2.0</v>
      </c>
      <c r="J354" s="1">
        <v>2.0</v>
      </c>
      <c r="K354" s="1">
        <v>0.0</v>
      </c>
      <c r="L354" s="8" t="str">
        <f>vlookup(A354,salesx_all!B:E,2,0)</f>
        <v>#N/A</v>
      </c>
      <c r="M354" s="8" t="str">
        <f>vlookup(A354,salesx_all!B:D,3,0)</f>
        <v>#N/A</v>
      </c>
      <c r="N354" s="8" t="str">
        <f>vlookup(A354,salesx_all!B:E,4,0)</f>
        <v>#N/A</v>
      </c>
    </row>
    <row r="355">
      <c r="A355" s="1" t="s">
        <v>503</v>
      </c>
      <c r="B355" s="1">
        <f t="shared" si="1"/>
        <v>80</v>
      </c>
      <c r="C355" s="1">
        <v>2.0</v>
      </c>
      <c r="D355" s="1">
        <v>0.0</v>
      </c>
      <c r="E355" s="1">
        <v>2.0</v>
      </c>
      <c r="F355" s="6">
        <v>1.0</v>
      </c>
      <c r="G355" s="1">
        <v>2.0</v>
      </c>
      <c r="H355" s="1">
        <v>0.0</v>
      </c>
      <c r="I355" s="1">
        <v>1.0</v>
      </c>
      <c r="J355" s="1">
        <v>2.0</v>
      </c>
      <c r="K355" s="1">
        <v>0.0</v>
      </c>
      <c r="L355" s="8" t="str">
        <f>vlookup(A355,salesx_all!B:E,2,0)</f>
        <v>Every Enlightened Journey and Every Meaningful Climb Begins with a Single Step</v>
      </c>
      <c r="M355" s="8" t="str">
        <f>vlookup(A355,salesx_all!B:D,3,0)</f>
        <v>A Single Step</v>
      </c>
      <c r="N355" s="8" t="str">
        <f>vlookup(A355,salesx_all!B:E,4,0)</f>
        <v>Following a Well-lit Path</v>
      </c>
    </row>
    <row r="356">
      <c r="A356" s="1" t="s">
        <v>504</v>
      </c>
      <c r="B356" s="1">
        <f t="shared" si="1"/>
        <v>41</v>
      </c>
      <c r="C356" s="1">
        <v>2.0</v>
      </c>
      <c r="D356" s="1">
        <v>0.0</v>
      </c>
      <c r="E356" s="1">
        <v>2.0</v>
      </c>
      <c r="F356" s="6">
        <v>1.0</v>
      </c>
      <c r="G356" s="1">
        <v>2.0</v>
      </c>
      <c r="H356" s="1">
        <v>0.0</v>
      </c>
      <c r="I356" s="1">
        <v>2.0</v>
      </c>
      <c r="J356" s="1">
        <v>2.0</v>
      </c>
      <c r="K356" s="1">
        <v>0.0</v>
      </c>
      <c r="L356" s="8" t="str">
        <f>vlookup(A356,salesx_all!B:E,2,0)</f>
        <v>#N/A</v>
      </c>
      <c r="M356" s="8" t="str">
        <f>vlookup(A356,salesx_all!B:D,3,0)</f>
        <v>#N/A</v>
      </c>
      <c r="N356" s="8" t="str">
        <f>vlookup(A356,salesx_all!B:E,4,0)</f>
        <v>#N/A</v>
      </c>
    </row>
    <row r="357">
      <c r="A357" s="1" t="s">
        <v>505</v>
      </c>
      <c r="B357" s="1">
        <f t="shared" si="1"/>
        <v>92</v>
      </c>
      <c r="C357" s="1">
        <v>2.0</v>
      </c>
      <c r="D357" s="1">
        <v>0.0</v>
      </c>
      <c r="E357" s="1">
        <v>2.0</v>
      </c>
      <c r="F357" s="6">
        <v>1.0</v>
      </c>
      <c r="G357" s="1">
        <v>2.0</v>
      </c>
      <c r="H357" s="1">
        <v>0.0</v>
      </c>
      <c r="I357" s="1">
        <v>2.0</v>
      </c>
      <c r="J357" s="1">
        <v>2.0</v>
      </c>
      <c r="K357" s="1">
        <v>0.0</v>
      </c>
      <c r="L357" s="8" t="str">
        <f>vlookup(A357,salesx_all!B:E,2,0)</f>
        <v>Finding a Sales Star Player: Using Ideal Candidate Profiles to Help You Build the Best Team</v>
      </c>
      <c r="M357" s="8" t="str">
        <f>vlookup(A357,salesx_all!B:D,3,0)</f>
        <v>Determine The Required Skills</v>
      </c>
      <c r="N357" s="8" t="str">
        <f>vlookup(A357,salesx_all!B:E,4,0)</f>
        <v>What Personal Characteristics Would Make a Cultural Fit</v>
      </c>
    </row>
    <row r="358">
      <c r="A358" s="1" t="s">
        <v>506</v>
      </c>
      <c r="B358" s="1">
        <f t="shared" si="1"/>
        <v>48</v>
      </c>
      <c r="C358" s="1">
        <v>2.0</v>
      </c>
      <c r="D358" s="1">
        <v>0.0</v>
      </c>
      <c r="E358" s="1">
        <v>2.0</v>
      </c>
      <c r="F358" s="6">
        <v>1.0</v>
      </c>
      <c r="G358" s="1">
        <v>2.0</v>
      </c>
      <c r="H358" s="1">
        <v>0.0</v>
      </c>
      <c r="I358" s="1">
        <v>2.0</v>
      </c>
      <c r="J358" s="1">
        <v>2.0</v>
      </c>
      <c r="K358" s="1">
        <v>0.0</v>
      </c>
      <c r="L358" s="8" t="str">
        <f>vlookup(A358,salesx_all!B:E,2,0)</f>
        <v>Finding Your Target Market and Target Customer</v>
      </c>
      <c r="M358" s="8" t="str">
        <f>vlookup(A358,salesx_all!B:D,3,0)</f>
        <v>Manage Your Time</v>
      </c>
      <c r="N358" s="8" t="str">
        <f>vlookup(A358,salesx_all!B:E,4,0)</f>
        <v>What Value Do You Provide?</v>
      </c>
    </row>
    <row r="359">
      <c r="A359" s="1" t="s">
        <v>507</v>
      </c>
      <c r="B359" s="1">
        <f t="shared" si="1"/>
        <v>49</v>
      </c>
      <c r="C359" s="1">
        <v>2.0</v>
      </c>
      <c r="D359" s="1">
        <v>0.0</v>
      </c>
      <c r="E359" s="1">
        <v>2.0</v>
      </c>
      <c r="F359" s="6">
        <v>0.0</v>
      </c>
      <c r="G359" s="1">
        <v>0.0</v>
      </c>
      <c r="H359" s="1">
        <v>2.0</v>
      </c>
      <c r="I359" s="1">
        <v>4.0</v>
      </c>
      <c r="J359" s="1">
        <v>2.0</v>
      </c>
      <c r="K359" s="1">
        <v>39.5</v>
      </c>
      <c r="L359" s="8" t="str">
        <f>vlookup(A359,salesx_all!B:E,2,0)</f>
        <v>#N/A</v>
      </c>
      <c r="M359" s="8" t="str">
        <f>vlookup(A359,salesx_all!B:D,3,0)</f>
        <v>#N/A</v>
      </c>
      <c r="N359" s="8" t="str">
        <f>vlookup(A359,salesx_all!B:E,4,0)</f>
        <v>#N/A</v>
      </c>
    </row>
    <row r="360">
      <c r="A360" s="1" t="s">
        <v>508</v>
      </c>
      <c r="B360" s="1">
        <f t="shared" si="1"/>
        <v>67</v>
      </c>
      <c r="C360" s="1">
        <v>2.0</v>
      </c>
      <c r="D360" s="1">
        <v>0.0</v>
      </c>
      <c r="E360" s="1">
        <v>2.0</v>
      </c>
      <c r="F360" s="6">
        <v>0.0</v>
      </c>
      <c r="G360" s="1">
        <v>1.0</v>
      </c>
      <c r="H360" s="1">
        <v>2.0</v>
      </c>
      <c r="I360" s="1">
        <v>2.0</v>
      </c>
      <c r="J360" s="1">
        <v>2.0</v>
      </c>
      <c r="K360" s="1">
        <v>111.0</v>
      </c>
      <c r="L360" s="8" t="str">
        <f>vlookup(A360,salesx_all!B:E,2,0)</f>
        <v>Fresh Starts, New Beginnings, and Finding Your Professional Purpose</v>
      </c>
      <c r="M360" s="8" t="str">
        <f>vlookup(A360,salesx_all!B:D,3,0)</f>
        <v>The Backstory</v>
      </c>
      <c r="N360" s="8" t="str">
        <f>vlookup(A360,salesx_all!B:E,4,0)</f>
        <v>Everything Changes</v>
      </c>
    </row>
    <row r="361">
      <c r="A361" s="1" t="s">
        <v>509</v>
      </c>
      <c r="B361" s="1">
        <f t="shared" si="1"/>
        <v>56</v>
      </c>
      <c r="C361" s="1">
        <v>2.0</v>
      </c>
      <c r="D361" s="1">
        <v>0.0</v>
      </c>
      <c r="E361" s="1">
        <v>2.0</v>
      </c>
      <c r="F361" s="6">
        <v>1.0</v>
      </c>
      <c r="G361" s="1">
        <v>2.0</v>
      </c>
      <c r="H361" s="1">
        <v>0.0</v>
      </c>
      <c r="I361" s="1">
        <v>2.0</v>
      </c>
      <c r="J361" s="1">
        <v>2.0</v>
      </c>
      <c r="K361" s="1">
        <v>0.0</v>
      </c>
      <c r="L361" s="8" t="str">
        <f>vlookup(A361,salesx_all!B:E,2,0)</f>
        <v>Fueling Sales by Building the Best Sales Engine (Part 1)</v>
      </c>
      <c r="M361" s="8" t="str">
        <f>vlookup(A361,salesx_all!B:D,3,0)</f>
        <v/>
      </c>
      <c r="N361" s="8" t="str">
        <f>vlookup(A361,salesx_all!B:E,4,0)</f>
        <v/>
      </c>
    </row>
    <row r="362">
      <c r="A362" s="1" t="s">
        <v>510</v>
      </c>
      <c r="B362" s="1">
        <f t="shared" si="1"/>
        <v>56</v>
      </c>
      <c r="C362" s="1">
        <v>2.0</v>
      </c>
      <c r="D362" s="1">
        <v>0.0</v>
      </c>
      <c r="E362" s="1">
        <v>2.0</v>
      </c>
      <c r="F362" s="6">
        <v>1.0</v>
      </c>
      <c r="G362" s="1">
        <v>2.0</v>
      </c>
      <c r="H362" s="1">
        <v>0.0</v>
      </c>
      <c r="I362" s="1">
        <v>2.0</v>
      </c>
      <c r="J362" s="1">
        <v>2.0</v>
      </c>
      <c r="K362" s="1">
        <v>0.0</v>
      </c>
      <c r="L362" s="8" t="str">
        <f>vlookup(A362,salesx_all!B:E,2,0)</f>
        <v>Fueling Sales by Building the Best Sales Engine (Part 2)</v>
      </c>
      <c r="M362" s="8" t="str">
        <f>vlookup(A362,salesx_all!B:D,3,0)</f>
        <v/>
      </c>
      <c r="N362" s="8" t="str">
        <f>vlookup(A362,salesx_all!B:E,4,0)</f>
        <v/>
      </c>
    </row>
    <row r="363">
      <c r="A363" s="1" t="s">
        <v>511</v>
      </c>
      <c r="B363" s="1">
        <f t="shared" si="1"/>
        <v>83</v>
      </c>
      <c r="C363" s="1">
        <v>2.0</v>
      </c>
      <c r="D363" s="1">
        <v>0.0</v>
      </c>
      <c r="E363" s="1">
        <v>2.0</v>
      </c>
      <c r="F363" s="6">
        <v>1.0</v>
      </c>
      <c r="G363" s="1">
        <v>1.0</v>
      </c>
      <c r="H363" s="1">
        <v>0.0</v>
      </c>
      <c r="I363" s="1">
        <v>1.0</v>
      </c>
      <c r="J363" s="1">
        <v>2.0</v>
      </c>
      <c r="K363" s="1">
        <v>17.5</v>
      </c>
      <c r="L363" s="8" t="str">
        <f>vlookup(A363,salesx_all!B:E,2,0)</f>
        <v>High-Level Strategies for Identifying and Attracting Top-Tier Sales Professionals</v>
      </c>
      <c r="M363" s="8" t="str">
        <f>vlookup(A363,salesx_all!B:D,3,0)</f>
        <v>Start With a Strong Position Description and Ideal Candidate Profile</v>
      </c>
      <c r="N363" s="8" t="str">
        <f>vlookup(A363,salesx_all!B:E,4,0)</f>
        <v>Incorporate Behavioral Assessments to Identify Top Performers</v>
      </c>
    </row>
    <row r="364">
      <c r="A364" s="1" t="s">
        <v>512</v>
      </c>
      <c r="B364" s="1">
        <f t="shared" si="1"/>
        <v>37</v>
      </c>
      <c r="C364" s="1">
        <v>2.0</v>
      </c>
      <c r="D364" s="1">
        <v>0.0</v>
      </c>
      <c r="E364" s="1">
        <v>2.0</v>
      </c>
      <c r="F364" s="6">
        <v>1.0</v>
      </c>
      <c r="G364" s="1">
        <v>2.0</v>
      </c>
      <c r="H364" s="1">
        <v>0.0</v>
      </c>
      <c r="I364" s="1">
        <v>2.0</v>
      </c>
      <c r="J364" s="1">
        <v>2.0</v>
      </c>
      <c r="K364" s="1">
        <v>0.0</v>
      </c>
      <c r="L364" s="8" t="str">
        <f>vlookup(A364,salesx_all!B:E,2,0)</f>
        <v>#N/A</v>
      </c>
      <c r="M364" s="8" t="str">
        <f>vlookup(A364,salesx_all!B:D,3,0)</f>
        <v>#N/A</v>
      </c>
      <c r="N364" s="8" t="str">
        <f>vlookup(A364,salesx_all!B:E,4,0)</f>
        <v>#N/A</v>
      </c>
    </row>
    <row r="365">
      <c r="A365" s="1" t="s">
        <v>513</v>
      </c>
      <c r="B365" s="1">
        <f t="shared" si="1"/>
        <v>66</v>
      </c>
      <c r="C365" s="1">
        <v>2.0</v>
      </c>
      <c r="D365" s="1">
        <v>0.0</v>
      </c>
      <c r="E365" s="1">
        <v>2.0</v>
      </c>
      <c r="F365" s="6">
        <v>0.5</v>
      </c>
      <c r="G365" s="1">
        <v>1.0</v>
      </c>
      <c r="H365" s="1">
        <v>1.0</v>
      </c>
      <c r="I365" s="1">
        <v>2.0</v>
      </c>
      <c r="J365" s="1">
        <v>2.0</v>
      </c>
      <c r="K365" s="1">
        <v>4.5</v>
      </c>
      <c r="L365" s="8" t="str">
        <f>vlookup(A365,salesx_all!B:E,2,0)</f>
        <v>How Fractional Leadership Helps Businesses Pivot to a New Normal</v>
      </c>
      <c r="M365" s="8" t="str">
        <f>vlookup(A365,salesx_all!B:D,3,0)</f>
        <v>Just What IS Fractional Leadership?</v>
      </c>
      <c r="N365" s="8" t="str">
        <f>vlookup(A365,salesx_all!B:E,4,0)</f>
        <v>From Fragile to Agile</v>
      </c>
    </row>
    <row r="366">
      <c r="A366" s="1" t="s">
        <v>514</v>
      </c>
      <c r="B366" s="1">
        <f t="shared" si="1"/>
        <v>68</v>
      </c>
      <c r="C366" s="1">
        <v>2.0</v>
      </c>
      <c r="D366" s="1">
        <v>0.0</v>
      </c>
      <c r="E366" s="1">
        <v>2.0</v>
      </c>
      <c r="F366" s="6">
        <v>1.0</v>
      </c>
      <c r="G366" s="1">
        <v>2.0</v>
      </c>
      <c r="H366" s="1">
        <v>0.0</v>
      </c>
      <c r="I366" s="1">
        <v>2.0</v>
      </c>
      <c r="J366" s="1">
        <v>2.0</v>
      </c>
      <c r="K366" s="1">
        <v>0.0</v>
      </c>
      <c r="L366" s="8" t="str">
        <f>vlookup(A366,salesx_all!B:E,2,0)</f>
        <v>Fast Company – How Interim Executives can be a Surprising Benefit to your Company</v>
      </c>
      <c r="M366" s="8" t="str">
        <f>vlookup(A366,salesx_all!B:D,3,0)</f>
        <v/>
      </c>
      <c r="N366" s="8" t="str">
        <f>vlookup(A366,salesx_all!B:E,4,0)</f>
        <v/>
      </c>
    </row>
    <row r="367">
      <c r="A367" s="1" t="s">
        <v>515</v>
      </c>
      <c r="B367" s="1">
        <f t="shared" si="1"/>
        <v>36</v>
      </c>
      <c r="C367" s="1">
        <v>2.0</v>
      </c>
      <c r="D367" s="1">
        <v>0.0</v>
      </c>
      <c r="E367" s="1">
        <v>2.0</v>
      </c>
      <c r="F367" s="6">
        <v>0.5</v>
      </c>
      <c r="G367" s="1">
        <v>2.0</v>
      </c>
      <c r="H367" s="1">
        <v>1.0</v>
      </c>
      <c r="I367" s="1">
        <v>2.0</v>
      </c>
      <c r="J367" s="1">
        <v>2.0</v>
      </c>
      <c r="K367" s="1">
        <v>152.0</v>
      </c>
      <c r="L367" s="8" t="str">
        <f>vlookup(A367,salesx_all!B:E,2,0)</f>
        <v>How Silence Can Help You Sell More</v>
      </c>
      <c r="M367" s="8" t="str">
        <f>vlookup(A367,salesx_all!B:D,3,0)</f>
        <v/>
      </c>
      <c r="N367" s="8" t="str">
        <f>vlookup(A367,salesx_all!B:E,4,0)</f>
        <v/>
      </c>
    </row>
    <row r="368">
      <c r="A368" s="1" t="s">
        <v>516</v>
      </c>
      <c r="B368" s="1">
        <f t="shared" si="1"/>
        <v>66</v>
      </c>
      <c r="C368" s="1">
        <v>2.0</v>
      </c>
      <c r="D368" s="1">
        <v>0.0</v>
      </c>
      <c r="E368" s="1">
        <v>2.0</v>
      </c>
      <c r="F368" s="6">
        <v>1.0</v>
      </c>
      <c r="G368" s="1">
        <v>2.0</v>
      </c>
      <c r="H368" s="1">
        <v>0.0</v>
      </c>
      <c r="I368" s="1">
        <v>2.0</v>
      </c>
      <c r="J368" s="1">
        <v>2.0</v>
      </c>
      <c r="K368" s="1">
        <v>0.0</v>
      </c>
      <c r="L368" s="8" t="str">
        <f>vlookup(A368,salesx_all!B:E,2,0)</f>
        <v>How to Build a Strong Culture While Managing a Remote Sales Team</v>
      </c>
      <c r="M368" s="8" t="str">
        <f>vlookup(A368,salesx_all!B:D,3,0)</f>
        <v/>
      </c>
      <c r="N368" s="8" t="str">
        <f>vlookup(A368,salesx_all!B:E,4,0)</f>
        <v/>
      </c>
    </row>
    <row r="369">
      <c r="A369" s="1" t="s">
        <v>517</v>
      </c>
      <c r="B369" s="1">
        <f t="shared" si="1"/>
        <v>30</v>
      </c>
      <c r="C369" s="1">
        <v>2.0</v>
      </c>
      <c r="D369" s="1">
        <v>0.0</v>
      </c>
      <c r="E369" s="1">
        <v>2.0</v>
      </c>
      <c r="F369" s="6">
        <v>1.0</v>
      </c>
      <c r="G369" s="1">
        <v>2.0</v>
      </c>
      <c r="H369" s="1">
        <v>0.0</v>
      </c>
      <c r="I369" s="1">
        <v>2.0</v>
      </c>
      <c r="J369" s="1">
        <v>2.0</v>
      </c>
      <c r="K369" s="1">
        <v>0.0</v>
      </c>
      <c r="L369" s="8" t="str">
        <f>vlookup(A369,salesx_all!B:E,2,0)</f>
        <v>#N/A</v>
      </c>
      <c r="M369" s="8" t="str">
        <f>vlookup(A369,salesx_all!B:D,3,0)</f>
        <v>#N/A</v>
      </c>
      <c r="N369" s="8" t="str">
        <f>vlookup(A369,salesx_all!B:E,4,0)</f>
        <v>#N/A</v>
      </c>
    </row>
    <row r="370">
      <c r="A370" s="1" t="s">
        <v>518</v>
      </c>
      <c r="B370" s="1">
        <f t="shared" si="1"/>
        <v>67</v>
      </c>
      <c r="C370" s="1">
        <v>2.0</v>
      </c>
      <c r="D370" s="1">
        <v>0.0</v>
      </c>
      <c r="E370" s="1">
        <v>2.0</v>
      </c>
      <c r="F370" s="6">
        <v>1.0</v>
      </c>
      <c r="G370" s="1">
        <v>2.0</v>
      </c>
      <c r="H370" s="1">
        <v>0.0</v>
      </c>
      <c r="I370" s="1">
        <v>2.0</v>
      </c>
      <c r="J370" s="1">
        <v>2.0</v>
      </c>
      <c r="K370" s="1">
        <v>0.0</v>
      </c>
      <c r="L370" s="8" t="str">
        <f>vlookup(A370,salesx_all!B:E,2,0)</f>
        <v>SMB CEO – How to Leverage a Competitor Sales Analysis to Grow Your Business</v>
      </c>
      <c r="M370" s="8" t="str">
        <f>vlookup(A370,salesx_all!B:D,3,0)</f>
        <v/>
      </c>
      <c r="N370" s="8" t="str">
        <f>vlookup(A370,salesx_all!B:E,4,0)</f>
        <v/>
      </c>
    </row>
    <row r="371">
      <c r="A371" s="1" t="s">
        <v>519</v>
      </c>
      <c r="B371" s="1">
        <f t="shared" si="1"/>
        <v>33</v>
      </c>
      <c r="C371" s="1">
        <v>2.0</v>
      </c>
      <c r="D371" s="1">
        <v>0.0</v>
      </c>
      <c r="E371" s="1">
        <v>2.0</v>
      </c>
      <c r="F371" s="6">
        <v>1.0</v>
      </c>
      <c r="G371" s="1">
        <v>2.0</v>
      </c>
      <c r="H371" s="1">
        <v>0.0</v>
      </c>
      <c r="I371" s="1">
        <v>2.0</v>
      </c>
      <c r="J371" s="1">
        <v>2.0</v>
      </c>
      <c r="K371" s="1">
        <v>0.0</v>
      </c>
      <c r="L371" s="8" t="str">
        <f>vlookup(A371,salesx_all!B:E,2,0)</f>
        <v>#N/A</v>
      </c>
      <c r="M371" s="8" t="str">
        <f>vlookup(A371,salesx_all!B:D,3,0)</f>
        <v>#N/A</v>
      </c>
      <c r="N371" s="8" t="str">
        <f>vlookup(A371,salesx_all!B:E,4,0)</f>
        <v>#N/A</v>
      </c>
    </row>
    <row r="372">
      <c r="A372" s="1" t="s">
        <v>520</v>
      </c>
      <c r="B372" s="1">
        <f t="shared" si="1"/>
        <v>34</v>
      </c>
      <c r="C372" s="1">
        <v>2.0</v>
      </c>
      <c r="D372" s="1">
        <v>0.0</v>
      </c>
      <c r="E372" s="1">
        <v>2.0</v>
      </c>
      <c r="F372" s="6">
        <v>1.0</v>
      </c>
      <c r="G372" s="1">
        <v>1.0</v>
      </c>
      <c r="H372" s="1">
        <v>0.0</v>
      </c>
      <c r="I372" s="1">
        <v>1.0</v>
      </c>
      <c r="J372" s="1">
        <v>2.0</v>
      </c>
      <c r="K372" s="1">
        <v>17.0</v>
      </c>
      <c r="L372" s="8" t="str">
        <f>vlookup(A372,salesx_all!B:E,2,0)</f>
        <v>How to Sell More by “Selling” Less</v>
      </c>
      <c r="M372" s="8" t="str">
        <f>vlookup(A372,salesx_all!B:D,3,0)</f>
        <v>Time to Change Your Sales Philosophy</v>
      </c>
      <c r="N372" s="8" t="str">
        <f>vlookup(A372,salesx_all!B:E,4,0)</f>
        <v>Time to Change Your Sales Approach</v>
      </c>
    </row>
    <row r="373">
      <c r="A373" s="1" t="s">
        <v>521</v>
      </c>
      <c r="B373" s="1">
        <f t="shared" si="1"/>
        <v>80</v>
      </c>
      <c r="C373" s="1">
        <v>2.0</v>
      </c>
      <c r="D373" s="1">
        <v>0.0</v>
      </c>
      <c r="E373" s="1">
        <v>2.0</v>
      </c>
      <c r="F373" s="6">
        <v>1.0</v>
      </c>
      <c r="G373" s="1">
        <v>2.0</v>
      </c>
      <c r="H373" s="1">
        <v>0.0</v>
      </c>
      <c r="I373" s="1">
        <v>2.0</v>
      </c>
      <c r="J373" s="1">
        <v>2.0</v>
      </c>
      <c r="K373" s="1">
        <v>0.5</v>
      </c>
      <c r="L373" s="8" t="str">
        <f>vlookup(A373,salesx_all!B:E,2,0)</f>
        <v>How to Start Your Second Half of Significance and Fulfilling Your Life Purpose</v>
      </c>
      <c r="M373" s="8" t="str">
        <f>vlookup(A373,salesx_all!B:D,3,0)</f>
        <v/>
      </c>
      <c r="N373" s="8" t="str">
        <f>vlookup(A373,salesx_all!B:E,4,0)</f>
        <v/>
      </c>
    </row>
    <row r="374">
      <c r="A374" s="1" t="s">
        <v>522</v>
      </c>
      <c r="B374" s="1">
        <f t="shared" si="1"/>
        <v>46</v>
      </c>
      <c r="C374" s="1">
        <v>2.0</v>
      </c>
      <c r="D374" s="1">
        <v>0.0</v>
      </c>
      <c r="E374" s="1">
        <v>2.0</v>
      </c>
      <c r="F374" s="6">
        <v>0.5</v>
      </c>
      <c r="G374" s="1">
        <v>2.0</v>
      </c>
      <c r="H374" s="1">
        <v>1.0</v>
      </c>
      <c r="I374" s="1">
        <v>2.0</v>
      </c>
      <c r="J374" s="1">
        <v>2.0</v>
      </c>
      <c r="K374" s="1">
        <v>0.5</v>
      </c>
      <c r="L374" s="8" t="str">
        <f>vlookup(A374,salesx_all!B:E,2,0)</f>
        <v>How to Use “Onboarding” to Boost Sales Success</v>
      </c>
      <c r="M374" s="8" t="str">
        <f>vlookup(A374,salesx_all!B:D,3,0)</f>
        <v/>
      </c>
      <c r="N374" s="8" t="str">
        <f>vlookup(A374,salesx_all!B:E,4,0)</f>
        <v/>
      </c>
    </row>
    <row r="375">
      <c r="A375" s="1" t="s">
        <v>523</v>
      </c>
      <c r="B375" s="1">
        <f t="shared" si="1"/>
        <v>63</v>
      </c>
      <c r="C375" s="1">
        <v>2.0</v>
      </c>
      <c r="D375" s="1">
        <v>0.0</v>
      </c>
      <c r="E375" s="1">
        <v>2.0</v>
      </c>
      <c r="F375" s="6">
        <v>1.0</v>
      </c>
      <c r="G375" s="1">
        <v>2.0</v>
      </c>
      <c r="H375" s="1">
        <v>0.0</v>
      </c>
      <c r="I375" s="1">
        <v>1.0</v>
      </c>
      <c r="J375" s="1">
        <v>2.0</v>
      </c>
      <c r="K375" s="1">
        <v>0.0</v>
      </c>
      <c r="L375" s="8" t="str">
        <f>vlookup(A375,salesx_all!B:E,2,0)</f>
        <v>#N/A</v>
      </c>
      <c r="M375" s="8" t="str">
        <f>vlookup(A375,salesx_all!B:D,3,0)</f>
        <v>#N/A</v>
      </c>
      <c r="N375" s="8" t="str">
        <f>vlookup(A375,salesx_all!B:E,4,0)</f>
        <v>#N/A</v>
      </c>
    </row>
    <row r="376">
      <c r="A376" s="1" t="s">
        <v>524</v>
      </c>
      <c r="B376" s="1">
        <f t="shared" si="1"/>
        <v>38</v>
      </c>
      <c r="C376" s="1">
        <v>2.0</v>
      </c>
      <c r="D376" s="1">
        <v>0.0</v>
      </c>
      <c r="E376" s="1">
        <v>2.0</v>
      </c>
      <c r="F376" s="6">
        <v>1.0</v>
      </c>
      <c r="G376" s="1">
        <v>2.0</v>
      </c>
      <c r="H376" s="1">
        <v>0.0</v>
      </c>
      <c r="I376" s="1">
        <v>0.0</v>
      </c>
      <c r="J376" s="1">
        <v>2.0</v>
      </c>
      <c r="K376" s="1">
        <v>0.0</v>
      </c>
      <c r="L376" s="8" t="str">
        <f>vlookup(A376,salesx_all!B:E,2,0)</f>
        <v>The Importance of Sales Team Accountability</v>
      </c>
      <c r="M376" s="8" t="str">
        <f>vlookup(A376,salesx_all!B:D,3,0)</f>
        <v/>
      </c>
      <c r="N376" s="8" t="str">
        <f>vlookup(A376,salesx_all!B:E,4,0)</f>
        <v/>
      </c>
    </row>
    <row r="377">
      <c r="A377" s="1" t="s">
        <v>525</v>
      </c>
      <c r="B377" s="1">
        <f t="shared" si="1"/>
        <v>84</v>
      </c>
      <c r="C377" s="1">
        <v>2.0</v>
      </c>
      <c r="D377" s="1">
        <v>0.0</v>
      </c>
      <c r="E377" s="1">
        <v>2.0</v>
      </c>
      <c r="F377" s="6">
        <v>1.0</v>
      </c>
      <c r="G377" s="1">
        <v>1.0</v>
      </c>
      <c r="H377" s="1">
        <v>0.0</v>
      </c>
      <c r="I377" s="1">
        <v>2.0</v>
      </c>
      <c r="J377" s="1">
        <v>2.0</v>
      </c>
      <c r="K377" s="1">
        <v>0.0</v>
      </c>
      <c r="L377" s="8" t="str">
        <f>vlookup(A377,salesx_all!B:E,2,0)</f>
        <v>Inbound vs. Outbound Sales: Knowing the Difference Will Greatly Improve Your Success!</v>
      </c>
      <c r="M377" s="8" t="str">
        <f>vlookup(A377,salesx_all!B:D,3,0)</f>
        <v/>
      </c>
      <c r="N377" s="8" t="str">
        <f>vlookup(A377,salesx_all!B:E,4,0)</f>
        <v/>
      </c>
    </row>
    <row r="378">
      <c r="A378" s="1" t="s">
        <v>526</v>
      </c>
      <c r="B378" s="1">
        <f t="shared" si="1"/>
        <v>39</v>
      </c>
      <c r="C378" s="1">
        <v>2.0</v>
      </c>
      <c r="D378" s="1">
        <v>0.0</v>
      </c>
      <c r="E378" s="1">
        <v>1.0</v>
      </c>
      <c r="F378" s="6">
        <v>1.0</v>
      </c>
      <c r="G378" s="1">
        <v>1.0</v>
      </c>
      <c r="H378" s="1">
        <v>0.0</v>
      </c>
      <c r="I378" s="1">
        <v>1.0</v>
      </c>
      <c r="J378" s="1">
        <v>1.0</v>
      </c>
      <c r="K378" s="1">
        <v>0.0</v>
      </c>
      <c r="L378" s="8" t="str">
        <f>vlookup(A378,salesx_all!B:E,2,0)</f>
        <v>Does the Internet Mean You Don’t Need a Salesperson?</v>
      </c>
      <c r="M378" s="8" t="str">
        <f>vlookup(A378,salesx_all!B:D,3,0)</f>
        <v/>
      </c>
      <c r="N378" s="8" t="str">
        <f>vlookup(A378,salesx_all!B:E,4,0)</f>
        <v/>
      </c>
    </row>
    <row r="379">
      <c r="A379" s="1" t="s">
        <v>527</v>
      </c>
      <c r="B379" s="1">
        <f t="shared" si="1"/>
        <v>46</v>
      </c>
      <c r="C379" s="1">
        <v>2.0</v>
      </c>
      <c r="D379" s="1">
        <v>0.0</v>
      </c>
      <c r="E379" s="1">
        <v>2.0</v>
      </c>
      <c r="F379" s="6">
        <v>1.0</v>
      </c>
      <c r="G379" s="1">
        <v>2.0</v>
      </c>
      <c r="H379" s="1">
        <v>0.0</v>
      </c>
      <c r="I379" s="1">
        <v>2.0</v>
      </c>
      <c r="J379" s="1">
        <v>2.0</v>
      </c>
      <c r="K379" s="1">
        <v>3.0</v>
      </c>
      <c r="L379" s="8" t="str">
        <f>vlookup(A379,salesx_all!B:E,2,0)</f>
        <v>#N/A</v>
      </c>
      <c r="M379" s="8" t="str">
        <f>vlookup(A379,salesx_all!B:D,3,0)</f>
        <v>#N/A</v>
      </c>
      <c r="N379" s="8" t="str">
        <f>vlookup(A379,salesx_all!B:E,4,0)</f>
        <v>#N/A</v>
      </c>
    </row>
    <row r="380">
      <c r="A380" s="1" t="s">
        <v>528</v>
      </c>
      <c r="B380" s="1">
        <f t="shared" si="1"/>
        <v>25</v>
      </c>
      <c r="C380" s="1">
        <v>2.0</v>
      </c>
      <c r="D380" s="1">
        <v>0.0</v>
      </c>
      <c r="E380" s="1">
        <v>2.0</v>
      </c>
      <c r="F380" s="6">
        <v>1.0</v>
      </c>
      <c r="G380" s="1">
        <v>2.0</v>
      </c>
      <c r="H380" s="1">
        <v>0.0</v>
      </c>
      <c r="I380" s="1">
        <v>2.0</v>
      </c>
      <c r="J380" s="1">
        <v>2.0</v>
      </c>
      <c r="K380" s="1">
        <v>0.0</v>
      </c>
      <c r="L380" s="8" t="str">
        <f>vlookup(A380,salesx_all!B:E,2,0)</f>
        <v>KISS Your Ideas About CRMs Goodbye</v>
      </c>
      <c r="M380" s="8" t="str">
        <f>vlookup(A380,salesx_all!B:D,3,0)</f>
        <v/>
      </c>
      <c r="N380" s="8" t="str">
        <f>vlookup(A380,salesx_all!B:E,4,0)</f>
        <v/>
      </c>
    </row>
    <row r="381">
      <c r="A381" s="1" t="s">
        <v>529</v>
      </c>
      <c r="B381" s="1">
        <f t="shared" si="1"/>
        <v>8</v>
      </c>
      <c r="C381" s="1">
        <v>2.0</v>
      </c>
      <c r="D381" s="1">
        <v>0.0</v>
      </c>
      <c r="E381" s="1">
        <v>2.0</v>
      </c>
      <c r="F381" s="6">
        <v>1.0</v>
      </c>
      <c r="G381" s="1">
        <v>2.0</v>
      </c>
      <c r="H381" s="1">
        <v>0.0</v>
      </c>
      <c r="I381" s="1">
        <v>2.0</v>
      </c>
      <c r="J381" s="1">
        <v>2.0</v>
      </c>
      <c r="K381" s="1">
        <v>0.0</v>
      </c>
      <c r="L381" s="8" t="str">
        <f>vlookup(A381,salesx_all!B:E,2,0)</f>
        <v>#N/A</v>
      </c>
      <c r="M381" s="8" t="str">
        <f>vlookup(A381,salesx_all!B:D,3,0)</f>
        <v>#N/A</v>
      </c>
      <c r="N381" s="8" t="str">
        <f>vlookup(A381,salesx_all!B:E,4,0)</f>
        <v>#N/A</v>
      </c>
    </row>
    <row r="382">
      <c r="A382" s="1" t="s">
        <v>530</v>
      </c>
      <c r="B382" s="1">
        <f t="shared" si="1"/>
        <v>59</v>
      </c>
      <c r="C382" s="1">
        <v>2.0</v>
      </c>
      <c r="D382" s="1">
        <v>0.0</v>
      </c>
      <c r="E382" s="1">
        <v>2.0</v>
      </c>
      <c r="F382" s="6">
        <v>1.0</v>
      </c>
      <c r="G382" s="1">
        <v>2.0</v>
      </c>
      <c r="H382" s="1">
        <v>0.0</v>
      </c>
      <c r="I382" s="1">
        <v>2.0</v>
      </c>
      <c r="J382" s="1">
        <v>2.0</v>
      </c>
      <c r="K382" s="1">
        <v>0.0</v>
      </c>
      <c r="L382" s="8" t="str">
        <f>vlookup(A382,salesx_all!B:E,2,0)</f>
        <v>Leading with Heart: Sales, Marketing, and Servant Leadership</v>
      </c>
      <c r="M382" s="8" t="str">
        <f>vlookup(A382,salesx_all!B:D,3,0)</f>
        <v/>
      </c>
      <c r="N382" s="8" t="str">
        <f>vlookup(A382,salesx_all!B:E,4,0)</f>
        <v/>
      </c>
    </row>
    <row r="383">
      <c r="A383" s="1" t="s">
        <v>531</v>
      </c>
      <c r="B383" s="1">
        <f t="shared" si="1"/>
        <v>57</v>
      </c>
      <c r="C383" s="1">
        <v>2.0</v>
      </c>
      <c r="D383" s="1">
        <v>0.0</v>
      </c>
      <c r="E383" s="1">
        <v>2.0</v>
      </c>
      <c r="F383" s="6">
        <v>1.0</v>
      </c>
      <c r="G383" s="1">
        <v>2.0</v>
      </c>
      <c r="H383" s="1">
        <v>0.0</v>
      </c>
      <c r="I383" s="1">
        <v>2.0</v>
      </c>
      <c r="J383" s="1">
        <v>2.0</v>
      </c>
      <c r="K383" s="1">
        <v>0.0</v>
      </c>
      <c r="L383" s="8" t="str">
        <f>vlookup(A383,salesx_all!B:E,2,0)</f>
        <v>Leveraging Sales Agility for Revenue Operations Success</v>
      </c>
      <c r="M383" s="8" t="str">
        <f>vlookup(A383,salesx_all!B:D,3,0)</f>
        <v>B2B buyer preferences and timelines have changed … has your sales approach?</v>
      </c>
      <c r="N383" s="8" t="str">
        <f>vlookup(A383,salesx_all!B:E,4,0)</f>
        <v>Increased Complexity in B2B Purchasing Decisions</v>
      </c>
    </row>
    <row r="384">
      <c r="A384" s="1" t="s">
        <v>532</v>
      </c>
      <c r="B384" s="1">
        <f t="shared" si="1"/>
        <v>63</v>
      </c>
      <c r="C384" s="1">
        <v>2.0</v>
      </c>
      <c r="D384" s="1">
        <v>0.0</v>
      </c>
      <c r="E384" s="1">
        <v>2.0</v>
      </c>
      <c r="F384" s="6">
        <v>0.5</v>
      </c>
      <c r="G384" s="1">
        <v>2.0</v>
      </c>
      <c r="H384" s="1">
        <v>1.0</v>
      </c>
      <c r="I384" s="1">
        <v>2.0</v>
      </c>
      <c r="J384" s="1">
        <v>2.0</v>
      </c>
      <c r="K384" s="1">
        <v>0.0</v>
      </c>
      <c r="L384" s="8" t="str">
        <f>vlookup(A384,salesx_all!B:E,2,0)</f>
        <v>#N/A</v>
      </c>
      <c r="M384" s="8" t="str">
        <f>vlookup(A384,salesx_all!B:D,3,0)</f>
        <v>#N/A</v>
      </c>
      <c r="N384" s="8" t="str">
        <f>vlookup(A384,salesx_all!B:E,4,0)</f>
        <v>#N/A</v>
      </c>
    </row>
    <row r="385">
      <c r="A385" s="1" t="s">
        <v>533</v>
      </c>
      <c r="B385" s="1">
        <f t="shared" si="1"/>
        <v>121</v>
      </c>
      <c r="C385" s="1">
        <v>2.0</v>
      </c>
      <c r="D385" s="1">
        <v>0.0</v>
      </c>
      <c r="E385" s="1">
        <v>2.0</v>
      </c>
      <c r="F385" s="6">
        <v>1.0</v>
      </c>
      <c r="G385" s="1">
        <v>2.0</v>
      </c>
      <c r="H385" s="1">
        <v>0.0</v>
      </c>
      <c r="I385" s="1">
        <v>2.0</v>
      </c>
      <c r="J385" s="1">
        <v>2.0</v>
      </c>
      <c r="K385" s="1">
        <v>0.0</v>
      </c>
      <c r="L385" s="8" t="str">
        <f>vlookup(A385,salesx_all!B:E,2,0)</f>
        <v>Making a Difference: How Sales Xceleration Helps You Keep Business Owners From Making Even More Critical Hiring Mistakes</v>
      </c>
      <c r="M385" s="8" t="str">
        <f>vlookup(A385,salesx_all!B:D,3,0)</f>
        <v/>
      </c>
      <c r="N385" s="8" t="str">
        <f>vlookup(A385,salesx_all!B:E,4,0)</f>
        <v/>
      </c>
    </row>
    <row r="386">
      <c r="A386" s="1" t="s">
        <v>534</v>
      </c>
      <c r="B386" s="1">
        <f t="shared" si="1"/>
        <v>71</v>
      </c>
      <c r="C386" s="1">
        <v>2.0</v>
      </c>
      <c r="D386" s="1">
        <v>0.0</v>
      </c>
      <c r="E386" s="1">
        <v>2.0</v>
      </c>
      <c r="F386" s="6">
        <v>1.0</v>
      </c>
      <c r="G386" s="1">
        <v>2.0</v>
      </c>
      <c r="H386" s="1">
        <v>0.0</v>
      </c>
      <c r="I386" s="1">
        <v>2.0</v>
      </c>
      <c r="J386" s="1">
        <v>2.0</v>
      </c>
      <c r="K386" s="1">
        <v>0.5</v>
      </c>
      <c r="L386" s="8" t="str">
        <f>vlookup(A386,salesx_all!B:E,2,0)</f>
        <v>Maximize Sales by Aligning the B2B Buyer Journey to the Sales Process</v>
      </c>
      <c r="M386" s="8" t="str">
        <f>vlookup(A386,salesx_all!B:D,3,0)</f>
        <v>B2B Buyer’s Journey Stages</v>
      </c>
      <c r="N386" s="8" t="str">
        <f>vlookup(A386,salesx_all!B:E,4,0)</f>
        <v>The Importance of a B2B Buyer Journey</v>
      </c>
    </row>
    <row r="387">
      <c r="A387" s="1" t="s">
        <v>535</v>
      </c>
      <c r="B387" s="1">
        <f t="shared" si="1"/>
        <v>53</v>
      </c>
      <c r="C387" s="1">
        <v>2.0</v>
      </c>
      <c r="D387" s="1">
        <v>0.0</v>
      </c>
      <c r="E387" s="1">
        <v>2.0</v>
      </c>
      <c r="F387" s="6">
        <v>1.0</v>
      </c>
      <c r="G387" s="1">
        <v>2.0</v>
      </c>
      <c r="H387" s="1">
        <v>0.0</v>
      </c>
      <c r="I387" s="1">
        <v>2.0</v>
      </c>
      <c r="J387" s="1">
        <v>2.0</v>
      </c>
      <c r="K387" s="1">
        <v>0.0</v>
      </c>
      <c r="L387" s="8" t="str">
        <f>vlookup(A387,salesx_all!B:E,2,0)</f>
        <v>#N/A</v>
      </c>
      <c r="M387" s="8" t="str">
        <f>vlookup(A387,salesx_all!B:D,3,0)</f>
        <v>#N/A</v>
      </c>
      <c r="N387" s="8" t="str">
        <f>vlookup(A387,salesx_all!B:E,4,0)</f>
        <v>#N/A</v>
      </c>
    </row>
    <row r="388">
      <c r="A388" s="1" t="s">
        <v>536</v>
      </c>
      <c r="B388" s="1">
        <f t="shared" si="1"/>
        <v>63</v>
      </c>
      <c r="C388" s="1">
        <v>2.0</v>
      </c>
      <c r="D388" s="1">
        <v>0.0</v>
      </c>
      <c r="E388" s="1">
        <v>2.0</v>
      </c>
      <c r="F388" s="6">
        <v>0.0</v>
      </c>
      <c r="G388" s="1">
        <v>1.0</v>
      </c>
      <c r="H388" s="1">
        <v>2.0</v>
      </c>
      <c r="I388" s="1">
        <v>2.0</v>
      </c>
      <c r="J388" s="1">
        <v>2.0</v>
      </c>
      <c r="K388" s="1">
        <v>19.5</v>
      </c>
      <c r="L388" s="8" t="str">
        <f>vlookup(A388,salesx_all!B:E,2,0)</f>
        <v>No Time Like the Present to Give Yourself the Present of Time</v>
      </c>
      <c r="M388" s="8" t="str">
        <f>vlookup(A388,salesx_all!B:D,3,0)</f>
        <v>Isn’t it Time to Take Control of Your Future?</v>
      </c>
      <c r="N388" s="8" t="str">
        <f>vlookup(A388,salesx_all!B:E,4,0)</f>
        <v>Isn’t it Time to Focus on Family and Friends?</v>
      </c>
    </row>
    <row r="389">
      <c r="A389" s="1" t="s">
        <v>537</v>
      </c>
      <c r="B389" s="1">
        <f t="shared" si="1"/>
        <v>28</v>
      </c>
      <c r="C389" s="1">
        <v>2.0</v>
      </c>
      <c r="D389" s="1">
        <v>0.0</v>
      </c>
      <c r="E389" s="1">
        <v>2.0</v>
      </c>
      <c r="F389" s="6">
        <v>0.5</v>
      </c>
      <c r="G389" s="1">
        <v>2.0</v>
      </c>
      <c r="H389" s="1">
        <v>1.0</v>
      </c>
      <c r="I389" s="1">
        <v>2.0</v>
      </c>
      <c r="J389" s="1">
        <v>2.0</v>
      </c>
      <c r="K389" s="1">
        <v>0.5</v>
      </c>
      <c r="L389" s="8" t="str">
        <f>vlookup(A389,salesx_all!B:E,2,0)</f>
        <v>#N/A</v>
      </c>
      <c r="M389" s="8" t="str">
        <f>vlookup(A389,salesx_all!B:D,3,0)</f>
        <v>#N/A</v>
      </c>
      <c r="N389" s="8" t="str">
        <f>vlookup(A389,salesx_all!B:E,4,0)</f>
        <v>#N/A</v>
      </c>
    </row>
    <row r="390">
      <c r="A390" s="1" t="s">
        <v>538</v>
      </c>
      <c r="B390" s="1">
        <f t="shared" si="1"/>
        <v>31</v>
      </c>
      <c r="C390" s="1">
        <v>2.0</v>
      </c>
      <c r="D390" s="1">
        <v>0.0</v>
      </c>
      <c r="E390" s="1">
        <v>2.0</v>
      </c>
      <c r="F390" s="6">
        <v>1.0</v>
      </c>
      <c r="G390" s="1">
        <v>2.0</v>
      </c>
      <c r="H390" s="1">
        <v>0.0</v>
      </c>
      <c r="I390" s="1">
        <v>2.0</v>
      </c>
      <c r="J390" s="1">
        <v>2.0</v>
      </c>
      <c r="K390" s="1">
        <v>0.0</v>
      </c>
      <c r="L390" s="8" t="str">
        <f>vlookup(A390,salesx_all!B:E,2,0)</f>
        <v>#N/A</v>
      </c>
      <c r="M390" s="8" t="str">
        <f>vlookup(A390,salesx_all!B:D,3,0)</f>
        <v>#N/A</v>
      </c>
      <c r="N390" s="8" t="str">
        <f>vlookup(A390,salesx_all!B:E,4,0)</f>
        <v>#N/A</v>
      </c>
    </row>
    <row r="391">
      <c r="A391" s="1" t="s">
        <v>539</v>
      </c>
      <c r="B391" s="1">
        <f t="shared" si="1"/>
        <v>25</v>
      </c>
      <c r="C391" s="1">
        <v>2.0</v>
      </c>
      <c r="D391" s="1">
        <v>0.0</v>
      </c>
      <c r="E391" s="1">
        <v>2.0</v>
      </c>
      <c r="F391" s="6">
        <v>1.0</v>
      </c>
      <c r="G391" s="1">
        <v>2.0</v>
      </c>
      <c r="H391" s="1">
        <v>0.0</v>
      </c>
      <c r="I391" s="1">
        <v>2.0</v>
      </c>
      <c r="J391" s="1">
        <v>2.0</v>
      </c>
      <c r="K391" s="1">
        <v>0.0</v>
      </c>
      <c r="L391" s="8" t="str">
        <f>vlookup(A391,salesx_all!B:E,2,0)</f>
        <v>#N/A</v>
      </c>
      <c r="M391" s="8" t="str">
        <f>vlookup(A391,salesx_all!B:D,3,0)</f>
        <v>#N/A</v>
      </c>
      <c r="N391" s="8" t="str">
        <f>vlookup(A391,salesx_all!B:E,4,0)</f>
        <v>#N/A</v>
      </c>
    </row>
    <row r="392">
      <c r="A392" s="1" t="s">
        <v>540</v>
      </c>
      <c r="B392" s="1">
        <f t="shared" si="1"/>
        <v>38</v>
      </c>
      <c r="C392" s="1">
        <v>2.0</v>
      </c>
      <c r="D392" s="1">
        <v>0.0</v>
      </c>
      <c r="E392" s="1">
        <v>2.0</v>
      </c>
      <c r="F392" s="6">
        <v>1.0</v>
      </c>
      <c r="G392" s="1">
        <v>2.0</v>
      </c>
      <c r="H392" s="1">
        <v>0.0</v>
      </c>
      <c r="I392" s="1">
        <v>2.0</v>
      </c>
      <c r="J392" s="1">
        <v>2.0</v>
      </c>
      <c r="K392" s="1">
        <v>0.0</v>
      </c>
      <c r="L392" s="8" t="str">
        <f>vlookup(A392,salesx_all!B:E,2,0)</f>
        <v>Prospecting: More Than a Numbers Game</v>
      </c>
      <c r="M392" s="8" t="str">
        <f>vlookup(A392,salesx_all!B:D,3,0)</f>
        <v>Make the Right Connections</v>
      </c>
      <c r="N392" s="8" t="str">
        <f>vlookup(A392,salesx_all!B:E,4,0)</f>
        <v>Preparation is Key</v>
      </c>
    </row>
    <row r="393">
      <c r="A393" s="1" t="s">
        <v>541</v>
      </c>
      <c r="B393" s="1">
        <f t="shared" si="1"/>
        <v>31</v>
      </c>
      <c r="C393" s="1">
        <v>2.0</v>
      </c>
      <c r="D393" s="1">
        <v>0.0</v>
      </c>
      <c r="E393" s="1">
        <v>2.0</v>
      </c>
      <c r="F393" s="6">
        <v>0.5</v>
      </c>
      <c r="G393" s="1">
        <v>1.0</v>
      </c>
      <c r="H393" s="1">
        <v>1.0</v>
      </c>
      <c r="I393" s="1">
        <v>1.0</v>
      </c>
      <c r="J393" s="1">
        <v>2.0</v>
      </c>
      <c r="K393" s="1">
        <v>22.0</v>
      </c>
      <c r="L393" s="8" t="str">
        <f>vlookup(A393,salesx_all!B:E,2,0)</f>
        <v>Putting Sales at the Center of Strategy</v>
      </c>
      <c r="M393" s="8" t="str">
        <f>vlookup(A393,salesx_all!B:D,3,0)</f>
        <v>Communicate the Strategy</v>
      </c>
      <c r="N393" s="8" t="str">
        <f>vlookup(A393,salesx_all!B:E,4,0)</f>
        <v>Continually Improve Sales Productivity</v>
      </c>
    </row>
    <row r="394">
      <c r="A394" s="1" t="s">
        <v>542</v>
      </c>
      <c r="B394" s="1">
        <f t="shared" si="1"/>
        <v>37</v>
      </c>
      <c r="C394" s="1">
        <v>2.0</v>
      </c>
      <c r="D394" s="1">
        <v>0.0</v>
      </c>
      <c r="E394" s="1">
        <v>2.0</v>
      </c>
      <c r="F394" s="6">
        <v>1.0</v>
      </c>
      <c r="G394" s="1">
        <v>2.0</v>
      </c>
      <c r="H394" s="1">
        <v>0.0</v>
      </c>
      <c r="I394" s="1">
        <v>2.0</v>
      </c>
      <c r="J394" s="1">
        <v>2.0</v>
      </c>
      <c r="K394" s="1">
        <v>0.0</v>
      </c>
      <c r="L394" s="8" t="str">
        <f>vlookup(A394,salesx_all!B:E,2,0)</f>
        <v>Questions CEOs Ask Themselves Daily</v>
      </c>
      <c r="M394" s="8" t="str">
        <f>vlookup(A394,salesx_all!B:D,3,0)</f>
        <v/>
      </c>
      <c r="N394" s="8" t="str">
        <f>vlookup(A394,salesx_all!B:E,4,0)</f>
        <v/>
      </c>
    </row>
    <row r="395">
      <c r="A395" s="1" t="s">
        <v>543</v>
      </c>
      <c r="B395" s="1">
        <f t="shared" si="1"/>
        <v>58</v>
      </c>
      <c r="C395" s="1">
        <v>2.0</v>
      </c>
      <c r="D395" s="1">
        <v>0.0</v>
      </c>
      <c r="E395" s="1">
        <v>2.0</v>
      </c>
      <c r="F395" s="6">
        <v>1.0</v>
      </c>
      <c r="G395" s="1">
        <v>2.0</v>
      </c>
      <c r="H395" s="1">
        <v>0.0</v>
      </c>
      <c r="I395" s="1">
        <v>2.0</v>
      </c>
      <c r="J395" s="1">
        <v>2.0</v>
      </c>
      <c r="K395" s="1">
        <v>0.0</v>
      </c>
      <c r="L395" s="8" t="str">
        <f>vlookup(A395,salesx_all!B:E,2,0)</f>
        <v>Rewind Sales Organization to Fast-Forward Sales Performance</v>
      </c>
      <c r="M395" s="8" t="str">
        <f>vlookup(A395,salesx_all!B:D,3,0)</f>
        <v/>
      </c>
      <c r="N395" s="8" t="str">
        <f>vlookup(A395,salesx_all!B:E,4,0)</f>
        <v/>
      </c>
    </row>
    <row r="396">
      <c r="A396" s="1" t="s">
        <v>544</v>
      </c>
      <c r="B396" s="1">
        <f t="shared" si="1"/>
        <v>80</v>
      </c>
      <c r="C396" s="1">
        <v>2.0</v>
      </c>
      <c r="D396" s="1">
        <v>0.0</v>
      </c>
      <c r="E396" s="1">
        <v>2.0</v>
      </c>
      <c r="F396" s="6">
        <v>1.0</v>
      </c>
      <c r="G396" s="1">
        <v>2.0</v>
      </c>
      <c r="H396" s="1">
        <v>0.0</v>
      </c>
      <c r="I396" s="1">
        <v>1.0</v>
      </c>
      <c r="J396" s="1">
        <v>2.0</v>
      </c>
      <c r="K396" s="1">
        <v>0.0</v>
      </c>
      <c r="L396" s="8" t="str">
        <f>vlookup(A396,salesx_all!B:E,2,0)</f>
        <v>Roadmap to Sales Success: 6 Actions You Must Take to Improve Your Sales Process</v>
      </c>
      <c r="M396" s="8" t="str">
        <f>vlookup(A396,salesx_all!B:D,3,0)</f>
        <v>Roadmap to Sales Success: 6 Actions You Must Take to Improve Your Sales Process</v>
      </c>
      <c r="N396" s="8" t="str">
        <f>vlookup(A396,salesx_all!B:E,4,0)</f>
        <v>Identify Where You Are</v>
      </c>
    </row>
    <row r="397">
      <c r="A397" s="1" t="s">
        <v>545</v>
      </c>
      <c r="B397" s="1">
        <f t="shared" si="1"/>
        <v>46</v>
      </c>
      <c r="C397" s="1">
        <v>2.0</v>
      </c>
      <c r="D397" s="1">
        <v>0.0</v>
      </c>
      <c r="E397" s="1">
        <v>2.0</v>
      </c>
      <c r="F397" s="6">
        <v>0.5</v>
      </c>
      <c r="G397" s="1">
        <v>1.0</v>
      </c>
      <c r="H397" s="1">
        <v>1.0</v>
      </c>
      <c r="I397" s="1">
        <v>2.0</v>
      </c>
      <c r="J397" s="1">
        <v>2.0</v>
      </c>
      <c r="K397" s="1">
        <v>0.0</v>
      </c>
      <c r="L397" s="8" t="str">
        <f>vlookup(A397,salesx_all!B:E,2,0)</f>
        <v>#N/A</v>
      </c>
      <c r="M397" s="8" t="str">
        <f>vlookup(A397,salesx_all!B:D,3,0)</f>
        <v>#N/A</v>
      </c>
      <c r="N397" s="8" t="str">
        <f>vlookup(A397,salesx_all!B:E,4,0)</f>
        <v>#N/A</v>
      </c>
    </row>
    <row r="398">
      <c r="A398" s="1" t="s">
        <v>546</v>
      </c>
      <c r="B398" s="1">
        <f t="shared" si="1"/>
        <v>32</v>
      </c>
      <c r="C398" s="1">
        <v>2.0</v>
      </c>
      <c r="D398" s="1">
        <v>0.0</v>
      </c>
      <c r="E398" s="1">
        <v>2.0</v>
      </c>
      <c r="F398" s="6">
        <v>1.0</v>
      </c>
      <c r="G398" s="1">
        <v>2.0</v>
      </c>
      <c r="H398" s="1">
        <v>0.0</v>
      </c>
      <c r="I398" s="1">
        <v>2.0</v>
      </c>
      <c r="J398" s="1">
        <v>2.0</v>
      </c>
      <c r="K398" s="1">
        <v>0.0</v>
      </c>
      <c r="L398" s="8" t="str">
        <f>vlookup(A398,salesx_all!B:E,2,0)</f>
        <v>#N/A</v>
      </c>
      <c r="M398" s="8" t="str">
        <f>vlookup(A398,salesx_all!B:D,3,0)</f>
        <v>#N/A</v>
      </c>
      <c r="N398" s="8" t="str">
        <f>vlookup(A398,salesx_all!B:E,4,0)</f>
        <v>#N/A</v>
      </c>
    </row>
    <row r="399">
      <c r="A399" s="1" t="s">
        <v>547</v>
      </c>
      <c r="B399" s="1">
        <f t="shared" si="1"/>
        <v>39</v>
      </c>
      <c r="C399" s="1">
        <v>2.0</v>
      </c>
      <c r="D399" s="1">
        <v>0.0</v>
      </c>
      <c r="E399" s="1">
        <v>2.0</v>
      </c>
      <c r="F399" s="6">
        <v>1.0</v>
      </c>
      <c r="G399" s="1">
        <v>2.0</v>
      </c>
      <c r="H399" s="1">
        <v>0.0</v>
      </c>
      <c r="I399" s="1">
        <v>2.0</v>
      </c>
      <c r="J399" s="1">
        <v>2.0</v>
      </c>
      <c r="K399" s="1">
        <v>0.0</v>
      </c>
      <c r="L399" s="8" t="str">
        <f>vlookup(A399,salesx_all!B:E,2,0)</f>
        <v>#N/A</v>
      </c>
      <c r="M399" s="8" t="str">
        <f>vlookup(A399,salesx_all!B:D,3,0)</f>
        <v>#N/A</v>
      </c>
      <c r="N399" s="8" t="str">
        <f>vlookup(A399,salesx_all!B:E,4,0)</f>
        <v>#N/A</v>
      </c>
    </row>
    <row r="400">
      <c r="A400" s="1" t="s">
        <v>548</v>
      </c>
      <c r="B400" s="1">
        <f t="shared" si="1"/>
        <v>29</v>
      </c>
      <c r="C400" s="1">
        <v>2.0</v>
      </c>
      <c r="D400" s="1">
        <v>0.0</v>
      </c>
      <c r="E400" s="1">
        <v>2.0</v>
      </c>
      <c r="F400" s="6">
        <v>0.0</v>
      </c>
      <c r="G400" s="1">
        <v>1.0</v>
      </c>
      <c r="H400" s="1">
        <v>2.0</v>
      </c>
      <c r="I400" s="1">
        <v>2.0</v>
      </c>
      <c r="J400" s="1">
        <v>2.0</v>
      </c>
      <c r="K400" s="1">
        <v>9.0</v>
      </c>
      <c r="L400" s="8" t="str">
        <f>vlookup(A400,salesx_all!B:E,2,0)</f>
        <v>#N/A</v>
      </c>
      <c r="M400" s="8" t="str">
        <f>vlookup(A400,salesx_all!B:D,3,0)</f>
        <v>#N/A</v>
      </c>
      <c r="N400" s="8" t="str">
        <f>vlookup(A400,salesx_all!B:E,4,0)</f>
        <v>#N/A</v>
      </c>
    </row>
    <row r="401">
      <c r="A401" s="1" t="s">
        <v>549</v>
      </c>
      <c r="B401" s="1">
        <f t="shared" si="1"/>
        <v>52</v>
      </c>
      <c r="C401" s="1">
        <v>2.0</v>
      </c>
      <c r="D401" s="1">
        <v>0.0</v>
      </c>
      <c r="E401" s="1">
        <v>2.0</v>
      </c>
      <c r="F401" s="6">
        <v>1.0</v>
      </c>
      <c r="G401" s="1">
        <v>2.0</v>
      </c>
      <c r="H401" s="1">
        <v>0.0</v>
      </c>
      <c r="I401" s="1">
        <v>2.0</v>
      </c>
      <c r="J401" s="1">
        <v>2.0</v>
      </c>
      <c r="K401" s="1">
        <v>0.0</v>
      </c>
      <c r="L401" s="8" t="str">
        <f>vlookup(A401,salesx_all!B:E,2,0)</f>
        <v>#N/A</v>
      </c>
      <c r="M401" s="8" t="str">
        <f>vlookup(A401,salesx_all!B:D,3,0)</f>
        <v>#N/A</v>
      </c>
      <c r="N401" s="8" t="str">
        <f>vlookup(A401,salesx_all!B:E,4,0)</f>
        <v>#N/A</v>
      </c>
    </row>
    <row r="402">
      <c r="A402" s="1" t="s">
        <v>550</v>
      </c>
      <c r="B402" s="1">
        <f t="shared" si="1"/>
        <v>38</v>
      </c>
      <c r="C402" s="1">
        <v>2.0</v>
      </c>
      <c r="D402" s="1">
        <v>0.0</v>
      </c>
      <c r="E402" s="1">
        <v>2.0</v>
      </c>
      <c r="F402" s="6">
        <v>0.5</v>
      </c>
      <c r="G402" s="1">
        <v>1.0</v>
      </c>
      <c r="H402" s="1">
        <v>1.0</v>
      </c>
      <c r="I402" s="1">
        <v>2.0</v>
      </c>
      <c r="J402" s="1">
        <v>2.0</v>
      </c>
      <c r="K402" s="1">
        <v>3.0</v>
      </c>
      <c r="L402" s="8" t="str">
        <f>vlookup(A402,salesx_all!B:E,2,0)</f>
        <v>Sales Leadership vs. Sales Management</v>
      </c>
      <c r="M402" s="8" t="str">
        <f>vlookup(A402,salesx_all!B:D,3,0)</f>
        <v/>
      </c>
      <c r="N402" s="8" t="str">
        <f>vlookup(A402,salesx_all!B:E,4,0)</f>
        <v/>
      </c>
    </row>
    <row r="403">
      <c r="A403" s="1" t="s">
        <v>551</v>
      </c>
      <c r="B403" s="1">
        <f t="shared" si="1"/>
        <v>45</v>
      </c>
      <c r="C403" s="1">
        <v>2.0</v>
      </c>
      <c r="D403" s="1">
        <v>0.0</v>
      </c>
      <c r="E403" s="1">
        <v>2.0</v>
      </c>
      <c r="F403" s="6">
        <v>1.0</v>
      </c>
      <c r="G403" s="1">
        <v>2.0</v>
      </c>
      <c r="H403" s="1">
        <v>0.0</v>
      </c>
      <c r="I403" s="1">
        <v>2.0</v>
      </c>
      <c r="J403" s="1">
        <v>2.0</v>
      </c>
      <c r="K403" s="1">
        <v>2.5</v>
      </c>
      <c r="L403" s="8" t="str">
        <f>vlookup(A403,salesx_all!B:E,2,0)</f>
        <v>#N/A</v>
      </c>
      <c r="M403" s="8" t="str">
        <f>vlookup(A403,salesx_all!B:D,3,0)</f>
        <v>#N/A</v>
      </c>
      <c r="N403" s="8" t="str">
        <f>vlookup(A403,salesx_all!B:E,4,0)</f>
        <v>#N/A</v>
      </c>
    </row>
    <row r="404">
      <c r="A404" s="1" t="s">
        <v>552</v>
      </c>
      <c r="B404" s="1">
        <f t="shared" si="1"/>
        <v>34</v>
      </c>
      <c r="C404" s="1">
        <v>2.0</v>
      </c>
      <c r="D404" s="1">
        <v>0.0</v>
      </c>
      <c r="E404" s="1">
        <v>2.0</v>
      </c>
      <c r="F404" s="6">
        <v>1.0</v>
      </c>
      <c r="G404" s="1">
        <v>2.0</v>
      </c>
      <c r="H404" s="1">
        <v>0.0</v>
      </c>
      <c r="I404" s="1">
        <v>2.0</v>
      </c>
      <c r="J404" s="1">
        <v>2.0</v>
      </c>
      <c r="K404" s="1">
        <v>0.0</v>
      </c>
      <c r="L404" s="8" t="str">
        <f>vlookup(A404,salesx_all!B:E,2,0)</f>
        <v>#N/A</v>
      </c>
      <c r="M404" s="8" t="str">
        <f>vlookup(A404,salesx_all!B:D,3,0)</f>
        <v>#N/A</v>
      </c>
      <c r="N404" s="8" t="str">
        <f>vlookup(A404,salesx_all!B:E,4,0)</f>
        <v>#N/A</v>
      </c>
    </row>
    <row r="405">
      <c r="A405" s="1" t="s">
        <v>553</v>
      </c>
      <c r="B405" s="1">
        <f t="shared" si="1"/>
        <v>57</v>
      </c>
      <c r="C405" s="1">
        <v>2.0</v>
      </c>
      <c r="D405" s="1">
        <v>0.0</v>
      </c>
      <c r="E405" s="1">
        <v>2.0</v>
      </c>
      <c r="F405" s="6">
        <v>1.0</v>
      </c>
      <c r="G405" s="1">
        <v>1.0</v>
      </c>
      <c r="H405" s="1">
        <v>0.0</v>
      </c>
      <c r="I405" s="1">
        <v>0.0</v>
      </c>
      <c r="J405" s="1">
        <v>2.0</v>
      </c>
      <c r="K405" s="1">
        <v>18.0</v>
      </c>
      <c r="L405" s="8" t="str">
        <f>vlookup(A405,salesx_all!B:E,2,0)</f>
        <v>#N/A</v>
      </c>
      <c r="M405" s="8" t="str">
        <f>vlookup(A405,salesx_all!B:D,3,0)</f>
        <v>#N/A</v>
      </c>
      <c r="N405" s="8" t="str">
        <f>vlookup(A405,salesx_all!B:E,4,0)</f>
        <v>#N/A</v>
      </c>
    </row>
    <row r="406">
      <c r="A406" s="1" t="s">
        <v>554</v>
      </c>
      <c r="B406" s="1">
        <f t="shared" si="1"/>
        <v>22</v>
      </c>
      <c r="C406" s="1">
        <v>2.0</v>
      </c>
      <c r="D406" s="1">
        <v>0.0</v>
      </c>
      <c r="E406" s="1">
        <v>2.0</v>
      </c>
      <c r="F406" s="6">
        <v>0.0</v>
      </c>
      <c r="G406" s="1">
        <v>1.0</v>
      </c>
      <c r="H406" s="1">
        <v>2.0</v>
      </c>
      <c r="I406" s="1">
        <v>2.0</v>
      </c>
      <c r="J406" s="1">
        <v>2.0</v>
      </c>
      <c r="K406" s="1">
        <v>4.0</v>
      </c>
      <c r="L406" s="8" t="str">
        <f>vlookup(A406,salesx_all!B:E,2,0)</f>
        <v>Sales Plan Checklist</v>
      </c>
      <c r="M406" s="8" t="str">
        <f>vlookup(A406,salesx_all!B:D,3,0)</f>
        <v/>
      </c>
      <c r="N406" s="8" t="str">
        <f>vlookup(A406,salesx_all!B:E,4,0)</f>
        <v/>
      </c>
    </row>
    <row r="407">
      <c r="A407" s="1" t="s">
        <v>555</v>
      </c>
      <c r="B407" s="1">
        <f t="shared" si="1"/>
        <v>27</v>
      </c>
      <c r="C407" s="1">
        <v>2.0</v>
      </c>
      <c r="D407" s="1">
        <v>0.0</v>
      </c>
      <c r="E407" s="1">
        <v>2.0</v>
      </c>
      <c r="F407" s="6">
        <v>1.0</v>
      </c>
      <c r="G407" s="1">
        <v>2.0</v>
      </c>
      <c r="H407" s="1">
        <v>0.0</v>
      </c>
      <c r="I407" s="1">
        <v>2.0</v>
      </c>
      <c r="J407" s="1">
        <v>2.0</v>
      </c>
      <c r="K407" s="1">
        <v>0.0</v>
      </c>
      <c r="L407" s="8" t="str">
        <f>vlookup(A407,salesx_all!B:E,2,0)</f>
        <v>#N/A</v>
      </c>
      <c r="M407" s="8" t="str">
        <f>vlookup(A407,salesx_all!B:D,3,0)</f>
        <v>#N/A</v>
      </c>
      <c r="N407" s="8" t="str">
        <f>vlookup(A407,salesx_all!B:E,4,0)</f>
        <v>#N/A</v>
      </c>
    </row>
    <row r="408">
      <c r="A408" s="1" t="s">
        <v>556</v>
      </c>
      <c r="B408" s="1">
        <f t="shared" si="1"/>
        <v>42</v>
      </c>
      <c r="C408" s="1">
        <v>2.0</v>
      </c>
      <c r="D408" s="1">
        <v>0.0</v>
      </c>
      <c r="E408" s="1">
        <v>2.0</v>
      </c>
      <c r="F408" s="6">
        <v>1.0</v>
      </c>
      <c r="G408" s="1">
        <v>2.0</v>
      </c>
      <c r="H408" s="1">
        <v>0.0</v>
      </c>
      <c r="I408" s="1">
        <v>2.0</v>
      </c>
      <c r="J408" s="1">
        <v>2.0</v>
      </c>
      <c r="K408" s="1">
        <v>0.0</v>
      </c>
      <c r="L408" s="8" t="str">
        <f>vlookup(A408,salesx_all!B:E,2,0)</f>
        <v>#N/A</v>
      </c>
      <c r="M408" s="8" t="str">
        <f>vlookup(A408,salesx_all!B:D,3,0)</f>
        <v>#N/A</v>
      </c>
      <c r="N408" s="8" t="str">
        <f>vlookup(A408,salesx_all!B:E,4,0)</f>
        <v>#N/A</v>
      </c>
    </row>
    <row r="409">
      <c r="A409" s="1" t="s">
        <v>557</v>
      </c>
      <c r="B409" s="1">
        <f t="shared" si="1"/>
        <v>13</v>
      </c>
      <c r="C409" s="1">
        <v>2.0</v>
      </c>
      <c r="D409" s="1">
        <v>0.0</v>
      </c>
      <c r="E409" s="1">
        <v>2.0</v>
      </c>
      <c r="F409" s="6">
        <v>1.0</v>
      </c>
      <c r="G409" s="1">
        <v>2.0</v>
      </c>
      <c r="H409" s="1">
        <v>0.0</v>
      </c>
      <c r="I409" s="1">
        <v>2.0</v>
      </c>
      <c r="J409" s="1">
        <v>2.0</v>
      </c>
      <c r="K409" s="1">
        <v>1.0</v>
      </c>
      <c r="L409" s="8" t="str">
        <f>vlookup(A409,salesx_all!B:E,2,0)</f>
        <v/>
      </c>
      <c r="M409" s="8" t="str">
        <f>vlookup(A409,salesx_all!B:D,3,0)</f>
        <v/>
      </c>
      <c r="N409" s="8" t="str">
        <f>vlookup(A409,salesx_all!B:E,4,0)</f>
        <v/>
      </c>
    </row>
    <row r="410">
      <c r="A410" s="1" t="s">
        <v>558</v>
      </c>
      <c r="B410" s="1">
        <f t="shared" si="1"/>
        <v>25</v>
      </c>
      <c r="C410" s="1">
        <v>2.0</v>
      </c>
      <c r="D410" s="1">
        <v>0.0</v>
      </c>
      <c r="E410" s="1">
        <v>2.0</v>
      </c>
      <c r="F410" s="6">
        <v>0.5</v>
      </c>
      <c r="G410" s="1">
        <v>2.0</v>
      </c>
      <c r="H410" s="1">
        <v>1.0</v>
      </c>
      <c r="I410" s="1">
        <v>2.0</v>
      </c>
      <c r="J410" s="1">
        <v>2.0</v>
      </c>
      <c r="K410" s="1">
        <v>13.5</v>
      </c>
      <c r="L410" s="8" t="str">
        <f>vlookup(A410,salesx_all!B:E,2,0)</f>
        <v>#N/A</v>
      </c>
      <c r="M410" s="8" t="str">
        <f>vlookup(A410,salesx_all!B:D,3,0)</f>
        <v>#N/A</v>
      </c>
      <c r="N410" s="8" t="str">
        <f>vlookup(A410,salesx_all!B:E,4,0)</f>
        <v>#N/A</v>
      </c>
    </row>
    <row r="411">
      <c r="A411" s="1" t="s">
        <v>559</v>
      </c>
      <c r="B411" s="1">
        <f t="shared" si="1"/>
        <v>50</v>
      </c>
      <c r="C411" s="1">
        <v>2.0</v>
      </c>
      <c r="D411" s="1">
        <v>0.0</v>
      </c>
      <c r="E411" s="1">
        <v>2.0</v>
      </c>
      <c r="F411" s="6">
        <v>1.0</v>
      </c>
      <c r="G411" s="1">
        <v>2.0</v>
      </c>
      <c r="H411" s="1">
        <v>0.0</v>
      </c>
      <c r="I411" s="1">
        <v>2.0</v>
      </c>
      <c r="J411" s="1">
        <v>2.0</v>
      </c>
      <c r="K411" s="1">
        <v>0.0</v>
      </c>
      <c r="L411" s="8" t="str">
        <f>vlookup(A411,salesx_all!B:E,2,0)</f>
        <v>Sales Xceleration: Your Partner for Sales Success</v>
      </c>
      <c r="M411" s="8" t="str">
        <f>vlookup(A411,salesx_all!B:D,3,0)</f>
        <v>Listen now:</v>
      </c>
      <c r="N411" s="8" t="str">
        <f>vlookup(A411,salesx_all!B:E,4,0)</f>
        <v/>
      </c>
    </row>
    <row r="412">
      <c r="A412" s="1" t="s">
        <v>560</v>
      </c>
      <c r="B412" s="1">
        <f t="shared" si="1"/>
        <v>27</v>
      </c>
      <c r="C412" s="1">
        <v>2.0</v>
      </c>
      <c r="D412" s="1">
        <v>0.0</v>
      </c>
      <c r="E412" s="1">
        <v>2.0</v>
      </c>
      <c r="F412" s="6">
        <v>1.0</v>
      </c>
      <c r="G412" s="1">
        <v>2.0</v>
      </c>
      <c r="H412" s="1">
        <v>0.0</v>
      </c>
      <c r="I412" s="1">
        <v>2.0</v>
      </c>
      <c r="J412" s="1">
        <v>2.0</v>
      </c>
      <c r="K412" s="1">
        <v>0.0</v>
      </c>
      <c r="L412" s="8" t="str">
        <f>vlookup(A412,salesx_all!B:E,2,0)</f>
        <v>#N/A</v>
      </c>
      <c r="M412" s="8" t="str">
        <f>vlookup(A412,salesx_all!B:D,3,0)</f>
        <v>#N/A</v>
      </c>
      <c r="N412" s="8" t="str">
        <f>vlookup(A412,salesx_all!B:E,4,0)</f>
        <v>#N/A</v>
      </c>
    </row>
    <row r="413">
      <c r="A413" s="1" t="s">
        <v>561</v>
      </c>
      <c r="B413" s="1">
        <f t="shared" si="1"/>
        <v>69</v>
      </c>
      <c r="C413" s="1">
        <v>2.0</v>
      </c>
      <c r="D413" s="1">
        <v>0.0</v>
      </c>
      <c r="E413" s="1">
        <v>2.0</v>
      </c>
      <c r="F413" s="6">
        <v>1.0</v>
      </c>
      <c r="G413" s="1">
        <v>2.0</v>
      </c>
      <c r="H413" s="1">
        <v>0.0</v>
      </c>
      <c r="I413" s="1">
        <v>2.0</v>
      </c>
      <c r="J413" s="1">
        <v>2.0</v>
      </c>
      <c r="K413" s="1">
        <v>0.0</v>
      </c>
      <c r="L413" s="8" t="str">
        <f>vlookup(A413,salesx_all!B:E,2,0)</f>
        <v>Should Your Salesperson Be In the Game, On the Bench, or Off the Team?</v>
      </c>
      <c r="M413" s="8" t="str">
        <f>vlookup(A413,salesx_all!B:D,3,0)</f>
        <v/>
      </c>
      <c r="N413" s="8" t="str">
        <f>vlookup(A413,salesx_all!B:E,4,0)</f>
        <v/>
      </c>
    </row>
    <row r="414">
      <c r="A414" s="1" t="s">
        <v>562</v>
      </c>
      <c r="B414" s="1">
        <f t="shared" si="1"/>
        <v>52</v>
      </c>
      <c r="C414" s="1">
        <v>2.0</v>
      </c>
      <c r="D414" s="1">
        <v>0.0</v>
      </c>
      <c r="E414" s="1">
        <v>2.0</v>
      </c>
      <c r="F414" s="6">
        <v>1.0</v>
      </c>
      <c r="G414" s="1">
        <v>2.0</v>
      </c>
      <c r="H414" s="1">
        <v>0.0</v>
      </c>
      <c r="I414" s="1">
        <v>2.0</v>
      </c>
      <c r="J414" s="1">
        <v>2.0</v>
      </c>
      <c r="K414" s="1">
        <v>0.0</v>
      </c>
      <c r="L414" s="8" t="str">
        <f>vlookup(A414,salesx_all!B:E,2,0)</f>
        <v>The Simplest Way to Get Essential Information and Boost Your Sales</v>
      </c>
      <c r="M414" s="8" t="str">
        <f>vlookup(A414,salesx_all!B:D,3,0)</f>
        <v/>
      </c>
      <c r="N414" s="8" t="str">
        <f>vlookup(A414,salesx_all!B:E,4,0)</f>
        <v/>
      </c>
    </row>
    <row r="415">
      <c r="A415" s="1" t="s">
        <v>563</v>
      </c>
      <c r="B415" s="1">
        <f t="shared" si="1"/>
        <v>27</v>
      </c>
      <c r="C415" s="1">
        <v>2.0</v>
      </c>
      <c r="D415" s="1">
        <v>0.0</v>
      </c>
      <c r="E415" s="1">
        <v>2.0</v>
      </c>
      <c r="F415" s="6">
        <v>1.0</v>
      </c>
      <c r="G415" s="1">
        <v>1.0</v>
      </c>
      <c r="H415" s="1">
        <v>0.0</v>
      </c>
      <c r="I415" s="1">
        <v>1.0</v>
      </c>
      <c r="J415" s="1">
        <v>2.0</v>
      </c>
      <c r="K415" s="1">
        <v>17.5</v>
      </c>
      <c r="L415" s="8" t="str">
        <f>vlookup(A415,salesx_all!B:E,2,0)</f>
        <v>Try “Strategy, Structure, People” Next Time</v>
      </c>
      <c r="M415" s="8" t="str">
        <f>vlookup(A415,salesx_all!B:D,3,0)</f>
        <v>A better approach to correcting your sales problem</v>
      </c>
      <c r="N415" s="8" t="str">
        <f>vlookup(A415,salesx_all!B:E,4,0)</f>
        <v>Are your sales people really to blame?</v>
      </c>
    </row>
    <row r="416">
      <c r="A416" s="1" t="s">
        <v>564</v>
      </c>
      <c r="B416" s="1">
        <f t="shared" si="1"/>
        <v>48</v>
      </c>
      <c r="C416" s="1">
        <v>2.0</v>
      </c>
      <c r="D416" s="1">
        <v>0.0</v>
      </c>
      <c r="E416" s="1">
        <v>2.0</v>
      </c>
      <c r="F416" s="6">
        <v>1.0</v>
      </c>
      <c r="G416" s="1">
        <v>2.0</v>
      </c>
      <c r="H416" s="1">
        <v>0.0</v>
      </c>
      <c r="I416" s="1">
        <v>2.0</v>
      </c>
      <c r="J416" s="1">
        <v>2.0</v>
      </c>
      <c r="K416" s="1">
        <v>1.0</v>
      </c>
      <c r="L416" s="8" t="str">
        <f>vlookup(A416,salesx_all!B:E,2,0)</f>
        <v>#N/A</v>
      </c>
      <c r="M416" s="8" t="str">
        <f>vlookup(A416,salesx_all!B:D,3,0)</f>
        <v>#N/A</v>
      </c>
      <c r="N416" s="8" t="str">
        <f>vlookup(A416,salesx_all!B:E,4,0)</f>
        <v>#N/A</v>
      </c>
    </row>
    <row r="417">
      <c r="A417" s="1" t="s">
        <v>565</v>
      </c>
      <c r="B417" s="1">
        <f t="shared" si="1"/>
        <v>49</v>
      </c>
      <c r="C417" s="1">
        <v>2.0</v>
      </c>
      <c r="D417" s="1">
        <v>0.0</v>
      </c>
      <c r="E417" s="1">
        <v>2.0</v>
      </c>
      <c r="F417" s="6">
        <v>1.0</v>
      </c>
      <c r="G417" s="1">
        <v>2.0</v>
      </c>
      <c r="H417" s="1">
        <v>0.0</v>
      </c>
      <c r="I417" s="1">
        <v>2.0</v>
      </c>
      <c r="J417" s="1">
        <v>2.0</v>
      </c>
      <c r="K417" s="1">
        <v>0.0</v>
      </c>
      <c r="L417" s="8" t="str">
        <f>vlookup(A417,salesx_all!B:E,2,0)</f>
        <v>#N/A</v>
      </c>
      <c r="M417" s="8" t="str">
        <f>vlookup(A417,salesx_all!B:D,3,0)</f>
        <v>#N/A</v>
      </c>
      <c r="N417" s="8" t="str">
        <f>vlookup(A417,salesx_all!B:E,4,0)</f>
        <v>#N/A</v>
      </c>
    </row>
    <row r="418">
      <c r="A418" s="1" t="s">
        <v>566</v>
      </c>
      <c r="B418" s="1">
        <f t="shared" si="1"/>
        <v>59</v>
      </c>
      <c r="C418" s="1">
        <v>2.0</v>
      </c>
      <c r="D418" s="1">
        <v>0.0</v>
      </c>
      <c r="E418" s="1">
        <v>2.0</v>
      </c>
      <c r="F418" s="6">
        <v>0.5</v>
      </c>
      <c r="G418" s="1">
        <v>1.0</v>
      </c>
      <c r="H418" s="1">
        <v>1.0</v>
      </c>
      <c r="I418" s="1">
        <v>2.0</v>
      </c>
      <c r="J418" s="1">
        <v>2.0</v>
      </c>
      <c r="K418" s="1">
        <v>1.0</v>
      </c>
      <c r="L418" s="8" t="str">
        <f>vlookup(A418,salesx_all!B:E,2,0)</f>
        <v>The Benefits of Outsourcing Your Sales Executive Function</v>
      </c>
      <c r="M418" s="8" t="str">
        <f>vlookup(A418,salesx_all!B:D,3,0)</f>
        <v/>
      </c>
      <c r="N418" s="8" t="str">
        <f>vlookup(A418,salesx_all!B:E,4,0)</f>
        <v/>
      </c>
    </row>
    <row r="419">
      <c r="A419" s="1" t="s">
        <v>567</v>
      </c>
      <c r="B419" s="1">
        <f t="shared" si="1"/>
        <v>34</v>
      </c>
      <c r="C419" s="1">
        <v>2.0</v>
      </c>
      <c r="D419" s="1">
        <v>0.0</v>
      </c>
      <c r="E419" s="1">
        <v>2.0</v>
      </c>
      <c r="F419" s="6">
        <v>1.0</v>
      </c>
      <c r="G419" s="1">
        <v>2.0</v>
      </c>
      <c r="H419" s="1">
        <v>0.0</v>
      </c>
      <c r="I419" s="1">
        <v>2.0</v>
      </c>
      <c r="J419" s="1">
        <v>2.0</v>
      </c>
      <c r="K419" s="1">
        <v>0.0</v>
      </c>
      <c r="L419" s="8" t="str">
        <f>vlookup(A419,salesx_all!B:E,2,0)</f>
        <v>#N/A</v>
      </c>
      <c r="M419" s="8" t="str">
        <f>vlookup(A419,salesx_all!B:D,3,0)</f>
        <v>#N/A</v>
      </c>
      <c r="N419" s="8" t="str">
        <f>vlookup(A419,salesx_all!B:E,4,0)</f>
        <v>#N/A</v>
      </c>
    </row>
    <row r="420">
      <c r="A420" s="1" t="s">
        <v>568</v>
      </c>
      <c r="B420" s="1">
        <f t="shared" si="1"/>
        <v>29</v>
      </c>
      <c r="C420" s="1">
        <v>2.0</v>
      </c>
      <c r="D420" s="1">
        <v>0.0</v>
      </c>
      <c r="E420" s="1">
        <v>2.0</v>
      </c>
      <c r="F420" s="6">
        <v>1.0</v>
      </c>
      <c r="G420" s="1">
        <v>2.0</v>
      </c>
      <c r="H420" s="1">
        <v>0.0</v>
      </c>
      <c r="I420" s="1">
        <v>2.0</v>
      </c>
      <c r="J420" s="1">
        <v>2.0</v>
      </c>
      <c r="K420" s="1">
        <v>0.0</v>
      </c>
      <c r="L420" s="8" t="str">
        <f>vlookup(A420,salesx_all!B:E,2,0)</f>
        <v>The Fundamentals of Winning</v>
      </c>
      <c r="M420" s="8" t="str">
        <f>vlookup(A420,salesx_all!B:D,3,0)</f>
        <v/>
      </c>
      <c r="N420" s="8" t="str">
        <f>vlookup(A420,salesx_all!B:E,4,0)</f>
        <v/>
      </c>
    </row>
    <row r="421">
      <c r="A421" s="1" t="s">
        <v>569</v>
      </c>
      <c r="B421" s="1">
        <f t="shared" si="1"/>
        <v>66</v>
      </c>
      <c r="C421" s="1">
        <v>2.0</v>
      </c>
      <c r="D421" s="1">
        <v>0.0</v>
      </c>
      <c r="E421" s="1">
        <v>2.0</v>
      </c>
      <c r="F421" s="6">
        <v>0.5</v>
      </c>
      <c r="G421" s="1">
        <v>1.0</v>
      </c>
      <c r="H421" s="1">
        <v>1.0</v>
      </c>
      <c r="I421" s="1">
        <v>2.0</v>
      </c>
      <c r="J421" s="1">
        <v>2.0</v>
      </c>
      <c r="K421" s="1">
        <v>2.0</v>
      </c>
      <c r="L421" s="8" t="str">
        <f>vlookup(A421,salesx_all!B:E,2,0)</f>
        <v>The High Potential Myth: How Comfort Zones Hinder Hiring Progress</v>
      </c>
      <c r="M421" s="8" t="str">
        <f>vlookup(A421,salesx_all!B:D,3,0)</f>
        <v>1. Define Your Hiring Goals</v>
      </c>
      <c r="N421" s="8" t="str">
        <f>vlookup(A421,salesx_all!B:E,4,0)</f>
        <v>2. Develop a Targeted Job Description</v>
      </c>
    </row>
    <row r="422">
      <c r="A422" s="1" t="s">
        <v>570</v>
      </c>
      <c r="B422" s="1">
        <f t="shared" si="1"/>
        <v>52</v>
      </c>
      <c r="C422" s="1">
        <v>2.0</v>
      </c>
      <c r="D422" s="1">
        <v>0.0</v>
      </c>
      <c r="E422" s="1">
        <v>2.0</v>
      </c>
      <c r="F422" s="6">
        <v>0.0</v>
      </c>
      <c r="G422" s="1">
        <v>1.0</v>
      </c>
      <c r="H422" s="1">
        <v>2.0</v>
      </c>
      <c r="I422" s="1">
        <v>3.0</v>
      </c>
      <c r="J422" s="1">
        <v>2.0</v>
      </c>
      <c r="K422" s="1">
        <v>33.5</v>
      </c>
      <c r="L422" s="8" t="str">
        <f>vlookup(A422,salesx_all!B:E,2,0)</f>
        <v>The Sky’s No Limit if You Put Your Dreams in Motion</v>
      </c>
      <c r="M422" s="8" t="str">
        <f>vlookup(A422,salesx_all!B:D,3,0)</f>
        <v>Daring to Dream</v>
      </c>
      <c r="N422" s="8" t="str">
        <f>vlookup(A422,salesx_all!B:E,4,0)</f>
        <v>Failure to Launch</v>
      </c>
    </row>
    <row r="423">
      <c r="A423" s="1" t="s">
        <v>571</v>
      </c>
      <c r="B423" s="1">
        <f t="shared" si="1"/>
        <v>65</v>
      </c>
      <c r="C423" s="1">
        <v>2.0</v>
      </c>
      <c r="D423" s="1">
        <v>0.0</v>
      </c>
      <c r="E423" s="1">
        <v>2.0</v>
      </c>
      <c r="F423" s="6">
        <v>1.0</v>
      </c>
      <c r="G423" s="1">
        <v>2.0</v>
      </c>
      <c r="H423" s="1">
        <v>0.0</v>
      </c>
      <c r="I423" s="1">
        <v>1.0</v>
      </c>
      <c r="J423" s="1">
        <v>2.0</v>
      </c>
      <c r="K423" s="1">
        <v>0.0</v>
      </c>
      <c r="L423" s="8" t="str">
        <f>vlookup(A423,salesx_all!B:E,2,0)</f>
        <v>#N/A</v>
      </c>
      <c r="M423" s="8" t="str">
        <f>vlookup(A423,salesx_all!B:D,3,0)</f>
        <v>#N/A</v>
      </c>
      <c r="N423" s="8" t="str">
        <f>vlookup(A423,salesx_all!B:E,4,0)</f>
        <v>#N/A</v>
      </c>
    </row>
    <row r="424">
      <c r="A424" s="1" t="s">
        <v>572</v>
      </c>
      <c r="B424" s="1">
        <f t="shared" si="1"/>
        <v>76</v>
      </c>
      <c r="C424" s="1">
        <v>2.0</v>
      </c>
      <c r="D424" s="1">
        <v>0.0</v>
      </c>
      <c r="E424" s="1">
        <v>2.0</v>
      </c>
      <c r="F424" s="6">
        <v>1.0</v>
      </c>
      <c r="G424" s="1">
        <v>2.0</v>
      </c>
      <c r="H424" s="1">
        <v>0.0</v>
      </c>
      <c r="I424" s="1">
        <v>1.0</v>
      </c>
      <c r="J424" s="1">
        <v>2.0</v>
      </c>
      <c r="K424" s="1">
        <v>0.0</v>
      </c>
      <c r="L424" s="8" t="str">
        <f>vlookup(A424,salesx_all!B:E,2,0)</f>
        <v>#N/A</v>
      </c>
      <c r="M424" s="8" t="str">
        <f>vlookup(A424,salesx_all!B:D,3,0)</f>
        <v>#N/A</v>
      </c>
      <c r="N424" s="8" t="str">
        <f>vlookup(A424,salesx_all!B:E,4,0)</f>
        <v>#N/A</v>
      </c>
    </row>
    <row r="425">
      <c r="A425" s="1" t="s">
        <v>573</v>
      </c>
      <c r="B425" s="1">
        <f t="shared" si="1"/>
        <v>65</v>
      </c>
      <c r="C425" s="1">
        <v>2.0</v>
      </c>
      <c r="D425" s="1">
        <v>0.0</v>
      </c>
      <c r="E425" s="1">
        <v>2.0</v>
      </c>
      <c r="F425" s="6">
        <v>1.0</v>
      </c>
      <c r="G425" s="1">
        <v>2.0</v>
      </c>
      <c r="H425" s="1">
        <v>0.0</v>
      </c>
      <c r="I425" s="1">
        <v>2.0</v>
      </c>
      <c r="J425" s="1">
        <v>2.0</v>
      </c>
      <c r="K425" s="1">
        <v>0.0</v>
      </c>
      <c r="L425" s="8" t="str">
        <f>vlookup(A425,salesx_all!B:E,2,0)</f>
        <v>Three Sales Strategies to Help You Weather an Economic Downtown</v>
      </c>
      <c r="M425" s="8" t="str">
        <f>vlookup(A425,salesx_all!B:D,3,0)</f>
        <v>Understand Your Serviceable Obtainable Market</v>
      </c>
      <c r="N425" s="8" t="str">
        <f>vlookup(A425,salesx_all!B:E,4,0)</f>
        <v>Identify Your Win Rate</v>
      </c>
    </row>
    <row r="426">
      <c r="A426" s="1" t="s">
        <v>574</v>
      </c>
      <c r="B426" s="1">
        <f t="shared" si="1"/>
        <v>69</v>
      </c>
      <c r="C426" s="1">
        <v>2.0</v>
      </c>
      <c r="D426" s="1">
        <v>0.0</v>
      </c>
      <c r="E426" s="1">
        <v>2.0</v>
      </c>
      <c r="F426" s="6">
        <v>1.0</v>
      </c>
      <c r="G426" s="1">
        <v>2.0</v>
      </c>
      <c r="H426" s="1">
        <v>0.0</v>
      </c>
      <c r="I426" s="1">
        <v>2.0</v>
      </c>
      <c r="J426" s="1">
        <v>2.0</v>
      </c>
      <c r="K426" s="1">
        <v>0.0</v>
      </c>
      <c r="L426" s="8" t="str">
        <f>vlookup(A426,salesx_all!B:E,2,0)</f>
        <v>Top Advantages (and Disadvantages) of Outsourcing Your Sales Function</v>
      </c>
      <c r="M426" s="8" t="str">
        <f>vlookup(A426,salesx_all!B:D,3,0)</f>
        <v>Advantages of Outsourcing Your Sales Function</v>
      </c>
      <c r="N426" s="8" t="str">
        <f>vlookup(A426,salesx_all!B:E,4,0)</f>
        <v>Disadvantages for Outsourcing Your Sales Function</v>
      </c>
    </row>
    <row r="427">
      <c r="A427" s="1" t="s">
        <v>575</v>
      </c>
      <c r="B427" s="1">
        <f t="shared" si="1"/>
        <v>38</v>
      </c>
      <c r="C427" s="1">
        <v>2.0</v>
      </c>
      <c r="D427" s="1">
        <v>0.0</v>
      </c>
      <c r="E427" s="1">
        <v>2.0</v>
      </c>
      <c r="F427" s="6">
        <v>0.5</v>
      </c>
      <c r="G427" s="1">
        <v>1.0</v>
      </c>
      <c r="H427" s="1">
        <v>1.0</v>
      </c>
      <c r="I427" s="1">
        <v>2.0</v>
      </c>
      <c r="J427" s="1">
        <v>2.0</v>
      </c>
      <c r="K427" s="1">
        <v>2.5</v>
      </c>
      <c r="L427" s="8" t="str">
        <f>vlookup(A427,salesx_all!B:E,2,0)</f>
        <v>True Success is Yours for the Making</v>
      </c>
      <c r="M427" s="8" t="str">
        <f>vlookup(A427,salesx_all!B:D,3,0)</f>
        <v>The Fallacy of Self-Determination in the Corporate World</v>
      </c>
      <c r="N427" s="8" t="str">
        <f>vlookup(A427,salesx_all!B:E,4,0)</f>
        <v>The Rewards of Self-Determination Beyond the Corporate World</v>
      </c>
    </row>
    <row r="428">
      <c r="A428" s="1" t="s">
        <v>576</v>
      </c>
      <c r="B428" s="1">
        <f t="shared" si="1"/>
        <v>58</v>
      </c>
      <c r="C428" s="1">
        <v>2.0</v>
      </c>
      <c r="D428" s="1">
        <v>0.0</v>
      </c>
      <c r="E428" s="1">
        <v>2.0</v>
      </c>
      <c r="F428" s="6">
        <v>1.0</v>
      </c>
      <c r="G428" s="1">
        <v>2.0</v>
      </c>
      <c r="H428" s="1">
        <v>0.0</v>
      </c>
      <c r="I428" s="1">
        <v>2.0</v>
      </c>
      <c r="J428" s="1">
        <v>2.0</v>
      </c>
      <c r="K428" s="1">
        <v>0.0</v>
      </c>
      <c r="L428" s="8" t="str">
        <f>vlookup(A428,salesx_all!B:E,2,0)</f>
        <v>Want Better Sales Results? Start with a Better Sales Plan.</v>
      </c>
      <c r="M428" s="8" t="str">
        <f>vlookup(A428,salesx_all!B:D,3,0)</f>
        <v/>
      </c>
      <c r="N428" s="8" t="str">
        <f>vlookup(A428,salesx_all!B:E,4,0)</f>
        <v/>
      </c>
    </row>
    <row r="429">
      <c r="A429" s="1" t="s">
        <v>577</v>
      </c>
      <c r="B429" s="1">
        <f t="shared" si="1"/>
        <v>49</v>
      </c>
      <c r="C429" s="1">
        <v>2.0</v>
      </c>
      <c r="D429" s="1">
        <v>0.0</v>
      </c>
      <c r="E429" s="1">
        <v>2.0</v>
      </c>
      <c r="F429" s="6">
        <v>1.0</v>
      </c>
      <c r="G429" s="1">
        <v>2.0</v>
      </c>
      <c r="H429" s="1">
        <v>0.0</v>
      </c>
      <c r="I429" s="1">
        <v>2.0</v>
      </c>
      <c r="J429" s="1">
        <v>2.0</v>
      </c>
      <c r="K429" s="1">
        <v>0.0</v>
      </c>
      <c r="L429" s="8" t="str">
        <f>vlookup(A429,salesx_all!B:E,2,0)</f>
        <v>Watching the Super Bowl Can Teach Salespeople About Sales</v>
      </c>
      <c r="M429" s="8" t="str">
        <f>vlookup(A429,salesx_all!B:D,3,0)</f>
        <v/>
      </c>
      <c r="N429" s="8" t="str">
        <f>vlookup(A429,salesx_all!B:E,4,0)</f>
        <v/>
      </c>
    </row>
    <row r="430">
      <c r="A430" s="1" t="s">
        <v>578</v>
      </c>
      <c r="B430" s="1">
        <f t="shared" si="1"/>
        <v>9</v>
      </c>
      <c r="C430" s="1">
        <v>2.0</v>
      </c>
      <c r="D430" s="1">
        <v>0.0</v>
      </c>
      <c r="E430" s="1">
        <v>2.0</v>
      </c>
      <c r="F430" s="6">
        <v>0.0</v>
      </c>
      <c r="G430" s="1">
        <v>2.0</v>
      </c>
      <c r="H430" s="1">
        <v>2.0</v>
      </c>
      <c r="I430" s="1">
        <v>8.0</v>
      </c>
      <c r="J430" s="1">
        <v>2.0</v>
      </c>
      <c r="K430" s="1">
        <v>7.0</v>
      </c>
      <c r="L430" s="8" t="str">
        <f>vlookup(A430,salesx_all!B:E,2,0)</f>
        <v>#N/A</v>
      </c>
      <c r="M430" s="8" t="str">
        <f>vlookup(A430,salesx_all!B:D,3,0)</f>
        <v>#N/A</v>
      </c>
      <c r="N430" s="8" t="str">
        <f>vlookup(A430,salesx_all!B:E,4,0)</f>
        <v>#N/A</v>
      </c>
    </row>
    <row r="431">
      <c r="A431" s="1" t="s">
        <v>579</v>
      </c>
      <c r="B431" s="1">
        <f t="shared" si="1"/>
        <v>63</v>
      </c>
      <c r="C431" s="1">
        <v>2.0</v>
      </c>
      <c r="D431" s="1">
        <v>0.0</v>
      </c>
      <c r="E431" s="1">
        <v>2.0</v>
      </c>
      <c r="F431" s="6">
        <v>1.0</v>
      </c>
      <c r="G431" s="1">
        <v>2.0</v>
      </c>
      <c r="H431" s="1">
        <v>0.0</v>
      </c>
      <c r="I431" s="1">
        <v>2.0</v>
      </c>
      <c r="J431" s="1">
        <v>2.0</v>
      </c>
      <c r="K431" s="1">
        <v>0.0</v>
      </c>
      <c r="L431" s="8" t="str">
        <f>vlookup(A431,salesx_all!B:E,2,0)</f>
        <v>What Are You Passionate About? (And What Are You Doing About It?)</v>
      </c>
      <c r="M431" s="8" t="str">
        <f>vlookup(A431,salesx_all!B:D,3,0)</f>
        <v>Just What is This “Passion Thing” Anyway?</v>
      </c>
      <c r="N431" s="8" t="str">
        <f>vlookup(A431,salesx_all!B:E,4,0)</f>
        <v>Connecting to Purpose</v>
      </c>
    </row>
    <row r="432">
      <c r="A432" s="1" t="s">
        <v>580</v>
      </c>
      <c r="B432" s="1">
        <f t="shared" si="1"/>
        <v>54</v>
      </c>
      <c r="C432" s="1">
        <v>2.0</v>
      </c>
      <c r="D432" s="1">
        <v>0.0</v>
      </c>
      <c r="E432" s="1">
        <v>2.0</v>
      </c>
      <c r="F432" s="6">
        <v>1.0</v>
      </c>
      <c r="G432" s="1">
        <v>2.0</v>
      </c>
      <c r="H432" s="1">
        <v>0.0</v>
      </c>
      <c r="I432" s="1">
        <v>2.0</v>
      </c>
      <c r="J432" s="1">
        <v>2.0</v>
      </c>
      <c r="K432" s="1">
        <v>0.0</v>
      </c>
      <c r="L432" s="8" t="str">
        <f>vlookup(A432,salesx_all!B:E,2,0)</f>
        <v>What is the Impact of COVID-19 on Your Sales Process?</v>
      </c>
      <c r="M432" s="8" t="str">
        <f>vlookup(A432,salesx_all!B:D,3,0)</f>
        <v>Impact of COVID-19 on Sales Survey</v>
      </c>
      <c r="N432" s="8" t="str">
        <f>vlookup(A432,salesx_all!B:E,4,0)</f>
        <v>Challenges of Virtual Selling</v>
      </c>
    </row>
    <row r="433">
      <c r="A433" s="1" t="s">
        <v>581</v>
      </c>
      <c r="B433" s="1">
        <f t="shared" si="1"/>
        <v>61</v>
      </c>
      <c r="C433" s="1">
        <v>2.0</v>
      </c>
      <c r="D433" s="1">
        <v>0.0</v>
      </c>
      <c r="E433" s="1">
        <v>2.0</v>
      </c>
      <c r="F433" s="6">
        <v>1.0</v>
      </c>
      <c r="G433" s="1">
        <v>2.0</v>
      </c>
      <c r="H433" s="1">
        <v>0.0</v>
      </c>
      <c r="I433" s="1">
        <v>2.0</v>
      </c>
      <c r="J433" s="1">
        <v>2.0</v>
      </c>
      <c r="K433" s="1">
        <v>0.0</v>
      </c>
      <c r="L433" s="8" t="str">
        <f>vlookup(A433,salesx_all!B:E,2,0)</f>
        <v>#N/A</v>
      </c>
      <c r="M433" s="8" t="str">
        <f>vlookup(A433,salesx_all!B:D,3,0)</f>
        <v>#N/A</v>
      </c>
      <c r="N433" s="8" t="str">
        <f>vlookup(A433,salesx_all!B:E,4,0)</f>
        <v>#N/A</v>
      </c>
    </row>
    <row r="434">
      <c r="A434" s="1" t="s">
        <v>582</v>
      </c>
      <c r="B434" s="1">
        <f t="shared" si="1"/>
        <v>67</v>
      </c>
      <c r="C434" s="1">
        <v>2.0</v>
      </c>
      <c r="D434" s="1">
        <v>0.0</v>
      </c>
      <c r="E434" s="1">
        <v>2.0</v>
      </c>
      <c r="F434" s="6">
        <v>0.5</v>
      </c>
      <c r="G434" s="1">
        <v>1.0</v>
      </c>
      <c r="H434" s="1">
        <v>1.0</v>
      </c>
      <c r="I434" s="1">
        <v>1.0</v>
      </c>
      <c r="J434" s="1">
        <v>2.0</v>
      </c>
      <c r="K434" s="1">
        <v>46.5</v>
      </c>
      <c r="L434" s="8" t="str">
        <f>vlookup(A434,salesx_all!B:E,2,0)</f>
        <v>What Makes a Great Sales Manager? These 12 Skills are a Good Start.</v>
      </c>
      <c r="M434" s="8" t="str">
        <f>vlookup(A434,salesx_all!B:D,3,0)</f>
        <v/>
      </c>
      <c r="N434" s="8" t="str">
        <f>vlookup(A434,salesx_all!B:E,4,0)</f>
        <v/>
      </c>
    </row>
    <row r="435">
      <c r="A435" s="1" t="s">
        <v>583</v>
      </c>
      <c r="B435" s="1">
        <f t="shared" si="1"/>
        <v>55</v>
      </c>
      <c r="C435" s="1">
        <v>2.0</v>
      </c>
      <c r="D435" s="1">
        <v>0.0</v>
      </c>
      <c r="E435" s="1">
        <v>2.0</v>
      </c>
      <c r="F435" s="6">
        <v>0.5</v>
      </c>
      <c r="G435" s="1">
        <v>1.0</v>
      </c>
      <c r="H435" s="1">
        <v>1.0</v>
      </c>
      <c r="I435" s="1">
        <v>2.0</v>
      </c>
      <c r="J435" s="1">
        <v>2.0</v>
      </c>
      <c r="K435" s="1">
        <v>18.5</v>
      </c>
      <c r="L435" s="8" t="str">
        <f>vlookup(A435,salesx_all!B:E,2,0)</f>
        <v>When (and Why) the Sales Manager Should Simply Be Quiet</v>
      </c>
      <c r="M435" s="8" t="str">
        <f>vlookup(A435,salesx_all!B:D,3,0)</f>
        <v/>
      </c>
      <c r="N435" s="8" t="str">
        <f>vlookup(A435,salesx_all!B:E,4,0)</f>
        <v/>
      </c>
    </row>
    <row r="436">
      <c r="A436" s="1" t="s">
        <v>584</v>
      </c>
      <c r="B436" s="1">
        <f t="shared" si="1"/>
        <v>88</v>
      </c>
      <c r="C436" s="1">
        <v>2.0</v>
      </c>
      <c r="D436" s="1">
        <v>0.0</v>
      </c>
      <c r="E436" s="1">
        <v>2.0</v>
      </c>
      <c r="F436" s="6">
        <v>0.5</v>
      </c>
      <c r="G436" s="1">
        <v>2.0</v>
      </c>
      <c r="H436" s="1">
        <v>1.0</v>
      </c>
      <c r="I436" s="1">
        <v>1.0</v>
      </c>
      <c r="J436" s="1">
        <v>2.0</v>
      </c>
      <c r="K436" s="1">
        <v>5.0</v>
      </c>
      <c r="L436" s="8" t="str">
        <f>vlookup(A436,salesx_all!B:E,2,0)</f>
        <v>Why Variable Compensation is the Key to a Successful Sales Team (and How to Do it Right)</v>
      </c>
      <c r="M436" s="8" t="str">
        <f>vlookup(A436,salesx_all!B:D,3,0)</f>
        <v>Why it Works</v>
      </c>
      <c r="N436" s="8" t="str">
        <f>vlookup(A436,salesx_all!B:E,4,0)</f>
        <v>How to Do it Right</v>
      </c>
    </row>
    <row r="437">
      <c r="A437" s="1" t="s">
        <v>585</v>
      </c>
      <c r="B437" s="1">
        <f t="shared" si="1"/>
        <v>85</v>
      </c>
      <c r="C437" s="1">
        <v>2.0</v>
      </c>
      <c r="D437" s="1">
        <v>0.0</v>
      </c>
      <c r="E437" s="1">
        <v>2.0</v>
      </c>
      <c r="F437" s="6">
        <v>1.0</v>
      </c>
      <c r="G437" s="1">
        <v>2.0</v>
      </c>
      <c r="H437" s="1">
        <v>0.0</v>
      </c>
      <c r="I437" s="1">
        <v>2.0</v>
      </c>
      <c r="J437" s="1">
        <v>2.0</v>
      </c>
      <c r="K437" s="1">
        <v>0.0</v>
      </c>
      <c r="L437" s="8" t="str">
        <f>vlookup(A437,salesx_all!B:E,2,0)</f>
        <v>You CAN Make Your Professional Dreams Come True (If You Have These Five Fundamentals)</v>
      </c>
      <c r="M437" s="8" t="str">
        <f>vlookup(A437,salesx_all!B:D,3,0)</f>
        <v/>
      </c>
      <c r="N437" s="8" t="str">
        <f>vlookup(A437,salesx_all!B:E,4,0)</f>
        <v/>
      </c>
    </row>
    <row r="438">
      <c r="A438" s="1" t="s">
        <v>586</v>
      </c>
      <c r="B438" s="1">
        <f t="shared" si="1"/>
        <v>85</v>
      </c>
      <c r="C438" s="1">
        <v>1.0</v>
      </c>
      <c r="D438" s="1">
        <v>0.0</v>
      </c>
      <c r="E438" s="1">
        <v>1.0</v>
      </c>
      <c r="F438" s="6">
        <v>1.0</v>
      </c>
      <c r="G438" s="1">
        <v>1.0</v>
      </c>
      <c r="H438" s="1">
        <v>0.0</v>
      </c>
      <c r="I438" s="1">
        <v>1.0</v>
      </c>
      <c r="J438" s="1">
        <v>1.0</v>
      </c>
      <c r="K438" s="1">
        <v>0.0</v>
      </c>
      <c r="L438" s="8" t="str">
        <f>vlookup(A438,salesx_all!B:E,2,0)</f>
        <v>#N/A</v>
      </c>
      <c r="M438" s="8" t="str">
        <f>vlookup(A438,salesx_all!B:D,3,0)</f>
        <v>#N/A</v>
      </c>
      <c r="N438" s="8" t="str">
        <f>vlookup(A438,salesx_all!B:E,4,0)</f>
        <v>#N/A</v>
      </c>
    </row>
    <row r="439">
      <c r="A439" s="1" t="s">
        <v>587</v>
      </c>
      <c r="B439" s="1">
        <f t="shared" si="1"/>
        <v>37</v>
      </c>
      <c r="C439" s="1">
        <v>1.0</v>
      </c>
      <c r="D439" s="1">
        <v>0.0</v>
      </c>
      <c r="E439" s="1">
        <v>1.0</v>
      </c>
      <c r="F439" s="6">
        <v>1.0</v>
      </c>
      <c r="G439" s="1">
        <v>1.0</v>
      </c>
      <c r="H439" s="1">
        <v>0.0</v>
      </c>
      <c r="I439" s="1">
        <v>1.0</v>
      </c>
      <c r="J439" s="1">
        <v>1.0</v>
      </c>
      <c r="K439" s="1">
        <v>0.0</v>
      </c>
      <c r="L439" s="8" t="str">
        <f>vlookup(A439,salesx_all!B:E,2,0)</f>
        <v>#N/A</v>
      </c>
      <c r="M439" s="8" t="str">
        <f>vlookup(A439,salesx_all!B:D,3,0)</f>
        <v>#N/A</v>
      </c>
      <c r="N439" s="8" t="str">
        <f>vlookup(A439,salesx_all!B:E,4,0)</f>
        <v>#N/A</v>
      </c>
    </row>
    <row r="440">
      <c r="A440" s="1" t="s">
        <v>588</v>
      </c>
      <c r="B440" s="1">
        <f t="shared" si="1"/>
        <v>80</v>
      </c>
      <c r="C440" s="1">
        <v>1.0</v>
      </c>
      <c r="D440" s="1">
        <v>0.0</v>
      </c>
      <c r="E440" s="1">
        <v>1.0</v>
      </c>
      <c r="F440" s="6">
        <v>1.0</v>
      </c>
      <c r="G440" s="1">
        <v>1.0</v>
      </c>
      <c r="H440" s="1">
        <v>0.0</v>
      </c>
      <c r="I440" s="1">
        <v>0.0</v>
      </c>
      <c r="J440" s="1">
        <v>1.0</v>
      </c>
      <c r="K440" s="1">
        <v>0.0</v>
      </c>
      <c r="L440" s="8" t="str">
        <f>vlookup(A440,salesx_all!B:E,2,0)</f>
        <v>#N/A</v>
      </c>
      <c r="M440" s="8" t="str">
        <f>vlookup(A440,salesx_all!B:D,3,0)</f>
        <v>#N/A</v>
      </c>
      <c r="N440" s="8" t="str">
        <f>vlookup(A440,salesx_all!B:E,4,0)</f>
        <v>#N/A</v>
      </c>
    </row>
    <row r="441">
      <c r="A441" s="1" t="s">
        <v>589</v>
      </c>
      <c r="B441" s="1">
        <f t="shared" si="1"/>
        <v>81</v>
      </c>
      <c r="C441" s="1">
        <v>1.0</v>
      </c>
      <c r="D441" s="1">
        <v>0.0</v>
      </c>
      <c r="E441" s="1">
        <v>1.0</v>
      </c>
      <c r="F441" s="6">
        <v>1.0</v>
      </c>
      <c r="G441" s="1">
        <v>1.0</v>
      </c>
      <c r="H441" s="1">
        <v>0.0</v>
      </c>
      <c r="I441" s="1">
        <v>0.0</v>
      </c>
      <c r="J441" s="1">
        <v>1.0</v>
      </c>
      <c r="K441" s="1">
        <v>0.0</v>
      </c>
      <c r="L441" s="8" t="str">
        <f>vlookup(A441,salesx_all!B:E,2,0)</f>
        <v>#N/A</v>
      </c>
      <c r="M441" s="8" t="str">
        <f>vlookup(A441,salesx_all!B:D,3,0)</f>
        <v>#N/A</v>
      </c>
      <c r="N441" s="8" t="str">
        <f>vlookup(A441,salesx_all!B:E,4,0)</f>
        <v>#N/A</v>
      </c>
    </row>
    <row r="442">
      <c r="A442" s="1" t="s">
        <v>590</v>
      </c>
      <c r="B442" s="1">
        <f t="shared" si="1"/>
        <v>50</v>
      </c>
      <c r="C442" s="1">
        <v>1.0</v>
      </c>
      <c r="D442" s="1">
        <v>0.0</v>
      </c>
      <c r="E442" s="1">
        <v>1.0</v>
      </c>
      <c r="F442" s="6">
        <v>1.0</v>
      </c>
      <c r="G442" s="1">
        <v>1.0</v>
      </c>
      <c r="H442" s="1">
        <v>0.0</v>
      </c>
      <c r="I442" s="1">
        <v>1.0</v>
      </c>
      <c r="J442" s="1">
        <v>1.0</v>
      </c>
      <c r="K442" s="1">
        <v>0.0</v>
      </c>
      <c r="L442" s="8" t="str">
        <f>vlookup(A442,salesx_all!B:E,2,0)</f>
        <v>#N/A</v>
      </c>
      <c r="M442" s="8" t="str">
        <f>vlookup(A442,salesx_all!B:D,3,0)</f>
        <v>#N/A</v>
      </c>
      <c r="N442" s="8" t="str">
        <f>vlookup(A442,salesx_all!B:E,4,0)</f>
        <v>#N/A</v>
      </c>
    </row>
    <row r="443">
      <c r="A443" s="1" t="s">
        <v>591</v>
      </c>
      <c r="B443" s="1">
        <f t="shared" si="1"/>
        <v>93</v>
      </c>
      <c r="C443" s="1">
        <v>1.0</v>
      </c>
      <c r="D443" s="1">
        <v>0.0</v>
      </c>
      <c r="E443" s="1">
        <v>1.0</v>
      </c>
      <c r="F443" s="6">
        <v>1.0</v>
      </c>
      <c r="G443" s="1">
        <v>1.0</v>
      </c>
      <c r="H443" s="1">
        <v>0.0</v>
      </c>
      <c r="I443" s="1">
        <v>0.0</v>
      </c>
      <c r="J443" s="1">
        <v>1.0</v>
      </c>
      <c r="K443" s="1">
        <v>0.0</v>
      </c>
      <c r="L443" s="8" t="str">
        <f>vlookup(A443,salesx_all!B:E,2,0)</f>
        <v>#N/A</v>
      </c>
      <c r="M443" s="8" t="str">
        <f>vlookup(A443,salesx_all!B:D,3,0)</f>
        <v>#N/A</v>
      </c>
      <c r="N443" s="8" t="str">
        <f>vlookup(A443,salesx_all!B:E,4,0)</f>
        <v>#N/A</v>
      </c>
    </row>
    <row r="444">
      <c r="A444" s="1" t="s">
        <v>592</v>
      </c>
      <c r="B444" s="1">
        <f t="shared" si="1"/>
        <v>39</v>
      </c>
      <c r="C444" s="1">
        <v>1.0</v>
      </c>
      <c r="D444" s="1">
        <v>0.0</v>
      </c>
      <c r="E444" s="1">
        <v>1.0</v>
      </c>
      <c r="F444" s="6">
        <v>1.0</v>
      </c>
      <c r="G444" s="1">
        <v>1.0</v>
      </c>
      <c r="H444" s="1">
        <v>0.0</v>
      </c>
      <c r="I444" s="1">
        <v>1.0</v>
      </c>
      <c r="J444" s="1">
        <v>1.0</v>
      </c>
      <c r="K444" s="1">
        <v>0.0</v>
      </c>
      <c r="L444" s="8" t="str">
        <f>vlookup(A444,salesx_all!B:E,2,0)</f>
        <v>#N/A</v>
      </c>
      <c r="M444" s="8" t="str">
        <f>vlookup(A444,salesx_all!B:D,3,0)</f>
        <v>#N/A</v>
      </c>
      <c r="N444" s="8" t="str">
        <f>vlookup(A444,salesx_all!B:E,4,0)</f>
        <v>#N/A</v>
      </c>
    </row>
    <row r="445">
      <c r="A445" s="1" t="s">
        <v>593</v>
      </c>
      <c r="B445" s="1">
        <f t="shared" si="1"/>
        <v>55</v>
      </c>
      <c r="C445" s="1">
        <v>1.0</v>
      </c>
      <c r="D445" s="1">
        <v>0.0</v>
      </c>
      <c r="E445" s="1">
        <v>1.0</v>
      </c>
      <c r="F445" s="6">
        <v>1.0</v>
      </c>
      <c r="G445" s="1">
        <v>1.0</v>
      </c>
      <c r="H445" s="1">
        <v>0.0</v>
      </c>
      <c r="I445" s="1">
        <v>1.0</v>
      </c>
      <c r="J445" s="1">
        <v>1.0</v>
      </c>
      <c r="K445" s="1">
        <v>1.0</v>
      </c>
      <c r="L445" s="8" t="str">
        <f>vlookup(A445,salesx_all!B:E,2,0)</f>
        <v>5 Best Practices for Maximizing Your CRM Capabilities</v>
      </c>
      <c r="M445" s="8" t="str">
        <f>vlookup(A445,salesx_all!B:D,3,0)</f>
        <v/>
      </c>
      <c r="N445" s="8" t="str">
        <f>vlookup(A445,salesx_all!B:E,4,0)</f>
        <v/>
      </c>
    </row>
    <row r="446">
      <c r="A446" s="1" t="s">
        <v>594</v>
      </c>
      <c r="B446" s="1">
        <f t="shared" si="1"/>
        <v>30</v>
      </c>
      <c r="C446" s="1">
        <v>1.0</v>
      </c>
      <c r="D446" s="1">
        <v>0.0</v>
      </c>
      <c r="E446" s="1">
        <v>1.0</v>
      </c>
      <c r="F446" s="6">
        <v>1.0</v>
      </c>
      <c r="G446" s="1">
        <v>1.0</v>
      </c>
      <c r="H446" s="1">
        <v>0.0</v>
      </c>
      <c r="I446" s="1">
        <v>0.0</v>
      </c>
      <c r="J446" s="1">
        <v>1.0</v>
      </c>
      <c r="K446" s="1">
        <v>0.0</v>
      </c>
      <c r="L446" s="8" t="str">
        <f>vlookup(A446,salesx_all!B:E,2,0)</f>
        <v>5 Sales Management Questions</v>
      </c>
      <c r="M446" s="8" t="str">
        <f>vlookup(A446,salesx_all!B:D,3,0)</f>
        <v>#4. What is my customer type focus?</v>
      </c>
      <c r="N446" s="8" t="str">
        <f>vlookup(A446,salesx_all!B:E,4,0)</f>
        <v/>
      </c>
    </row>
    <row r="447">
      <c r="A447" s="1" t="s">
        <v>595</v>
      </c>
      <c r="B447" s="1">
        <f t="shared" si="1"/>
        <v>68</v>
      </c>
      <c r="C447" s="1">
        <v>1.0</v>
      </c>
      <c r="D447" s="1">
        <v>0.0</v>
      </c>
      <c r="E447" s="1">
        <v>1.0</v>
      </c>
      <c r="F447" s="6">
        <v>0.0</v>
      </c>
      <c r="G447" s="1">
        <v>0.0</v>
      </c>
      <c r="H447" s="1">
        <v>1.0</v>
      </c>
      <c r="I447" s="1">
        <v>1.0</v>
      </c>
      <c r="J447" s="1">
        <v>1.0</v>
      </c>
      <c r="K447" s="1">
        <v>0.0</v>
      </c>
      <c r="L447" s="8" t="str">
        <f>vlookup(A447,salesx_all!B:E,2,0)</f>
        <v>#N/A</v>
      </c>
      <c r="M447" s="8" t="str">
        <f>vlookup(A447,salesx_all!B:D,3,0)</f>
        <v>#N/A</v>
      </c>
      <c r="N447" s="8" t="str">
        <f>vlookup(A447,salesx_all!B:E,4,0)</f>
        <v>#N/A</v>
      </c>
    </row>
    <row r="448">
      <c r="A448" s="1" t="s">
        <v>596</v>
      </c>
      <c r="B448" s="1">
        <f t="shared" si="1"/>
        <v>45</v>
      </c>
      <c r="C448" s="1">
        <v>1.0</v>
      </c>
      <c r="D448" s="1">
        <v>0.0</v>
      </c>
      <c r="E448" s="1">
        <v>1.0</v>
      </c>
      <c r="F448" s="6">
        <v>1.0</v>
      </c>
      <c r="G448" s="1">
        <v>1.0</v>
      </c>
      <c r="H448" s="1">
        <v>0.0</v>
      </c>
      <c r="I448" s="1">
        <v>1.0</v>
      </c>
      <c r="J448" s="1">
        <v>1.0</v>
      </c>
      <c r="K448" s="1">
        <v>0.0</v>
      </c>
      <c r="L448" s="8" t="str">
        <f>vlookup(A448,salesx_all!B:E,2,0)</f>
        <v>5 Tips to Sales Leaders to Kickstart Hiring</v>
      </c>
      <c r="M448" s="8" t="str">
        <f>vlookup(A448,salesx_all!B:D,3,0)</f>
        <v>1. Define Your Hiring Goals</v>
      </c>
      <c r="N448" s="8" t="str">
        <f>vlookup(A448,salesx_all!B:E,4,0)</f>
        <v>2. Develop a Targeted Job Description</v>
      </c>
    </row>
    <row r="449">
      <c r="A449" s="1" t="s">
        <v>597</v>
      </c>
      <c r="B449" s="1">
        <f t="shared" si="1"/>
        <v>71</v>
      </c>
      <c r="C449" s="1">
        <v>1.0</v>
      </c>
      <c r="D449" s="1">
        <v>0.0</v>
      </c>
      <c r="E449" s="1">
        <v>1.0</v>
      </c>
      <c r="F449" s="6">
        <v>0.0</v>
      </c>
      <c r="G449" s="1">
        <v>1.0</v>
      </c>
      <c r="H449" s="1">
        <v>1.0</v>
      </c>
      <c r="I449" s="1">
        <v>2.0</v>
      </c>
      <c r="J449" s="1">
        <v>1.0</v>
      </c>
      <c r="K449" s="1">
        <v>0.0</v>
      </c>
      <c r="L449" s="8" t="str">
        <f>vlookup(A449,salesx_all!B:E,2,0)</f>
        <v>Score – 5 Ways to Make Your Sales Infrastructure More Attractive to Investors</v>
      </c>
      <c r="M449" s="8" t="str">
        <f>vlookup(A449,salesx_all!B:D,3,0)</f>
        <v>Improve Your Sales Infrastructure</v>
      </c>
      <c r="N449" s="8" t="str">
        <f>vlookup(A449,salesx_all!B:E,4,0)</f>
        <v/>
      </c>
    </row>
    <row r="450">
      <c r="A450" s="1" t="s">
        <v>598</v>
      </c>
      <c r="B450" s="1">
        <f t="shared" si="1"/>
        <v>52</v>
      </c>
      <c r="C450" s="1">
        <v>1.0</v>
      </c>
      <c r="D450" s="1">
        <v>0.0</v>
      </c>
      <c r="E450" s="1">
        <v>1.0</v>
      </c>
      <c r="F450" s="6">
        <v>0.0</v>
      </c>
      <c r="G450" s="1">
        <v>0.0</v>
      </c>
      <c r="H450" s="1">
        <v>1.0</v>
      </c>
      <c r="I450" s="1">
        <v>1.0</v>
      </c>
      <c r="J450" s="1">
        <v>1.0</v>
      </c>
      <c r="K450" s="1">
        <v>0.0</v>
      </c>
      <c r="L450" s="8" t="str">
        <f>vlookup(A450,salesx_all!B:E,2,0)</f>
        <v>7 Essential Tips for Interviewing Top Sales Talent</v>
      </c>
      <c r="M450" s="8" t="str">
        <f>vlookup(A450,salesx_all!B:D,3,0)</f>
        <v>Focus on these seven items while interviewing top sales talent to improve your hiring:</v>
      </c>
      <c r="N450" s="8" t="str">
        <f>vlookup(A450,salesx_all!B:E,4,0)</f>
        <v>The Bottom Line</v>
      </c>
    </row>
    <row r="451">
      <c r="A451" s="1" t="s">
        <v>599</v>
      </c>
      <c r="B451" s="1">
        <f t="shared" si="1"/>
        <v>29</v>
      </c>
      <c r="C451" s="1">
        <v>1.0</v>
      </c>
      <c r="D451" s="1">
        <v>0.0</v>
      </c>
      <c r="E451" s="1">
        <v>1.0</v>
      </c>
      <c r="F451" s="6">
        <v>1.0</v>
      </c>
      <c r="G451" s="1">
        <v>1.0</v>
      </c>
      <c r="H451" s="1">
        <v>0.0</v>
      </c>
      <c r="I451" s="1">
        <v>1.0</v>
      </c>
      <c r="J451" s="1">
        <v>1.0</v>
      </c>
      <c r="K451" s="1">
        <v>0.0</v>
      </c>
      <c r="L451" s="8" t="str">
        <f>vlookup(A451,salesx_all!B:E,2,0)</f>
        <v>#N/A</v>
      </c>
      <c r="M451" s="8" t="str">
        <f>vlookup(A451,salesx_all!B:D,3,0)</f>
        <v>#N/A</v>
      </c>
      <c r="N451" s="8" t="str">
        <f>vlookup(A451,salesx_all!B:E,4,0)</f>
        <v>#N/A</v>
      </c>
    </row>
    <row r="452">
      <c r="A452" s="1" t="s">
        <v>600</v>
      </c>
      <c r="B452" s="1">
        <f t="shared" si="1"/>
        <v>2</v>
      </c>
      <c r="C452" s="1">
        <v>1.0</v>
      </c>
      <c r="D452" s="1">
        <v>0.0</v>
      </c>
      <c r="E452" s="1">
        <v>1.0</v>
      </c>
      <c r="F452" s="6">
        <v>1.0</v>
      </c>
      <c r="G452" s="1">
        <v>1.0</v>
      </c>
      <c r="H452" s="1">
        <v>0.0</v>
      </c>
      <c r="I452" s="1">
        <v>1.0</v>
      </c>
      <c r="J452" s="1">
        <v>1.0</v>
      </c>
      <c r="K452" s="1">
        <v>0.0</v>
      </c>
      <c r="L452" s="8" t="str">
        <f>vlookup(A452,salesx_all!B:E,2,0)</f>
        <v>#N/A</v>
      </c>
      <c r="M452" s="8" t="str">
        <f>vlookup(A452,salesx_all!B:D,3,0)</f>
        <v>#N/A</v>
      </c>
      <c r="N452" s="8" t="str">
        <f>vlookup(A452,salesx_all!B:E,4,0)</f>
        <v>#N/A</v>
      </c>
    </row>
    <row r="453">
      <c r="A453" s="1" t="s">
        <v>601</v>
      </c>
      <c r="B453" s="1">
        <f t="shared" si="1"/>
        <v>39</v>
      </c>
      <c r="C453" s="1">
        <v>1.0</v>
      </c>
      <c r="D453" s="1">
        <v>0.0</v>
      </c>
      <c r="E453" s="1">
        <v>1.0</v>
      </c>
      <c r="F453" s="6">
        <v>0.0</v>
      </c>
      <c r="G453" s="1">
        <v>0.0</v>
      </c>
      <c r="H453" s="1">
        <v>1.0</v>
      </c>
      <c r="I453" s="1">
        <v>1.0</v>
      </c>
      <c r="J453" s="1">
        <v>1.0</v>
      </c>
      <c r="K453" s="1">
        <v>5.0</v>
      </c>
      <c r="L453" s="8" t="str">
        <f>vlookup(A453,salesx_all!B:E,2,0)</f>
        <v>A New Beginning After All These Years?</v>
      </c>
      <c r="M453" s="8" t="str">
        <f>vlookup(A453,salesx_all!B:D,3,0)</f>
        <v>Starting Over Doesn’t Mean Starting from Scratch</v>
      </c>
      <c r="N453" s="8" t="str">
        <f>vlookup(A453,salesx_all!B:E,4,0)</f>
        <v>Older Dog, Newer Tricks?</v>
      </c>
    </row>
    <row r="454">
      <c r="A454" s="1" t="s">
        <v>602</v>
      </c>
      <c r="B454" s="1">
        <f t="shared" si="1"/>
        <v>24</v>
      </c>
      <c r="C454" s="1">
        <v>1.0</v>
      </c>
      <c r="D454" s="1">
        <v>0.0</v>
      </c>
      <c r="E454" s="1">
        <v>1.0</v>
      </c>
      <c r="F454" s="6">
        <v>1.0</v>
      </c>
      <c r="G454" s="1">
        <v>1.0</v>
      </c>
      <c r="H454" s="1">
        <v>0.0</v>
      </c>
      <c r="I454" s="1">
        <v>1.0</v>
      </c>
      <c r="J454" s="1">
        <v>1.0</v>
      </c>
      <c r="K454" s="1">
        <v>0.0</v>
      </c>
      <c r="L454" s="8" t="str">
        <f>vlookup(A454,salesx_all!B:E,2,0)</f>
        <v>#N/A</v>
      </c>
      <c r="M454" s="8" t="str">
        <f>vlookup(A454,salesx_all!B:D,3,0)</f>
        <v>#N/A</v>
      </c>
      <c r="N454" s="8" t="str">
        <f>vlookup(A454,salesx_all!B:E,4,0)</f>
        <v>#N/A</v>
      </c>
    </row>
    <row r="455">
      <c r="A455" s="1" t="s">
        <v>603</v>
      </c>
      <c r="B455" s="1">
        <f t="shared" si="1"/>
        <v>52</v>
      </c>
      <c r="C455" s="1">
        <v>1.0</v>
      </c>
      <c r="D455" s="1">
        <v>0.0</v>
      </c>
      <c r="E455" s="1">
        <v>1.0</v>
      </c>
      <c r="F455" s="6">
        <v>1.0</v>
      </c>
      <c r="G455" s="1">
        <v>1.0</v>
      </c>
      <c r="H455" s="1">
        <v>0.0</v>
      </c>
      <c r="I455" s="1">
        <v>1.0</v>
      </c>
      <c r="J455" s="1">
        <v>1.0</v>
      </c>
      <c r="K455" s="1">
        <v>0.0</v>
      </c>
      <c r="L455" s="8" t="str">
        <f>vlookup(A455,salesx_all!B:E,2,0)</f>
        <v>Achieving Sales Excellence: Competitive Positioning</v>
      </c>
      <c r="M455" s="8" t="str">
        <f>vlookup(A455,salesx_all!B:D,3,0)</f>
        <v>Understanding Competitive Positioning</v>
      </c>
      <c r="N455" s="8" t="str">
        <f>vlookup(A455,salesx_all!B:E,4,0)</f>
        <v>Crafting a Distinct Market Stance: A Methodical Approach</v>
      </c>
    </row>
    <row r="456">
      <c r="A456" s="1" t="s">
        <v>604</v>
      </c>
      <c r="B456" s="1">
        <f t="shared" si="1"/>
        <v>70</v>
      </c>
      <c r="C456" s="1">
        <v>1.0</v>
      </c>
      <c r="D456" s="1">
        <v>0.0</v>
      </c>
      <c r="E456" s="1">
        <v>1.0</v>
      </c>
      <c r="F456" s="6">
        <v>1.0</v>
      </c>
      <c r="G456" s="1">
        <v>1.0</v>
      </c>
      <c r="H456" s="1">
        <v>0.0</v>
      </c>
      <c r="I456" s="1">
        <v>1.0</v>
      </c>
      <c r="J456" s="1">
        <v>1.0</v>
      </c>
      <c r="K456" s="1">
        <v>4.0</v>
      </c>
      <c r="L456" s="8" t="str">
        <f>vlookup(A456,salesx_all!B:E,2,0)</f>
        <v>Achieving Sales Excellence: Developing a Compelling Value Proposition</v>
      </c>
      <c r="M456" s="8" t="str">
        <f>vlookup(A456,salesx_all!B:D,3,0)</f>
        <v>Why Us, Why Now?</v>
      </c>
      <c r="N456" s="8" t="str">
        <f>vlookup(A456,salesx_all!B:E,4,0)</f>
        <v>The Essence of a Value Proposition</v>
      </c>
    </row>
    <row r="457">
      <c r="A457" s="1" t="s">
        <v>605</v>
      </c>
      <c r="B457" s="1">
        <f t="shared" si="1"/>
        <v>98</v>
      </c>
      <c r="C457" s="1">
        <v>1.0</v>
      </c>
      <c r="D457" s="1">
        <v>0.0</v>
      </c>
      <c r="E457" s="1">
        <v>1.0</v>
      </c>
      <c r="F457" s="6">
        <v>1.0</v>
      </c>
      <c r="G457" s="1">
        <v>1.0</v>
      </c>
      <c r="H457" s="1">
        <v>0.0</v>
      </c>
      <c r="I457" s="1">
        <v>1.0</v>
      </c>
      <c r="J457" s="1">
        <v>1.0</v>
      </c>
      <c r="K457" s="1">
        <v>6.0</v>
      </c>
      <c r="L457" s="8" t="str">
        <f>vlookup(A457,salesx_all!B:E,2,0)</f>
        <v>Adapting Leadership Styles to the Situation: Sales Growth vs. Sales Recovery Part One: Sales Growth</v>
      </c>
      <c r="M457" s="8" t="str">
        <f>vlookup(A457,salesx_all!B:D,3,0)</f>
        <v>Growth-Focused Leadership</v>
      </c>
      <c r="N457" s="8" t="str">
        <f>vlookup(A457,salesx_all!B:E,4,0)</f>
        <v>Growth-Focused Action Items</v>
      </c>
    </row>
    <row r="458">
      <c r="A458" s="1" t="s">
        <v>606</v>
      </c>
      <c r="B458" s="1">
        <f t="shared" si="1"/>
        <v>32</v>
      </c>
      <c r="C458" s="1">
        <v>1.0</v>
      </c>
      <c r="D458" s="1">
        <v>0.0</v>
      </c>
      <c r="E458" s="1">
        <v>1.0</v>
      </c>
      <c r="F458" s="6">
        <v>1.0</v>
      </c>
      <c r="G458" s="1">
        <v>1.0</v>
      </c>
      <c r="H458" s="1">
        <v>0.0</v>
      </c>
      <c r="I458" s="1">
        <v>1.0</v>
      </c>
      <c r="J458" s="1">
        <v>1.0</v>
      </c>
      <c r="K458" s="1">
        <v>0.0</v>
      </c>
      <c r="L458" s="8" t="str">
        <f>vlookup(A458,salesx_all!B:E,2,0)</f>
        <v>#N/A</v>
      </c>
      <c r="M458" s="8" t="str">
        <f>vlookup(A458,salesx_all!B:D,3,0)</f>
        <v>#N/A</v>
      </c>
      <c r="N458" s="8" t="str">
        <f>vlookup(A458,salesx_all!B:E,4,0)</f>
        <v>#N/A</v>
      </c>
    </row>
    <row r="459">
      <c r="A459" s="1" t="s">
        <v>607</v>
      </c>
      <c r="B459" s="1">
        <f t="shared" si="1"/>
        <v>29</v>
      </c>
      <c r="C459" s="1">
        <v>1.0</v>
      </c>
      <c r="D459" s="1">
        <v>0.0</v>
      </c>
      <c r="E459" s="1">
        <v>1.0</v>
      </c>
      <c r="F459" s="6">
        <v>1.0</v>
      </c>
      <c r="G459" s="1">
        <v>1.0</v>
      </c>
      <c r="H459" s="1">
        <v>0.0</v>
      </c>
      <c r="I459" s="1">
        <v>1.0</v>
      </c>
      <c r="J459" s="1">
        <v>1.0</v>
      </c>
      <c r="K459" s="1">
        <v>0.0</v>
      </c>
      <c r="L459" s="8" t="str">
        <f>vlookup(A459,salesx_all!B:E,2,0)</f>
        <v>#N/A</v>
      </c>
      <c r="M459" s="8" t="str">
        <f>vlookup(A459,salesx_all!B:D,3,0)</f>
        <v>#N/A</v>
      </c>
      <c r="N459" s="8" t="str">
        <f>vlookup(A459,salesx_all!B:E,4,0)</f>
        <v>#N/A</v>
      </c>
    </row>
    <row r="460">
      <c r="A460" s="1" t="s">
        <v>608</v>
      </c>
      <c r="B460" s="1">
        <f t="shared" si="1"/>
        <v>57</v>
      </c>
      <c r="C460" s="1">
        <v>1.0</v>
      </c>
      <c r="D460" s="1">
        <v>0.0</v>
      </c>
      <c r="E460" s="1">
        <v>1.0</v>
      </c>
      <c r="F460" s="6">
        <v>1.0</v>
      </c>
      <c r="G460" s="1">
        <v>1.0</v>
      </c>
      <c r="H460" s="1">
        <v>0.0</v>
      </c>
      <c r="I460" s="1">
        <v>1.0</v>
      </c>
      <c r="J460" s="1">
        <v>1.0</v>
      </c>
      <c r="K460" s="1">
        <v>0.0</v>
      </c>
      <c r="L460" s="8" t="str">
        <f>vlookup(A460,salesx_all!B:E,2,0)</f>
        <v>#N/A</v>
      </c>
      <c r="M460" s="8" t="str">
        <f>vlookup(A460,salesx_all!B:D,3,0)</f>
        <v>#N/A</v>
      </c>
      <c r="N460" s="8" t="str">
        <f>vlookup(A460,salesx_all!B:E,4,0)</f>
        <v>#N/A</v>
      </c>
    </row>
    <row r="461">
      <c r="A461" s="1" t="s">
        <v>609</v>
      </c>
      <c r="B461" s="1">
        <f t="shared" si="1"/>
        <v>49</v>
      </c>
      <c r="C461" s="1">
        <v>1.0</v>
      </c>
      <c r="D461" s="1">
        <v>0.0</v>
      </c>
      <c r="E461" s="1">
        <v>1.0</v>
      </c>
      <c r="F461" s="6">
        <v>1.0</v>
      </c>
      <c r="G461" s="1">
        <v>1.0</v>
      </c>
      <c r="H461" s="1">
        <v>0.0</v>
      </c>
      <c r="I461" s="1">
        <v>0.0</v>
      </c>
      <c r="J461" s="1">
        <v>1.0</v>
      </c>
      <c r="K461" s="1">
        <v>0.0</v>
      </c>
      <c r="L461" s="8" t="str">
        <f>vlookup(A461,salesx_all!B:E,2,0)</f>
        <v>Appreciating and Retaining Millennial Employees</v>
      </c>
      <c r="M461" s="8" t="str">
        <f>vlookup(A461,salesx_all!B:D,3,0)</f>
        <v/>
      </c>
      <c r="N461" s="8" t="str">
        <f>vlookup(A461,salesx_all!B:E,4,0)</f>
        <v/>
      </c>
    </row>
    <row r="462">
      <c r="A462" s="1" t="s">
        <v>610</v>
      </c>
      <c r="B462" s="1">
        <f t="shared" si="1"/>
        <v>62</v>
      </c>
      <c r="C462" s="1">
        <v>1.0</v>
      </c>
      <c r="D462" s="1">
        <v>0.0</v>
      </c>
      <c r="E462" s="1">
        <v>1.0</v>
      </c>
      <c r="F462" s="6">
        <v>1.0</v>
      </c>
      <c r="G462" s="1">
        <v>1.0</v>
      </c>
      <c r="H462" s="1">
        <v>0.0</v>
      </c>
      <c r="I462" s="1">
        <v>1.0</v>
      </c>
      <c r="J462" s="1">
        <v>1.0</v>
      </c>
      <c r="K462" s="1">
        <v>0.0</v>
      </c>
      <c r="L462" s="8" t="str">
        <f>vlookup(A462,salesx_all!B:E,2,0)</f>
        <v>#N/A</v>
      </c>
      <c r="M462" s="8" t="str">
        <f>vlookup(A462,salesx_all!B:D,3,0)</f>
        <v>#N/A</v>
      </c>
      <c r="N462" s="8" t="str">
        <f>vlookup(A462,salesx_all!B:E,4,0)</f>
        <v>#N/A</v>
      </c>
    </row>
    <row r="463">
      <c r="A463" s="1" t="s">
        <v>611</v>
      </c>
      <c r="B463" s="1">
        <f t="shared" si="1"/>
        <v>57</v>
      </c>
      <c r="C463" s="1">
        <v>1.0</v>
      </c>
      <c r="D463" s="1">
        <v>0.0</v>
      </c>
      <c r="E463" s="1">
        <v>1.0</v>
      </c>
      <c r="F463" s="6">
        <v>1.0</v>
      </c>
      <c r="G463" s="1">
        <v>1.0</v>
      </c>
      <c r="H463" s="1">
        <v>0.0</v>
      </c>
      <c r="I463" s="1">
        <v>1.0</v>
      </c>
      <c r="J463" s="1">
        <v>1.0</v>
      </c>
      <c r="K463" s="1">
        <v>0.0</v>
      </c>
      <c r="L463" s="8" t="str">
        <f>vlookup(A463,salesx_all!B:E,2,0)</f>
        <v>#N/A</v>
      </c>
      <c r="M463" s="8" t="str">
        <f>vlookup(A463,salesx_all!B:D,3,0)</f>
        <v>#N/A</v>
      </c>
      <c r="N463" s="8" t="str">
        <f>vlookup(A463,salesx_all!B:E,4,0)</f>
        <v>#N/A</v>
      </c>
    </row>
    <row r="464">
      <c r="A464" s="1" t="s">
        <v>612</v>
      </c>
      <c r="B464" s="1">
        <f t="shared" si="1"/>
        <v>23</v>
      </c>
      <c r="C464" s="1">
        <v>1.0</v>
      </c>
      <c r="D464" s="1">
        <v>0.0</v>
      </c>
      <c r="E464" s="1">
        <v>1.0</v>
      </c>
      <c r="F464" s="6">
        <v>1.0</v>
      </c>
      <c r="G464" s="1">
        <v>1.0</v>
      </c>
      <c r="H464" s="1">
        <v>0.0</v>
      </c>
      <c r="I464" s="1">
        <v>1.0</v>
      </c>
      <c r="J464" s="1">
        <v>1.0</v>
      </c>
      <c r="K464" s="1">
        <v>0.0</v>
      </c>
      <c r="L464" s="8" t="str">
        <f>vlookup(A464,salesx_all!B:E,2,0)</f>
        <v>#N/A</v>
      </c>
      <c r="M464" s="8" t="str">
        <f>vlookup(A464,salesx_all!B:D,3,0)</f>
        <v>#N/A</v>
      </c>
      <c r="N464" s="8" t="str">
        <f>vlookup(A464,salesx_all!B:E,4,0)</f>
        <v>#N/A</v>
      </c>
    </row>
    <row r="465">
      <c r="A465" s="1" t="s">
        <v>613</v>
      </c>
      <c r="B465" s="1">
        <f t="shared" si="1"/>
        <v>35</v>
      </c>
      <c r="C465" s="1">
        <v>1.0</v>
      </c>
      <c r="D465" s="1">
        <v>0.0</v>
      </c>
      <c r="E465" s="1">
        <v>1.0</v>
      </c>
      <c r="F465" s="6">
        <v>1.0</v>
      </c>
      <c r="G465" s="1">
        <v>1.0</v>
      </c>
      <c r="H465" s="1">
        <v>0.0</v>
      </c>
      <c r="I465" s="1">
        <v>1.0</v>
      </c>
      <c r="J465" s="1">
        <v>1.0</v>
      </c>
      <c r="K465" s="1">
        <v>0.0</v>
      </c>
      <c r="L465" s="8" t="str">
        <f>vlookup(A465,salesx_all!B:E,2,0)</f>
        <v>Becoming a Senior Entrepreneur: What Do You Have to Gain?</v>
      </c>
      <c r="M465" s="8" t="str">
        <f>vlookup(A465,salesx_all!B:D,3,0)</f>
        <v/>
      </c>
      <c r="N465" s="8" t="str">
        <f>vlookup(A465,salesx_all!B:E,4,0)</f>
        <v/>
      </c>
    </row>
    <row r="466">
      <c r="A466" s="1" t="s">
        <v>614</v>
      </c>
      <c r="B466" s="1">
        <f t="shared" si="1"/>
        <v>64</v>
      </c>
      <c r="C466" s="1">
        <v>1.0</v>
      </c>
      <c r="D466" s="1">
        <v>0.0</v>
      </c>
      <c r="E466" s="1">
        <v>1.0</v>
      </c>
      <c r="F466" s="6">
        <v>1.0</v>
      </c>
      <c r="G466" s="1">
        <v>1.0</v>
      </c>
      <c r="H466" s="1">
        <v>0.0</v>
      </c>
      <c r="I466" s="1">
        <v>1.0</v>
      </c>
      <c r="J466" s="1">
        <v>1.0</v>
      </c>
      <c r="K466" s="1">
        <v>0.0</v>
      </c>
      <c r="L466" s="8" t="str">
        <f>vlookup(A466,salesx_all!B:E,2,0)</f>
        <v>#N/A</v>
      </c>
      <c r="M466" s="8" t="str">
        <f>vlookup(A466,salesx_all!B:D,3,0)</f>
        <v>#N/A</v>
      </c>
      <c r="N466" s="8" t="str">
        <f>vlookup(A466,salesx_all!B:E,4,0)</f>
        <v>#N/A</v>
      </c>
    </row>
    <row r="467">
      <c r="A467" s="1" t="s">
        <v>615</v>
      </c>
      <c r="B467" s="1">
        <f t="shared" si="1"/>
        <v>65</v>
      </c>
      <c r="C467" s="1">
        <v>1.0</v>
      </c>
      <c r="D467" s="1">
        <v>0.0</v>
      </c>
      <c r="E467" s="1">
        <v>1.0</v>
      </c>
      <c r="F467" s="6">
        <v>1.0</v>
      </c>
      <c r="G467" s="1">
        <v>1.0</v>
      </c>
      <c r="H467" s="1">
        <v>0.0</v>
      </c>
      <c r="I467" s="1">
        <v>1.0</v>
      </c>
      <c r="J467" s="1">
        <v>1.0</v>
      </c>
      <c r="K467" s="1">
        <v>0.0</v>
      </c>
      <c r="L467" s="8" t="str">
        <f>vlookup(A467,salesx_all!B:E,2,0)</f>
        <v>#N/A</v>
      </c>
      <c r="M467" s="8" t="str">
        <f>vlookup(A467,salesx_all!B:D,3,0)</f>
        <v>#N/A</v>
      </c>
      <c r="N467" s="8" t="str">
        <f>vlookup(A467,salesx_all!B:E,4,0)</f>
        <v>#N/A</v>
      </c>
    </row>
    <row r="468">
      <c r="A468" s="1" t="s">
        <v>616</v>
      </c>
      <c r="B468" s="1">
        <f t="shared" si="1"/>
        <v>44</v>
      </c>
      <c r="C468" s="1">
        <v>1.0</v>
      </c>
      <c r="D468" s="1">
        <v>0.0</v>
      </c>
      <c r="E468" s="1">
        <v>1.0</v>
      </c>
      <c r="F468" s="6">
        <v>1.0</v>
      </c>
      <c r="G468" s="1">
        <v>1.0</v>
      </c>
      <c r="H468" s="1">
        <v>0.0</v>
      </c>
      <c r="I468" s="1">
        <v>1.0</v>
      </c>
      <c r="J468" s="1">
        <v>1.0</v>
      </c>
      <c r="K468" s="1">
        <v>0.0</v>
      </c>
      <c r="L468" s="8" t="str">
        <f>vlookup(A468,salesx_all!B:E,2,0)</f>
        <v>Why Most Business Owners Shouldn’t Act As Sales Manager, Too</v>
      </c>
      <c r="M468" s="8" t="str">
        <f>vlookup(A468,salesx_all!B:D,3,0)</f>
        <v/>
      </c>
      <c r="N468" s="8" t="str">
        <f>vlookup(A468,salesx_all!B:E,4,0)</f>
        <v/>
      </c>
    </row>
    <row r="469">
      <c r="A469" s="1" t="s">
        <v>617</v>
      </c>
      <c r="B469" s="1">
        <f t="shared" si="1"/>
        <v>76</v>
      </c>
      <c r="C469" s="1">
        <v>1.0</v>
      </c>
      <c r="D469" s="1">
        <v>0.0</v>
      </c>
      <c r="E469" s="1">
        <v>1.0</v>
      </c>
      <c r="F469" s="6">
        <v>1.0</v>
      </c>
      <c r="G469" s="1">
        <v>1.0</v>
      </c>
      <c r="H469" s="1">
        <v>0.0</v>
      </c>
      <c r="I469" s="1">
        <v>1.0</v>
      </c>
      <c r="J469" s="1">
        <v>1.0</v>
      </c>
      <c r="K469" s="1">
        <v>0.0</v>
      </c>
      <c r="L469" s="8" t="str">
        <f>vlookup(A469,salesx_all!B:E,2,0)</f>
        <v>“Why I Can’t Get No Sales Satisfaction” – Sales Lessons Learned From the Rolling Stones | Part 2 of an 8 Part Series</v>
      </c>
      <c r="M469" s="8" t="str">
        <f>vlookup(A469,salesx_all!B:D,3,0)</f>
        <v/>
      </c>
      <c r="N469" s="8" t="str">
        <f>vlookup(A469,salesx_all!B:E,4,0)</f>
        <v/>
      </c>
    </row>
    <row r="470">
      <c r="A470" s="1" t="s">
        <v>618</v>
      </c>
      <c r="B470" s="1">
        <f t="shared" si="1"/>
        <v>89</v>
      </c>
      <c r="C470" s="1">
        <v>1.0</v>
      </c>
      <c r="D470" s="1">
        <v>0.0</v>
      </c>
      <c r="E470" s="1">
        <v>1.0</v>
      </c>
      <c r="F470" s="6">
        <v>1.0</v>
      </c>
      <c r="G470" s="1">
        <v>1.0</v>
      </c>
      <c r="H470" s="1">
        <v>0.0</v>
      </c>
      <c r="I470" s="1">
        <v>1.0</v>
      </c>
      <c r="J470" s="1">
        <v>1.0</v>
      </c>
      <c r="K470" s="1">
        <v>0.0</v>
      </c>
      <c r="L470" s="8" t="str">
        <f>vlookup(A470,salesx_all!B:E,2,0)</f>
        <v>#N/A</v>
      </c>
      <c r="M470" s="8" t="str">
        <f>vlookup(A470,salesx_all!B:D,3,0)</f>
        <v>#N/A</v>
      </c>
      <c r="N470" s="8" t="str">
        <f>vlookup(A470,salesx_all!B:E,4,0)</f>
        <v>#N/A</v>
      </c>
    </row>
    <row r="471">
      <c r="A471" s="1" t="s">
        <v>619</v>
      </c>
      <c r="B471" s="1">
        <f t="shared" si="1"/>
        <v>13</v>
      </c>
      <c r="C471" s="1">
        <v>1.0</v>
      </c>
      <c r="D471" s="1">
        <v>0.0</v>
      </c>
      <c r="E471" s="1">
        <v>1.0</v>
      </c>
      <c r="F471" s="6">
        <v>1.0</v>
      </c>
      <c r="G471" s="1">
        <v>0.0</v>
      </c>
      <c r="H471" s="1">
        <v>0.0</v>
      </c>
      <c r="I471" s="1">
        <v>0.0</v>
      </c>
      <c r="J471" s="1">
        <v>1.0</v>
      </c>
      <c r="K471" s="1">
        <v>16.0</v>
      </c>
      <c r="L471" s="8" t="str">
        <f>vlookup(A471,salesx_all!B:E,2,0)</f>
        <v/>
      </c>
      <c r="M471" s="8" t="str">
        <f>vlookup(A471,salesx_all!B:D,3,0)</f>
        <v/>
      </c>
      <c r="N471" s="8" t="str">
        <f>vlookup(A471,salesx_all!B:E,4,0)</f>
        <v/>
      </c>
    </row>
    <row r="472">
      <c r="A472" s="1" t="s">
        <v>620</v>
      </c>
      <c r="B472" s="1">
        <f t="shared" si="1"/>
        <v>43</v>
      </c>
      <c r="C472" s="1">
        <v>1.0</v>
      </c>
      <c r="D472" s="1">
        <v>0.0</v>
      </c>
      <c r="E472" s="1">
        <v>1.0</v>
      </c>
      <c r="F472" s="6">
        <v>0.0</v>
      </c>
      <c r="G472" s="1">
        <v>0.0</v>
      </c>
      <c r="H472" s="1">
        <v>1.0</v>
      </c>
      <c r="I472" s="1">
        <v>1.0</v>
      </c>
      <c r="J472" s="1">
        <v>1.0</v>
      </c>
      <c r="K472" s="1">
        <v>13.0</v>
      </c>
      <c r="L472" s="8" t="str">
        <f>vlookup(A472,salesx_all!B:E,2,0)</f>
        <v>Air Gauge Manufacturing: From Flatlined Sales to High Revenue Growth</v>
      </c>
      <c r="M472" s="8" t="str">
        <f>vlookup(A472,salesx_all!B:D,3,0)</f>
        <v/>
      </c>
      <c r="N472" s="8" t="str">
        <f>vlookup(A472,salesx_all!B:E,4,0)</f>
        <v/>
      </c>
    </row>
    <row r="473">
      <c r="A473" s="1" t="s">
        <v>621</v>
      </c>
      <c r="B473" s="1">
        <f t="shared" si="1"/>
        <v>31</v>
      </c>
      <c r="C473" s="1">
        <v>1.0</v>
      </c>
      <c r="D473" s="1">
        <v>0.0</v>
      </c>
      <c r="E473" s="1">
        <v>1.0</v>
      </c>
      <c r="F473" s="6">
        <v>1.0</v>
      </c>
      <c r="G473" s="1">
        <v>1.0</v>
      </c>
      <c r="H473" s="1">
        <v>0.0</v>
      </c>
      <c r="I473" s="1">
        <v>1.0</v>
      </c>
      <c r="J473" s="1">
        <v>1.0</v>
      </c>
      <c r="K473" s="1">
        <v>0.0</v>
      </c>
      <c r="L473" s="8" t="str">
        <f>vlookup(A473,salesx_all!B:E,2,0)</f>
        <v>Alarm and Security: Generating Growth with a Defined Sales Process</v>
      </c>
      <c r="M473" s="8" t="str">
        <f>vlookup(A473,salesx_all!B:D,3,0)</f>
        <v>Executive Summary</v>
      </c>
      <c r="N473" s="8" t="str">
        <f>vlookup(A473,salesx_all!B:E,4,0)</f>
        <v>The Big Win</v>
      </c>
    </row>
    <row r="474">
      <c r="A474" s="1" t="s">
        <v>622</v>
      </c>
      <c r="B474" s="1">
        <f t="shared" si="1"/>
        <v>46</v>
      </c>
      <c r="C474" s="1">
        <v>1.0</v>
      </c>
      <c r="D474" s="1">
        <v>0.0</v>
      </c>
      <c r="E474" s="1">
        <v>1.0</v>
      </c>
      <c r="F474" s="6">
        <v>1.0</v>
      </c>
      <c r="G474" s="1">
        <v>1.0</v>
      </c>
      <c r="H474" s="1">
        <v>0.0</v>
      </c>
      <c r="I474" s="1">
        <v>1.0</v>
      </c>
      <c r="J474" s="1">
        <v>1.0</v>
      </c>
      <c r="K474" s="1">
        <v>0.0</v>
      </c>
      <c r="L474" s="8" t="str">
        <f>vlookup(A474,salesx_all!B:E,2,0)</f>
        <v>Calibration Manufacturing: Establishing Sales Processes to Turn a Company Around</v>
      </c>
      <c r="M474" s="8" t="str">
        <f>vlookup(A474,salesx_all!B:D,3,0)</f>
        <v>Executive Summary</v>
      </c>
      <c r="N474" s="8" t="str">
        <f>vlookup(A474,salesx_all!B:E,4,0)</f>
        <v>The Big Win</v>
      </c>
    </row>
    <row r="475">
      <c r="A475" s="1" t="s">
        <v>623</v>
      </c>
      <c r="B475" s="1">
        <f t="shared" si="1"/>
        <v>93</v>
      </c>
      <c r="C475" s="1">
        <v>1.0</v>
      </c>
      <c r="D475" s="1">
        <v>0.0</v>
      </c>
      <c r="E475" s="1">
        <v>1.0</v>
      </c>
      <c r="F475" s="6">
        <v>0.0</v>
      </c>
      <c r="G475" s="1">
        <v>0.0</v>
      </c>
      <c r="H475" s="1">
        <v>1.0</v>
      </c>
      <c r="I475" s="1">
        <v>1.0</v>
      </c>
      <c r="J475" s="1">
        <v>1.0</v>
      </c>
      <c r="K475" s="1">
        <v>10.0</v>
      </c>
      <c r="L475" s="8" t="str">
        <f>vlookup(A475,salesx_all!B:E,2,0)</f>
        <v>Early Education: Transforming Sales Success with 18% Year-Over-Year Revenue Growth</v>
      </c>
      <c r="M475" s="8" t="str">
        <f>vlookup(A475,salesx_all!B:D,3,0)</f>
        <v>Company Profile</v>
      </c>
      <c r="N475" s="8" t="str">
        <f>vlookup(A475,salesx_all!B:E,4,0)</f>
        <v>Sales Success Snapshot</v>
      </c>
    </row>
    <row r="476">
      <c r="A476" s="1" t="s">
        <v>624</v>
      </c>
      <c r="B476" s="1">
        <f t="shared" si="1"/>
        <v>25</v>
      </c>
      <c r="C476" s="1">
        <v>1.0</v>
      </c>
      <c r="D476" s="1">
        <v>0.0</v>
      </c>
      <c r="E476" s="1">
        <v>1.0</v>
      </c>
      <c r="F476" s="6">
        <v>1.0</v>
      </c>
      <c r="G476" s="1">
        <v>1.0</v>
      </c>
      <c r="H476" s="1">
        <v>0.0</v>
      </c>
      <c r="I476" s="1">
        <v>1.0</v>
      </c>
      <c r="J476" s="1">
        <v>1.0</v>
      </c>
      <c r="K476" s="1">
        <v>0.0</v>
      </c>
      <c r="L476" s="8" t="str">
        <f>vlookup(A476,salesx_all!B:E,2,0)</f>
        <v>#N/A</v>
      </c>
      <c r="M476" s="8" t="str">
        <f>vlookup(A476,salesx_all!B:D,3,0)</f>
        <v>#N/A</v>
      </c>
      <c r="N476" s="8" t="str">
        <f>vlookup(A476,salesx_all!B:E,4,0)</f>
        <v>#N/A</v>
      </c>
    </row>
    <row r="477">
      <c r="A477" s="1" t="s">
        <v>625</v>
      </c>
      <c r="B477" s="1">
        <f t="shared" si="1"/>
        <v>48</v>
      </c>
      <c r="C477" s="1">
        <v>1.0</v>
      </c>
      <c r="D477" s="1">
        <v>0.0</v>
      </c>
      <c r="E477" s="1">
        <v>1.0</v>
      </c>
      <c r="F477" s="6">
        <v>1.0</v>
      </c>
      <c r="G477" s="1">
        <v>1.0</v>
      </c>
      <c r="H477" s="1">
        <v>0.0</v>
      </c>
      <c r="I477" s="1">
        <v>1.0</v>
      </c>
      <c r="J477" s="1">
        <v>1.0</v>
      </c>
      <c r="K477" s="1">
        <v>0.0</v>
      </c>
      <c r="L477" s="8" t="str">
        <f>vlookup(A477,salesx_all!B:E,2,0)</f>
        <v>#N/A</v>
      </c>
      <c r="M477" s="8" t="str">
        <f>vlookup(A477,salesx_all!B:D,3,0)</f>
        <v>#N/A</v>
      </c>
      <c r="N477" s="8" t="str">
        <f>vlookup(A477,salesx_all!B:E,4,0)</f>
        <v>#N/A</v>
      </c>
    </row>
    <row r="478">
      <c r="A478" s="1" t="s">
        <v>626</v>
      </c>
      <c r="B478" s="1">
        <f t="shared" si="1"/>
        <v>44</v>
      </c>
      <c r="C478" s="1">
        <v>1.0</v>
      </c>
      <c r="D478" s="1">
        <v>0.0</v>
      </c>
      <c r="E478" s="1">
        <v>1.0</v>
      </c>
      <c r="F478" s="6">
        <v>0.0</v>
      </c>
      <c r="G478" s="1">
        <v>1.0</v>
      </c>
      <c r="H478" s="1">
        <v>1.0</v>
      </c>
      <c r="I478" s="1">
        <v>1.0</v>
      </c>
      <c r="J478" s="1">
        <v>1.0</v>
      </c>
      <c r="K478" s="1">
        <v>5.0</v>
      </c>
      <c r="L478" s="8" t="str">
        <f>vlookup(A478,salesx_all!B:E,2,0)</f>
        <v>Honey and Sweetener Distributor: Reducing and Reorganizing Sales Staff for Significant Cost Reduction</v>
      </c>
      <c r="M478" s="8" t="str">
        <f>vlookup(A478,salesx_all!B:D,3,0)</f>
        <v>Executive Summary</v>
      </c>
      <c r="N478" s="8" t="str">
        <f>vlookup(A478,salesx_all!B:E,4,0)</f>
        <v>The Big Win</v>
      </c>
    </row>
    <row r="479">
      <c r="A479" s="1" t="s">
        <v>627</v>
      </c>
      <c r="B479" s="1">
        <f t="shared" si="1"/>
        <v>22</v>
      </c>
      <c r="C479" s="1">
        <v>1.0</v>
      </c>
      <c r="D479" s="1">
        <v>0.0</v>
      </c>
      <c r="E479" s="1">
        <v>1.0</v>
      </c>
      <c r="F479" s="6">
        <v>1.0</v>
      </c>
      <c r="G479" s="1">
        <v>1.0</v>
      </c>
      <c r="H479" s="1">
        <v>0.0</v>
      </c>
      <c r="I479" s="1">
        <v>1.0</v>
      </c>
      <c r="J479" s="1">
        <v>1.0</v>
      </c>
      <c r="K479" s="1">
        <v>4.0</v>
      </c>
      <c r="L479" s="8" t="str">
        <f>vlookup(A479,salesx_all!B:E,2,0)</f>
        <v>Corporate Promotions Marketing: Generating New Revenue</v>
      </c>
      <c r="M479" s="8" t="str">
        <f>vlookup(A479,salesx_all!B:D,3,0)</f>
        <v/>
      </c>
      <c r="N479" s="8" t="str">
        <f>vlookup(A479,salesx_all!B:E,4,0)</f>
        <v/>
      </c>
    </row>
    <row r="480">
      <c r="A480" s="1" t="s">
        <v>628</v>
      </c>
      <c r="B480" s="1">
        <f t="shared" si="1"/>
        <v>24</v>
      </c>
      <c r="C480" s="1">
        <v>1.0</v>
      </c>
      <c r="D480" s="1">
        <v>0.0</v>
      </c>
      <c r="E480" s="1">
        <v>1.0</v>
      </c>
      <c r="F480" s="6">
        <v>0.0</v>
      </c>
      <c r="G480" s="1">
        <v>0.0</v>
      </c>
      <c r="H480" s="1">
        <v>1.0</v>
      </c>
      <c r="I480" s="1">
        <v>1.0</v>
      </c>
      <c r="J480" s="1">
        <v>1.0</v>
      </c>
      <c r="K480" s="1">
        <v>9.0</v>
      </c>
      <c r="L480" s="8" t="str">
        <f>vlookup(A480,salesx_all!B:E,2,0)</f>
        <v>PEO/Payroll: Building the Right Sales Team to Drive Results</v>
      </c>
      <c r="M480" s="8" t="str">
        <f>vlookup(A480,salesx_all!B:D,3,0)</f>
        <v/>
      </c>
      <c r="N480" s="8" t="str">
        <f>vlookup(A480,salesx_all!B:E,4,0)</f>
        <v/>
      </c>
    </row>
    <row r="481">
      <c r="A481" s="1" t="s">
        <v>629</v>
      </c>
      <c r="B481" s="1">
        <f t="shared" si="1"/>
        <v>29</v>
      </c>
      <c r="C481" s="1">
        <v>1.0</v>
      </c>
      <c r="D481" s="1">
        <v>0.0</v>
      </c>
      <c r="E481" s="1">
        <v>1.0</v>
      </c>
      <c r="F481" s="6">
        <v>1.0</v>
      </c>
      <c r="G481" s="1">
        <v>1.0</v>
      </c>
      <c r="H481" s="1">
        <v>0.0</v>
      </c>
      <c r="I481" s="1">
        <v>1.0</v>
      </c>
      <c r="J481" s="1">
        <v>1.0</v>
      </c>
      <c r="K481" s="1">
        <v>0.0</v>
      </c>
      <c r="L481" s="8" t="str">
        <f>vlookup(A481,salesx_all!B:E,2,0)</f>
        <v>Public Affairs: Building a Pipeline to Drive Growth</v>
      </c>
      <c r="M481" s="8" t="str">
        <f>vlookup(A481,salesx_all!B:D,3,0)</f>
        <v/>
      </c>
      <c r="N481" s="8" t="str">
        <f>vlookup(A481,salesx_all!B:E,4,0)</f>
        <v/>
      </c>
    </row>
    <row r="482">
      <c r="A482" s="1" t="s">
        <v>630</v>
      </c>
      <c r="B482" s="1">
        <f t="shared" si="1"/>
        <v>38</v>
      </c>
      <c r="C482" s="1">
        <v>1.0</v>
      </c>
      <c r="D482" s="1">
        <v>0.0</v>
      </c>
      <c r="E482" s="1">
        <v>1.0</v>
      </c>
      <c r="F482" s="6">
        <v>1.0</v>
      </c>
      <c r="G482" s="1">
        <v>1.0</v>
      </c>
      <c r="H482" s="1">
        <v>0.0</v>
      </c>
      <c r="I482" s="1">
        <v>1.0</v>
      </c>
      <c r="J482" s="1">
        <v>1.0</v>
      </c>
      <c r="K482" s="1">
        <v>0.0</v>
      </c>
      <c r="L482" s="8" t="str">
        <f>vlookup(A482,salesx_all!B:E,2,0)</f>
        <v>Storage Tank Manufacturing: From Declining Growth to 10% Increase in One Year</v>
      </c>
      <c r="M482" s="8" t="str">
        <f>vlookup(A482,salesx_all!B:D,3,0)</f>
        <v/>
      </c>
      <c r="N482" s="8" t="str">
        <f>vlookup(A482,salesx_all!B:E,4,0)</f>
        <v/>
      </c>
    </row>
    <row r="483">
      <c r="A483" s="1" t="s">
        <v>631</v>
      </c>
      <c r="B483" s="1">
        <f t="shared" si="1"/>
        <v>8</v>
      </c>
      <c r="C483" s="1">
        <v>1.0</v>
      </c>
      <c r="D483" s="1">
        <v>0.0</v>
      </c>
      <c r="E483" s="1">
        <v>1.0</v>
      </c>
      <c r="F483" s="6">
        <v>0.0</v>
      </c>
      <c r="G483" s="1">
        <v>0.0</v>
      </c>
      <c r="H483" s="1">
        <v>1.0</v>
      </c>
      <c r="I483" s="1">
        <v>1.0</v>
      </c>
      <c r="J483" s="1">
        <v>1.0</v>
      </c>
      <c r="K483" s="1">
        <v>0.0</v>
      </c>
      <c r="L483" s="8" t="str">
        <f>vlookup(A483,salesx_all!B:E,2,0)</f>
        <v>#N/A</v>
      </c>
      <c r="M483" s="8" t="str">
        <f>vlookup(A483,salesx_all!B:D,3,0)</f>
        <v>#N/A</v>
      </c>
      <c r="N483" s="8" t="str">
        <f>vlookup(A483,salesx_all!B:E,4,0)</f>
        <v>#N/A</v>
      </c>
    </row>
    <row r="484">
      <c r="A484" s="1" t="s">
        <v>632</v>
      </c>
      <c r="B484" s="1">
        <f t="shared" si="1"/>
        <v>41</v>
      </c>
      <c r="C484" s="1">
        <v>1.0</v>
      </c>
      <c r="D484" s="1">
        <v>0.0</v>
      </c>
      <c r="E484" s="1">
        <v>1.0</v>
      </c>
      <c r="F484" s="6">
        <v>1.0</v>
      </c>
      <c r="G484" s="1">
        <v>1.0</v>
      </c>
      <c r="H484" s="1">
        <v>0.0</v>
      </c>
      <c r="I484" s="1">
        <v>1.0</v>
      </c>
      <c r="J484" s="1">
        <v>1.0</v>
      </c>
      <c r="K484" s="1">
        <v>5.0</v>
      </c>
      <c r="L484" s="8" t="str">
        <f>vlookup(A484,salesx_all!B:E,2,0)</f>
        <v>When it Comes to Networking – “Jump Right In … The Water’s Fine”</v>
      </c>
      <c r="M484" s="8" t="str">
        <f>vlookup(A484,salesx_all!B:D,3,0)</f>
        <v/>
      </c>
      <c r="N484" s="8" t="str">
        <f>vlookup(A484,salesx_all!B:E,4,0)</f>
        <v/>
      </c>
    </row>
    <row r="485">
      <c r="A485" s="1" t="s">
        <v>633</v>
      </c>
      <c r="B485" s="1">
        <f t="shared" si="1"/>
        <v>15</v>
      </c>
      <c r="C485" s="1">
        <v>1.0</v>
      </c>
      <c r="D485" s="1">
        <v>0.0</v>
      </c>
      <c r="E485" s="1">
        <v>1.0</v>
      </c>
      <c r="F485" s="6">
        <v>1.0</v>
      </c>
      <c r="G485" s="1">
        <v>1.0</v>
      </c>
      <c r="H485" s="1">
        <v>0.0</v>
      </c>
      <c r="I485" s="1">
        <v>1.0</v>
      </c>
      <c r="J485" s="1">
        <v>1.0</v>
      </c>
      <c r="K485" s="1">
        <v>0.0</v>
      </c>
      <c r="L485" s="8" t="str">
        <f>vlookup(A485,salesx_all!B:E,2,0)</f>
        <v>#N/A</v>
      </c>
      <c r="M485" s="8" t="str">
        <f>vlookup(A485,salesx_all!B:D,3,0)</f>
        <v>#N/A</v>
      </c>
      <c r="N485" s="8" t="str">
        <f>vlookup(A485,salesx_all!B:E,4,0)</f>
        <v>#N/A</v>
      </c>
    </row>
    <row r="486">
      <c r="A486" s="1" t="s">
        <v>634</v>
      </c>
      <c r="B486" s="1">
        <f t="shared" si="1"/>
        <v>43</v>
      </c>
      <c r="C486" s="1">
        <v>1.0</v>
      </c>
      <c r="D486" s="1">
        <v>0.0</v>
      </c>
      <c r="E486" s="1">
        <v>1.0</v>
      </c>
      <c r="F486" s="6">
        <v>1.0</v>
      </c>
      <c r="G486" s="1">
        <v>1.0</v>
      </c>
      <c r="H486" s="1">
        <v>0.0</v>
      </c>
      <c r="I486" s="1">
        <v>1.0</v>
      </c>
      <c r="J486" s="1">
        <v>1.0</v>
      </c>
      <c r="K486" s="1">
        <v>0.0</v>
      </c>
      <c r="L486" s="8" t="str">
        <f>vlookup(A486,salesx_all!B:E,2,0)</f>
        <v>Create a Sales Plan that Sets Your Sales Pros Up for Success</v>
      </c>
      <c r="M486" s="8" t="str">
        <f>vlookup(A486,salesx_all!B:D,3,0)</f>
        <v/>
      </c>
      <c r="N486" s="8" t="str">
        <f>vlookup(A486,salesx_all!B:E,4,0)</f>
        <v/>
      </c>
    </row>
    <row r="487">
      <c r="A487" s="1" t="s">
        <v>635</v>
      </c>
      <c r="B487" s="1">
        <f t="shared" si="1"/>
        <v>58</v>
      </c>
      <c r="C487" s="1">
        <v>1.0</v>
      </c>
      <c r="D487" s="1">
        <v>0.0</v>
      </c>
      <c r="E487" s="1">
        <v>1.0</v>
      </c>
      <c r="F487" s="6">
        <v>1.0</v>
      </c>
      <c r="G487" s="1">
        <v>1.0</v>
      </c>
      <c r="H487" s="1">
        <v>0.0</v>
      </c>
      <c r="I487" s="1">
        <v>1.0</v>
      </c>
      <c r="J487" s="1">
        <v>1.0</v>
      </c>
      <c r="K487" s="1">
        <v>0.0</v>
      </c>
      <c r="L487" s="8" t="str">
        <f>vlookup(A487,salesx_all!B:E,2,0)</f>
        <v>Creating and Maintaining a Successful Sales Organization</v>
      </c>
      <c r="M487" s="8" t="str">
        <f>vlookup(A487,salesx_all!B:D,3,0)</f>
        <v>Cornerstone #1: Understanding the Importance of a Sales Department</v>
      </c>
      <c r="N487" s="8" t="str">
        <f>vlookup(A487,salesx_all!B:E,4,0)</f>
        <v>Cornerstone #2: Establishing the Principles of Your Sales Organization</v>
      </c>
    </row>
    <row r="488">
      <c r="A488" s="1" t="s">
        <v>636</v>
      </c>
      <c r="B488" s="1">
        <f t="shared" si="1"/>
        <v>28</v>
      </c>
      <c r="C488" s="1">
        <v>1.0</v>
      </c>
      <c r="D488" s="1">
        <v>0.0</v>
      </c>
      <c r="E488" s="1">
        <v>1.0</v>
      </c>
      <c r="F488" s="6">
        <v>1.0</v>
      </c>
      <c r="G488" s="1">
        <v>1.0</v>
      </c>
      <c r="H488" s="1">
        <v>0.0</v>
      </c>
      <c r="I488" s="1">
        <v>1.0</v>
      </c>
      <c r="J488" s="1">
        <v>1.0</v>
      </c>
      <c r="K488" s="1">
        <v>0.0</v>
      </c>
      <c r="L488" s="8" t="str">
        <f>vlookup(A488,salesx_all!B:E,2,0)</f>
        <v>#N/A</v>
      </c>
      <c r="M488" s="8" t="str">
        <f>vlookup(A488,salesx_all!B:D,3,0)</f>
        <v>#N/A</v>
      </c>
      <c r="N488" s="8" t="str">
        <f>vlookup(A488,salesx_all!B:E,4,0)</f>
        <v>#N/A</v>
      </c>
    </row>
    <row r="489">
      <c r="A489" s="1" t="s">
        <v>637</v>
      </c>
      <c r="B489" s="1">
        <f t="shared" si="1"/>
        <v>41</v>
      </c>
      <c r="C489" s="1">
        <v>1.0</v>
      </c>
      <c r="D489" s="1">
        <v>0.0</v>
      </c>
      <c r="E489" s="1">
        <v>1.0</v>
      </c>
      <c r="F489" s="6">
        <v>1.0</v>
      </c>
      <c r="G489" s="1">
        <v>1.0</v>
      </c>
      <c r="H489" s="1">
        <v>0.0</v>
      </c>
      <c r="I489" s="1">
        <v>1.0</v>
      </c>
      <c r="J489" s="1">
        <v>1.0</v>
      </c>
      <c r="K489" s="1">
        <v>0.0</v>
      </c>
      <c r="L489" s="8" t="str">
        <f>vlookup(A489,salesx_all!B:E,2,0)</f>
        <v>#N/A</v>
      </c>
      <c r="M489" s="8" t="str">
        <f>vlookup(A489,salesx_all!B:D,3,0)</f>
        <v>#N/A</v>
      </c>
      <c r="N489" s="8" t="str">
        <f>vlookup(A489,salesx_all!B:E,4,0)</f>
        <v>#N/A</v>
      </c>
    </row>
    <row r="490">
      <c r="A490" s="1" t="s">
        <v>638</v>
      </c>
      <c r="B490" s="1">
        <f t="shared" si="1"/>
        <v>31</v>
      </c>
      <c r="C490" s="1">
        <v>1.0</v>
      </c>
      <c r="D490" s="1">
        <v>0.0</v>
      </c>
      <c r="E490" s="1">
        <v>1.0</v>
      </c>
      <c r="F490" s="6">
        <v>1.0</v>
      </c>
      <c r="G490" s="1">
        <v>1.0</v>
      </c>
      <c r="H490" s="1">
        <v>0.0</v>
      </c>
      <c r="I490" s="1">
        <v>0.0</v>
      </c>
      <c r="J490" s="1">
        <v>1.0</v>
      </c>
      <c r="K490" s="1">
        <v>0.0</v>
      </c>
      <c r="L490" s="8" t="str">
        <f>vlookup(A490,salesx_all!B:E,2,0)</f>
        <v>#N/A</v>
      </c>
      <c r="M490" s="8" t="str">
        <f>vlookup(A490,salesx_all!B:D,3,0)</f>
        <v>#N/A</v>
      </c>
      <c r="N490" s="8" t="str">
        <f>vlookup(A490,salesx_all!B:E,4,0)</f>
        <v>#N/A</v>
      </c>
    </row>
    <row r="491">
      <c r="A491" s="1" t="s">
        <v>639</v>
      </c>
      <c r="B491" s="1">
        <f t="shared" si="1"/>
        <v>70</v>
      </c>
      <c r="C491" s="1">
        <v>1.0</v>
      </c>
      <c r="D491" s="1">
        <v>0.0</v>
      </c>
      <c r="E491" s="1">
        <v>1.0</v>
      </c>
      <c r="F491" s="6">
        <v>0.0</v>
      </c>
      <c r="G491" s="1">
        <v>0.0</v>
      </c>
      <c r="H491" s="1">
        <v>1.0</v>
      </c>
      <c r="I491" s="1">
        <v>1.0</v>
      </c>
      <c r="J491" s="1">
        <v>1.0</v>
      </c>
      <c r="K491" s="1">
        <v>79.0</v>
      </c>
      <c r="L491" s="8" t="str">
        <f>vlookup(A491,salesx_all!B:E,2,0)</f>
        <v>#N/A</v>
      </c>
      <c r="M491" s="8" t="str">
        <f>vlookup(A491,salesx_all!B:D,3,0)</f>
        <v>#N/A</v>
      </c>
      <c r="N491" s="8" t="str">
        <f>vlookup(A491,salesx_all!B:E,4,0)</f>
        <v>#N/A</v>
      </c>
    </row>
    <row r="492">
      <c r="A492" s="1" t="s">
        <v>640</v>
      </c>
      <c r="B492" s="1">
        <f t="shared" si="1"/>
        <v>7</v>
      </c>
      <c r="C492" s="1">
        <v>1.0</v>
      </c>
      <c r="D492" s="1">
        <v>0.0</v>
      </c>
      <c r="E492" s="1">
        <v>1.0</v>
      </c>
      <c r="F492" s="6">
        <v>0.0</v>
      </c>
      <c r="G492" s="1">
        <v>1.0</v>
      </c>
      <c r="H492" s="1">
        <v>1.0</v>
      </c>
      <c r="I492" s="1">
        <v>1.0</v>
      </c>
      <c r="J492" s="1">
        <v>1.0</v>
      </c>
      <c r="K492" s="1">
        <v>6.0</v>
      </c>
      <c r="L492" s="8" t="str">
        <f>vlookup(A492,salesx_all!B:E,2,0)</f>
        <v>#N/A</v>
      </c>
      <c r="M492" s="8" t="str">
        <f>vlookup(A492,salesx_all!B:D,3,0)</f>
        <v>#N/A</v>
      </c>
      <c r="N492" s="8" t="str">
        <f>vlookup(A492,salesx_all!B:E,4,0)</f>
        <v>#N/A</v>
      </c>
    </row>
    <row r="493">
      <c r="A493" s="1" t="s">
        <v>641</v>
      </c>
      <c r="B493" s="1">
        <f t="shared" si="1"/>
        <v>43</v>
      </c>
      <c r="C493" s="1">
        <v>1.0</v>
      </c>
      <c r="D493" s="1">
        <v>0.0</v>
      </c>
      <c r="E493" s="1">
        <v>1.0</v>
      </c>
      <c r="F493" s="6">
        <v>1.0</v>
      </c>
      <c r="G493" s="1">
        <v>1.0</v>
      </c>
      <c r="H493" s="1">
        <v>0.0</v>
      </c>
      <c r="I493" s="1">
        <v>0.0</v>
      </c>
      <c r="J493" s="1">
        <v>1.0</v>
      </c>
      <c r="K493" s="1">
        <v>0.0</v>
      </c>
      <c r="L493" s="8" t="str">
        <f>vlookup(A493,salesx_all!B:E,2,0)</f>
        <v>#N/A</v>
      </c>
      <c r="M493" s="8" t="str">
        <f>vlookup(A493,salesx_all!B:D,3,0)</f>
        <v>#N/A</v>
      </c>
      <c r="N493" s="8" t="str">
        <f>vlookup(A493,salesx_all!B:E,4,0)</f>
        <v>#N/A</v>
      </c>
    </row>
    <row r="494">
      <c r="A494" s="1" t="s">
        <v>642</v>
      </c>
      <c r="B494" s="1">
        <f t="shared" si="1"/>
        <v>10</v>
      </c>
      <c r="C494" s="1">
        <v>1.0</v>
      </c>
      <c r="D494" s="1">
        <v>0.0</v>
      </c>
      <c r="E494" s="1">
        <v>1.0</v>
      </c>
      <c r="F494" s="6">
        <v>0.0</v>
      </c>
      <c r="G494" s="1">
        <v>0.0</v>
      </c>
      <c r="H494" s="1">
        <v>1.0</v>
      </c>
      <c r="I494" s="1">
        <v>1.0</v>
      </c>
      <c r="J494" s="1">
        <v>1.0</v>
      </c>
      <c r="K494" s="1">
        <v>16.0</v>
      </c>
      <c r="L494" s="8" t="str">
        <f>vlookup(A494,salesx_all!B:E,2,0)</f>
        <v>#N/A</v>
      </c>
      <c r="M494" s="8" t="str">
        <f>vlookup(A494,salesx_all!B:D,3,0)</f>
        <v>#N/A</v>
      </c>
      <c r="N494" s="8" t="str">
        <f>vlookup(A494,salesx_all!B:E,4,0)</f>
        <v>#N/A</v>
      </c>
    </row>
    <row r="495">
      <c r="A495" s="1" t="s">
        <v>643</v>
      </c>
      <c r="B495" s="1">
        <f t="shared" si="1"/>
        <v>92</v>
      </c>
      <c r="C495" s="1">
        <v>1.0</v>
      </c>
      <c r="D495" s="1">
        <v>0.0</v>
      </c>
      <c r="E495" s="1">
        <v>1.0</v>
      </c>
      <c r="F495" s="6">
        <v>0.0</v>
      </c>
      <c r="G495" s="1">
        <v>0.0</v>
      </c>
      <c r="H495" s="1">
        <v>1.0</v>
      </c>
      <c r="I495" s="1">
        <v>1.0</v>
      </c>
      <c r="J495" s="1">
        <v>1.0</v>
      </c>
      <c r="K495" s="1">
        <v>9.0</v>
      </c>
      <c r="L495" s="8" t="str">
        <f>vlookup(A495,salesx_all!B:E,2,0)</f>
        <v>Do Chatbots Increase Sales? What you need to know about using AI chatbots for sales success</v>
      </c>
      <c r="M495" s="8" t="str">
        <f>vlookup(A495,salesx_all!B:D,3,0)</f>
        <v>How businesses are utilizing ChatGPT-style chatbots</v>
      </c>
      <c r="N495" s="8" t="str">
        <f>vlookup(A495,salesx_all!B:E,4,0)</f>
        <v>Lead qualification</v>
      </c>
    </row>
    <row r="496">
      <c r="A496" s="1" t="s">
        <v>644</v>
      </c>
      <c r="B496" s="1">
        <f t="shared" si="1"/>
        <v>52</v>
      </c>
      <c r="C496" s="1">
        <v>1.0</v>
      </c>
      <c r="D496" s="1">
        <v>0.0</v>
      </c>
      <c r="E496" s="1">
        <v>1.0</v>
      </c>
      <c r="F496" s="6">
        <v>1.0</v>
      </c>
      <c r="G496" s="1">
        <v>1.0</v>
      </c>
      <c r="H496" s="1">
        <v>0.0</v>
      </c>
      <c r="I496" s="1">
        <v>1.0</v>
      </c>
      <c r="J496" s="1">
        <v>1.0</v>
      </c>
      <c r="K496" s="1">
        <v>0.0</v>
      </c>
      <c r="L496" s="8" t="str">
        <f>vlookup(A496,salesx_all!B:E,2,0)</f>
        <v>Don’t Let a Merger or Acquisition Derail Your Sales Results</v>
      </c>
      <c r="M496" s="8" t="str">
        <f>vlookup(A496,salesx_all!B:D,3,0)</f>
        <v/>
      </c>
      <c r="N496" s="8" t="str">
        <f>vlookup(A496,salesx_all!B:E,4,0)</f>
        <v/>
      </c>
    </row>
    <row r="497">
      <c r="A497" s="1" t="s">
        <v>645</v>
      </c>
      <c r="B497" s="1">
        <f t="shared" si="1"/>
        <v>111</v>
      </c>
      <c r="C497" s="1">
        <v>1.0</v>
      </c>
      <c r="D497" s="1">
        <v>0.0</v>
      </c>
      <c r="E497" s="1">
        <v>1.0</v>
      </c>
      <c r="F497" s="6">
        <v>0.0</v>
      </c>
      <c r="G497" s="1">
        <v>1.0</v>
      </c>
      <c r="H497" s="1">
        <v>1.0</v>
      </c>
      <c r="I497" s="1">
        <v>1.0</v>
      </c>
      <c r="J497" s="1">
        <v>1.0</v>
      </c>
      <c r="K497" s="1">
        <v>15.0</v>
      </c>
      <c r="L497" s="8" t="str">
        <f>vlookup(A497,salesx_all!B:E,2,0)</f>
        <v>#N/A</v>
      </c>
      <c r="M497" s="8" t="str">
        <f>vlookup(A497,salesx_all!B:D,3,0)</f>
        <v>#N/A</v>
      </c>
      <c r="N497" s="8" t="str">
        <f>vlookup(A497,salesx_all!B:E,4,0)</f>
        <v>#N/A</v>
      </c>
    </row>
    <row r="498">
      <c r="A498" s="1" t="s">
        <v>646</v>
      </c>
      <c r="B498" s="1">
        <f t="shared" si="1"/>
        <v>136</v>
      </c>
      <c r="C498" s="1">
        <v>1.0</v>
      </c>
      <c r="D498" s="1">
        <v>0.0</v>
      </c>
      <c r="E498" s="1">
        <v>1.0</v>
      </c>
      <c r="F498" s="6">
        <v>0.0</v>
      </c>
      <c r="G498" s="1">
        <v>1.0</v>
      </c>
      <c r="H498" s="1">
        <v>1.0</v>
      </c>
      <c r="I498" s="1">
        <v>1.0</v>
      </c>
      <c r="J498" s="1">
        <v>1.0</v>
      </c>
      <c r="K498" s="1">
        <v>0.0</v>
      </c>
      <c r="L498" s="8" t="str">
        <f>vlookup(A498,salesx_all!B:E,2,0)</f>
        <v>#N/A</v>
      </c>
      <c r="M498" s="8" t="str">
        <f>vlookup(A498,salesx_all!B:D,3,0)</f>
        <v>#N/A</v>
      </c>
      <c r="N498" s="8" t="str">
        <f>vlookup(A498,salesx_all!B:E,4,0)</f>
        <v>#N/A</v>
      </c>
    </row>
    <row r="499">
      <c r="A499" s="1" t="s">
        <v>647</v>
      </c>
      <c r="B499" s="1">
        <f t="shared" si="1"/>
        <v>112</v>
      </c>
      <c r="C499" s="1">
        <v>1.0</v>
      </c>
      <c r="D499" s="1">
        <v>0.0</v>
      </c>
      <c r="E499" s="1">
        <v>1.0</v>
      </c>
      <c r="F499" s="6">
        <v>1.0</v>
      </c>
      <c r="G499" s="1">
        <v>1.0</v>
      </c>
      <c r="H499" s="1">
        <v>0.0</v>
      </c>
      <c r="I499" s="1">
        <v>1.0</v>
      </c>
      <c r="J499" s="1">
        <v>1.0</v>
      </c>
      <c r="K499" s="1">
        <v>0.0</v>
      </c>
      <c r="L499" s="8" t="str">
        <f>vlookup(A499,salesx_all!B:E,2,0)</f>
        <v>#N/A</v>
      </c>
      <c r="M499" s="8" t="str">
        <f>vlookup(A499,salesx_all!B:D,3,0)</f>
        <v>#N/A</v>
      </c>
      <c r="N499" s="8" t="str">
        <f>vlookup(A499,salesx_all!B:E,4,0)</f>
        <v>#N/A</v>
      </c>
    </row>
    <row r="500">
      <c r="A500" s="1" t="s">
        <v>648</v>
      </c>
      <c r="B500" s="1">
        <f t="shared" si="1"/>
        <v>44</v>
      </c>
      <c r="C500" s="1">
        <v>1.0</v>
      </c>
      <c r="D500" s="1">
        <v>0.0</v>
      </c>
      <c r="E500" s="1">
        <v>1.0</v>
      </c>
      <c r="F500" s="6">
        <v>1.0</v>
      </c>
      <c r="G500" s="1">
        <v>1.0</v>
      </c>
      <c r="H500" s="1">
        <v>0.0</v>
      </c>
      <c r="I500" s="1">
        <v>1.0</v>
      </c>
      <c r="J500" s="1">
        <v>1.0</v>
      </c>
      <c r="K500" s="1">
        <v>1.0</v>
      </c>
      <c r="L500" s="8" t="str">
        <f>vlookup(A500,salesx_all!B:E,2,0)</f>
        <v>Why Elevator Pitches Fail (Just Like Most Pick-up Lines)</v>
      </c>
      <c r="M500" s="8" t="str">
        <f>vlookup(A500,salesx_all!B:D,3,0)</f>
        <v/>
      </c>
      <c r="N500" s="8" t="str">
        <f>vlookup(A500,salesx_all!B:E,4,0)</f>
        <v/>
      </c>
    </row>
    <row r="501">
      <c r="A501" s="1" t="s">
        <v>649</v>
      </c>
      <c r="B501" s="1">
        <f t="shared" si="1"/>
        <v>64</v>
      </c>
      <c r="C501" s="1">
        <v>1.0</v>
      </c>
      <c r="D501" s="1">
        <v>0.0</v>
      </c>
      <c r="E501" s="1">
        <v>1.0</v>
      </c>
      <c r="F501" s="6">
        <v>1.0</v>
      </c>
      <c r="G501" s="1">
        <v>1.0</v>
      </c>
      <c r="H501" s="1">
        <v>0.0</v>
      </c>
      <c r="I501" s="1">
        <v>0.0</v>
      </c>
      <c r="J501" s="1">
        <v>1.0</v>
      </c>
      <c r="K501" s="1">
        <v>0.0</v>
      </c>
      <c r="L501" s="8" t="str">
        <f>vlookup(A501,salesx_all!B:E,2,0)</f>
        <v>#N/A</v>
      </c>
      <c r="M501" s="8" t="str">
        <f>vlookup(A501,salesx_all!B:D,3,0)</f>
        <v>#N/A</v>
      </c>
      <c r="N501" s="8" t="str">
        <f>vlookup(A501,salesx_all!B:E,4,0)</f>
        <v>#N/A</v>
      </c>
    </row>
    <row r="502">
      <c r="A502" s="1" t="s">
        <v>650</v>
      </c>
      <c r="B502" s="1">
        <f t="shared" si="1"/>
        <v>56</v>
      </c>
      <c r="C502" s="1">
        <v>1.0</v>
      </c>
      <c r="D502" s="1">
        <v>0.0</v>
      </c>
      <c r="E502" s="1">
        <v>1.0</v>
      </c>
      <c r="F502" s="6">
        <v>1.0</v>
      </c>
      <c r="G502" s="1">
        <v>1.0</v>
      </c>
      <c r="H502" s="1">
        <v>0.0</v>
      </c>
      <c r="I502" s="1">
        <v>1.0</v>
      </c>
      <c r="J502" s="1">
        <v>1.0</v>
      </c>
      <c r="K502" s="1">
        <v>0.0</v>
      </c>
      <c r="L502" s="8" t="str">
        <f>vlookup(A502,salesx_all!B:E,2,0)</f>
        <v>Even More Confessions of the Misunderstood Salesperson</v>
      </c>
      <c r="M502" s="8" t="str">
        <f>vlookup(A502,salesx_all!B:D,3,0)</f>
        <v/>
      </c>
      <c r="N502" s="8" t="str">
        <f>vlookup(A502,salesx_all!B:E,4,0)</f>
        <v/>
      </c>
    </row>
    <row r="503">
      <c r="A503" s="1" t="s">
        <v>651</v>
      </c>
      <c r="B503" s="1">
        <f t="shared" si="1"/>
        <v>79</v>
      </c>
      <c r="C503" s="1">
        <v>1.0</v>
      </c>
      <c r="D503" s="1">
        <v>0.0</v>
      </c>
      <c r="E503" s="1">
        <v>1.0</v>
      </c>
      <c r="F503" s="6">
        <v>1.0</v>
      </c>
      <c r="G503" s="1">
        <v>1.0</v>
      </c>
      <c r="H503" s="1">
        <v>0.0</v>
      </c>
      <c r="I503" s="1">
        <v>1.0</v>
      </c>
      <c r="J503" s="1">
        <v>1.0</v>
      </c>
      <c r="K503" s="1">
        <v>2.0</v>
      </c>
      <c r="L503" s="8" t="str">
        <f>vlookup(A503,salesx_all!B:E,2,0)</f>
        <v>#N/A</v>
      </c>
      <c r="M503" s="8" t="str">
        <f>vlookup(A503,salesx_all!B:D,3,0)</f>
        <v>#N/A</v>
      </c>
      <c r="N503" s="8" t="str">
        <f>vlookup(A503,salesx_all!B:E,4,0)</f>
        <v>#N/A</v>
      </c>
    </row>
    <row r="504">
      <c r="A504" s="1" t="s">
        <v>652</v>
      </c>
      <c r="B504" s="1">
        <f t="shared" si="1"/>
        <v>71</v>
      </c>
      <c r="C504" s="1">
        <v>1.0</v>
      </c>
      <c r="D504" s="1">
        <v>0.0</v>
      </c>
      <c r="E504" s="1">
        <v>1.0</v>
      </c>
      <c r="F504" s="6">
        <v>1.0</v>
      </c>
      <c r="G504" s="1">
        <v>1.0</v>
      </c>
      <c r="H504" s="1">
        <v>0.0</v>
      </c>
      <c r="I504" s="1">
        <v>1.0</v>
      </c>
      <c r="J504" s="1">
        <v>1.0</v>
      </c>
      <c r="K504" s="1">
        <v>0.0</v>
      </c>
      <c r="L504" s="8" t="str">
        <f>vlookup(A504,salesx_all!B:E,2,0)</f>
        <v>Exit Planning for Modern Leaders: How to Determine Your Company’s Worth</v>
      </c>
      <c r="M504" s="8" t="str">
        <f>vlookup(A504,salesx_all!B:D,3,0)</f>
        <v/>
      </c>
      <c r="N504" s="8" t="str">
        <f>vlookup(A504,salesx_all!B:E,4,0)</f>
        <v/>
      </c>
    </row>
    <row r="505">
      <c r="A505" s="1" t="s">
        <v>653</v>
      </c>
      <c r="B505" s="1">
        <f t="shared" si="1"/>
        <v>48</v>
      </c>
      <c r="C505" s="1">
        <v>1.0</v>
      </c>
      <c r="D505" s="1">
        <v>0.0</v>
      </c>
      <c r="E505" s="1">
        <v>1.0</v>
      </c>
      <c r="F505" s="6">
        <v>0.0</v>
      </c>
      <c r="G505" s="1">
        <v>0.0</v>
      </c>
      <c r="H505" s="1">
        <v>1.0</v>
      </c>
      <c r="I505" s="1">
        <v>2.0</v>
      </c>
      <c r="J505" s="1">
        <v>1.0</v>
      </c>
      <c r="K505" s="1">
        <v>11.0</v>
      </c>
      <c r="L505" s="8" t="str">
        <f>vlookup(A505,salesx_all!B:E,2,0)</f>
        <v>Feeling Trapped? How Your Wisdom and Experience Can Set You Free</v>
      </c>
      <c r="M505" s="8" t="str">
        <f>vlookup(A505,salesx_all!B:D,3,0)</f>
        <v/>
      </c>
      <c r="N505" s="8" t="str">
        <f>vlookup(A505,salesx_all!B:E,4,0)</f>
        <v/>
      </c>
    </row>
    <row r="506">
      <c r="A506" s="1" t="s">
        <v>654</v>
      </c>
      <c r="B506" s="1">
        <f t="shared" si="1"/>
        <v>16</v>
      </c>
      <c r="C506" s="1">
        <v>1.0</v>
      </c>
      <c r="D506" s="1">
        <v>0.0</v>
      </c>
      <c r="E506" s="1">
        <v>1.0</v>
      </c>
      <c r="F506" s="6">
        <v>1.0</v>
      </c>
      <c r="G506" s="1">
        <v>1.0</v>
      </c>
      <c r="H506" s="1">
        <v>0.0</v>
      </c>
      <c r="I506" s="1">
        <v>1.0</v>
      </c>
      <c r="J506" s="1">
        <v>1.0</v>
      </c>
      <c r="K506" s="1">
        <v>0.0</v>
      </c>
      <c r="L506" s="8" t="str">
        <f>vlookup(A506,salesx_all!B:E,2,0)</f>
        <v>“Find the Right Lid”</v>
      </c>
      <c r="M506" s="8" t="str">
        <f>vlookup(A506,salesx_all!B:D,3,0)</f>
        <v/>
      </c>
      <c r="N506" s="8" t="str">
        <f>vlookup(A506,salesx_all!B:E,4,0)</f>
        <v/>
      </c>
    </row>
    <row r="507">
      <c r="A507" s="1" t="s">
        <v>655</v>
      </c>
      <c r="B507" s="1">
        <f t="shared" si="1"/>
        <v>46</v>
      </c>
      <c r="C507" s="1">
        <v>1.0</v>
      </c>
      <c r="D507" s="1">
        <v>0.0</v>
      </c>
      <c r="E507" s="1">
        <v>1.0</v>
      </c>
      <c r="F507" s="6">
        <v>0.0</v>
      </c>
      <c r="G507" s="1">
        <v>0.0</v>
      </c>
      <c r="H507" s="1">
        <v>1.0</v>
      </c>
      <c r="I507" s="1">
        <v>1.0</v>
      </c>
      <c r="J507" s="1">
        <v>1.0</v>
      </c>
      <c r="K507" s="1">
        <v>86.0</v>
      </c>
      <c r="L507" s="8" t="str">
        <f>vlookup(A507,salesx_all!B:E,2,0)</f>
        <v>Finding the Right People for Your Sales Team</v>
      </c>
      <c r="M507" s="8" t="str">
        <f>vlookup(A507,salesx_all!B:D,3,0)</f>
        <v/>
      </c>
      <c r="N507" s="8" t="str">
        <f>vlookup(A507,salesx_all!B:E,4,0)</f>
        <v/>
      </c>
    </row>
    <row r="508">
      <c r="A508" s="1" t="s">
        <v>656</v>
      </c>
      <c r="B508" s="1">
        <f t="shared" si="1"/>
        <v>48</v>
      </c>
      <c r="C508" s="1">
        <v>1.0</v>
      </c>
      <c r="D508" s="1">
        <v>0.0</v>
      </c>
      <c r="E508" s="1">
        <v>1.0</v>
      </c>
      <c r="F508" s="6">
        <v>1.0</v>
      </c>
      <c r="G508" s="1">
        <v>1.0</v>
      </c>
      <c r="H508" s="1">
        <v>0.0</v>
      </c>
      <c r="I508" s="1">
        <v>1.0</v>
      </c>
      <c r="J508" s="1">
        <v>1.0</v>
      </c>
      <c r="K508" s="1">
        <v>0.0</v>
      </c>
      <c r="L508" s="8" t="str">
        <f>vlookup(A508,salesx_all!B:E,2,0)</f>
        <v>#N/A</v>
      </c>
      <c r="M508" s="8" t="str">
        <f>vlookup(A508,salesx_all!B:D,3,0)</f>
        <v>#N/A</v>
      </c>
      <c r="N508" s="8" t="str">
        <f>vlookup(A508,salesx_all!B:E,4,0)</f>
        <v>#N/A</v>
      </c>
    </row>
    <row r="509">
      <c r="A509" s="1" t="s">
        <v>657</v>
      </c>
      <c r="B509" s="1">
        <f t="shared" si="1"/>
        <v>29</v>
      </c>
      <c r="C509" s="1">
        <v>1.0</v>
      </c>
      <c r="D509" s="1">
        <v>0.0</v>
      </c>
      <c r="E509" s="1">
        <v>1.0</v>
      </c>
      <c r="F509" s="6">
        <v>0.0</v>
      </c>
      <c r="G509" s="1">
        <v>0.0</v>
      </c>
      <c r="H509" s="1">
        <v>1.0</v>
      </c>
      <c r="I509" s="1">
        <v>1.0</v>
      </c>
      <c r="J509" s="1">
        <v>1.0</v>
      </c>
      <c r="K509" s="1">
        <v>1.0</v>
      </c>
      <c r="L509" s="8" t="str">
        <f>vlookup(A509,salesx_all!B:E,2,0)</f>
        <v>#N/A</v>
      </c>
      <c r="M509" s="8" t="str">
        <f>vlookup(A509,salesx_all!B:D,3,0)</f>
        <v>#N/A</v>
      </c>
      <c r="N509" s="8" t="str">
        <f>vlookup(A509,salesx_all!B:E,4,0)</f>
        <v>#N/A</v>
      </c>
    </row>
    <row r="510">
      <c r="A510" s="1" t="s">
        <v>658</v>
      </c>
      <c r="B510" s="1">
        <f t="shared" si="1"/>
        <v>73</v>
      </c>
      <c r="C510" s="1">
        <v>1.0</v>
      </c>
      <c r="D510" s="1">
        <v>0.0</v>
      </c>
      <c r="E510" s="1">
        <v>1.0</v>
      </c>
      <c r="F510" s="6">
        <v>1.0</v>
      </c>
      <c r="G510" s="1">
        <v>1.0</v>
      </c>
      <c r="H510" s="1">
        <v>0.0</v>
      </c>
      <c r="I510" s="1">
        <v>0.0</v>
      </c>
      <c r="J510" s="1">
        <v>1.0</v>
      </c>
      <c r="K510" s="1">
        <v>0.0</v>
      </c>
      <c r="L510" s="8" t="str">
        <f>vlookup(A510,salesx_all!B:E,2,0)</f>
        <v>From Pipeline to Bottom Line: How to Boost Your Sales Team Effectiveness</v>
      </c>
      <c r="M510" s="8" t="str">
        <f>vlookup(A510,salesx_all!B:D,3,0)</f>
        <v>The Big Picture First</v>
      </c>
      <c r="N510" s="8" t="str">
        <f>vlookup(A510,salesx_all!B:E,4,0)</f>
        <v>Sales Forecasting Using Accurate Metrics</v>
      </c>
    </row>
    <row r="511">
      <c r="A511" s="1" t="s">
        <v>659</v>
      </c>
      <c r="B511" s="1">
        <f t="shared" si="1"/>
        <v>55</v>
      </c>
      <c r="C511" s="1">
        <v>1.0</v>
      </c>
      <c r="D511" s="1">
        <v>0.0</v>
      </c>
      <c r="E511" s="1">
        <v>1.0</v>
      </c>
      <c r="F511" s="6">
        <v>1.0</v>
      </c>
      <c r="G511" s="1">
        <v>1.0</v>
      </c>
      <c r="H511" s="1">
        <v>0.0</v>
      </c>
      <c r="I511" s="1">
        <v>0.0</v>
      </c>
      <c r="J511" s="1">
        <v>1.0</v>
      </c>
      <c r="K511" s="1">
        <v>0.0</v>
      </c>
      <c r="L511" s="8" t="str">
        <f>vlookup(A511,salesx_all!B:E,2,0)</f>
        <v>#N/A</v>
      </c>
      <c r="M511" s="8" t="str">
        <f>vlookup(A511,salesx_all!B:D,3,0)</f>
        <v>#N/A</v>
      </c>
      <c r="N511" s="8" t="str">
        <f>vlookup(A511,salesx_all!B:E,4,0)</f>
        <v>#N/A</v>
      </c>
    </row>
    <row r="512">
      <c r="A512" s="1" t="s">
        <v>660</v>
      </c>
      <c r="B512" s="1">
        <f t="shared" si="1"/>
        <v>61</v>
      </c>
      <c r="C512" s="1">
        <v>1.0</v>
      </c>
      <c r="D512" s="1">
        <v>0.0</v>
      </c>
      <c r="E512" s="1">
        <v>1.0</v>
      </c>
      <c r="F512" s="6">
        <v>1.0</v>
      </c>
      <c r="G512" s="1">
        <v>0.0</v>
      </c>
      <c r="H512" s="1">
        <v>0.0</v>
      </c>
      <c r="I512" s="1">
        <v>0.0</v>
      </c>
      <c r="J512" s="1">
        <v>1.0</v>
      </c>
      <c r="K512" s="1">
        <v>29.0</v>
      </c>
      <c r="L512" s="8" t="str">
        <f>vlookup(A512,salesx_all!B:E,2,0)</f>
        <v>Gaining a Competitive Advantage in the New B2B Buyer Funnel</v>
      </c>
      <c r="M512" s="8" t="str">
        <f>vlookup(A512,salesx_all!B:D,3,0)</f>
        <v>Stages of the B2B Buyer’s Journey</v>
      </c>
      <c r="N512" s="8" t="str">
        <f>vlookup(A512,salesx_all!B:E,4,0)</f>
        <v>So, What’s Changed?</v>
      </c>
    </row>
    <row r="513">
      <c r="A513" s="1" t="s">
        <v>661</v>
      </c>
      <c r="B513" s="1">
        <f t="shared" si="1"/>
        <v>32</v>
      </c>
      <c r="C513" s="1">
        <v>1.0</v>
      </c>
      <c r="D513" s="1">
        <v>0.0</v>
      </c>
      <c r="E513" s="1">
        <v>1.0</v>
      </c>
      <c r="F513" s="6">
        <v>1.0</v>
      </c>
      <c r="G513" s="1">
        <v>1.0</v>
      </c>
      <c r="H513" s="1">
        <v>0.0</v>
      </c>
      <c r="I513" s="1">
        <v>1.0</v>
      </c>
      <c r="J513" s="1">
        <v>1.0</v>
      </c>
      <c r="K513" s="1">
        <v>0.0</v>
      </c>
      <c r="L513" s="8" t="str">
        <f>vlookup(A513,salesx_all!B:E,2,0)</f>
        <v>#N/A</v>
      </c>
      <c r="M513" s="8" t="str">
        <f>vlookup(A513,salesx_all!B:D,3,0)</f>
        <v>#N/A</v>
      </c>
      <c r="N513" s="8" t="str">
        <f>vlookup(A513,salesx_all!B:E,4,0)</f>
        <v>#N/A</v>
      </c>
    </row>
    <row r="514">
      <c r="A514" s="1" t="s">
        <v>662</v>
      </c>
      <c r="B514" s="1">
        <f t="shared" si="1"/>
        <v>33</v>
      </c>
      <c r="C514" s="1">
        <v>1.0</v>
      </c>
      <c r="D514" s="1">
        <v>0.0</v>
      </c>
      <c r="E514" s="1">
        <v>1.0</v>
      </c>
      <c r="F514" s="6">
        <v>1.0</v>
      </c>
      <c r="G514" s="1">
        <v>1.0</v>
      </c>
      <c r="H514" s="1">
        <v>0.0</v>
      </c>
      <c r="I514" s="1">
        <v>1.0</v>
      </c>
      <c r="J514" s="1">
        <v>1.0</v>
      </c>
      <c r="K514" s="1">
        <v>0.0</v>
      </c>
      <c r="L514" s="8" t="str">
        <f>vlookup(A514,salesx_all!B:E,2,0)</f>
        <v>#N/A</v>
      </c>
      <c r="M514" s="8" t="str">
        <f>vlookup(A514,salesx_all!B:D,3,0)</f>
        <v>#N/A</v>
      </c>
      <c r="N514" s="8" t="str">
        <f>vlookup(A514,salesx_all!B:E,4,0)</f>
        <v>#N/A</v>
      </c>
    </row>
    <row r="515">
      <c r="A515" s="1" t="s">
        <v>663</v>
      </c>
      <c r="B515" s="1">
        <f t="shared" si="1"/>
        <v>63</v>
      </c>
      <c r="C515" s="1">
        <v>1.0</v>
      </c>
      <c r="D515" s="1">
        <v>0.0</v>
      </c>
      <c r="E515" s="1">
        <v>1.0</v>
      </c>
      <c r="F515" s="6">
        <v>1.0</v>
      </c>
      <c r="G515" s="1">
        <v>1.0</v>
      </c>
      <c r="H515" s="1">
        <v>0.0</v>
      </c>
      <c r="I515" s="1">
        <v>1.0</v>
      </c>
      <c r="J515" s="1">
        <v>1.0</v>
      </c>
      <c r="K515" s="1">
        <v>0.0</v>
      </c>
      <c r="L515" s="8" t="str">
        <f>vlookup(A515,salesx_all!B:E,2,0)</f>
        <v>#N/A</v>
      </c>
      <c r="M515" s="8" t="str">
        <f>vlookup(A515,salesx_all!B:D,3,0)</f>
        <v>#N/A</v>
      </c>
      <c r="N515" s="8" t="str">
        <f>vlookup(A515,salesx_all!B:E,4,0)</f>
        <v>#N/A</v>
      </c>
    </row>
    <row r="516">
      <c r="A516" s="1" t="s">
        <v>664</v>
      </c>
      <c r="B516" s="1">
        <f t="shared" si="1"/>
        <v>23</v>
      </c>
      <c r="C516" s="1">
        <v>1.0</v>
      </c>
      <c r="D516" s="1">
        <v>0.0</v>
      </c>
      <c r="E516" s="1">
        <v>1.0</v>
      </c>
      <c r="F516" s="6">
        <v>1.0</v>
      </c>
      <c r="G516" s="1">
        <v>1.0</v>
      </c>
      <c r="H516" s="1">
        <v>0.0</v>
      </c>
      <c r="I516" s="1">
        <v>1.0</v>
      </c>
      <c r="J516" s="1">
        <v>1.0</v>
      </c>
      <c r="K516" s="1">
        <v>0.0</v>
      </c>
      <c r="L516" s="8" t="str">
        <f>vlookup(A516,salesx_all!B:E,2,0)</f>
        <v>#N/A</v>
      </c>
      <c r="M516" s="8" t="str">
        <f>vlookup(A516,salesx_all!B:D,3,0)</f>
        <v>#N/A</v>
      </c>
      <c r="N516" s="8" t="str">
        <f>vlookup(A516,salesx_all!B:E,4,0)</f>
        <v>#N/A</v>
      </c>
    </row>
    <row r="517">
      <c r="A517" s="1" t="s">
        <v>665</v>
      </c>
      <c r="B517" s="1">
        <f t="shared" si="1"/>
        <v>47</v>
      </c>
      <c r="C517" s="1">
        <v>1.0</v>
      </c>
      <c r="D517" s="1">
        <v>0.0</v>
      </c>
      <c r="E517" s="1">
        <v>1.0</v>
      </c>
      <c r="F517" s="6">
        <v>1.0</v>
      </c>
      <c r="G517" s="1">
        <v>1.0</v>
      </c>
      <c r="H517" s="1">
        <v>0.0</v>
      </c>
      <c r="I517" s="1">
        <v>1.0</v>
      </c>
      <c r="J517" s="1">
        <v>1.0</v>
      </c>
      <c r="K517" s="1">
        <v>0.0</v>
      </c>
      <c r="L517" s="8" t="str">
        <f>vlookup(A517,salesx_all!B:E,2,0)</f>
        <v>#N/A</v>
      </c>
      <c r="M517" s="8" t="str">
        <f>vlookup(A517,salesx_all!B:D,3,0)</f>
        <v>#N/A</v>
      </c>
      <c r="N517" s="8" t="str">
        <f>vlookup(A517,salesx_all!B:E,4,0)</f>
        <v>#N/A</v>
      </c>
    </row>
    <row r="518">
      <c r="A518" s="1" t="s">
        <v>666</v>
      </c>
      <c r="B518" s="1">
        <f t="shared" si="1"/>
        <v>66</v>
      </c>
      <c r="C518" s="1">
        <v>1.0</v>
      </c>
      <c r="D518" s="1">
        <v>0.0</v>
      </c>
      <c r="E518" s="1">
        <v>1.0</v>
      </c>
      <c r="F518" s="6">
        <v>1.0</v>
      </c>
      <c r="G518" s="1">
        <v>0.0</v>
      </c>
      <c r="H518" s="1">
        <v>0.0</v>
      </c>
      <c r="I518" s="1">
        <v>0.0</v>
      </c>
      <c r="J518" s="1">
        <v>1.0</v>
      </c>
      <c r="K518" s="1">
        <v>33.0</v>
      </c>
      <c r="L518" s="8" t="str">
        <f>vlookup(A518,salesx_all!B:E,2,0)</f>
        <v>#N/A</v>
      </c>
      <c r="M518" s="8" t="str">
        <f>vlookup(A518,salesx_all!B:D,3,0)</f>
        <v>#N/A</v>
      </c>
      <c r="N518" s="8" t="str">
        <f>vlookup(A518,salesx_all!B:E,4,0)</f>
        <v>#N/A</v>
      </c>
    </row>
    <row r="519">
      <c r="A519" s="1" t="s">
        <v>667</v>
      </c>
      <c r="B519" s="1">
        <f t="shared" si="1"/>
        <v>27</v>
      </c>
      <c r="C519" s="1">
        <v>1.0</v>
      </c>
      <c r="D519" s="1">
        <v>0.0</v>
      </c>
      <c r="E519" s="1">
        <v>1.0</v>
      </c>
      <c r="F519" s="6">
        <v>1.0</v>
      </c>
      <c r="G519" s="1">
        <v>1.0</v>
      </c>
      <c r="H519" s="1">
        <v>0.0</v>
      </c>
      <c r="I519" s="1">
        <v>1.0</v>
      </c>
      <c r="J519" s="1">
        <v>1.0</v>
      </c>
      <c r="K519" s="1">
        <v>0.0</v>
      </c>
      <c r="L519" s="8" t="str">
        <f>vlookup(A519,salesx_all!B:E,2,0)</f>
        <v>#N/A</v>
      </c>
      <c r="M519" s="8" t="str">
        <f>vlookup(A519,salesx_all!B:D,3,0)</f>
        <v>#N/A</v>
      </c>
      <c r="N519" s="8" t="str">
        <f>vlookup(A519,salesx_all!B:E,4,0)</f>
        <v>#N/A</v>
      </c>
    </row>
    <row r="520">
      <c r="A520" s="1" t="s">
        <v>668</v>
      </c>
      <c r="B520" s="1">
        <f t="shared" si="1"/>
        <v>34</v>
      </c>
      <c r="C520" s="1">
        <v>1.0</v>
      </c>
      <c r="D520" s="1">
        <v>0.0</v>
      </c>
      <c r="E520" s="1">
        <v>1.0</v>
      </c>
      <c r="F520" s="6">
        <v>1.0</v>
      </c>
      <c r="G520" s="1">
        <v>1.0</v>
      </c>
      <c r="H520" s="1">
        <v>0.0</v>
      </c>
      <c r="I520" s="1">
        <v>1.0</v>
      </c>
      <c r="J520" s="1">
        <v>1.0</v>
      </c>
      <c r="K520" s="1">
        <v>0.0</v>
      </c>
      <c r="L520" s="8" t="str">
        <f>vlookup(A520,salesx_all!B:E,2,0)</f>
        <v>#N/A</v>
      </c>
      <c r="M520" s="8" t="str">
        <f>vlookup(A520,salesx_all!B:D,3,0)</f>
        <v>#N/A</v>
      </c>
      <c r="N520" s="8" t="str">
        <f>vlookup(A520,salesx_all!B:E,4,0)</f>
        <v>#N/A</v>
      </c>
    </row>
    <row r="521">
      <c r="A521" s="1" t="s">
        <v>669</v>
      </c>
      <c r="B521" s="1">
        <f t="shared" si="1"/>
        <v>36</v>
      </c>
      <c r="C521" s="1">
        <v>1.0</v>
      </c>
      <c r="D521" s="1">
        <v>0.0</v>
      </c>
      <c r="E521" s="1">
        <v>1.0</v>
      </c>
      <c r="F521" s="6">
        <v>1.0</v>
      </c>
      <c r="G521" s="1">
        <v>1.0</v>
      </c>
      <c r="H521" s="1">
        <v>0.0</v>
      </c>
      <c r="I521" s="1">
        <v>1.0</v>
      </c>
      <c r="J521" s="1">
        <v>1.0</v>
      </c>
      <c r="K521" s="1">
        <v>0.0</v>
      </c>
      <c r="L521" s="8" t="str">
        <f>vlookup(A521,salesx_all!B:E,2,0)</f>
        <v>Don’t Just Hire Great Salespeople – Keep Them!</v>
      </c>
      <c r="M521" s="8" t="str">
        <f>vlookup(A521,salesx_all!B:D,3,0)</f>
        <v/>
      </c>
      <c r="N521" s="8" t="str">
        <f>vlookup(A521,salesx_all!B:E,4,0)</f>
        <v/>
      </c>
    </row>
    <row r="522">
      <c r="A522" s="1" t="s">
        <v>670</v>
      </c>
      <c r="B522" s="1">
        <f t="shared" si="1"/>
        <v>48</v>
      </c>
      <c r="C522" s="1">
        <v>1.0</v>
      </c>
      <c r="D522" s="1">
        <v>0.0</v>
      </c>
      <c r="E522" s="1">
        <v>1.0</v>
      </c>
      <c r="F522" s="6">
        <v>1.0</v>
      </c>
      <c r="G522" s="1">
        <v>1.0</v>
      </c>
      <c r="H522" s="1">
        <v>0.0</v>
      </c>
      <c r="I522" s="1">
        <v>1.0</v>
      </c>
      <c r="J522" s="1">
        <v>1.0</v>
      </c>
      <c r="K522" s="1">
        <v>0.0</v>
      </c>
      <c r="L522" s="8" t="str">
        <f>vlookup(A522,salesx_all!B:E,2,0)</f>
        <v>#N/A</v>
      </c>
      <c r="M522" s="8" t="str">
        <f>vlookup(A522,salesx_all!B:D,3,0)</f>
        <v>#N/A</v>
      </c>
      <c r="N522" s="8" t="str">
        <f>vlookup(A522,salesx_all!B:E,4,0)</f>
        <v>#N/A</v>
      </c>
    </row>
    <row r="523">
      <c r="A523" s="1" t="s">
        <v>671</v>
      </c>
      <c r="B523" s="1">
        <f t="shared" si="1"/>
        <v>37</v>
      </c>
      <c r="C523" s="1">
        <v>1.0</v>
      </c>
      <c r="D523" s="1">
        <v>0.0</v>
      </c>
      <c r="E523" s="1">
        <v>1.0</v>
      </c>
      <c r="F523" s="6">
        <v>0.0</v>
      </c>
      <c r="G523" s="1">
        <v>0.0</v>
      </c>
      <c r="H523" s="1">
        <v>1.0</v>
      </c>
      <c r="I523" s="1">
        <v>1.0</v>
      </c>
      <c r="J523" s="1">
        <v>1.0</v>
      </c>
      <c r="K523" s="1">
        <v>2.0</v>
      </c>
      <c r="L523" s="8" t="str">
        <f>vlookup(A523,salesx_all!B:E,2,0)</f>
        <v>#N/A</v>
      </c>
      <c r="M523" s="8" t="str">
        <f>vlookup(A523,salesx_all!B:D,3,0)</f>
        <v>#N/A</v>
      </c>
      <c r="N523" s="8" t="str">
        <f>vlookup(A523,salesx_all!B:E,4,0)</f>
        <v>#N/A</v>
      </c>
    </row>
    <row r="524">
      <c r="A524" s="1" t="s">
        <v>672</v>
      </c>
      <c r="B524" s="1">
        <f t="shared" si="1"/>
        <v>40</v>
      </c>
      <c r="C524" s="1">
        <v>1.0</v>
      </c>
      <c r="D524" s="1">
        <v>0.0</v>
      </c>
      <c r="E524" s="1">
        <v>1.0</v>
      </c>
      <c r="F524" s="6">
        <v>0.0</v>
      </c>
      <c r="G524" s="1">
        <v>1.0</v>
      </c>
      <c r="H524" s="1">
        <v>1.0</v>
      </c>
      <c r="I524" s="1">
        <v>1.0</v>
      </c>
      <c r="J524" s="1">
        <v>1.0</v>
      </c>
      <c r="K524" s="1">
        <v>20.0</v>
      </c>
      <c r="L524" s="8" t="str">
        <f>vlookup(A524,salesx_all!B:E,2,0)</f>
        <v>#N/A</v>
      </c>
      <c r="M524" s="8" t="str">
        <f>vlookup(A524,salesx_all!B:D,3,0)</f>
        <v>#N/A</v>
      </c>
      <c r="N524" s="8" t="str">
        <f>vlookup(A524,salesx_all!B:E,4,0)</f>
        <v>#N/A</v>
      </c>
    </row>
    <row r="525">
      <c r="A525" s="1" t="s">
        <v>673</v>
      </c>
      <c r="B525" s="1">
        <f t="shared" si="1"/>
        <v>39</v>
      </c>
      <c r="C525" s="1">
        <v>1.0</v>
      </c>
      <c r="D525" s="1">
        <v>0.0</v>
      </c>
      <c r="E525" s="1">
        <v>1.0</v>
      </c>
      <c r="F525" s="6">
        <v>1.0</v>
      </c>
      <c r="G525" s="1">
        <v>1.0</v>
      </c>
      <c r="H525" s="1">
        <v>0.0</v>
      </c>
      <c r="I525" s="1">
        <v>1.0</v>
      </c>
      <c r="J525" s="1">
        <v>1.0</v>
      </c>
      <c r="K525" s="1">
        <v>0.0</v>
      </c>
      <c r="L525" s="8" t="str">
        <f>vlookup(A525,salesx_all!B:E,2,0)</f>
        <v>#N/A</v>
      </c>
      <c r="M525" s="8" t="str">
        <f>vlookup(A525,salesx_all!B:D,3,0)</f>
        <v>#N/A</v>
      </c>
      <c r="N525" s="8" t="str">
        <f>vlookup(A525,salesx_all!B:E,4,0)</f>
        <v>#N/A</v>
      </c>
    </row>
    <row r="526">
      <c r="A526" s="1" t="s">
        <v>674</v>
      </c>
      <c r="B526" s="1">
        <f t="shared" si="1"/>
        <v>38</v>
      </c>
      <c r="C526" s="1">
        <v>1.0</v>
      </c>
      <c r="D526" s="1">
        <v>0.0</v>
      </c>
      <c r="E526" s="1">
        <v>1.0</v>
      </c>
      <c r="F526" s="6">
        <v>1.0</v>
      </c>
      <c r="G526" s="1">
        <v>1.0</v>
      </c>
      <c r="H526" s="1">
        <v>0.0</v>
      </c>
      <c r="I526" s="1">
        <v>1.0</v>
      </c>
      <c r="J526" s="1">
        <v>1.0</v>
      </c>
      <c r="K526" s="1">
        <v>0.0</v>
      </c>
      <c r="L526" s="8" t="str">
        <f>vlookup(A526,salesx_all!B:E,2,0)</f>
        <v>#N/A</v>
      </c>
      <c r="M526" s="8" t="str">
        <f>vlookup(A526,salesx_all!B:D,3,0)</f>
        <v>#N/A</v>
      </c>
      <c r="N526" s="8" t="str">
        <f>vlookup(A526,salesx_all!B:E,4,0)</f>
        <v>#N/A</v>
      </c>
    </row>
    <row r="527">
      <c r="A527" s="1" t="s">
        <v>675</v>
      </c>
      <c r="B527" s="1">
        <f t="shared" si="1"/>
        <v>55</v>
      </c>
      <c r="C527" s="1">
        <v>1.0</v>
      </c>
      <c r="D527" s="1">
        <v>0.0</v>
      </c>
      <c r="E527" s="1">
        <v>1.0</v>
      </c>
      <c r="F527" s="6">
        <v>1.0</v>
      </c>
      <c r="G527" s="1">
        <v>1.0</v>
      </c>
      <c r="H527" s="1">
        <v>0.0</v>
      </c>
      <c r="I527" s="1">
        <v>1.0</v>
      </c>
      <c r="J527" s="1">
        <v>1.0</v>
      </c>
      <c r="K527" s="1">
        <v>0.0</v>
      </c>
      <c r="L527" s="8" t="str">
        <f>vlookup(A527,salesx_all!B:E,2,0)</f>
        <v>#N/A</v>
      </c>
      <c r="M527" s="8" t="str">
        <f>vlookup(A527,salesx_all!B:D,3,0)</f>
        <v>#N/A</v>
      </c>
      <c r="N527" s="8" t="str">
        <f>vlookup(A527,salesx_all!B:E,4,0)</f>
        <v>#N/A</v>
      </c>
    </row>
    <row r="528">
      <c r="A528" s="1" t="s">
        <v>676</v>
      </c>
      <c r="B528" s="1">
        <f t="shared" si="1"/>
        <v>54</v>
      </c>
      <c r="C528" s="1">
        <v>1.0</v>
      </c>
      <c r="D528" s="1">
        <v>0.0</v>
      </c>
      <c r="E528" s="1">
        <v>1.0</v>
      </c>
      <c r="F528" s="6">
        <v>1.0</v>
      </c>
      <c r="G528" s="1">
        <v>1.0</v>
      </c>
      <c r="H528" s="1">
        <v>0.0</v>
      </c>
      <c r="I528" s="1">
        <v>1.0</v>
      </c>
      <c r="J528" s="1">
        <v>1.0</v>
      </c>
      <c r="K528" s="1">
        <v>0.0</v>
      </c>
      <c r="L528" s="8" t="str">
        <f>vlookup(A528,salesx_all!B:E,2,0)</f>
        <v>How Honesty Can Help Maintain Customer Relationships</v>
      </c>
      <c r="M528" s="8" t="str">
        <f>vlookup(A528,salesx_all!B:D,3,0)</f>
        <v/>
      </c>
      <c r="N528" s="8" t="str">
        <f>vlookup(A528,salesx_all!B:E,4,0)</f>
        <v/>
      </c>
    </row>
    <row r="529">
      <c r="A529" s="1" t="s">
        <v>677</v>
      </c>
      <c r="B529" s="1">
        <f t="shared" si="1"/>
        <v>76</v>
      </c>
      <c r="C529" s="1">
        <v>1.0</v>
      </c>
      <c r="D529" s="1">
        <v>0.0</v>
      </c>
      <c r="E529" s="1">
        <v>1.0</v>
      </c>
      <c r="F529" s="6">
        <v>1.0</v>
      </c>
      <c r="G529" s="1">
        <v>1.0</v>
      </c>
      <c r="H529" s="1">
        <v>0.0</v>
      </c>
      <c r="I529" s="1">
        <v>1.0</v>
      </c>
      <c r="J529" s="1">
        <v>1.0</v>
      </c>
      <c r="K529" s="1">
        <v>0.0</v>
      </c>
      <c r="L529" s="8" t="str">
        <f>vlookup(A529,salesx_all!B:E,2,0)</f>
        <v>#N/A</v>
      </c>
      <c r="M529" s="8" t="str">
        <f>vlookup(A529,salesx_all!B:D,3,0)</f>
        <v>#N/A</v>
      </c>
      <c r="N529" s="8" t="str">
        <f>vlookup(A529,salesx_all!B:E,4,0)</f>
        <v>#N/A</v>
      </c>
    </row>
    <row r="530">
      <c r="A530" s="1" t="s">
        <v>678</v>
      </c>
      <c r="B530" s="1">
        <f t="shared" si="1"/>
        <v>74</v>
      </c>
      <c r="C530" s="1">
        <v>1.0</v>
      </c>
      <c r="D530" s="1">
        <v>0.0</v>
      </c>
      <c r="E530" s="1">
        <v>1.0</v>
      </c>
      <c r="F530" s="6">
        <v>1.0</v>
      </c>
      <c r="G530" s="1">
        <v>1.0</v>
      </c>
      <c r="H530" s="1">
        <v>0.0</v>
      </c>
      <c r="I530" s="1">
        <v>1.0</v>
      </c>
      <c r="J530" s="1">
        <v>1.0</v>
      </c>
      <c r="K530" s="1">
        <v>0.0</v>
      </c>
      <c r="L530" s="8" t="str">
        <f>vlookup(A530,salesx_all!B:E,2,0)</f>
        <v>How Strategic Sales Planning Can Keep Your Business on Track for Success</v>
      </c>
      <c r="M530" s="8" t="str">
        <f>vlookup(A530,salesx_all!B:D,3,0)</f>
        <v/>
      </c>
      <c r="N530" s="8" t="str">
        <f>vlookup(A530,salesx_all!B:E,4,0)</f>
        <v/>
      </c>
    </row>
    <row r="531">
      <c r="A531" s="1" t="s">
        <v>679</v>
      </c>
      <c r="B531" s="1">
        <f t="shared" si="1"/>
        <v>70</v>
      </c>
      <c r="C531" s="1">
        <v>1.0</v>
      </c>
      <c r="D531" s="1">
        <v>0.0</v>
      </c>
      <c r="E531" s="1">
        <v>1.0</v>
      </c>
      <c r="F531" s="6">
        <v>1.0</v>
      </c>
      <c r="G531" s="1">
        <v>1.0</v>
      </c>
      <c r="H531" s="1">
        <v>0.0</v>
      </c>
      <c r="I531" s="1">
        <v>1.0</v>
      </c>
      <c r="J531" s="1">
        <v>1.0</v>
      </c>
      <c r="K531" s="1">
        <v>0.0</v>
      </c>
      <c r="L531" s="8" t="str">
        <f>vlookup(A531,salesx_all!B:E,2,0)</f>
        <v>How to Achieve Your Business Goals with Individual Salesperson Goals</v>
      </c>
      <c r="M531" s="8" t="str">
        <f>vlookup(A531,salesx_all!B:D,3,0)</f>
        <v>No “I” in Team?</v>
      </c>
      <c r="N531" s="8" t="str">
        <f>vlookup(A531,salesx_all!B:E,4,0)</f>
        <v>Strategies for Achieving Goals: #1 – Make Individual Salesperson Goals Personal</v>
      </c>
    </row>
    <row r="532">
      <c r="A532" s="1" t="s">
        <v>680</v>
      </c>
      <c r="B532" s="1">
        <f t="shared" si="1"/>
        <v>71</v>
      </c>
      <c r="C532" s="1">
        <v>1.0</v>
      </c>
      <c r="D532" s="1">
        <v>0.0</v>
      </c>
      <c r="E532" s="1">
        <v>1.0</v>
      </c>
      <c r="F532" s="6">
        <v>0.0</v>
      </c>
      <c r="G532" s="1">
        <v>1.0</v>
      </c>
      <c r="H532" s="1">
        <v>1.0</v>
      </c>
      <c r="I532" s="1">
        <v>1.0</v>
      </c>
      <c r="J532" s="1">
        <v>1.0</v>
      </c>
      <c r="K532" s="1">
        <v>489.0</v>
      </c>
      <c r="L532" s="8" t="str">
        <f>vlookup(A532,salesx_all!B:E,2,0)</f>
        <v>How to Build Strong Business Relationships: A Guide to Effective Sales</v>
      </c>
      <c r="M532" s="8" t="str">
        <f>vlookup(A532,salesx_all!B:D,3,0)</f>
        <v>Face-to-Face 1:1 Meetings</v>
      </c>
      <c r="N532" s="8" t="str">
        <f>vlookup(A532,salesx_all!B:E,4,0)</f>
        <v>Get Personal</v>
      </c>
    </row>
    <row r="533">
      <c r="A533" s="1" t="s">
        <v>681</v>
      </c>
      <c r="B533" s="1">
        <f t="shared" si="1"/>
        <v>31</v>
      </c>
      <c r="C533" s="1">
        <v>1.0</v>
      </c>
      <c r="D533" s="1">
        <v>0.0</v>
      </c>
      <c r="E533" s="1">
        <v>1.0</v>
      </c>
      <c r="F533" s="6">
        <v>0.0</v>
      </c>
      <c r="G533" s="1">
        <v>0.0</v>
      </c>
      <c r="H533" s="1">
        <v>1.0</v>
      </c>
      <c r="I533" s="1">
        <v>1.0</v>
      </c>
      <c r="J533" s="1">
        <v>1.0</v>
      </c>
      <c r="K533" s="1">
        <v>6.0</v>
      </c>
      <c r="L533" s="8" t="str">
        <f>vlookup(A533,salesx_all!B:E,2,0)</f>
        <v>How to Enhance Sales Using AI</v>
      </c>
      <c r="M533" s="8" t="str">
        <f>vlookup(A533,salesx_all!B:D,3,0)</f>
        <v>What Is AI?</v>
      </c>
      <c r="N533" s="8" t="str">
        <f>vlookup(A533,salesx_all!B:E,4,0)</f>
        <v>What are Some Benefits of AI for Sales?</v>
      </c>
    </row>
    <row r="534">
      <c r="A534" s="1" t="s">
        <v>682</v>
      </c>
      <c r="B534" s="1">
        <f t="shared" si="1"/>
        <v>78</v>
      </c>
      <c r="C534" s="1">
        <v>1.0</v>
      </c>
      <c r="D534" s="1">
        <v>0.0</v>
      </c>
      <c r="E534" s="1">
        <v>1.0</v>
      </c>
      <c r="F534" s="6">
        <v>1.0</v>
      </c>
      <c r="G534" s="1">
        <v>0.0</v>
      </c>
      <c r="H534" s="1">
        <v>0.0</v>
      </c>
      <c r="I534" s="1">
        <v>0.0</v>
      </c>
      <c r="J534" s="1">
        <v>1.0</v>
      </c>
      <c r="K534" s="1">
        <v>33.0</v>
      </c>
      <c r="L534" s="8" t="str">
        <f>vlookup(A534,salesx_all!B:E,2,0)</f>
        <v>#N/A</v>
      </c>
      <c r="M534" s="8" t="str">
        <f>vlookup(A534,salesx_all!B:D,3,0)</f>
        <v>#N/A</v>
      </c>
      <c r="N534" s="8" t="str">
        <f>vlookup(A534,salesx_all!B:E,4,0)</f>
        <v>#N/A</v>
      </c>
    </row>
    <row r="535">
      <c r="A535" s="1" t="s">
        <v>683</v>
      </c>
      <c r="B535" s="1">
        <f t="shared" si="1"/>
        <v>69</v>
      </c>
      <c r="C535" s="1">
        <v>1.0</v>
      </c>
      <c r="D535" s="1">
        <v>0.0</v>
      </c>
      <c r="E535" s="1">
        <v>1.0</v>
      </c>
      <c r="F535" s="6">
        <v>1.0</v>
      </c>
      <c r="G535" s="1">
        <v>1.0</v>
      </c>
      <c r="H535" s="1">
        <v>0.0</v>
      </c>
      <c r="I535" s="1">
        <v>1.0</v>
      </c>
      <c r="J535" s="1">
        <v>1.0</v>
      </c>
      <c r="K535" s="1">
        <v>0.0</v>
      </c>
      <c r="L535" s="8" t="str">
        <f>vlookup(A535,salesx_all!B:E,2,0)</f>
        <v>How to Stop Circling the Top of the Sales Funnel and Make That Sale</v>
      </c>
      <c r="M535" s="8" t="str">
        <f>vlookup(A535,salesx_all!B:D,3,0)</f>
        <v/>
      </c>
      <c r="N535" s="8" t="str">
        <f>vlookup(A535,salesx_all!B:E,4,0)</f>
        <v/>
      </c>
    </row>
    <row r="536">
      <c r="A536" s="1" t="s">
        <v>684</v>
      </c>
      <c r="B536" s="1">
        <f t="shared" si="1"/>
        <v>45</v>
      </c>
      <c r="C536" s="1">
        <v>1.0</v>
      </c>
      <c r="D536" s="1">
        <v>0.0</v>
      </c>
      <c r="E536" s="1">
        <v>1.0</v>
      </c>
      <c r="F536" s="6">
        <v>1.0</v>
      </c>
      <c r="G536" s="1">
        <v>1.0</v>
      </c>
      <c r="H536" s="1">
        <v>0.0</v>
      </c>
      <c r="I536" s="1">
        <v>0.0</v>
      </c>
      <c r="J536" s="1">
        <v>1.0</v>
      </c>
      <c r="K536" s="1">
        <v>0.0</v>
      </c>
      <c r="L536" s="8" t="str">
        <f>vlookup(A536,salesx_all!B:E,2,0)</f>
        <v>#N/A</v>
      </c>
      <c r="M536" s="8" t="str">
        <f>vlookup(A536,salesx_all!B:D,3,0)</f>
        <v>#N/A</v>
      </c>
      <c r="N536" s="8" t="str">
        <f>vlookup(A536,salesx_all!B:E,4,0)</f>
        <v>#N/A</v>
      </c>
    </row>
    <row r="537">
      <c r="A537" s="1" t="s">
        <v>685</v>
      </c>
      <c r="B537" s="1">
        <f t="shared" si="1"/>
        <v>15</v>
      </c>
      <c r="C537" s="1">
        <v>1.0</v>
      </c>
      <c r="D537" s="1">
        <v>0.0</v>
      </c>
      <c r="E537" s="1">
        <v>1.0</v>
      </c>
      <c r="F537" s="6">
        <v>1.0</v>
      </c>
      <c r="G537" s="1">
        <v>1.0</v>
      </c>
      <c r="H537" s="1">
        <v>0.0</v>
      </c>
      <c r="I537" s="1">
        <v>1.0</v>
      </c>
      <c r="J537" s="1">
        <v>1.0</v>
      </c>
      <c r="K537" s="1">
        <v>1.0</v>
      </c>
      <c r="L537" s="8" t="str">
        <f>vlookup(A537,salesx_all!B:E,2,0)</f>
        <v>#N/A</v>
      </c>
      <c r="M537" s="8" t="str">
        <f>vlookup(A537,salesx_all!B:D,3,0)</f>
        <v>#N/A</v>
      </c>
      <c r="N537" s="8" t="str">
        <f>vlookup(A537,salesx_all!B:E,4,0)</f>
        <v>#N/A</v>
      </c>
    </row>
    <row r="538">
      <c r="A538" s="1" t="s">
        <v>686</v>
      </c>
      <c r="B538" s="1">
        <f t="shared" si="1"/>
        <v>66</v>
      </c>
      <c r="C538" s="1">
        <v>1.0</v>
      </c>
      <c r="D538" s="1">
        <v>0.0</v>
      </c>
      <c r="E538" s="1">
        <v>1.0</v>
      </c>
      <c r="F538" s="6">
        <v>1.0</v>
      </c>
      <c r="G538" s="1">
        <v>1.0</v>
      </c>
      <c r="H538" s="1">
        <v>0.0</v>
      </c>
      <c r="I538" s="1">
        <v>1.0</v>
      </c>
      <c r="J538" s="1">
        <v>1.0</v>
      </c>
      <c r="K538" s="1">
        <v>0.0</v>
      </c>
      <c r="L538" s="8" t="str">
        <f>vlookup(A538,salesx_all!B:E,2,0)</f>
        <v>#N/A</v>
      </c>
      <c r="M538" s="8" t="str">
        <f>vlookup(A538,salesx_all!B:D,3,0)</f>
        <v>#N/A</v>
      </c>
      <c r="N538" s="8" t="str">
        <f>vlookup(A538,salesx_all!B:E,4,0)</f>
        <v>#N/A</v>
      </c>
    </row>
    <row r="539">
      <c r="A539" s="1" t="s">
        <v>687</v>
      </c>
      <c r="B539" s="1">
        <f t="shared" si="1"/>
        <v>67</v>
      </c>
      <c r="C539" s="1">
        <v>1.0</v>
      </c>
      <c r="D539" s="1">
        <v>0.0</v>
      </c>
      <c r="E539" s="1">
        <v>1.0</v>
      </c>
      <c r="F539" s="6">
        <v>1.0</v>
      </c>
      <c r="G539" s="1">
        <v>1.0</v>
      </c>
      <c r="H539" s="1">
        <v>0.0</v>
      </c>
      <c r="I539" s="1">
        <v>1.0</v>
      </c>
      <c r="J539" s="1">
        <v>1.0</v>
      </c>
      <c r="K539" s="1">
        <v>0.0</v>
      </c>
      <c r="L539" s="8" t="str">
        <f>vlookup(A539,salesx_all!B:E,2,0)</f>
        <v>Entrepreneur – If You’re Not Looking at These 3 Things You’re Not Optimizing Sales</v>
      </c>
      <c r="M539" s="8" t="str">
        <f>vlookup(A539,salesx_all!B:D,3,0)</f>
        <v/>
      </c>
      <c r="N539" s="8" t="str">
        <f>vlookup(A539,salesx_all!B:E,4,0)</f>
        <v/>
      </c>
    </row>
    <row r="540">
      <c r="A540" s="1" t="s">
        <v>688</v>
      </c>
      <c r="B540" s="1">
        <f t="shared" si="1"/>
        <v>32</v>
      </c>
      <c r="C540" s="1">
        <v>1.0</v>
      </c>
      <c r="D540" s="1">
        <v>0.0</v>
      </c>
      <c r="E540" s="1">
        <v>1.0</v>
      </c>
      <c r="F540" s="6">
        <v>1.0</v>
      </c>
      <c r="G540" s="1">
        <v>1.0</v>
      </c>
      <c r="H540" s="1">
        <v>0.0</v>
      </c>
      <c r="I540" s="1">
        <v>1.0</v>
      </c>
      <c r="J540" s="1">
        <v>1.0</v>
      </c>
      <c r="K540" s="1">
        <v>0.0</v>
      </c>
      <c r="L540" s="8" t="str">
        <f>vlookup(A540,salesx_all!B:E,2,0)</f>
        <v>In Case They Ask – And They Will</v>
      </c>
      <c r="M540" s="8" t="str">
        <f>vlookup(A540,salesx_all!B:D,3,0)</f>
        <v/>
      </c>
      <c r="N540" s="8" t="str">
        <f>vlookup(A540,salesx_all!B:E,4,0)</f>
        <v/>
      </c>
    </row>
    <row r="541">
      <c r="A541" s="1" t="s">
        <v>689</v>
      </c>
      <c r="B541" s="1">
        <f t="shared" si="1"/>
        <v>83</v>
      </c>
      <c r="C541" s="1">
        <v>1.0</v>
      </c>
      <c r="D541" s="1">
        <v>0.0</v>
      </c>
      <c r="E541" s="1">
        <v>1.0</v>
      </c>
      <c r="F541" s="6">
        <v>1.0</v>
      </c>
      <c r="G541" s="1">
        <v>1.0</v>
      </c>
      <c r="H541" s="1">
        <v>0.0</v>
      </c>
      <c r="I541" s="1">
        <v>1.0</v>
      </c>
      <c r="J541" s="1">
        <v>1.0</v>
      </c>
      <c r="K541" s="1">
        <v>0.0</v>
      </c>
      <c r="L541" s="8" t="str">
        <f>vlookup(A541,salesx_all!B:E,2,0)</f>
        <v>#N/A</v>
      </c>
      <c r="M541" s="8" t="str">
        <f>vlookup(A541,salesx_all!B:D,3,0)</f>
        <v>#N/A</v>
      </c>
      <c r="N541" s="8" t="str">
        <f>vlookup(A541,salesx_all!B:E,4,0)</f>
        <v>#N/A</v>
      </c>
    </row>
    <row r="542">
      <c r="A542" s="1" t="s">
        <v>690</v>
      </c>
      <c r="B542" s="1">
        <f t="shared" si="1"/>
        <v>22</v>
      </c>
      <c r="C542" s="1">
        <v>1.0</v>
      </c>
      <c r="D542" s="1">
        <v>0.0</v>
      </c>
      <c r="E542" s="1">
        <v>1.0</v>
      </c>
      <c r="F542" s="6">
        <v>1.0</v>
      </c>
      <c r="G542" s="1">
        <v>1.0</v>
      </c>
      <c r="H542" s="1">
        <v>0.0</v>
      </c>
      <c r="I542" s="1">
        <v>1.0</v>
      </c>
      <c r="J542" s="1">
        <v>1.0</v>
      </c>
      <c r="K542" s="1">
        <v>0.0</v>
      </c>
      <c r="L542" s="8" t="str">
        <f>vlookup(A542,salesx_all!B:E,2,0)</f>
        <v>#N/A</v>
      </c>
      <c r="M542" s="8" t="str">
        <f>vlookup(A542,salesx_all!B:D,3,0)</f>
        <v>#N/A</v>
      </c>
      <c r="N542" s="8" t="str">
        <f>vlookup(A542,salesx_all!B:E,4,0)</f>
        <v>#N/A</v>
      </c>
    </row>
    <row r="543">
      <c r="A543" s="1" t="s">
        <v>691</v>
      </c>
      <c r="B543" s="1">
        <f t="shared" si="1"/>
        <v>52</v>
      </c>
      <c r="C543" s="1">
        <v>1.0</v>
      </c>
      <c r="D543" s="1">
        <v>0.0</v>
      </c>
      <c r="E543" s="1">
        <v>1.0</v>
      </c>
      <c r="F543" s="6">
        <v>0.0</v>
      </c>
      <c r="G543" s="1">
        <v>0.0</v>
      </c>
      <c r="H543" s="1">
        <v>1.0</v>
      </c>
      <c r="I543" s="1">
        <v>1.0</v>
      </c>
      <c r="J543" s="1">
        <v>1.0</v>
      </c>
      <c r="K543" s="1">
        <v>2.0</v>
      </c>
      <c r="L543" s="8" t="str">
        <f>vlookup(A543,salesx_all!B:E,2,0)</f>
        <v>Inflation: How-To Prepare and Protect Your Business</v>
      </c>
      <c r="M543" s="8" t="str">
        <f>vlookup(A543,salesx_all!B:D,3,0)</f>
        <v>Is Inflation Ever Normal?</v>
      </c>
      <c r="N543" s="8" t="str">
        <f>vlookup(A543,salesx_all!B:E,4,0)</f>
        <v>How Does Inflation Impact a Business?</v>
      </c>
    </row>
    <row r="544">
      <c r="A544" s="1" t="s">
        <v>692</v>
      </c>
      <c r="B544" s="1">
        <f t="shared" si="1"/>
        <v>96</v>
      </c>
      <c r="C544" s="1">
        <v>1.0</v>
      </c>
      <c r="D544" s="1">
        <v>0.0</v>
      </c>
      <c r="E544" s="1">
        <v>1.0</v>
      </c>
      <c r="F544" s="6">
        <v>1.0</v>
      </c>
      <c r="G544" s="1">
        <v>1.0</v>
      </c>
      <c r="H544" s="1">
        <v>0.0</v>
      </c>
      <c r="I544" s="1">
        <v>1.0</v>
      </c>
      <c r="J544" s="1">
        <v>1.0</v>
      </c>
      <c r="K544" s="1">
        <v>0.0</v>
      </c>
      <c r="L544" s="8" t="str">
        <f>vlookup(A544,salesx_all!B:E,2,0)</f>
        <v>#N/A</v>
      </c>
      <c r="M544" s="8" t="str">
        <f>vlookup(A544,salesx_all!B:D,3,0)</f>
        <v>#N/A</v>
      </c>
      <c r="N544" s="8" t="str">
        <f>vlookup(A544,salesx_all!B:E,4,0)</f>
        <v>#N/A</v>
      </c>
    </row>
    <row r="545">
      <c r="A545" s="1" t="s">
        <v>693</v>
      </c>
      <c r="B545" s="1">
        <f t="shared" si="1"/>
        <v>46</v>
      </c>
      <c r="C545" s="1">
        <v>1.0</v>
      </c>
      <c r="D545" s="1">
        <v>0.0</v>
      </c>
      <c r="E545" s="1">
        <v>1.0</v>
      </c>
      <c r="F545" s="6">
        <v>1.0</v>
      </c>
      <c r="G545" s="1">
        <v>1.0</v>
      </c>
      <c r="H545" s="1">
        <v>0.0</v>
      </c>
      <c r="I545" s="1">
        <v>1.0</v>
      </c>
      <c r="J545" s="1">
        <v>1.0</v>
      </c>
      <c r="K545" s="1">
        <v>4.0</v>
      </c>
      <c r="L545" s="8" t="str">
        <f>vlookup(A545,salesx_all!B:E,2,0)</f>
        <v>#N/A</v>
      </c>
      <c r="M545" s="8" t="str">
        <f>vlookup(A545,salesx_all!B:D,3,0)</f>
        <v>#N/A</v>
      </c>
      <c r="N545" s="8" t="str">
        <f>vlookup(A545,salesx_all!B:E,4,0)</f>
        <v>#N/A</v>
      </c>
    </row>
    <row r="546">
      <c r="A546" s="1" t="s">
        <v>694</v>
      </c>
      <c r="B546" s="1">
        <f t="shared" si="1"/>
        <v>26</v>
      </c>
      <c r="C546" s="1">
        <v>1.0</v>
      </c>
      <c r="D546" s="1">
        <v>0.0</v>
      </c>
      <c r="E546" s="1">
        <v>1.0</v>
      </c>
      <c r="F546" s="6">
        <v>1.0</v>
      </c>
      <c r="G546" s="1">
        <v>1.0</v>
      </c>
      <c r="H546" s="1">
        <v>0.0</v>
      </c>
      <c r="I546" s="1">
        <v>1.0</v>
      </c>
      <c r="J546" s="1">
        <v>1.0</v>
      </c>
      <c r="K546" s="1">
        <v>0.0</v>
      </c>
      <c r="L546" s="8" t="str">
        <f>vlookup(A546,salesx_all!B:E,2,0)</f>
        <v>#N/A</v>
      </c>
      <c r="M546" s="8" t="str">
        <f>vlookup(A546,salesx_all!B:D,3,0)</f>
        <v>#N/A</v>
      </c>
      <c r="N546" s="8" t="str">
        <f>vlookup(A546,salesx_all!B:E,4,0)</f>
        <v>#N/A</v>
      </c>
    </row>
    <row r="547">
      <c r="A547" s="1" t="s">
        <v>695</v>
      </c>
      <c r="B547" s="1">
        <f t="shared" si="1"/>
        <v>44</v>
      </c>
      <c r="C547" s="1">
        <v>1.0</v>
      </c>
      <c r="D547" s="1">
        <v>0.0</v>
      </c>
      <c r="E547" s="1">
        <v>1.0</v>
      </c>
      <c r="F547" s="6">
        <v>1.0</v>
      </c>
      <c r="G547" s="1">
        <v>1.0</v>
      </c>
      <c r="H547" s="1">
        <v>0.0</v>
      </c>
      <c r="I547" s="1">
        <v>1.0</v>
      </c>
      <c r="J547" s="1">
        <v>1.0</v>
      </c>
      <c r="K547" s="1">
        <v>0.0</v>
      </c>
      <c r="L547" s="8" t="str">
        <f>vlookup(A547,salesx_all!B:E,2,0)</f>
        <v>Is this the Year to Take the Leap of Faith?</v>
      </c>
      <c r="M547" s="8" t="str">
        <f>vlookup(A547,salesx_all!B:D,3,0)</f>
        <v/>
      </c>
      <c r="N547" s="8" t="str">
        <f>vlookup(A547,salesx_all!B:E,4,0)</f>
        <v/>
      </c>
    </row>
    <row r="548">
      <c r="A548" s="1" t="s">
        <v>696</v>
      </c>
      <c r="B548" s="1">
        <f t="shared" si="1"/>
        <v>45</v>
      </c>
      <c r="C548" s="1">
        <v>1.0</v>
      </c>
      <c r="D548" s="1">
        <v>0.0</v>
      </c>
      <c r="E548" s="1">
        <v>1.0</v>
      </c>
      <c r="F548" s="6">
        <v>1.0</v>
      </c>
      <c r="G548" s="1">
        <v>1.0</v>
      </c>
      <c r="H548" s="1">
        <v>0.0</v>
      </c>
      <c r="I548" s="1">
        <v>0.0</v>
      </c>
      <c r="J548" s="1">
        <v>1.0</v>
      </c>
      <c r="K548" s="1">
        <v>0.0</v>
      </c>
      <c r="L548" s="8" t="str">
        <f>vlookup(A548,salesx_all!B:E,2,0)</f>
        <v>#N/A</v>
      </c>
      <c r="M548" s="8" t="str">
        <f>vlookup(A548,salesx_all!B:D,3,0)</f>
        <v>#N/A</v>
      </c>
      <c r="N548" s="8" t="str">
        <f>vlookup(A548,salesx_all!B:E,4,0)</f>
        <v>#N/A</v>
      </c>
    </row>
    <row r="549">
      <c r="A549" s="1" t="s">
        <v>697</v>
      </c>
      <c r="B549" s="1">
        <f t="shared" si="1"/>
        <v>27</v>
      </c>
      <c r="C549" s="1">
        <v>1.0</v>
      </c>
      <c r="D549" s="1">
        <v>0.0</v>
      </c>
      <c r="E549" s="1">
        <v>1.0</v>
      </c>
      <c r="F549" s="6">
        <v>1.0</v>
      </c>
      <c r="G549" s="1">
        <v>1.0</v>
      </c>
      <c r="H549" s="1">
        <v>0.0</v>
      </c>
      <c r="I549" s="1">
        <v>1.0</v>
      </c>
      <c r="J549" s="1">
        <v>1.0</v>
      </c>
      <c r="K549" s="1">
        <v>0.0</v>
      </c>
      <c r="L549" s="8" t="str">
        <f>vlookup(A549,salesx_all!B:E,2,0)</f>
        <v>#N/A</v>
      </c>
      <c r="M549" s="8" t="str">
        <f>vlookup(A549,salesx_all!B:D,3,0)</f>
        <v>#N/A</v>
      </c>
      <c r="N549" s="8" t="str">
        <f>vlookup(A549,salesx_all!B:E,4,0)</f>
        <v>#N/A</v>
      </c>
    </row>
    <row r="550">
      <c r="A550" s="1" t="s">
        <v>698</v>
      </c>
      <c r="B550" s="1">
        <f t="shared" si="1"/>
        <v>28</v>
      </c>
      <c r="C550" s="1">
        <v>1.0</v>
      </c>
      <c r="D550" s="1">
        <v>0.0</v>
      </c>
      <c r="E550" s="1">
        <v>1.0</v>
      </c>
      <c r="F550" s="6">
        <v>0.0</v>
      </c>
      <c r="G550" s="1">
        <v>0.0</v>
      </c>
      <c r="H550" s="1">
        <v>1.0</v>
      </c>
      <c r="I550" s="1">
        <v>1.0</v>
      </c>
      <c r="J550" s="1">
        <v>1.0</v>
      </c>
      <c r="K550" s="1">
        <v>55.0</v>
      </c>
      <c r="L550" s="8" t="str">
        <f>vlookup(A550,salesx_all!B:E,2,0)</f>
        <v>It’s About Profit NOT Sales</v>
      </c>
      <c r="M550" s="8" t="str">
        <f>vlookup(A550,salesx_all!B:D,3,0)</f>
        <v/>
      </c>
      <c r="N550" s="8" t="str">
        <f>vlookup(A550,salesx_all!B:E,4,0)</f>
        <v/>
      </c>
    </row>
    <row r="551">
      <c r="A551" s="1" t="s">
        <v>699</v>
      </c>
      <c r="B551" s="1">
        <f t="shared" si="1"/>
        <v>69</v>
      </c>
      <c r="C551" s="1">
        <v>1.0</v>
      </c>
      <c r="D551" s="1">
        <v>0.0</v>
      </c>
      <c r="E551" s="1">
        <v>1.0</v>
      </c>
      <c r="F551" s="6">
        <v>1.0</v>
      </c>
      <c r="G551" s="1">
        <v>1.0</v>
      </c>
      <c r="H551" s="1">
        <v>0.0</v>
      </c>
      <c r="I551" s="1">
        <v>1.0</v>
      </c>
      <c r="J551" s="1">
        <v>1.0</v>
      </c>
      <c r="K551" s="1">
        <v>0.0</v>
      </c>
      <c r="L551" s="8" t="str">
        <f>vlookup(A551,salesx_all!B:E,2,0)</f>
        <v>#N/A</v>
      </c>
      <c r="M551" s="8" t="str">
        <f>vlookup(A551,salesx_all!B:D,3,0)</f>
        <v>#N/A</v>
      </c>
      <c r="N551" s="8" t="str">
        <f>vlookup(A551,salesx_all!B:E,4,0)</f>
        <v>#N/A</v>
      </c>
    </row>
    <row r="552">
      <c r="A552" s="1" t="s">
        <v>700</v>
      </c>
      <c r="B552" s="1">
        <f t="shared" si="1"/>
        <v>70</v>
      </c>
      <c r="C552" s="1">
        <v>1.0</v>
      </c>
      <c r="D552" s="1">
        <v>0.0</v>
      </c>
      <c r="E552" s="1">
        <v>1.0</v>
      </c>
      <c r="F552" s="6">
        <v>1.0</v>
      </c>
      <c r="G552" s="1">
        <v>1.0</v>
      </c>
      <c r="H552" s="1">
        <v>0.0</v>
      </c>
      <c r="I552" s="1">
        <v>1.0</v>
      </c>
      <c r="J552" s="1">
        <v>1.0</v>
      </c>
      <c r="K552" s="1">
        <v>0.0</v>
      </c>
      <c r="L552" s="8" t="str">
        <f>vlookup(A552,salesx_all!B:E,2,0)</f>
        <v>Joining Sales Enablement and Revenue Enablement for Strategic Growth</v>
      </c>
      <c r="M552" s="8" t="str">
        <f>vlookup(A552,salesx_all!B:D,3,0)</f>
        <v>Sales Enablement is Limited</v>
      </c>
      <c r="N552" s="8" t="str">
        <f>vlookup(A552,salesx_all!B:E,4,0)</f>
        <v>Revenue Enablement is a Holistic Approach</v>
      </c>
    </row>
    <row r="553">
      <c r="A553" s="1" t="s">
        <v>701</v>
      </c>
      <c r="B553" s="1">
        <f t="shared" si="1"/>
        <v>58</v>
      </c>
      <c r="C553" s="1">
        <v>1.0</v>
      </c>
      <c r="D553" s="1">
        <v>0.0</v>
      </c>
      <c r="E553" s="1">
        <v>1.0</v>
      </c>
      <c r="F553" s="6">
        <v>1.0</v>
      </c>
      <c r="G553" s="1">
        <v>1.0</v>
      </c>
      <c r="H553" s="1">
        <v>0.0</v>
      </c>
      <c r="I553" s="1">
        <v>1.0</v>
      </c>
      <c r="J553" s="1">
        <v>1.0</v>
      </c>
      <c r="K553" s="1">
        <v>0.0</v>
      </c>
      <c r="L553" s="8" t="str">
        <f>vlookup(A553,salesx_all!B:E,2,0)</f>
        <v>Key Leadership Behaviors That Improve Sales Force Performance</v>
      </c>
      <c r="M553" s="8" t="str">
        <f>vlookup(A553,salesx_all!B:D,3,0)</f>
        <v/>
      </c>
      <c r="N553" s="8" t="str">
        <f>vlookup(A553,salesx_all!B:E,4,0)</f>
        <v/>
      </c>
    </row>
    <row r="554">
      <c r="A554" s="1" t="s">
        <v>702</v>
      </c>
      <c r="B554" s="1">
        <f t="shared" si="1"/>
        <v>56</v>
      </c>
      <c r="C554" s="1">
        <v>1.0</v>
      </c>
      <c r="D554" s="1">
        <v>0.0</v>
      </c>
      <c r="E554" s="1">
        <v>1.0</v>
      </c>
      <c r="F554" s="6">
        <v>1.0</v>
      </c>
      <c r="G554" s="1">
        <v>1.0</v>
      </c>
      <c r="H554" s="1">
        <v>0.0</v>
      </c>
      <c r="I554" s="1">
        <v>1.0</v>
      </c>
      <c r="J554" s="1">
        <v>1.0</v>
      </c>
      <c r="K554" s="1">
        <v>0.0</v>
      </c>
      <c r="L554" s="8" t="str">
        <f>vlookup(A554,salesx_all!B:E,2,0)</f>
        <v>#N/A</v>
      </c>
      <c r="M554" s="8" t="str">
        <f>vlookup(A554,salesx_all!B:D,3,0)</f>
        <v>#N/A</v>
      </c>
      <c r="N554" s="8" t="str">
        <f>vlookup(A554,salesx_all!B:E,4,0)</f>
        <v>#N/A</v>
      </c>
    </row>
    <row r="555">
      <c r="A555" s="1" t="s">
        <v>703</v>
      </c>
      <c r="B555" s="1">
        <f t="shared" si="1"/>
        <v>74</v>
      </c>
      <c r="C555" s="1">
        <v>1.0</v>
      </c>
      <c r="D555" s="1">
        <v>0.0</v>
      </c>
      <c r="E555" s="1">
        <v>1.0</v>
      </c>
      <c r="F555" s="6">
        <v>1.0</v>
      </c>
      <c r="G555" s="1">
        <v>0.0</v>
      </c>
      <c r="H555" s="1">
        <v>0.0</v>
      </c>
      <c r="I555" s="1">
        <v>0.0</v>
      </c>
      <c r="J555" s="1">
        <v>1.0</v>
      </c>
      <c r="K555" s="1">
        <v>35.0</v>
      </c>
      <c r="L555" s="8" t="str">
        <f>vlookup(A555,salesx_all!B:E,2,0)</f>
        <v>Looking for a Lifeline? (Maybe YOU Are the Lifeline for Businesses in Need)</v>
      </c>
      <c r="M555" s="8" t="str">
        <f>vlookup(A555,salesx_all!B:D,3,0)</f>
        <v>The Corporate Lifeline</v>
      </c>
      <c r="N555" s="8" t="str">
        <f>vlookup(A555,salesx_all!B:E,4,0)</f>
        <v>The Lifeline You (and Others) Need is Yourself</v>
      </c>
    </row>
    <row r="556">
      <c r="A556" s="1" t="s">
        <v>704</v>
      </c>
      <c r="B556" s="1">
        <f t="shared" si="1"/>
        <v>39</v>
      </c>
      <c r="C556" s="1">
        <v>1.0</v>
      </c>
      <c r="D556" s="1">
        <v>0.0</v>
      </c>
      <c r="E556" s="1">
        <v>1.0</v>
      </c>
      <c r="F556" s="6">
        <v>1.0</v>
      </c>
      <c r="G556" s="1">
        <v>1.0</v>
      </c>
      <c r="H556" s="1">
        <v>0.0</v>
      </c>
      <c r="I556" s="1">
        <v>1.0</v>
      </c>
      <c r="J556" s="1">
        <v>1.0</v>
      </c>
      <c r="K556" s="1">
        <v>0.0</v>
      </c>
      <c r="L556" s="8" t="str">
        <f>vlookup(A556,salesx_all!B:E,2,0)</f>
        <v>Managing Your Business . . . “The Butler Way”</v>
      </c>
      <c r="M556" s="8" t="str">
        <f>vlookup(A556,salesx_all!B:D,3,0)</f>
        <v/>
      </c>
      <c r="N556" s="8" t="str">
        <f>vlookup(A556,salesx_all!B:E,4,0)</f>
        <v/>
      </c>
    </row>
    <row r="557">
      <c r="A557" s="1" t="s">
        <v>705</v>
      </c>
      <c r="B557" s="1">
        <f t="shared" si="1"/>
        <v>24</v>
      </c>
      <c r="C557" s="1">
        <v>1.0</v>
      </c>
      <c r="D557" s="1">
        <v>0.0</v>
      </c>
      <c r="E557" s="1">
        <v>1.0</v>
      </c>
      <c r="F557" s="6">
        <v>1.0</v>
      </c>
      <c r="G557" s="1">
        <v>1.0</v>
      </c>
      <c r="H557" s="1">
        <v>0.0</v>
      </c>
      <c r="I557" s="1">
        <v>0.0</v>
      </c>
      <c r="J557" s="1">
        <v>1.0</v>
      </c>
      <c r="K557" s="1">
        <v>0.0</v>
      </c>
      <c r="L557" s="8" t="str">
        <f>vlookup(A557,salesx_all!B:E,2,0)</f>
        <v>#N/A</v>
      </c>
      <c r="M557" s="8" t="str">
        <f>vlookup(A557,salesx_all!B:D,3,0)</f>
        <v>#N/A</v>
      </c>
      <c r="N557" s="8" t="str">
        <f>vlookup(A557,salesx_all!B:E,4,0)</f>
        <v>#N/A</v>
      </c>
    </row>
    <row r="558">
      <c r="A558" s="1" t="s">
        <v>706</v>
      </c>
      <c r="B558" s="1">
        <f t="shared" si="1"/>
        <v>25</v>
      </c>
      <c r="C558" s="1">
        <v>1.0</v>
      </c>
      <c r="D558" s="1">
        <v>0.0</v>
      </c>
      <c r="E558" s="1">
        <v>1.0</v>
      </c>
      <c r="F558" s="6">
        <v>1.0</v>
      </c>
      <c r="G558" s="1">
        <v>1.0</v>
      </c>
      <c r="H558" s="1">
        <v>0.0</v>
      </c>
      <c r="I558" s="1">
        <v>1.0</v>
      </c>
      <c r="J558" s="1">
        <v>1.0</v>
      </c>
      <c r="K558" s="1">
        <v>0.0</v>
      </c>
      <c r="L558" s="8" t="str">
        <f>vlookup(A558,salesx_all!B:E,2,0)</f>
        <v>You Need to Address the 4 Ps to Meet and Exceed Sales Goals</v>
      </c>
      <c r="M558" s="8" t="str">
        <f>vlookup(A558,salesx_all!B:D,3,0)</f>
        <v/>
      </c>
      <c r="N558" s="8" t="str">
        <f>vlookup(A558,salesx_all!B:E,4,0)</f>
        <v/>
      </c>
    </row>
    <row r="559">
      <c r="A559" s="1" t="s">
        <v>707</v>
      </c>
      <c r="B559" s="1">
        <f t="shared" si="1"/>
        <v>26</v>
      </c>
      <c r="C559" s="1">
        <v>1.0</v>
      </c>
      <c r="D559" s="1">
        <v>0.0</v>
      </c>
      <c r="E559" s="1">
        <v>1.0</v>
      </c>
      <c r="F559" s="6">
        <v>1.0</v>
      </c>
      <c r="G559" s="1">
        <v>1.0</v>
      </c>
      <c r="H559" s="1">
        <v>0.0</v>
      </c>
      <c r="I559" s="1">
        <v>1.0</v>
      </c>
      <c r="J559" s="1">
        <v>1.0</v>
      </c>
      <c r="K559" s="1">
        <v>0.0</v>
      </c>
      <c r="L559" s="8" t="str">
        <f>vlookup(A559,salesx_all!B:E,2,0)</f>
        <v>#N/A</v>
      </c>
      <c r="M559" s="8" t="str">
        <f>vlookup(A559,salesx_all!B:D,3,0)</f>
        <v>#N/A</v>
      </c>
      <c r="N559" s="8" t="str">
        <f>vlookup(A559,salesx_all!B:E,4,0)</f>
        <v>#N/A</v>
      </c>
    </row>
    <row r="560">
      <c r="A560" s="1" t="s">
        <v>708</v>
      </c>
      <c r="B560" s="1">
        <f t="shared" si="1"/>
        <v>91</v>
      </c>
      <c r="C560" s="1">
        <v>1.0</v>
      </c>
      <c r="D560" s="1">
        <v>0.0</v>
      </c>
      <c r="E560" s="1">
        <v>1.0</v>
      </c>
      <c r="F560" s="6">
        <v>0.0</v>
      </c>
      <c r="G560" s="1">
        <v>1.0</v>
      </c>
      <c r="H560" s="1">
        <v>1.0</v>
      </c>
      <c r="I560" s="1">
        <v>1.0</v>
      </c>
      <c r="J560" s="1">
        <v>1.0</v>
      </c>
      <c r="K560" s="1">
        <v>219.0</v>
      </c>
      <c r="L560" s="8" t="str">
        <f>vlookup(A560,salesx_all!B:E,2,0)</f>
        <v>More About Halftime: Finding Your Purpose as You Prepare for a Second Half of Significance</v>
      </c>
      <c r="M560" s="8" t="str">
        <f>vlookup(A560,salesx_all!B:D,3,0)</f>
        <v/>
      </c>
      <c r="N560" s="8" t="str">
        <f>vlookup(A560,salesx_all!B:E,4,0)</f>
        <v/>
      </c>
    </row>
    <row r="561">
      <c r="A561" s="1" t="s">
        <v>709</v>
      </c>
      <c r="B561" s="1">
        <f t="shared" si="1"/>
        <v>37</v>
      </c>
      <c r="C561" s="1">
        <v>1.0</v>
      </c>
      <c r="D561" s="1">
        <v>0.0</v>
      </c>
      <c r="E561" s="1">
        <v>1.0</v>
      </c>
      <c r="F561" s="6">
        <v>1.0</v>
      </c>
      <c r="G561" s="1">
        <v>1.0</v>
      </c>
      <c r="H561" s="1">
        <v>0.0</v>
      </c>
      <c r="I561" s="1">
        <v>1.0</v>
      </c>
      <c r="J561" s="1">
        <v>1.0</v>
      </c>
      <c r="K561" s="1">
        <v>0.0</v>
      </c>
      <c r="L561" s="8" t="str">
        <f>vlookup(A561,salesx_all!B:E,2,0)</f>
        <v>#N/A</v>
      </c>
      <c r="M561" s="8" t="str">
        <f>vlookup(A561,salesx_all!B:D,3,0)</f>
        <v>#N/A</v>
      </c>
      <c r="N561" s="8" t="str">
        <f>vlookup(A561,salesx_all!B:E,4,0)</f>
        <v>#N/A</v>
      </c>
    </row>
    <row r="562">
      <c r="A562" s="1" t="s">
        <v>710</v>
      </c>
      <c r="B562" s="1">
        <f t="shared" si="1"/>
        <v>49</v>
      </c>
      <c r="C562" s="1">
        <v>1.0</v>
      </c>
      <c r="D562" s="1">
        <v>0.0</v>
      </c>
      <c r="E562" s="1">
        <v>1.0</v>
      </c>
      <c r="F562" s="6">
        <v>1.0</v>
      </c>
      <c r="G562" s="1">
        <v>1.0</v>
      </c>
      <c r="H562" s="1">
        <v>0.0</v>
      </c>
      <c r="I562" s="1">
        <v>1.0</v>
      </c>
      <c r="J562" s="1">
        <v>1.0</v>
      </c>
      <c r="K562" s="1">
        <v>0.0</v>
      </c>
      <c r="L562" s="8" t="str">
        <f>vlookup(A562,salesx_all!B:E,2,0)</f>
        <v>Networking is Worthless, Netweaving is Priceless</v>
      </c>
      <c r="M562" s="8" t="str">
        <f>vlookup(A562,salesx_all!B:D,3,0)</f>
        <v/>
      </c>
      <c r="N562" s="8" t="str">
        <f>vlookup(A562,salesx_all!B:E,4,0)</f>
        <v/>
      </c>
    </row>
    <row r="563">
      <c r="A563" s="1" t="s">
        <v>711</v>
      </c>
      <c r="B563" s="1">
        <f t="shared" si="1"/>
        <v>36</v>
      </c>
      <c r="C563" s="1">
        <v>1.0</v>
      </c>
      <c r="D563" s="1">
        <v>0.0</v>
      </c>
      <c r="E563" s="1">
        <v>1.0</v>
      </c>
      <c r="F563" s="6">
        <v>0.0</v>
      </c>
      <c r="G563" s="1">
        <v>1.0</v>
      </c>
      <c r="H563" s="1">
        <v>1.0</v>
      </c>
      <c r="I563" s="1">
        <v>1.0</v>
      </c>
      <c r="J563" s="1">
        <v>1.0</v>
      </c>
      <c r="K563" s="1">
        <v>13.0</v>
      </c>
      <c r="L563" s="8" t="str">
        <f>vlookup(A563,salesx_all!B:E,2,0)</f>
        <v>Sales Compensation Plan Reviews – It’s Time</v>
      </c>
      <c r="M563" s="8" t="str">
        <f>vlookup(A563,salesx_all!B:D,3,0)</f>
        <v/>
      </c>
      <c r="N563" s="8" t="str">
        <f>vlookup(A563,salesx_all!B:E,4,0)</f>
        <v/>
      </c>
    </row>
    <row r="564">
      <c r="A564" s="1" t="s">
        <v>712</v>
      </c>
      <c r="B564" s="1">
        <f t="shared" si="1"/>
        <v>29</v>
      </c>
      <c r="C564" s="1">
        <v>1.0</v>
      </c>
      <c r="D564" s="1">
        <v>0.0</v>
      </c>
      <c r="E564" s="1">
        <v>1.0</v>
      </c>
      <c r="F564" s="6">
        <v>1.0</v>
      </c>
      <c r="G564" s="1">
        <v>1.0</v>
      </c>
      <c r="H564" s="1">
        <v>0.0</v>
      </c>
      <c r="I564" s="1">
        <v>1.0</v>
      </c>
      <c r="J564" s="1">
        <v>1.0</v>
      </c>
      <c r="K564" s="1">
        <v>0.0</v>
      </c>
      <c r="L564" s="8" t="str">
        <f>vlookup(A564,salesx_all!B:E,2,0)</f>
        <v>No Access</v>
      </c>
      <c r="M564" s="8" t="str">
        <f>vlookup(A564,salesx_all!B:D,3,0)</f>
        <v/>
      </c>
      <c r="N564" s="8" t="str">
        <f>vlookup(A564,salesx_all!B:E,4,0)</f>
        <v/>
      </c>
    </row>
    <row r="565">
      <c r="A565" s="1" t="s">
        <v>713</v>
      </c>
      <c r="B565" s="1">
        <f t="shared" si="1"/>
        <v>29</v>
      </c>
      <c r="C565" s="1">
        <v>1.0</v>
      </c>
      <c r="D565" s="1">
        <v>0.0</v>
      </c>
      <c r="E565" s="1">
        <v>1.0</v>
      </c>
      <c r="F565" s="6">
        <v>1.0</v>
      </c>
      <c r="G565" s="1">
        <v>1.0</v>
      </c>
      <c r="H565" s="1">
        <v>0.0</v>
      </c>
      <c r="I565" s="1">
        <v>1.0</v>
      </c>
      <c r="J565" s="1">
        <v>1.0</v>
      </c>
      <c r="K565" s="1">
        <v>0.0</v>
      </c>
      <c r="L565" s="8" t="str">
        <f>vlookup(A565,salesx_all!B:E,2,0)</f>
        <v>#N/A</v>
      </c>
      <c r="M565" s="8" t="str">
        <f>vlookup(A565,salesx_all!B:D,3,0)</f>
        <v>#N/A</v>
      </c>
      <c r="N565" s="8" t="str">
        <f>vlookup(A565,salesx_all!B:E,4,0)</f>
        <v>#N/A</v>
      </c>
    </row>
    <row r="566">
      <c r="A566" s="1" t="s">
        <v>714</v>
      </c>
      <c r="B566" s="1">
        <f t="shared" si="1"/>
        <v>83</v>
      </c>
      <c r="C566" s="1">
        <v>1.0</v>
      </c>
      <c r="D566" s="1">
        <v>0.0</v>
      </c>
      <c r="E566" s="1">
        <v>1.0</v>
      </c>
      <c r="F566" s="6">
        <v>0.0</v>
      </c>
      <c r="G566" s="1">
        <v>0.0</v>
      </c>
      <c r="H566" s="1">
        <v>1.0</v>
      </c>
      <c r="I566" s="1">
        <v>1.0</v>
      </c>
      <c r="J566" s="1">
        <v>1.0</v>
      </c>
      <c r="K566" s="1">
        <v>14.0</v>
      </c>
      <c r="L566" s="8" t="str">
        <f>vlookup(A566,salesx_all!B:E,2,0)</f>
        <v>No Matter the Crisis, Success Calls for Positive Thinking and Confident Leadership</v>
      </c>
      <c r="M566" s="8" t="str">
        <f>vlookup(A566,salesx_all!B:D,3,0)</f>
        <v>Rule #1: Control Only What You Can Control</v>
      </c>
      <c r="N566" s="8" t="str">
        <f>vlookup(A566,salesx_all!B:E,4,0)</f>
        <v>Rule #2: Let Your Inner Voice Fuel Your Positivity</v>
      </c>
    </row>
    <row r="567">
      <c r="A567" s="1" t="s">
        <v>715</v>
      </c>
      <c r="B567" s="1">
        <f t="shared" si="1"/>
        <v>62</v>
      </c>
      <c r="C567" s="1">
        <v>1.0</v>
      </c>
      <c r="D567" s="1">
        <v>0.0</v>
      </c>
      <c r="E567" s="1">
        <v>1.0</v>
      </c>
      <c r="F567" s="6">
        <v>1.0</v>
      </c>
      <c r="G567" s="1">
        <v>1.0</v>
      </c>
      <c r="H567" s="1">
        <v>0.0</v>
      </c>
      <c r="I567" s="1">
        <v>1.0</v>
      </c>
      <c r="J567" s="1">
        <v>1.0</v>
      </c>
      <c r="K567" s="1">
        <v>0.0</v>
      </c>
      <c r="L567" s="8" t="str">
        <f>vlookup(A567,salesx_all!B:E,2,0)</f>
        <v>#N/A</v>
      </c>
      <c r="M567" s="8" t="str">
        <f>vlookup(A567,salesx_all!B:D,3,0)</f>
        <v>#N/A</v>
      </c>
      <c r="N567" s="8" t="str">
        <f>vlookup(A567,salesx_all!B:E,4,0)</f>
        <v>#N/A</v>
      </c>
    </row>
    <row r="568">
      <c r="A568" s="1" t="s">
        <v>716</v>
      </c>
      <c r="B568" s="1">
        <f t="shared" si="1"/>
        <v>23</v>
      </c>
      <c r="C568" s="1">
        <v>1.0</v>
      </c>
      <c r="D568" s="1">
        <v>0.0</v>
      </c>
      <c r="E568" s="1">
        <v>1.0</v>
      </c>
      <c r="F568" s="6">
        <v>1.0</v>
      </c>
      <c r="G568" s="1">
        <v>1.0</v>
      </c>
      <c r="H568" s="1">
        <v>0.0</v>
      </c>
      <c r="I568" s="1">
        <v>0.0</v>
      </c>
      <c r="J568" s="1">
        <v>1.0</v>
      </c>
      <c r="K568" s="1">
        <v>0.0</v>
      </c>
      <c r="L568" s="8" t="str">
        <f>vlookup(A568,salesx_all!B:E,2,0)</f>
        <v>#N/A</v>
      </c>
      <c r="M568" s="8" t="str">
        <f>vlookup(A568,salesx_all!B:D,3,0)</f>
        <v>#N/A</v>
      </c>
      <c r="N568" s="8" t="str">
        <f>vlookup(A568,salesx_all!B:E,4,0)</f>
        <v>#N/A</v>
      </c>
    </row>
    <row r="569">
      <c r="A569" s="1" t="s">
        <v>717</v>
      </c>
      <c r="B569" s="1">
        <f t="shared" si="1"/>
        <v>57</v>
      </c>
      <c r="C569" s="1">
        <v>1.0</v>
      </c>
      <c r="D569" s="1">
        <v>0.0</v>
      </c>
      <c r="E569" s="1">
        <v>1.0</v>
      </c>
      <c r="F569" s="6">
        <v>1.0</v>
      </c>
      <c r="G569" s="1">
        <v>1.0</v>
      </c>
      <c r="H569" s="1">
        <v>0.0</v>
      </c>
      <c r="I569" s="1">
        <v>1.0</v>
      </c>
      <c r="J569" s="1">
        <v>1.0</v>
      </c>
      <c r="K569" s="1">
        <v>0.0</v>
      </c>
      <c r="L569" s="8" t="str">
        <f>vlookup(A569,salesx_all!B:E,2,0)</f>
        <v>Now What? A Story of Life Beyond Corporate Sales Success.</v>
      </c>
      <c r="M569" s="8" t="str">
        <f>vlookup(A569,salesx_all!B:D,3,0)</f>
        <v/>
      </c>
      <c r="N569" s="8" t="str">
        <f>vlookup(A569,salesx_all!B:E,4,0)</f>
        <v/>
      </c>
    </row>
    <row r="570">
      <c r="A570" s="1" t="s">
        <v>718</v>
      </c>
      <c r="B570" s="1">
        <f t="shared" si="1"/>
        <v>96</v>
      </c>
      <c r="C570" s="1">
        <v>1.0</v>
      </c>
      <c r="D570" s="1">
        <v>0.0</v>
      </c>
      <c r="E570" s="1">
        <v>1.0</v>
      </c>
      <c r="F570" s="6">
        <v>1.0</v>
      </c>
      <c r="G570" s="1">
        <v>1.0</v>
      </c>
      <c r="H570" s="1">
        <v>0.0</v>
      </c>
      <c r="I570" s="1">
        <v>1.0</v>
      </c>
      <c r="J570" s="1">
        <v>1.0</v>
      </c>
      <c r="K570" s="1">
        <v>6.0</v>
      </c>
      <c r="L570" s="8" t="str">
        <f>vlookup(A570,salesx_all!B:E,2,0)</f>
        <v>#N/A</v>
      </c>
      <c r="M570" s="8" t="str">
        <f>vlookup(A570,salesx_all!B:D,3,0)</f>
        <v>#N/A</v>
      </c>
      <c r="N570" s="8" t="str">
        <f>vlookup(A570,salesx_all!B:E,4,0)</f>
        <v>#N/A</v>
      </c>
    </row>
    <row r="571">
      <c r="A571" s="1" t="s">
        <v>719</v>
      </c>
      <c r="B571" s="1">
        <f t="shared" si="1"/>
        <v>67</v>
      </c>
      <c r="C571" s="1">
        <v>1.0</v>
      </c>
      <c r="D571" s="1">
        <v>0.0</v>
      </c>
      <c r="E571" s="1">
        <v>1.0</v>
      </c>
      <c r="F571" s="6">
        <v>0.0</v>
      </c>
      <c r="G571" s="1">
        <v>0.0</v>
      </c>
      <c r="H571" s="1">
        <v>1.0</v>
      </c>
      <c r="I571" s="1">
        <v>1.0</v>
      </c>
      <c r="J571" s="1">
        <v>1.0</v>
      </c>
      <c r="K571" s="1">
        <v>1.0</v>
      </c>
      <c r="L571" s="8" t="str">
        <f>vlookup(A571,salesx_all!B:E,2,0)</f>
        <v>#N/A</v>
      </c>
      <c r="M571" s="8" t="str">
        <f>vlookup(A571,salesx_all!B:D,3,0)</f>
        <v>#N/A</v>
      </c>
      <c r="N571" s="8" t="str">
        <f>vlookup(A571,salesx_all!B:E,4,0)</f>
        <v>#N/A</v>
      </c>
    </row>
    <row r="572">
      <c r="A572" s="1" t="s">
        <v>720</v>
      </c>
      <c r="B572" s="1">
        <f t="shared" si="1"/>
        <v>111</v>
      </c>
      <c r="C572" s="1">
        <v>1.0</v>
      </c>
      <c r="D572" s="1">
        <v>0.0</v>
      </c>
      <c r="E572" s="1">
        <v>1.0</v>
      </c>
      <c r="F572" s="6">
        <v>1.0</v>
      </c>
      <c r="G572" s="1">
        <v>1.0</v>
      </c>
      <c r="H572" s="1">
        <v>0.0</v>
      </c>
      <c r="I572" s="1">
        <v>1.0</v>
      </c>
      <c r="J572" s="1">
        <v>1.0</v>
      </c>
      <c r="K572" s="1">
        <v>0.0</v>
      </c>
      <c r="L572" s="8" t="str">
        <f>vlookup(A572,salesx_all!B:E,2,0)</f>
        <v>#N/A</v>
      </c>
      <c r="M572" s="8" t="str">
        <f>vlookup(A572,salesx_all!B:D,3,0)</f>
        <v>#N/A</v>
      </c>
      <c r="N572" s="8" t="str">
        <f>vlookup(A572,salesx_all!B:E,4,0)</f>
        <v>#N/A</v>
      </c>
    </row>
    <row r="573">
      <c r="A573" s="1" t="s">
        <v>721</v>
      </c>
      <c r="B573" s="1">
        <f t="shared" si="1"/>
        <v>37</v>
      </c>
      <c r="C573" s="1">
        <v>1.0</v>
      </c>
      <c r="D573" s="1">
        <v>0.0</v>
      </c>
      <c r="E573" s="1">
        <v>1.0</v>
      </c>
      <c r="F573" s="6">
        <v>1.0</v>
      </c>
      <c r="G573" s="1">
        <v>1.0</v>
      </c>
      <c r="H573" s="1">
        <v>0.0</v>
      </c>
      <c r="I573" s="1">
        <v>1.0</v>
      </c>
      <c r="J573" s="1">
        <v>1.0</v>
      </c>
      <c r="K573" s="1">
        <v>0.0</v>
      </c>
      <c r="L573" s="8" t="str">
        <f>vlookup(A573,salesx_all!B:E,2,0)</f>
        <v>#N/A</v>
      </c>
      <c r="M573" s="8" t="str">
        <f>vlookup(A573,salesx_all!B:D,3,0)</f>
        <v>#N/A</v>
      </c>
      <c r="N573" s="8" t="str">
        <f>vlookup(A573,salesx_all!B:E,4,0)</f>
        <v>#N/A</v>
      </c>
    </row>
    <row r="574">
      <c r="A574" s="1" t="s">
        <v>722</v>
      </c>
      <c r="B574" s="1">
        <f t="shared" si="1"/>
        <v>61</v>
      </c>
      <c r="C574" s="1">
        <v>1.0</v>
      </c>
      <c r="D574" s="1">
        <v>0.0</v>
      </c>
      <c r="E574" s="1">
        <v>1.0</v>
      </c>
      <c r="F574" s="6">
        <v>1.0</v>
      </c>
      <c r="G574" s="1">
        <v>1.0</v>
      </c>
      <c r="H574" s="1">
        <v>0.0</v>
      </c>
      <c r="I574" s="1">
        <v>1.0</v>
      </c>
      <c r="J574" s="1">
        <v>1.0</v>
      </c>
      <c r="K574" s="1">
        <v>0.0</v>
      </c>
      <c r="L574" s="8" t="str">
        <f>vlookup(A574,salesx_all!B:E,2,0)</f>
        <v>#N/A</v>
      </c>
      <c r="M574" s="8" t="str">
        <f>vlookup(A574,salesx_all!B:D,3,0)</f>
        <v>#N/A</v>
      </c>
      <c r="N574" s="8" t="str">
        <f>vlookup(A574,salesx_all!B:E,4,0)</f>
        <v>#N/A</v>
      </c>
    </row>
    <row r="575">
      <c r="A575" s="1" t="s">
        <v>723</v>
      </c>
      <c r="B575" s="1">
        <f t="shared" si="1"/>
        <v>18</v>
      </c>
      <c r="C575" s="1">
        <v>1.0</v>
      </c>
      <c r="D575" s="1">
        <v>0.0</v>
      </c>
      <c r="E575" s="1">
        <v>1.0</v>
      </c>
      <c r="F575" s="6">
        <v>0.0</v>
      </c>
      <c r="G575" s="1">
        <v>0.0</v>
      </c>
      <c r="H575" s="1">
        <v>1.0</v>
      </c>
      <c r="I575" s="1">
        <v>1.0</v>
      </c>
      <c r="J575" s="1">
        <v>1.0</v>
      </c>
      <c r="K575" s="1">
        <v>6.0</v>
      </c>
      <c r="L575" s="8" t="str">
        <f>vlookup(A575,salesx_all!B:E,2,0)</f>
        <v>Resource Sitemap</v>
      </c>
      <c r="M575" s="8" t="str">
        <f>vlookup(A575,salesx_all!B:D,3,0)</f>
        <v/>
      </c>
      <c r="N575" s="8" t="str">
        <f>vlookup(A575,salesx_all!B:E,4,0)</f>
        <v/>
      </c>
    </row>
    <row r="576">
      <c r="A576" s="1" t="s">
        <v>724</v>
      </c>
      <c r="B576" s="1">
        <f t="shared" si="1"/>
        <v>11</v>
      </c>
      <c r="C576" s="1">
        <v>1.0</v>
      </c>
      <c r="D576" s="1">
        <v>0.0</v>
      </c>
      <c r="E576" s="1">
        <v>1.0</v>
      </c>
      <c r="F576" s="6">
        <v>1.0</v>
      </c>
      <c r="G576" s="1">
        <v>1.0</v>
      </c>
      <c r="H576" s="1">
        <v>0.0</v>
      </c>
      <c r="I576" s="1">
        <v>1.0</v>
      </c>
      <c r="J576" s="1">
        <v>1.0</v>
      </c>
      <c r="K576" s="1">
        <v>0.0</v>
      </c>
      <c r="L576" s="8" t="str">
        <f>vlookup(A576,salesx_all!B:E,2,0)</f>
        <v>#N/A</v>
      </c>
      <c r="M576" s="8" t="str">
        <f>vlookup(A576,salesx_all!B:D,3,0)</f>
        <v>#N/A</v>
      </c>
      <c r="N576" s="8" t="str">
        <f>vlookup(A576,salesx_all!B:E,4,0)</f>
        <v>#N/A</v>
      </c>
    </row>
    <row r="577">
      <c r="A577" s="1" t="s">
        <v>725</v>
      </c>
      <c r="B577" s="1">
        <f t="shared" si="1"/>
        <v>26</v>
      </c>
      <c r="C577" s="1">
        <v>1.0</v>
      </c>
      <c r="D577" s="1">
        <v>0.0</v>
      </c>
      <c r="E577" s="1">
        <v>1.0</v>
      </c>
      <c r="F577" s="6">
        <v>1.0</v>
      </c>
      <c r="G577" s="1">
        <v>1.0</v>
      </c>
      <c r="H577" s="1">
        <v>0.0</v>
      </c>
      <c r="I577" s="1">
        <v>1.0</v>
      </c>
      <c r="J577" s="1">
        <v>1.0</v>
      </c>
      <c r="K577" s="1">
        <v>0.0</v>
      </c>
      <c r="L577" s="8" t="str">
        <f>vlookup(A577,salesx_all!B:E,2,0)</f>
        <v/>
      </c>
      <c r="M577" s="8" t="str">
        <f>vlookup(A577,salesx_all!B:D,3,0)</f>
        <v/>
      </c>
      <c r="N577" s="8" t="str">
        <f>vlookup(A577,salesx_all!B:E,4,0)</f>
        <v/>
      </c>
    </row>
    <row r="578">
      <c r="A578" s="1" t="s">
        <v>726</v>
      </c>
      <c r="B578" s="1">
        <f t="shared" si="1"/>
        <v>58</v>
      </c>
      <c r="C578" s="1">
        <v>1.0</v>
      </c>
      <c r="D578" s="1">
        <v>0.0</v>
      </c>
      <c r="E578" s="1">
        <v>1.0</v>
      </c>
      <c r="F578" s="6">
        <v>1.0</v>
      </c>
      <c r="G578" s="1">
        <v>1.0</v>
      </c>
      <c r="H578" s="1">
        <v>0.0</v>
      </c>
      <c r="I578" s="1">
        <v>0.0</v>
      </c>
      <c r="J578" s="1">
        <v>1.0</v>
      </c>
      <c r="K578" s="1">
        <v>0.0</v>
      </c>
      <c r="L578" s="8" t="str">
        <f>vlookup(A578,salesx_all!B:E,2,0)</f>
        <v>#N/A</v>
      </c>
      <c r="M578" s="8" t="str">
        <f>vlookup(A578,salesx_all!B:D,3,0)</f>
        <v>#N/A</v>
      </c>
      <c r="N578" s="8" t="str">
        <f>vlookup(A578,salesx_all!B:E,4,0)</f>
        <v>#N/A</v>
      </c>
    </row>
    <row r="579">
      <c r="A579" s="1" t="s">
        <v>727</v>
      </c>
      <c r="B579" s="1">
        <f t="shared" si="1"/>
        <v>62</v>
      </c>
      <c r="C579" s="1">
        <v>1.0</v>
      </c>
      <c r="D579" s="1">
        <v>0.0</v>
      </c>
      <c r="E579" s="1">
        <v>1.0</v>
      </c>
      <c r="F579" s="6">
        <v>1.0</v>
      </c>
      <c r="G579" s="1">
        <v>1.0</v>
      </c>
      <c r="H579" s="1">
        <v>0.0</v>
      </c>
      <c r="I579" s="1">
        <v>1.0</v>
      </c>
      <c r="J579" s="1">
        <v>1.0</v>
      </c>
      <c r="K579" s="1">
        <v>4.0</v>
      </c>
      <c r="L579" s="8" t="str">
        <f>vlookup(A579,salesx_all!B:E,2,0)</f>
        <v>Revealed: The Surprising Identity of Your Fiercest Competitor</v>
      </c>
      <c r="M579" s="8" t="str">
        <f>vlookup(A579,salesx_all!B:D,3,0)</f>
        <v/>
      </c>
      <c r="N579" s="8" t="str">
        <f>vlookup(A579,salesx_all!B:E,4,0)</f>
        <v/>
      </c>
    </row>
    <row r="580">
      <c r="A580" s="1" t="s">
        <v>728</v>
      </c>
      <c r="B580" s="1">
        <f t="shared" si="1"/>
        <v>7</v>
      </c>
      <c r="C580" s="1">
        <v>1.0</v>
      </c>
      <c r="D580" s="1">
        <v>0.0</v>
      </c>
      <c r="E580" s="1">
        <v>1.0</v>
      </c>
      <c r="F580" s="6">
        <v>1.0</v>
      </c>
      <c r="G580" s="1">
        <v>1.0</v>
      </c>
      <c r="H580" s="1">
        <v>0.0</v>
      </c>
      <c r="I580" s="1">
        <v>1.0</v>
      </c>
      <c r="J580" s="1">
        <v>1.0</v>
      </c>
      <c r="K580" s="1">
        <v>0.0</v>
      </c>
      <c r="L580" s="8" t="str">
        <f>vlookup(A580,salesx_all!B:E,2,0)</f>
        <v>#N/A</v>
      </c>
      <c r="M580" s="8" t="str">
        <f>vlookup(A580,salesx_all!B:D,3,0)</f>
        <v>#N/A</v>
      </c>
      <c r="N580" s="8" t="str">
        <f>vlookup(A580,salesx_all!B:E,4,0)</f>
        <v>#N/A</v>
      </c>
    </row>
    <row r="581">
      <c r="A581" s="1" t="s">
        <v>729</v>
      </c>
      <c r="B581" s="1">
        <f t="shared" si="1"/>
        <v>45</v>
      </c>
      <c r="C581" s="1">
        <v>1.0</v>
      </c>
      <c r="D581" s="1">
        <v>0.0</v>
      </c>
      <c r="E581" s="1">
        <v>1.0</v>
      </c>
      <c r="F581" s="6">
        <v>1.0</v>
      </c>
      <c r="G581" s="1">
        <v>1.0</v>
      </c>
      <c r="H581" s="1">
        <v>0.0</v>
      </c>
      <c r="I581" s="1">
        <v>0.0</v>
      </c>
      <c r="J581" s="1">
        <v>1.0</v>
      </c>
      <c r="K581" s="1">
        <v>0.0</v>
      </c>
      <c r="L581" s="8" t="str">
        <f>vlookup(A581,salesx_all!B:E,2,0)</f>
        <v>#N/A</v>
      </c>
      <c r="M581" s="8" t="str">
        <f>vlookup(A581,salesx_all!B:D,3,0)</f>
        <v>#N/A</v>
      </c>
      <c r="N581" s="8" t="str">
        <f>vlookup(A581,salesx_all!B:E,4,0)</f>
        <v>#N/A</v>
      </c>
    </row>
    <row r="582">
      <c r="A582" s="1" t="s">
        <v>730</v>
      </c>
      <c r="B582" s="1">
        <f t="shared" si="1"/>
        <v>41</v>
      </c>
      <c r="C582" s="1">
        <v>1.0</v>
      </c>
      <c r="D582" s="1">
        <v>0.0</v>
      </c>
      <c r="E582" s="1">
        <v>1.0</v>
      </c>
      <c r="F582" s="6">
        <v>1.0</v>
      </c>
      <c r="G582" s="1">
        <v>1.0</v>
      </c>
      <c r="H582" s="1">
        <v>0.0</v>
      </c>
      <c r="I582" s="1">
        <v>1.0</v>
      </c>
      <c r="J582" s="1">
        <v>1.0</v>
      </c>
      <c r="K582" s="1">
        <v>0.0</v>
      </c>
      <c r="L582" s="8" t="str">
        <f>vlookup(A582,salesx_all!B:E,2,0)</f>
        <v>#N/A</v>
      </c>
      <c r="M582" s="8" t="str">
        <f>vlookup(A582,salesx_all!B:D,3,0)</f>
        <v>#N/A</v>
      </c>
      <c r="N582" s="8" t="str">
        <f>vlookup(A582,salesx_all!B:E,4,0)</f>
        <v>#N/A</v>
      </c>
    </row>
    <row r="583">
      <c r="A583" s="1" t="s">
        <v>731</v>
      </c>
      <c r="B583" s="1">
        <f t="shared" si="1"/>
        <v>37</v>
      </c>
      <c r="C583" s="1">
        <v>1.0</v>
      </c>
      <c r="D583" s="1">
        <v>0.0</v>
      </c>
      <c r="E583" s="1">
        <v>1.0</v>
      </c>
      <c r="F583" s="6">
        <v>1.0</v>
      </c>
      <c r="G583" s="1">
        <v>1.0</v>
      </c>
      <c r="H583" s="1">
        <v>0.0</v>
      </c>
      <c r="I583" s="1">
        <v>1.0</v>
      </c>
      <c r="J583" s="1">
        <v>1.0</v>
      </c>
      <c r="K583" s="1">
        <v>0.0</v>
      </c>
      <c r="L583" s="8" t="str">
        <f>vlookup(A583,salesx_all!B:E,2,0)</f>
        <v>#N/A</v>
      </c>
      <c r="M583" s="8" t="str">
        <f>vlookup(A583,salesx_all!B:D,3,0)</f>
        <v>#N/A</v>
      </c>
      <c r="N583" s="8" t="str">
        <f>vlookup(A583,salesx_all!B:E,4,0)</f>
        <v>#N/A</v>
      </c>
    </row>
    <row r="584">
      <c r="A584" s="1" t="s">
        <v>732</v>
      </c>
      <c r="B584" s="1">
        <f t="shared" si="1"/>
        <v>37</v>
      </c>
      <c r="C584" s="1">
        <v>1.0</v>
      </c>
      <c r="D584" s="1">
        <v>0.0</v>
      </c>
      <c r="E584" s="1">
        <v>1.0</v>
      </c>
      <c r="F584" s="6">
        <v>1.0</v>
      </c>
      <c r="G584" s="1">
        <v>1.0</v>
      </c>
      <c r="H584" s="1">
        <v>0.0</v>
      </c>
      <c r="I584" s="1">
        <v>1.0</v>
      </c>
      <c r="J584" s="1">
        <v>1.0</v>
      </c>
      <c r="K584" s="1">
        <v>0.0</v>
      </c>
      <c r="L584" s="8" t="str">
        <f>vlookup(A584,salesx_all!B:E,2,0)</f>
        <v>#N/A</v>
      </c>
      <c r="M584" s="8" t="str">
        <f>vlookup(A584,salesx_all!B:D,3,0)</f>
        <v>#N/A</v>
      </c>
      <c r="N584" s="8" t="str">
        <f>vlookup(A584,salesx_all!B:E,4,0)</f>
        <v>#N/A</v>
      </c>
    </row>
    <row r="585">
      <c r="A585" s="1" t="s">
        <v>733</v>
      </c>
      <c r="B585" s="1">
        <f t="shared" si="1"/>
        <v>36</v>
      </c>
      <c r="C585" s="1">
        <v>1.0</v>
      </c>
      <c r="D585" s="1">
        <v>0.0</v>
      </c>
      <c r="E585" s="1">
        <v>1.0</v>
      </c>
      <c r="F585" s="6">
        <v>1.0</v>
      </c>
      <c r="G585" s="1">
        <v>1.0</v>
      </c>
      <c r="H585" s="1">
        <v>0.0</v>
      </c>
      <c r="I585" s="1">
        <v>1.0</v>
      </c>
      <c r="J585" s="1">
        <v>1.0</v>
      </c>
      <c r="K585" s="1">
        <v>0.0</v>
      </c>
      <c r="L585" s="8" t="str">
        <f>vlookup(A585,salesx_all!B:E,2,0)</f>
        <v>#N/A</v>
      </c>
      <c r="M585" s="8" t="str">
        <f>vlookup(A585,salesx_all!B:D,3,0)</f>
        <v>#N/A</v>
      </c>
      <c r="N585" s="8" t="str">
        <f>vlookup(A585,salesx_all!B:E,4,0)</f>
        <v>#N/A</v>
      </c>
    </row>
    <row r="586">
      <c r="A586" s="1" t="s">
        <v>734</v>
      </c>
      <c r="B586" s="1">
        <f t="shared" si="1"/>
        <v>40</v>
      </c>
      <c r="C586" s="1">
        <v>1.0</v>
      </c>
      <c r="D586" s="1">
        <v>0.0</v>
      </c>
      <c r="E586" s="1">
        <v>1.0</v>
      </c>
      <c r="F586" s="6">
        <v>1.0</v>
      </c>
      <c r="G586" s="1">
        <v>1.0</v>
      </c>
      <c r="H586" s="1">
        <v>0.0</v>
      </c>
      <c r="I586" s="1">
        <v>1.0</v>
      </c>
      <c r="J586" s="1">
        <v>1.0</v>
      </c>
      <c r="K586" s="1">
        <v>0.0</v>
      </c>
      <c r="L586" s="8" t="str">
        <f>vlookup(A586,salesx_all!B:E,2,0)</f>
        <v>#N/A</v>
      </c>
      <c r="M586" s="8" t="str">
        <f>vlookup(A586,salesx_all!B:D,3,0)</f>
        <v>#N/A</v>
      </c>
      <c r="N586" s="8" t="str">
        <f>vlookup(A586,salesx_all!B:E,4,0)</f>
        <v>#N/A</v>
      </c>
    </row>
    <row r="587">
      <c r="A587" s="1" t="s">
        <v>735</v>
      </c>
      <c r="B587" s="1">
        <f t="shared" si="1"/>
        <v>40</v>
      </c>
      <c r="C587" s="1">
        <v>1.0</v>
      </c>
      <c r="D587" s="1">
        <v>0.0</v>
      </c>
      <c r="E587" s="1">
        <v>1.0</v>
      </c>
      <c r="F587" s="6">
        <v>1.0</v>
      </c>
      <c r="G587" s="1">
        <v>1.0</v>
      </c>
      <c r="H587" s="1">
        <v>0.0</v>
      </c>
      <c r="I587" s="1">
        <v>1.0</v>
      </c>
      <c r="J587" s="1">
        <v>1.0</v>
      </c>
      <c r="K587" s="1">
        <v>0.0</v>
      </c>
      <c r="L587" s="8" t="str">
        <f>vlookup(A587,salesx_all!B:E,2,0)</f>
        <v>#N/A</v>
      </c>
      <c r="M587" s="8" t="str">
        <f>vlookup(A587,salesx_all!B:D,3,0)</f>
        <v>#N/A</v>
      </c>
      <c r="N587" s="8" t="str">
        <f>vlookup(A587,salesx_all!B:E,4,0)</f>
        <v>#N/A</v>
      </c>
    </row>
    <row r="588">
      <c r="A588" s="1" t="s">
        <v>736</v>
      </c>
      <c r="B588" s="1">
        <f t="shared" si="1"/>
        <v>29</v>
      </c>
      <c r="C588" s="1">
        <v>1.0</v>
      </c>
      <c r="D588" s="1">
        <v>0.0</v>
      </c>
      <c r="E588" s="1">
        <v>1.0</v>
      </c>
      <c r="F588" s="6">
        <v>1.0</v>
      </c>
      <c r="G588" s="1">
        <v>1.0</v>
      </c>
      <c r="H588" s="1">
        <v>0.0</v>
      </c>
      <c r="I588" s="1">
        <v>1.0</v>
      </c>
      <c r="J588" s="1">
        <v>1.0</v>
      </c>
      <c r="K588" s="1">
        <v>0.0</v>
      </c>
      <c r="L588" s="8" t="str">
        <f>vlookup(A588,salesx_all!B:E,2,0)</f>
        <v>#N/A</v>
      </c>
      <c r="M588" s="8" t="str">
        <f>vlookup(A588,salesx_all!B:D,3,0)</f>
        <v>#N/A</v>
      </c>
      <c r="N588" s="8" t="str">
        <f>vlookup(A588,salesx_all!B:E,4,0)</f>
        <v>#N/A</v>
      </c>
    </row>
    <row r="589">
      <c r="A589" s="1" t="s">
        <v>737</v>
      </c>
      <c r="B589" s="1">
        <f t="shared" si="1"/>
        <v>19</v>
      </c>
      <c r="C589" s="1">
        <v>1.0</v>
      </c>
      <c r="D589" s="1">
        <v>0.0</v>
      </c>
      <c r="E589" s="1">
        <v>1.0</v>
      </c>
      <c r="F589" s="6">
        <v>1.0</v>
      </c>
      <c r="G589" s="1">
        <v>1.0</v>
      </c>
      <c r="H589" s="1">
        <v>0.0</v>
      </c>
      <c r="I589" s="1">
        <v>0.0</v>
      </c>
      <c r="J589" s="1">
        <v>1.0</v>
      </c>
      <c r="K589" s="1">
        <v>0.0</v>
      </c>
      <c r="L589" s="8" t="str">
        <f>vlookup(A589,salesx_all!B:E,2,0)</f>
        <v>#N/A</v>
      </c>
      <c r="M589" s="8" t="str">
        <f>vlookup(A589,salesx_all!B:D,3,0)</f>
        <v>#N/A</v>
      </c>
      <c r="N589" s="8" t="str">
        <f>vlookup(A589,salesx_all!B:E,4,0)</f>
        <v>#N/A</v>
      </c>
    </row>
    <row r="590">
      <c r="A590" s="1" t="s">
        <v>738</v>
      </c>
      <c r="B590" s="1">
        <f t="shared" si="1"/>
        <v>31</v>
      </c>
      <c r="C590" s="1">
        <v>1.0</v>
      </c>
      <c r="D590" s="1">
        <v>0.0</v>
      </c>
      <c r="E590" s="1">
        <v>1.0</v>
      </c>
      <c r="F590" s="6">
        <v>1.0</v>
      </c>
      <c r="G590" s="1">
        <v>1.0</v>
      </c>
      <c r="H590" s="1">
        <v>0.0</v>
      </c>
      <c r="I590" s="1">
        <v>1.0</v>
      </c>
      <c r="J590" s="1">
        <v>1.0</v>
      </c>
      <c r="K590" s="1">
        <v>0.0</v>
      </c>
      <c r="L590" s="8" t="str">
        <f>vlookup(A590,salesx_all!B:E,2,0)</f>
        <v>#N/A</v>
      </c>
      <c r="M590" s="8" t="str">
        <f>vlookup(A590,salesx_all!B:D,3,0)</f>
        <v>#N/A</v>
      </c>
      <c r="N590" s="8" t="str">
        <f>vlookup(A590,salesx_all!B:E,4,0)</f>
        <v>#N/A</v>
      </c>
    </row>
    <row r="591">
      <c r="A591" s="1" t="s">
        <v>739</v>
      </c>
      <c r="B591" s="1">
        <f t="shared" si="1"/>
        <v>38</v>
      </c>
      <c r="C591" s="1">
        <v>1.0</v>
      </c>
      <c r="D591" s="1">
        <v>0.0</v>
      </c>
      <c r="E591" s="1">
        <v>1.0</v>
      </c>
      <c r="F591" s="6">
        <v>1.0</v>
      </c>
      <c r="G591" s="1">
        <v>1.0</v>
      </c>
      <c r="H591" s="1">
        <v>0.0</v>
      </c>
      <c r="I591" s="1">
        <v>1.0</v>
      </c>
      <c r="J591" s="1">
        <v>1.0</v>
      </c>
      <c r="K591" s="1">
        <v>0.0</v>
      </c>
      <c r="L591" s="8" t="str">
        <f>vlookup(A591,salesx_all!B:E,2,0)</f>
        <v>Top Signs That Your Sales Compensation Plan is on Life Support</v>
      </c>
      <c r="M591" s="8" t="str">
        <f>vlookup(A591,salesx_all!B:D,3,0)</f>
        <v/>
      </c>
      <c r="N591" s="8" t="str">
        <f>vlookup(A591,salesx_all!B:E,4,0)</f>
        <v/>
      </c>
    </row>
    <row r="592">
      <c r="A592" s="1" t="s">
        <v>740</v>
      </c>
      <c r="B592" s="1">
        <f t="shared" si="1"/>
        <v>59</v>
      </c>
      <c r="C592" s="1">
        <v>1.0</v>
      </c>
      <c r="D592" s="1">
        <v>0.0</v>
      </c>
      <c r="E592" s="1">
        <v>1.0</v>
      </c>
      <c r="F592" s="6">
        <v>1.0</v>
      </c>
      <c r="G592" s="1">
        <v>1.0</v>
      </c>
      <c r="H592" s="1">
        <v>0.0</v>
      </c>
      <c r="I592" s="1">
        <v>1.0</v>
      </c>
      <c r="J592" s="1">
        <v>1.0</v>
      </c>
      <c r="K592" s="1">
        <v>0.0</v>
      </c>
      <c r="L592" s="8" t="str">
        <f>vlookup(A592,salesx_all!B:E,2,0)</f>
        <v>Sales Compensation Plans | Part II – What Should A Sales Comp Plan Look Like?</v>
      </c>
      <c r="M592" s="8" t="str">
        <f>vlookup(A592,salesx_all!B:D,3,0)</f>
        <v/>
      </c>
      <c r="N592" s="8" t="str">
        <f>vlookup(A592,salesx_all!B:E,4,0)</f>
        <v/>
      </c>
    </row>
    <row r="593">
      <c r="A593" s="1" t="s">
        <v>741</v>
      </c>
      <c r="B593" s="1">
        <f t="shared" si="1"/>
        <v>65</v>
      </c>
      <c r="C593" s="1">
        <v>1.0</v>
      </c>
      <c r="D593" s="1">
        <v>0.0</v>
      </c>
      <c r="E593" s="1">
        <v>1.0</v>
      </c>
      <c r="F593" s="6">
        <v>0.0</v>
      </c>
      <c r="G593" s="1">
        <v>1.0</v>
      </c>
      <c r="H593" s="1">
        <v>1.0</v>
      </c>
      <c r="I593" s="1">
        <v>1.0</v>
      </c>
      <c r="J593" s="1">
        <v>1.0</v>
      </c>
      <c r="K593" s="1">
        <v>1.0</v>
      </c>
      <c r="L593" s="8" t="str">
        <f>vlookup(A593,salesx_all!B:E,2,0)</f>
        <v>#N/A</v>
      </c>
      <c r="M593" s="8" t="str">
        <f>vlookup(A593,salesx_all!B:D,3,0)</f>
        <v>#N/A</v>
      </c>
      <c r="N593" s="8" t="str">
        <f>vlookup(A593,salesx_all!B:E,4,0)</f>
        <v>#N/A</v>
      </c>
    </row>
    <row r="594">
      <c r="A594" s="1" t="s">
        <v>742</v>
      </c>
      <c r="B594" s="1">
        <f t="shared" si="1"/>
        <v>90</v>
      </c>
      <c r="C594" s="1">
        <v>1.0</v>
      </c>
      <c r="D594" s="1">
        <v>0.0</v>
      </c>
      <c r="E594" s="1">
        <v>1.0</v>
      </c>
      <c r="F594" s="6">
        <v>1.0</v>
      </c>
      <c r="G594" s="1">
        <v>1.0</v>
      </c>
      <c r="H594" s="1">
        <v>0.0</v>
      </c>
      <c r="I594" s="1">
        <v>1.0</v>
      </c>
      <c r="J594" s="1">
        <v>1.0</v>
      </c>
      <c r="K594" s="1">
        <v>0.0</v>
      </c>
      <c r="L594" s="8" t="str">
        <f>vlookup(A594,salesx_all!B:E,2,0)</f>
        <v>Sales Growth Bottled Up? How Tech Company Leaders Can Break Free and Find Renewed Success</v>
      </c>
      <c r="M594" s="8" t="str">
        <f>vlookup(A594,salesx_all!B:D,3,0)</f>
        <v>Beyond the Bottle: Common Challenges and How to Fix Them</v>
      </c>
      <c r="N594" s="8" t="str">
        <f>vlookup(A594,salesx_all!B:E,4,0)</f>
        <v>Sales Methodology</v>
      </c>
    </row>
    <row r="595">
      <c r="A595" s="1" t="s">
        <v>743</v>
      </c>
      <c r="B595" s="1">
        <f t="shared" si="1"/>
        <v>43</v>
      </c>
      <c r="C595" s="1">
        <v>1.0</v>
      </c>
      <c r="D595" s="1">
        <v>0.0</v>
      </c>
      <c r="E595" s="1">
        <v>1.0</v>
      </c>
      <c r="F595" s="6">
        <v>1.0</v>
      </c>
      <c r="G595" s="1">
        <v>1.0</v>
      </c>
      <c r="H595" s="1">
        <v>0.0</v>
      </c>
      <c r="I595" s="1">
        <v>1.0</v>
      </c>
      <c r="J595" s="1">
        <v>1.0</v>
      </c>
      <c r="K595" s="1">
        <v>0.0</v>
      </c>
      <c r="L595" s="8" t="str">
        <f>vlookup(A595,salesx_all!B:E,2,0)</f>
        <v>Sales Hiring and Motivation in the Summertime</v>
      </c>
      <c r="M595" s="8" t="str">
        <f>vlookup(A595,salesx_all!B:D,3,0)</f>
        <v/>
      </c>
      <c r="N595" s="8" t="str">
        <f>vlookup(A595,salesx_all!B:E,4,0)</f>
        <v/>
      </c>
    </row>
    <row r="596">
      <c r="A596" s="1" t="s">
        <v>744</v>
      </c>
      <c r="B596" s="1">
        <f t="shared" si="1"/>
        <v>31</v>
      </c>
      <c r="C596" s="1">
        <v>1.0</v>
      </c>
      <c r="D596" s="1">
        <v>0.0</v>
      </c>
      <c r="E596" s="1">
        <v>1.0</v>
      </c>
      <c r="F596" s="6">
        <v>1.0</v>
      </c>
      <c r="G596" s="1">
        <v>1.0</v>
      </c>
      <c r="H596" s="1">
        <v>0.0</v>
      </c>
      <c r="I596" s="1">
        <v>1.0</v>
      </c>
      <c r="J596" s="1">
        <v>1.0</v>
      </c>
      <c r="K596" s="1">
        <v>0.0</v>
      </c>
      <c r="L596" s="8" t="str">
        <f>vlookup(A596,salesx_all!B:E,2,0)</f>
        <v>#N/A</v>
      </c>
      <c r="M596" s="8" t="str">
        <f>vlookup(A596,salesx_all!B:D,3,0)</f>
        <v>#N/A</v>
      </c>
      <c r="N596" s="8" t="str">
        <f>vlookup(A596,salesx_all!B:E,4,0)</f>
        <v>#N/A</v>
      </c>
    </row>
    <row r="597">
      <c r="A597" s="1" t="s">
        <v>745</v>
      </c>
      <c r="B597" s="1">
        <f t="shared" si="1"/>
        <v>28</v>
      </c>
      <c r="C597" s="1">
        <v>1.0</v>
      </c>
      <c r="D597" s="1">
        <v>0.0</v>
      </c>
      <c r="E597" s="1">
        <v>1.0</v>
      </c>
      <c r="F597" s="6">
        <v>1.0</v>
      </c>
      <c r="G597" s="1">
        <v>1.0</v>
      </c>
      <c r="H597" s="1">
        <v>0.0</v>
      </c>
      <c r="I597" s="1">
        <v>1.0</v>
      </c>
      <c r="J597" s="1">
        <v>1.0</v>
      </c>
      <c r="K597" s="1">
        <v>0.0</v>
      </c>
      <c r="L597" s="8" t="str">
        <f>vlookup(A597,salesx_all!B:E,2,0)</f>
        <v>#N/A</v>
      </c>
      <c r="M597" s="8" t="str">
        <f>vlookup(A597,salesx_all!B:D,3,0)</f>
        <v>#N/A</v>
      </c>
      <c r="N597" s="8" t="str">
        <f>vlookup(A597,salesx_all!B:E,4,0)</f>
        <v>#N/A</v>
      </c>
    </row>
    <row r="598">
      <c r="A598" s="1" t="s">
        <v>746</v>
      </c>
      <c r="B598" s="1">
        <f t="shared" si="1"/>
        <v>29</v>
      </c>
      <c r="C598" s="1">
        <v>1.0</v>
      </c>
      <c r="D598" s="1">
        <v>0.0</v>
      </c>
      <c r="E598" s="1">
        <v>1.0</v>
      </c>
      <c r="F598" s="6">
        <v>1.0</v>
      </c>
      <c r="G598" s="1">
        <v>1.0</v>
      </c>
      <c r="H598" s="1">
        <v>0.0</v>
      </c>
      <c r="I598" s="1">
        <v>1.0</v>
      </c>
      <c r="J598" s="1">
        <v>1.0</v>
      </c>
      <c r="K598" s="1">
        <v>0.0</v>
      </c>
      <c r="L598" s="8" t="str">
        <f>vlookup(A598,salesx_all!B:E,2,0)</f>
        <v>#N/A</v>
      </c>
      <c r="M598" s="8" t="str">
        <f>vlookup(A598,salesx_all!B:D,3,0)</f>
        <v>#N/A</v>
      </c>
      <c r="N598" s="8" t="str">
        <f>vlookup(A598,salesx_all!B:E,4,0)</f>
        <v>#N/A</v>
      </c>
    </row>
    <row r="599">
      <c r="A599" s="1" t="s">
        <v>747</v>
      </c>
      <c r="B599" s="1">
        <f t="shared" si="1"/>
        <v>27</v>
      </c>
      <c r="C599" s="1">
        <v>1.0</v>
      </c>
      <c r="D599" s="1">
        <v>0.0</v>
      </c>
      <c r="E599" s="1">
        <v>1.0</v>
      </c>
      <c r="F599" s="6">
        <v>0.0</v>
      </c>
      <c r="G599" s="1">
        <v>0.0</v>
      </c>
      <c r="H599" s="1">
        <v>1.0</v>
      </c>
      <c r="I599" s="1">
        <v>1.0</v>
      </c>
      <c r="J599" s="1">
        <v>1.0</v>
      </c>
      <c r="K599" s="1">
        <v>9.0</v>
      </c>
      <c r="L599" s="8" t="str">
        <f>vlookup(A599,salesx_all!B:E,2,0)</f>
        <v>Your Best Sales Training Tool: Ongoing Sales Management Coaching</v>
      </c>
      <c r="M599" s="8" t="str">
        <f>vlookup(A599,salesx_all!B:D,3,0)</f>
        <v/>
      </c>
      <c r="N599" s="8" t="str">
        <f>vlookup(A599,salesx_all!B:E,4,0)</f>
        <v/>
      </c>
    </row>
    <row r="600">
      <c r="A600" s="1" t="s">
        <v>748</v>
      </c>
      <c r="B600" s="1">
        <f t="shared" si="1"/>
        <v>21</v>
      </c>
      <c r="C600" s="1">
        <v>1.0</v>
      </c>
      <c r="D600" s="1">
        <v>0.0</v>
      </c>
      <c r="E600" s="1">
        <v>1.0</v>
      </c>
      <c r="F600" s="6">
        <v>1.0</v>
      </c>
      <c r="G600" s="1">
        <v>1.0</v>
      </c>
      <c r="H600" s="1">
        <v>0.0</v>
      </c>
      <c r="I600" s="1">
        <v>1.0</v>
      </c>
      <c r="J600" s="1">
        <v>1.0</v>
      </c>
      <c r="K600" s="1">
        <v>0.0</v>
      </c>
      <c r="L600" s="8" t="str">
        <f>vlookup(A600,salesx_all!B:E,2,0)</f>
        <v>#N/A</v>
      </c>
      <c r="M600" s="8" t="str">
        <f>vlookup(A600,salesx_all!B:D,3,0)</f>
        <v>#N/A</v>
      </c>
      <c r="N600" s="8" t="str">
        <f>vlookup(A600,salesx_all!B:E,4,0)</f>
        <v>#N/A</v>
      </c>
    </row>
    <row r="601">
      <c r="A601" s="1" t="s">
        <v>749</v>
      </c>
      <c r="B601" s="1">
        <f t="shared" si="1"/>
        <v>41</v>
      </c>
      <c r="C601" s="1">
        <v>1.0</v>
      </c>
      <c r="D601" s="1">
        <v>0.0</v>
      </c>
      <c r="E601" s="1">
        <v>1.0</v>
      </c>
      <c r="F601" s="6">
        <v>1.0</v>
      </c>
      <c r="G601" s="1">
        <v>1.0</v>
      </c>
      <c r="H601" s="1">
        <v>0.0</v>
      </c>
      <c r="I601" s="1">
        <v>1.0</v>
      </c>
      <c r="J601" s="1">
        <v>1.0</v>
      </c>
      <c r="K601" s="1">
        <v>1.0</v>
      </c>
      <c r="L601" s="8" t="str">
        <f>vlookup(A601,salesx_all!B:E,2,0)</f>
        <v>#N/A</v>
      </c>
      <c r="M601" s="8" t="str">
        <f>vlookup(A601,salesx_all!B:D,3,0)</f>
        <v>#N/A</v>
      </c>
      <c r="N601" s="8" t="str">
        <f>vlookup(A601,salesx_all!B:E,4,0)</f>
        <v>#N/A</v>
      </c>
    </row>
    <row r="602">
      <c r="A602" s="1" t="s">
        <v>750</v>
      </c>
      <c r="B602" s="1">
        <f t="shared" si="1"/>
        <v>28</v>
      </c>
      <c r="C602" s="1">
        <v>1.0</v>
      </c>
      <c r="D602" s="1">
        <v>0.0</v>
      </c>
      <c r="E602" s="1">
        <v>1.0</v>
      </c>
      <c r="F602" s="6">
        <v>1.0</v>
      </c>
      <c r="G602" s="1">
        <v>1.0</v>
      </c>
      <c r="H602" s="1">
        <v>0.0</v>
      </c>
      <c r="I602" s="1">
        <v>1.0</v>
      </c>
      <c r="J602" s="1">
        <v>1.0</v>
      </c>
      <c r="K602" s="1">
        <v>0.0</v>
      </c>
      <c r="L602" s="8" t="str">
        <f>vlookup(A602,salesx_all!B:E,2,0)</f>
        <v/>
      </c>
      <c r="M602" s="8" t="str">
        <f>vlookup(A602,salesx_all!B:D,3,0)</f>
        <v/>
      </c>
      <c r="N602" s="8" t="str">
        <f>vlookup(A602,salesx_all!B:E,4,0)</f>
        <v/>
      </c>
    </row>
    <row r="603">
      <c r="A603" s="1" t="s">
        <v>751</v>
      </c>
      <c r="B603" s="1">
        <f t="shared" si="1"/>
        <v>26</v>
      </c>
      <c r="C603" s="1">
        <v>1.0</v>
      </c>
      <c r="D603" s="1">
        <v>0.0</v>
      </c>
      <c r="E603" s="1">
        <v>1.0</v>
      </c>
      <c r="F603" s="6">
        <v>1.0</v>
      </c>
      <c r="G603" s="1">
        <v>1.0</v>
      </c>
      <c r="H603" s="1">
        <v>0.0</v>
      </c>
      <c r="I603" s="1">
        <v>1.0</v>
      </c>
      <c r="J603" s="1">
        <v>1.0</v>
      </c>
      <c r="K603" s="1">
        <v>0.0</v>
      </c>
      <c r="L603" s="8" t="str">
        <f>vlookup(A603,salesx_all!B:E,2,0)</f>
        <v>#N/A</v>
      </c>
      <c r="M603" s="8" t="str">
        <f>vlookup(A603,salesx_all!B:D,3,0)</f>
        <v>#N/A</v>
      </c>
      <c r="N603" s="8" t="str">
        <f>vlookup(A603,salesx_all!B:E,4,0)</f>
        <v>#N/A</v>
      </c>
    </row>
    <row r="604">
      <c r="A604" s="1" t="s">
        <v>752</v>
      </c>
      <c r="B604" s="1">
        <f t="shared" si="1"/>
        <v>40</v>
      </c>
      <c r="C604" s="1">
        <v>1.0</v>
      </c>
      <c r="D604" s="1">
        <v>0.0</v>
      </c>
      <c r="E604" s="1">
        <v>1.0</v>
      </c>
      <c r="F604" s="6">
        <v>0.0</v>
      </c>
      <c r="G604" s="1">
        <v>1.0</v>
      </c>
      <c r="H604" s="1">
        <v>1.0</v>
      </c>
      <c r="I604" s="1">
        <v>1.0</v>
      </c>
      <c r="J604" s="1">
        <v>1.0</v>
      </c>
      <c r="K604" s="1">
        <v>1.0</v>
      </c>
      <c r="L604" s="8" t="str">
        <f>vlookup(A604,salesx_all!B:E,2,0)</f>
        <v>Backstory for Sales Success: What Every Buyer Really Wants</v>
      </c>
      <c r="M604" s="8" t="str">
        <f>vlookup(A604,salesx_all!B:D,3,0)</f>
        <v/>
      </c>
      <c r="N604" s="8" t="str">
        <f>vlookup(A604,salesx_all!B:E,4,0)</f>
        <v/>
      </c>
    </row>
    <row r="605">
      <c r="A605" s="1" t="s">
        <v>753</v>
      </c>
      <c r="B605" s="1">
        <f t="shared" si="1"/>
        <v>48</v>
      </c>
      <c r="C605" s="1">
        <v>1.0</v>
      </c>
      <c r="D605" s="1">
        <v>0.0</v>
      </c>
      <c r="E605" s="1">
        <v>1.0</v>
      </c>
      <c r="F605" s="6">
        <v>1.0</v>
      </c>
      <c r="G605" s="1">
        <v>1.0</v>
      </c>
      <c r="H605" s="1">
        <v>0.0</v>
      </c>
      <c r="I605" s="1">
        <v>0.0</v>
      </c>
      <c r="J605" s="1">
        <v>1.0</v>
      </c>
      <c r="K605" s="1">
        <v>0.0</v>
      </c>
      <c r="L605" s="8" t="str">
        <f>vlookup(A605,salesx_all!B:E,2,0)</f>
        <v>#N/A</v>
      </c>
      <c r="M605" s="8" t="str">
        <f>vlookup(A605,salesx_all!B:D,3,0)</f>
        <v>#N/A</v>
      </c>
      <c r="N605" s="8" t="str">
        <f>vlookup(A605,salesx_all!B:E,4,0)</f>
        <v>#N/A</v>
      </c>
    </row>
    <row r="606">
      <c r="A606" s="1" t="s">
        <v>754</v>
      </c>
      <c r="B606" s="1">
        <f t="shared" si="1"/>
        <v>29</v>
      </c>
      <c r="C606" s="1">
        <v>1.0</v>
      </c>
      <c r="D606" s="1">
        <v>0.0</v>
      </c>
      <c r="E606" s="1">
        <v>1.0</v>
      </c>
      <c r="F606" s="6">
        <v>1.0</v>
      </c>
      <c r="G606" s="1">
        <v>1.0</v>
      </c>
      <c r="H606" s="1">
        <v>0.0</v>
      </c>
      <c r="I606" s="1">
        <v>1.0</v>
      </c>
      <c r="J606" s="1">
        <v>1.0</v>
      </c>
      <c r="K606" s="1">
        <v>0.0</v>
      </c>
      <c r="L606" s="8" t="str">
        <f>vlookup(A606,salesx_all!B:E,2,0)</f>
        <v>#N/A</v>
      </c>
      <c r="M606" s="8" t="str">
        <f>vlookup(A606,salesx_all!B:D,3,0)</f>
        <v>#N/A</v>
      </c>
      <c r="N606" s="8" t="str">
        <f>vlookup(A606,salesx_all!B:E,4,0)</f>
        <v>#N/A</v>
      </c>
    </row>
    <row r="607">
      <c r="A607" s="1" t="s">
        <v>755</v>
      </c>
      <c r="B607" s="1">
        <f t="shared" si="1"/>
        <v>27</v>
      </c>
      <c r="C607" s="1">
        <v>1.0</v>
      </c>
      <c r="D607" s="1">
        <v>0.0</v>
      </c>
      <c r="E607" s="1">
        <v>1.0</v>
      </c>
      <c r="F607" s="6">
        <v>1.0</v>
      </c>
      <c r="G607" s="1">
        <v>1.0</v>
      </c>
      <c r="H607" s="1">
        <v>0.0</v>
      </c>
      <c r="I607" s="1">
        <v>1.0</v>
      </c>
      <c r="J607" s="1">
        <v>1.0</v>
      </c>
      <c r="K607" s="1">
        <v>0.0</v>
      </c>
      <c r="L607" s="8" t="str">
        <f>vlookup(A607,salesx_all!B:E,2,0)</f>
        <v>#N/A</v>
      </c>
      <c r="M607" s="8" t="str">
        <f>vlookup(A607,salesx_all!B:D,3,0)</f>
        <v>#N/A</v>
      </c>
      <c r="N607" s="8" t="str">
        <f>vlookup(A607,salesx_all!B:E,4,0)</f>
        <v>#N/A</v>
      </c>
    </row>
    <row r="608">
      <c r="A608" s="1" t="s">
        <v>756</v>
      </c>
      <c r="B608" s="1">
        <f t="shared" si="1"/>
        <v>28</v>
      </c>
      <c r="C608" s="1">
        <v>1.0</v>
      </c>
      <c r="D608" s="1">
        <v>0.0</v>
      </c>
      <c r="E608" s="1">
        <v>1.0</v>
      </c>
      <c r="F608" s="6">
        <v>1.0</v>
      </c>
      <c r="G608" s="1">
        <v>1.0</v>
      </c>
      <c r="H608" s="1">
        <v>0.0</v>
      </c>
      <c r="I608" s="1">
        <v>0.0</v>
      </c>
      <c r="J608" s="1">
        <v>1.0</v>
      </c>
      <c r="K608" s="1">
        <v>0.0</v>
      </c>
      <c r="L608" s="8" t="str">
        <f>vlookup(A608,salesx_all!B:E,2,0)</f>
        <v>Selling in a 2D x 2S World</v>
      </c>
      <c r="M608" s="8" t="str">
        <f>vlookup(A608,salesx_all!B:D,3,0)</f>
        <v/>
      </c>
      <c r="N608" s="8" t="str">
        <f>vlookup(A608,salesx_all!B:E,4,0)</f>
        <v/>
      </c>
    </row>
    <row r="609">
      <c r="A609" s="1" t="s">
        <v>757</v>
      </c>
      <c r="B609" s="1">
        <f t="shared" si="1"/>
        <v>26</v>
      </c>
      <c r="C609" s="1">
        <v>1.0</v>
      </c>
      <c r="D609" s="1">
        <v>0.0</v>
      </c>
      <c r="E609" s="1">
        <v>1.0</v>
      </c>
      <c r="F609" s="6">
        <v>1.0</v>
      </c>
      <c r="G609" s="1">
        <v>1.0</v>
      </c>
      <c r="H609" s="1">
        <v>0.0</v>
      </c>
      <c r="I609" s="1">
        <v>0.0</v>
      </c>
      <c r="J609" s="1">
        <v>1.0</v>
      </c>
      <c r="K609" s="1">
        <v>0.0</v>
      </c>
      <c r="L609" s="8" t="str">
        <f>vlookup(A609,salesx_all!B:E,2,0)</f>
        <v>#N/A</v>
      </c>
      <c r="M609" s="8" t="str">
        <f>vlookup(A609,salesx_all!B:D,3,0)</f>
        <v>#N/A</v>
      </c>
      <c r="N609" s="8" t="str">
        <f>vlookup(A609,salesx_all!B:E,4,0)</f>
        <v>#N/A</v>
      </c>
    </row>
    <row r="610">
      <c r="A610" s="1" t="s">
        <v>758</v>
      </c>
      <c r="B610" s="1">
        <f t="shared" si="1"/>
        <v>27</v>
      </c>
      <c r="C610" s="1">
        <v>1.0</v>
      </c>
      <c r="D610" s="1">
        <v>0.0</v>
      </c>
      <c r="E610" s="1">
        <v>1.0</v>
      </c>
      <c r="F610" s="6">
        <v>1.0</v>
      </c>
      <c r="G610" s="1">
        <v>1.0</v>
      </c>
      <c r="H610" s="1">
        <v>0.0</v>
      </c>
      <c r="I610" s="1">
        <v>1.0</v>
      </c>
      <c r="J610" s="1">
        <v>1.0</v>
      </c>
      <c r="K610" s="1">
        <v>0.0</v>
      </c>
      <c r="L610" s="8" t="str">
        <f>vlookup(A610,salesx_all!B:E,2,0)</f>
        <v>#N/A</v>
      </c>
      <c r="M610" s="8" t="str">
        <f>vlookup(A610,salesx_all!B:D,3,0)</f>
        <v>#N/A</v>
      </c>
      <c r="N610" s="8" t="str">
        <f>vlookup(A610,salesx_all!B:E,4,0)</f>
        <v>#N/A</v>
      </c>
    </row>
    <row r="611">
      <c r="A611" s="1" t="s">
        <v>759</v>
      </c>
      <c r="B611" s="1">
        <f t="shared" si="1"/>
        <v>10</v>
      </c>
      <c r="C611" s="1">
        <v>1.0</v>
      </c>
      <c r="D611" s="1">
        <v>0.0</v>
      </c>
      <c r="E611" s="1">
        <v>1.0</v>
      </c>
      <c r="F611" s="6">
        <v>0.0</v>
      </c>
      <c r="G611" s="1">
        <v>1.0</v>
      </c>
      <c r="H611" s="1">
        <v>1.0</v>
      </c>
      <c r="I611" s="1">
        <v>1.0</v>
      </c>
      <c r="J611" s="1">
        <v>1.0</v>
      </c>
      <c r="K611" s="1">
        <v>20.0</v>
      </c>
      <c r="L611" s="8" t="str">
        <f>vlookup(A611,salesx_all!B:E,2,0)</f>
        <v>#N/A</v>
      </c>
      <c r="M611" s="8" t="str">
        <f>vlookup(A611,salesx_all!B:D,3,0)</f>
        <v>#N/A</v>
      </c>
      <c r="N611" s="8" t="str">
        <f>vlookup(A611,salesx_all!B:E,4,0)</f>
        <v>#N/A</v>
      </c>
    </row>
    <row r="612">
      <c r="A612" s="1" t="s">
        <v>760</v>
      </c>
      <c r="B612" s="1">
        <f t="shared" si="1"/>
        <v>68</v>
      </c>
      <c r="C612" s="1">
        <v>1.0</v>
      </c>
      <c r="D612" s="1">
        <v>0.0</v>
      </c>
      <c r="E612" s="1">
        <v>1.0</v>
      </c>
      <c r="F612" s="6">
        <v>1.0</v>
      </c>
      <c r="G612" s="1">
        <v>1.0</v>
      </c>
      <c r="H612" s="1">
        <v>0.0</v>
      </c>
      <c r="I612" s="1">
        <v>1.0</v>
      </c>
      <c r="J612" s="1">
        <v>1.0</v>
      </c>
      <c r="K612" s="1">
        <v>0.0</v>
      </c>
      <c r="L612" s="8" t="str">
        <f>vlookup(A612,salesx_all!B:E,2,0)</f>
        <v>#N/A</v>
      </c>
      <c r="M612" s="8" t="str">
        <f>vlookup(A612,salesx_all!B:D,3,0)</f>
        <v>#N/A</v>
      </c>
      <c r="N612" s="8" t="str">
        <f>vlookup(A612,salesx_all!B:E,4,0)</f>
        <v>#N/A</v>
      </c>
    </row>
    <row r="613">
      <c r="A613" s="1" t="s">
        <v>761</v>
      </c>
      <c r="B613" s="1">
        <f t="shared" si="1"/>
        <v>27</v>
      </c>
      <c r="C613" s="1">
        <v>1.0</v>
      </c>
      <c r="D613" s="1">
        <v>0.0</v>
      </c>
      <c r="E613" s="1">
        <v>1.0</v>
      </c>
      <c r="F613" s="6">
        <v>1.0</v>
      </c>
      <c r="G613" s="1">
        <v>1.0</v>
      </c>
      <c r="H613" s="1">
        <v>0.0</v>
      </c>
      <c r="I613" s="1">
        <v>1.0</v>
      </c>
      <c r="J613" s="1">
        <v>1.0</v>
      </c>
      <c r="K613" s="1">
        <v>0.0</v>
      </c>
      <c r="L613" s="8" t="str">
        <f>vlookup(A613,salesx_all!B:E,2,0)</f>
        <v>#N/A</v>
      </c>
      <c r="M613" s="8" t="str">
        <f>vlookup(A613,salesx_all!B:D,3,0)</f>
        <v>#N/A</v>
      </c>
      <c r="N613" s="8" t="str">
        <f>vlookup(A613,salesx_all!B:E,4,0)</f>
        <v>#N/A</v>
      </c>
    </row>
    <row r="614">
      <c r="A614" s="1" t="s">
        <v>762</v>
      </c>
      <c r="B614" s="1">
        <f t="shared" si="1"/>
        <v>66</v>
      </c>
      <c r="C614" s="1">
        <v>1.0</v>
      </c>
      <c r="D614" s="1">
        <v>0.0</v>
      </c>
      <c r="E614" s="1">
        <v>1.0</v>
      </c>
      <c r="F614" s="6">
        <v>1.0</v>
      </c>
      <c r="G614" s="1">
        <v>1.0</v>
      </c>
      <c r="H614" s="1">
        <v>0.0</v>
      </c>
      <c r="I614" s="1">
        <v>1.0</v>
      </c>
      <c r="J614" s="1">
        <v>1.0</v>
      </c>
      <c r="K614" s="1">
        <v>0.0</v>
      </c>
      <c r="L614" s="8" t="str">
        <f>vlookup(A614,salesx_all!B:E,2,0)</f>
        <v>#N/A</v>
      </c>
      <c r="M614" s="8" t="str">
        <f>vlookup(A614,salesx_all!B:D,3,0)</f>
        <v>#N/A</v>
      </c>
      <c r="N614" s="8" t="str">
        <f>vlookup(A614,salesx_all!B:E,4,0)</f>
        <v>#N/A</v>
      </c>
    </row>
    <row r="615">
      <c r="A615" s="1" t="s">
        <v>763</v>
      </c>
      <c r="B615" s="1">
        <f t="shared" si="1"/>
        <v>8</v>
      </c>
      <c r="C615" s="1">
        <v>1.0</v>
      </c>
      <c r="D615" s="1">
        <v>0.0</v>
      </c>
      <c r="E615" s="1">
        <v>1.0</v>
      </c>
      <c r="F615" s="6">
        <v>0.0</v>
      </c>
      <c r="G615" s="1">
        <v>0.0</v>
      </c>
      <c r="H615" s="1">
        <v>1.0</v>
      </c>
      <c r="I615" s="1">
        <v>1.0</v>
      </c>
      <c r="J615" s="1">
        <v>1.0</v>
      </c>
      <c r="K615" s="1">
        <v>0.0</v>
      </c>
      <c r="L615" s="8" t="str">
        <f>vlookup(A615,salesx_all!B:E,2,0)</f>
        <v>#N/A</v>
      </c>
      <c r="M615" s="8" t="str">
        <f>vlookup(A615,salesx_all!B:D,3,0)</f>
        <v>#N/A</v>
      </c>
      <c r="N615" s="8" t="str">
        <f>vlookup(A615,salesx_all!B:E,4,0)</f>
        <v>#N/A</v>
      </c>
    </row>
    <row r="616">
      <c r="A616" s="1" t="s">
        <v>764</v>
      </c>
      <c r="B616" s="1">
        <f t="shared" si="1"/>
        <v>8</v>
      </c>
      <c r="C616" s="1">
        <v>1.0</v>
      </c>
      <c r="D616" s="1">
        <v>0.0</v>
      </c>
      <c r="E616" s="1">
        <v>1.0</v>
      </c>
      <c r="F616" s="6">
        <v>0.0</v>
      </c>
      <c r="G616" s="1">
        <v>0.0</v>
      </c>
      <c r="H616" s="1">
        <v>1.0</v>
      </c>
      <c r="I616" s="1">
        <v>1.0</v>
      </c>
      <c r="J616" s="1">
        <v>1.0</v>
      </c>
      <c r="K616" s="1">
        <v>2.0</v>
      </c>
      <c r="L616" s="8" t="str">
        <f>vlookup(A616,salesx_all!B:E,2,0)</f>
        <v>#N/A</v>
      </c>
      <c r="M616" s="8" t="str">
        <f>vlookup(A616,salesx_all!B:D,3,0)</f>
        <v>#N/A</v>
      </c>
      <c r="N616" s="8" t="str">
        <f>vlookup(A616,salesx_all!B:E,4,0)</f>
        <v>#N/A</v>
      </c>
    </row>
    <row r="617">
      <c r="A617" s="1" t="s">
        <v>765</v>
      </c>
      <c r="B617" s="1">
        <f t="shared" si="1"/>
        <v>18</v>
      </c>
      <c r="C617" s="1">
        <v>1.0</v>
      </c>
      <c r="D617" s="1">
        <v>0.0</v>
      </c>
      <c r="E617" s="1">
        <v>1.0</v>
      </c>
      <c r="F617" s="6">
        <v>0.0</v>
      </c>
      <c r="G617" s="1">
        <v>0.0</v>
      </c>
      <c r="H617" s="1">
        <v>1.0</v>
      </c>
      <c r="I617" s="1">
        <v>1.0</v>
      </c>
      <c r="J617" s="1">
        <v>1.0</v>
      </c>
      <c r="K617" s="1">
        <v>4.0</v>
      </c>
      <c r="L617" s="8" t="str">
        <f>vlookup(A617,salesx_all!B:E,2,0)</f>
        <v>#N/A</v>
      </c>
      <c r="M617" s="8" t="str">
        <f>vlookup(A617,salesx_all!B:D,3,0)</f>
        <v>#N/A</v>
      </c>
      <c r="N617" s="8" t="str">
        <f>vlookup(A617,salesx_all!B:E,4,0)</f>
        <v>#N/A</v>
      </c>
    </row>
    <row r="618">
      <c r="A618" s="1" t="s">
        <v>766</v>
      </c>
      <c r="B618" s="1">
        <f t="shared" si="1"/>
        <v>12</v>
      </c>
      <c r="C618" s="1">
        <v>1.0</v>
      </c>
      <c r="D618" s="1">
        <v>0.0</v>
      </c>
      <c r="E618" s="1">
        <v>1.0</v>
      </c>
      <c r="F618" s="6">
        <v>0.0</v>
      </c>
      <c r="G618" s="1">
        <v>0.0</v>
      </c>
      <c r="H618" s="1">
        <v>1.0</v>
      </c>
      <c r="I618" s="1">
        <v>1.0</v>
      </c>
      <c r="J618" s="1">
        <v>1.0</v>
      </c>
      <c r="K618" s="1">
        <v>2.0</v>
      </c>
      <c r="L618" s="8" t="str">
        <f>vlookup(A618,salesx_all!B:E,2,0)</f>
        <v>#N/A</v>
      </c>
      <c r="M618" s="8" t="str">
        <f>vlookup(A618,salesx_all!B:D,3,0)</f>
        <v>#N/A</v>
      </c>
      <c r="N618" s="8" t="str">
        <f>vlookup(A618,salesx_all!B:E,4,0)</f>
        <v>#N/A</v>
      </c>
    </row>
    <row r="619">
      <c r="A619" s="1" t="s">
        <v>767</v>
      </c>
      <c r="B619" s="1">
        <f t="shared" si="1"/>
        <v>12</v>
      </c>
      <c r="C619" s="1">
        <v>1.0</v>
      </c>
      <c r="D619" s="1">
        <v>0.0</v>
      </c>
      <c r="E619" s="1">
        <v>1.0</v>
      </c>
      <c r="F619" s="6">
        <v>0.0</v>
      </c>
      <c r="G619" s="1">
        <v>0.0</v>
      </c>
      <c r="H619" s="1">
        <v>1.0</v>
      </c>
      <c r="I619" s="1">
        <v>1.0</v>
      </c>
      <c r="J619" s="1">
        <v>1.0</v>
      </c>
      <c r="K619" s="1">
        <v>3.0</v>
      </c>
      <c r="L619" s="8" t="str">
        <f>vlookup(A619,salesx_all!B:E,2,0)</f>
        <v>#N/A</v>
      </c>
      <c r="M619" s="8" t="str">
        <f>vlookup(A619,salesx_all!B:D,3,0)</f>
        <v>#N/A</v>
      </c>
      <c r="N619" s="8" t="str">
        <f>vlookup(A619,salesx_all!B:E,4,0)</f>
        <v>#N/A</v>
      </c>
    </row>
    <row r="620">
      <c r="A620" s="1" t="s">
        <v>768</v>
      </c>
      <c r="B620" s="1">
        <f t="shared" si="1"/>
        <v>12</v>
      </c>
      <c r="C620" s="1">
        <v>1.0</v>
      </c>
      <c r="D620" s="1">
        <v>0.0</v>
      </c>
      <c r="E620" s="1">
        <v>1.0</v>
      </c>
      <c r="F620" s="6">
        <v>0.0</v>
      </c>
      <c r="G620" s="1">
        <v>0.0</v>
      </c>
      <c r="H620" s="1">
        <v>1.0</v>
      </c>
      <c r="I620" s="1">
        <v>1.0</v>
      </c>
      <c r="J620" s="1">
        <v>1.0</v>
      </c>
      <c r="K620" s="1">
        <v>13.0</v>
      </c>
      <c r="L620" s="8" t="str">
        <f>vlookup(A620,salesx_all!B:E,2,0)</f>
        <v>#N/A</v>
      </c>
      <c r="M620" s="8" t="str">
        <f>vlookup(A620,salesx_all!B:D,3,0)</f>
        <v>#N/A</v>
      </c>
      <c r="N620" s="8" t="str">
        <f>vlookup(A620,salesx_all!B:E,4,0)</f>
        <v>#N/A</v>
      </c>
    </row>
    <row r="621">
      <c r="A621" s="1" t="s">
        <v>769</v>
      </c>
      <c r="B621" s="1">
        <f t="shared" si="1"/>
        <v>15</v>
      </c>
      <c r="C621" s="1">
        <v>1.0</v>
      </c>
      <c r="D621" s="1">
        <v>0.0</v>
      </c>
      <c r="E621" s="1">
        <v>1.0</v>
      </c>
      <c r="F621" s="6">
        <v>0.0</v>
      </c>
      <c r="G621" s="1">
        <v>0.0</v>
      </c>
      <c r="H621" s="1">
        <v>1.0</v>
      </c>
      <c r="I621" s="1">
        <v>1.0</v>
      </c>
      <c r="J621" s="1">
        <v>1.0</v>
      </c>
      <c r="K621" s="1">
        <v>3.0</v>
      </c>
      <c r="L621" s="8" t="str">
        <f>vlookup(A621,salesx_all!B:E,2,0)</f>
        <v>#N/A</v>
      </c>
      <c r="M621" s="8" t="str">
        <f>vlookup(A621,salesx_all!B:D,3,0)</f>
        <v>#N/A</v>
      </c>
      <c r="N621" s="8" t="str">
        <f>vlookup(A621,salesx_all!B:E,4,0)</f>
        <v>#N/A</v>
      </c>
    </row>
    <row r="622">
      <c r="A622" s="1" t="s">
        <v>770</v>
      </c>
      <c r="B622" s="1">
        <f t="shared" si="1"/>
        <v>9</v>
      </c>
      <c r="C622" s="1">
        <v>1.0</v>
      </c>
      <c r="D622" s="1">
        <v>0.0</v>
      </c>
      <c r="E622" s="1">
        <v>1.0</v>
      </c>
      <c r="F622" s="6">
        <v>0.0</v>
      </c>
      <c r="G622" s="1">
        <v>0.0</v>
      </c>
      <c r="H622" s="1">
        <v>1.0</v>
      </c>
      <c r="I622" s="1">
        <v>1.0</v>
      </c>
      <c r="J622" s="1">
        <v>1.0</v>
      </c>
      <c r="K622" s="1">
        <v>2.0</v>
      </c>
      <c r="L622" s="8" t="str">
        <f>vlookup(A622,salesx_all!B:E,2,0)</f>
        <v>#N/A</v>
      </c>
      <c r="M622" s="8" t="str">
        <f>vlookup(A622,salesx_all!B:D,3,0)</f>
        <v>#N/A</v>
      </c>
      <c r="N622" s="8" t="str">
        <f>vlookup(A622,salesx_all!B:E,4,0)</f>
        <v>#N/A</v>
      </c>
    </row>
    <row r="623">
      <c r="A623" s="1" t="s">
        <v>771</v>
      </c>
      <c r="B623" s="1">
        <f t="shared" si="1"/>
        <v>18</v>
      </c>
      <c r="C623" s="1">
        <v>1.0</v>
      </c>
      <c r="D623" s="1">
        <v>0.0</v>
      </c>
      <c r="E623" s="1">
        <v>1.0</v>
      </c>
      <c r="F623" s="6">
        <v>0.0</v>
      </c>
      <c r="G623" s="1">
        <v>0.0</v>
      </c>
      <c r="H623" s="1">
        <v>1.0</v>
      </c>
      <c r="I623" s="1">
        <v>1.0</v>
      </c>
      <c r="J623" s="1">
        <v>1.0</v>
      </c>
      <c r="K623" s="1">
        <v>2.0</v>
      </c>
      <c r="L623" s="8" t="str">
        <f>vlookup(A623,salesx_all!B:E,2,0)</f>
        <v>#N/A</v>
      </c>
      <c r="M623" s="8" t="str">
        <f>vlookup(A623,salesx_all!B:D,3,0)</f>
        <v>#N/A</v>
      </c>
      <c r="N623" s="8" t="str">
        <f>vlookup(A623,salesx_all!B:E,4,0)</f>
        <v>#N/A</v>
      </c>
    </row>
    <row r="624">
      <c r="A624" s="1" t="s">
        <v>772</v>
      </c>
      <c r="B624" s="1">
        <f t="shared" si="1"/>
        <v>20</v>
      </c>
      <c r="C624" s="1">
        <v>1.0</v>
      </c>
      <c r="D624" s="1">
        <v>0.0</v>
      </c>
      <c r="E624" s="1">
        <v>1.0</v>
      </c>
      <c r="F624" s="6">
        <v>0.0</v>
      </c>
      <c r="G624" s="1">
        <v>0.0</v>
      </c>
      <c r="H624" s="1">
        <v>1.0</v>
      </c>
      <c r="I624" s="1">
        <v>1.0</v>
      </c>
      <c r="J624" s="1">
        <v>1.0</v>
      </c>
      <c r="K624" s="1">
        <v>2.0</v>
      </c>
      <c r="L624" s="8" t="str">
        <f>vlookup(A624,salesx_all!B:E,2,0)</f>
        <v>#N/A</v>
      </c>
      <c r="M624" s="8" t="str">
        <f>vlookup(A624,salesx_all!B:D,3,0)</f>
        <v>#N/A</v>
      </c>
      <c r="N624" s="8" t="str">
        <f>vlookup(A624,salesx_all!B:E,4,0)</f>
        <v>#N/A</v>
      </c>
    </row>
    <row r="625">
      <c r="A625" s="1" t="s">
        <v>773</v>
      </c>
      <c r="B625" s="1">
        <f t="shared" si="1"/>
        <v>13</v>
      </c>
      <c r="C625" s="1">
        <v>1.0</v>
      </c>
      <c r="D625" s="1">
        <v>0.0</v>
      </c>
      <c r="E625" s="1">
        <v>1.0</v>
      </c>
      <c r="F625" s="6">
        <v>0.0</v>
      </c>
      <c r="G625" s="1">
        <v>0.0</v>
      </c>
      <c r="H625" s="1">
        <v>1.0</v>
      </c>
      <c r="I625" s="1">
        <v>1.0</v>
      </c>
      <c r="J625" s="1">
        <v>1.0</v>
      </c>
      <c r="K625" s="1">
        <v>4.0</v>
      </c>
      <c r="L625" s="8" t="str">
        <f>vlookup(A625,salesx_all!B:E,2,0)</f>
        <v>#N/A</v>
      </c>
      <c r="M625" s="8" t="str">
        <f>vlookup(A625,salesx_all!B:D,3,0)</f>
        <v>#N/A</v>
      </c>
      <c r="N625" s="8" t="str">
        <f>vlookup(A625,salesx_all!B:E,4,0)</f>
        <v>#N/A</v>
      </c>
    </row>
    <row r="626">
      <c r="A626" s="1" t="s">
        <v>774</v>
      </c>
      <c r="B626" s="1">
        <f t="shared" si="1"/>
        <v>17</v>
      </c>
      <c r="C626" s="1">
        <v>1.0</v>
      </c>
      <c r="D626" s="1">
        <v>0.0</v>
      </c>
      <c r="E626" s="1">
        <v>1.0</v>
      </c>
      <c r="F626" s="6">
        <v>0.0</v>
      </c>
      <c r="G626" s="1">
        <v>0.0</v>
      </c>
      <c r="H626" s="1">
        <v>1.0</v>
      </c>
      <c r="I626" s="1">
        <v>1.0</v>
      </c>
      <c r="J626" s="1">
        <v>1.0</v>
      </c>
      <c r="K626" s="1">
        <v>2.0</v>
      </c>
      <c r="L626" s="8" t="str">
        <f>vlookup(A626,salesx_all!B:E,2,0)</f>
        <v>#N/A</v>
      </c>
      <c r="M626" s="8" t="str">
        <f>vlookup(A626,salesx_all!B:D,3,0)</f>
        <v>#N/A</v>
      </c>
      <c r="N626" s="8" t="str">
        <f>vlookup(A626,salesx_all!B:E,4,0)</f>
        <v>#N/A</v>
      </c>
    </row>
    <row r="627">
      <c r="A627" s="1" t="s">
        <v>775</v>
      </c>
      <c r="B627" s="1">
        <f t="shared" si="1"/>
        <v>28</v>
      </c>
      <c r="C627" s="1">
        <v>1.0</v>
      </c>
      <c r="D627" s="1">
        <v>0.0</v>
      </c>
      <c r="E627" s="1">
        <v>1.0</v>
      </c>
      <c r="F627" s="6">
        <v>1.0</v>
      </c>
      <c r="G627" s="1">
        <v>1.0</v>
      </c>
      <c r="H627" s="1">
        <v>0.0</v>
      </c>
      <c r="I627" s="1">
        <v>1.0</v>
      </c>
      <c r="J627" s="1">
        <v>1.0</v>
      </c>
      <c r="K627" s="1">
        <v>0.0</v>
      </c>
      <c r="L627" s="8" t="str">
        <f>vlookup(A627,salesx_all!B:E,2,0)</f>
        <v>#N/A</v>
      </c>
      <c r="M627" s="8" t="str">
        <f>vlookup(A627,salesx_all!B:D,3,0)</f>
        <v>#N/A</v>
      </c>
      <c r="N627" s="8" t="str">
        <f>vlookup(A627,salesx_all!B:E,4,0)</f>
        <v>#N/A</v>
      </c>
    </row>
    <row r="628">
      <c r="A628" s="1" t="s">
        <v>776</v>
      </c>
      <c r="B628" s="1">
        <f t="shared" si="1"/>
        <v>39</v>
      </c>
      <c r="C628" s="1">
        <v>1.0</v>
      </c>
      <c r="D628" s="1">
        <v>0.0</v>
      </c>
      <c r="E628" s="1">
        <v>1.0</v>
      </c>
      <c r="F628" s="6">
        <v>1.0</v>
      </c>
      <c r="G628" s="1">
        <v>1.0</v>
      </c>
      <c r="H628" s="1">
        <v>0.0</v>
      </c>
      <c r="I628" s="1">
        <v>1.0</v>
      </c>
      <c r="J628" s="1">
        <v>1.0</v>
      </c>
      <c r="K628" s="1">
        <v>0.0</v>
      </c>
      <c r="L628" s="8" t="str">
        <f>vlookup(A628,salesx_all!B:E,2,0)</f>
        <v>#N/A</v>
      </c>
      <c r="M628" s="8" t="str">
        <f>vlookup(A628,salesx_all!B:D,3,0)</f>
        <v>#N/A</v>
      </c>
      <c r="N628" s="8" t="str">
        <f>vlookup(A628,salesx_all!B:E,4,0)</f>
        <v>#N/A</v>
      </c>
    </row>
    <row r="629">
      <c r="A629" s="1" t="s">
        <v>777</v>
      </c>
      <c r="B629" s="1">
        <f t="shared" si="1"/>
        <v>37</v>
      </c>
      <c r="C629" s="1">
        <v>1.0</v>
      </c>
      <c r="D629" s="1">
        <v>0.0</v>
      </c>
      <c r="E629" s="1">
        <v>1.0</v>
      </c>
      <c r="F629" s="6">
        <v>1.0</v>
      </c>
      <c r="G629" s="1">
        <v>1.0</v>
      </c>
      <c r="H629" s="1">
        <v>0.0</v>
      </c>
      <c r="I629" s="1">
        <v>1.0</v>
      </c>
      <c r="J629" s="1">
        <v>1.0</v>
      </c>
      <c r="K629" s="1">
        <v>0.0</v>
      </c>
      <c r="L629" s="8" t="str">
        <f>vlookup(A629,salesx_all!B:E,2,0)</f>
        <v>#N/A</v>
      </c>
      <c r="M629" s="8" t="str">
        <f>vlookup(A629,salesx_all!B:D,3,0)</f>
        <v>#N/A</v>
      </c>
      <c r="N629" s="8" t="str">
        <f>vlookup(A629,salesx_all!B:E,4,0)</f>
        <v>#N/A</v>
      </c>
    </row>
    <row r="630">
      <c r="A630" s="1" t="s">
        <v>778</v>
      </c>
      <c r="B630" s="1">
        <f t="shared" si="1"/>
        <v>38</v>
      </c>
      <c r="C630" s="1">
        <v>1.0</v>
      </c>
      <c r="D630" s="1">
        <v>0.0</v>
      </c>
      <c r="E630" s="1">
        <v>1.0</v>
      </c>
      <c r="F630" s="6">
        <v>1.0</v>
      </c>
      <c r="G630" s="1">
        <v>0.0</v>
      </c>
      <c r="H630" s="1">
        <v>0.0</v>
      </c>
      <c r="I630" s="1">
        <v>1.0</v>
      </c>
      <c r="J630" s="1">
        <v>1.0</v>
      </c>
      <c r="K630" s="1">
        <v>0.0</v>
      </c>
      <c r="L630" s="8" t="str">
        <f>vlookup(A630,salesx_all!B:E,2,0)</f>
        <v>Streamlining Sales Processes with AI</v>
      </c>
      <c r="M630" s="8" t="str">
        <f>vlookup(A630,salesx_all!B:D,3,0)</f>
        <v>Common Challenges in Sales Processes</v>
      </c>
      <c r="N630" s="8" t="str">
        <f>vlookup(A630,salesx_all!B:E,4,0)</f>
        <v>How AI Transforms Sales Processes</v>
      </c>
    </row>
    <row r="631">
      <c r="A631" s="1" t="s">
        <v>779</v>
      </c>
      <c r="B631" s="1">
        <f t="shared" si="1"/>
        <v>18</v>
      </c>
      <c r="C631" s="1">
        <v>1.0</v>
      </c>
      <c r="D631" s="1">
        <v>0.0</v>
      </c>
      <c r="E631" s="1">
        <v>1.0</v>
      </c>
      <c r="F631" s="6">
        <v>1.0</v>
      </c>
      <c r="G631" s="1">
        <v>1.0</v>
      </c>
      <c r="H631" s="1">
        <v>0.0</v>
      </c>
      <c r="I631" s="1">
        <v>1.0</v>
      </c>
      <c r="J631" s="1">
        <v>1.0</v>
      </c>
      <c r="K631" s="1">
        <v>0.0</v>
      </c>
      <c r="L631" s="8" t="str">
        <f>vlookup(A631,salesx_all!B:E,2,0)</f>
        <v>#N/A</v>
      </c>
      <c r="M631" s="8" t="str">
        <f>vlookup(A631,salesx_all!B:D,3,0)</f>
        <v>#N/A</v>
      </c>
      <c r="N631" s="8" t="str">
        <f>vlookup(A631,salesx_all!B:E,4,0)</f>
        <v>#N/A</v>
      </c>
    </row>
    <row r="632">
      <c r="A632" s="1" t="s">
        <v>780</v>
      </c>
      <c r="B632" s="1">
        <f t="shared" si="1"/>
        <v>59</v>
      </c>
      <c r="C632" s="1">
        <v>1.0</v>
      </c>
      <c r="D632" s="1">
        <v>0.0</v>
      </c>
      <c r="E632" s="1">
        <v>1.0</v>
      </c>
      <c r="F632" s="6">
        <v>0.0</v>
      </c>
      <c r="G632" s="1">
        <v>0.0</v>
      </c>
      <c r="H632" s="1">
        <v>1.0</v>
      </c>
      <c r="I632" s="1">
        <v>1.0</v>
      </c>
      <c r="J632" s="1">
        <v>1.0</v>
      </c>
      <c r="K632" s="1">
        <v>34.0</v>
      </c>
      <c r="L632" s="8" t="str">
        <f>vlookup(A632,salesx_all!B:E,2,0)</f>
        <v>Sales and Marketing Management – Tactics to Guarantee Your Team Will Dominate the New Year</v>
      </c>
      <c r="M632" s="8" t="str">
        <f>vlookup(A632,salesx_all!B:D,3,0)</f>
        <v>Tactics to Guarantee Your Team Will Dominate the New Year</v>
      </c>
      <c r="N632" s="8" t="str">
        <f>vlookup(A632,salesx_all!B:E,4,0)</f>
        <v/>
      </c>
    </row>
    <row r="633">
      <c r="A633" s="1" t="s">
        <v>781</v>
      </c>
      <c r="B633" s="1">
        <f t="shared" si="1"/>
        <v>31</v>
      </c>
      <c r="C633" s="1">
        <v>1.0</v>
      </c>
      <c r="D633" s="1">
        <v>0.0</v>
      </c>
      <c r="E633" s="1">
        <v>1.0</v>
      </c>
      <c r="F633" s="6">
        <v>1.0</v>
      </c>
      <c r="G633" s="1">
        <v>1.0</v>
      </c>
      <c r="H633" s="1">
        <v>0.0</v>
      </c>
      <c r="I633" s="1">
        <v>1.0</v>
      </c>
      <c r="J633" s="1">
        <v>1.0</v>
      </c>
      <c r="K633" s="1">
        <v>0.0</v>
      </c>
      <c r="L633" s="8" t="str">
        <f>vlookup(A633,salesx_all!B:E,2,0)</f>
        <v>#N/A</v>
      </c>
      <c r="M633" s="8" t="str">
        <f>vlookup(A633,salesx_all!B:D,3,0)</f>
        <v>#N/A</v>
      </c>
      <c r="N633" s="8" t="str">
        <f>vlookup(A633,salesx_all!B:E,4,0)</f>
        <v>#N/A</v>
      </c>
    </row>
    <row r="634">
      <c r="A634" s="1" t="s">
        <v>782</v>
      </c>
      <c r="B634" s="1">
        <f t="shared" si="1"/>
        <v>34</v>
      </c>
      <c r="C634" s="1">
        <v>1.0</v>
      </c>
      <c r="D634" s="1">
        <v>0.0</v>
      </c>
      <c r="E634" s="1">
        <v>1.0</v>
      </c>
      <c r="F634" s="6">
        <v>1.0</v>
      </c>
      <c r="G634" s="1">
        <v>1.0</v>
      </c>
      <c r="H634" s="1">
        <v>0.0</v>
      </c>
      <c r="I634" s="1">
        <v>1.0</v>
      </c>
      <c r="J634" s="1">
        <v>1.0</v>
      </c>
      <c r="K634" s="1">
        <v>1.0</v>
      </c>
      <c r="L634" s="8" t="str">
        <f>vlookup(A634,salesx_all!B:E,2,0)</f>
        <v>#N/A</v>
      </c>
      <c r="M634" s="8" t="str">
        <f>vlookup(A634,salesx_all!B:D,3,0)</f>
        <v>#N/A</v>
      </c>
      <c r="N634" s="8" t="str">
        <f>vlookup(A634,salesx_all!B:E,4,0)</f>
        <v>#N/A</v>
      </c>
    </row>
    <row r="635">
      <c r="A635" s="1" t="s">
        <v>783</v>
      </c>
      <c r="B635" s="1">
        <f t="shared" si="1"/>
        <v>81</v>
      </c>
      <c r="C635" s="1">
        <v>1.0</v>
      </c>
      <c r="D635" s="1">
        <v>0.0</v>
      </c>
      <c r="E635" s="1">
        <v>1.0</v>
      </c>
      <c r="F635" s="6">
        <v>1.0</v>
      </c>
      <c r="G635" s="1">
        <v>1.0</v>
      </c>
      <c r="H635" s="1">
        <v>0.0</v>
      </c>
      <c r="I635" s="1">
        <v>1.0</v>
      </c>
      <c r="J635" s="1">
        <v>1.0</v>
      </c>
      <c r="K635" s="1">
        <v>0.0</v>
      </c>
      <c r="L635" s="8" t="str">
        <f>vlookup(A635,salesx_all!B:E,2,0)</f>
        <v>Forbes – The Business Process Outsourcing Trend: How BPO Benefits Businesses of All Sizes</v>
      </c>
      <c r="M635" s="8" t="str">
        <f>vlookup(A635,salesx_all!B:D,3,0)</f>
        <v/>
      </c>
      <c r="N635" s="8" t="str">
        <f>vlookup(A635,salesx_all!B:E,4,0)</f>
        <v/>
      </c>
    </row>
    <row r="636">
      <c r="A636" s="1" t="s">
        <v>784</v>
      </c>
      <c r="B636" s="1">
        <f t="shared" si="1"/>
        <v>52</v>
      </c>
      <c r="C636" s="1">
        <v>1.0</v>
      </c>
      <c r="D636" s="1">
        <v>0.0</v>
      </c>
      <c r="E636" s="1">
        <v>1.0</v>
      </c>
      <c r="F636" s="6">
        <v>1.0</v>
      </c>
      <c r="G636" s="1">
        <v>1.0</v>
      </c>
      <c r="H636" s="1">
        <v>0.0</v>
      </c>
      <c r="I636" s="1">
        <v>1.0</v>
      </c>
      <c r="J636" s="1">
        <v>1.0</v>
      </c>
      <c r="K636" s="1">
        <v>2.0</v>
      </c>
      <c r="L636" s="8" t="str">
        <f>vlookup(A636,salesx_all!B:E,2,0)</f>
        <v>#N/A</v>
      </c>
      <c r="M636" s="8" t="str">
        <f>vlookup(A636,salesx_all!B:D,3,0)</f>
        <v>#N/A</v>
      </c>
      <c r="N636" s="8" t="str">
        <f>vlookup(A636,salesx_all!B:E,4,0)</f>
        <v>#N/A</v>
      </c>
    </row>
    <row r="637">
      <c r="A637" s="1" t="s">
        <v>785</v>
      </c>
      <c r="B637" s="1">
        <f t="shared" si="1"/>
        <v>46</v>
      </c>
      <c r="C637" s="1">
        <v>1.0</v>
      </c>
      <c r="D637" s="1">
        <v>0.0</v>
      </c>
      <c r="E637" s="1">
        <v>1.0</v>
      </c>
      <c r="F637" s="6">
        <v>1.0</v>
      </c>
      <c r="G637" s="1">
        <v>1.0</v>
      </c>
      <c r="H637" s="1">
        <v>0.0</v>
      </c>
      <c r="I637" s="1">
        <v>1.0</v>
      </c>
      <c r="J637" s="1">
        <v>1.0</v>
      </c>
      <c r="K637" s="1">
        <v>0.0</v>
      </c>
      <c r="L637" s="8" t="str">
        <f>vlookup(A637,salesx_all!B:E,2,0)</f>
        <v>#N/A</v>
      </c>
      <c r="M637" s="8" t="str">
        <f>vlookup(A637,salesx_all!B:D,3,0)</f>
        <v>#N/A</v>
      </c>
      <c r="N637" s="8" t="str">
        <f>vlookup(A637,salesx_all!B:E,4,0)</f>
        <v>#N/A</v>
      </c>
    </row>
    <row r="638">
      <c r="A638" s="1" t="s">
        <v>786</v>
      </c>
      <c r="B638" s="1">
        <f t="shared" si="1"/>
        <v>59</v>
      </c>
      <c r="C638" s="1">
        <v>1.0</v>
      </c>
      <c r="D638" s="1">
        <v>0.0</v>
      </c>
      <c r="E638" s="1">
        <v>1.0</v>
      </c>
      <c r="F638" s="6">
        <v>1.0</v>
      </c>
      <c r="G638" s="1">
        <v>1.0</v>
      </c>
      <c r="H638" s="1">
        <v>0.0</v>
      </c>
      <c r="I638" s="1">
        <v>1.0</v>
      </c>
      <c r="J638" s="1">
        <v>1.0</v>
      </c>
      <c r="K638" s="1">
        <v>1.0</v>
      </c>
      <c r="L638" s="8" t="str">
        <f>vlookup(A638,salesx_all!B:E,2,0)</f>
        <v>#N/A</v>
      </c>
      <c r="M638" s="8" t="str">
        <f>vlookup(A638,salesx_all!B:D,3,0)</f>
        <v>#N/A</v>
      </c>
      <c r="N638" s="8" t="str">
        <f>vlookup(A638,salesx_all!B:E,4,0)</f>
        <v>#N/A</v>
      </c>
    </row>
    <row r="639">
      <c r="A639" s="1" t="s">
        <v>787</v>
      </c>
      <c r="B639" s="1">
        <f t="shared" si="1"/>
        <v>35</v>
      </c>
      <c r="C639" s="1">
        <v>1.0</v>
      </c>
      <c r="D639" s="1">
        <v>0.0</v>
      </c>
      <c r="E639" s="1">
        <v>1.0</v>
      </c>
      <c r="F639" s="6">
        <v>1.0</v>
      </c>
      <c r="G639" s="1">
        <v>1.0</v>
      </c>
      <c r="H639" s="1">
        <v>0.0</v>
      </c>
      <c r="I639" s="1">
        <v>1.0</v>
      </c>
      <c r="J639" s="1">
        <v>1.0</v>
      </c>
      <c r="K639" s="1">
        <v>0.0</v>
      </c>
      <c r="L639" s="8" t="str">
        <f>vlookup(A639,salesx_all!B:E,2,0)</f>
        <v>#N/A</v>
      </c>
      <c r="M639" s="8" t="str">
        <f>vlookup(A639,salesx_all!B:D,3,0)</f>
        <v>#N/A</v>
      </c>
      <c r="N639" s="8" t="str">
        <f>vlookup(A639,salesx_all!B:E,4,0)</f>
        <v>#N/A</v>
      </c>
    </row>
    <row r="640">
      <c r="A640" s="1" t="s">
        <v>788</v>
      </c>
      <c r="B640" s="1">
        <f t="shared" si="1"/>
        <v>91</v>
      </c>
      <c r="C640" s="1">
        <v>1.0</v>
      </c>
      <c r="D640" s="1">
        <v>0.0</v>
      </c>
      <c r="E640" s="1">
        <v>1.0</v>
      </c>
      <c r="F640" s="6">
        <v>1.0</v>
      </c>
      <c r="G640" s="1">
        <v>1.0</v>
      </c>
      <c r="H640" s="1">
        <v>0.0</v>
      </c>
      <c r="I640" s="1">
        <v>1.0</v>
      </c>
      <c r="J640" s="1">
        <v>1.0</v>
      </c>
      <c r="K640" s="1">
        <v>3.0</v>
      </c>
      <c r="L640" s="8" t="str">
        <f>vlookup(A640,salesx_all!B:E,2,0)</f>
        <v>#N/A</v>
      </c>
      <c r="M640" s="8" t="str">
        <f>vlookup(A640,salesx_all!B:D,3,0)</f>
        <v>#N/A</v>
      </c>
      <c r="N640" s="8" t="str">
        <f>vlookup(A640,salesx_all!B:E,4,0)</f>
        <v>#N/A</v>
      </c>
    </row>
    <row r="641">
      <c r="A641" s="1" t="s">
        <v>789</v>
      </c>
      <c r="B641" s="1">
        <f t="shared" si="1"/>
        <v>53</v>
      </c>
      <c r="C641" s="1">
        <v>1.0</v>
      </c>
      <c r="D641" s="1">
        <v>0.0</v>
      </c>
      <c r="E641" s="1">
        <v>1.0</v>
      </c>
      <c r="F641" s="6">
        <v>1.0</v>
      </c>
      <c r="G641" s="1">
        <v>1.0</v>
      </c>
      <c r="H641" s="1">
        <v>0.0</v>
      </c>
      <c r="I641" s="1">
        <v>1.0</v>
      </c>
      <c r="J641" s="1">
        <v>1.0</v>
      </c>
      <c r="K641" s="1">
        <v>0.0</v>
      </c>
      <c r="L641" s="8" t="str">
        <f>vlookup(A641,salesx_all!B:E,2,0)</f>
        <v>#N/A</v>
      </c>
      <c r="M641" s="8" t="str">
        <f>vlookup(A641,salesx_all!B:D,3,0)</f>
        <v>#N/A</v>
      </c>
      <c r="N641" s="8" t="str">
        <f>vlookup(A641,salesx_all!B:E,4,0)</f>
        <v>#N/A</v>
      </c>
    </row>
    <row r="642">
      <c r="A642" s="1" t="s">
        <v>790</v>
      </c>
      <c r="B642" s="1">
        <f t="shared" si="1"/>
        <v>68</v>
      </c>
      <c r="C642" s="1">
        <v>1.0</v>
      </c>
      <c r="D642" s="1">
        <v>0.0</v>
      </c>
      <c r="E642" s="1">
        <v>1.0</v>
      </c>
      <c r="F642" s="6">
        <v>1.0</v>
      </c>
      <c r="G642" s="1">
        <v>1.0</v>
      </c>
      <c r="H642" s="1">
        <v>0.0</v>
      </c>
      <c r="I642" s="1">
        <v>1.0</v>
      </c>
      <c r="J642" s="1">
        <v>1.0</v>
      </c>
      <c r="K642" s="1">
        <v>0.0</v>
      </c>
      <c r="L642" s="8" t="str">
        <f>vlookup(A642,salesx_all!B:E,2,0)</f>
        <v>Thinking of Hiring a Family Member for Your Sales Team? Think Again.</v>
      </c>
      <c r="M642" s="8" t="str">
        <f>vlookup(A642,salesx_all!B:D,3,0)</f>
        <v/>
      </c>
      <c r="N642" s="8" t="str">
        <f>vlookup(A642,salesx_all!B:E,4,0)</f>
        <v/>
      </c>
    </row>
    <row r="643">
      <c r="A643" s="1" t="s">
        <v>791</v>
      </c>
      <c r="B643" s="1">
        <f t="shared" si="1"/>
        <v>66</v>
      </c>
      <c r="C643" s="1">
        <v>1.0</v>
      </c>
      <c r="D643" s="1">
        <v>0.0</v>
      </c>
      <c r="E643" s="1">
        <v>1.0</v>
      </c>
      <c r="F643" s="6">
        <v>1.0</v>
      </c>
      <c r="G643" s="1">
        <v>1.0</v>
      </c>
      <c r="H643" s="1">
        <v>0.0</v>
      </c>
      <c r="I643" s="1">
        <v>1.0</v>
      </c>
      <c r="J643" s="1">
        <v>1.0</v>
      </c>
      <c r="K643" s="1">
        <v>0.0</v>
      </c>
      <c r="L643" s="8" t="str">
        <f>vlookup(A643,salesx_all!B:E,2,0)</f>
        <v>Three Key Elements to Ensure Success and Growth for Your Startup</v>
      </c>
      <c r="M643" s="8" t="str">
        <f>vlookup(A643,salesx_all!B:D,3,0)</f>
        <v>#1 PRODUCT-MARKET FIT</v>
      </c>
      <c r="N643" s="8" t="str">
        <f>vlookup(A643,salesx_all!B:E,4,0)</f>
        <v>#2 IDEAL CUSTOMER PROFILE</v>
      </c>
    </row>
    <row r="644">
      <c r="A644" s="1" t="s">
        <v>792</v>
      </c>
      <c r="B644" s="1">
        <f t="shared" si="1"/>
        <v>51</v>
      </c>
      <c r="C644" s="1">
        <v>1.0</v>
      </c>
      <c r="D644" s="1">
        <v>0.0</v>
      </c>
      <c r="E644" s="1">
        <v>1.0</v>
      </c>
      <c r="F644" s="6">
        <v>1.0</v>
      </c>
      <c r="G644" s="1">
        <v>1.0</v>
      </c>
      <c r="H644" s="1">
        <v>0.0</v>
      </c>
      <c r="I644" s="1">
        <v>1.0</v>
      </c>
      <c r="J644" s="1">
        <v>1.0</v>
      </c>
      <c r="K644" s="1">
        <v>0.0</v>
      </c>
      <c r="L644" s="8" t="str">
        <f>vlookup(A644,salesx_all!B:E,2,0)</f>
        <v>Three Questions for Hiring Your Next Sales Leader</v>
      </c>
      <c r="M644" s="8" t="str">
        <f>vlookup(A644,salesx_all!B:D,3,0)</f>
        <v/>
      </c>
      <c r="N644" s="8" t="str">
        <f>vlookup(A644,salesx_all!B:E,4,0)</f>
        <v/>
      </c>
    </row>
    <row r="645">
      <c r="A645" s="1" t="s">
        <v>793</v>
      </c>
      <c r="B645" s="1">
        <f t="shared" si="1"/>
        <v>65</v>
      </c>
      <c r="C645" s="1">
        <v>1.0</v>
      </c>
      <c r="D645" s="1">
        <v>0.0</v>
      </c>
      <c r="E645" s="1">
        <v>1.0</v>
      </c>
      <c r="F645" s="6">
        <v>1.0</v>
      </c>
      <c r="G645" s="1">
        <v>1.0</v>
      </c>
      <c r="H645" s="1">
        <v>0.0</v>
      </c>
      <c r="I645" s="1">
        <v>0.0</v>
      </c>
      <c r="J645" s="1">
        <v>1.0</v>
      </c>
      <c r="K645" s="1">
        <v>0.0</v>
      </c>
      <c r="L645" s="8" t="str">
        <f>vlookup(A645,salesx_all!B:E,2,0)</f>
        <v>#N/A</v>
      </c>
      <c r="M645" s="8" t="str">
        <f>vlookup(A645,salesx_all!B:D,3,0)</f>
        <v>#N/A</v>
      </c>
      <c r="N645" s="8" t="str">
        <f>vlookup(A645,salesx_all!B:E,4,0)</f>
        <v>#N/A</v>
      </c>
    </row>
    <row r="646">
      <c r="A646" s="1" t="s">
        <v>794</v>
      </c>
      <c r="B646" s="1">
        <f t="shared" si="1"/>
        <v>46</v>
      </c>
      <c r="C646" s="1">
        <v>1.0</v>
      </c>
      <c r="D646" s="1">
        <v>0.0</v>
      </c>
      <c r="E646" s="1">
        <v>1.0</v>
      </c>
      <c r="F646" s="6">
        <v>1.0</v>
      </c>
      <c r="G646" s="1">
        <v>1.0</v>
      </c>
      <c r="H646" s="1">
        <v>0.0</v>
      </c>
      <c r="I646" s="1">
        <v>0.0</v>
      </c>
      <c r="J646" s="1">
        <v>1.0</v>
      </c>
      <c r="K646" s="1">
        <v>0.0</v>
      </c>
      <c r="L646" s="8" t="str">
        <f>vlookup(A646,salesx_all!B:E,2,0)</f>
        <v>#N/A</v>
      </c>
      <c r="M646" s="8" t="str">
        <f>vlookup(A646,salesx_all!B:D,3,0)</f>
        <v>#N/A</v>
      </c>
      <c r="N646" s="8" t="str">
        <f>vlookup(A646,salesx_all!B:E,4,0)</f>
        <v>#N/A</v>
      </c>
    </row>
    <row r="647">
      <c r="A647" s="1" t="s">
        <v>795</v>
      </c>
      <c r="B647" s="1">
        <f t="shared" si="1"/>
        <v>41</v>
      </c>
      <c r="C647" s="1">
        <v>1.0</v>
      </c>
      <c r="D647" s="1">
        <v>0.0</v>
      </c>
      <c r="E647" s="1">
        <v>1.0</v>
      </c>
      <c r="F647" s="6">
        <v>1.0</v>
      </c>
      <c r="G647" s="1">
        <v>1.0</v>
      </c>
      <c r="H647" s="1">
        <v>0.0</v>
      </c>
      <c r="I647" s="1">
        <v>1.0</v>
      </c>
      <c r="J647" s="1">
        <v>1.0</v>
      </c>
      <c r="K647" s="1">
        <v>0.0</v>
      </c>
      <c r="L647" s="8" t="str">
        <f>vlookup(A647,salesx_all!B:E,2,0)</f>
        <v>#N/A</v>
      </c>
      <c r="M647" s="8" t="str">
        <f>vlookup(A647,salesx_all!B:D,3,0)</f>
        <v>#N/A</v>
      </c>
      <c r="N647" s="8" t="str">
        <f>vlookup(A647,salesx_all!B:E,4,0)</f>
        <v>#N/A</v>
      </c>
    </row>
    <row r="648">
      <c r="A648" s="1" t="s">
        <v>796</v>
      </c>
      <c r="B648" s="1">
        <f t="shared" si="1"/>
        <v>56</v>
      </c>
      <c r="C648" s="1">
        <v>1.0</v>
      </c>
      <c r="D648" s="1">
        <v>0.0</v>
      </c>
      <c r="E648" s="1">
        <v>1.0</v>
      </c>
      <c r="F648" s="6">
        <v>0.0</v>
      </c>
      <c r="G648" s="1">
        <v>0.0</v>
      </c>
      <c r="H648" s="1">
        <v>1.0</v>
      </c>
      <c r="I648" s="1">
        <v>1.0</v>
      </c>
      <c r="J648" s="1">
        <v>1.0</v>
      </c>
      <c r="K648" s="1">
        <v>2.0</v>
      </c>
      <c r="L648" s="8" t="str">
        <f>vlookup(A648,salesx_all!B:E,2,0)</f>
        <v>Sales Team Planning: Top 10 Action Items to Help You Hit the Ground Running</v>
      </c>
      <c r="M648" s="8" t="str">
        <f>vlookup(A648,salesx_all!B:D,3,0)</f>
        <v/>
      </c>
      <c r="N648" s="8" t="str">
        <f>vlookup(A648,salesx_all!B:E,4,0)</f>
        <v/>
      </c>
    </row>
    <row r="649">
      <c r="A649" s="1" t="s">
        <v>797</v>
      </c>
      <c r="B649" s="1">
        <f t="shared" si="1"/>
        <v>31</v>
      </c>
      <c r="C649" s="1">
        <v>1.0</v>
      </c>
      <c r="D649" s="1">
        <v>0.0</v>
      </c>
      <c r="E649" s="1">
        <v>1.0</v>
      </c>
      <c r="F649" s="6">
        <v>1.0</v>
      </c>
      <c r="G649" s="1">
        <v>1.0</v>
      </c>
      <c r="H649" s="1">
        <v>0.0</v>
      </c>
      <c r="I649" s="1">
        <v>1.0</v>
      </c>
      <c r="J649" s="1">
        <v>1.0</v>
      </c>
      <c r="K649" s="1">
        <v>0.0</v>
      </c>
      <c r="L649" s="8" t="str">
        <f>vlookup(A649,salesx_all!B:E,2,0)</f>
        <v>Transforming Sales for Growth</v>
      </c>
      <c r="M649" s="8" t="str">
        <f>vlookup(A649,salesx_all!B:D,3,0)</f>
        <v>EPISODE 1</v>
      </c>
      <c r="N649" s="8" t="str">
        <f>vlookup(A649,salesx_all!B:E,4,0)</f>
        <v>EPISODE 2</v>
      </c>
    </row>
    <row r="650">
      <c r="A650" s="1" t="s">
        <v>798</v>
      </c>
      <c r="B650" s="1">
        <f t="shared" si="1"/>
        <v>50</v>
      </c>
      <c r="C650" s="1">
        <v>1.0</v>
      </c>
      <c r="D650" s="1">
        <v>0.0</v>
      </c>
      <c r="E650" s="1">
        <v>1.0</v>
      </c>
      <c r="F650" s="6">
        <v>1.0</v>
      </c>
      <c r="G650" s="1">
        <v>1.0</v>
      </c>
      <c r="H650" s="1">
        <v>0.0</v>
      </c>
      <c r="I650" s="1">
        <v>1.0</v>
      </c>
      <c r="J650" s="1">
        <v>1.0</v>
      </c>
      <c r="K650" s="1">
        <v>0.0</v>
      </c>
      <c r="L650" s="8" t="str">
        <f>vlookup(A650,salesx_all!B:E,2,0)</f>
        <v>#N/A</v>
      </c>
      <c r="M650" s="8" t="str">
        <f>vlookup(A650,salesx_all!B:D,3,0)</f>
        <v>#N/A</v>
      </c>
      <c r="N650" s="8" t="str">
        <f>vlookup(A650,salesx_all!B:E,4,0)</f>
        <v>#N/A</v>
      </c>
    </row>
    <row r="651">
      <c r="A651" s="1" t="s">
        <v>799</v>
      </c>
      <c r="B651" s="1">
        <f t="shared" si="1"/>
        <v>28</v>
      </c>
      <c r="C651" s="1">
        <v>1.0</v>
      </c>
      <c r="D651" s="1">
        <v>0.0</v>
      </c>
      <c r="E651" s="1">
        <v>1.0</v>
      </c>
      <c r="F651" s="6">
        <v>1.0</v>
      </c>
      <c r="G651" s="1">
        <v>1.0</v>
      </c>
      <c r="H651" s="1">
        <v>0.0</v>
      </c>
      <c r="I651" s="1">
        <v>1.0</v>
      </c>
      <c r="J651" s="1">
        <v>1.0</v>
      </c>
      <c r="K651" s="1">
        <v>0.0</v>
      </c>
      <c r="L651" s="8" t="str">
        <f>vlookup(A651,salesx_all!B:E,2,0)</f>
        <v>Tried and True Lessons of Selling</v>
      </c>
      <c r="M651" s="8" t="str">
        <f>vlookup(A651,salesx_all!B:D,3,0)</f>
        <v/>
      </c>
      <c r="N651" s="8" t="str">
        <f>vlookup(A651,salesx_all!B:E,4,0)</f>
        <v/>
      </c>
    </row>
    <row r="652">
      <c r="A652" s="1" t="s">
        <v>800</v>
      </c>
      <c r="B652" s="1">
        <f t="shared" si="1"/>
        <v>48</v>
      </c>
      <c r="C652" s="1">
        <v>1.0</v>
      </c>
      <c r="D652" s="1">
        <v>0.0</v>
      </c>
      <c r="E652" s="1">
        <v>1.0</v>
      </c>
      <c r="F652" s="6">
        <v>1.0</v>
      </c>
      <c r="G652" s="1">
        <v>1.0</v>
      </c>
      <c r="H652" s="1">
        <v>0.0</v>
      </c>
      <c r="I652" s="1">
        <v>1.0</v>
      </c>
      <c r="J652" s="1">
        <v>1.0</v>
      </c>
      <c r="K652" s="1">
        <v>0.0</v>
      </c>
      <c r="L652" s="8" t="str">
        <f>vlookup(A652,salesx_all!B:E,2,0)</f>
        <v>#N/A</v>
      </c>
      <c r="M652" s="8" t="str">
        <f>vlookup(A652,salesx_all!B:D,3,0)</f>
        <v>#N/A</v>
      </c>
      <c r="N652" s="8" t="str">
        <f>vlookup(A652,salesx_all!B:E,4,0)</f>
        <v>#N/A</v>
      </c>
    </row>
    <row r="653">
      <c r="A653" s="1" t="s">
        <v>801</v>
      </c>
      <c r="B653" s="1">
        <f t="shared" si="1"/>
        <v>57</v>
      </c>
      <c r="C653" s="1">
        <v>1.0</v>
      </c>
      <c r="D653" s="1">
        <v>0.0</v>
      </c>
      <c r="E653" s="1">
        <v>1.0</v>
      </c>
      <c r="F653" s="6">
        <v>1.0</v>
      </c>
      <c r="G653" s="1">
        <v>1.0</v>
      </c>
      <c r="H653" s="1">
        <v>0.0</v>
      </c>
      <c r="I653" s="1">
        <v>1.0</v>
      </c>
      <c r="J653" s="1">
        <v>1.0</v>
      </c>
      <c r="K653" s="1">
        <v>0.0</v>
      </c>
      <c r="L653" s="8" t="str">
        <f>vlookup(A653,salesx_all!B:E,2,0)</f>
        <v>Want a Better Sales Process? Consider the Buyer’s Process First.</v>
      </c>
      <c r="M653" s="8" t="str">
        <f>vlookup(A653,salesx_all!B:D,3,0)</f>
        <v/>
      </c>
      <c r="N653" s="8" t="str">
        <f>vlookup(A653,salesx_all!B:E,4,0)</f>
        <v/>
      </c>
    </row>
    <row r="654">
      <c r="A654" s="1" t="s">
        <v>802</v>
      </c>
      <c r="B654" s="1">
        <f t="shared" si="1"/>
        <v>30</v>
      </c>
      <c r="C654" s="1">
        <v>1.0</v>
      </c>
      <c r="D654" s="1">
        <v>0.0</v>
      </c>
      <c r="E654" s="1">
        <v>1.0</v>
      </c>
      <c r="F654" s="6">
        <v>1.0</v>
      </c>
      <c r="G654" s="1">
        <v>1.0</v>
      </c>
      <c r="H654" s="1">
        <v>0.0</v>
      </c>
      <c r="I654" s="1">
        <v>1.0</v>
      </c>
      <c r="J654" s="1">
        <v>1.0</v>
      </c>
      <c r="K654" s="1">
        <v>0.0</v>
      </c>
      <c r="L654" s="8" t="str">
        <f>vlookup(A654,salesx_all!B:E,2,0)</f>
        <v>#N/A</v>
      </c>
      <c r="M654" s="8" t="str">
        <f>vlookup(A654,salesx_all!B:D,3,0)</f>
        <v>#N/A</v>
      </c>
      <c r="N654" s="8" t="str">
        <f>vlookup(A654,salesx_all!B:E,4,0)</f>
        <v>#N/A</v>
      </c>
    </row>
    <row r="655">
      <c r="A655" s="1" t="s">
        <v>803</v>
      </c>
      <c r="B655" s="1">
        <f t="shared" si="1"/>
        <v>58</v>
      </c>
      <c r="C655" s="1">
        <v>1.0</v>
      </c>
      <c r="D655" s="1">
        <v>0.0</v>
      </c>
      <c r="E655" s="1">
        <v>1.0</v>
      </c>
      <c r="F655" s="6">
        <v>0.0</v>
      </c>
      <c r="G655" s="1">
        <v>0.0</v>
      </c>
      <c r="H655" s="1">
        <v>1.0</v>
      </c>
      <c r="I655" s="1">
        <v>1.0</v>
      </c>
      <c r="J655" s="1">
        <v>1.0</v>
      </c>
      <c r="K655" s="1">
        <v>22.0</v>
      </c>
      <c r="L655" s="8" t="str">
        <f>vlookup(A655,salesx_all!B:E,2,0)</f>
        <v>What If You Knew Exactly What Your Customers Wanted Next?</v>
      </c>
      <c r="M655" s="8" t="str">
        <f>vlookup(A655,salesx_all!B:D,3,0)</f>
        <v>Why Predictive Sales Analytics Matters Now</v>
      </c>
      <c r="N655" s="8" t="str">
        <f>vlookup(A655,salesx_all!B:E,4,0)</f>
        <v>What Is Predictive Sales Analytics (and Why It’s Powerful)?</v>
      </c>
    </row>
    <row r="656">
      <c r="A656" s="1" t="s">
        <v>804</v>
      </c>
      <c r="B656" s="1">
        <f t="shared" si="1"/>
        <v>65</v>
      </c>
      <c r="C656" s="1">
        <v>1.0</v>
      </c>
      <c r="D656" s="1">
        <v>0.0</v>
      </c>
      <c r="E656" s="1">
        <v>1.0</v>
      </c>
      <c r="F656" s="6">
        <v>0.0</v>
      </c>
      <c r="G656" s="1">
        <v>1.0</v>
      </c>
      <c r="H656" s="1">
        <v>1.0</v>
      </c>
      <c r="I656" s="1">
        <v>1.0</v>
      </c>
      <c r="J656" s="1">
        <v>1.0</v>
      </c>
      <c r="K656" s="1">
        <v>164.0</v>
      </c>
      <c r="L656" s="8" t="str">
        <f>vlookup(A656,salesx_all!B:E,2,0)</f>
        <v>What is a Sales Strategy (and How Can You Build an Effective One?)</v>
      </c>
      <c r="M656" s="8" t="str">
        <f>vlookup(A656,salesx_all!B:D,3,0)</f>
        <v>Sales Strategy Definition</v>
      </c>
      <c r="N656" s="8" t="str">
        <f>vlookup(A656,salesx_all!B:E,4,0)</f>
        <v>Key Elements of an Effective Sales Strategy</v>
      </c>
    </row>
    <row r="657">
      <c r="A657" s="1" t="s">
        <v>805</v>
      </c>
      <c r="B657" s="1">
        <f t="shared" si="1"/>
        <v>32</v>
      </c>
      <c r="C657" s="1">
        <v>1.0</v>
      </c>
      <c r="D657" s="1">
        <v>0.0</v>
      </c>
      <c r="E657" s="1">
        <v>1.0</v>
      </c>
      <c r="F657" s="6">
        <v>1.0</v>
      </c>
      <c r="G657" s="1">
        <v>1.0</v>
      </c>
      <c r="H657" s="1">
        <v>0.0</v>
      </c>
      <c r="I657" s="1">
        <v>1.0</v>
      </c>
      <c r="J657" s="1">
        <v>1.0</v>
      </c>
      <c r="K657" s="1">
        <v>0.0</v>
      </c>
      <c r="L657" s="8" t="str">
        <f>vlookup(A657,salesx_all!B:E,2,0)</f>
        <v>What is in Your Sales Backpack?</v>
      </c>
      <c r="M657" s="8" t="str">
        <f>vlookup(A657,salesx_all!B:D,3,0)</f>
        <v/>
      </c>
      <c r="N657" s="8" t="str">
        <f>vlookup(A657,salesx_all!B:E,4,0)</f>
        <v/>
      </c>
    </row>
    <row r="658">
      <c r="A658" s="1" t="s">
        <v>806</v>
      </c>
      <c r="B658" s="1">
        <f t="shared" si="1"/>
        <v>30</v>
      </c>
      <c r="C658" s="1">
        <v>1.0</v>
      </c>
      <c r="D658" s="1">
        <v>0.0</v>
      </c>
      <c r="E658" s="1">
        <v>1.0</v>
      </c>
      <c r="F658" s="6">
        <v>1.0</v>
      </c>
      <c r="G658" s="1">
        <v>1.0</v>
      </c>
      <c r="H658" s="1">
        <v>0.0</v>
      </c>
      <c r="I658" s="1">
        <v>1.0</v>
      </c>
      <c r="J658" s="1">
        <v>1.0</v>
      </c>
      <c r="K658" s="1">
        <v>0.0</v>
      </c>
      <c r="L658" s="8" t="str">
        <f>vlookup(A658,salesx_all!B:E,2,0)</f>
        <v>What Makes a Top Salesperson?</v>
      </c>
      <c r="M658" s="8" t="str">
        <f>vlookup(A658,salesx_all!B:D,3,0)</f>
        <v/>
      </c>
      <c r="N658" s="8" t="str">
        <f>vlookup(A658,salesx_all!B:E,4,0)</f>
        <v/>
      </c>
    </row>
    <row r="659">
      <c r="A659" s="1" t="s">
        <v>807</v>
      </c>
      <c r="B659" s="1">
        <f t="shared" si="1"/>
        <v>25</v>
      </c>
      <c r="C659" s="1">
        <v>1.0</v>
      </c>
      <c r="D659" s="1">
        <v>0.0</v>
      </c>
      <c r="E659" s="1">
        <v>1.0</v>
      </c>
      <c r="F659" s="6">
        <v>1.0</v>
      </c>
      <c r="G659" s="1">
        <v>1.0</v>
      </c>
      <c r="H659" s="1">
        <v>0.0</v>
      </c>
      <c r="I659" s="1">
        <v>1.0</v>
      </c>
      <c r="J659" s="1">
        <v>1.0</v>
      </c>
      <c r="K659" s="1">
        <v>0.0</v>
      </c>
      <c r="L659" s="8" t="str">
        <f>vlookup(A659,salesx_all!B:E,2,0)</f>
        <v/>
      </c>
      <c r="M659" s="8" t="str">
        <f>vlookup(A659,salesx_all!B:D,3,0)</f>
        <v/>
      </c>
      <c r="N659" s="8" t="str">
        <f>vlookup(A659,salesx_all!B:E,4,0)</f>
        <v/>
      </c>
    </row>
    <row r="660">
      <c r="A660" s="1" t="s">
        <v>808</v>
      </c>
      <c r="B660" s="1">
        <f t="shared" si="1"/>
        <v>38</v>
      </c>
      <c r="C660" s="1">
        <v>1.0</v>
      </c>
      <c r="D660" s="1">
        <v>0.0</v>
      </c>
      <c r="E660" s="1">
        <v>1.0</v>
      </c>
      <c r="F660" s="6">
        <v>1.0</v>
      </c>
      <c r="G660" s="1">
        <v>1.0</v>
      </c>
      <c r="H660" s="1">
        <v>0.0</v>
      </c>
      <c r="I660" s="1">
        <v>1.0</v>
      </c>
      <c r="J660" s="1">
        <v>1.0</v>
      </c>
      <c r="K660" s="1">
        <v>0.0</v>
      </c>
      <c r="L660" s="8" t="str">
        <f>vlookup(A660,salesx_all!B:E,2,0)</f>
        <v/>
      </c>
      <c r="M660" s="8" t="str">
        <f>vlookup(A660,salesx_all!B:D,3,0)</f>
        <v/>
      </c>
      <c r="N660" s="8" t="str">
        <f>vlookup(A660,salesx_all!B:E,4,0)</f>
        <v/>
      </c>
    </row>
    <row r="661">
      <c r="A661" s="1" t="s">
        <v>809</v>
      </c>
      <c r="B661" s="1">
        <f t="shared" si="1"/>
        <v>26</v>
      </c>
      <c r="C661" s="1">
        <v>1.0</v>
      </c>
      <c r="D661" s="1">
        <v>0.0</v>
      </c>
      <c r="E661" s="1">
        <v>1.0</v>
      </c>
      <c r="F661" s="6">
        <v>1.0</v>
      </c>
      <c r="G661" s="1">
        <v>1.0</v>
      </c>
      <c r="H661" s="1">
        <v>0.0</v>
      </c>
      <c r="I661" s="1">
        <v>1.0</v>
      </c>
      <c r="J661" s="1">
        <v>1.0</v>
      </c>
      <c r="K661" s="1">
        <v>0.0</v>
      </c>
      <c r="L661" s="8" t="str">
        <f>vlookup(A661,salesx_all!B:E,2,0)</f>
        <v>#N/A</v>
      </c>
      <c r="M661" s="8" t="str">
        <f>vlookup(A661,salesx_all!B:D,3,0)</f>
        <v>#N/A</v>
      </c>
      <c r="N661" s="8" t="str">
        <f>vlookup(A661,salesx_all!B:E,4,0)</f>
        <v>#N/A</v>
      </c>
    </row>
    <row r="662">
      <c r="A662" s="1" t="s">
        <v>810</v>
      </c>
      <c r="B662" s="1">
        <f t="shared" si="1"/>
        <v>16</v>
      </c>
      <c r="C662" s="1">
        <v>1.0</v>
      </c>
      <c r="D662" s="1">
        <v>0.0</v>
      </c>
      <c r="E662" s="1">
        <v>1.0</v>
      </c>
      <c r="F662" s="6">
        <v>0.0</v>
      </c>
      <c r="G662" s="1">
        <v>1.0</v>
      </c>
      <c r="H662" s="1">
        <v>1.0</v>
      </c>
      <c r="I662" s="1">
        <v>1.0</v>
      </c>
      <c r="J662" s="1">
        <v>1.0</v>
      </c>
      <c r="K662" s="1">
        <v>20.0</v>
      </c>
      <c r="L662" s="8" t="str">
        <f>vlookup(A662,salesx_all!B:E,2,0)</f>
        <v>#N/A</v>
      </c>
      <c r="M662" s="8" t="str">
        <f>vlookup(A662,salesx_all!B:D,3,0)</f>
        <v>#N/A</v>
      </c>
      <c r="N662" s="8" t="str">
        <f>vlookup(A662,salesx_all!B:E,4,0)</f>
        <v>#N/A</v>
      </c>
    </row>
    <row r="663">
      <c r="A663" s="1" t="s">
        <v>811</v>
      </c>
      <c r="B663" s="1">
        <f t="shared" si="1"/>
        <v>74</v>
      </c>
      <c r="C663" s="1">
        <v>1.0</v>
      </c>
      <c r="D663" s="1">
        <v>0.0</v>
      </c>
      <c r="E663" s="1">
        <v>1.0</v>
      </c>
      <c r="F663" s="6">
        <v>1.0</v>
      </c>
      <c r="G663" s="1">
        <v>1.0</v>
      </c>
      <c r="H663" s="1">
        <v>0.0</v>
      </c>
      <c r="I663" s="1">
        <v>1.0</v>
      </c>
      <c r="J663" s="1">
        <v>1.0</v>
      </c>
      <c r="K663" s="1">
        <v>0.0</v>
      </c>
      <c r="L663" s="8" t="str">
        <f>vlookup(A663,salesx_all!B:E,2,0)</f>
        <v>#N/A</v>
      </c>
      <c r="M663" s="8" t="str">
        <f>vlookup(A663,salesx_all!B:D,3,0)</f>
        <v>#N/A</v>
      </c>
      <c r="N663" s="8" t="str">
        <f>vlookup(A663,salesx_all!B:E,4,0)</f>
        <v>#N/A</v>
      </c>
    </row>
    <row r="664">
      <c r="A664" s="1" t="s">
        <v>812</v>
      </c>
      <c r="B664" s="1">
        <f t="shared" si="1"/>
        <v>93</v>
      </c>
      <c r="C664" s="1">
        <v>1.0</v>
      </c>
      <c r="D664" s="1">
        <v>0.0</v>
      </c>
      <c r="E664" s="1">
        <v>1.0</v>
      </c>
      <c r="F664" s="6">
        <v>1.0</v>
      </c>
      <c r="G664" s="1">
        <v>1.0</v>
      </c>
      <c r="H664" s="1">
        <v>0.0</v>
      </c>
      <c r="I664" s="1">
        <v>1.0</v>
      </c>
      <c r="J664" s="1">
        <v>1.0</v>
      </c>
      <c r="K664" s="1">
        <v>0.0</v>
      </c>
      <c r="L664" s="8" t="str">
        <f>vlookup(A664,salesx_all!B:E,2,0)</f>
        <v>#N/A</v>
      </c>
      <c r="M664" s="8" t="str">
        <f>vlookup(A664,salesx_all!B:D,3,0)</f>
        <v>#N/A</v>
      </c>
      <c r="N664" s="8" t="str">
        <f>vlookup(A664,salesx_all!B:E,4,0)</f>
        <v>#N/A</v>
      </c>
    </row>
    <row r="665">
      <c r="A665" s="1" t="s">
        <v>813</v>
      </c>
      <c r="B665" s="1">
        <f t="shared" si="1"/>
        <v>71</v>
      </c>
      <c r="C665" s="1">
        <v>1.0</v>
      </c>
      <c r="D665" s="1">
        <v>0.0</v>
      </c>
      <c r="E665" s="1">
        <v>1.0</v>
      </c>
      <c r="F665" s="6">
        <v>1.0</v>
      </c>
      <c r="G665" s="1">
        <v>1.0</v>
      </c>
      <c r="H665" s="1">
        <v>0.0</v>
      </c>
      <c r="I665" s="1">
        <v>1.0</v>
      </c>
      <c r="J665" s="1">
        <v>1.0</v>
      </c>
      <c r="K665" s="1">
        <v>0.0</v>
      </c>
      <c r="L665" s="8" t="str">
        <f>vlookup(A665,salesx_all!B:E,2,0)</f>
        <v>#N/A</v>
      </c>
      <c r="M665" s="8" t="str">
        <f>vlookup(A665,salesx_all!B:D,3,0)</f>
        <v>#N/A</v>
      </c>
      <c r="N665" s="8" t="str">
        <f>vlookup(A665,salesx_all!B:E,4,0)</f>
        <v>#N/A</v>
      </c>
    </row>
    <row r="666">
      <c r="A666" s="1" t="s">
        <v>814</v>
      </c>
      <c r="B666" s="1">
        <f t="shared" si="1"/>
        <v>49</v>
      </c>
      <c r="C666" s="1">
        <v>1.0</v>
      </c>
      <c r="D666" s="1">
        <v>0.0</v>
      </c>
      <c r="E666" s="1">
        <v>1.0</v>
      </c>
      <c r="F666" s="6">
        <v>1.0</v>
      </c>
      <c r="G666" s="1">
        <v>1.0</v>
      </c>
      <c r="H666" s="1">
        <v>0.0</v>
      </c>
      <c r="I666" s="1">
        <v>1.0</v>
      </c>
      <c r="J666" s="1">
        <v>1.0</v>
      </c>
      <c r="K666" s="1">
        <v>0.0</v>
      </c>
      <c r="L666" s="8" t="str">
        <f>vlookup(A666,salesx_all!B:E,2,0)</f>
        <v>#N/A</v>
      </c>
      <c r="M666" s="8" t="str">
        <f>vlookup(A666,salesx_all!B:D,3,0)</f>
        <v>#N/A</v>
      </c>
      <c r="N666" s="8" t="str">
        <f>vlookup(A666,salesx_all!B:E,4,0)</f>
        <v>#N/A</v>
      </c>
    </row>
    <row r="667">
      <c r="A667" s="1" t="s">
        <v>815</v>
      </c>
      <c r="B667" s="1">
        <f t="shared" si="1"/>
        <v>41</v>
      </c>
      <c r="C667" s="1">
        <v>1.0</v>
      </c>
      <c r="D667" s="1">
        <v>0.0</v>
      </c>
      <c r="E667" s="1">
        <v>1.0</v>
      </c>
      <c r="F667" s="6">
        <v>1.0</v>
      </c>
      <c r="G667" s="1">
        <v>1.0</v>
      </c>
      <c r="H667" s="1">
        <v>0.0</v>
      </c>
      <c r="I667" s="1">
        <v>1.0</v>
      </c>
      <c r="J667" s="1">
        <v>1.0</v>
      </c>
      <c r="K667" s="1">
        <v>0.0</v>
      </c>
      <c r="L667" s="8" t="str">
        <f>vlookup(A667,salesx_all!B:E,2,0)</f>
        <v>#N/A</v>
      </c>
      <c r="M667" s="8" t="str">
        <f>vlookup(A667,salesx_all!B:D,3,0)</f>
        <v>#N/A</v>
      </c>
      <c r="N667" s="8" t="str">
        <f>vlookup(A667,salesx_all!B:E,4,0)</f>
        <v>#N/A</v>
      </c>
    </row>
    <row r="668">
      <c r="A668" s="1" t="s">
        <v>816</v>
      </c>
      <c r="B668" s="1">
        <f t="shared" si="1"/>
        <v>64</v>
      </c>
      <c r="C668" s="1">
        <v>1.0</v>
      </c>
      <c r="D668" s="1">
        <v>0.0</v>
      </c>
      <c r="E668" s="1">
        <v>1.0</v>
      </c>
      <c r="F668" s="6">
        <v>1.0</v>
      </c>
      <c r="G668" s="1">
        <v>1.0</v>
      </c>
      <c r="H668" s="1">
        <v>0.0</v>
      </c>
      <c r="I668" s="1">
        <v>1.0</v>
      </c>
      <c r="J668" s="1">
        <v>1.0</v>
      </c>
      <c r="K668" s="1">
        <v>0.0</v>
      </c>
      <c r="L668" s="8" t="str">
        <f>vlookup(A668,salesx_all!B:E,2,0)</f>
        <v>“Why I Can’t Get No Sales Satisfaction” – Sales Lessons Learned From the Rolling Stones | Part 1 of an 8 Part Series</v>
      </c>
      <c r="M668" s="8" t="str">
        <f>vlookup(A668,salesx_all!B:D,3,0)</f>
        <v/>
      </c>
      <c r="N668" s="8" t="str">
        <f>vlookup(A668,salesx_all!B:E,4,0)</f>
        <v/>
      </c>
    </row>
    <row r="669">
      <c r="A669" s="1" t="s">
        <v>817</v>
      </c>
      <c r="B669" s="1">
        <f t="shared" si="1"/>
        <v>75</v>
      </c>
      <c r="C669" s="1">
        <v>1.0</v>
      </c>
      <c r="D669" s="1">
        <v>0.0</v>
      </c>
      <c r="E669" s="1">
        <v>1.0</v>
      </c>
      <c r="F669" s="6">
        <v>1.0</v>
      </c>
      <c r="G669" s="1">
        <v>1.0</v>
      </c>
      <c r="H669" s="1">
        <v>0.0</v>
      </c>
      <c r="I669" s="1">
        <v>1.0</v>
      </c>
      <c r="J669" s="1">
        <v>1.0</v>
      </c>
      <c r="K669" s="1">
        <v>0.0</v>
      </c>
      <c r="L669" s="8" t="str">
        <f>vlookup(A669,salesx_all!B:E,2,0)</f>
        <v>#N/A</v>
      </c>
      <c r="M669" s="8" t="str">
        <f>vlookup(A669,salesx_all!B:D,3,0)</f>
        <v>#N/A</v>
      </c>
      <c r="N669" s="8" t="str">
        <f>vlookup(A669,salesx_all!B:E,4,0)</f>
        <v>#N/A</v>
      </c>
    </row>
    <row r="670">
      <c r="A670" s="1" t="s">
        <v>818</v>
      </c>
      <c r="B670" s="1">
        <f t="shared" si="1"/>
        <v>62</v>
      </c>
      <c r="C670" s="1">
        <v>1.0</v>
      </c>
      <c r="D670" s="1">
        <v>0.0</v>
      </c>
      <c r="E670" s="1">
        <v>1.0</v>
      </c>
      <c r="F670" s="6">
        <v>1.0</v>
      </c>
      <c r="G670" s="1">
        <v>1.0</v>
      </c>
      <c r="H670" s="1">
        <v>0.0</v>
      </c>
      <c r="I670" s="1">
        <v>1.0</v>
      </c>
      <c r="J670" s="1">
        <v>1.0</v>
      </c>
      <c r="K670" s="1">
        <v>0.0</v>
      </c>
      <c r="L670" s="8" t="str">
        <f>vlookup(A670,salesx_all!B:E,2,0)</f>
        <v>#N/A</v>
      </c>
      <c r="M670" s="8" t="str">
        <f>vlookup(A670,salesx_all!B:D,3,0)</f>
        <v>#N/A</v>
      </c>
      <c r="N670" s="8" t="str">
        <f>vlookup(A670,salesx_all!B:E,4,0)</f>
        <v>#N/A</v>
      </c>
    </row>
    <row r="671">
      <c r="A671" s="1" t="s">
        <v>819</v>
      </c>
      <c r="B671" s="1">
        <f t="shared" si="1"/>
        <v>50</v>
      </c>
      <c r="C671" s="1">
        <v>1.0</v>
      </c>
      <c r="D671" s="1">
        <v>0.0</v>
      </c>
      <c r="E671" s="1">
        <v>1.0</v>
      </c>
      <c r="F671" s="6">
        <v>1.0</v>
      </c>
      <c r="G671" s="1">
        <v>1.0</v>
      </c>
      <c r="H671" s="1">
        <v>0.0</v>
      </c>
      <c r="I671" s="1">
        <v>0.0</v>
      </c>
      <c r="J671" s="1">
        <v>1.0</v>
      </c>
      <c r="K671" s="1">
        <v>0.0</v>
      </c>
      <c r="L671" s="8" t="str">
        <f>vlookup(A671,salesx_all!B:E,2,0)</f>
        <v>#N/A</v>
      </c>
      <c r="M671" s="8" t="str">
        <f>vlookup(A671,salesx_all!B:D,3,0)</f>
        <v>#N/A</v>
      </c>
      <c r="N671" s="8" t="str">
        <f>vlookup(A671,salesx_all!B:E,4,0)</f>
        <v>#N/A</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25"/>
    <col customWidth="1" hidden="1" min="2" max="2" width="66.0"/>
  </cols>
  <sheetData>
    <row r="1">
      <c r="A1" s="1" t="s">
        <v>820</v>
      </c>
      <c r="B1" s="1"/>
      <c r="C1" s="1" t="s">
        <v>821</v>
      </c>
      <c r="D1" s="1" t="s">
        <v>168</v>
      </c>
      <c r="E1" s="1" t="s">
        <v>169</v>
      </c>
      <c r="F1" s="1" t="s">
        <v>822</v>
      </c>
      <c r="G1" s="1" t="s">
        <v>823</v>
      </c>
      <c r="H1" s="1" t="s">
        <v>15</v>
      </c>
      <c r="I1" s="1" t="s">
        <v>824</v>
      </c>
      <c r="J1" s="1" t="s">
        <v>825</v>
      </c>
      <c r="K1" s="1" t="s">
        <v>826</v>
      </c>
      <c r="L1" s="1" t="s">
        <v>827</v>
      </c>
      <c r="M1" s="1" t="s">
        <v>828</v>
      </c>
      <c r="N1" s="1" t="s">
        <v>829</v>
      </c>
      <c r="O1" s="1" t="s">
        <v>830</v>
      </c>
      <c r="P1" s="1" t="s">
        <v>831</v>
      </c>
      <c r="Q1" s="1" t="s">
        <v>832</v>
      </c>
      <c r="R1" s="1" t="s">
        <v>833</v>
      </c>
      <c r="S1" s="1" t="s">
        <v>834</v>
      </c>
      <c r="T1" s="1" t="s">
        <v>835</v>
      </c>
      <c r="U1" s="1" t="s">
        <v>836</v>
      </c>
      <c r="V1" s="1" t="s">
        <v>821</v>
      </c>
      <c r="W1" s="1" t="s">
        <v>837</v>
      </c>
      <c r="X1" s="1" t="s">
        <v>838</v>
      </c>
      <c r="Y1" s="1" t="s">
        <v>839</v>
      </c>
      <c r="Z1" s="1" t="s">
        <v>168</v>
      </c>
      <c r="AA1" s="1" t="s">
        <v>840</v>
      </c>
      <c r="AB1" s="1" t="s">
        <v>169</v>
      </c>
      <c r="AC1" s="1" t="s">
        <v>841</v>
      </c>
      <c r="AD1" s="1" t="s">
        <v>842</v>
      </c>
      <c r="AE1" s="1" t="s">
        <v>843</v>
      </c>
      <c r="AF1" s="1" t="s">
        <v>844</v>
      </c>
      <c r="AG1" s="1" t="s">
        <v>845</v>
      </c>
      <c r="AH1" s="1" t="s">
        <v>846</v>
      </c>
      <c r="AI1" s="1" t="s">
        <v>847</v>
      </c>
      <c r="AJ1" s="1" t="s">
        <v>848</v>
      </c>
      <c r="AK1" s="1" t="s">
        <v>849</v>
      </c>
      <c r="AL1" s="1" t="s">
        <v>850</v>
      </c>
      <c r="AM1" s="1" t="s">
        <v>851</v>
      </c>
      <c r="AN1" s="1" t="s">
        <v>852</v>
      </c>
      <c r="AO1" s="1" t="s">
        <v>853</v>
      </c>
      <c r="AP1" s="1" t="s">
        <v>854</v>
      </c>
      <c r="AQ1" s="1" t="s">
        <v>855</v>
      </c>
      <c r="AR1" s="1" t="s">
        <v>856</v>
      </c>
      <c r="AS1" s="1" t="s">
        <v>857</v>
      </c>
      <c r="AT1" s="1" t="s">
        <v>858</v>
      </c>
      <c r="AU1" s="1" t="s">
        <v>859</v>
      </c>
      <c r="AV1" s="1" t="s">
        <v>860</v>
      </c>
      <c r="AW1" s="1" t="s">
        <v>861</v>
      </c>
      <c r="AX1" s="1" t="s">
        <v>862</v>
      </c>
      <c r="AY1" s="1" t="s">
        <v>863</v>
      </c>
      <c r="AZ1" s="1" t="s">
        <v>864</v>
      </c>
      <c r="BA1" s="1" t="s">
        <v>865</v>
      </c>
      <c r="BB1" s="1" t="s">
        <v>866</v>
      </c>
      <c r="BC1" s="1" t="s">
        <v>867</v>
      </c>
      <c r="BD1" s="1" t="s">
        <v>868</v>
      </c>
      <c r="BE1" s="1" t="s">
        <v>869</v>
      </c>
      <c r="BF1" s="1" t="s">
        <v>870</v>
      </c>
      <c r="BG1" s="1" t="s">
        <v>871</v>
      </c>
      <c r="BH1" s="1" t="s">
        <v>872</v>
      </c>
      <c r="BI1" s="1" t="s">
        <v>873</v>
      </c>
      <c r="BJ1" s="1" t="s">
        <v>874</v>
      </c>
      <c r="BK1" s="1" t="s">
        <v>875</v>
      </c>
      <c r="BL1" s="1" t="s">
        <v>876</v>
      </c>
      <c r="BM1" s="1" t="s">
        <v>877</v>
      </c>
      <c r="BN1" s="1" t="s">
        <v>878</v>
      </c>
      <c r="BO1" s="1" t="s">
        <v>879</v>
      </c>
      <c r="BP1" s="1" t="s">
        <v>880</v>
      </c>
      <c r="BQ1" s="1" t="s">
        <v>881</v>
      </c>
      <c r="BR1" s="1" t="s">
        <v>882</v>
      </c>
      <c r="BS1" s="1" t="s">
        <v>883</v>
      </c>
      <c r="BT1" s="1" t="s">
        <v>884</v>
      </c>
      <c r="BU1" s="1" t="s">
        <v>885</v>
      </c>
      <c r="BV1" s="1" t="s">
        <v>886</v>
      </c>
      <c r="BW1" s="1" t="s">
        <v>887</v>
      </c>
      <c r="BX1" s="1" t="s">
        <v>888</v>
      </c>
      <c r="BY1" s="1" t="s">
        <v>889</v>
      </c>
      <c r="BZ1" s="1" t="s">
        <v>890</v>
      </c>
      <c r="CA1" s="1" t="s">
        <v>891</v>
      </c>
      <c r="CB1" s="1" t="s">
        <v>892</v>
      </c>
      <c r="CC1" s="1" t="s">
        <v>893</v>
      </c>
      <c r="CD1" s="1" t="s">
        <v>894</v>
      </c>
      <c r="CE1" s="1" t="s">
        <v>895</v>
      </c>
      <c r="CF1" s="1" t="s">
        <v>896</v>
      </c>
      <c r="CG1" s="1" t="s">
        <v>897</v>
      </c>
      <c r="CH1" s="1" t="s">
        <v>898</v>
      </c>
      <c r="CI1" s="1" t="s">
        <v>899</v>
      </c>
      <c r="CJ1" s="1" t="s">
        <v>900</v>
      </c>
      <c r="CK1" s="1" t="s">
        <v>901</v>
      </c>
      <c r="CL1" s="1" t="s">
        <v>902</v>
      </c>
      <c r="CM1" s="1" t="s">
        <v>903</v>
      </c>
      <c r="CN1" s="1" t="s">
        <v>904</v>
      </c>
      <c r="CO1" s="1" t="s">
        <v>905</v>
      </c>
      <c r="CP1" s="1" t="s">
        <v>906</v>
      </c>
      <c r="CQ1" s="1" t="s">
        <v>907</v>
      </c>
      <c r="CR1" s="1" t="s">
        <v>908</v>
      </c>
      <c r="CS1" s="1" t="s">
        <v>909</v>
      </c>
      <c r="CT1" s="1" t="s">
        <v>910</v>
      </c>
      <c r="CU1" s="1" t="s">
        <v>911</v>
      </c>
      <c r="CV1" s="1" t="s">
        <v>912</v>
      </c>
      <c r="CW1" s="1" t="s">
        <v>913</v>
      </c>
      <c r="CX1" s="1" t="s">
        <v>914</v>
      </c>
      <c r="CY1" s="1" t="s">
        <v>915</v>
      </c>
      <c r="CZ1" s="1" t="s">
        <v>916</v>
      </c>
      <c r="DA1" s="1" t="s">
        <v>917</v>
      </c>
      <c r="DB1" s="1" t="s">
        <v>918</v>
      </c>
      <c r="DC1" s="1" t="s">
        <v>919</v>
      </c>
      <c r="DD1" s="1" t="s">
        <v>920</v>
      </c>
      <c r="DE1" s="1" t="s">
        <v>921</v>
      </c>
      <c r="DF1" s="1" t="s">
        <v>922</v>
      </c>
      <c r="DG1" s="1" t="s">
        <v>923</v>
      </c>
      <c r="DH1" s="1" t="s">
        <v>924</v>
      </c>
      <c r="DI1" s="1" t="s">
        <v>925</v>
      </c>
      <c r="DJ1" s="1" t="s">
        <v>926</v>
      </c>
      <c r="DK1" s="1" t="s">
        <v>927</v>
      </c>
      <c r="DL1" s="1" t="s">
        <v>928</v>
      </c>
      <c r="DM1" s="1" t="s">
        <v>929</v>
      </c>
      <c r="DN1" s="1" t="s">
        <v>930</v>
      </c>
      <c r="DO1" s="1" t="s">
        <v>931</v>
      </c>
      <c r="DP1" s="1" t="s">
        <v>932</v>
      </c>
      <c r="DQ1" s="1" t="s">
        <v>933</v>
      </c>
      <c r="DR1" s="1" t="s">
        <v>934</v>
      </c>
      <c r="DS1" s="1" t="s">
        <v>935</v>
      </c>
      <c r="DT1" s="1" t="s">
        <v>936</v>
      </c>
      <c r="DU1" s="1" t="s">
        <v>937</v>
      </c>
      <c r="DV1" s="1" t="s">
        <v>938</v>
      </c>
      <c r="DW1" s="1" t="s">
        <v>939</v>
      </c>
      <c r="DX1" s="1" t="s">
        <v>940</v>
      </c>
      <c r="DY1" s="1" t="s">
        <v>941</v>
      </c>
      <c r="DZ1" s="1" t="s">
        <v>942</v>
      </c>
      <c r="EA1" s="1" t="s">
        <v>943</v>
      </c>
      <c r="EB1" s="1" t="s">
        <v>944</v>
      </c>
      <c r="EC1" s="1" t="s">
        <v>945</v>
      </c>
      <c r="ED1" s="1" t="s">
        <v>946</v>
      </c>
      <c r="EE1" s="1" t="s">
        <v>947</v>
      </c>
      <c r="EF1" s="1" t="s">
        <v>948</v>
      </c>
      <c r="EG1" s="1" t="s">
        <v>949</v>
      </c>
      <c r="EH1" s="1" t="s">
        <v>950</v>
      </c>
      <c r="EI1" s="1" t="s">
        <v>951</v>
      </c>
      <c r="EJ1" s="1" t="s">
        <v>952</v>
      </c>
      <c r="EK1" s="1" t="s">
        <v>953</v>
      </c>
      <c r="EL1" s="1" t="s">
        <v>954</v>
      </c>
      <c r="EM1" s="1" t="s">
        <v>955</v>
      </c>
      <c r="EN1" s="1" t="s">
        <v>956</v>
      </c>
      <c r="EO1" s="1" t="s">
        <v>957</v>
      </c>
      <c r="EP1" s="1" t="s">
        <v>958</v>
      </c>
      <c r="EQ1" s="1" t="s">
        <v>959</v>
      </c>
      <c r="ER1" s="1" t="s">
        <v>960</v>
      </c>
    </row>
    <row r="2">
      <c r="A2" s="9" t="s">
        <v>961</v>
      </c>
      <c r="B2" s="20" t="str">
        <f>IFERROR(__xludf.DUMMYFUNCTION("REGEXREPLACE(A2, ""^https?://[^/]+"", """")"),"/")</f>
        <v>/</v>
      </c>
      <c r="C2" s="1" t="s">
        <v>962</v>
      </c>
      <c r="D2" s="1" t="s">
        <v>963</v>
      </c>
      <c r="E2" s="1" t="s">
        <v>964</v>
      </c>
      <c r="F2" s="1" t="s">
        <v>965</v>
      </c>
      <c r="G2" s="1">
        <v>200.0</v>
      </c>
      <c r="H2" s="1" t="s">
        <v>966</v>
      </c>
      <c r="I2" s="1" t="s">
        <v>967</v>
      </c>
      <c r="K2" s="1" t="s">
        <v>968</v>
      </c>
      <c r="L2" s="1">
        <v>60.0</v>
      </c>
      <c r="M2" s="1">
        <v>543.0</v>
      </c>
      <c r="O2" s="1">
        <v>0.0</v>
      </c>
      <c r="P2" s="1">
        <v>0.0</v>
      </c>
      <c r="Q2" s="1" t="s">
        <v>969</v>
      </c>
      <c r="R2" s="1">
        <v>162.0</v>
      </c>
      <c r="S2" s="1">
        <v>1020.0</v>
      </c>
      <c r="U2" s="1">
        <v>0.0</v>
      </c>
      <c r="V2" s="1" t="s">
        <v>962</v>
      </c>
      <c r="W2" s="1">
        <v>47.0</v>
      </c>
      <c r="X2" s="1" t="s">
        <v>970</v>
      </c>
      <c r="Y2" s="1">
        <v>12.0</v>
      </c>
      <c r="Z2" s="1" t="s">
        <v>963</v>
      </c>
      <c r="AA2" s="1">
        <v>24.0</v>
      </c>
      <c r="AB2" s="1" t="s">
        <v>964</v>
      </c>
      <c r="AC2" s="1">
        <v>25.0</v>
      </c>
      <c r="AD2" s="1" t="s">
        <v>971</v>
      </c>
      <c r="AG2" s="9" t="s">
        <v>961</v>
      </c>
      <c r="AM2" s="1">
        <v>749412.0</v>
      </c>
      <c r="AN2" s="1">
        <v>234736.0</v>
      </c>
      <c r="AO2" s="1">
        <v>234736.0</v>
      </c>
      <c r="AP2" s="1">
        <v>89.923</v>
      </c>
      <c r="AR2" s="1">
        <v>1084.0</v>
      </c>
      <c r="AS2" s="1">
        <v>188.0</v>
      </c>
      <c r="AT2" s="1">
        <v>5.766</v>
      </c>
      <c r="AU2" s="1">
        <v>54.571</v>
      </c>
      <c r="AV2" s="1" t="s">
        <v>972</v>
      </c>
      <c r="AW2" s="1">
        <v>1.671</v>
      </c>
      <c r="AX2" s="1">
        <v>0.0</v>
      </c>
      <c r="AY2" s="1">
        <v>0.0</v>
      </c>
      <c r="AZ2" s="1">
        <v>51.0</v>
      </c>
      <c r="BA2" s="1">
        <v>833.0</v>
      </c>
      <c r="BB2" s="1">
        <v>754.0</v>
      </c>
      <c r="BC2" s="1">
        <v>0.0</v>
      </c>
      <c r="BD2" s="1">
        <v>100.0</v>
      </c>
      <c r="BE2" s="1">
        <v>155.0</v>
      </c>
      <c r="BF2" s="1">
        <v>49.0</v>
      </c>
      <c r="BG2" s="1">
        <v>0.0</v>
      </c>
      <c r="BH2" s="1">
        <v>23.0</v>
      </c>
      <c r="BI2" s="1">
        <v>15.0</v>
      </c>
      <c r="BJ2" s="1">
        <v>0.0</v>
      </c>
      <c r="BO2" s="1" t="s">
        <v>973</v>
      </c>
      <c r="BP2" s="1">
        <v>1.503</v>
      </c>
      <c r="BU2" s="1" t="s">
        <v>974</v>
      </c>
      <c r="BV2" s="1">
        <v>1.1</v>
      </c>
      <c r="BW2" s="1">
        <v>46.0</v>
      </c>
      <c r="BX2" s="1">
        <v>3483.699</v>
      </c>
      <c r="BY2" s="1">
        <v>11076.143</v>
      </c>
      <c r="BZ2" s="1">
        <v>8477.052</v>
      </c>
      <c r="CA2" s="1">
        <v>18820.639</v>
      </c>
      <c r="CB2" s="1">
        <v>547.5</v>
      </c>
      <c r="CC2" s="1">
        <v>0.0</v>
      </c>
      <c r="CD2" s="1">
        <v>640679.0</v>
      </c>
      <c r="CE2" s="1">
        <v>1200.0</v>
      </c>
      <c r="CF2" s="1">
        <v>193.0</v>
      </c>
      <c r="CG2" s="1">
        <v>3456960.0</v>
      </c>
      <c r="CH2" s="1">
        <v>223563.0</v>
      </c>
      <c r="CI2" s="1">
        <v>2.0</v>
      </c>
      <c r="CJ2" s="1">
        <v>1087842.0</v>
      </c>
      <c r="CK2" s="1">
        <v>44.0</v>
      </c>
      <c r="CL2" s="1">
        <v>118644.0</v>
      </c>
      <c r="CM2" s="1">
        <v>42.0</v>
      </c>
      <c r="CN2" s="1">
        <v>1756303.0</v>
      </c>
      <c r="CO2" s="1">
        <v>70.0</v>
      </c>
      <c r="CP2" s="1">
        <v>244245.0</v>
      </c>
      <c r="CQ2" s="1">
        <v>5.0</v>
      </c>
      <c r="CR2" s="1">
        <v>0.0</v>
      </c>
      <c r="CS2" s="1">
        <v>0.0</v>
      </c>
      <c r="CT2" s="1">
        <v>26363.0</v>
      </c>
      <c r="CU2" s="1">
        <v>30.0</v>
      </c>
      <c r="CV2" s="1">
        <v>1505251.0</v>
      </c>
      <c r="CW2" s="1">
        <v>90.0</v>
      </c>
      <c r="DC2" s="1">
        <v>0.0</v>
      </c>
      <c r="DD2" s="1">
        <v>5075.0</v>
      </c>
      <c r="DE2" s="1">
        <v>0.0</v>
      </c>
      <c r="DF2" s="1">
        <v>3395.0</v>
      </c>
      <c r="DG2" s="1">
        <v>150.0</v>
      </c>
      <c r="DH2" s="1">
        <v>40137.0</v>
      </c>
      <c r="DI2" s="1">
        <v>1050.0</v>
      </c>
      <c r="DJ2" s="1">
        <v>592072.0</v>
      </c>
      <c r="DK2" s="1">
        <v>2259.466</v>
      </c>
      <c r="DL2" s="1" t="s">
        <v>975</v>
      </c>
      <c r="DM2" s="1">
        <v>8762.409</v>
      </c>
      <c r="DN2" s="1" t="s">
        <v>975</v>
      </c>
      <c r="DO2" s="1">
        <v>3456624.0</v>
      </c>
      <c r="DP2" s="1">
        <v>1.0</v>
      </c>
      <c r="DQ2" s="1" t="s">
        <v>976</v>
      </c>
      <c r="DR2" s="1" t="s">
        <v>977</v>
      </c>
      <c r="DS2" s="1" t="s">
        <v>978</v>
      </c>
      <c r="DT2" s="1" t="s">
        <v>979</v>
      </c>
      <c r="DU2" s="1" t="s">
        <v>980</v>
      </c>
      <c r="DV2" s="1">
        <v>14509.0</v>
      </c>
      <c r="DX2" s="1">
        <v>6584.0</v>
      </c>
      <c r="DY2" s="1">
        <v>1014690.0</v>
      </c>
      <c r="DZ2" s="1" t="s">
        <v>981</v>
      </c>
      <c r="EA2" s="1">
        <v>1885.0</v>
      </c>
      <c r="EB2" s="1">
        <v>493678.0</v>
      </c>
      <c r="EC2" s="1">
        <v>70.0</v>
      </c>
      <c r="ED2" s="1">
        <v>26482.0</v>
      </c>
      <c r="EF2" s="1">
        <v>245.0</v>
      </c>
      <c r="EG2" s="1" t="s">
        <v>982</v>
      </c>
      <c r="EH2" s="1">
        <v>100.0</v>
      </c>
      <c r="EK2" s="1">
        <v>100.0</v>
      </c>
      <c r="EQ2" s="9" t="s">
        <v>961</v>
      </c>
      <c r="ER2" s="21">
        <v>46045.29754629629</v>
      </c>
    </row>
    <row r="3">
      <c r="A3" s="9" t="s">
        <v>983</v>
      </c>
      <c r="B3" s="20" t="str">
        <f>IFERROR(__xludf.DUMMYFUNCTION("REGEXREPLACE(A3, ""^https?://[^/]+"", """")"),"/wp-includes/js/jquery/ui/core.min.js?ver=1.13.3")</f>
        <v>/wp-includes/js/jquery/ui/core.min.js?ver=1.13.3</v>
      </c>
      <c r="F3" s="1" t="s">
        <v>984</v>
      </c>
      <c r="G3" s="1">
        <v>200.0</v>
      </c>
      <c r="H3" s="1" t="s">
        <v>966</v>
      </c>
      <c r="I3" s="1" t="s">
        <v>967</v>
      </c>
      <c r="L3" s="1">
        <v>0.0</v>
      </c>
      <c r="M3" s="1">
        <v>0.0</v>
      </c>
      <c r="O3" s="1">
        <v>0.0</v>
      </c>
      <c r="P3" s="1">
        <v>0.0</v>
      </c>
      <c r="R3" s="1">
        <v>0.0</v>
      </c>
      <c r="S3" s="1">
        <v>0.0</v>
      </c>
      <c r="U3" s="1">
        <v>0.0</v>
      </c>
      <c r="W3" s="1">
        <v>0.0</v>
      </c>
      <c r="Y3" s="1">
        <v>0.0</v>
      </c>
      <c r="AA3" s="1">
        <v>0.0</v>
      </c>
      <c r="AC3" s="1">
        <v>0.0</v>
      </c>
      <c r="AM3" s="1">
        <v>7106.0</v>
      </c>
      <c r="AN3" s="1">
        <v>7106.0</v>
      </c>
      <c r="AO3" s="1">
        <v>7106.0</v>
      </c>
      <c r="AP3" s="1">
        <v>2.722</v>
      </c>
      <c r="AR3" s="1">
        <v>0.0</v>
      </c>
      <c r="AW3" s="1">
        <v>0.0</v>
      </c>
      <c r="AX3" s="1">
        <v>1.0</v>
      </c>
      <c r="AY3" s="1">
        <v>4.0</v>
      </c>
      <c r="BA3" s="1">
        <v>0.0</v>
      </c>
      <c r="BB3" s="1">
        <v>0.0</v>
      </c>
      <c r="BC3" s="1">
        <v>0.0</v>
      </c>
      <c r="BD3" s="1">
        <v>0.0</v>
      </c>
      <c r="BE3" s="1">
        <v>0.0</v>
      </c>
      <c r="BF3" s="1">
        <v>0.0</v>
      </c>
      <c r="BG3" s="1">
        <v>0.0</v>
      </c>
      <c r="BH3" s="1">
        <v>0.0</v>
      </c>
      <c r="BI3" s="1">
        <v>0.0</v>
      </c>
      <c r="BJ3" s="1">
        <v>0.0</v>
      </c>
      <c r="BP3" s="1">
        <v>0.277</v>
      </c>
      <c r="BQ3" s="1" t="s">
        <v>985</v>
      </c>
      <c r="BV3" s="1">
        <v>1.1</v>
      </c>
      <c r="EQ3" s="9" t="s">
        <v>983</v>
      </c>
      <c r="ER3" s="21">
        <v>46045.29759259259</v>
      </c>
    </row>
    <row r="4">
      <c r="A4" s="9" t="s">
        <v>986</v>
      </c>
      <c r="B4" s="20" t="str">
        <f>IFERROR(__xludf.DUMMYFUNCTION("REGEXREPLACE(A4, ""^https?://[^/]+"", """")"),"/privacy-policy/")</f>
        <v>/privacy-policy/</v>
      </c>
      <c r="C4" s="1" t="s">
        <v>987</v>
      </c>
      <c r="F4" s="1" t="s">
        <v>965</v>
      </c>
      <c r="G4" s="1">
        <v>200.0</v>
      </c>
      <c r="H4" s="1" t="s">
        <v>966</v>
      </c>
      <c r="I4" s="1" t="s">
        <v>967</v>
      </c>
      <c r="K4" s="1" t="s">
        <v>988</v>
      </c>
      <c r="L4" s="1">
        <v>34.0</v>
      </c>
      <c r="M4" s="1">
        <v>294.0</v>
      </c>
      <c r="O4" s="1">
        <v>0.0</v>
      </c>
      <c r="P4" s="1">
        <v>0.0</v>
      </c>
      <c r="Q4" s="1" t="s">
        <v>989</v>
      </c>
      <c r="R4" s="1">
        <v>32.0</v>
      </c>
      <c r="S4" s="1">
        <v>195.0</v>
      </c>
      <c r="U4" s="1">
        <v>0.0</v>
      </c>
      <c r="V4" s="1" t="s">
        <v>987</v>
      </c>
      <c r="W4" s="1">
        <v>14.0</v>
      </c>
      <c r="Y4" s="1">
        <v>0.0</v>
      </c>
      <c r="AA4" s="1">
        <v>0.0</v>
      </c>
      <c r="AC4" s="1">
        <v>0.0</v>
      </c>
      <c r="AD4" s="1" t="s">
        <v>971</v>
      </c>
      <c r="AG4" s="9" t="s">
        <v>986</v>
      </c>
      <c r="AM4" s="1">
        <v>155868.0</v>
      </c>
      <c r="AN4" s="1">
        <v>31691.0</v>
      </c>
      <c r="AO4" s="1">
        <v>31691.0</v>
      </c>
      <c r="AP4" s="1">
        <v>12.14</v>
      </c>
      <c r="AR4" s="1">
        <v>1736.0</v>
      </c>
      <c r="AS4" s="1">
        <v>248.0</v>
      </c>
      <c r="AT4" s="1">
        <v>7.0</v>
      </c>
      <c r="AU4" s="1">
        <v>60.159</v>
      </c>
      <c r="AV4" s="1" t="s">
        <v>990</v>
      </c>
      <c r="AW4" s="1">
        <v>8.422</v>
      </c>
      <c r="AX4" s="1">
        <v>1.0</v>
      </c>
      <c r="AY4" s="1">
        <v>1.0</v>
      </c>
      <c r="AZ4" s="1">
        <v>51.0</v>
      </c>
      <c r="BA4" s="1">
        <v>754.0</v>
      </c>
      <c r="BB4" s="1">
        <v>754.0</v>
      </c>
      <c r="BC4" s="1">
        <v>0.0</v>
      </c>
      <c r="BD4" s="1">
        <v>100.0</v>
      </c>
      <c r="BE4" s="1">
        <v>122.0</v>
      </c>
      <c r="BF4" s="1">
        <v>42.0</v>
      </c>
      <c r="BG4" s="1">
        <v>0.0</v>
      </c>
      <c r="BH4" s="1">
        <v>17.0</v>
      </c>
      <c r="BI4" s="1">
        <v>9.0</v>
      </c>
      <c r="BJ4" s="1">
        <v>0.0</v>
      </c>
      <c r="BO4" s="1" t="s">
        <v>991</v>
      </c>
      <c r="BP4" s="1">
        <v>1.377</v>
      </c>
      <c r="BU4" s="1" t="s">
        <v>974</v>
      </c>
      <c r="BV4" s="1">
        <v>1.1</v>
      </c>
      <c r="BW4" s="1">
        <v>63.0</v>
      </c>
      <c r="BX4" s="1">
        <v>3301.045</v>
      </c>
      <c r="BY4" s="1">
        <v>9498.224</v>
      </c>
      <c r="BZ4" s="1">
        <v>5851.083</v>
      </c>
      <c r="CA4" s="1">
        <v>17963.547</v>
      </c>
      <c r="CB4" s="1">
        <v>85.5</v>
      </c>
      <c r="CC4" s="1">
        <v>0.002</v>
      </c>
      <c r="CD4" s="1">
        <v>652279.0</v>
      </c>
      <c r="CE4" s="1">
        <v>1470.0</v>
      </c>
      <c r="CF4" s="1">
        <v>155.0</v>
      </c>
      <c r="CG4" s="1">
        <v>2199934.0</v>
      </c>
      <c r="CH4" s="1">
        <v>33025.0</v>
      </c>
      <c r="CI4" s="1">
        <v>2.0</v>
      </c>
      <c r="CJ4" s="1">
        <v>17473.0</v>
      </c>
      <c r="CK4" s="1">
        <v>15.0</v>
      </c>
      <c r="CL4" s="1">
        <v>110635.0</v>
      </c>
      <c r="CM4" s="1">
        <v>36.0</v>
      </c>
      <c r="CN4" s="1">
        <v>1747376.0</v>
      </c>
      <c r="CO4" s="1">
        <v>67.0</v>
      </c>
      <c r="CP4" s="1">
        <v>266182.0</v>
      </c>
      <c r="CQ4" s="1">
        <v>6.0</v>
      </c>
      <c r="CR4" s="1">
        <v>0.0</v>
      </c>
      <c r="CS4" s="1">
        <v>0.0</v>
      </c>
      <c r="CT4" s="1">
        <v>25243.0</v>
      </c>
      <c r="CU4" s="1">
        <v>29.0</v>
      </c>
      <c r="CV4" s="1">
        <v>1526753.0</v>
      </c>
      <c r="CW4" s="1">
        <v>66.0</v>
      </c>
      <c r="DC4" s="1">
        <v>210.0</v>
      </c>
      <c r="DD4" s="1">
        <v>5075.0</v>
      </c>
      <c r="DE4" s="1">
        <v>0.0</v>
      </c>
      <c r="DF4" s="1">
        <v>3396.0</v>
      </c>
      <c r="DG4" s="1">
        <v>510.0</v>
      </c>
      <c r="DH4" s="1">
        <v>50541.0</v>
      </c>
      <c r="DI4" s="1">
        <v>750.0</v>
      </c>
      <c r="DJ4" s="1">
        <v>593267.0</v>
      </c>
      <c r="DK4" s="1">
        <v>1147.732</v>
      </c>
      <c r="DL4" s="1" t="s">
        <v>992</v>
      </c>
      <c r="DM4" s="1">
        <v>2122.415</v>
      </c>
      <c r="DN4" s="1" t="s">
        <v>975</v>
      </c>
      <c r="DO4" s="1">
        <v>2199935.0</v>
      </c>
      <c r="DP4" s="1">
        <v>1.0</v>
      </c>
      <c r="DQ4" s="1" t="s">
        <v>976</v>
      </c>
      <c r="DR4" s="1" t="s">
        <v>993</v>
      </c>
      <c r="DS4" s="1" t="s">
        <v>978</v>
      </c>
      <c r="DU4" s="1" t="s">
        <v>994</v>
      </c>
      <c r="DV4" s="1">
        <v>13503.0</v>
      </c>
      <c r="DW4" s="1">
        <v>312.0</v>
      </c>
      <c r="DX4" s="1">
        <v>5323.0</v>
      </c>
      <c r="DY4" s="1">
        <v>579497.0</v>
      </c>
      <c r="DZ4" s="1" t="s">
        <v>981</v>
      </c>
      <c r="EA4" s="1">
        <v>807.0</v>
      </c>
      <c r="EB4" s="1">
        <v>4453.0</v>
      </c>
      <c r="EC4" s="1">
        <v>0.0</v>
      </c>
      <c r="ED4" s="1">
        <v>26491.0</v>
      </c>
      <c r="EF4" s="1">
        <v>660.0</v>
      </c>
      <c r="EG4" s="1" t="s">
        <v>982</v>
      </c>
      <c r="EH4" s="1">
        <v>100.0</v>
      </c>
      <c r="EK4" s="1">
        <v>100.0</v>
      </c>
      <c r="EQ4" s="9" t="s">
        <v>986</v>
      </c>
      <c r="ER4" s="21">
        <v>46045.29759259259</v>
      </c>
    </row>
    <row r="5">
      <c r="A5" s="9" t="s">
        <v>995</v>
      </c>
      <c r="B5" s="20" t="str">
        <f>IFERROR(__xludf.DUMMYFUNCTION("REGEXREPLACE(A5, ""^https?://[^/]+"", """")"),"/blog/")</f>
        <v>/blog/</v>
      </c>
      <c r="C5" s="1" t="s">
        <v>996</v>
      </c>
      <c r="D5" s="1" t="s">
        <v>997</v>
      </c>
      <c r="E5" s="1" t="s">
        <v>998</v>
      </c>
      <c r="F5" s="1" t="s">
        <v>965</v>
      </c>
      <c r="G5" s="1">
        <v>200.0</v>
      </c>
      <c r="H5" s="1" t="s">
        <v>966</v>
      </c>
      <c r="I5" s="1" t="s">
        <v>967</v>
      </c>
      <c r="K5" s="1" t="s">
        <v>999</v>
      </c>
      <c r="L5" s="1">
        <v>61.0</v>
      </c>
      <c r="M5" s="1">
        <v>525.0</v>
      </c>
      <c r="O5" s="1">
        <v>0.0</v>
      </c>
      <c r="P5" s="1">
        <v>0.0</v>
      </c>
      <c r="Q5" s="1" t="s">
        <v>1000</v>
      </c>
      <c r="R5" s="1">
        <v>128.0</v>
      </c>
      <c r="S5" s="1">
        <v>768.0</v>
      </c>
      <c r="U5" s="1">
        <v>0.0</v>
      </c>
      <c r="V5" s="1" t="s">
        <v>996</v>
      </c>
      <c r="W5" s="1">
        <v>53.0</v>
      </c>
      <c r="Y5" s="1">
        <v>0.0</v>
      </c>
      <c r="Z5" s="1" t="s">
        <v>997</v>
      </c>
      <c r="AA5" s="1">
        <v>48.0</v>
      </c>
      <c r="AB5" s="1" t="s">
        <v>998</v>
      </c>
      <c r="AC5" s="1">
        <v>16.0</v>
      </c>
      <c r="AD5" s="1" t="s">
        <v>971</v>
      </c>
      <c r="AG5" s="9" t="s">
        <v>995</v>
      </c>
      <c r="AM5" s="1">
        <v>187541.0</v>
      </c>
      <c r="AN5" s="1">
        <v>33755.0</v>
      </c>
      <c r="AO5" s="1">
        <v>33755.0</v>
      </c>
      <c r="AP5" s="1">
        <v>12.931</v>
      </c>
      <c r="AR5" s="1">
        <v>1117.0</v>
      </c>
      <c r="AS5" s="1">
        <v>210.0</v>
      </c>
      <c r="AT5" s="1">
        <v>5.319</v>
      </c>
      <c r="AU5" s="1">
        <v>67.152</v>
      </c>
      <c r="AV5" s="1" t="s">
        <v>990</v>
      </c>
      <c r="AW5" s="1">
        <v>4.895</v>
      </c>
      <c r="AX5" s="1">
        <v>1.0</v>
      </c>
      <c r="AY5" s="1">
        <v>1.0</v>
      </c>
      <c r="AZ5" s="1">
        <v>52.0</v>
      </c>
      <c r="BA5" s="1">
        <v>3020.0</v>
      </c>
      <c r="BB5" s="1">
        <v>754.0</v>
      </c>
      <c r="BC5" s="1">
        <v>0.0</v>
      </c>
      <c r="BD5" s="1">
        <v>100.0</v>
      </c>
      <c r="BE5" s="1">
        <v>149.0</v>
      </c>
      <c r="BF5" s="1">
        <v>53.0</v>
      </c>
      <c r="BG5" s="1">
        <v>0.0</v>
      </c>
      <c r="BH5" s="1">
        <v>16.0</v>
      </c>
      <c r="BI5" s="1">
        <v>8.0</v>
      </c>
      <c r="BJ5" s="1">
        <v>0.0</v>
      </c>
      <c r="BO5" s="1" t="s">
        <v>1001</v>
      </c>
      <c r="BP5" s="1">
        <v>1.567</v>
      </c>
      <c r="BU5" s="1" t="s">
        <v>974</v>
      </c>
      <c r="BV5" s="1">
        <v>1.1</v>
      </c>
      <c r="BW5" s="1">
        <v>57.0</v>
      </c>
      <c r="BX5" s="1">
        <v>3451.025</v>
      </c>
      <c r="BY5" s="1">
        <v>8592.665</v>
      </c>
      <c r="BZ5" s="1">
        <v>7502.059</v>
      </c>
      <c r="CA5" s="1">
        <v>18048.385</v>
      </c>
      <c r="CB5" s="1">
        <v>191.0</v>
      </c>
      <c r="CC5" s="1">
        <v>0.0</v>
      </c>
      <c r="CD5" s="1">
        <v>652819.0</v>
      </c>
      <c r="CE5" s="1">
        <v>1200.0</v>
      </c>
      <c r="CF5" s="1">
        <v>175.0</v>
      </c>
      <c r="CG5" s="1">
        <v>2462041.0</v>
      </c>
      <c r="CH5" s="1">
        <v>34568.0</v>
      </c>
      <c r="CI5" s="1">
        <v>2.0</v>
      </c>
      <c r="CJ5" s="1">
        <v>175038.0</v>
      </c>
      <c r="CK5" s="1">
        <v>23.0</v>
      </c>
      <c r="CL5" s="1">
        <v>119532.0</v>
      </c>
      <c r="CM5" s="1">
        <v>42.0</v>
      </c>
      <c r="CN5" s="1">
        <v>1765138.0</v>
      </c>
      <c r="CO5" s="1">
        <v>71.0</v>
      </c>
      <c r="CP5" s="1">
        <v>341323.0</v>
      </c>
      <c r="CQ5" s="1">
        <v>8.0</v>
      </c>
      <c r="CR5" s="1">
        <v>0.0</v>
      </c>
      <c r="CS5" s="1">
        <v>0.0</v>
      </c>
      <c r="CT5" s="1">
        <v>26442.0</v>
      </c>
      <c r="CU5" s="1">
        <v>29.0</v>
      </c>
      <c r="CV5" s="1">
        <v>1527688.0</v>
      </c>
      <c r="CW5" s="1">
        <v>72.0</v>
      </c>
      <c r="DC5" s="1">
        <v>0.0</v>
      </c>
      <c r="DD5" s="1">
        <v>5075.0</v>
      </c>
      <c r="DE5" s="1">
        <v>0.0</v>
      </c>
      <c r="DF5" s="1">
        <v>3401.0</v>
      </c>
      <c r="DG5" s="1">
        <v>150.0</v>
      </c>
      <c r="DH5" s="1">
        <v>50545.0</v>
      </c>
      <c r="DI5" s="1">
        <v>1050.0</v>
      </c>
      <c r="DJ5" s="1">
        <v>593798.0</v>
      </c>
      <c r="DK5" s="1">
        <v>1132.225</v>
      </c>
      <c r="DL5" s="1" t="s">
        <v>992</v>
      </c>
      <c r="DM5" s="1">
        <v>2206.643</v>
      </c>
      <c r="DN5" s="1" t="s">
        <v>975</v>
      </c>
      <c r="DO5" s="1">
        <v>2461125.0</v>
      </c>
      <c r="DP5" s="1">
        <v>1.0</v>
      </c>
      <c r="DQ5" s="1" t="s">
        <v>976</v>
      </c>
      <c r="DR5" s="1" t="s">
        <v>1002</v>
      </c>
      <c r="DS5" s="1" t="s">
        <v>978</v>
      </c>
      <c r="DU5" s="1" t="s">
        <v>994</v>
      </c>
      <c r="DV5" s="1">
        <v>14240.0</v>
      </c>
      <c r="DX5" s="1">
        <v>5090.0</v>
      </c>
      <c r="DY5" s="1">
        <v>683140.0</v>
      </c>
      <c r="DZ5" s="1" t="s">
        <v>981</v>
      </c>
      <c r="EA5" s="1">
        <v>990.0</v>
      </c>
      <c r="EB5" s="1">
        <v>4453.0</v>
      </c>
      <c r="EC5" s="1">
        <v>0.0</v>
      </c>
      <c r="ED5" s="1">
        <v>26491.0</v>
      </c>
      <c r="EF5" s="1">
        <v>665.0</v>
      </c>
      <c r="EG5" s="1" t="s">
        <v>982</v>
      </c>
      <c r="EH5" s="1">
        <v>100.0</v>
      </c>
      <c r="EK5" s="1">
        <v>100.0</v>
      </c>
      <c r="EQ5" s="9" t="s">
        <v>995</v>
      </c>
      <c r="ER5" s="21">
        <v>46045.29759259259</v>
      </c>
    </row>
    <row r="6">
      <c r="A6" s="9" t="s">
        <v>1003</v>
      </c>
      <c r="B6" s="20" t="str">
        <f>IFERROR(__xludf.DUMMYFUNCTION("REGEXREPLACE(A6, ""^https?://[^/]+"", """")"),"/wp-content/uploads/2025/02/Fractional-Sales-Leader-1-1024x929.jpg")</f>
        <v>/wp-content/uploads/2025/02/Fractional-Sales-Leader-1-1024x929.jpg</v>
      </c>
      <c r="F6" s="1" t="s">
        <v>1004</v>
      </c>
      <c r="G6" s="1">
        <v>200.0</v>
      </c>
      <c r="H6" s="1" t="s">
        <v>966</v>
      </c>
      <c r="I6" s="1" t="s">
        <v>967</v>
      </c>
      <c r="L6" s="1">
        <v>0.0</v>
      </c>
      <c r="M6" s="1">
        <v>0.0</v>
      </c>
      <c r="O6" s="1">
        <v>0.0</v>
      </c>
      <c r="P6" s="1">
        <v>0.0</v>
      </c>
      <c r="R6" s="1">
        <v>0.0</v>
      </c>
      <c r="S6" s="1">
        <v>0.0</v>
      </c>
      <c r="U6" s="1">
        <v>0.0</v>
      </c>
      <c r="W6" s="1">
        <v>0.0</v>
      </c>
      <c r="Y6" s="1">
        <v>0.0</v>
      </c>
      <c r="AA6" s="1">
        <v>0.0</v>
      </c>
      <c r="AC6" s="1">
        <v>0.0</v>
      </c>
      <c r="AM6" s="1">
        <v>115655.0</v>
      </c>
      <c r="AN6" s="1">
        <v>115655.0</v>
      </c>
      <c r="AO6" s="1">
        <v>115655.0</v>
      </c>
      <c r="AP6" s="1">
        <v>44.305</v>
      </c>
      <c r="AR6" s="1">
        <v>0.0</v>
      </c>
      <c r="AW6" s="1">
        <v>0.0</v>
      </c>
      <c r="AX6" s="1">
        <v>1.0</v>
      </c>
      <c r="AY6" s="1">
        <v>4.0</v>
      </c>
      <c r="BA6" s="1">
        <v>0.0</v>
      </c>
      <c r="BB6" s="1">
        <v>0.0</v>
      </c>
      <c r="BC6" s="1">
        <v>0.0</v>
      </c>
      <c r="BD6" s="1">
        <v>0.0</v>
      </c>
      <c r="BE6" s="1">
        <v>0.0</v>
      </c>
      <c r="BF6" s="1">
        <v>0.0</v>
      </c>
      <c r="BG6" s="1">
        <v>0.0</v>
      </c>
      <c r="BH6" s="1">
        <v>0.0</v>
      </c>
      <c r="BI6" s="1">
        <v>0.0</v>
      </c>
      <c r="BJ6" s="1">
        <v>0.0</v>
      </c>
      <c r="BP6" s="1">
        <v>0.282</v>
      </c>
      <c r="BQ6" s="1" t="s">
        <v>1005</v>
      </c>
      <c r="BV6" s="1">
        <v>1.1</v>
      </c>
      <c r="EQ6" s="9" t="s">
        <v>1003</v>
      </c>
      <c r="ER6" s="21">
        <v>46045.29761574074</v>
      </c>
    </row>
    <row r="7">
      <c r="A7" s="9" t="s">
        <v>1006</v>
      </c>
      <c r="B7" s="20" t="str">
        <f>IFERROR(__xludf.DUMMYFUNCTION("REGEXREPLACE(A7, ""^https?://[^/]+"", """")"),"/wp-includes/js/dist/hooks.min.js?ver=dd5603f07f9220ed27f1")</f>
        <v>/wp-includes/js/dist/hooks.min.js?ver=dd5603f07f9220ed27f1</v>
      </c>
      <c r="F7" s="1" t="s">
        <v>984</v>
      </c>
      <c r="G7" s="1">
        <v>200.0</v>
      </c>
      <c r="H7" s="1" t="s">
        <v>966</v>
      </c>
      <c r="I7" s="1" t="s">
        <v>967</v>
      </c>
      <c r="L7" s="1">
        <v>0.0</v>
      </c>
      <c r="M7" s="1">
        <v>0.0</v>
      </c>
      <c r="O7" s="1">
        <v>0.0</v>
      </c>
      <c r="P7" s="1">
        <v>0.0</v>
      </c>
      <c r="R7" s="1">
        <v>0.0</v>
      </c>
      <c r="S7" s="1">
        <v>0.0</v>
      </c>
      <c r="U7" s="1">
        <v>0.0</v>
      </c>
      <c r="W7" s="1">
        <v>0.0</v>
      </c>
      <c r="Y7" s="1">
        <v>0.0</v>
      </c>
      <c r="AA7" s="1">
        <v>0.0</v>
      </c>
      <c r="AC7" s="1">
        <v>0.0</v>
      </c>
      <c r="AM7" s="1">
        <v>1941.0</v>
      </c>
      <c r="AN7" s="1">
        <v>1941.0</v>
      </c>
      <c r="AO7" s="1">
        <v>1941.0</v>
      </c>
      <c r="AP7" s="1">
        <v>0.744</v>
      </c>
      <c r="AR7" s="1">
        <v>0.0</v>
      </c>
      <c r="AW7" s="1">
        <v>0.0</v>
      </c>
      <c r="AX7" s="1">
        <v>1.0</v>
      </c>
      <c r="AY7" s="1">
        <v>3.0</v>
      </c>
      <c r="BA7" s="1">
        <v>0.0</v>
      </c>
      <c r="BB7" s="1">
        <v>0.0</v>
      </c>
      <c r="BC7" s="1">
        <v>0.0</v>
      </c>
      <c r="BD7" s="1">
        <v>0.0</v>
      </c>
      <c r="BE7" s="1">
        <v>0.0</v>
      </c>
      <c r="BF7" s="1">
        <v>0.0</v>
      </c>
      <c r="BG7" s="1">
        <v>0.0</v>
      </c>
      <c r="BH7" s="1">
        <v>0.0</v>
      </c>
      <c r="BI7" s="1">
        <v>0.0</v>
      </c>
      <c r="BJ7" s="1">
        <v>0.0</v>
      </c>
      <c r="BP7" s="1">
        <v>0.274</v>
      </c>
      <c r="BQ7" s="1" t="s">
        <v>1007</v>
      </c>
      <c r="BV7" s="1">
        <v>1.1</v>
      </c>
      <c r="EQ7" s="9" t="s">
        <v>1006</v>
      </c>
      <c r="ER7" s="21">
        <v>46045.29761574074</v>
      </c>
    </row>
    <row r="8">
      <c r="A8" s="9" t="s">
        <v>23</v>
      </c>
      <c r="B8" s="20" t="str">
        <f>IFERROR(__xludf.DUMMYFUNCTION("REGEXREPLACE(A8, ""^https?://[^/]+"", """")"),"/client-solutions/")</f>
        <v>/client-solutions/</v>
      </c>
      <c r="C8" s="1" t="s">
        <v>1008</v>
      </c>
      <c r="D8" s="1" t="s">
        <v>1009</v>
      </c>
      <c r="E8" s="1" t="s">
        <v>1010</v>
      </c>
      <c r="F8" s="1" t="s">
        <v>965</v>
      </c>
      <c r="G8" s="1">
        <v>200.0</v>
      </c>
      <c r="H8" s="1" t="s">
        <v>966</v>
      </c>
      <c r="I8" s="1" t="s">
        <v>967</v>
      </c>
      <c r="K8" s="1" t="s">
        <v>1011</v>
      </c>
      <c r="L8" s="1">
        <v>63.0</v>
      </c>
      <c r="M8" s="1">
        <v>566.0</v>
      </c>
      <c r="O8" s="1">
        <v>0.0</v>
      </c>
      <c r="P8" s="1">
        <v>0.0</v>
      </c>
      <c r="Q8" s="1" t="s">
        <v>1012</v>
      </c>
      <c r="R8" s="1">
        <v>165.0</v>
      </c>
      <c r="S8" s="1">
        <v>1029.0</v>
      </c>
      <c r="U8" s="1">
        <v>0.0</v>
      </c>
      <c r="V8" s="1" t="s">
        <v>1008</v>
      </c>
      <c r="W8" s="1">
        <v>42.0</v>
      </c>
      <c r="Y8" s="1">
        <v>0.0</v>
      </c>
      <c r="Z8" s="1" t="s">
        <v>1009</v>
      </c>
      <c r="AA8" s="1">
        <v>54.0</v>
      </c>
      <c r="AB8" s="1" t="s">
        <v>1010</v>
      </c>
      <c r="AC8" s="1">
        <v>45.0</v>
      </c>
      <c r="AD8" s="1" t="s">
        <v>971</v>
      </c>
      <c r="AG8" s="9" t="s">
        <v>23</v>
      </c>
      <c r="AM8" s="1">
        <v>185916.0</v>
      </c>
      <c r="AN8" s="1">
        <v>32816.0</v>
      </c>
      <c r="AO8" s="1">
        <v>32816.0</v>
      </c>
      <c r="AP8" s="1">
        <v>12.571</v>
      </c>
      <c r="AR8" s="1">
        <v>1161.0</v>
      </c>
      <c r="AS8" s="1">
        <v>189.0</v>
      </c>
      <c r="AT8" s="1">
        <v>6.143</v>
      </c>
      <c r="AU8" s="1">
        <v>58.07</v>
      </c>
      <c r="AV8" s="1" t="s">
        <v>972</v>
      </c>
      <c r="AW8" s="1">
        <v>5.276</v>
      </c>
      <c r="AX8" s="1">
        <v>1.0</v>
      </c>
      <c r="AY8" s="1">
        <v>1.0</v>
      </c>
      <c r="AZ8" s="1">
        <v>51.0</v>
      </c>
      <c r="BA8" s="1">
        <v>3028.0</v>
      </c>
      <c r="BB8" s="1">
        <v>754.0</v>
      </c>
      <c r="BC8" s="1">
        <v>0.0</v>
      </c>
      <c r="BD8" s="1">
        <v>100.0</v>
      </c>
      <c r="BE8" s="1">
        <v>133.0</v>
      </c>
      <c r="BF8" s="1">
        <v>42.0</v>
      </c>
      <c r="BG8" s="1">
        <v>0.0</v>
      </c>
      <c r="BH8" s="1">
        <v>18.0</v>
      </c>
      <c r="BI8" s="1">
        <v>9.0</v>
      </c>
      <c r="BJ8" s="1">
        <v>0.0</v>
      </c>
      <c r="BO8" s="1" t="s">
        <v>1013</v>
      </c>
      <c r="BP8" s="1">
        <v>2.036</v>
      </c>
      <c r="BU8" s="1" t="s">
        <v>974</v>
      </c>
      <c r="BV8" s="1">
        <v>1.1</v>
      </c>
      <c r="BW8" s="1">
        <v>52.0</v>
      </c>
      <c r="BX8" s="1">
        <v>3451.03</v>
      </c>
      <c r="BY8" s="1">
        <v>6824.549</v>
      </c>
      <c r="BZ8" s="1">
        <v>7651.07</v>
      </c>
      <c r="CA8" s="1">
        <v>18030.395</v>
      </c>
      <c r="CB8" s="1">
        <v>423.0</v>
      </c>
      <c r="CC8" s="1">
        <v>0.008</v>
      </c>
      <c r="CD8" s="1">
        <v>652554.0</v>
      </c>
      <c r="CE8" s="1">
        <v>1050.0</v>
      </c>
      <c r="CF8" s="1">
        <v>165.0</v>
      </c>
      <c r="CG8" s="1">
        <v>2580585.0</v>
      </c>
      <c r="CH8" s="1">
        <v>34342.0</v>
      </c>
      <c r="CI8" s="1">
        <v>2.0</v>
      </c>
      <c r="CJ8" s="1">
        <v>342637.0</v>
      </c>
      <c r="CK8" s="1">
        <v>22.0</v>
      </c>
      <c r="CL8" s="1">
        <v>113095.0</v>
      </c>
      <c r="CM8" s="1">
        <v>37.0</v>
      </c>
      <c r="CN8" s="1">
        <v>1749022.0</v>
      </c>
      <c r="CO8" s="1">
        <v>69.0</v>
      </c>
      <c r="CP8" s="1">
        <v>316830.0</v>
      </c>
      <c r="CQ8" s="1">
        <v>7.0</v>
      </c>
      <c r="CR8" s="1">
        <v>0.0</v>
      </c>
      <c r="CS8" s="1">
        <v>0.0</v>
      </c>
      <c r="CT8" s="1">
        <v>24659.0</v>
      </c>
      <c r="CU8" s="1">
        <v>28.0</v>
      </c>
      <c r="CV8" s="1">
        <v>1526775.0</v>
      </c>
      <c r="CW8" s="1">
        <v>69.0</v>
      </c>
      <c r="DC8" s="1">
        <v>0.0</v>
      </c>
      <c r="DD8" s="1">
        <v>5075.0</v>
      </c>
      <c r="DE8" s="1">
        <v>0.0</v>
      </c>
      <c r="DF8" s="1">
        <v>3396.0</v>
      </c>
      <c r="DG8" s="1">
        <v>150.0</v>
      </c>
      <c r="DH8" s="1">
        <v>50502.0</v>
      </c>
      <c r="DI8" s="1">
        <v>900.0</v>
      </c>
      <c r="DJ8" s="1">
        <v>593581.0</v>
      </c>
      <c r="DK8" s="1">
        <v>1776.936</v>
      </c>
      <c r="DL8" s="1" t="s">
        <v>975</v>
      </c>
      <c r="DM8" s="1">
        <v>3219.756</v>
      </c>
      <c r="DN8" s="1" t="s">
        <v>975</v>
      </c>
      <c r="DO8" s="1">
        <v>2580157.0</v>
      </c>
      <c r="DP8" s="1">
        <v>1.0</v>
      </c>
      <c r="DQ8" s="1" t="s">
        <v>976</v>
      </c>
      <c r="DR8" s="1" t="s">
        <v>1014</v>
      </c>
      <c r="DS8" s="1" t="s">
        <v>978</v>
      </c>
      <c r="DT8" s="1" t="s">
        <v>979</v>
      </c>
      <c r="DU8" s="1" t="s">
        <v>980</v>
      </c>
      <c r="DV8" s="1">
        <v>12640.0</v>
      </c>
      <c r="DX8" s="1">
        <v>3806.0</v>
      </c>
      <c r="DY8" s="1">
        <v>731215.0</v>
      </c>
      <c r="DZ8" s="1" t="s">
        <v>981</v>
      </c>
      <c r="EA8" s="1">
        <v>1024.0</v>
      </c>
      <c r="EB8" s="1">
        <v>29477.0</v>
      </c>
      <c r="EC8" s="1">
        <v>1.0</v>
      </c>
      <c r="ED8" s="1">
        <v>26491.0</v>
      </c>
      <c r="EF8" s="1">
        <v>260.0</v>
      </c>
      <c r="EG8" s="1" t="s">
        <v>982</v>
      </c>
      <c r="EH8" s="1">
        <v>100.0</v>
      </c>
      <c r="EK8" s="1">
        <v>100.0</v>
      </c>
      <c r="EQ8" s="9" t="s">
        <v>23</v>
      </c>
      <c r="ER8" s="21">
        <v>46045.29759259259</v>
      </c>
    </row>
    <row r="9">
      <c r="A9" s="9" t="s">
        <v>1015</v>
      </c>
      <c r="B9" s="20" t="str">
        <f>IFERROR(__xludf.DUMMYFUNCTION("REGEXREPLACE(A9, ""^https?://[^/]+"", """")"),"/wp-content/plugins/elementor/assets/css/frontend.min.css?ver=3.34.0")</f>
        <v>/wp-content/plugins/elementor/assets/css/frontend.min.css?ver=3.34.0</v>
      </c>
      <c r="F9" s="1" t="s">
        <v>1016</v>
      </c>
      <c r="G9" s="1">
        <v>200.0</v>
      </c>
      <c r="H9" s="1" t="s">
        <v>966</v>
      </c>
      <c r="I9" s="1" t="s">
        <v>967</v>
      </c>
      <c r="L9" s="1">
        <v>0.0</v>
      </c>
      <c r="M9" s="1">
        <v>0.0</v>
      </c>
      <c r="O9" s="1">
        <v>0.0</v>
      </c>
      <c r="P9" s="1">
        <v>0.0</v>
      </c>
      <c r="R9" s="1">
        <v>0.0</v>
      </c>
      <c r="S9" s="1">
        <v>0.0</v>
      </c>
      <c r="U9" s="1">
        <v>0.0</v>
      </c>
      <c r="W9" s="1">
        <v>0.0</v>
      </c>
      <c r="Y9" s="1">
        <v>0.0</v>
      </c>
      <c r="AA9" s="1">
        <v>0.0</v>
      </c>
      <c r="AC9" s="1">
        <v>0.0</v>
      </c>
      <c r="AM9" s="1">
        <v>7244.0</v>
      </c>
      <c r="AN9" s="1">
        <v>7244.0</v>
      </c>
      <c r="AO9" s="1">
        <v>7244.0</v>
      </c>
      <c r="AP9" s="1">
        <v>2.775</v>
      </c>
      <c r="AR9" s="1">
        <v>0.0</v>
      </c>
      <c r="AW9" s="1">
        <v>0.0</v>
      </c>
      <c r="AX9" s="1">
        <v>1.0</v>
      </c>
      <c r="AY9" s="1">
        <v>5.0</v>
      </c>
      <c r="BA9" s="1">
        <v>0.0</v>
      </c>
      <c r="BB9" s="1">
        <v>0.0</v>
      </c>
      <c r="BC9" s="1">
        <v>0.0</v>
      </c>
      <c r="BD9" s="1">
        <v>0.0</v>
      </c>
      <c r="BE9" s="1">
        <v>0.0</v>
      </c>
      <c r="BF9" s="1">
        <v>0.0</v>
      </c>
      <c r="BG9" s="1">
        <v>0.0</v>
      </c>
      <c r="BH9" s="1">
        <v>0.0</v>
      </c>
      <c r="BI9" s="1">
        <v>0.0</v>
      </c>
      <c r="BJ9" s="1">
        <v>0.0</v>
      </c>
      <c r="BP9" s="1">
        <v>0.282</v>
      </c>
      <c r="BQ9" s="1" t="s">
        <v>1017</v>
      </c>
      <c r="BV9" s="1">
        <v>1.1</v>
      </c>
      <c r="EQ9" s="9" t="s">
        <v>1015</v>
      </c>
      <c r="ER9" s="21">
        <v>46045.297627314816</v>
      </c>
    </row>
    <row r="10">
      <c r="A10" s="9" t="s">
        <v>70</v>
      </c>
      <c r="B10" s="20" t="str">
        <f>IFERROR(__xludf.DUMMYFUNCTION("REGEXREPLACE(A10, ""^https?://[^/]+"", """")"),"/sales-team/")</f>
        <v>/sales-team/</v>
      </c>
      <c r="C10" s="1" t="s">
        <v>1018</v>
      </c>
      <c r="D10" s="1" t="s">
        <v>1019</v>
      </c>
      <c r="E10" s="1" t="s">
        <v>1020</v>
      </c>
      <c r="F10" s="1" t="s">
        <v>965</v>
      </c>
      <c r="G10" s="1">
        <v>200.0</v>
      </c>
      <c r="H10" s="1" t="s">
        <v>966</v>
      </c>
      <c r="I10" s="1" t="s">
        <v>967</v>
      </c>
      <c r="K10" s="1" t="s">
        <v>1021</v>
      </c>
      <c r="L10" s="1">
        <v>72.0</v>
      </c>
      <c r="M10" s="1">
        <v>684.0</v>
      </c>
      <c r="O10" s="1">
        <v>0.0</v>
      </c>
      <c r="P10" s="1">
        <v>0.0</v>
      </c>
      <c r="Q10" s="1" t="s">
        <v>1022</v>
      </c>
      <c r="R10" s="1">
        <v>160.0</v>
      </c>
      <c r="S10" s="1">
        <v>979.0</v>
      </c>
      <c r="U10" s="1">
        <v>0.0</v>
      </c>
      <c r="V10" s="1" t="s">
        <v>1018</v>
      </c>
      <c r="W10" s="1">
        <v>31.0</v>
      </c>
      <c r="Y10" s="1">
        <v>0.0</v>
      </c>
      <c r="Z10" s="1" t="s">
        <v>1019</v>
      </c>
      <c r="AA10" s="1">
        <v>49.0</v>
      </c>
      <c r="AB10" s="1" t="s">
        <v>1020</v>
      </c>
      <c r="AC10" s="1">
        <v>25.0</v>
      </c>
      <c r="AD10" s="1" t="s">
        <v>971</v>
      </c>
      <c r="AG10" s="9" t="s">
        <v>70</v>
      </c>
      <c r="AM10" s="1">
        <v>585622.0</v>
      </c>
      <c r="AN10" s="1">
        <v>167805.0</v>
      </c>
      <c r="AO10" s="1">
        <v>167805.0</v>
      </c>
      <c r="AP10" s="1">
        <v>64.283</v>
      </c>
      <c r="AR10" s="1">
        <v>1167.0</v>
      </c>
      <c r="AS10" s="1">
        <v>193.0</v>
      </c>
      <c r="AT10" s="1">
        <v>6.047</v>
      </c>
      <c r="AU10" s="1">
        <v>58.103</v>
      </c>
      <c r="AV10" s="1" t="s">
        <v>972</v>
      </c>
      <c r="AW10" s="1">
        <v>1.87</v>
      </c>
      <c r="AX10" s="1">
        <v>1.0</v>
      </c>
      <c r="AY10" s="1">
        <v>1.0</v>
      </c>
      <c r="AZ10" s="1">
        <v>51.0</v>
      </c>
      <c r="BA10" s="1">
        <v>2289.0</v>
      </c>
      <c r="BB10" s="1">
        <v>754.0</v>
      </c>
      <c r="BC10" s="1">
        <v>0.0</v>
      </c>
      <c r="BD10" s="1">
        <v>100.0</v>
      </c>
      <c r="BE10" s="1">
        <v>134.0</v>
      </c>
      <c r="BF10" s="1">
        <v>45.0</v>
      </c>
      <c r="BG10" s="1">
        <v>0.0</v>
      </c>
      <c r="BH10" s="1">
        <v>16.0</v>
      </c>
      <c r="BI10" s="1">
        <v>8.0</v>
      </c>
      <c r="BJ10" s="1">
        <v>0.0</v>
      </c>
      <c r="BO10" s="1" t="s">
        <v>1023</v>
      </c>
      <c r="BP10" s="1">
        <v>1.037</v>
      </c>
      <c r="BU10" s="1" t="s">
        <v>974</v>
      </c>
      <c r="BV10" s="1">
        <v>1.1</v>
      </c>
      <c r="BW10" s="1">
        <v>43.0</v>
      </c>
      <c r="BX10" s="1">
        <v>4051.026</v>
      </c>
      <c r="BY10" s="1">
        <v>8900.939</v>
      </c>
      <c r="BZ10" s="1">
        <v>6913.624</v>
      </c>
      <c r="CA10" s="1">
        <v>19438.924</v>
      </c>
      <c r="CB10" s="1">
        <v>699.031</v>
      </c>
      <c r="CC10" s="1">
        <v>0.008</v>
      </c>
      <c r="CD10" s="1">
        <v>664646.0</v>
      </c>
      <c r="CE10" s="1">
        <v>1360.0</v>
      </c>
      <c r="CF10" s="1">
        <v>179.0</v>
      </c>
      <c r="CG10" s="1">
        <v>2394913.0</v>
      </c>
      <c r="CH10" s="1">
        <v>159012.0</v>
      </c>
      <c r="CI10" s="1">
        <v>2.0</v>
      </c>
      <c r="CJ10" s="1">
        <v>17648.0</v>
      </c>
      <c r="CK10" s="1">
        <v>23.0</v>
      </c>
      <c r="CL10" s="1">
        <v>127574.0</v>
      </c>
      <c r="CM10" s="1">
        <v>47.0</v>
      </c>
      <c r="CN10" s="1">
        <v>1798717.0</v>
      </c>
      <c r="CO10" s="1">
        <v>72.0</v>
      </c>
      <c r="CP10" s="1">
        <v>266193.0</v>
      </c>
      <c r="CQ10" s="1">
        <v>6.0</v>
      </c>
      <c r="CR10" s="1">
        <v>0.0</v>
      </c>
      <c r="CS10" s="1">
        <v>0.0</v>
      </c>
      <c r="CT10" s="1">
        <v>25769.0</v>
      </c>
      <c r="CU10" s="1">
        <v>29.0</v>
      </c>
      <c r="CV10" s="1">
        <v>1526933.0</v>
      </c>
      <c r="CW10" s="1">
        <v>74.0</v>
      </c>
      <c r="DC10" s="1">
        <v>0.0</v>
      </c>
      <c r="DD10" s="1">
        <v>5075.0</v>
      </c>
      <c r="DE10" s="1">
        <v>0.0</v>
      </c>
      <c r="DF10" s="1">
        <v>3396.0</v>
      </c>
      <c r="DG10" s="1">
        <v>300.0</v>
      </c>
      <c r="DH10" s="1">
        <v>40162.0</v>
      </c>
      <c r="DI10" s="1">
        <v>1060.0</v>
      </c>
      <c r="DJ10" s="1">
        <v>616013.0</v>
      </c>
      <c r="DK10" s="1">
        <v>2127.931</v>
      </c>
      <c r="DL10" s="1" t="s">
        <v>975</v>
      </c>
      <c r="DM10" s="1">
        <v>5281.125</v>
      </c>
      <c r="DN10" s="1" t="s">
        <v>975</v>
      </c>
      <c r="DO10" s="1">
        <v>2394746.0</v>
      </c>
      <c r="DP10" s="1">
        <v>1.0</v>
      </c>
      <c r="DQ10" s="1" t="s">
        <v>976</v>
      </c>
      <c r="DR10" s="1" t="s">
        <v>1024</v>
      </c>
      <c r="DS10" s="1" t="s">
        <v>978</v>
      </c>
      <c r="DU10" s="1" t="s">
        <v>994</v>
      </c>
      <c r="DV10" s="1">
        <v>14996.0</v>
      </c>
      <c r="DW10" s="1">
        <v>321.0</v>
      </c>
      <c r="DX10" s="1">
        <v>4067.0</v>
      </c>
      <c r="DY10" s="1">
        <v>606926.0</v>
      </c>
      <c r="DZ10" s="1" t="s">
        <v>981</v>
      </c>
      <c r="EA10" s="1">
        <v>1711.0</v>
      </c>
      <c r="EB10" s="1">
        <v>4453.0</v>
      </c>
      <c r="EC10" s="1">
        <v>55.0</v>
      </c>
      <c r="ED10" s="1">
        <v>26491.0</v>
      </c>
      <c r="EF10" s="1">
        <v>400.0</v>
      </c>
      <c r="EG10" s="1" t="s">
        <v>982</v>
      </c>
      <c r="EH10" s="1">
        <v>100.0</v>
      </c>
      <c r="EK10" s="1">
        <v>100.0</v>
      </c>
      <c r="EQ10" s="9" t="s">
        <v>70</v>
      </c>
      <c r="ER10" s="21">
        <v>46045.29761574074</v>
      </c>
    </row>
    <row r="11">
      <c r="A11" s="9" t="s">
        <v>32</v>
      </c>
      <c r="B11" s="20" t="str">
        <f>IFERROR(__xludf.DUMMYFUNCTION("REGEXREPLACE(A11, ""^https?://[^/]+"", """")"),"/state-of-sales/")</f>
        <v>/state-of-sales/</v>
      </c>
      <c r="C11" s="1" t="s">
        <v>1025</v>
      </c>
      <c r="D11" s="1" t="s">
        <v>1026</v>
      </c>
      <c r="E11" s="1" t="s">
        <v>1027</v>
      </c>
      <c r="F11" s="1" t="s">
        <v>965</v>
      </c>
      <c r="G11" s="1">
        <v>200.0</v>
      </c>
      <c r="H11" s="1" t="s">
        <v>966</v>
      </c>
      <c r="I11" s="1" t="s">
        <v>967</v>
      </c>
      <c r="K11" s="1" t="s">
        <v>1028</v>
      </c>
      <c r="L11" s="1">
        <v>63.0</v>
      </c>
      <c r="M11" s="1">
        <v>550.0</v>
      </c>
      <c r="O11" s="1">
        <v>0.0</v>
      </c>
      <c r="P11" s="1">
        <v>0.0</v>
      </c>
      <c r="Q11" s="1" t="s">
        <v>1029</v>
      </c>
      <c r="R11" s="1">
        <v>129.0</v>
      </c>
      <c r="S11" s="1">
        <v>786.0</v>
      </c>
      <c r="U11" s="1">
        <v>0.0</v>
      </c>
      <c r="V11" s="1" t="s">
        <v>1025</v>
      </c>
      <c r="W11" s="1">
        <v>50.0</v>
      </c>
      <c r="Y11" s="1">
        <v>0.0</v>
      </c>
      <c r="Z11" s="1" t="s">
        <v>1026</v>
      </c>
      <c r="AA11" s="1">
        <v>64.0</v>
      </c>
      <c r="AB11" s="1" t="s">
        <v>1027</v>
      </c>
      <c r="AC11" s="1">
        <v>14.0</v>
      </c>
      <c r="AD11" s="1" t="s">
        <v>971</v>
      </c>
      <c r="AG11" s="9" t="s">
        <v>32</v>
      </c>
      <c r="AM11" s="1">
        <v>327338.0</v>
      </c>
      <c r="AN11" s="1">
        <v>48949.0</v>
      </c>
      <c r="AO11" s="1">
        <v>48949.0</v>
      </c>
      <c r="AP11" s="1">
        <v>18.751</v>
      </c>
      <c r="AR11" s="1">
        <v>1964.0</v>
      </c>
      <c r="AS11" s="1">
        <v>332.0</v>
      </c>
      <c r="AT11" s="1">
        <v>5.916</v>
      </c>
      <c r="AU11" s="1">
        <v>58.423</v>
      </c>
      <c r="AV11" s="1" t="s">
        <v>972</v>
      </c>
      <c r="AW11" s="1">
        <v>4.576</v>
      </c>
      <c r="AX11" s="1">
        <v>1.0</v>
      </c>
      <c r="AY11" s="1">
        <v>1.0</v>
      </c>
      <c r="AZ11" s="1">
        <v>51.0</v>
      </c>
      <c r="BA11" s="1">
        <v>2268.0</v>
      </c>
      <c r="BB11" s="1">
        <v>754.0</v>
      </c>
      <c r="BC11" s="1">
        <v>0.0</v>
      </c>
      <c r="BD11" s="1">
        <v>100.0</v>
      </c>
      <c r="BE11" s="1">
        <v>139.0</v>
      </c>
      <c r="BF11" s="1">
        <v>47.0</v>
      </c>
      <c r="BG11" s="1">
        <v>0.0</v>
      </c>
      <c r="BH11" s="1">
        <v>18.0</v>
      </c>
      <c r="BI11" s="1">
        <v>8.0</v>
      </c>
      <c r="BJ11" s="1">
        <v>0.0</v>
      </c>
      <c r="BO11" s="1" t="s">
        <v>1030</v>
      </c>
      <c r="BP11" s="1">
        <v>1.124</v>
      </c>
      <c r="BU11" s="1" t="s">
        <v>974</v>
      </c>
      <c r="BV11" s="1">
        <v>1.1</v>
      </c>
      <c r="BW11" s="1">
        <v>56.0</v>
      </c>
      <c r="BX11" s="1">
        <v>3901.013</v>
      </c>
      <c r="BY11" s="1">
        <v>7851.421</v>
      </c>
      <c r="BZ11" s="1">
        <v>7051.025</v>
      </c>
      <c r="CA11" s="1">
        <v>19822.342</v>
      </c>
      <c r="CB11" s="1">
        <v>264.0</v>
      </c>
      <c r="CC11" s="1">
        <v>0.0</v>
      </c>
      <c r="CD11" s="1">
        <v>689726.0</v>
      </c>
      <c r="CE11" s="1">
        <v>750.0</v>
      </c>
      <c r="CF11" s="1">
        <v>213.0</v>
      </c>
      <c r="CG11" s="1">
        <v>2595260.0</v>
      </c>
      <c r="CH11" s="1">
        <v>49362.0</v>
      </c>
      <c r="CI11" s="1">
        <v>2.0</v>
      </c>
      <c r="CJ11" s="1">
        <v>151823.0</v>
      </c>
      <c r="CK11" s="1">
        <v>34.0</v>
      </c>
      <c r="CL11" s="1">
        <v>166879.0</v>
      </c>
      <c r="CM11" s="1">
        <v>56.0</v>
      </c>
      <c r="CN11" s="1">
        <v>1857672.0</v>
      </c>
      <c r="CO11" s="1">
        <v>82.0</v>
      </c>
      <c r="CP11" s="1">
        <v>343690.0</v>
      </c>
      <c r="CQ11" s="1">
        <v>8.0</v>
      </c>
      <c r="CR11" s="1">
        <v>0.0</v>
      </c>
      <c r="CS11" s="1">
        <v>1.0</v>
      </c>
      <c r="CT11" s="1">
        <v>25834.0</v>
      </c>
      <c r="CU11" s="1">
        <v>30.0</v>
      </c>
      <c r="CV11" s="1">
        <v>1531214.0</v>
      </c>
      <c r="CW11" s="1">
        <v>81.0</v>
      </c>
      <c r="DC11" s="1">
        <v>0.0</v>
      </c>
      <c r="DD11" s="1">
        <v>5075.0</v>
      </c>
      <c r="DE11" s="1">
        <v>0.0</v>
      </c>
      <c r="DF11" s="1">
        <v>3396.0</v>
      </c>
      <c r="DG11" s="1">
        <v>150.0</v>
      </c>
      <c r="DH11" s="1">
        <v>68104.0</v>
      </c>
      <c r="DI11" s="1">
        <v>600.0</v>
      </c>
      <c r="DJ11" s="1">
        <v>613151.0</v>
      </c>
      <c r="DK11" s="1">
        <v>1640.404</v>
      </c>
      <c r="DL11" s="1" t="s">
        <v>975</v>
      </c>
      <c r="DM11" s="1">
        <v>4453.969</v>
      </c>
      <c r="DN11" s="1" t="s">
        <v>975</v>
      </c>
      <c r="DO11" s="1">
        <v>2594526.0</v>
      </c>
      <c r="DP11" s="1">
        <v>1.0</v>
      </c>
      <c r="DQ11" s="1" t="s">
        <v>976</v>
      </c>
      <c r="DR11" s="1" t="s">
        <v>1031</v>
      </c>
      <c r="DS11" s="1" t="s">
        <v>978</v>
      </c>
      <c r="DU11" s="1" t="s">
        <v>994</v>
      </c>
      <c r="DV11" s="1">
        <v>16557.0</v>
      </c>
      <c r="DX11" s="1">
        <v>4531.0</v>
      </c>
      <c r="DY11" s="1">
        <v>729205.0</v>
      </c>
      <c r="EA11" s="1">
        <v>1645.0</v>
      </c>
      <c r="EB11" s="1">
        <v>4453.0</v>
      </c>
      <c r="EC11" s="1">
        <v>50.0</v>
      </c>
      <c r="ED11" s="1">
        <v>26491.0</v>
      </c>
      <c r="EF11" s="1">
        <v>230.0</v>
      </c>
      <c r="EG11" s="1" t="s">
        <v>1032</v>
      </c>
      <c r="EH11" s="1">
        <v>100.0</v>
      </c>
      <c r="EK11" s="1">
        <v>100.0</v>
      </c>
      <c r="EQ11" s="9" t="s">
        <v>32</v>
      </c>
      <c r="ER11" s="21">
        <v>46045.297627314816</v>
      </c>
    </row>
    <row r="12">
      <c r="A12" s="9" t="s">
        <v>120</v>
      </c>
      <c r="B12" s="20" t="str">
        <f>IFERROR(__xludf.DUMMYFUNCTION("REGEXREPLACE(A12, ""^https?://[^/]+"", """")"),"/industries/private-equity/")</f>
        <v>/industries/private-equity/</v>
      </c>
      <c r="C12" s="1" t="s">
        <v>1033</v>
      </c>
      <c r="D12" s="1" t="s">
        <v>1034</v>
      </c>
      <c r="E12" s="1" t="s">
        <v>1035</v>
      </c>
      <c r="F12" s="1" t="s">
        <v>965</v>
      </c>
      <c r="G12" s="1">
        <v>200.0</v>
      </c>
      <c r="H12" s="1" t="s">
        <v>966</v>
      </c>
      <c r="I12" s="1" t="s">
        <v>967</v>
      </c>
      <c r="K12" s="1" t="s">
        <v>1036</v>
      </c>
      <c r="L12" s="1">
        <v>66.0</v>
      </c>
      <c r="M12" s="1">
        <v>576.0</v>
      </c>
      <c r="O12" s="1">
        <v>0.0</v>
      </c>
      <c r="P12" s="1">
        <v>0.0</v>
      </c>
      <c r="Q12" s="1" t="s">
        <v>1037</v>
      </c>
      <c r="R12" s="1">
        <v>140.0</v>
      </c>
      <c r="S12" s="1">
        <v>870.0</v>
      </c>
      <c r="U12" s="1">
        <v>0.0</v>
      </c>
      <c r="V12" s="1" t="s">
        <v>1033</v>
      </c>
      <c r="W12" s="1">
        <v>46.0</v>
      </c>
      <c r="Y12" s="1">
        <v>0.0</v>
      </c>
      <c r="Z12" s="1" t="s">
        <v>1034</v>
      </c>
      <c r="AA12" s="1">
        <v>38.0</v>
      </c>
      <c r="AB12" s="1" t="s">
        <v>1035</v>
      </c>
      <c r="AC12" s="1">
        <v>51.0</v>
      </c>
      <c r="AD12" s="1" t="s">
        <v>971</v>
      </c>
      <c r="AG12" s="9" t="s">
        <v>120</v>
      </c>
      <c r="AM12" s="1">
        <v>277166.0</v>
      </c>
      <c r="AN12" s="1">
        <v>90934.0</v>
      </c>
      <c r="AO12" s="1">
        <v>90934.0</v>
      </c>
      <c r="AP12" s="1">
        <v>34.835</v>
      </c>
      <c r="AR12" s="1">
        <v>1569.0</v>
      </c>
      <c r="AS12" s="1">
        <v>258.0</v>
      </c>
      <c r="AT12" s="1">
        <v>6.081</v>
      </c>
      <c r="AU12" s="1">
        <v>52.275</v>
      </c>
      <c r="AV12" s="1" t="s">
        <v>972</v>
      </c>
      <c r="AW12" s="1">
        <v>6.515</v>
      </c>
      <c r="AX12" s="1">
        <v>1.0</v>
      </c>
      <c r="AY12" s="1">
        <v>2.0</v>
      </c>
      <c r="AZ12" s="1">
        <v>51.0</v>
      </c>
      <c r="BA12" s="1">
        <v>2250.0</v>
      </c>
      <c r="BB12" s="1">
        <v>754.0</v>
      </c>
      <c r="BC12" s="1">
        <v>0.0</v>
      </c>
      <c r="BD12" s="1">
        <v>100.0</v>
      </c>
      <c r="BE12" s="1">
        <v>136.0</v>
      </c>
      <c r="BF12" s="1">
        <v>47.0</v>
      </c>
      <c r="BG12" s="1">
        <v>0.0</v>
      </c>
      <c r="BH12" s="1">
        <v>16.0</v>
      </c>
      <c r="BI12" s="1">
        <v>8.0</v>
      </c>
      <c r="BJ12" s="1">
        <v>0.0</v>
      </c>
      <c r="BO12" s="1" t="s">
        <v>1038</v>
      </c>
      <c r="BP12" s="1">
        <v>1.096</v>
      </c>
      <c r="BU12" s="1" t="s">
        <v>974</v>
      </c>
      <c r="BV12" s="1">
        <v>1.1</v>
      </c>
      <c r="BW12" s="1">
        <v>62.0</v>
      </c>
      <c r="BX12" s="1">
        <v>3751.009</v>
      </c>
      <c r="BY12" s="1">
        <v>7966.564</v>
      </c>
      <c r="BZ12" s="1">
        <v>6977.017</v>
      </c>
      <c r="CA12" s="1">
        <v>17927.074</v>
      </c>
      <c r="CB12" s="1">
        <v>64.5</v>
      </c>
      <c r="CC12" s="1">
        <v>0.023</v>
      </c>
      <c r="CD12" s="1">
        <v>672681.0</v>
      </c>
      <c r="CE12" s="1">
        <v>750.0</v>
      </c>
      <c r="CF12" s="1">
        <v>179.0</v>
      </c>
      <c r="CG12" s="1">
        <v>3144053.0</v>
      </c>
      <c r="CH12" s="1">
        <v>89262.0</v>
      </c>
      <c r="CI12" s="1">
        <v>2.0</v>
      </c>
      <c r="CJ12" s="1">
        <v>762997.0</v>
      </c>
      <c r="CK12" s="1">
        <v>27.0</v>
      </c>
      <c r="CL12" s="1">
        <v>126361.0</v>
      </c>
      <c r="CM12" s="1">
        <v>44.0</v>
      </c>
      <c r="CN12" s="1">
        <v>1791292.0</v>
      </c>
      <c r="CO12" s="1">
        <v>71.0</v>
      </c>
      <c r="CP12" s="1">
        <v>348792.0</v>
      </c>
      <c r="CQ12" s="1">
        <v>6.0</v>
      </c>
      <c r="CR12" s="1">
        <v>0.0</v>
      </c>
      <c r="CS12" s="1">
        <v>0.0</v>
      </c>
      <c r="CT12" s="1">
        <v>25349.0</v>
      </c>
      <c r="CU12" s="1">
        <v>29.0</v>
      </c>
      <c r="CV12" s="1">
        <v>1504890.0</v>
      </c>
      <c r="CW12" s="1">
        <v>76.0</v>
      </c>
      <c r="DC12" s="1">
        <v>0.0</v>
      </c>
      <c r="DD12" s="1">
        <v>5075.0</v>
      </c>
      <c r="DE12" s="1">
        <v>0.0</v>
      </c>
      <c r="DF12" s="1">
        <v>3396.0</v>
      </c>
      <c r="DG12" s="1">
        <v>150.0</v>
      </c>
      <c r="DH12" s="1">
        <v>50543.0</v>
      </c>
      <c r="DI12" s="1">
        <v>600.0</v>
      </c>
      <c r="DJ12" s="1">
        <v>613667.0</v>
      </c>
      <c r="DK12" s="1">
        <v>1137.666</v>
      </c>
      <c r="DL12" s="1" t="s">
        <v>992</v>
      </c>
      <c r="DM12" s="1">
        <v>2152.411</v>
      </c>
      <c r="DN12" s="1" t="s">
        <v>975</v>
      </c>
      <c r="DO12" s="1">
        <v>3143891.0</v>
      </c>
      <c r="DP12" s="1">
        <v>1.0</v>
      </c>
      <c r="DQ12" s="1" t="s">
        <v>976</v>
      </c>
      <c r="DR12" s="1" t="s">
        <v>1039</v>
      </c>
      <c r="DS12" s="1" t="s">
        <v>978</v>
      </c>
      <c r="DU12" s="1" t="s">
        <v>994</v>
      </c>
      <c r="DV12" s="1">
        <v>13847.0</v>
      </c>
      <c r="DX12" s="1">
        <v>3934.0</v>
      </c>
      <c r="DY12" s="1">
        <v>943387.0</v>
      </c>
      <c r="DZ12" s="1" t="s">
        <v>981</v>
      </c>
      <c r="EA12" s="1">
        <v>1177.0</v>
      </c>
      <c r="EB12" s="1">
        <v>499109.0</v>
      </c>
      <c r="EC12" s="1">
        <v>50.0</v>
      </c>
      <c r="ED12" s="1">
        <v>26491.0</v>
      </c>
      <c r="EF12" s="1">
        <v>240.0</v>
      </c>
      <c r="EG12" s="1" t="s">
        <v>982</v>
      </c>
      <c r="EH12" s="1">
        <v>100.0</v>
      </c>
      <c r="EK12" s="1">
        <v>100.0</v>
      </c>
      <c r="EQ12" s="9" t="s">
        <v>120</v>
      </c>
      <c r="ER12" s="21">
        <v>46045.297627314816</v>
      </c>
    </row>
    <row r="13">
      <c r="A13" s="9" t="s">
        <v>1040</v>
      </c>
      <c r="B13" s="20" t="str">
        <f>IFERROR(__xludf.DUMMYFUNCTION("REGEXREPLACE(A13, ""^https?://[^/]+"", """")"),"/wp-content/plugins/elementor-pro/assets/js/webpack-pro.runtime.min.js?ver=3.34.0")</f>
        <v>/wp-content/plugins/elementor-pro/assets/js/webpack-pro.runtime.min.js?ver=3.34.0</v>
      </c>
      <c r="F13" s="1" t="s">
        <v>984</v>
      </c>
      <c r="G13" s="1">
        <v>200.0</v>
      </c>
      <c r="H13" s="1" t="s">
        <v>966</v>
      </c>
      <c r="I13" s="1" t="s">
        <v>967</v>
      </c>
      <c r="L13" s="1">
        <v>0.0</v>
      </c>
      <c r="M13" s="1">
        <v>0.0</v>
      </c>
      <c r="O13" s="1">
        <v>0.0</v>
      </c>
      <c r="P13" s="1">
        <v>0.0</v>
      </c>
      <c r="R13" s="1">
        <v>0.0</v>
      </c>
      <c r="S13" s="1">
        <v>0.0</v>
      </c>
      <c r="U13" s="1">
        <v>0.0</v>
      </c>
      <c r="W13" s="1">
        <v>0.0</v>
      </c>
      <c r="Y13" s="1">
        <v>0.0</v>
      </c>
      <c r="AA13" s="1">
        <v>0.0</v>
      </c>
      <c r="AC13" s="1">
        <v>0.0</v>
      </c>
      <c r="AM13" s="1">
        <v>2856.0</v>
      </c>
      <c r="AN13" s="1">
        <v>2856.0</v>
      </c>
      <c r="AO13" s="1">
        <v>2856.0</v>
      </c>
      <c r="AP13" s="1">
        <v>1.094</v>
      </c>
      <c r="AR13" s="1">
        <v>0.0</v>
      </c>
      <c r="AW13" s="1">
        <v>0.0</v>
      </c>
      <c r="AX13" s="1">
        <v>1.0</v>
      </c>
      <c r="AY13" s="1">
        <v>5.0</v>
      </c>
      <c r="BA13" s="1">
        <v>0.0</v>
      </c>
      <c r="BB13" s="1">
        <v>0.0</v>
      </c>
      <c r="BC13" s="1">
        <v>0.0</v>
      </c>
      <c r="BD13" s="1">
        <v>0.0</v>
      </c>
      <c r="BE13" s="1">
        <v>0.0</v>
      </c>
      <c r="BF13" s="1">
        <v>0.0</v>
      </c>
      <c r="BG13" s="1">
        <v>0.0</v>
      </c>
      <c r="BH13" s="1">
        <v>0.0</v>
      </c>
      <c r="BI13" s="1">
        <v>0.0</v>
      </c>
      <c r="BJ13" s="1">
        <v>0.0</v>
      </c>
      <c r="BP13" s="1">
        <v>0.279</v>
      </c>
      <c r="BQ13" s="1" t="s">
        <v>1041</v>
      </c>
      <c r="BV13" s="1">
        <v>1.1</v>
      </c>
      <c r="EQ13" s="9" t="s">
        <v>1040</v>
      </c>
      <c r="ER13" s="21">
        <v>46045.297638888886</v>
      </c>
    </row>
    <row r="14">
      <c r="A14" s="9" t="s">
        <v>1042</v>
      </c>
      <c r="B14" s="20" t="str">
        <f>IFERROR(__xludf.DUMMYFUNCTION("REGEXREPLACE(A14, ""^https?://[^/]+"", """")"),"/wp-content/uploads/2022/09/ciobulletin-50-best-companies-to-watch-2022-logo.jpg")</f>
        <v>/wp-content/uploads/2022/09/ciobulletin-50-best-companies-to-watch-2022-logo.jpg</v>
      </c>
      <c r="F14" s="1" t="s">
        <v>1004</v>
      </c>
      <c r="G14" s="1">
        <v>200.0</v>
      </c>
      <c r="H14" s="1" t="s">
        <v>966</v>
      </c>
      <c r="I14" s="1" t="s">
        <v>967</v>
      </c>
      <c r="L14" s="1">
        <v>0.0</v>
      </c>
      <c r="M14" s="1">
        <v>0.0</v>
      </c>
      <c r="O14" s="1">
        <v>0.0</v>
      </c>
      <c r="P14" s="1">
        <v>0.0</v>
      </c>
      <c r="R14" s="1">
        <v>0.0</v>
      </c>
      <c r="S14" s="1">
        <v>0.0</v>
      </c>
      <c r="U14" s="1">
        <v>0.0</v>
      </c>
      <c r="W14" s="1">
        <v>0.0</v>
      </c>
      <c r="Y14" s="1">
        <v>0.0</v>
      </c>
      <c r="AA14" s="1">
        <v>0.0</v>
      </c>
      <c r="AC14" s="1">
        <v>0.0</v>
      </c>
      <c r="AM14" s="1">
        <v>30241.0</v>
      </c>
      <c r="AN14" s="1">
        <v>30241.0</v>
      </c>
      <c r="AO14" s="1">
        <v>30241.0</v>
      </c>
      <c r="AP14" s="1">
        <v>11.585</v>
      </c>
      <c r="AR14" s="1">
        <v>0.0</v>
      </c>
      <c r="AW14" s="1">
        <v>0.0</v>
      </c>
      <c r="AX14" s="1">
        <v>1.0</v>
      </c>
      <c r="AY14" s="1">
        <v>4.0</v>
      </c>
      <c r="BA14" s="1">
        <v>0.0</v>
      </c>
      <c r="BB14" s="1">
        <v>0.0</v>
      </c>
      <c r="BC14" s="1">
        <v>0.0</v>
      </c>
      <c r="BD14" s="1">
        <v>0.0</v>
      </c>
      <c r="BE14" s="1">
        <v>0.0</v>
      </c>
      <c r="BF14" s="1">
        <v>0.0</v>
      </c>
      <c r="BG14" s="1">
        <v>0.0</v>
      </c>
      <c r="BH14" s="1">
        <v>0.0</v>
      </c>
      <c r="BI14" s="1">
        <v>0.0</v>
      </c>
      <c r="BJ14" s="1">
        <v>0.0</v>
      </c>
      <c r="BP14" s="1">
        <v>0.267</v>
      </c>
      <c r="BQ14" s="1" t="s">
        <v>1043</v>
      </c>
      <c r="BV14" s="1">
        <v>1.1</v>
      </c>
      <c r="EQ14" s="9" t="s">
        <v>1042</v>
      </c>
      <c r="ER14" s="21">
        <v>46045.297638888886</v>
      </c>
    </row>
    <row r="15">
      <c r="A15" s="9" t="s">
        <v>1044</v>
      </c>
      <c r="B15" s="20" t="str">
        <f>IFERROR(__xludf.DUMMYFUNCTION("REGEXREPLACE(A15, ""^https?://[^/]+"", """")"),"/wp-content/themes/salesxceleratione/assets/js/jquery.mixitup.js?ver=2.1.11")</f>
        <v>/wp-content/themes/salesxceleratione/assets/js/jquery.mixitup.js?ver=2.1.11</v>
      </c>
      <c r="F15" s="1" t="s">
        <v>984</v>
      </c>
      <c r="G15" s="1">
        <v>200.0</v>
      </c>
      <c r="H15" s="1" t="s">
        <v>966</v>
      </c>
      <c r="I15" s="1" t="s">
        <v>967</v>
      </c>
      <c r="L15" s="1">
        <v>0.0</v>
      </c>
      <c r="M15" s="1">
        <v>0.0</v>
      </c>
      <c r="O15" s="1">
        <v>0.0</v>
      </c>
      <c r="P15" s="1">
        <v>0.0</v>
      </c>
      <c r="R15" s="1">
        <v>0.0</v>
      </c>
      <c r="S15" s="1">
        <v>0.0</v>
      </c>
      <c r="U15" s="1">
        <v>0.0</v>
      </c>
      <c r="W15" s="1">
        <v>0.0</v>
      </c>
      <c r="Y15" s="1">
        <v>0.0</v>
      </c>
      <c r="AA15" s="1">
        <v>0.0</v>
      </c>
      <c r="AC15" s="1">
        <v>0.0</v>
      </c>
      <c r="AM15" s="1">
        <v>11141.0</v>
      </c>
      <c r="AN15" s="1">
        <v>11141.0</v>
      </c>
      <c r="AO15" s="1">
        <v>11141.0</v>
      </c>
      <c r="AP15" s="1">
        <v>4.268</v>
      </c>
      <c r="AR15" s="1">
        <v>0.0</v>
      </c>
      <c r="AW15" s="1">
        <v>0.0</v>
      </c>
      <c r="AX15" s="1">
        <v>1.0</v>
      </c>
      <c r="AY15" s="1">
        <v>5.0</v>
      </c>
      <c r="BA15" s="1">
        <v>0.0</v>
      </c>
      <c r="BB15" s="1">
        <v>0.0</v>
      </c>
      <c r="BC15" s="1">
        <v>0.0</v>
      </c>
      <c r="BD15" s="1">
        <v>0.0</v>
      </c>
      <c r="BE15" s="1">
        <v>0.0</v>
      </c>
      <c r="BF15" s="1">
        <v>0.0</v>
      </c>
      <c r="BG15" s="1">
        <v>0.0</v>
      </c>
      <c r="BH15" s="1">
        <v>0.0</v>
      </c>
      <c r="BI15" s="1">
        <v>0.0</v>
      </c>
      <c r="BJ15" s="1">
        <v>0.0</v>
      </c>
      <c r="BP15" s="1">
        <v>0.267</v>
      </c>
      <c r="BQ15" s="1" t="s">
        <v>1045</v>
      </c>
      <c r="BV15" s="1">
        <v>1.1</v>
      </c>
      <c r="EQ15" s="9" t="s">
        <v>1044</v>
      </c>
      <c r="ER15" s="21">
        <v>46045.29765046296</v>
      </c>
    </row>
    <row r="16">
      <c r="A16" s="9" t="s">
        <v>1046</v>
      </c>
      <c r="B16" s="20" t="str">
        <f>IFERROR(__xludf.DUMMYFUNCTION("REGEXREPLACE(A16, ""^https?://[^/]+"", """")"),"/wp-content/uploads/2025/04/logo-eos-300x198-1.png")</f>
        <v>/wp-content/uploads/2025/04/logo-eos-300x198-1.png</v>
      </c>
      <c r="F16" s="1" t="s">
        <v>1047</v>
      </c>
      <c r="G16" s="1">
        <v>200.0</v>
      </c>
      <c r="H16" s="1" t="s">
        <v>966</v>
      </c>
      <c r="I16" s="1" t="s">
        <v>967</v>
      </c>
      <c r="L16" s="1">
        <v>0.0</v>
      </c>
      <c r="M16" s="1">
        <v>0.0</v>
      </c>
      <c r="O16" s="1">
        <v>0.0</v>
      </c>
      <c r="P16" s="1">
        <v>0.0</v>
      </c>
      <c r="R16" s="1">
        <v>0.0</v>
      </c>
      <c r="S16" s="1">
        <v>0.0</v>
      </c>
      <c r="U16" s="1">
        <v>0.0</v>
      </c>
      <c r="W16" s="1">
        <v>0.0</v>
      </c>
      <c r="Y16" s="1">
        <v>0.0</v>
      </c>
      <c r="AA16" s="1">
        <v>0.0</v>
      </c>
      <c r="AC16" s="1">
        <v>0.0</v>
      </c>
      <c r="AM16" s="1">
        <v>38512.0</v>
      </c>
      <c r="AN16" s="1">
        <v>38512.0</v>
      </c>
      <c r="AO16" s="1">
        <v>38512.0</v>
      </c>
      <c r="AP16" s="1">
        <v>14.753</v>
      </c>
      <c r="AR16" s="1">
        <v>0.0</v>
      </c>
      <c r="AW16" s="1">
        <v>0.0</v>
      </c>
      <c r="AX16" s="1">
        <v>1.0</v>
      </c>
      <c r="AY16" s="1">
        <v>4.0</v>
      </c>
      <c r="BA16" s="1">
        <v>0.0</v>
      </c>
      <c r="BB16" s="1">
        <v>0.0</v>
      </c>
      <c r="BC16" s="1">
        <v>0.0</v>
      </c>
      <c r="BD16" s="1">
        <v>0.0</v>
      </c>
      <c r="BE16" s="1">
        <v>0.0</v>
      </c>
      <c r="BF16" s="1">
        <v>0.0</v>
      </c>
      <c r="BG16" s="1">
        <v>0.0</v>
      </c>
      <c r="BH16" s="1">
        <v>0.0</v>
      </c>
      <c r="BI16" s="1">
        <v>0.0</v>
      </c>
      <c r="BJ16" s="1">
        <v>0.0</v>
      </c>
      <c r="BP16" s="1">
        <v>0.318</v>
      </c>
      <c r="BQ16" s="1" t="s">
        <v>1048</v>
      </c>
      <c r="BV16" s="1">
        <v>1.1</v>
      </c>
      <c r="EQ16" s="9" t="s">
        <v>1046</v>
      </c>
      <c r="ER16" s="21">
        <v>46045.29765046296</v>
      </c>
    </row>
    <row r="17">
      <c r="A17" s="9" t="s">
        <v>123</v>
      </c>
      <c r="B17" s="20" t="str">
        <f>IFERROR(__xludf.DUMMYFUNCTION("REGEXREPLACE(A17, ""^https?://[^/]+"", """")"),"/case-study/electrical-manufacturing-sales-strategy-and-processes-provide-immediate-growth/")</f>
        <v>/case-study/electrical-manufacturing-sales-strategy-and-processes-provide-immediate-growth/</v>
      </c>
      <c r="C17" s="1" t="s">
        <v>1049</v>
      </c>
      <c r="D17" s="1" t="s">
        <v>1050</v>
      </c>
      <c r="E17" s="1" t="s">
        <v>1051</v>
      </c>
      <c r="F17" s="1" t="s">
        <v>965</v>
      </c>
      <c r="G17" s="1">
        <v>200.0</v>
      </c>
      <c r="H17" s="1" t="s">
        <v>966</v>
      </c>
      <c r="I17" s="1" t="s">
        <v>967</v>
      </c>
      <c r="K17" s="1" t="s">
        <v>1052</v>
      </c>
      <c r="L17" s="1">
        <v>67.0</v>
      </c>
      <c r="M17" s="1">
        <v>616.0</v>
      </c>
      <c r="O17" s="1">
        <v>0.0</v>
      </c>
      <c r="P17" s="1">
        <v>0.0</v>
      </c>
      <c r="Q17" s="1" t="s">
        <v>1053</v>
      </c>
      <c r="R17" s="1">
        <v>158.0</v>
      </c>
      <c r="S17" s="1">
        <v>987.0</v>
      </c>
      <c r="U17" s="1">
        <v>0.0</v>
      </c>
      <c r="V17" s="1" t="s">
        <v>1049</v>
      </c>
      <c r="W17" s="1">
        <v>79.0</v>
      </c>
      <c r="Y17" s="1">
        <v>0.0</v>
      </c>
      <c r="Z17" s="1" t="s">
        <v>1050</v>
      </c>
      <c r="AA17" s="1">
        <v>17.0</v>
      </c>
      <c r="AB17" s="1" t="s">
        <v>1051</v>
      </c>
      <c r="AC17" s="1">
        <v>11.0</v>
      </c>
      <c r="AD17" s="1" t="s">
        <v>971</v>
      </c>
      <c r="AG17" s="9" t="s">
        <v>123</v>
      </c>
      <c r="AM17" s="1">
        <v>184741.0</v>
      </c>
      <c r="AN17" s="1">
        <v>31627.0</v>
      </c>
      <c r="AO17" s="1">
        <v>31627.0</v>
      </c>
      <c r="AP17" s="1">
        <v>12.116</v>
      </c>
      <c r="AR17" s="1">
        <v>895.0</v>
      </c>
      <c r="AS17" s="1">
        <v>144.0</v>
      </c>
      <c r="AT17" s="1">
        <v>6.215</v>
      </c>
      <c r="AU17" s="1">
        <v>60.629</v>
      </c>
      <c r="AV17" s="1" t="s">
        <v>990</v>
      </c>
      <c r="AW17" s="1">
        <v>4.31</v>
      </c>
      <c r="AX17" s="1">
        <v>1.0</v>
      </c>
      <c r="AY17" s="1">
        <v>2.0</v>
      </c>
      <c r="AZ17" s="1">
        <v>3.0</v>
      </c>
      <c r="BA17" s="1">
        <v>6.0</v>
      </c>
      <c r="BB17" s="1">
        <v>4.0</v>
      </c>
      <c r="BC17" s="1">
        <v>0.0</v>
      </c>
      <c r="BD17" s="1">
        <v>0.53</v>
      </c>
      <c r="BE17" s="1">
        <v>129.0</v>
      </c>
      <c r="BF17" s="1">
        <v>48.0</v>
      </c>
      <c r="BG17" s="1">
        <v>0.0</v>
      </c>
      <c r="BH17" s="1">
        <v>16.0</v>
      </c>
      <c r="BI17" s="1">
        <v>8.0</v>
      </c>
      <c r="BJ17" s="1">
        <v>0.0</v>
      </c>
      <c r="BO17" s="1" t="s">
        <v>1054</v>
      </c>
      <c r="BP17" s="1">
        <v>0.99</v>
      </c>
      <c r="BU17" s="1" t="s">
        <v>974</v>
      </c>
      <c r="BV17" s="1">
        <v>1.1</v>
      </c>
      <c r="BW17" s="1">
        <v>53.0</v>
      </c>
      <c r="BX17" s="1">
        <v>3751.032</v>
      </c>
      <c r="BY17" s="1">
        <v>8026.796</v>
      </c>
      <c r="BZ17" s="1">
        <v>9901.088</v>
      </c>
      <c r="CA17" s="1">
        <v>18141.576</v>
      </c>
      <c r="CB17" s="1">
        <v>314.345</v>
      </c>
      <c r="CC17" s="1">
        <v>0.0</v>
      </c>
      <c r="CD17" s="1">
        <v>652646.0</v>
      </c>
      <c r="CE17" s="1">
        <v>1350.0</v>
      </c>
      <c r="CF17" s="1">
        <v>166.0</v>
      </c>
      <c r="CG17" s="1">
        <v>2308729.0</v>
      </c>
      <c r="CH17" s="1">
        <v>32604.0</v>
      </c>
      <c r="CI17" s="1">
        <v>2.0</v>
      </c>
      <c r="CJ17" s="1">
        <v>98677.0</v>
      </c>
      <c r="CK17" s="1">
        <v>19.0</v>
      </c>
      <c r="CL17" s="1">
        <v>119133.0</v>
      </c>
      <c r="CM17" s="1">
        <v>43.0</v>
      </c>
      <c r="CN17" s="1">
        <v>1747804.0</v>
      </c>
      <c r="CO17" s="1">
        <v>68.0</v>
      </c>
      <c r="CP17" s="1">
        <v>284714.0</v>
      </c>
      <c r="CQ17" s="1">
        <v>6.0</v>
      </c>
      <c r="CR17" s="1">
        <v>0.0</v>
      </c>
      <c r="CS17" s="1">
        <v>0.0</v>
      </c>
      <c r="CT17" s="1">
        <v>25797.0</v>
      </c>
      <c r="CU17" s="1">
        <v>28.0</v>
      </c>
      <c r="CV17" s="1">
        <v>1505043.0</v>
      </c>
      <c r="CW17" s="1">
        <v>65.0</v>
      </c>
      <c r="DC17" s="1">
        <v>150.0</v>
      </c>
      <c r="DD17" s="1">
        <v>5075.0</v>
      </c>
      <c r="DE17" s="1">
        <v>0.0</v>
      </c>
      <c r="DF17" s="1">
        <v>3396.0</v>
      </c>
      <c r="DG17" s="1">
        <v>150.0</v>
      </c>
      <c r="DH17" s="1">
        <v>50530.0</v>
      </c>
      <c r="DI17" s="1">
        <v>1050.0</v>
      </c>
      <c r="DJ17" s="1">
        <v>593645.0</v>
      </c>
      <c r="DK17" s="1">
        <v>1480.596</v>
      </c>
      <c r="DL17" s="1" t="s">
        <v>975</v>
      </c>
      <c r="DM17" s="1">
        <v>2748.634</v>
      </c>
      <c r="DN17" s="1" t="s">
        <v>975</v>
      </c>
      <c r="DO17" s="1">
        <v>2307948.0</v>
      </c>
      <c r="DP17" s="1">
        <v>1.0</v>
      </c>
      <c r="DQ17" s="1" t="s">
        <v>976</v>
      </c>
      <c r="DR17" s="1" t="s">
        <v>1055</v>
      </c>
      <c r="DS17" s="1" t="s">
        <v>978</v>
      </c>
      <c r="DT17" s="1" t="s">
        <v>979</v>
      </c>
      <c r="DU17" s="1" t="s">
        <v>980</v>
      </c>
      <c r="DV17" s="1">
        <v>14547.0</v>
      </c>
      <c r="DW17" s="1">
        <v>314.0</v>
      </c>
      <c r="DX17" s="1">
        <v>4898.0</v>
      </c>
      <c r="DY17" s="1">
        <v>631708.0</v>
      </c>
      <c r="EA17" s="1">
        <v>928.0</v>
      </c>
      <c r="EB17" s="1">
        <v>4453.0</v>
      </c>
      <c r="EC17" s="1">
        <v>1.0</v>
      </c>
      <c r="ED17" s="1">
        <v>26491.0</v>
      </c>
      <c r="EF17" s="1">
        <v>245.0</v>
      </c>
      <c r="EG17" s="1" t="s">
        <v>982</v>
      </c>
      <c r="EH17" s="1">
        <v>100.0</v>
      </c>
      <c r="EK17" s="1">
        <v>100.0</v>
      </c>
      <c r="EQ17" s="9" t="s">
        <v>123</v>
      </c>
      <c r="ER17" s="21">
        <v>46045.297638888886</v>
      </c>
    </row>
    <row r="18">
      <c r="A18" s="9" t="s">
        <v>1056</v>
      </c>
      <c r="B18" s="20" t="str">
        <f>IFERROR(__xludf.DUMMYFUNCTION("REGEXREPLACE(A18, ""^https?://[^/]+"", """")"),"/wp-content/plugins/elementor/assets/css/widget-video.min.css?ver=3.34.0")</f>
        <v>/wp-content/plugins/elementor/assets/css/widget-video.min.css?ver=3.34.0</v>
      </c>
      <c r="F18" s="1" t="s">
        <v>1016</v>
      </c>
      <c r="G18" s="1">
        <v>200.0</v>
      </c>
      <c r="H18" s="1" t="s">
        <v>966</v>
      </c>
      <c r="I18" s="1" t="s">
        <v>967</v>
      </c>
      <c r="L18" s="1">
        <v>0.0</v>
      </c>
      <c r="M18" s="1">
        <v>0.0</v>
      </c>
      <c r="O18" s="1">
        <v>0.0</v>
      </c>
      <c r="P18" s="1">
        <v>0.0</v>
      </c>
      <c r="R18" s="1">
        <v>0.0</v>
      </c>
      <c r="S18" s="1">
        <v>0.0</v>
      </c>
      <c r="U18" s="1">
        <v>0.0</v>
      </c>
      <c r="W18" s="1">
        <v>0.0</v>
      </c>
      <c r="Y18" s="1">
        <v>0.0</v>
      </c>
      <c r="AA18" s="1">
        <v>0.0</v>
      </c>
      <c r="AC18" s="1">
        <v>0.0</v>
      </c>
      <c r="AM18" s="1">
        <v>404.0</v>
      </c>
      <c r="AN18" s="1">
        <v>404.0</v>
      </c>
      <c r="AO18" s="1">
        <v>404.0</v>
      </c>
      <c r="AP18" s="1">
        <v>0.155</v>
      </c>
      <c r="AR18" s="1">
        <v>0.0</v>
      </c>
      <c r="AW18" s="1">
        <v>0.0</v>
      </c>
      <c r="AX18" s="1">
        <v>1.0</v>
      </c>
      <c r="AY18" s="1">
        <v>5.0</v>
      </c>
      <c r="BA18" s="1">
        <v>0.0</v>
      </c>
      <c r="BB18" s="1">
        <v>0.0</v>
      </c>
      <c r="BC18" s="1">
        <v>0.0</v>
      </c>
      <c r="BD18" s="1">
        <v>0.0</v>
      </c>
      <c r="BE18" s="1">
        <v>0.0</v>
      </c>
      <c r="BF18" s="1">
        <v>0.0</v>
      </c>
      <c r="BG18" s="1">
        <v>0.0</v>
      </c>
      <c r="BH18" s="1">
        <v>0.0</v>
      </c>
      <c r="BI18" s="1">
        <v>0.0</v>
      </c>
      <c r="BJ18" s="1">
        <v>0.0</v>
      </c>
      <c r="BP18" s="1">
        <v>0.265</v>
      </c>
      <c r="BQ18" s="1" t="s">
        <v>1017</v>
      </c>
      <c r="BV18" s="1">
        <v>1.1</v>
      </c>
      <c r="EQ18" s="9" t="s">
        <v>1056</v>
      </c>
      <c r="ER18" s="21">
        <v>46045.29765046296</v>
      </c>
    </row>
    <row r="19">
      <c r="A19" s="9" t="s">
        <v>1057</v>
      </c>
      <c r="B19" s="20" t="str">
        <f>IFERROR(__xludf.DUMMYFUNCTION("REGEXREPLACE(A19, ""^https?://[^/]+"", """")"),"/wp-content/uploads/elementor/google-fonts/css/robotoslab.css?ver=1744026309")</f>
        <v>/wp-content/uploads/elementor/google-fonts/css/robotoslab.css?ver=1744026309</v>
      </c>
      <c r="F19" s="1" t="s">
        <v>1016</v>
      </c>
      <c r="G19" s="1">
        <v>200.0</v>
      </c>
      <c r="H19" s="1" t="s">
        <v>966</v>
      </c>
      <c r="I19" s="1" t="s">
        <v>967</v>
      </c>
      <c r="L19" s="1">
        <v>0.0</v>
      </c>
      <c r="M19" s="1">
        <v>0.0</v>
      </c>
      <c r="O19" s="1">
        <v>0.0</v>
      </c>
      <c r="P19" s="1">
        <v>0.0</v>
      </c>
      <c r="R19" s="1">
        <v>0.0</v>
      </c>
      <c r="S19" s="1">
        <v>0.0</v>
      </c>
      <c r="U19" s="1">
        <v>0.0</v>
      </c>
      <c r="W19" s="1">
        <v>0.0</v>
      </c>
      <c r="Y19" s="1">
        <v>0.0</v>
      </c>
      <c r="AA19" s="1">
        <v>0.0</v>
      </c>
      <c r="AC19" s="1">
        <v>0.0</v>
      </c>
      <c r="AM19" s="1">
        <v>944.0</v>
      </c>
      <c r="AN19" s="1">
        <v>944.0</v>
      </c>
      <c r="AO19" s="1">
        <v>944.0</v>
      </c>
      <c r="AP19" s="1">
        <v>0.362</v>
      </c>
      <c r="AR19" s="1">
        <v>0.0</v>
      </c>
      <c r="AW19" s="1">
        <v>0.0</v>
      </c>
      <c r="AX19" s="1">
        <v>1.0</v>
      </c>
      <c r="AY19" s="1">
        <v>5.0</v>
      </c>
      <c r="BA19" s="1">
        <v>0.0</v>
      </c>
      <c r="BB19" s="1">
        <v>0.0</v>
      </c>
      <c r="BC19" s="1">
        <v>0.0</v>
      </c>
      <c r="BD19" s="1">
        <v>0.0</v>
      </c>
      <c r="BE19" s="1">
        <v>0.0</v>
      </c>
      <c r="BF19" s="1">
        <v>0.0</v>
      </c>
      <c r="BG19" s="1">
        <v>0.0</v>
      </c>
      <c r="BH19" s="1">
        <v>0.0</v>
      </c>
      <c r="BI19" s="1">
        <v>0.0</v>
      </c>
      <c r="BJ19" s="1">
        <v>0.0</v>
      </c>
      <c r="BP19" s="1">
        <v>0.265</v>
      </c>
      <c r="BQ19" s="1" t="s">
        <v>1058</v>
      </c>
      <c r="BV19" s="1">
        <v>1.1</v>
      </c>
      <c r="EQ19" s="9" t="s">
        <v>1057</v>
      </c>
      <c r="ER19" s="21">
        <v>46045.29765046296</v>
      </c>
    </row>
    <row r="20">
      <c r="A20" s="9" t="s">
        <v>1059</v>
      </c>
      <c r="B20" s="20" t="str">
        <f>IFERROR(__xludf.DUMMYFUNCTION("REGEXREPLACE(A20, ""^https?://[^/]+"", """")"),"/case-study/healthcare-consulting-driving-growth-through-effective-strategy-execution-and-training/")</f>
        <v>/case-study/healthcare-consulting-driving-growth-through-effective-strategy-execution-and-training/</v>
      </c>
      <c r="C20" s="1" t="s">
        <v>1060</v>
      </c>
      <c r="D20" s="1" t="s">
        <v>1050</v>
      </c>
      <c r="E20" s="1" t="s">
        <v>1051</v>
      </c>
      <c r="F20" s="1" t="s">
        <v>965</v>
      </c>
      <c r="G20" s="1">
        <v>200.0</v>
      </c>
      <c r="H20" s="1" t="s">
        <v>966</v>
      </c>
      <c r="I20" s="1" t="s">
        <v>967</v>
      </c>
      <c r="K20" s="1" t="s">
        <v>1061</v>
      </c>
      <c r="L20" s="1">
        <v>61.0</v>
      </c>
      <c r="M20" s="1">
        <v>584.0</v>
      </c>
      <c r="O20" s="1">
        <v>0.0</v>
      </c>
      <c r="P20" s="1">
        <v>0.0</v>
      </c>
      <c r="Q20" s="1" t="s">
        <v>1062</v>
      </c>
      <c r="R20" s="1">
        <v>154.0</v>
      </c>
      <c r="S20" s="1">
        <v>977.0</v>
      </c>
      <c r="U20" s="1">
        <v>0.0</v>
      </c>
      <c r="V20" s="1" t="s">
        <v>1060</v>
      </c>
      <c r="W20" s="1">
        <v>89.0</v>
      </c>
      <c r="Y20" s="1">
        <v>0.0</v>
      </c>
      <c r="Z20" s="1" t="s">
        <v>1050</v>
      </c>
      <c r="AA20" s="1">
        <v>17.0</v>
      </c>
      <c r="AB20" s="1" t="s">
        <v>1051</v>
      </c>
      <c r="AC20" s="1">
        <v>11.0</v>
      </c>
      <c r="AD20" s="1" t="s">
        <v>971</v>
      </c>
      <c r="AG20" s="9" t="s">
        <v>1059</v>
      </c>
      <c r="AM20" s="1">
        <v>181876.0</v>
      </c>
      <c r="AN20" s="1">
        <v>31797.0</v>
      </c>
      <c r="AO20" s="1">
        <v>31797.0</v>
      </c>
      <c r="AP20" s="1">
        <v>12.181</v>
      </c>
      <c r="AR20" s="1">
        <v>922.0</v>
      </c>
      <c r="AS20" s="1">
        <v>150.0</v>
      </c>
      <c r="AT20" s="1">
        <v>6.147</v>
      </c>
      <c r="AU20" s="1">
        <v>59.29</v>
      </c>
      <c r="AV20" s="1" t="s">
        <v>972</v>
      </c>
      <c r="AW20" s="1">
        <v>4.508</v>
      </c>
      <c r="AX20" s="1">
        <v>1.0</v>
      </c>
      <c r="AY20" s="1">
        <v>2.0</v>
      </c>
      <c r="AZ20" s="1">
        <v>2.0</v>
      </c>
      <c r="BA20" s="1">
        <v>8.0</v>
      </c>
      <c r="BB20" s="1">
        <v>4.0</v>
      </c>
      <c r="BC20" s="1">
        <v>0.0</v>
      </c>
      <c r="BD20" s="1">
        <v>0.53</v>
      </c>
      <c r="BE20" s="1">
        <v>131.0</v>
      </c>
      <c r="BF20" s="1">
        <v>48.0</v>
      </c>
      <c r="BG20" s="1">
        <v>0.0</v>
      </c>
      <c r="BH20" s="1">
        <v>16.0</v>
      </c>
      <c r="BI20" s="1">
        <v>8.0</v>
      </c>
      <c r="BJ20" s="1">
        <v>0.0</v>
      </c>
      <c r="BO20" s="1" t="s">
        <v>1063</v>
      </c>
      <c r="BP20" s="1">
        <v>1.003</v>
      </c>
      <c r="BU20" s="1" t="s">
        <v>974</v>
      </c>
      <c r="BV20" s="1">
        <v>1.1</v>
      </c>
      <c r="BW20" s="1">
        <v>59.0</v>
      </c>
      <c r="BX20" s="1">
        <v>4201.043</v>
      </c>
      <c r="BY20" s="1">
        <v>6201.606</v>
      </c>
      <c r="BZ20" s="1">
        <v>9151.098</v>
      </c>
      <c r="CA20" s="1">
        <v>18472.811</v>
      </c>
      <c r="CB20" s="1">
        <v>166.5</v>
      </c>
      <c r="CC20" s="1">
        <v>0.0</v>
      </c>
      <c r="CD20" s="1">
        <v>651545.0</v>
      </c>
      <c r="CE20" s="1">
        <v>1500.0</v>
      </c>
      <c r="CF20" s="1">
        <v>167.0</v>
      </c>
      <c r="CG20" s="1">
        <v>2311614.0</v>
      </c>
      <c r="CH20" s="1">
        <v>32923.0</v>
      </c>
      <c r="CI20" s="1">
        <v>2.0</v>
      </c>
      <c r="CJ20" s="1">
        <v>100556.0</v>
      </c>
      <c r="CK20" s="1">
        <v>19.0</v>
      </c>
      <c r="CL20" s="1">
        <v>119156.0</v>
      </c>
      <c r="CM20" s="1">
        <v>43.0</v>
      </c>
      <c r="CN20" s="1">
        <v>1748093.0</v>
      </c>
      <c r="CO20" s="1">
        <v>68.0</v>
      </c>
      <c r="CP20" s="1">
        <v>284714.0</v>
      </c>
      <c r="CQ20" s="1">
        <v>6.0</v>
      </c>
      <c r="CR20" s="1">
        <v>0.0</v>
      </c>
      <c r="CS20" s="1">
        <v>0.0</v>
      </c>
      <c r="CT20" s="1">
        <v>26172.0</v>
      </c>
      <c r="CU20" s="1">
        <v>29.0</v>
      </c>
      <c r="CV20" s="1">
        <v>1506101.0</v>
      </c>
      <c r="CW20" s="1">
        <v>65.0</v>
      </c>
      <c r="DC20" s="1">
        <v>150.0</v>
      </c>
      <c r="DD20" s="1">
        <v>5075.0</v>
      </c>
      <c r="DE20" s="1">
        <v>0.0</v>
      </c>
      <c r="DF20" s="1">
        <v>3396.0</v>
      </c>
      <c r="DG20" s="1">
        <v>300.0</v>
      </c>
      <c r="DH20" s="1">
        <v>50530.0</v>
      </c>
      <c r="DI20" s="1">
        <v>1050.0</v>
      </c>
      <c r="DJ20" s="1">
        <v>592544.0</v>
      </c>
      <c r="DK20" s="1">
        <v>1201.831</v>
      </c>
      <c r="DL20" s="1" t="s">
        <v>992</v>
      </c>
      <c r="DM20" s="1">
        <v>2287.766</v>
      </c>
      <c r="DN20" s="1" t="s">
        <v>975</v>
      </c>
      <c r="DO20" s="1">
        <v>2310938.0</v>
      </c>
      <c r="DP20" s="1">
        <v>1.0</v>
      </c>
      <c r="DQ20" s="1" t="s">
        <v>976</v>
      </c>
      <c r="DR20" s="1" t="s">
        <v>1064</v>
      </c>
      <c r="DS20" s="1" t="s">
        <v>978</v>
      </c>
      <c r="DT20" s="1" t="s">
        <v>979</v>
      </c>
      <c r="DU20" s="1" t="s">
        <v>980</v>
      </c>
      <c r="DV20" s="1">
        <v>13876.0</v>
      </c>
      <c r="DX20" s="1">
        <v>3757.0</v>
      </c>
      <c r="DY20" s="1">
        <v>632077.0</v>
      </c>
      <c r="EA20" s="1">
        <v>928.0</v>
      </c>
      <c r="EB20" s="1">
        <v>4453.0</v>
      </c>
      <c r="EC20" s="1">
        <v>0.0</v>
      </c>
      <c r="ED20" s="1">
        <v>26491.0</v>
      </c>
      <c r="EF20" s="1">
        <v>235.0</v>
      </c>
      <c r="EG20" s="1" t="s">
        <v>982</v>
      </c>
      <c r="EH20" s="1">
        <v>100.0</v>
      </c>
      <c r="EK20" s="1">
        <v>100.0</v>
      </c>
      <c r="EQ20" s="9" t="s">
        <v>1059</v>
      </c>
      <c r="ER20" s="21">
        <v>46045.29765046296</v>
      </c>
    </row>
    <row r="21">
      <c r="A21" s="9" t="s">
        <v>1065</v>
      </c>
      <c r="B21" s="20" t="str">
        <f>IFERROR(__xludf.DUMMYFUNCTION("REGEXREPLACE(A21, ""^https?://[^/]+"", """")"),"/wp-content/plugins/elementor/assets/js/webpack.runtime.min.js?ver=3.34.0")</f>
        <v>/wp-content/plugins/elementor/assets/js/webpack.runtime.min.js?ver=3.34.0</v>
      </c>
      <c r="F21" s="1" t="s">
        <v>984</v>
      </c>
      <c r="G21" s="1">
        <v>200.0</v>
      </c>
      <c r="H21" s="1" t="s">
        <v>966</v>
      </c>
      <c r="I21" s="1" t="s">
        <v>967</v>
      </c>
      <c r="L21" s="1">
        <v>0.0</v>
      </c>
      <c r="M21" s="1">
        <v>0.0</v>
      </c>
      <c r="O21" s="1">
        <v>0.0</v>
      </c>
      <c r="P21" s="1">
        <v>0.0</v>
      </c>
      <c r="R21" s="1">
        <v>0.0</v>
      </c>
      <c r="S21" s="1">
        <v>0.0</v>
      </c>
      <c r="U21" s="1">
        <v>0.0</v>
      </c>
      <c r="W21" s="1">
        <v>0.0</v>
      </c>
      <c r="Y21" s="1">
        <v>0.0</v>
      </c>
      <c r="AA21" s="1">
        <v>0.0</v>
      </c>
      <c r="AC21" s="1">
        <v>0.0</v>
      </c>
      <c r="AM21" s="1">
        <v>2476.0</v>
      </c>
      <c r="AN21" s="1">
        <v>2476.0</v>
      </c>
      <c r="AO21" s="1">
        <v>2476.0</v>
      </c>
      <c r="AP21" s="1">
        <v>0.949</v>
      </c>
      <c r="AR21" s="1">
        <v>0.0</v>
      </c>
      <c r="AW21" s="1">
        <v>0.0</v>
      </c>
      <c r="AX21" s="1">
        <v>1.0</v>
      </c>
      <c r="AY21" s="1">
        <v>5.0</v>
      </c>
      <c r="BA21" s="1">
        <v>0.0</v>
      </c>
      <c r="BB21" s="1">
        <v>0.0</v>
      </c>
      <c r="BC21" s="1">
        <v>0.0</v>
      </c>
      <c r="BD21" s="1">
        <v>0.0</v>
      </c>
      <c r="BE21" s="1">
        <v>0.0</v>
      </c>
      <c r="BF21" s="1">
        <v>0.0</v>
      </c>
      <c r="BG21" s="1">
        <v>0.0</v>
      </c>
      <c r="BH21" s="1">
        <v>0.0</v>
      </c>
      <c r="BI21" s="1">
        <v>0.0</v>
      </c>
      <c r="BJ21" s="1">
        <v>0.0</v>
      </c>
      <c r="BP21" s="1">
        <v>0.259</v>
      </c>
      <c r="BQ21" s="1" t="s">
        <v>1017</v>
      </c>
      <c r="BV21" s="1">
        <v>1.1</v>
      </c>
      <c r="EQ21" s="9" t="s">
        <v>1065</v>
      </c>
      <c r="ER21" s="21">
        <v>46045.29766203704</v>
      </c>
    </row>
    <row r="22">
      <c r="A22" s="9" t="s">
        <v>1066</v>
      </c>
      <c r="B22" s="20" t="str">
        <f>IFERROR(__xludf.DUMMYFUNCTION("REGEXREPLACE(A22, ""^https?://[^/]+"", """")"),"/wp-content/uploads/2023/05/spring23.png")</f>
        <v>/wp-content/uploads/2023/05/spring23.png</v>
      </c>
      <c r="F22" s="1" t="s">
        <v>1047</v>
      </c>
      <c r="G22" s="1">
        <v>200.0</v>
      </c>
      <c r="H22" s="1" t="s">
        <v>966</v>
      </c>
      <c r="I22" s="1" t="s">
        <v>967</v>
      </c>
      <c r="L22" s="1">
        <v>0.0</v>
      </c>
      <c r="M22" s="1">
        <v>0.0</v>
      </c>
      <c r="O22" s="1">
        <v>0.0</v>
      </c>
      <c r="P22" s="1">
        <v>0.0</v>
      </c>
      <c r="R22" s="1">
        <v>0.0</v>
      </c>
      <c r="S22" s="1">
        <v>0.0</v>
      </c>
      <c r="U22" s="1">
        <v>0.0</v>
      </c>
      <c r="W22" s="1">
        <v>0.0</v>
      </c>
      <c r="Y22" s="1">
        <v>0.0</v>
      </c>
      <c r="AA22" s="1">
        <v>0.0</v>
      </c>
      <c r="AC22" s="1">
        <v>0.0</v>
      </c>
      <c r="AM22" s="1">
        <v>24222.0</v>
      </c>
      <c r="AN22" s="1">
        <v>24222.0</v>
      </c>
      <c r="AO22" s="1">
        <v>24222.0</v>
      </c>
      <c r="AP22" s="1">
        <v>9.279</v>
      </c>
      <c r="AR22" s="1">
        <v>0.0</v>
      </c>
      <c r="AW22" s="1">
        <v>0.0</v>
      </c>
      <c r="AX22" s="1">
        <v>1.0</v>
      </c>
      <c r="AY22" s="1">
        <v>4.0</v>
      </c>
      <c r="BA22" s="1">
        <v>0.0</v>
      </c>
      <c r="BB22" s="1">
        <v>0.0</v>
      </c>
      <c r="BC22" s="1">
        <v>0.0</v>
      </c>
      <c r="BD22" s="1">
        <v>0.0</v>
      </c>
      <c r="BE22" s="1">
        <v>0.0</v>
      </c>
      <c r="BF22" s="1">
        <v>0.0</v>
      </c>
      <c r="BG22" s="1">
        <v>0.0</v>
      </c>
      <c r="BH22" s="1">
        <v>0.0</v>
      </c>
      <c r="BI22" s="1">
        <v>0.0</v>
      </c>
      <c r="BJ22" s="1">
        <v>0.0</v>
      </c>
      <c r="BP22" s="1">
        <v>1.157</v>
      </c>
      <c r="BQ22" s="1" t="s">
        <v>1067</v>
      </c>
      <c r="BV22" s="1">
        <v>1.1</v>
      </c>
      <c r="EQ22" s="9" t="s">
        <v>1066</v>
      </c>
      <c r="ER22" s="21">
        <v>46045.29765046296</v>
      </c>
    </row>
    <row r="23">
      <c r="A23" s="9" t="s">
        <v>1068</v>
      </c>
      <c r="B23" s="20" t="str">
        <f>IFERROR(__xludf.DUMMYFUNCTION("REGEXREPLACE(A23, ""^https?://[^/]+"", """")"),"/wp-content/plugins/elementor/assets/lib/font-awesome/css/fontawesome.min.css?ver=5.15.3")</f>
        <v>/wp-content/plugins/elementor/assets/lib/font-awesome/css/fontawesome.min.css?ver=5.15.3</v>
      </c>
      <c r="F23" s="1" t="s">
        <v>1016</v>
      </c>
      <c r="G23" s="1">
        <v>200.0</v>
      </c>
      <c r="H23" s="1" t="s">
        <v>966</v>
      </c>
      <c r="I23" s="1" t="s">
        <v>967</v>
      </c>
      <c r="L23" s="1">
        <v>0.0</v>
      </c>
      <c r="M23" s="1">
        <v>0.0</v>
      </c>
      <c r="O23" s="1">
        <v>0.0</v>
      </c>
      <c r="P23" s="1">
        <v>0.0</v>
      </c>
      <c r="R23" s="1">
        <v>0.0</v>
      </c>
      <c r="S23" s="1">
        <v>0.0</v>
      </c>
      <c r="U23" s="1">
        <v>0.0</v>
      </c>
      <c r="W23" s="1">
        <v>0.0</v>
      </c>
      <c r="Y23" s="1">
        <v>0.0</v>
      </c>
      <c r="AA23" s="1">
        <v>0.0</v>
      </c>
      <c r="AC23" s="1">
        <v>0.0</v>
      </c>
      <c r="AM23" s="1">
        <v>12617.0</v>
      </c>
      <c r="AN23" s="1">
        <v>12617.0</v>
      </c>
      <c r="AO23" s="1">
        <v>12617.0</v>
      </c>
      <c r="AP23" s="1">
        <v>4.833</v>
      </c>
      <c r="AR23" s="1">
        <v>0.0</v>
      </c>
      <c r="AW23" s="1">
        <v>0.0</v>
      </c>
      <c r="AX23" s="1">
        <v>1.0</v>
      </c>
      <c r="AY23" s="1">
        <v>7.0</v>
      </c>
      <c r="BA23" s="1">
        <v>0.0</v>
      </c>
      <c r="BB23" s="1">
        <v>0.0</v>
      </c>
      <c r="BC23" s="1">
        <v>0.0</v>
      </c>
      <c r="BD23" s="1">
        <v>0.0</v>
      </c>
      <c r="BE23" s="1">
        <v>0.0</v>
      </c>
      <c r="BF23" s="1">
        <v>0.0</v>
      </c>
      <c r="BG23" s="1">
        <v>0.0</v>
      </c>
      <c r="BH23" s="1">
        <v>0.0</v>
      </c>
      <c r="BI23" s="1">
        <v>0.0</v>
      </c>
      <c r="BJ23" s="1">
        <v>0.0</v>
      </c>
      <c r="BP23" s="1">
        <v>0.265</v>
      </c>
      <c r="BQ23" s="1" t="s">
        <v>1017</v>
      </c>
      <c r="BV23" s="1">
        <v>1.1</v>
      </c>
      <c r="EQ23" s="9" t="s">
        <v>1068</v>
      </c>
      <c r="ER23" s="21">
        <v>46045.29767361111</v>
      </c>
    </row>
    <row r="24">
      <c r="A24" s="9" t="s">
        <v>108</v>
      </c>
      <c r="B24" s="20" t="str">
        <f>IFERROR(__xludf.DUMMYFUNCTION("REGEXREPLACE(A24, ""^https?://[^/]+"", """")"),"/industries/professional-services/")</f>
        <v>/industries/professional-services/</v>
      </c>
      <c r="C24" s="1" t="s">
        <v>1069</v>
      </c>
      <c r="D24" s="1" t="s">
        <v>1070</v>
      </c>
      <c r="E24" s="1" t="s">
        <v>1071</v>
      </c>
      <c r="F24" s="1" t="s">
        <v>965</v>
      </c>
      <c r="G24" s="1">
        <v>200.0</v>
      </c>
      <c r="H24" s="1" t="s">
        <v>966</v>
      </c>
      <c r="I24" s="1" t="s">
        <v>967</v>
      </c>
      <c r="K24" s="1" t="s">
        <v>1072</v>
      </c>
      <c r="L24" s="1">
        <v>73.0</v>
      </c>
      <c r="M24" s="1">
        <v>646.0</v>
      </c>
      <c r="N24" s="1" t="s">
        <v>1073</v>
      </c>
      <c r="O24" s="1">
        <v>29.0</v>
      </c>
      <c r="P24" s="1">
        <v>261.0</v>
      </c>
      <c r="Q24" s="1" t="s">
        <v>1074</v>
      </c>
      <c r="R24" s="1">
        <v>155.0</v>
      </c>
      <c r="S24" s="1">
        <v>924.0</v>
      </c>
      <c r="U24" s="1">
        <v>0.0</v>
      </c>
      <c r="V24" s="1" t="s">
        <v>1069</v>
      </c>
      <c r="W24" s="1">
        <v>53.0</v>
      </c>
      <c r="Y24" s="1">
        <v>0.0</v>
      </c>
      <c r="Z24" s="1" t="s">
        <v>1070</v>
      </c>
      <c r="AA24" s="1">
        <v>36.0</v>
      </c>
      <c r="AB24" s="1" t="s">
        <v>1071</v>
      </c>
      <c r="AC24" s="1">
        <v>45.0</v>
      </c>
      <c r="AD24" s="1" t="s">
        <v>971</v>
      </c>
      <c r="AG24" s="9" t="s">
        <v>108</v>
      </c>
      <c r="AM24" s="1">
        <v>280626.0</v>
      </c>
      <c r="AN24" s="1">
        <v>88706.0</v>
      </c>
      <c r="AO24" s="1">
        <v>88706.0</v>
      </c>
      <c r="AP24" s="1">
        <v>33.982</v>
      </c>
      <c r="AR24" s="1">
        <v>1819.0</v>
      </c>
      <c r="AS24" s="1">
        <v>312.0</v>
      </c>
      <c r="AT24" s="1">
        <v>5.83</v>
      </c>
      <c r="AU24" s="1">
        <v>46.042</v>
      </c>
      <c r="AV24" s="1" t="s">
        <v>1075</v>
      </c>
      <c r="AW24" s="1">
        <v>7.334</v>
      </c>
      <c r="AX24" s="1">
        <v>1.0</v>
      </c>
      <c r="AY24" s="1">
        <v>2.0</v>
      </c>
      <c r="AZ24" s="1">
        <v>51.0</v>
      </c>
      <c r="BA24" s="1">
        <v>2250.0</v>
      </c>
      <c r="BB24" s="1">
        <v>754.0</v>
      </c>
      <c r="BC24" s="1">
        <v>0.0</v>
      </c>
      <c r="BD24" s="1">
        <v>100.0</v>
      </c>
      <c r="BE24" s="1">
        <v>135.0</v>
      </c>
      <c r="BF24" s="1">
        <v>47.0</v>
      </c>
      <c r="BG24" s="1">
        <v>0.0</v>
      </c>
      <c r="BH24" s="1">
        <v>16.0</v>
      </c>
      <c r="BI24" s="1">
        <v>8.0</v>
      </c>
      <c r="BJ24" s="1">
        <v>0.0</v>
      </c>
      <c r="BO24" s="1" t="s">
        <v>1076</v>
      </c>
      <c r="BP24" s="1">
        <v>1.074</v>
      </c>
      <c r="BU24" s="1" t="s">
        <v>974</v>
      </c>
      <c r="BV24" s="1">
        <v>1.1</v>
      </c>
      <c r="BW24" s="1">
        <v>49.0</v>
      </c>
      <c r="BX24" s="1">
        <v>4201.008</v>
      </c>
      <c r="BY24" s="1">
        <v>7227.322</v>
      </c>
      <c r="BZ24" s="1">
        <v>9752.021</v>
      </c>
      <c r="CA24" s="1">
        <v>19188.123</v>
      </c>
      <c r="CB24" s="1">
        <v>423.5</v>
      </c>
      <c r="CC24" s="1">
        <v>0.038</v>
      </c>
      <c r="CD24" s="1">
        <v>673030.0</v>
      </c>
      <c r="CE24" s="1">
        <v>1050.0</v>
      </c>
      <c r="CF24" s="1">
        <v>179.0</v>
      </c>
      <c r="CG24" s="1">
        <v>3185542.0</v>
      </c>
      <c r="CH24" s="1">
        <v>86177.0</v>
      </c>
      <c r="CI24" s="1">
        <v>2.0</v>
      </c>
      <c r="CJ24" s="1">
        <v>762833.0</v>
      </c>
      <c r="CK24" s="1">
        <v>25.0</v>
      </c>
      <c r="CL24" s="1">
        <v>127226.0</v>
      </c>
      <c r="CM24" s="1">
        <v>45.0</v>
      </c>
      <c r="CN24" s="1">
        <v>1791090.0</v>
      </c>
      <c r="CO24" s="1">
        <v>71.0</v>
      </c>
      <c r="CP24" s="1">
        <v>392582.0</v>
      </c>
      <c r="CQ24" s="1">
        <v>7.0</v>
      </c>
      <c r="CR24" s="1">
        <v>0.0</v>
      </c>
      <c r="CS24" s="1">
        <v>0.0</v>
      </c>
      <c r="CT24" s="1">
        <v>25634.0</v>
      </c>
      <c r="CU24" s="1">
        <v>29.0</v>
      </c>
      <c r="CV24" s="1">
        <v>1550132.0</v>
      </c>
      <c r="CW24" s="1">
        <v>76.0</v>
      </c>
      <c r="DC24" s="1">
        <v>0.0</v>
      </c>
      <c r="DD24" s="1">
        <v>5075.0</v>
      </c>
      <c r="DE24" s="1">
        <v>0.0</v>
      </c>
      <c r="DF24" s="1">
        <v>3396.0</v>
      </c>
      <c r="DG24" s="1">
        <v>450.0</v>
      </c>
      <c r="DH24" s="1">
        <v>50543.0</v>
      </c>
      <c r="DI24" s="1">
        <v>600.0</v>
      </c>
      <c r="DJ24" s="1">
        <v>614016.0</v>
      </c>
      <c r="DK24" s="1">
        <v>1835.702</v>
      </c>
      <c r="DL24" s="1" t="s">
        <v>975</v>
      </c>
      <c r="DM24" s="1">
        <v>3379.479</v>
      </c>
      <c r="DN24" s="1" t="s">
        <v>975</v>
      </c>
      <c r="DO24" s="1">
        <v>3185543.0</v>
      </c>
      <c r="DP24" s="1">
        <v>1.0</v>
      </c>
      <c r="DQ24" s="1" t="s">
        <v>976</v>
      </c>
      <c r="DR24" s="1" t="s">
        <v>1077</v>
      </c>
      <c r="DS24" s="1" t="s">
        <v>978</v>
      </c>
      <c r="DU24" s="1" t="s">
        <v>994</v>
      </c>
      <c r="DV24" s="1">
        <v>15651.0</v>
      </c>
      <c r="DX24" s="1">
        <v>3965.0</v>
      </c>
      <c r="DY24" s="1">
        <v>943111.0</v>
      </c>
      <c r="DZ24" s="1" t="s">
        <v>981</v>
      </c>
      <c r="EA24" s="1">
        <v>1250.0</v>
      </c>
      <c r="EB24" s="1">
        <v>499109.0</v>
      </c>
      <c r="EC24" s="1">
        <v>32.0</v>
      </c>
      <c r="ED24" s="1">
        <v>26491.0</v>
      </c>
      <c r="EF24" s="1">
        <v>235.0</v>
      </c>
      <c r="EG24" s="1" t="s">
        <v>982</v>
      </c>
      <c r="EH24" s="1">
        <v>100.0</v>
      </c>
      <c r="EK24" s="1">
        <v>100.0</v>
      </c>
      <c r="EQ24" s="9" t="s">
        <v>108</v>
      </c>
      <c r="ER24" s="21">
        <v>46045.29765046296</v>
      </c>
    </row>
    <row r="25">
      <c r="A25" s="9" t="s">
        <v>1078</v>
      </c>
      <c r="B25" s="20" t="str">
        <f>IFERROR(__xludf.DUMMYFUNCTION("REGEXREPLACE(A25, ""^https?://[^/]+"", """")"),"/wp-content/uploads/2025/04/australia.png")</f>
        <v>/wp-content/uploads/2025/04/australia.png</v>
      </c>
      <c r="F25" s="1" t="s">
        <v>1047</v>
      </c>
      <c r="G25" s="1">
        <v>200.0</v>
      </c>
      <c r="H25" s="1" t="s">
        <v>966</v>
      </c>
      <c r="I25" s="1" t="s">
        <v>967</v>
      </c>
      <c r="L25" s="1">
        <v>0.0</v>
      </c>
      <c r="M25" s="1">
        <v>0.0</v>
      </c>
      <c r="O25" s="1">
        <v>0.0</v>
      </c>
      <c r="P25" s="1">
        <v>0.0</v>
      </c>
      <c r="R25" s="1">
        <v>0.0</v>
      </c>
      <c r="S25" s="1">
        <v>0.0</v>
      </c>
      <c r="U25" s="1">
        <v>0.0</v>
      </c>
      <c r="W25" s="1">
        <v>0.0</v>
      </c>
      <c r="Y25" s="1">
        <v>0.0</v>
      </c>
      <c r="AA25" s="1">
        <v>0.0</v>
      </c>
      <c r="AC25" s="1">
        <v>0.0</v>
      </c>
      <c r="AM25" s="1">
        <v>150307.0</v>
      </c>
      <c r="AN25" s="1">
        <v>150307.0</v>
      </c>
      <c r="AO25" s="1">
        <v>150307.0</v>
      </c>
      <c r="AP25" s="1">
        <v>57.58</v>
      </c>
      <c r="AR25" s="1">
        <v>0.0</v>
      </c>
      <c r="AW25" s="1">
        <v>0.0</v>
      </c>
      <c r="AX25" s="1">
        <v>1.0</v>
      </c>
      <c r="AY25" s="1">
        <v>4.0</v>
      </c>
      <c r="BA25" s="1">
        <v>0.0</v>
      </c>
      <c r="BB25" s="1">
        <v>0.0</v>
      </c>
      <c r="BC25" s="1">
        <v>0.0</v>
      </c>
      <c r="BD25" s="1">
        <v>0.0</v>
      </c>
      <c r="BE25" s="1">
        <v>0.0</v>
      </c>
      <c r="BF25" s="1">
        <v>0.0</v>
      </c>
      <c r="BG25" s="1">
        <v>0.0</v>
      </c>
      <c r="BH25" s="1">
        <v>0.0</v>
      </c>
      <c r="BI25" s="1">
        <v>0.0</v>
      </c>
      <c r="BJ25" s="1">
        <v>0.0</v>
      </c>
      <c r="BP25" s="1">
        <v>0.668</v>
      </c>
      <c r="BQ25" s="1" t="s">
        <v>1079</v>
      </c>
      <c r="BV25" s="1">
        <v>1.1</v>
      </c>
      <c r="EQ25" s="9" t="s">
        <v>1078</v>
      </c>
      <c r="ER25" s="21">
        <v>46045.29767361111</v>
      </c>
    </row>
    <row r="26">
      <c r="A26" s="9" t="s">
        <v>1080</v>
      </c>
      <c r="B26" s="20" t="str">
        <f>IFERROR(__xludf.DUMMYFUNCTION("REGEXREPLACE(A26, ""^https?://[^/]+"", """")"),"/ai-statement/")</f>
        <v>/ai-statement/</v>
      </c>
      <c r="C26" s="1" t="s">
        <v>1081</v>
      </c>
      <c r="F26" s="1" t="s">
        <v>965</v>
      </c>
      <c r="G26" s="1">
        <v>200.0</v>
      </c>
      <c r="H26" s="1" t="s">
        <v>966</v>
      </c>
      <c r="I26" s="1" t="s">
        <v>967</v>
      </c>
      <c r="K26" s="1" t="s">
        <v>1082</v>
      </c>
      <c r="L26" s="1">
        <v>32.0</v>
      </c>
      <c r="M26" s="1">
        <v>289.0</v>
      </c>
      <c r="O26" s="1">
        <v>0.0</v>
      </c>
      <c r="P26" s="1">
        <v>0.0</v>
      </c>
      <c r="Q26" s="1" t="s">
        <v>1083</v>
      </c>
      <c r="R26" s="1">
        <v>157.0</v>
      </c>
      <c r="S26" s="1">
        <v>955.0</v>
      </c>
      <c r="U26" s="1">
        <v>0.0</v>
      </c>
      <c r="V26" s="1" t="s">
        <v>1081</v>
      </c>
      <c r="W26" s="1">
        <v>12.0</v>
      </c>
      <c r="Y26" s="1">
        <v>0.0</v>
      </c>
      <c r="AA26" s="1">
        <v>0.0</v>
      </c>
      <c r="AC26" s="1">
        <v>0.0</v>
      </c>
      <c r="AD26" s="1" t="s">
        <v>971</v>
      </c>
      <c r="AG26" s="9" t="s">
        <v>1080</v>
      </c>
      <c r="AM26" s="1">
        <v>149344.0</v>
      </c>
      <c r="AN26" s="1">
        <v>29324.0</v>
      </c>
      <c r="AO26" s="1">
        <v>29324.0</v>
      </c>
      <c r="AP26" s="1">
        <v>11.233</v>
      </c>
      <c r="AR26" s="1">
        <v>699.0</v>
      </c>
      <c r="AS26" s="1">
        <v>125.0</v>
      </c>
      <c r="AT26" s="1">
        <v>5.592</v>
      </c>
      <c r="AU26" s="1">
        <v>58.707</v>
      </c>
      <c r="AV26" s="1" t="s">
        <v>972</v>
      </c>
      <c r="AW26" s="1">
        <v>4.497</v>
      </c>
      <c r="AX26" s="1">
        <v>1.0</v>
      </c>
      <c r="AY26" s="1">
        <v>1.0</v>
      </c>
      <c r="AZ26" s="1">
        <v>47.0</v>
      </c>
      <c r="BA26" s="1">
        <v>748.0</v>
      </c>
      <c r="BB26" s="1">
        <v>747.0</v>
      </c>
      <c r="BC26" s="1">
        <v>0.0</v>
      </c>
      <c r="BD26" s="1">
        <v>99.07</v>
      </c>
      <c r="BE26" s="1">
        <v>122.0</v>
      </c>
      <c r="BF26" s="1">
        <v>42.0</v>
      </c>
      <c r="BG26" s="1">
        <v>0.0</v>
      </c>
      <c r="BH26" s="1">
        <v>16.0</v>
      </c>
      <c r="BI26" s="1">
        <v>8.0</v>
      </c>
      <c r="BJ26" s="1">
        <v>0.0</v>
      </c>
      <c r="BO26" s="1" t="s">
        <v>1084</v>
      </c>
      <c r="BP26" s="1">
        <v>0.941</v>
      </c>
      <c r="BU26" s="1" t="s">
        <v>974</v>
      </c>
      <c r="BV26" s="1">
        <v>1.1</v>
      </c>
      <c r="BW26" s="1">
        <v>50.0</v>
      </c>
      <c r="BX26" s="1">
        <v>3001.043</v>
      </c>
      <c r="BY26" s="1">
        <v>6922.009</v>
      </c>
      <c r="BZ26" s="1">
        <v>5701.087</v>
      </c>
      <c r="CA26" s="1">
        <v>17468.092</v>
      </c>
      <c r="CB26" s="1">
        <v>672.0</v>
      </c>
      <c r="CC26" s="1">
        <v>0.0</v>
      </c>
      <c r="CD26" s="1">
        <v>651265.0</v>
      </c>
      <c r="CE26" s="1">
        <v>1200.0</v>
      </c>
      <c r="CF26" s="1">
        <v>163.0</v>
      </c>
      <c r="CG26" s="1">
        <v>2238257.0</v>
      </c>
      <c r="CH26" s="1">
        <v>30711.0</v>
      </c>
      <c r="CI26" s="1">
        <v>2.0</v>
      </c>
      <c r="CJ26" s="1">
        <v>78722.0</v>
      </c>
      <c r="CK26" s="1">
        <v>23.0</v>
      </c>
      <c r="CL26" s="1">
        <v>110645.0</v>
      </c>
      <c r="CM26" s="1">
        <v>36.0</v>
      </c>
      <c r="CN26" s="1">
        <v>1747211.0</v>
      </c>
      <c r="CO26" s="1">
        <v>67.0</v>
      </c>
      <c r="CP26" s="1">
        <v>244248.0</v>
      </c>
      <c r="CQ26" s="1">
        <v>5.0</v>
      </c>
      <c r="CR26" s="1">
        <v>0.0</v>
      </c>
      <c r="CS26" s="1">
        <v>0.0</v>
      </c>
      <c r="CT26" s="1">
        <v>26720.0</v>
      </c>
      <c r="CU26" s="1">
        <v>30.0</v>
      </c>
      <c r="CV26" s="1">
        <v>1505551.0</v>
      </c>
      <c r="CW26" s="1">
        <v>67.0</v>
      </c>
      <c r="DC26" s="1">
        <v>0.0</v>
      </c>
      <c r="DD26" s="1">
        <v>5075.0</v>
      </c>
      <c r="DE26" s="1">
        <v>0.0</v>
      </c>
      <c r="DF26" s="1">
        <v>3396.0</v>
      </c>
      <c r="DG26" s="1">
        <v>600.0</v>
      </c>
      <c r="DH26" s="1">
        <v>50517.0</v>
      </c>
      <c r="DI26" s="1">
        <v>600.0</v>
      </c>
      <c r="DJ26" s="1">
        <v>592277.0</v>
      </c>
      <c r="DK26" s="1">
        <v>2081.556</v>
      </c>
      <c r="DL26" s="1" t="s">
        <v>975</v>
      </c>
      <c r="DM26" s="1">
        <v>3544.882</v>
      </c>
      <c r="DN26" s="1" t="s">
        <v>975</v>
      </c>
      <c r="DO26" s="1">
        <v>2238175.0</v>
      </c>
      <c r="DP26" s="1">
        <v>1.0</v>
      </c>
      <c r="DQ26" s="1" t="s">
        <v>976</v>
      </c>
      <c r="DR26" s="1" t="s">
        <v>1085</v>
      </c>
      <c r="DS26" s="1" t="s">
        <v>978</v>
      </c>
      <c r="DU26" s="1" t="s">
        <v>994</v>
      </c>
      <c r="DV26" s="1">
        <v>12189.0</v>
      </c>
      <c r="DX26" s="1">
        <v>3893.0</v>
      </c>
      <c r="DY26" s="1">
        <v>604193.0</v>
      </c>
      <c r="DZ26" s="1" t="s">
        <v>981</v>
      </c>
      <c r="EA26" s="1">
        <v>765.0</v>
      </c>
      <c r="EB26" s="1">
        <v>27429.0</v>
      </c>
      <c r="EC26" s="1">
        <v>1.0</v>
      </c>
      <c r="ED26" s="1">
        <v>26492.0</v>
      </c>
      <c r="EF26" s="1">
        <v>235.0</v>
      </c>
      <c r="EG26" s="1" t="s">
        <v>982</v>
      </c>
      <c r="EH26" s="1">
        <v>100.0</v>
      </c>
      <c r="EK26" s="1">
        <v>100.0</v>
      </c>
      <c r="EQ26" s="9" t="s">
        <v>1080</v>
      </c>
      <c r="ER26" s="21">
        <v>46045.29766203704</v>
      </c>
    </row>
    <row r="27">
      <c r="A27" s="9" t="s">
        <v>1086</v>
      </c>
      <c r="B27" s="20" t="str">
        <f>IFERROR(__xludf.DUMMYFUNCTION("REGEXREPLACE(A27, ""^https?://[^/]+"", """")"),"/podcasts/")</f>
        <v>/podcasts/</v>
      </c>
      <c r="C27" s="1" t="s">
        <v>1087</v>
      </c>
      <c r="D27" s="1" t="s">
        <v>1088</v>
      </c>
      <c r="E27" s="1" t="s">
        <v>1089</v>
      </c>
      <c r="F27" s="1" t="s">
        <v>965</v>
      </c>
      <c r="G27" s="1">
        <v>200.0</v>
      </c>
      <c r="H27" s="1" t="s">
        <v>966</v>
      </c>
      <c r="I27" s="1" t="s">
        <v>967</v>
      </c>
      <c r="K27" s="1" t="s">
        <v>1090</v>
      </c>
      <c r="L27" s="1">
        <v>50.0</v>
      </c>
      <c r="M27" s="1">
        <v>461.0</v>
      </c>
      <c r="O27" s="1">
        <v>0.0</v>
      </c>
      <c r="P27" s="1">
        <v>0.0</v>
      </c>
      <c r="Q27" s="1" t="s">
        <v>1091</v>
      </c>
      <c r="R27" s="1">
        <v>191.0</v>
      </c>
      <c r="S27" s="1">
        <v>1215.0</v>
      </c>
      <c r="U27" s="1">
        <v>0.0</v>
      </c>
      <c r="V27" s="1" t="s">
        <v>1087</v>
      </c>
      <c r="W27" s="1">
        <v>22.0</v>
      </c>
      <c r="Y27" s="1">
        <v>0.0</v>
      </c>
      <c r="Z27" s="1" t="s">
        <v>1088</v>
      </c>
      <c r="AA27" s="1">
        <v>14.0</v>
      </c>
      <c r="AB27" s="1" t="s">
        <v>1089</v>
      </c>
      <c r="AC27" s="1">
        <v>15.0</v>
      </c>
      <c r="AD27" s="1" t="s">
        <v>971</v>
      </c>
      <c r="AG27" s="9" t="s">
        <v>1086</v>
      </c>
      <c r="AM27" s="1">
        <v>205629.0</v>
      </c>
      <c r="AN27" s="1">
        <v>33795.0</v>
      </c>
      <c r="AO27" s="1">
        <v>33795.0</v>
      </c>
      <c r="AP27" s="1">
        <v>12.946</v>
      </c>
      <c r="AR27" s="1">
        <v>1059.0</v>
      </c>
      <c r="AS27" s="1">
        <v>174.0</v>
      </c>
      <c r="AT27" s="1">
        <v>6.086</v>
      </c>
      <c r="AU27" s="1">
        <v>65.17</v>
      </c>
      <c r="AV27" s="1" t="s">
        <v>990</v>
      </c>
      <c r="AW27" s="1">
        <v>4.349</v>
      </c>
      <c r="AX27" s="1">
        <v>1.0</v>
      </c>
      <c r="AY27" s="1">
        <v>1.0</v>
      </c>
      <c r="AZ27" s="1">
        <v>51.0</v>
      </c>
      <c r="BA27" s="1">
        <v>2983.0</v>
      </c>
      <c r="BB27" s="1">
        <v>754.0</v>
      </c>
      <c r="BC27" s="1">
        <v>0.0</v>
      </c>
      <c r="BD27" s="1">
        <v>100.0</v>
      </c>
      <c r="BE27" s="1">
        <v>129.0</v>
      </c>
      <c r="BF27" s="1">
        <v>48.0</v>
      </c>
      <c r="BG27" s="1">
        <v>0.0</v>
      </c>
      <c r="BH27" s="1">
        <v>20.0</v>
      </c>
      <c r="BI27" s="1">
        <v>12.0</v>
      </c>
      <c r="BJ27" s="1">
        <v>0.0</v>
      </c>
      <c r="BO27" s="1" t="s">
        <v>1092</v>
      </c>
      <c r="BP27" s="1">
        <v>1.244</v>
      </c>
      <c r="BU27" s="1" t="s">
        <v>974</v>
      </c>
      <c r="BV27" s="1">
        <v>1.1</v>
      </c>
      <c r="BW27" s="1">
        <v>48.0</v>
      </c>
      <c r="BX27" s="1">
        <v>3451.031</v>
      </c>
      <c r="BY27" s="1">
        <v>9182.46</v>
      </c>
      <c r="BZ27" s="1">
        <v>10351.098</v>
      </c>
      <c r="CA27" s="1">
        <v>18592.801</v>
      </c>
      <c r="CB27" s="1">
        <v>269.0</v>
      </c>
      <c r="CC27" s="1">
        <v>0.16</v>
      </c>
      <c r="CD27" s="1">
        <v>653070.0</v>
      </c>
      <c r="CE27" s="1">
        <v>900.0</v>
      </c>
      <c r="CF27" s="1">
        <v>173.0</v>
      </c>
      <c r="CG27" s="1">
        <v>2343917.0</v>
      </c>
      <c r="CH27" s="1">
        <v>34723.0</v>
      </c>
      <c r="CI27" s="1">
        <v>2.0</v>
      </c>
      <c r="CJ27" s="1">
        <v>92532.0</v>
      </c>
      <c r="CK27" s="1">
        <v>19.0</v>
      </c>
      <c r="CL27" s="1">
        <v>122883.0</v>
      </c>
      <c r="CM27" s="1">
        <v>43.0</v>
      </c>
      <c r="CN27" s="1">
        <v>1762525.0</v>
      </c>
      <c r="CO27" s="1">
        <v>74.0</v>
      </c>
      <c r="CP27" s="1">
        <v>306666.0</v>
      </c>
      <c r="CQ27" s="1">
        <v>7.0</v>
      </c>
      <c r="CR27" s="1">
        <v>0.0</v>
      </c>
      <c r="CS27" s="1">
        <v>0.0</v>
      </c>
      <c r="CT27" s="1">
        <v>24588.0</v>
      </c>
      <c r="CU27" s="1">
        <v>28.0</v>
      </c>
      <c r="CV27" s="1">
        <v>1526076.0</v>
      </c>
      <c r="CW27" s="1">
        <v>67.0</v>
      </c>
      <c r="DC27" s="1">
        <v>0.0</v>
      </c>
      <c r="DD27" s="1">
        <v>5075.0</v>
      </c>
      <c r="DE27" s="1">
        <v>0.0</v>
      </c>
      <c r="DF27" s="1">
        <v>3396.0</v>
      </c>
      <c r="DG27" s="1">
        <v>0.0</v>
      </c>
      <c r="DH27" s="1">
        <v>50559.0</v>
      </c>
      <c r="DI27" s="1">
        <v>900.0</v>
      </c>
      <c r="DJ27" s="1">
        <v>594040.0</v>
      </c>
      <c r="DK27" s="1">
        <v>1476.443</v>
      </c>
      <c r="DL27" s="1" t="s">
        <v>975</v>
      </c>
      <c r="DM27" s="1">
        <v>2628.768</v>
      </c>
      <c r="DN27" s="1" t="s">
        <v>975</v>
      </c>
      <c r="DO27" s="1">
        <v>2343794.0</v>
      </c>
      <c r="DP27" s="1">
        <v>1.0</v>
      </c>
      <c r="DQ27" s="1" t="s">
        <v>976</v>
      </c>
      <c r="DR27" s="1" t="s">
        <v>1064</v>
      </c>
      <c r="DS27" s="1" t="s">
        <v>978</v>
      </c>
      <c r="DT27" s="1" t="s">
        <v>1093</v>
      </c>
      <c r="DU27" s="1" t="s">
        <v>980</v>
      </c>
      <c r="DV27" s="1">
        <v>14396.0</v>
      </c>
      <c r="DX27" s="1">
        <v>5353.0</v>
      </c>
      <c r="DY27" s="1">
        <v>636710.0</v>
      </c>
      <c r="DZ27" s="1" t="s">
        <v>994</v>
      </c>
      <c r="EA27" s="1">
        <v>978.0</v>
      </c>
      <c r="EB27" s="1">
        <v>4453.0</v>
      </c>
      <c r="EC27" s="1">
        <v>1.0</v>
      </c>
      <c r="ED27" s="1">
        <v>26492.0</v>
      </c>
      <c r="EF27" s="1">
        <v>240.0</v>
      </c>
      <c r="EG27" s="1" t="s">
        <v>982</v>
      </c>
      <c r="EH27" s="1">
        <v>100.0</v>
      </c>
      <c r="EK27" s="1">
        <v>100.0</v>
      </c>
      <c r="EQ27" s="9" t="s">
        <v>1086</v>
      </c>
      <c r="ER27" s="21">
        <v>46045.29766203704</v>
      </c>
    </row>
    <row r="28">
      <c r="A28" s="9" t="s">
        <v>1094</v>
      </c>
      <c r="B28" s="20" t="str">
        <f>IFERROR(__xludf.DUMMYFUNCTION("REGEXREPLACE(A28, ""^https?://[^/]+"", """")"),"/careers/")</f>
        <v>/careers/</v>
      </c>
      <c r="C28" s="1" t="s">
        <v>1095</v>
      </c>
      <c r="D28" s="1" t="s">
        <v>1096</v>
      </c>
      <c r="E28" s="1" t="s">
        <v>1097</v>
      </c>
      <c r="F28" s="1" t="s">
        <v>965</v>
      </c>
      <c r="G28" s="1">
        <v>200.0</v>
      </c>
      <c r="H28" s="1" t="s">
        <v>966</v>
      </c>
      <c r="I28" s="1" t="s">
        <v>967</v>
      </c>
      <c r="K28" s="1" t="s">
        <v>1098</v>
      </c>
      <c r="L28" s="1">
        <v>72.0</v>
      </c>
      <c r="M28" s="1">
        <v>643.0</v>
      </c>
      <c r="O28" s="1">
        <v>0.0</v>
      </c>
      <c r="P28" s="1">
        <v>0.0</v>
      </c>
      <c r="Q28" s="1" t="s">
        <v>1099</v>
      </c>
      <c r="R28" s="1">
        <v>125.0</v>
      </c>
      <c r="S28" s="1">
        <v>757.0</v>
      </c>
      <c r="U28" s="1">
        <v>0.0</v>
      </c>
      <c r="V28" s="1" t="s">
        <v>1095</v>
      </c>
      <c r="W28" s="1">
        <v>53.0</v>
      </c>
      <c r="Y28" s="1">
        <v>0.0</v>
      </c>
      <c r="Z28" s="1" t="s">
        <v>1096</v>
      </c>
      <c r="AA28" s="1">
        <v>46.0</v>
      </c>
      <c r="AB28" s="1" t="s">
        <v>1097</v>
      </c>
      <c r="AC28" s="1">
        <v>48.0</v>
      </c>
      <c r="AD28" s="1" t="s">
        <v>971</v>
      </c>
      <c r="AG28" s="9" t="s">
        <v>1094</v>
      </c>
      <c r="AM28" s="1">
        <v>172876.0</v>
      </c>
      <c r="AN28" s="1">
        <v>30562.0</v>
      </c>
      <c r="AO28" s="1">
        <v>30562.0</v>
      </c>
      <c r="AP28" s="1">
        <v>11.708</v>
      </c>
      <c r="AR28" s="1">
        <v>912.0</v>
      </c>
      <c r="AS28" s="1">
        <v>157.0</v>
      </c>
      <c r="AT28" s="1">
        <v>5.809</v>
      </c>
      <c r="AU28" s="1">
        <v>63.464</v>
      </c>
      <c r="AV28" s="1" t="s">
        <v>990</v>
      </c>
      <c r="AW28" s="1">
        <v>4.629</v>
      </c>
      <c r="AX28" s="1">
        <v>1.0</v>
      </c>
      <c r="AY28" s="1">
        <v>1.0</v>
      </c>
      <c r="AZ28" s="1">
        <v>51.0</v>
      </c>
      <c r="BA28" s="1">
        <v>767.0</v>
      </c>
      <c r="BB28" s="1">
        <v>754.0</v>
      </c>
      <c r="BC28" s="1">
        <v>0.0</v>
      </c>
      <c r="BD28" s="1">
        <v>100.0</v>
      </c>
      <c r="BE28" s="1">
        <v>130.0</v>
      </c>
      <c r="BF28" s="1">
        <v>50.0</v>
      </c>
      <c r="BG28" s="1">
        <v>0.0</v>
      </c>
      <c r="BH28" s="1">
        <v>25.0</v>
      </c>
      <c r="BI28" s="1">
        <v>17.0</v>
      </c>
      <c r="BJ28" s="1">
        <v>0.0</v>
      </c>
      <c r="BO28" s="1" t="s">
        <v>1100</v>
      </c>
      <c r="BP28" s="1">
        <v>1.014</v>
      </c>
      <c r="BU28" s="1" t="s">
        <v>974</v>
      </c>
      <c r="BV28" s="1">
        <v>1.1</v>
      </c>
      <c r="BW28" s="1">
        <v>48.0</v>
      </c>
      <c r="BX28" s="1">
        <v>3751.051</v>
      </c>
      <c r="BY28" s="1">
        <v>7370.9</v>
      </c>
      <c r="BZ28" s="1">
        <v>6601.092</v>
      </c>
      <c r="CA28" s="1">
        <v>18120.941</v>
      </c>
      <c r="CB28" s="1">
        <v>579.5</v>
      </c>
      <c r="CC28" s="1">
        <v>0.0</v>
      </c>
      <c r="CD28" s="1">
        <v>667240.0</v>
      </c>
      <c r="CE28" s="1">
        <v>900.0</v>
      </c>
      <c r="CF28" s="1">
        <v>167.0</v>
      </c>
      <c r="CG28" s="1">
        <v>2321065.0</v>
      </c>
      <c r="CH28" s="1">
        <v>31812.0</v>
      </c>
      <c r="CI28" s="1">
        <v>2.0</v>
      </c>
      <c r="CJ28" s="1">
        <v>98685.0</v>
      </c>
      <c r="CK28" s="1">
        <v>22.0</v>
      </c>
      <c r="CL28" s="1">
        <v>132713.0</v>
      </c>
      <c r="CM28" s="1">
        <v>40.0</v>
      </c>
      <c r="CN28" s="1">
        <v>1747867.0</v>
      </c>
      <c r="CO28" s="1">
        <v>68.0</v>
      </c>
      <c r="CP28" s="1">
        <v>284718.0</v>
      </c>
      <c r="CQ28" s="1">
        <v>6.0</v>
      </c>
      <c r="CR28" s="1">
        <v>0.0</v>
      </c>
      <c r="CS28" s="1">
        <v>0.0</v>
      </c>
      <c r="CT28" s="1">
        <v>25270.0</v>
      </c>
      <c r="CU28" s="1">
        <v>29.0</v>
      </c>
      <c r="CV28" s="1">
        <v>1503740.0</v>
      </c>
      <c r="CW28" s="1">
        <v>67.0</v>
      </c>
      <c r="DC28" s="1">
        <v>0.0</v>
      </c>
      <c r="DD28" s="1">
        <v>5075.0</v>
      </c>
      <c r="DE28" s="1">
        <v>0.0</v>
      </c>
      <c r="DF28" s="1">
        <v>3396.0</v>
      </c>
      <c r="DG28" s="1">
        <v>300.0</v>
      </c>
      <c r="DH28" s="1">
        <v>65073.0</v>
      </c>
      <c r="DI28" s="1">
        <v>600.0</v>
      </c>
      <c r="DJ28" s="1">
        <v>593696.0</v>
      </c>
      <c r="DK28" s="1">
        <v>1960.835</v>
      </c>
      <c r="DL28" s="1" t="s">
        <v>975</v>
      </c>
      <c r="DM28" s="1">
        <v>3538.433</v>
      </c>
      <c r="DN28" s="1" t="s">
        <v>975</v>
      </c>
      <c r="DO28" s="1">
        <v>2321066.0</v>
      </c>
      <c r="DP28" s="1">
        <v>1.0</v>
      </c>
      <c r="DQ28" s="1" t="s">
        <v>976</v>
      </c>
      <c r="DR28" s="1" t="s">
        <v>993</v>
      </c>
      <c r="DS28" s="1" t="s">
        <v>978</v>
      </c>
      <c r="DT28" s="1" t="s">
        <v>979</v>
      </c>
      <c r="DU28" s="1" t="s">
        <v>980</v>
      </c>
      <c r="DV28" s="1">
        <v>13543.0</v>
      </c>
      <c r="DX28" s="1">
        <v>3821.0</v>
      </c>
      <c r="DY28" s="1">
        <v>637662.0</v>
      </c>
      <c r="DZ28" s="1" t="s">
        <v>981</v>
      </c>
      <c r="EA28" s="1">
        <v>965.0</v>
      </c>
      <c r="EB28" s="1">
        <v>4453.0</v>
      </c>
      <c r="EC28" s="1">
        <v>23.0</v>
      </c>
      <c r="ED28" s="1">
        <v>26492.0</v>
      </c>
      <c r="EF28" s="1">
        <v>235.0</v>
      </c>
      <c r="EG28" s="1" t="s">
        <v>982</v>
      </c>
      <c r="EH28" s="1">
        <v>100.0</v>
      </c>
      <c r="EK28" s="1">
        <v>100.0</v>
      </c>
      <c r="EQ28" s="9" t="s">
        <v>1094</v>
      </c>
      <c r="ER28" s="21">
        <v>46045.29767361111</v>
      </c>
    </row>
    <row r="29">
      <c r="A29" s="9" t="s">
        <v>1101</v>
      </c>
      <c r="B29" s="20" t="str">
        <f>IFERROR(__xludf.DUMMYFUNCTION("REGEXREPLACE(A29, ""^https?://[^/]+"", """")"),"/sales-recruiting/")</f>
        <v>/sales-recruiting/</v>
      </c>
      <c r="C29" s="1" t="s">
        <v>1102</v>
      </c>
      <c r="D29" s="1" t="s">
        <v>1103</v>
      </c>
      <c r="E29" s="1" t="s">
        <v>1104</v>
      </c>
      <c r="F29" s="1" t="s">
        <v>965</v>
      </c>
      <c r="G29" s="1">
        <v>200.0</v>
      </c>
      <c r="H29" s="1" t="s">
        <v>966</v>
      </c>
      <c r="I29" s="1" t="s">
        <v>967</v>
      </c>
      <c r="K29" s="1" t="s">
        <v>1105</v>
      </c>
      <c r="L29" s="1">
        <v>45.0</v>
      </c>
      <c r="M29" s="1">
        <v>396.0</v>
      </c>
      <c r="O29" s="1">
        <v>0.0</v>
      </c>
      <c r="P29" s="1">
        <v>0.0</v>
      </c>
      <c r="Q29" s="1" t="s">
        <v>1106</v>
      </c>
      <c r="R29" s="1">
        <v>138.0</v>
      </c>
      <c r="S29" s="1">
        <v>849.0</v>
      </c>
      <c r="U29" s="1">
        <v>0.0</v>
      </c>
      <c r="V29" s="1" t="s">
        <v>1102</v>
      </c>
      <c r="W29" s="1">
        <v>32.0</v>
      </c>
      <c r="Y29" s="1">
        <v>0.0</v>
      </c>
      <c r="Z29" s="1" t="s">
        <v>1103</v>
      </c>
      <c r="AA29" s="1">
        <v>21.0</v>
      </c>
      <c r="AB29" s="1" t="s">
        <v>1104</v>
      </c>
      <c r="AC29" s="1">
        <v>33.0</v>
      </c>
      <c r="AD29" s="1" t="s">
        <v>971</v>
      </c>
      <c r="AG29" s="9" t="s">
        <v>1101</v>
      </c>
      <c r="AM29" s="1">
        <v>251047.0</v>
      </c>
      <c r="AN29" s="1">
        <v>86158.0</v>
      </c>
      <c r="AO29" s="1">
        <v>86158.0</v>
      </c>
      <c r="AP29" s="1">
        <v>33.005</v>
      </c>
      <c r="AR29" s="1">
        <v>1186.0</v>
      </c>
      <c r="AS29" s="1">
        <v>194.0</v>
      </c>
      <c r="AT29" s="1">
        <v>6.113</v>
      </c>
      <c r="AU29" s="1">
        <v>54.185</v>
      </c>
      <c r="AV29" s="1" t="s">
        <v>972</v>
      </c>
      <c r="AW29" s="1">
        <v>5.734</v>
      </c>
      <c r="AX29" s="1">
        <v>1.0</v>
      </c>
      <c r="AY29" s="1">
        <v>1.0</v>
      </c>
      <c r="AZ29" s="1">
        <v>51.0</v>
      </c>
      <c r="BA29" s="1">
        <v>3036.0</v>
      </c>
      <c r="BB29" s="1">
        <v>754.0</v>
      </c>
      <c r="BC29" s="1">
        <v>0.0</v>
      </c>
      <c r="BD29" s="1">
        <v>100.0</v>
      </c>
      <c r="BE29" s="1">
        <v>127.0</v>
      </c>
      <c r="BF29" s="1">
        <v>43.0</v>
      </c>
      <c r="BG29" s="1">
        <v>0.0</v>
      </c>
      <c r="BH29" s="1">
        <v>16.0</v>
      </c>
      <c r="BI29" s="1">
        <v>8.0</v>
      </c>
      <c r="BJ29" s="1">
        <v>0.0</v>
      </c>
      <c r="BO29" s="1" t="s">
        <v>1107</v>
      </c>
      <c r="BP29" s="1">
        <v>1.023</v>
      </c>
      <c r="BU29" s="1" t="s">
        <v>974</v>
      </c>
      <c r="BV29" s="1">
        <v>1.1</v>
      </c>
      <c r="BW29" s="1">
        <v>48.0</v>
      </c>
      <c r="BX29" s="1">
        <v>3601.007</v>
      </c>
      <c r="BY29" s="1">
        <v>8270.616</v>
      </c>
      <c r="BZ29" s="1">
        <v>5851.012</v>
      </c>
      <c r="CA29" s="1">
        <v>18612.473</v>
      </c>
      <c r="CB29" s="1">
        <v>637.0</v>
      </c>
      <c r="CC29" s="1">
        <v>0.0</v>
      </c>
      <c r="CD29" s="1">
        <v>694239.0</v>
      </c>
      <c r="CE29" s="1">
        <v>1220.0</v>
      </c>
      <c r="CF29" s="1">
        <v>173.0</v>
      </c>
      <c r="CG29" s="1">
        <v>2366105.0</v>
      </c>
      <c r="CH29" s="1">
        <v>84224.0</v>
      </c>
      <c r="CI29" s="1">
        <v>2.0</v>
      </c>
      <c r="CJ29" s="1">
        <v>58086.0</v>
      </c>
      <c r="CK29" s="1">
        <v>21.0</v>
      </c>
      <c r="CL29" s="1">
        <v>126857.0</v>
      </c>
      <c r="CM29" s="1">
        <v>44.0</v>
      </c>
      <c r="CN29" s="1">
        <v>1805486.0</v>
      </c>
      <c r="CO29" s="1">
        <v>72.0</v>
      </c>
      <c r="CP29" s="1">
        <v>266196.0</v>
      </c>
      <c r="CQ29" s="1">
        <v>6.0</v>
      </c>
      <c r="CR29" s="1">
        <v>0.0</v>
      </c>
      <c r="CS29" s="1">
        <v>0.0</v>
      </c>
      <c r="CT29" s="1">
        <v>25256.0</v>
      </c>
      <c r="CU29" s="1">
        <v>28.0</v>
      </c>
      <c r="CV29" s="1">
        <v>1525525.0</v>
      </c>
      <c r="CW29" s="1">
        <v>70.0</v>
      </c>
      <c r="DC29" s="1">
        <v>10.0</v>
      </c>
      <c r="DD29" s="1">
        <v>5074.0</v>
      </c>
      <c r="DE29" s="1">
        <v>0.0</v>
      </c>
      <c r="DF29" s="1">
        <v>7389.0</v>
      </c>
      <c r="DG29" s="1">
        <v>610.0</v>
      </c>
      <c r="DH29" s="1">
        <v>50540.0</v>
      </c>
      <c r="DI29" s="1">
        <v>600.0</v>
      </c>
      <c r="DJ29" s="1">
        <v>631236.0</v>
      </c>
      <c r="DK29" s="1">
        <v>2008.258</v>
      </c>
      <c r="DL29" s="1" t="s">
        <v>975</v>
      </c>
      <c r="DM29" s="1">
        <v>3751.888</v>
      </c>
      <c r="DN29" s="1" t="s">
        <v>975</v>
      </c>
      <c r="DO29" s="1">
        <v>2366106.0</v>
      </c>
      <c r="DP29" s="1">
        <v>1.0</v>
      </c>
      <c r="DQ29" s="1" t="s">
        <v>976</v>
      </c>
      <c r="DR29" s="1" t="s">
        <v>1108</v>
      </c>
      <c r="DS29" s="1" t="s">
        <v>978</v>
      </c>
      <c r="DU29" s="1" t="s">
        <v>994</v>
      </c>
      <c r="DV29" s="1">
        <v>13605.0</v>
      </c>
      <c r="DX29" s="1">
        <v>4350.0</v>
      </c>
      <c r="DY29" s="1">
        <v>623705.0</v>
      </c>
      <c r="DZ29" s="1" t="s">
        <v>981</v>
      </c>
      <c r="EA29" s="1">
        <v>1059.0</v>
      </c>
      <c r="EB29" s="1">
        <v>17282.0</v>
      </c>
      <c r="EC29" s="1">
        <v>1.0</v>
      </c>
      <c r="ED29" s="1">
        <v>26492.0</v>
      </c>
      <c r="EF29" s="1">
        <v>235.0</v>
      </c>
      <c r="EG29" s="1" t="s">
        <v>982</v>
      </c>
      <c r="EH29" s="1">
        <v>100.0</v>
      </c>
      <c r="EK29" s="1">
        <v>100.0</v>
      </c>
      <c r="EQ29" s="9" t="s">
        <v>1101</v>
      </c>
      <c r="ER29" s="21">
        <v>46045.297685185185</v>
      </c>
    </row>
    <row r="30">
      <c r="A30" s="9" t="s">
        <v>1109</v>
      </c>
      <c r="B30" s="20" t="str">
        <f>IFERROR(__xludf.DUMMYFUNCTION("REGEXREPLACE(A30, ""^https?://[^/]+"", """")"),"/wp-content/plugins/elementor/assets/lib/animations/styles/slideInLeft.min.css?ver=3.34.0")</f>
        <v>/wp-content/plugins/elementor/assets/lib/animations/styles/slideInLeft.min.css?ver=3.34.0</v>
      </c>
      <c r="F30" s="1" t="s">
        <v>1016</v>
      </c>
      <c r="G30" s="1">
        <v>200.0</v>
      </c>
      <c r="H30" s="1" t="s">
        <v>966</v>
      </c>
      <c r="I30" s="1" t="s">
        <v>967</v>
      </c>
      <c r="L30" s="1">
        <v>0.0</v>
      </c>
      <c r="M30" s="1">
        <v>0.0</v>
      </c>
      <c r="O30" s="1">
        <v>0.0</v>
      </c>
      <c r="P30" s="1">
        <v>0.0</v>
      </c>
      <c r="R30" s="1">
        <v>0.0</v>
      </c>
      <c r="S30" s="1">
        <v>0.0</v>
      </c>
      <c r="U30" s="1">
        <v>0.0</v>
      </c>
      <c r="W30" s="1">
        <v>0.0</v>
      </c>
      <c r="Y30" s="1">
        <v>0.0</v>
      </c>
      <c r="AA30" s="1">
        <v>0.0</v>
      </c>
      <c r="AC30" s="1">
        <v>0.0</v>
      </c>
      <c r="AM30" s="1">
        <v>123.0</v>
      </c>
      <c r="AN30" s="1">
        <v>123.0</v>
      </c>
      <c r="AO30" s="1">
        <v>123.0</v>
      </c>
      <c r="AP30" s="1">
        <v>0.047</v>
      </c>
      <c r="AR30" s="1">
        <v>0.0</v>
      </c>
      <c r="AW30" s="1">
        <v>0.0</v>
      </c>
      <c r="AX30" s="1">
        <v>1.0</v>
      </c>
      <c r="AY30" s="1">
        <v>7.0</v>
      </c>
      <c r="BA30" s="1">
        <v>0.0</v>
      </c>
      <c r="BB30" s="1">
        <v>0.0</v>
      </c>
      <c r="BC30" s="1">
        <v>0.0</v>
      </c>
      <c r="BD30" s="1">
        <v>0.0</v>
      </c>
      <c r="BE30" s="1">
        <v>0.0</v>
      </c>
      <c r="BF30" s="1">
        <v>0.0</v>
      </c>
      <c r="BG30" s="1">
        <v>0.0</v>
      </c>
      <c r="BH30" s="1">
        <v>0.0</v>
      </c>
      <c r="BI30" s="1">
        <v>0.0</v>
      </c>
      <c r="BJ30" s="1">
        <v>0.0</v>
      </c>
      <c r="BP30" s="1">
        <v>0.256</v>
      </c>
      <c r="BQ30" s="1" t="s">
        <v>1017</v>
      </c>
      <c r="BV30" s="1">
        <v>1.1</v>
      </c>
      <c r="EQ30" s="9" t="s">
        <v>1109</v>
      </c>
      <c r="ER30" s="21">
        <v>46045.29769675926</v>
      </c>
    </row>
    <row r="31">
      <c r="A31" s="9" t="s">
        <v>1110</v>
      </c>
      <c r="B31" s="20" t="str">
        <f>IFERROR(__xludf.DUMMYFUNCTION("REGEXREPLACE(A31, ""^https?://[^/]+"", """")"),"/sales-connection/")</f>
        <v>/sales-connection/</v>
      </c>
      <c r="C31" s="1" t="s">
        <v>1111</v>
      </c>
      <c r="F31" s="1" t="s">
        <v>965</v>
      </c>
      <c r="G31" s="1">
        <v>200.0</v>
      </c>
      <c r="H31" s="1" t="s">
        <v>966</v>
      </c>
      <c r="I31" s="1" t="s">
        <v>967</v>
      </c>
      <c r="K31" s="1" t="s">
        <v>1112</v>
      </c>
      <c r="L31" s="1">
        <v>36.0</v>
      </c>
      <c r="M31" s="1">
        <v>326.0</v>
      </c>
      <c r="O31" s="1">
        <v>0.0</v>
      </c>
      <c r="P31" s="1">
        <v>0.0</v>
      </c>
      <c r="Q31" s="1" t="s">
        <v>1113</v>
      </c>
      <c r="R31" s="1">
        <v>142.0</v>
      </c>
      <c r="S31" s="1">
        <v>879.0</v>
      </c>
      <c r="U31" s="1">
        <v>0.0</v>
      </c>
      <c r="V31" s="1" t="s">
        <v>1111</v>
      </c>
      <c r="W31" s="1">
        <v>16.0</v>
      </c>
      <c r="Y31" s="1">
        <v>0.0</v>
      </c>
      <c r="AA31" s="1">
        <v>0.0</v>
      </c>
      <c r="AC31" s="1">
        <v>0.0</v>
      </c>
      <c r="AD31" s="1" t="s">
        <v>971</v>
      </c>
      <c r="AG31" s="9" t="s">
        <v>1110</v>
      </c>
      <c r="AM31" s="1">
        <v>144278.0</v>
      </c>
      <c r="AN31" s="1">
        <v>27737.0</v>
      </c>
      <c r="AO31" s="1">
        <v>27737.0</v>
      </c>
      <c r="AP31" s="1">
        <v>10.626</v>
      </c>
      <c r="AR31" s="1">
        <v>526.0</v>
      </c>
      <c r="AS31" s="1">
        <v>91.0</v>
      </c>
      <c r="AT31" s="1">
        <v>5.78</v>
      </c>
      <c r="AU31" s="1">
        <v>60.879</v>
      </c>
      <c r="AV31" s="1" t="s">
        <v>990</v>
      </c>
      <c r="AW31" s="1">
        <v>3.904</v>
      </c>
      <c r="AX31" s="1">
        <v>1.0</v>
      </c>
      <c r="AY31" s="1">
        <v>1.0</v>
      </c>
      <c r="AZ31" s="1">
        <v>47.0</v>
      </c>
      <c r="BA31" s="1">
        <v>747.0</v>
      </c>
      <c r="BB31" s="1">
        <v>747.0</v>
      </c>
      <c r="BC31" s="1">
        <v>0.0</v>
      </c>
      <c r="BD31" s="1">
        <v>99.07</v>
      </c>
      <c r="BE31" s="1">
        <v>122.0</v>
      </c>
      <c r="BF31" s="1">
        <v>42.0</v>
      </c>
      <c r="BG31" s="1">
        <v>0.0</v>
      </c>
      <c r="BH31" s="1">
        <v>16.0</v>
      </c>
      <c r="BI31" s="1">
        <v>8.0</v>
      </c>
      <c r="BJ31" s="1">
        <v>0.0</v>
      </c>
      <c r="BO31" s="1" t="s">
        <v>1114</v>
      </c>
      <c r="BP31" s="1">
        <v>1.456</v>
      </c>
      <c r="BU31" s="1" t="s">
        <v>974</v>
      </c>
      <c r="BV31" s="1">
        <v>1.1</v>
      </c>
      <c r="BW31" s="1">
        <v>28.0</v>
      </c>
      <c r="BX31" s="1">
        <v>3451.028</v>
      </c>
      <c r="BY31" s="1">
        <v>7755.555</v>
      </c>
      <c r="BZ31" s="1">
        <v>11026.096</v>
      </c>
      <c r="CA31" s="1">
        <v>20829.549</v>
      </c>
      <c r="CB31" s="1">
        <v>844.174</v>
      </c>
      <c r="CC31" s="1">
        <v>0.246</v>
      </c>
      <c r="CD31" s="1">
        <v>1173495.0</v>
      </c>
      <c r="CE31" s="1">
        <v>2550.0</v>
      </c>
      <c r="CF31" s="1">
        <v>184.0</v>
      </c>
      <c r="CG31" s="1">
        <v>3622208.0</v>
      </c>
      <c r="CH31" s="1">
        <v>83531.0</v>
      </c>
      <c r="CI31" s="1">
        <v>4.0</v>
      </c>
      <c r="CJ31" s="1">
        <v>119902.0</v>
      </c>
      <c r="CK31" s="1">
        <v>29.0</v>
      </c>
      <c r="CL31" s="1">
        <v>198357.0</v>
      </c>
      <c r="CM31" s="1">
        <v>39.0</v>
      </c>
      <c r="CN31" s="1">
        <v>2487611.0</v>
      </c>
      <c r="CO31" s="1">
        <v>75.0</v>
      </c>
      <c r="CP31" s="1">
        <v>315208.0</v>
      </c>
      <c r="CQ31" s="1">
        <v>7.0</v>
      </c>
      <c r="CR31" s="1">
        <v>0.0</v>
      </c>
      <c r="CS31" s="1">
        <v>0.0</v>
      </c>
      <c r="CT31" s="1">
        <v>417599.0</v>
      </c>
      <c r="CU31" s="1">
        <v>30.0</v>
      </c>
      <c r="CV31" s="1">
        <v>2891301.0</v>
      </c>
      <c r="CW31" s="1">
        <v>87.0</v>
      </c>
      <c r="DC31" s="1">
        <v>450.0</v>
      </c>
      <c r="DD31" s="1">
        <v>5075.0</v>
      </c>
      <c r="DE31" s="1">
        <v>450.0</v>
      </c>
      <c r="DF31" s="1">
        <v>3401.0</v>
      </c>
      <c r="DG31" s="1">
        <v>450.0</v>
      </c>
      <c r="DH31" s="1">
        <v>50525.0</v>
      </c>
      <c r="DI31" s="1">
        <v>1200.0</v>
      </c>
      <c r="DJ31" s="1">
        <v>1114494.0</v>
      </c>
      <c r="DK31" s="1">
        <v>3027.114</v>
      </c>
      <c r="DL31" s="1" t="s">
        <v>975</v>
      </c>
      <c r="DM31" s="1">
        <v>4518.071</v>
      </c>
      <c r="DN31" s="1" t="s">
        <v>975</v>
      </c>
      <c r="DO31" s="1">
        <v>3622126.0</v>
      </c>
      <c r="DP31" s="1">
        <v>1.0</v>
      </c>
      <c r="DQ31" s="1" t="s">
        <v>976</v>
      </c>
      <c r="DR31" s="1" t="s">
        <v>1115</v>
      </c>
      <c r="DS31" s="1" t="s">
        <v>978</v>
      </c>
      <c r="DU31" s="1" t="s">
        <v>994</v>
      </c>
      <c r="DV31" s="1">
        <v>12189.0</v>
      </c>
      <c r="DW31" s="1">
        <v>627.0</v>
      </c>
      <c r="DX31" s="1">
        <v>3735.0</v>
      </c>
      <c r="DY31" s="1">
        <v>604884.0</v>
      </c>
      <c r="DZ31" s="1" t="s">
        <v>1116</v>
      </c>
      <c r="EA31" s="1">
        <v>791.0</v>
      </c>
      <c r="EB31" s="1">
        <v>31882.0</v>
      </c>
      <c r="EC31" s="1">
        <v>10.0</v>
      </c>
      <c r="ED31" s="1">
        <v>26492.0</v>
      </c>
      <c r="EF31" s="1">
        <v>230.0</v>
      </c>
      <c r="EG31" s="1" t="s">
        <v>1032</v>
      </c>
      <c r="EH31" s="1">
        <v>100.0</v>
      </c>
      <c r="EK31" s="1">
        <v>100.0</v>
      </c>
      <c r="EQ31" s="9" t="s">
        <v>1110</v>
      </c>
      <c r="ER31" s="21">
        <v>46045.297685185185</v>
      </c>
    </row>
    <row r="32">
      <c r="A32" s="9" t="s">
        <v>1117</v>
      </c>
      <c r="B32" s="20" t="str">
        <f>IFERROR(__xludf.DUMMYFUNCTION("REGEXREPLACE(A32, ""^https?://[^/]+"", """")"),"/wp-content/themes/salesxceleratione/style.css?ver=6.9")</f>
        <v>/wp-content/themes/salesxceleratione/style.css?ver=6.9</v>
      </c>
      <c r="F32" s="1" t="s">
        <v>1016</v>
      </c>
      <c r="G32" s="1">
        <v>200.0</v>
      </c>
      <c r="H32" s="1" t="s">
        <v>966</v>
      </c>
      <c r="I32" s="1" t="s">
        <v>967</v>
      </c>
      <c r="L32" s="1">
        <v>0.0</v>
      </c>
      <c r="M32" s="1">
        <v>0.0</v>
      </c>
      <c r="O32" s="1">
        <v>0.0</v>
      </c>
      <c r="P32" s="1">
        <v>0.0</v>
      </c>
      <c r="R32" s="1">
        <v>0.0</v>
      </c>
      <c r="S32" s="1">
        <v>0.0</v>
      </c>
      <c r="U32" s="1">
        <v>0.0</v>
      </c>
      <c r="W32" s="1">
        <v>0.0</v>
      </c>
      <c r="Y32" s="1">
        <v>0.0</v>
      </c>
      <c r="AA32" s="1">
        <v>0.0</v>
      </c>
      <c r="AC32" s="1">
        <v>0.0</v>
      </c>
      <c r="AM32" s="1">
        <v>4607.0</v>
      </c>
      <c r="AN32" s="1">
        <v>4607.0</v>
      </c>
      <c r="AO32" s="1">
        <v>4607.0</v>
      </c>
      <c r="AP32" s="1">
        <v>1.765</v>
      </c>
      <c r="AR32" s="1">
        <v>0.0</v>
      </c>
      <c r="AW32" s="1">
        <v>0.0</v>
      </c>
      <c r="AX32" s="1">
        <v>1.0</v>
      </c>
      <c r="AY32" s="1">
        <v>3.0</v>
      </c>
      <c r="BA32" s="1">
        <v>0.0</v>
      </c>
      <c r="BB32" s="1">
        <v>0.0</v>
      </c>
      <c r="BC32" s="1">
        <v>0.0</v>
      </c>
      <c r="BD32" s="1">
        <v>0.0</v>
      </c>
      <c r="BE32" s="1">
        <v>0.0</v>
      </c>
      <c r="BF32" s="1">
        <v>0.0</v>
      </c>
      <c r="BG32" s="1">
        <v>0.0</v>
      </c>
      <c r="BH32" s="1">
        <v>0.0</v>
      </c>
      <c r="BI32" s="1">
        <v>0.0</v>
      </c>
      <c r="BJ32" s="1">
        <v>0.0</v>
      </c>
      <c r="BP32" s="1">
        <v>0.259</v>
      </c>
      <c r="BQ32" s="1" t="s">
        <v>1118</v>
      </c>
      <c r="BV32" s="1">
        <v>1.1</v>
      </c>
      <c r="EQ32" s="9" t="s">
        <v>1117</v>
      </c>
      <c r="ER32" s="21">
        <v>46045.29770833333</v>
      </c>
    </row>
    <row r="33">
      <c r="A33" s="9" t="s">
        <v>1119</v>
      </c>
      <c r="B33" s="20" t="str">
        <f>IFERROR(__xludf.DUMMYFUNCTION("REGEXREPLACE(A33, ""^https?://[^/]+"", """")"),"/consultants/")</f>
        <v>/consultants/</v>
      </c>
      <c r="C33" s="1" t="s">
        <v>1120</v>
      </c>
      <c r="F33" s="1" t="s">
        <v>965</v>
      </c>
      <c r="G33" s="1">
        <v>200.0</v>
      </c>
      <c r="H33" s="1" t="s">
        <v>966</v>
      </c>
      <c r="I33" s="1" t="s">
        <v>967</v>
      </c>
      <c r="K33" s="1" t="s">
        <v>1121</v>
      </c>
      <c r="L33" s="1">
        <v>74.0</v>
      </c>
      <c r="M33" s="1">
        <v>670.0</v>
      </c>
      <c r="O33" s="1">
        <v>0.0</v>
      </c>
      <c r="P33" s="1">
        <v>0.0</v>
      </c>
      <c r="Q33" s="1" t="s">
        <v>1122</v>
      </c>
      <c r="R33" s="1">
        <v>145.0</v>
      </c>
      <c r="S33" s="1">
        <v>887.0</v>
      </c>
      <c r="U33" s="1">
        <v>0.0</v>
      </c>
      <c r="V33" s="1" t="s">
        <v>1120</v>
      </c>
      <c r="W33" s="1">
        <v>31.0</v>
      </c>
      <c r="Y33" s="1">
        <v>0.0</v>
      </c>
      <c r="AA33" s="1">
        <v>0.0</v>
      </c>
      <c r="AC33" s="1">
        <v>0.0</v>
      </c>
      <c r="AD33" s="1" t="s">
        <v>971</v>
      </c>
      <c r="AG33" s="9" t="s">
        <v>1119</v>
      </c>
      <c r="AM33" s="1">
        <v>853850.0</v>
      </c>
      <c r="AN33" s="1">
        <v>91305.0</v>
      </c>
      <c r="AO33" s="1">
        <v>91305.0</v>
      </c>
      <c r="AP33" s="1">
        <v>34.977</v>
      </c>
      <c r="AR33" s="1">
        <v>8605.0</v>
      </c>
      <c r="AS33" s="1">
        <v>1399.0</v>
      </c>
      <c r="AT33" s="1">
        <v>6.151</v>
      </c>
      <c r="AU33" s="1">
        <v>47.388</v>
      </c>
      <c r="AV33" s="1" t="s">
        <v>1075</v>
      </c>
      <c r="AW33" s="1">
        <v>7.192</v>
      </c>
      <c r="AX33" s="1">
        <v>1.0</v>
      </c>
      <c r="AY33" s="1">
        <v>1.0</v>
      </c>
      <c r="AZ33" s="1">
        <v>51.0</v>
      </c>
      <c r="BA33" s="1">
        <v>2287.0</v>
      </c>
      <c r="BB33" s="1">
        <v>754.0</v>
      </c>
      <c r="BC33" s="1">
        <v>0.0</v>
      </c>
      <c r="BD33" s="1">
        <v>100.0</v>
      </c>
      <c r="BE33" s="1">
        <v>347.0</v>
      </c>
      <c r="BF33" s="1">
        <v>47.0</v>
      </c>
      <c r="BG33" s="1">
        <v>0.0</v>
      </c>
      <c r="BH33" s="1">
        <v>669.0</v>
      </c>
      <c r="BI33" s="1">
        <v>448.0</v>
      </c>
      <c r="BJ33" s="1">
        <v>0.0</v>
      </c>
      <c r="BO33" s="1" t="s">
        <v>1123</v>
      </c>
      <c r="BP33" s="1">
        <v>4.531</v>
      </c>
      <c r="BU33" s="1" t="s">
        <v>974</v>
      </c>
      <c r="BV33" s="1">
        <v>1.1</v>
      </c>
      <c r="BW33" s="1">
        <v>44.0</v>
      </c>
      <c r="BX33" s="1">
        <v>3901.01</v>
      </c>
      <c r="BY33" s="1">
        <v>12364.046</v>
      </c>
      <c r="BZ33" s="1">
        <v>9001.023</v>
      </c>
      <c r="CA33" s="1">
        <v>17936.635</v>
      </c>
      <c r="CB33" s="1">
        <v>559.5</v>
      </c>
      <c r="CC33" s="1">
        <v>0.0</v>
      </c>
      <c r="CD33" s="1">
        <v>651234.0</v>
      </c>
      <c r="CE33" s="1">
        <v>1350.0</v>
      </c>
      <c r="CF33" s="1">
        <v>162.0</v>
      </c>
      <c r="CG33" s="1">
        <v>2295711.0</v>
      </c>
      <c r="CH33" s="1">
        <v>87346.0</v>
      </c>
      <c r="CI33" s="1">
        <v>2.0</v>
      </c>
      <c r="CJ33" s="1">
        <v>80283.0</v>
      </c>
      <c r="CK33" s="1">
        <v>21.0</v>
      </c>
      <c r="CL33" s="1">
        <v>111425.0</v>
      </c>
      <c r="CM33" s="1">
        <v>38.0</v>
      </c>
      <c r="CN33" s="1">
        <v>1747765.0</v>
      </c>
      <c r="CO33" s="1">
        <v>68.0</v>
      </c>
      <c r="CP33" s="1">
        <v>244248.0</v>
      </c>
      <c r="CQ33" s="1">
        <v>5.0</v>
      </c>
      <c r="CR33" s="1">
        <v>0.0</v>
      </c>
      <c r="CS33" s="1">
        <v>0.0</v>
      </c>
      <c r="CT33" s="1">
        <v>24644.0</v>
      </c>
      <c r="CU33" s="1">
        <v>28.0</v>
      </c>
      <c r="CV33" s="1">
        <v>1502989.0</v>
      </c>
      <c r="CW33" s="1">
        <v>65.0</v>
      </c>
      <c r="DC33" s="1">
        <v>0.0</v>
      </c>
      <c r="DD33" s="1">
        <v>5075.0</v>
      </c>
      <c r="DE33" s="1">
        <v>0.0</v>
      </c>
      <c r="DF33" s="1">
        <v>3396.0</v>
      </c>
      <c r="DG33" s="1">
        <v>0.0</v>
      </c>
      <c r="DH33" s="1">
        <v>50494.0</v>
      </c>
      <c r="DI33" s="1">
        <v>1350.0</v>
      </c>
      <c r="DJ33" s="1">
        <v>592269.0</v>
      </c>
      <c r="DK33" s="1">
        <v>1909.602</v>
      </c>
      <c r="DL33" s="1" t="s">
        <v>975</v>
      </c>
      <c r="DM33" s="1">
        <v>4263.087</v>
      </c>
      <c r="DN33" s="1" t="s">
        <v>975</v>
      </c>
      <c r="DO33" s="1">
        <v>2295712.0</v>
      </c>
      <c r="DP33" s="1">
        <v>1.0</v>
      </c>
      <c r="DQ33" s="1" t="s">
        <v>976</v>
      </c>
      <c r="DR33" s="1" t="s">
        <v>1124</v>
      </c>
      <c r="DS33" s="1" t="s">
        <v>978</v>
      </c>
      <c r="DT33" s="1" t="s">
        <v>979</v>
      </c>
      <c r="DU33" s="1" t="s">
        <v>980</v>
      </c>
      <c r="DV33" s="1">
        <v>12791.0</v>
      </c>
      <c r="DX33" s="1">
        <v>7075.0</v>
      </c>
      <c r="DY33" s="1">
        <v>605596.0</v>
      </c>
      <c r="DZ33" s="1" t="s">
        <v>981</v>
      </c>
      <c r="EA33" s="1">
        <v>3969.0</v>
      </c>
      <c r="EB33" s="1">
        <v>4453.0</v>
      </c>
      <c r="EC33" s="1">
        <v>608.0</v>
      </c>
      <c r="ED33" s="1">
        <v>26492.0</v>
      </c>
      <c r="EF33" s="1">
        <v>235.0</v>
      </c>
      <c r="EG33" s="1" t="s">
        <v>982</v>
      </c>
      <c r="EH33" s="1">
        <v>100.0</v>
      </c>
      <c r="EK33" s="1">
        <v>100.0</v>
      </c>
      <c r="EQ33" s="9" t="s">
        <v>1119</v>
      </c>
      <c r="ER33" s="21">
        <v>46045.297638888886</v>
      </c>
    </row>
    <row r="34">
      <c r="A34" s="9" t="s">
        <v>1125</v>
      </c>
      <c r="B34" s="20" t="str">
        <f>IFERROR(__xludf.DUMMYFUNCTION("REGEXREPLACE(A34, ""^https?://[^/]+"", """")"),"/ai-sales-tools-readiness-assessment/")</f>
        <v>/ai-sales-tools-readiness-assessment/</v>
      </c>
      <c r="C34" s="1" t="s">
        <v>1126</v>
      </c>
      <c r="F34" s="1" t="s">
        <v>965</v>
      </c>
      <c r="G34" s="1">
        <v>200.0</v>
      </c>
      <c r="H34" s="1" t="s">
        <v>966</v>
      </c>
      <c r="I34" s="1" t="s">
        <v>967</v>
      </c>
      <c r="K34" s="1" t="s">
        <v>1127</v>
      </c>
      <c r="L34" s="1">
        <v>86.0</v>
      </c>
      <c r="M34" s="1">
        <v>780.0</v>
      </c>
      <c r="O34" s="1">
        <v>0.0</v>
      </c>
      <c r="P34" s="1">
        <v>0.0</v>
      </c>
      <c r="Q34" s="1" t="s">
        <v>1128</v>
      </c>
      <c r="R34" s="1">
        <v>258.0</v>
      </c>
      <c r="S34" s="1">
        <v>1581.0</v>
      </c>
      <c r="U34" s="1">
        <v>0.0</v>
      </c>
      <c r="V34" s="1" t="s">
        <v>1126</v>
      </c>
      <c r="W34" s="1">
        <v>66.0</v>
      </c>
      <c r="Y34" s="1">
        <v>0.0</v>
      </c>
      <c r="AA34" s="1">
        <v>0.0</v>
      </c>
      <c r="AC34" s="1">
        <v>0.0</v>
      </c>
      <c r="AD34" s="1" t="s">
        <v>971</v>
      </c>
      <c r="AG34" s="9" t="s">
        <v>1125</v>
      </c>
      <c r="AM34" s="1">
        <v>225015.0</v>
      </c>
      <c r="AN34" s="1">
        <v>43637.0</v>
      </c>
      <c r="AO34" s="1">
        <v>43637.0</v>
      </c>
      <c r="AP34" s="1">
        <v>16.717</v>
      </c>
      <c r="AR34" s="1">
        <v>1336.0</v>
      </c>
      <c r="AS34" s="1">
        <v>208.0</v>
      </c>
      <c r="AT34" s="1">
        <v>6.423</v>
      </c>
      <c r="AU34" s="1">
        <v>82.724</v>
      </c>
      <c r="AV34" s="1" t="s">
        <v>1129</v>
      </c>
      <c r="AW34" s="1">
        <v>5.835</v>
      </c>
      <c r="AX34" s="1">
        <v>1.0</v>
      </c>
      <c r="AY34" s="1">
        <v>1.0</v>
      </c>
      <c r="AZ34" s="1">
        <v>7.0</v>
      </c>
      <c r="BA34" s="1">
        <v>22.0</v>
      </c>
      <c r="BB34" s="1">
        <v>12.0</v>
      </c>
      <c r="BC34" s="1">
        <v>0.0</v>
      </c>
      <c r="BD34" s="1">
        <v>1.59</v>
      </c>
      <c r="BE34" s="1">
        <v>121.0</v>
      </c>
      <c r="BF34" s="1">
        <v>42.0</v>
      </c>
      <c r="BG34" s="1">
        <v>0.0</v>
      </c>
      <c r="BH34" s="1">
        <v>16.0</v>
      </c>
      <c r="BI34" s="1">
        <v>8.0</v>
      </c>
      <c r="BJ34" s="1">
        <v>0.0</v>
      </c>
      <c r="BO34" s="1" t="s">
        <v>1130</v>
      </c>
      <c r="BP34" s="1">
        <v>1.286</v>
      </c>
      <c r="BU34" s="1" t="s">
        <v>974</v>
      </c>
      <c r="BV34" s="1">
        <v>1.1</v>
      </c>
      <c r="BW34" s="1">
        <v>32.0</v>
      </c>
      <c r="BX34" s="1">
        <v>3751.024</v>
      </c>
      <c r="BY34" s="1">
        <v>8278.529</v>
      </c>
      <c r="BZ34" s="1">
        <v>7576.051</v>
      </c>
      <c r="CA34" s="1">
        <v>21489.891</v>
      </c>
      <c r="CB34" s="1">
        <v>785.5</v>
      </c>
      <c r="CC34" s="1">
        <v>0.205</v>
      </c>
      <c r="CD34" s="1">
        <v>1248083.0</v>
      </c>
      <c r="CE34" s="1">
        <v>1250.0</v>
      </c>
      <c r="CF34" s="1">
        <v>192.0</v>
      </c>
      <c r="CG34" s="1">
        <v>3735956.0</v>
      </c>
      <c r="CH34" s="1">
        <v>98188.0</v>
      </c>
      <c r="CI34" s="1">
        <v>4.0</v>
      </c>
      <c r="CJ34" s="1">
        <v>179884.0</v>
      </c>
      <c r="CK34" s="1">
        <v>23.0</v>
      </c>
      <c r="CL34" s="1">
        <v>219826.0</v>
      </c>
      <c r="CM34" s="1">
        <v>43.0</v>
      </c>
      <c r="CN34" s="1">
        <v>2562030.0</v>
      </c>
      <c r="CO34" s="1">
        <v>86.0</v>
      </c>
      <c r="CP34" s="1">
        <v>284718.0</v>
      </c>
      <c r="CQ34" s="1">
        <v>6.0</v>
      </c>
      <c r="CR34" s="1">
        <v>0.0</v>
      </c>
      <c r="CS34" s="1">
        <v>0.0</v>
      </c>
      <c r="CT34" s="1">
        <v>391310.0</v>
      </c>
      <c r="CU34" s="1">
        <v>30.0</v>
      </c>
      <c r="CV34" s="1">
        <v>2745785.0</v>
      </c>
      <c r="CW34" s="1">
        <v>74.0</v>
      </c>
      <c r="DC34" s="1">
        <v>0.0</v>
      </c>
      <c r="DD34" s="1">
        <v>5075.0</v>
      </c>
      <c r="DE34" s="1">
        <v>0.0</v>
      </c>
      <c r="DF34" s="1">
        <v>3396.0</v>
      </c>
      <c r="DG34" s="1">
        <v>350.0</v>
      </c>
      <c r="DH34" s="1">
        <v>62028.0</v>
      </c>
      <c r="DI34" s="1">
        <v>900.0</v>
      </c>
      <c r="DJ34" s="1">
        <v>1177584.0</v>
      </c>
      <c r="DK34" s="1">
        <v>2885.724</v>
      </c>
      <c r="DL34" s="1" t="s">
        <v>975</v>
      </c>
      <c r="DM34" s="1">
        <v>4674.325</v>
      </c>
      <c r="DN34" s="1" t="s">
        <v>975</v>
      </c>
      <c r="DO34" s="1">
        <v>3735874.0</v>
      </c>
      <c r="DP34" s="1">
        <v>1.0</v>
      </c>
      <c r="DQ34" s="1" t="s">
        <v>976</v>
      </c>
      <c r="DR34" s="1" t="s">
        <v>1031</v>
      </c>
      <c r="DS34" s="1" t="s">
        <v>978</v>
      </c>
      <c r="DT34" s="1" t="s">
        <v>979</v>
      </c>
      <c r="DU34" s="1" t="s">
        <v>980</v>
      </c>
      <c r="DV34" s="1">
        <v>13544.0</v>
      </c>
      <c r="DX34" s="1">
        <v>4510.0</v>
      </c>
      <c r="DY34" s="1">
        <v>701778.0</v>
      </c>
      <c r="DZ34" s="1" t="s">
        <v>981</v>
      </c>
      <c r="EA34" s="1">
        <v>1416.0</v>
      </c>
      <c r="EB34" s="1">
        <v>31882.0</v>
      </c>
      <c r="EC34" s="1">
        <v>1.0</v>
      </c>
      <c r="ED34" s="1">
        <v>26492.0</v>
      </c>
      <c r="EF34" s="1">
        <v>660.0</v>
      </c>
      <c r="EG34" s="1" t="s">
        <v>982</v>
      </c>
      <c r="EH34" s="1">
        <v>100.0</v>
      </c>
      <c r="EK34" s="1">
        <v>100.0</v>
      </c>
      <c r="EQ34" s="9" t="s">
        <v>1125</v>
      </c>
      <c r="ER34" s="21">
        <v>46045.297685185185</v>
      </c>
    </row>
    <row r="35">
      <c r="A35" s="9" t="s">
        <v>1131</v>
      </c>
      <c r="B35" s="20" t="str">
        <f>IFERROR(__xludf.DUMMYFUNCTION("REGEXREPLACE(A35, ""^https?://[^/]+"", """")"),"/wp-content/themes/salesxceleratione/assets/js/jquery.fancybox.min.js?ver=3.5.7")</f>
        <v>/wp-content/themes/salesxceleratione/assets/js/jquery.fancybox.min.js?ver=3.5.7</v>
      </c>
      <c r="F35" s="1" t="s">
        <v>984</v>
      </c>
      <c r="G35" s="1">
        <v>200.0</v>
      </c>
      <c r="H35" s="1" t="s">
        <v>966</v>
      </c>
      <c r="I35" s="1" t="s">
        <v>967</v>
      </c>
      <c r="L35" s="1">
        <v>0.0</v>
      </c>
      <c r="M35" s="1">
        <v>0.0</v>
      </c>
      <c r="O35" s="1">
        <v>0.0</v>
      </c>
      <c r="P35" s="1">
        <v>0.0</v>
      </c>
      <c r="R35" s="1">
        <v>0.0</v>
      </c>
      <c r="S35" s="1">
        <v>0.0</v>
      </c>
      <c r="U35" s="1">
        <v>0.0</v>
      </c>
      <c r="W35" s="1">
        <v>0.0</v>
      </c>
      <c r="Y35" s="1">
        <v>0.0</v>
      </c>
      <c r="AA35" s="1">
        <v>0.0</v>
      </c>
      <c r="AC35" s="1">
        <v>0.0</v>
      </c>
      <c r="AM35" s="1">
        <v>22013.0</v>
      </c>
      <c r="AN35" s="1">
        <v>22013.0</v>
      </c>
      <c r="AO35" s="1">
        <v>22013.0</v>
      </c>
      <c r="AP35" s="1">
        <v>8.433</v>
      </c>
      <c r="AR35" s="1">
        <v>0.0</v>
      </c>
      <c r="AW35" s="1">
        <v>0.0</v>
      </c>
      <c r="AX35" s="1">
        <v>1.0</v>
      </c>
      <c r="AY35" s="1">
        <v>5.0</v>
      </c>
      <c r="BA35" s="1">
        <v>0.0</v>
      </c>
      <c r="BB35" s="1">
        <v>0.0</v>
      </c>
      <c r="BC35" s="1">
        <v>0.0</v>
      </c>
      <c r="BD35" s="1">
        <v>0.0</v>
      </c>
      <c r="BE35" s="1">
        <v>0.0</v>
      </c>
      <c r="BF35" s="1">
        <v>0.0</v>
      </c>
      <c r="BG35" s="1">
        <v>0.0</v>
      </c>
      <c r="BH35" s="1">
        <v>0.0</v>
      </c>
      <c r="BI35" s="1">
        <v>0.0</v>
      </c>
      <c r="BJ35" s="1">
        <v>0.0</v>
      </c>
      <c r="BP35" s="1">
        <v>0.265</v>
      </c>
      <c r="BQ35" s="1" t="s">
        <v>1045</v>
      </c>
      <c r="BV35" s="1">
        <v>1.1</v>
      </c>
      <c r="EQ35" s="9" t="s">
        <v>1131</v>
      </c>
      <c r="ER35" s="21">
        <v>46045.29770833333</v>
      </c>
    </row>
    <row r="36">
      <c r="A36" s="9" t="s">
        <v>1132</v>
      </c>
      <c r="B36" s="20" t="str">
        <f>IFERROR(__xludf.DUMMYFUNCTION("REGEXREPLACE(A36, ""^https?://[^/]+"", """")"),"/wp-content/plugins/elementor-pro/assets/js/elements-handlers.min.js?ver=3.34.0")</f>
        <v>/wp-content/plugins/elementor-pro/assets/js/elements-handlers.min.js?ver=3.34.0</v>
      </c>
      <c r="F36" s="1" t="s">
        <v>984</v>
      </c>
      <c r="G36" s="1">
        <v>200.0</v>
      </c>
      <c r="H36" s="1" t="s">
        <v>966</v>
      </c>
      <c r="I36" s="1" t="s">
        <v>967</v>
      </c>
      <c r="L36" s="1">
        <v>0.0</v>
      </c>
      <c r="M36" s="1">
        <v>0.0</v>
      </c>
      <c r="O36" s="1">
        <v>0.0</v>
      </c>
      <c r="P36" s="1">
        <v>0.0</v>
      </c>
      <c r="R36" s="1">
        <v>0.0</v>
      </c>
      <c r="S36" s="1">
        <v>0.0</v>
      </c>
      <c r="U36" s="1">
        <v>0.0</v>
      </c>
      <c r="W36" s="1">
        <v>0.0</v>
      </c>
      <c r="Y36" s="1">
        <v>0.0</v>
      </c>
      <c r="AA36" s="1">
        <v>0.0</v>
      </c>
      <c r="AC36" s="1">
        <v>0.0</v>
      </c>
      <c r="AM36" s="1">
        <v>10568.0</v>
      </c>
      <c r="AN36" s="1">
        <v>10568.0</v>
      </c>
      <c r="AO36" s="1">
        <v>10568.0</v>
      </c>
      <c r="AP36" s="1">
        <v>4.048</v>
      </c>
      <c r="AR36" s="1">
        <v>0.0</v>
      </c>
      <c r="AW36" s="1">
        <v>0.0</v>
      </c>
      <c r="AX36" s="1">
        <v>1.0</v>
      </c>
      <c r="AY36" s="1">
        <v>5.0</v>
      </c>
      <c r="BA36" s="1">
        <v>0.0</v>
      </c>
      <c r="BB36" s="1">
        <v>0.0</v>
      </c>
      <c r="BC36" s="1">
        <v>0.0</v>
      </c>
      <c r="BD36" s="1">
        <v>0.0</v>
      </c>
      <c r="BE36" s="1">
        <v>0.0</v>
      </c>
      <c r="BF36" s="1">
        <v>0.0</v>
      </c>
      <c r="BG36" s="1">
        <v>0.0</v>
      </c>
      <c r="BH36" s="1">
        <v>0.0</v>
      </c>
      <c r="BI36" s="1">
        <v>0.0</v>
      </c>
      <c r="BJ36" s="1">
        <v>0.0</v>
      </c>
      <c r="BP36" s="1">
        <v>0.272</v>
      </c>
      <c r="BQ36" s="1" t="s">
        <v>1041</v>
      </c>
      <c r="BV36" s="1">
        <v>1.1</v>
      </c>
      <c r="EQ36" s="9" t="s">
        <v>1132</v>
      </c>
      <c r="ER36" s="21">
        <v>46045.29770833333</v>
      </c>
    </row>
    <row r="37">
      <c r="A37" s="9" t="s">
        <v>1133</v>
      </c>
      <c r="B37" s="20" t="str">
        <f>IFERROR(__xludf.DUMMYFUNCTION("REGEXREPLACE(A37, ""^https?://[^/]+"", """")"),"/wp-content/plugins/advanced-iframe/js/ai.min.js?ver=502409")</f>
        <v>/wp-content/plugins/advanced-iframe/js/ai.min.js?ver=502409</v>
      </c>
      <c r="F37" s="1" t="s">
        <v>984</v>
      </c>
      <c r="G37" s="1">
        <v>200.0</v>
      </c>
      <c r="H37" s="1" t="s">
        <v>966</v>
      </c>
      <c r="I37" s="1" t="s">
        <v>967</v>
      </c>
      <c r="L37" s="1">
        <v>0.0</v>
      </c>
      <c r="M37" s="1">
        <v>0.0</v>
      </c>
      <c r="O37" s="1">
        <v>0.0</v>
      </c>
      <c r="P37" s="1">
        <v>0.0</v>
      </c>
      <c r="R37" s="1">
        <v>0.0</v>
      </c>
      <c r="S37" s="1">
        <v>0.0</v>
      </c>
      <c r="U37" s="1">
        <v>0.0</v>
      </c>
      <c r="W37" s="1">
        <v>0.0</v>
      </c>
      <c r="Y37" s="1">
        <v>0.0</v>
      </c>
      <c r="AA37" s="1">
        <v>0.0</v>
      </c>
      <c r="AC37" s="1">
        <v>0.0</v>
      </c>
      <c r="AM37" s="1">
        <v>13089.0</v>
      </c>
      <c r="AN37" s="1">
        <v>13089.0</v>
      </c>
      <c r="AO37" s="1">
        <v>13089.0</v>
      </c>
      <c r="AP37" s="1">
        <v>5.014</v>
      </c>
      <c r="AR37" s="1">
        <v>0.0</v>
      </c>
      <c r="AW37" s="1">
        <v>0.0</v>
      </c>
      <c r="AX37" s="1">
        <v>1.0</v>
      </c>
      <c r="AY37" s="1">
        <v>4.0</v>
      </c>
      <c r="BA37" s="1">
        <v>0.0</v>
      </c>
      <c r="BB37" s="1">
        <v>0.0</v>
      </c>
      <c r="BC37" s="1">
        <v>0.0</v>
      </c>
      <c r="BD37" s="1">
        <v>0.0</v>
      </c>
      <c r="BE37" s="1">
        <v>0.0</v>
      </c>
      <c r="BF37" s="1">
        <v>0.0</v>
      </c>
      <c r="BG37" s="1">
        <v>0.0</v>
      </c>
      <c r="BH37" s="1">
        <v>0.0</v>
      </c>
      <c r="BI37" s="1">
        <v>0.0</v>
      </c>
      <c r="BJ37" s="1">
        <v>0.0</v>
      </c>
      <c r="BP37" s="1">
        <v>0.27</v>
      </c>
      <c r="BQ37" s="1" t="s">
        <v>1134</v>
      </c>
      <c r="BV37" s="1">
        <v>1.1</v>
      </c>
      <c r="EQ37" s="9" t="s">
        <v>1133</v>
      </c>
      <c r="ER37" s="21">
        <v>46045.29770833333</v>
      </c>
    </row>
    <row r="38">
      <c r="A38" s="9" t="s">
        <v>1135</v>
      </c>
      <c r="B38" s="20" t="str">
        <f>IFERROR(__xludf.DUMMYFUNCTION("REGEXREPLACE(A38, ""^https?://[^/]+"", """")"),"/become-a-consultant/")</f>
        <v>/become-a-consultant/</v>
      </c>
      <c r="C38" s="1" t="s">
        <v>1136</v>
      </c>
      <c r="D38" s="1" t="s">
        <v>1137</v>
      </c>
      <c r="E38" s="1" t="s">
        <v>1138</v>
      </c>
      <c r="F38" s="1" t="s">
        <v>965</v>
      </c>
      <c r="G38" s="1">
        <v>200.0</v>
      </c>
      <c r="H38" s="1" t="s">
        <v>966</v>
      </c>
      <c r="I38" s="1" t="s">
        <v>967</v>
      </c>
      <c r="K38" s="1" t="s">
        <v>1139</v>
      </c>
      <c r="L38" s="1">
        <v>58.0</v>
      </c>
      <c r="M38" s="1">
        <v>543.0</v>
      </c>
      <c r="O38" s="1">
        <v>0.0</v>
      </c>
      <c r="P38" s="1">
        <v>0.0</v>
      </c>
      <c r="Q38" s="1" t="s">
        <v>1140</v>
      </c>
      <c r="R38" s="1">
        <v>157.0</v>
      </c>
      <c r="S38" s="1">
        <v>971.0</v>
      </c>
      <c r="U38" s="1">
        <v>0.0</v>
      </c>
      <c r="V38" s="1" t="s">
        <v>1136</v>
      </c>
      <c r="W38" s="1">
        <v>59.0</v>
      </c>
      <c r="Y38" s="1">
        <v>0.0</v>
      </c>
      <c r="Z38" s="1" t="s">
        <v>1137</v>
      </c>
      <c r="AA38" s="1">
        <v>20.0</v>
      </c>
      <c r="AB38" s="1" t="s">
        <v>1138</v>
      </c>
      <c r="AC38" s="1">
        <v>48.0</v>
      </c>
      <c r="AD38" s="1" t="s">
        <v>971</v>
      </c>
      <c r="AG38" s="9" t="s">
        <v>1135</v>
      </c>
      <c r="AM38" s="1">
        <v>197115.0</v>
      </c>
      <c r="AN38" s="1">
        <v>35057.0</v>
      </c>
      <c r="AO38" s="1">
        <v>35057.0</v>
      </c>
      <c r="AP38" s="1">
        <v>13.43</v>
      </c>
      <c r="AR38" s="1">
        <v>1288.0</v>
      </c>
      <c r="AS38" s="1">
        <v>192.0</v>
      </c>
      <c r="AT38" s="1">
        <v>6.708</v>
      </c>
      <c r="AU38" s="1">
        <v>60.646</v>
      </c>
      <c r="AV38" s="1" t="s">
        <v>990</v>
      </c>
      <c r="AW38" s="1">
        <v>5.307</v>
      </c>
      <c r="AX38" s="1">
        <v>1.0</v>
      </c>
      <c r="AY38" s="1">
        <v>1.0</v>
      </c>
      <c r="AZ38" s="1">
        <v>51.0</v>
      </c>
      <c r="BA38" s="1">
        <v>3006.0</v>
      </c>
      <c r="BB38" s="1">
        <v>754.0</v>
      </c>
      <c r="BC38" s="1">
        <v>0.0</v>
      </c>
      <c r="BD38" s="1">
        <v>100.0</v>
      </c>
      <c r="BE38" s="1">
        <v>127.0</v>
      </c>
      <c r="BF38" s="1">
        <v>45.0</v>
      </c>
      <c r="BG38" s="1">
        <v>0.0</v>
      </c>
      <c r="BH38" s="1">
        <v>17.0</v>
      </c>
      <c r="BI38" s="1">
        <v>9.0</v>
      </c>
      <c r="BJ38" s="1">
        <v>0.0</v>
      </c>
      <c r="BO38" s="1" t="s">
        <v>1141</v>
      </c>
      <c r="BP38" s="1">
        <v>1.0</v>
      </c>
      <c r="BU38" s="1" t="s">
        <v>974</v>
      </c>
      <c r="BV38" s="1">
        <v>1.1</v>
      </c>
      <c r="BW38" s="1">
        <v>31.0</v>
      </c>
      <c r="BX38" s="1">
        <v>3601.029</v>
      </c>
      <c r="BY38" s="1">
        <v>8277.83</v>
      </c>
      <c r="BZ38" s="1">
        <v>8326.07</v>
      </c>
      <c r="CA38" s="1">
        <v>22326.717</v>
      </c>
      <c r="CB38" s="1">
        <v>642.0</v>
      </c>
      <c r="CC38" s="1">
        <v>0.263</v>
      </c>
      <c r="CD38" s="1">
        <v>977012.0</v>
      </c>
      <c r="CE38" s="1">
        <v>1200.0</v>
      </c>
      <c r="CF38" s="1">
        <v>191.0</v>
      </c>
      <c r="CG38" s="1">
        <v>3242144.0</v>
      </c>
      <c r="CH38" s="1">
        <v>54658.0</v>
      </c>
      <c r="CI38" s="1">
        <v>3.0</v>
      </c>
      <c r="CJ38" s="1">
        <v>308815.0</v>
      </c>
      <c r="CK38" s="1">
        <v>21.0</v>
      </c>
      <c r="CL38" s="1">
        <v>138160.0</v>
      </c>
      <c r="CM38" s="1">
        <v>43.0</v>
      </c>
      <c r="CN38" s="1">
        <v>2404304.0</v>
      </c>
      <c r="CO38" s="1">
        <v>81.0</v>
      </c>
      <c r="CP38" s="1">
        <v>294886.0</v>
      </c>
      <c r="CQ38" s="1">
        <v>6.0</v>
      </c>
      <c r="CR38" s="1">
        <v>6042.0</v>
      </c>
      <c r="CS38" s="1">
        <v>1.0</v>
      </c>
      <c r="CT38" s="1">
        <v>35279.0</v>
      </c>
      <c r="CU38" s="1">
        <v>36.0</v>
      </c>
      <c r="CV38" s="1">
        <v>2196505.0</v>
      </c>
      <c r="CW38" s="1">
        <v>89.0</v>
      </c>
      <c r="DC38" s="1">
        <v>150.0</v>
      </c>
      <c r="DD38" s="1">
        <v>5075.0</v>
      </c>
      <c r="DE38" s="1">
        <v>0.0</v>
      </c>
      <c r="DF38" s="1">
        <v>3396.0</v>
      </c>
      <c r="DG38" s="1">
        <v>150.0</v>
      </c>
      <c r="DH38" s="1">
        <v>50458.0</v>
      </c>
      <c r="DI38" s="1">
        <v>900.0</v>
      </c>
      <c r="DJ38" s="1">
        <v>918083.0</v>
      </c>
      <c r="DK38" s="1">
        <v>2507.32</v>
      </c>
      <c r="DL38" s="1" t="s">
        <v>975</v>
      </c>
      <c r="DM38" s="1">
        <v>4045.76</v>
      </c>
      <c r="DN38" s="1" t="s">
        <v>975</v>
      </c>
      <c r="DO38" s="1">
        <v>3242145.0</v>
      </c>
      <c r="DP38" s="1">
        <v>8.0</v>
      </c>
      <c r="DQ38" s="1" t="s">
        <v>976</v>
      </c>
      <c r="DR38" s="1" t="s">
        <v>1142</v>
      </c>
      <c r="DS38" s="1" t="s">
        <v>978</v>
      </c>
      <c r="DT38" s="1" t="s">
        <v>979</v>
      </c>
      <c r="DU38" s="1" t="s">
        <v>980</v>
      </c>
      <c r="DV38" s="1">
        <v>13395.0</v>
      </c>
      <c r="DX38" s="1">
        <v>4453.0</v>
      </c>
      <c r="DY38" s="1">
        <v>936701.0</v>
      </c>
      <c r="DZ38" s="1" t="s">
        <v>994</v>
      </c>
      <c r="EA38" s="1">
        <v>1090.0</v>
      </c>
      <c r="EB38" s="1">
        <v>21715.0</v>
      </c>
      <c r="EC38" s="1">
        <v>1.0</v>
      </c>
      <c r="ED38" s="1">
        <v>26492.0</v>
      </c>
      <c r="EF38" s="1">
        <v>240.0</v>
      </c>
      <c r="EG38" s="1" t="s">
        <v>1143</v>
      </c>
      <c r="EH38" s="1">
        <v>100.0</v>
      </c>
      <c r="EK38" s="1">
        <v>100.0</v>
      </c>
      <c r="EQ38" s="9" t="s">
        <v>1135</v>
      </c>
      <c r="ER38" s="21">
        <v>46045.29769675926</v>
      </c>
    </row>
    <row r="39">
      <c r="A39" s="9" t="s">
        <v>1144</v>
      </c>
      <c r="B39" s="20" t="str">
        <f>IFERROR(__xludf.DUMMYFUNCTION("REGEXREPLACE(A39, ""^https?://[^/]+"", """")"),"/news-events/")</f>
        <v>/news-events/</v>
      </c>
      <c r="C39" s="1" t="s">
        <v>1145</v>
      </c>
      <c r="D39" s="1" t="s">
        <v>1146</v>
      </c>
      <c r="E39" s="1" t="s">
        <v>1147</v>
      </c>
      <c r="F39" s="1" t="s">
        <v>965</v>
      </c>
      <c r="G39" s="1">
        <v>200.0</v>
      </c>
      <c r="H39" s="1" t="s">
        <v>966</v>
      </c>
      <c r="I39" s="1" t="s">
        <v>967</v>
      </c>
      <c r="K39" s="1" t="s">
        <v>1148</v>
      </c>
      <c r="L39" s="1">
        <v>51.0</v>
      </c>
      <c r="M39" s="1">
        <v>461.0</v>
      </c>
      <c r="O39" s="1">
        <v>0.0</v>
      </c>
      <c r="P39" s="1">
        <v>0.0</v>
      </c>
      <c r="Q39" s="1" t="s">
        <v>1149</v>
      </c>
      <c r="R39" s="1">
        <v>123.0</v>
      </c>
      <c r="S39" s="1">
        <v>776.0</v>
      </c>
      <c r="U39" s="1">
        <v>0.0</v>
      </c>
      <c r="V39" s="1" t="s">
        <v>1145</v>
      </c>
      <c r="W39" s="1">
        <v>42.0</v>
      </c>
      <c r="Y39" s="1">
        <v>0.0</v>
      </c>
      <c r="Z39" s="1" t="s">
        <v>1146</v>
      </c>
      <c r="AA39" s="1">
        <v>77.0</v>
      </c>
      <c r="AB39" s="1" t="s">
        <v>1147</v>
      </c>
      <c r="AC39" s="1">
        <v>72.0</v>
      </c>
      <c r="AD39" s="1" t="s">
        <v>971</v>
      </c>
      <c r="AG39" s="9" t="s">
        <v>1144</v>
      </c>
      <c r="AM39" s="1">
        <v>259918.0</v>
      </c>
      <c r="AN39" s="1">
        <v>39646.0</v>
      </c>
      <c r="AO39" s="1">
        <v>39646.0</v>
      </c>
      <c r="AP39" s="1">
        <v>15.188</v>
      </c>
      <c r="AR39" s="1">
        <v>1721.0</v>
      </c>
      <c r="AS39" s="1">
        <v>263.0</v>
      </c>
      <c r="AT39" s="1">
        <v>6.544</v>
      </c>
      <c r="AU39" s="1">
        <v>45.101</v>
      </c>
      <c r="AV39" s="1" t="s">
        <v>1075</v>
      </c>
      <c r="AW39" s="1">
        <v>5.656</v>
      </c>
      <c r="AX39" s="1">
        <v>1.0</v>
      </c>
      <c r="AY39" s="1">
        <v>1.0</v>
      </c>
      <c r="AZ39" s="1">
        <v>52.0</v>
      </c>
      <c r="BA39" s="1">
        <v>2268.0</v>
      </c>
      <c r="BB39" s="1">
        <v>754.0</v>
      </c>
      <c r="BC39" s="1">
        <v>0.0</v>
      </c>
      <c r="BD39" s="1">
        <v>100.0</v>
      </c>
      <c r="BE39" s="1">
        <v>230.0</v>
      </c>
      <c r="BF39" s="1">
        <v>150.0</v>
      </c>
      <c r="BG39" s="1">
        <v>0.0</v>
      </c>
      <c r="BH39" s="1">
        <v>16.0</v>
      </c>
      <c r="BI39" s="1">
        <v>8.0</v>
      </c>
      <c r="BJ39" s="1">
        <v>0.0</v>
      </c>
      <c r="BO39" s="1" t="s">
        <v>1150</v>
      </c>
      <c r="BP39" s="1">
        <v>1.134</v>
      </c>
      <c r="BU39" s="1" t="s">
        <v>974</v>
      </c>
      <c r="BV39" s="1">
        <v>1.1</v>
      </c>
      <c r="BW39" s="1">
        <v>55.0</v>
      </c>
      <c r="BX39" s="1">
        <v>3601.021</v>
      </c>
      <c r="BY39" s="1">
        <v>7127.523</v>
      </c>
      <c r="BZ39" s="1">
        <v>8326.05</v>
      </c>
      <c r="CA39" s="1">
        <v>18369.211</v>
      </c>
      <c r="CB39" s="1">
        <v>286.5</v>
      </c>
      <c r="CC39" s="1">
        <v>0.065</v>
      </c>
      <c r="CD39" s="1">
        <v>650907.0</v>
      </c>
      <c r="CE39" s="1">
        <v>1500.0</v>
      </c>
      <c r="CF39" s="1">
        <v>168.0</v>
      </c>
      <c r="CG39" s="1">
        <v>2868230.0</v>
      </c>
      <c r="CH39" s="1">
        <v>40848.0</v>
      </c>
      <c r="CI39" s="1">
        <v>2.0</v>
      </c>
      <c r="CJ39" s="1">
        <v>550961.0</v>
      </c>
      <c r="CK39" s="1">
        <v>23.0</v>
      </c>
      <c r="CL39" s="1">
        <v>113509.0</v>
      </c>
      <c r="CM39" s="1">
        <v>39.0</v>
      </c>
      <c r="CN39" s="1">
        <v>1747845.0</v>
      </c>
      <c r="CO39" s="1">
        <v>68.0</v>
      </c>
      <c r="CP39" s="1">
        <v>390051.0</v>
      </c>
      <c r="CQ39" s="1">
        <v>8.0</v>
      </c>
      <c r="CR39" s="1">
        <v>0.0</v>
      </c>
      <c r="CS39" s="1">
        <v>0.0</v>
      </c>
      <c r="CT39" s="1">
        <v>25016.0</v>
      </c>
      <c r="CU39" s="1">
        <v>28.0</v>
      </c>
      <c r="CV39" s="1">
        <v>1551995.0</v>
      </c>
      <c r="CW39" s="1">
        <v>65.0</v>
      </c>
      <c r="DC39" s="1">
        <v>0.0</v>
      </c>
      <c r="DD39" s="1">
        <v>5075.0</v>
      </c>
      <c r="DE39" s="1">
        <v>0.0</v>
      </c>
      <c r="DF39" s="1">
        <v>3396.0</v>
      </c>
      <c r="DG39" s="1">
        <v>450.0</v>
      </c>
      <c r="DH39" s="1">
        <v>50573.0</v>
      </c>
      <c r="DI39" s="1">
        <v>1050.0</v>
      </c>
      <c r="DJ39" s="1">
        <v>591863.0</v>
      </c>
      <c r="DK39" s="1">
        <v>1515.808</v>
      </c>
      <c r="DL39" s="1" t="s">
        <v>975</v>
      </c>
      <c r="DM39" s="1">
        <v>2764.421</v>
      </c>
      <c r="DN39" s="1" t="s">
        <v>975</v>
      </c>
      <c r="DO39" s="1">
        <v>2868231.0</v>
      </c>
      <c r="DP39" s="1">
        <v>1.0</v>
      </c>
      <c r="DQ39" s="1" t="s">
        <v>976</v>
      </c>
      <c r="DR39" s="1" t="s">
        <v>1151</v>
      </c>
      <c r="DS39" s="1" t="s">
        <v>978</v>
      </c>
      <c r="DT39" s="1" t="s">
        <v>979</v>
      </c>
      <c r="DU39" s="1" t="s">
        <v>980</v>
      </c>
      <c r="DV39" s="1">
        <v>12943.0</v>
      </c>
      <c r="DX39" s="1">
        <v>3889.0</v>
      </c>
      <c r="DY39" s="1">
        <v>833595.0</v>
      </c>
      <c r="DZ39" s="1" t="s">
        <v>981</v>
      </c>
      <c r="EA39" s="1">
        <v>1418.0</v>
      </c>
      <c r="EB39" s="1">
        <v>70679.0</v>
      </c>
      <c r="EC39" s="1">
        <v>1.0</v>
      </c>
      <c r="ED39" s="1">
        <v>26492.0</v>
      </c>
      <c r="EF39" s="1">
        <v>240.0</v>
      </c>
      <c r="EG39" s="1" t="s">
        <v>982</v>
      </c>
      <c r="EH39" s="1">
        <v>100.0</v>
      </c>
      <c r="EK39" s="1">
        <v>100.0</v>
      </c>
      <c r="EQ39" s="9" t="s">
        <v>1144</v>
      </c>
      <c r="ER39" s="21">
        <v>46045.29769675926</v>
      </c>
    </row>
    <row r="40">
      <c r="A40" s="9" t="s">
        <v>1152</v>
      </c>
      <c r="B40" s="20" t="str">
        <f>IFERROR(__xludf.DUMMYFUNCTION("REGEXREPLACE(A40, ""^https?://[^/]+"", """")"),"/wp-content/uploads/2025/02/Regional-partner-24-North-America-bg.png")</f>
        <v>/wp-content/uploads/2025/02/Regional-partner-24-North-America-bg.png</v>
      </c>
      <c r="F40" s="1" t="s">
        <v>1047</v>
      </c>
      <c r="G40" s="1">
        <v>200.0</v>
      </c>
      <c r="H40" s="1" t="s">
        <v>966</v>
      </c>
      <c r="I40" s="1" t="s">
        <v>967</v>
      </c>
      <c r="L40" s="1">
        <v>0.0</v>
      </c>
      <c r="M40" s="1">
        <v>0.0</v>
      </c>
      <c r="O40" s="1">
        <v>0.0</v>
      </c>
      <c r="P40" s="1">
        <v>0.0</v>
      </c>
      <c r="R40" s="1">
        <v>0.0</v>
      </c>
      <c r="S40" s="1">
        <v>0.0</v>
      </c>
      <c r="U40" s="1">
        <v>0.0</v>
      </c>
      <c r="W40" s="1">
        <v>0.0</v>
      </c>
      <c r="Y40" s="1">
        <v>0.0</v>
      </c>
      <c r="AA40" s="1">
        <v>0.0</v>
      </c>
      <c r="AC40" s="1">
        <v>0.0</v>
      </c>
      <c r="AM40" s="1">
        <v>53452.0</v>
      </c>
      <c r="AN40" s="1">
        <v>53452.0</v>
      </c>
      <c r="AO40" s="1">
        <v>53452.0</v>
      </c>
      <c r="AP40" s="1">
        <v>20.476</v>
      </c>
      <c r="AR40" s="1">
        <v>0.0</v>
      </c>
      <c r="AW40" s="1">
        <v>0.0</v>
      </c>
      <c r="AX40" s="1">
        <v>1.0</v>
      </c>
      <c r="AY40" s="1">
        <v>4.0</v>
      </c>
      <c r="BA40" s="1">
        <v>0.0</v>
      </c>
      <c r="BB40" s="1">
        <v>0.0</v>
      </c>
      <c r="BC40" s="1">
        <v>0.0</v>
      </c>
      <c r="BD40" s="1">
        <v>0.0</v>
      </c>
      <c r="BE40" s="1">
        <v>0.0</v>
      </c>
      <c r="BF40" s="1">
        <v>0.0</v>
      </c>
      <c r="BG40" s="1">
        <v>0.0</v>
      </c>
      <c r="BH40" s="1">
        <v>0.0</v>
      </c>
      <c r="BI40" s="1">
        <v>0.0</v>
      </c>
      <c r="BJ40" s="1">
        <v>0.0</v>
      </c>
      <c r="BP40" s="1">
        <v>0.279</v>
      </c>
      <c r="BQ40" s="1" t="s">
        <v>1153</v>
      </c>
      <c r="BV40" s="1">
        <v>1.1</v>
      </c>
      <c r="EQ40" s="9" t="s">
        <v>1152</v>
      </c>
      <c r="ER40" s="21">
        <v>46045.29771990741</v>
      </c>
    </row>
    <row r="41">
      <c r="A41" s="9" t="s">
        <v>84</v>
      </c>
      <c r="B41" s="20" t="str">
        <f>IFERROR(__xludf.DUMMYFUNCTION("REGEXREPLACE(A41, ""^https?://[^/]+"", """")"),"/private-equity-solutions/portfolio-company/")</f>
        <v>/private-equity-solutions/portfolio-company/</v>
      </c>
      <c r="C41" s="1" t="s">
        <v>1154</v>
      </c>
      <c r="D41" s="1" t="s">
        <v>1155</v>
      </c>
      <c r="E41" s="1" t="s">
        <v>1156</v>
      </c>
      <c r="F41" s="1" t="s">
        <v>965</v>
      </c>
      <c r="G41" s="1">
        <v>200.0</v>
      </c>
      <c r="H41" s="1" t="s">
        <v>966</v>
      </c>
      <c r="I41" s="1" t="s">
        <v>967</v>
      </c>
      <c r="K41" s="1" t="s">
        <v>1157</v>
      </c>
      <c r="L41" s="1">
        <v>37.0</v>
      </c>
      <c r="M41" s="1">
        <v>337.0</v>
      </c>
      <c r="O41" s="1">
        <v>0.0</v>
      </c>
      <c r="P41" s="1">
        <v>0.0</v>
      </c>
      <c r="Q41" s="1" t="s">
        <v>1158</v>
      </c>
      <c r="R41" s="1">
        <v>144.0</v>
      </c>
      <c r="S41" s="1">
        <v>891.0</v>
      </c>
      <c r="U41" s="1">
        <v>0.0</v>
      </c>
      <c r="V41" s="1" t="s">
        <v>1154</v>
      </c>
      <c r="W41" s="1">
        <v>51.0</v>
      </c>
      <c r="Y41" s="1">
        <v>0.0</v>
      </c>
      <c r="Z41" s="1" t="s">
        <v>1155</v>
      </c>
      <c r="AA41" s="1">
        <v>23.0</v>
      </c>
      <c r="AB41" s="1" t="s">
        <v>1156</v>
      </c>
      <c r="AC41" s="1">
        <v>26.0</v>
      </c>
      <c r="AD41" s="1" t="s">
        <v>971</v>
      </c>
      <c r="AG41" s="9" t="s">
        <v>84</v>
      </c>
      <c r="AM41" s="1">
        <v>191293.0</v>
      </c>
      <c r="AN41" s="1">
        <v>38134.0</v>
      </c>
      <c r="AO41" s="1">
        <v>38134.0</v>
      </c>
      <c r="AP41" s="1">
        <v>14.608</v>
      </c>
      <c r="AR41" s="1">
        <v>972.0</v>
      </c>
      <c r="AS41" s="1">
        <v>160.0</v>
      </c>
      <c r="AT41" s="1">
        <v>6.075</v>
      </c>
      <c r="AU41" s="1">
        <v>50.878</v>
      </c>
      <c r="AV41" s="1" t="s">
        <v>972</v>
      </c>
      <c r="AW41" s="1">
        <v>5.079</v>
      </c>
      <c r="AX41" s="1">
        <v>1.0</v>
      </c>
      <c r="AY41" s="1">
        <v>2.0</v>
      </c>
      <c r="AZ41" s="1">
        <v>51.0</v>
      </c>
      <c r="BA41" s="1">
        <v>2279.0</v>
      </c>
      <c r="BB41" s="1">
        <v>754.0</v>
      </c>
      <c r="BC41" s="1">
        <v>0.0</v>
      </c>
      <c r="BD41" s="1">
        <v>100.0</v>
      </c>
      <c r="BE41" s="1">
        <v>111.0</v>
      </c>
      <c r="BF41" s="1">
        <v>44.0</v>
      </c>
      <c r="BG41" s="1">
        <v>0.0</v>
      </c>
      <c r="BH41" s="1">
        <v>7.0</v>
      </c>
      <c r="BI41" s="1">
        <v>6.0</v>
      </c>
      <c r="BJ41" s="1">
        <v>0.0</v>
      </c>
      <c r="BO41" s="1" t="s">
        <v>1159</v>
      </c>
      <c r="BP41" s="1">
        <v>0.979</v>
      </c>
      <c r="BU41" s="1" t="s">
        <v>974</v>
      </c>
      <c r="BV41" s="1">
        <v>1.1</v>
      </c>
      <c r="BW41" s="1">
        <v>51.0</v>
      </c>
      <c r="BX41" s="1">
        <v>4051.016</v>
      </c>
      <c r="BY41" s="1">
        <v>8556.965</v>
      </c>
      <c r="BZ41" s="1">
        <v>8476.034</v>
      </c>
      <c r="CA41" s="1">
        <v>17915.789</v>
      </c>
      <c r="CB41" s="1">
        <v>360.5</v>
      </c>
      <c r="CC41" s="1">
        <v>0.0</v>
      </c>
      <c r="CD41" s="1">
        <v>653213.0</v>
      </c>
      <c r="CE41" s="1">
        <v>1050.0</v>
      </c>
      <c r="CF41" s="1">
        <v>168.0</v>
      </c>
      <c r="CG41" s="1">
        <v>2539564.0</v>
      </c>
      <c r="CH41" s="1">
        <v>39863.0</v>
      </c>
      <c r="CI41" s="1">
        <v>2.0</v>
      </c>
      <c r="CJ41" s="1">
        <v>285398.0</v>
      </c>
      <c r="CK41" s="1">
        <v>15.0</v>
      </c>
      <c r="CL41" s="1">
        <v>121465.0</v>
      </c>
      <c r="CM41" s="1">
        <v>45.0</v>
      </c>
      <c r="CN41" s="1">
        <v>1765315.0</v>
      </c>
      <c r="CO41" s="1">
        <v>71.0</v>
      </c>
      <c r="CP41" s="1">
        <v>301523.0</v>
      </c>
      <c r="CQ41" s="1">
        <v>6.0</v>
      </c>
      <c r="CR41" s="1">
        <v>0.0</v>
      </c>
      <c r="CS41" s="1">
        <v>0.0</v>
      </c>
      <c r="CT41" s="1">
        <v>26000.0</v>
      </c>
      <c r="CU41" s="1">
        <v>29.0</v>
      </c>
      <c r="CV41" s="1">
        <v>1504591.0</v>
      </c>
      <c r="CW41" s="1">
        <v>63.0</v>
      </c>
      <c r="DC41" s="1">
        <v>0.0</v>
      </c>
      <c r="DD41" s="1">
        <v>5075.0</v>
      </c>
      <c r="DE41" s="1">
        <v>0.0</v>
      </c>
      <c r="DF41" s="1">
        <v>3396.0</v>
      </c>
      <c r="DG41" s="1">
        <v>150.0</v>
      </c>
      <c r="DH41" s="1">
        <v>50962.0</v>
      </c>
      <c r="DI41" s="1">
        <v>900.0</v>
      </c>
      <c r="DJ41" s="1">
        <v>593780.0</v>
      </c>
      <c r="DK41" s="1">
        <v>1750.25</v>
      </c>
      <c r="DL41" s="1" t="s">
        <v>975</v>
      </c>
      <c r="DM41" s="1">
        <v>3998.525</v>
      </c>
      <c r="DN41" s="1" t="s">
        <v>975</v>
      </c>
      <c r="DO41" s="1">
        <v>2539565.0</v>
      </c>
      <c r="DP41" s="1">
        <v>1.0</v>
      </c>
      <c r="DQ41" s="1" t="s">
        <v>976</v>
      </c>
      <c r="DR41" s="1" t="s">
        <v>1014</v>
      </c>
      <c r="DS41" s="1" t="s">
        <v>978</v>
      </c>
      <c r="DT41" s="1" t="s">
        <v>979</v>
      </c>
      <c r="DU41" s="1" t="s">
        <v>980</v>
      </c>
      <c r="DV41" s="1">
        <v>13998.0</v>
      </c>
      <c r="DX41" s="1">
        <v>3698.0</v>
      </c>
      <c r="DY41" s="1">
        <v>721462.0</v>
      </c>
      <c r="DZ41" s="1" t="s">
        <v>981</v>
      </c>
      <c r="EA41" s="1">
        <v>837.0</v>
      </c>
      <c r="EB41" s="1">
        <v>83768.0</v>
      </c>
      <c r="EC41" s="1">
        <v>1.0</v>
      </c>
      <c r="ED41" s="1">
        <v>26492.0</v>
      </c>
      <c r="EF41" s="1">
        <v>235.0</v>
      </c>
      <c r="EG41" s="1" t="s">
        <v>982</v>
      </c>
      <c r="EH41" s="1">
        <v>100.0</v>
      </c>
      <c r="EK41" s="1">
        <v>100.0</v>
      </c>
      <c r="EQ41" s="9" t="s">
        <v>84</v>
      </c>
      <c r="ER41" s="21">
        <v>46045.29770833333</v>
      </c>
    </row>
    <row r="42">
      <c r="A42" s="9" t="s">
        <v>1160</v>
      </c>
      <c r="B42" s="20" t="str">
        <f>IFERROR(__xludf.DUMMYFUNCTION("REGEXREPLACE(A42, ""^https?://[^/]+"", """")"),"/wp-content/plugins/cookie-law-info/legacy/public/css/cookie-law-info-public.css?ver=3.3.9.1")</f>
        <v>/wp-content/plugins/cookie-law-info/legacy/public/css/cookie-law-info-public.css?ver=3.3.9.1</v>
      </c>
      <c r="F42" s="1" t="s">
        <v>1016</v>
      </c>
      <c r="G42" s="1">
        <v>200.0</v>
      </c>
      <c r="H42" s="1" t="s">
        <v>966</v>
      </c>
      <c r="I42" s="1" t="s">
        <v>967</v>
      </c>
      <c r="L42" s="1">
        <v>0.0</v>
      </c>
      <c r="M42" s="1">
        <v>0.0</v>
      </c>
      <c r="O42" s="1">
        <v>0.0</v>
      </c>
      <c r="P42" s="1">
        <v>0.0</v>
      </c>
      <c r="R42" s="1">
        <v>0.0</v>
      </c>
      <c r="S42" s="1">
        <v>0.0</v>
      </c>
      <c r="U42" s="1">
        <v>0.0</v>
      </c>
      <c r="W42" s="1">
        <v>0.0</v>
      </c>
      <c r="Y42" s="1">
        <v>0.0</v>
      </c>
      <c r="AA42" s="1">
        <v>0.0</v>
      </c>
      <c r="AC42" s="1">
        <v>0.0</v>
      </c>
      <c r="AM42" s="1">
        <v>953.0</v>
      </c>
      <c r="AN42" s="1">
        <v>953.0</v>
      </c>
      <c r="AO42" s="1">
        <v>953.0</v>
      </c>
      <c r="AP42" s="1">
        <v>0.365</v>
      </c>
      <c r="AR42" s="1">
        <v>0.0</v>
      </c>
      <c r="AW42" s="1">
        <v>0.0</v>
      </c>
      <c r="AX42" s="1">
        <v>1.0</v>
      </c>
      <c r="AY42" s="1">
        <v>6.0</v>
      </c>
      <c r="BA42" s="1">
        <v>0.0</v>
      </c>
      <c r="BB42" s="1">
        <v>0.0</v>
      </c>
      <c r="BC42" s="1">
        <v>0.0</v>
      </c>
      <c r="BD42" s="1">
        <v>0.0</v>
      </c>
      <c r="BE42" s="1">
        <v>0.0</v>
      </c>
      <c r="BF42" s="1">
        <v>0.0</v>
      </c>
      <c r="BG42" s="1">
        <v>0.0</v>
      </c>
      <c r="BH42" s="1">
        <v>0.0</v>
      </c>
      <c r="BI42" s="1">
        <v>0.0</v>
      </c>
      <c r="BJ42" s="1">
        <v>0.0</v>
      </c>
      <c r="BP42" s="1">
        <v>0.257</v>
      </c>
      <c r="BQ42" s="1" t="s">
        <v>1161</v>
      </c>
      <c r="BV42" s="1">
        <v>1.1</v>
      </c>
      <c r="EQ42" s="9" t="s">
        <v>1160</v>
      </c>
      <c r="ER42" s="21">
        <v>46045.29771990741</v>
      </c>
    </row>
    <row r="43">
      <c r="A43" s="9" t="s">
        <v>1162</v>
      </c>
      <c r="B43" s="20" t="str">
        <f>IFERROR(__xludf.DUMMYFUNCTION("REGEXREPLACE(A43, ""^https?://[^/]+"", """")"),"/wp-content/uploads/elementor/thumbs/Flag_of_Australia.svg-r4g46qz9ltlqws3p70qavt5l3jm99riysjikntibkm.png")</f>
        <v>/wp-content/uploads/elementor/thumbs/Flag_of_Australia.svg-r4g46qz9ltlqws3p70qavt5l3jm99riysjikntibkm.png</v>
      </c>
      <c r="F43" s="1" t="s">
        <v>1047</v>
      </c>
      <c r="G43" s="1">
        <v>200.0</v>
      </c>
      <c r="H43" s="1" t="s">
        <v>966</v>
      </c>
      <c r="I43" s="1" t="s">
        <v>967</v>
      </c>
      <c r="L43" s="1">
        <v>0.0</v>
      </c>
      <c r="M43" s="1">
        <v>0.0</v>
      </c>
      <c r="O43" s="1">
        <v>0.0</v>
      </c>
      <c r="P43" s="1">
        <v>0.0</v>
      </c>
      <c r="R43" s="1">
        <v>0.0</v>
      </c>
      <c r="S43" s="1">
        <v>0.0</v>
      </c>
      <c r="U43" s="1">
        <v>0.0</v>
      </c>
      <c r="W43" s="1">
        <v>0.0</v>
      </c>
      <c r="Y43" s="1">
        <v>0.0</v>
      </c>
      <c r="AA43" s="1">
        <v>0.0</v>
      </c>
      <c r="AC43" s="1">
        <v>0.0</v>
      </c>
      <c r="AM43" s="1">
        <v>621.0</v>
      </c>
      <c r="AN43" s="1">
        <v>621.0</v>
      </c>
      <c r="AO43" s="1">
        <v>621.0</v>
      </c>
      <c r="AP43" s="1">
        <v>0.238</v>
      </c>
      <c r="AR43" s="1">
        <v>0.0</v>
      </c>
      <c r="AW43" s="1">
        <v>0.0</v>
      </c>
      <c r="AX43" s="1">
        <v>1.0</v>
      </c>
      <c r="AY43" s="1">
        <v>4.0</v>
      </c>
      <c r="BA43" s="1">
        <v>0.0</v>
      </c>
      <c r="BB43" s="1">
        <v>0.0</v>
      </c>
      <c r="BC43" s="1">
        <v>0.0</v>
      </c>
      <c r="BD43" s="1">
        <v>0.0</v>
      </c>
      <c r="BE43" s="1">
        <v>0.0</v>
      </c>
      <c r="BF43" s="1">
        <v>0.0</v>
      </c>
      <c r="BG43" s="1">
        <v>0.0</v>
      </c>
      <c r="BH43" s="1">
        <v>0.0</v>
      </c>
      <c r="BI43" s="1">
        <v>0.0</v>
      </c>
      <c r="BJ43" s="1">
        <v>0.0</v>
      </c>
      <c r="BP43" s="1">
        <v>0.271</v>
      </c>
      <c r="BQ43" s="1" t="s">
        <v>1163</v>
      </c>
      <c r="BV43" s="1">
        <v>1.1</v>
      </c>
      <c r="EQ43" s="9" t="s">
        <v>1162</v>
      </c>
      <c r="ER43" s="21">
        <v>46045.29771990741</v>
      </c>
    </row>
    <row r="44">
      <c r="A44" s="9" t="s">
        <v>1164</v>
      </c>
      <c r="B44" s="20" t="str">
        <f>IFERROR(__xludf.DUMMYFUNCTION("REGEXREPLACE(A44, ""^https?://[^/]+"", """")"),"/free-sales-resources/")</f>
        <v>/free-sales-resources/</v>
      </c>
      <c r="C44" s="1" t="s">
        <v>1165</v>
      </c>
      <c r="D44" s="1" t="s">
        <v>997</v>
      </c>
      <c r="E44" s="1" t="s">
        <v>1166</v>
      </c>
      <c r="F44" s="1" t="s">
        <v>965</v>
      </c>
      <c r="G44" s="1">
        <v>200.0</v>
      </c>
      <c r="H44" s="1" t="s">
        <v>966</v>
      </c>
      <c r="I44" s="1" t="s">
        <v>967</v>
      </c>
      <c r="K44" s="1" t="s">
        <v>1167</v>
      </c>
      <c r="L44" s="1">
        <v>48.0</v>
      </c>
      <c r="M44" s="1">
        <v>434.0</v>
      </c>
      <c r="O44" s="1">
        <v>0.0</v>
      </c>
      <c r="P44" s="1">
        <v>0.0</v>
      </c>
      <c r="Q44" s="1" t="s">
        <v>1168</v>
      </c>
      <c r="R44" s="1">
        <v>141.0</v>
      </c>
      <c r="S44" s="1">
        <v>893.0</v>
      </c>
      <c r="U44" s="1">
        <v>0.0</v>
      </c>
      <c r="V44" s="1" t="s">
        <v>1165</v>
      </c>
      <c r="W44" s="1">
        <v>30.0</v>
      </c>
      <c r="Y44" s="1">
        <v>0.0</v>
      </c>
      <c r="Z44" s="1" t="s">
        <v>997</v>
      </c>
      <c r="AA44" s="1">
        <v>48.0</v>
      </c>
      <c r="AB44" s="1" t="s">
        <v>1166</v>
      </c>
      <c r="AC44" s="1">
        <v>69.0</v>
      </c>
      <c r="AD44" s="1" t="s">
        <v>971</v>
      </c>
      <c r="AG44" s="9" t="s">
        <v>1164</v>
      </c>
      <c r="AM44" s="1">
        <v>193757.0</v>
      </c>
      <c r="AN44" s="1">
        <v>32419.0</v>
      </c>
      <c r="AO44" s="1">
        <v>32419.0</v>
      </c>
      <c r="AP44" s="1">
        <v>12.419</v>
      </c>
      <c r="AR44" s="1">
        <v>924.0</v>
      </c>
      <c r="AS44" s="1">
        <v>170.0</v>
      </c>
      <c r="AT44" s="1">
        <v>5.435</v>
      </c>
      <c r="AU44" s="1">
        <v>53.726</v>
      </c>
      <c r="AV44" s="1" t="s">
        <v>972</v>
      </c>
      <c r="AW44" s="1">
        <v>4.29</v>
      </c>
      <c r="AX44" s="1">
        <v>1.0</v>
      </c>
      <c r="AY44" s="1">
        <v>1.0</v>
      </c>
      <c r="AZ44" s="1">
        <v>51.0</v>
      </c>
      <c r="BA44" s="1">
        <v>2270.0</v>
      </c>
      <c r="BB44" s="1">
        <v>754.0</v>
      </c>
      <c r="BC44" s="1">
        <v>0.0</v>
      </c>
      <c r="BD44" s="1">
        <v>100.0</v>
      </c>
      <c r="BE44" s="1">
        <v>155.0</v>
      </c>
      <c r="BF44" s="1">
        <v>50.0</v>
      </c>
      <c r="BG44" s="1">
        <v>0.0</v>
      </c>
      <c r="BH44" s="1">
        <v>16.0</v>
      </c>
      <c r="BI44" s="1">
        <v>8.0</v>
      </c>
      <c r="BJ44" s="1">
        <v>0.0</v>
      </c>
      <c r="BO44" s="1" t="s">
        <v>1169</v>
      </c>
      <c r="BP44" s="1">
        <v>1.257</v>
      </c>
      <c r="BU44" s="1" t="s">
        <v>974</v>
      </c>
      <c r="BV44" s="1">
        <v>1.1</v>
      </c>
      <c r="BW44" s="1">
        <v>59.0</v>
      </c>
      <c r="BX44" s="1">
        <v>4201.036</v>
      </c>
      <c r="BY44" s="1">
        <v>7644.341</v>
      </c>
      <c r="BZ44" s="1">
        <v>6901.06</v>
      </c>
      <c r="CA44" s="1">
        <v>18144.234</v>
      </c>
      <c r="CB44" s="1">
        <v>162.0</v>
      </c>
      <c r="CC44" s="1">
        <v>0.0</v>
      </c>
      <c r="CD44" s="1">
        <v>652007.0</v>
      </c>
      <c r="CE44" s="1">
        <v>750.0</v>
      </c>
      <c r="CF44" s="1">
        <v>171.0</v>
      </c>
      <c r="CG44" s="1">
        <v>2333367.0</v>
      </c>
      <c r="CH44" s="1">
        <v>33246.0</v>
      </c>
      <c r="CI44" s="1">
        <v>2.0</v>
      </c>
      <c r="CJ44" s="1">
        <v>49917.0</v>
      </c>
      <c r="CK44" s="1">
        <v>22.0</v>
      </c>
      <c r="CL44" s="1">
        <v>118401.0</v>
      </c>
      <c r="CM44" s="1">
        <v>40.0</v>
      </c>
      <c r="CN44" s="1">
        <v>1764893.0</v>
      </c>
      <c r="CO44" s="1">
        <v>71.0</v>
      </c>
      <c r="CP44" s="1">
        <v>341338.0</v>
      </c>
      <c r="CQ44" s="1">
        <v>8.0</v>
      </c>
      <c r="CR44" s="1">
        <v>0.0</v>
      </c>
      <c r="CS44" s="1">
        <v>0.0</v>
      </c>
      <c r="CT44" s="1">
        <v>25572.0</v>
      </c>
      <c r="CU44" s="1">
        <v>28.0</v>
      </c>
      <c r="CV44" s="1">
        <v>1526039.0</v>
      </c>
      <c r="CW44" s="1">
        <v>69.0</v>
      </c>
      <c r="DC44" s="1">
        <v>0.0</v>
      </c>
      <c r="DD44" s="1">
        <v>5075.0</v>
      </c>
      <c r="DE44" s="1">
        <v>0.0</v>
      </c>
      <c r="DF44" s="1">
        <v>3396.0</v>
      </c>
      <c r="DG44" s="1">
        <v>150.0</v>
      </c>
      <c r="DH44" s="1">
        <v>50545.0</v>
      </c>
      <c r="DI44" s="1">
        <v>600.0</v>
      </c>
      <c r="DJ44" s="1">
        <v>592991.0</v>
      </c>
      <c r="DK44" s="1">
        <v>1139.394</v>
      </c>
      <c r="DL44" s="1" t="s">
        <v>992</v>
      </c>
      <c r="DM44" s="1">
        <v>2139.066</v>
      </c>
      <c r="DN44" s="1" t="s">
        <v>975</v>
      </c>
      <c r="DO44" s="1">
        <v>2332913.0</v>
      </c>
      <c r="DP44" s="1">
        <v>1.0</v>
      </c>
      <c r="DQ44" s="1" t="s">
        <v>976</v>
      </c>
      <c r="DR44" s="1" t="s">
        <v>1170</v>
      </c>
      <c r="DS44" s="1" t="s">
        <v>978</v>
      </c>
      <c r="DU44" s="1" t="s">
        <v>994</v>
      </c>
      <c r="DV44" s="1">
        <v>13394.0</v>
      </c>
      <c r="DW44" s="1">
        <v>310.0</v>
      </c>
      <c r="DX44" s="1">
        <v>3989.0</v>
      </c>
      <c r="DY44" s="1">
        <v>633010.0</v>
      </c>
      <c r="DZ44" s="1" t="s">
        <v>981</v>
      </c>
      <c r="EA44" s="1">
        <v>980.0</v>
      </c>
      <c r="EB44" s="1">
        <v>4453.0</v>
      </c>
      <c r="EC44" s="1">
        <v>1.0</v>
      </c>
      <c r="ED44" s="1">
        <v>26492.0</v>
      </c>
      <c r="EF44" s="1">
        <v>235.0</v>
      </c>
      <c r="EG44" s="1" t="s">
        <v>982</v>
      </c>
      <c r="EH44" s="1">
        <v>100.0</v>
      </c>
      <c r="EK44" s="1">
        <v>100.0</v>
      </c>
      <c r="EQ44" s="9" t="s">
        <v>1164</v>
      </c>
      <c r="ER44" s="21">
        <v>46045.29770833333</v>
      </c>
    </row>
    <row r="45">
      <c r="A45" s="9" t="s">
        <v>1171</v>
      </c>
      <c r="B45" s="20" t="str">
        <f>IFERROR(__xludf.DUMMYFUNCTION("REGEXREPLACE(A45, ""^https?://[^/]+"", """")"),"/about-sales-xceleration/")</f>
        <v>/about-sales-xceleration/</v>
      </c>
      <c r="C45" s="1" t="s">
        <v>1172</v>
      </c>
      <c r="D45" s="1" t="s">
        <v>1173</v>
      </c>
      <c r="F45" s="1" t="s">
        <v>965</v>
      </c>
      <c r="G45" s="1">
        <v>200.0</v>
      </c>
      <c r="H45" s="1" t="s">
        <v>966</v>
      </c>
      <c r="I45" s="1" t="s">
        <v>967</v>
      </c>
      <c r="K45" s="1" t="s">
        <v>1174</v>
      </c>
      <c r="L45" s="1">
        <v>50.0</v>
      </c>
      <c r="M45" s="1">
        <v>440.0</v>
      </c>
      <c r="O45" s="1">
        <v>0.0</v>
      </c>
      <c r="P45" s="1">
        <v>0.0</v>
      </c>
      <c r="Q45" s="1" t="s">
        <v>1175</v>
      </c>
      <c r="R45" s="1">
        <v>162.0</v>
      </c>
      <c r="S45" s="1">
        <v>999.0</v>
      </c>
      <c r="U45" s="1">
        <v>0.0</v>
      </c>
      <c r="V45" s="1" t="s">
        <v>1172</v>
      </c>
      <c r="W45" s="1">
        <v>23.0</v>
      </c>
      <c r="Y45" s="1">
        <v>0.0</v>
      </c>
      <c r="Z45" s="1" t="s">
        <v>1173</v>
      </c>
      <c r="AA45" s="1">
        <v>24.0</v>
      </c>
      <c r="AC45" s="1">
        <v>0.0</v>
      </c>
      <c r="AD45" s="1" t="s">
        <v>971</v>
      </c>
      <c r="AG45" s="9" t="s">
        <v>1171</v>
      </c>
      <c r="AM45" s="1">
        <v>179146.0</v>
      </c>
      <c r="AN45" s="1">
        <v>32824.0</v>
      </c>
      <c r="AO45" s="1">
        <v>32824.0</v>
      </c>
      <c r="AP45" s="1">
        <v>12.574</v>
      </c>
      <c r="AR45" s="1">
        <v>1187.0</v>
      </c>
      <c r="AS45" s="1">
        <v>183.0</v>
      </c>
      <c r="AT45" s="1">
        <v>6.486</v>
      </c>
      <c r="AU45" s="1">
        <v>45.591</v>
      </c>
      <c r="AV45" s="1" t="s">
        <v>1075</v>
      </c>
      <c r="AW45" s="1">
        <v>5.798</v>
      </c>
      <c r="AX45" s="1">
        <v>1.0</v>
      </c>
      <c r="AY45" s="1">
        <v>1.0</v>
      </c>
      <c r="AZ45" s="1">
        <v>51.0</v>
      </c>
      <c r="BA45" s="1">
        <v>3011.0</v>
      </c>
      <c r="BB45" s="1">
        <v>754.0</v>
      </c>
      <c r="BC45" s="1">
        <v>0.0</v>
      </c>
      <c r="BD45" s="1">
        <v>100.0</v>
      </c>
      <c r="BE45" s="1">
        <v>122.0</v>
      </c>
      <c r="BF45" s="1">
        <v>42.0</v>
      </c>
      <c r="BG45" s="1">
        <v>0.0</v>
      </c>
      <c r="BH45" s="1">
        <v>16.0</v>
      </c>
      <c r="BI45" s="1">
        <v>8.0</v>
      </c>
      <c r="BJ45" s="1">
        <v>0.0</v>
      </c>
      <c r="BO45" s="1" t="s">
        <v>1176</v>
      </c>
      <c r="BP45" s="1">
        <v>0.994</v>
      </c>
      <c r="BU45" s="1" t="s">
        <v>974</v>
      </c>
      <c r="BV45" s="1">
        <v>1.1</v>
      </c>
      <c r="BW45" s="1">
        <v>44.0</v>
      </c>
      <c r="BX45" s="1">
        <v>3301.022</v>
      </c>
      <c r="BY45" s="1">
        <v>7278.542</v>
      </c>
      <c r="BZ45" s="1">
        <v>8252.06</v>
      </c>
      <c r="CA45" s="1">
        <v>17953.762</v>
      </c>
      <c r="CB45" s="1">
        <v>745.5</v>
      </c>
      <c r="CC45" s="1">
        <v>0.0</v>
      </c>
      <c r="CD45" s="1">
        <v>651345.0</v>
      </c>
      <c r="CE45" s="1">
        <v>1650.0</v>
      </c>
      <c r="CF45" s="1">
        <v>168.0</v>
      </c>
      <c r="CG45" s="1">
        <v>2339571.0</v>
      </c>
      <c r="CH45" s="1">
        <v>34024.0</v>
      </c>
      <c r="CI45" s="1">
        <v>2.0</v>
      </c>
      <c r="CJ45" s="1">
        <v>175135.0</v>
      </c>
      <c r="CK45" s="1">
        <v>26.0</v>
      </c>
      <c r="CL45" s="1">
        <v>112984.0</v>
      </c>
      <c r="CM45" s="1">
        <v>38.0</v>
      </c>
      <c r="CN45" s="1">
        <v>1747318.0</v>
      </c>
      <c r="CO45" s="1">
        <v>67.0</v>
      </c>
      <c r="CP45" s="1">
        <v>244248.0</v>
      </c>
      <c r="CQ45" s="1">
        <v>5.0</v>
      </c>
      <c r="CR45" s="1">
        <v>0.0</v>
      </c>
      <c r="CS45" s="1">
        <v>0.0</v>
      </c>
      <c r="CT45" s="1">
        <v>25862.0</v>
      </c>
      <c r="CU45" s="1">
        <v>30.0</v>
      </c>
      <c r="CV45" s="1">
        <v>1505949.0</v>
      </c>
      <c r="CW45" s="1">
        <v>72.0</v>
      </c>
      <c r="DC45" s="1">
        <v>150.0</v>
      </c>
      <c r="DD45" s="1">
        <v>5075.0</v>
      </c>
      <c r="DE45" s="1">
        <v>0.0</v>
      </c>
      <c r="DF45" s="1">
        <v>3396.0</v>
      </c>
      <c r="DG45" s="1">
        <v>150.0</v>
      </c>
      <c r="DH45" s="1">
        <v>50486.0</v>
      </c>
      <c r="DI45" s="1">
        <v>1350.0</v>
      </c>
      <c r="DJ45" s="1">
        <v>592388.0</v>
      </c>
      <c r="DK45" s="1">
        <v>2201.062</v>
      </c>
      <c r="DL45" s="1" t="s">
        <v>975</v>
      </c>
      <c r="DM45" s="1">
        <v>4026.114</v>
      </c>
      <c r="DN45" s="1" t="s">
        <v>975</v>
      </c>
      <c r="DO45" s="1">
        <v>2338859.0</v>
      </c>
      <c r="DP45" s="1">
        <v>1.0</v>
      </c>
      <c r="DQ45" s="1" t="s">
        <v>976</v>
      </c>
      <c r="DR45" s="1" t="s">
        <v>1085</v>
      </c>
      <c r="DS45" s="1" t="s">
        <v>978</v>
      </c>
      <c r="DT45" s="1" t="s">
        <v>979</v>
      </c>
      <c r="DU45" s="1" t="s">
        <v>980</v>
      </c>
      <c r="DV45" s="1">
        <v>12641.0</v>
      </c>
      <c r="DX45" s="1">
        <v>3746.0</v>
      </c>
      <c r="DY45" s="1">
        <v>643270.0</v>
      </c>
      <c r="DZ45" s="1" t="s">
        <v>981</v>
      </c>
      <c r="EA45" s="1">
        <v>891.0</v>
      </c>
      <c r="EB45" s="1">
        <v>4453.0</v>
      </c>
      <c r="EC45" s="1">
        <v>0.0</v>
      </c>
      <c r="ED45" s="1">
        <v>26492.0</v>
      </c>
      <c r="EF45" s="1">
        <v>295.0</v>
      </c>
      <c r="EG45" s="1" t="s">
        <v>982</v>
      </c>
      <c r="EH45" s="1">
        <v>100.0</v>
      </c>
      <c r="EK45" s="1">
        <v>100.0</v>
      </c>
      <c r="EQ45" s="9" t="s">
        <v>1171</v>
      </c>
      <c r="ER45" s="21">
        <v>46045.29771990741</v>
      </c>
    </row>
    <row r="46">
      <c r="A46" s="9" t="s">
        <v>1177</v>
      </c>
      <c r="B46" s="20" t="str">
        <f>IFERROR(__xludf.DUMMYFUNCTION("REGEXREPLACE(A46, ""^https?://[^/]+"", """")"),"/wp-content/plugins/elementor/assets/css/widget-social-icons.min.css?ver=3.34.0")</f>
        <v>/wp-content/plugins/elementor/assets/css/widget-social-icons.min.css?ver=3.34.0</v>
      </c>
      <c r="F46" s="1" t="s">
        <v>1016</v>
      </c>
      <c r="G46" s="1">
        <v>200.0</v>
      </c>
      <c r="H46" s="1" t="s">
        <v>966</v>
      </c>
      <c r="I46" s="1" t="s">
        <v>967</v>
      </c>
      <c r="L46" s="1">
        <v>0.0</v>
      </c>
      <c r="M46" s="1">
        <v>0.0</v>
      </c>
      <c r="O46" s="1">
        <v>0.0</v>
      </c>
      <c r="P46" s="1">
        <v>0.0</v>
      </c>
      <c r="R46" s="1">
        <v>0.0</v>
      </c>
      <c r="S46" s="1">
        <v>0.0</v>
      </c>
      <c r="U46" s="1">
        <v>0.0</v>
      </c>
      <c r="W46" s="1">
        <v>0.0</v>
      </c>
      <c r="Y46" s="1">
        <v>0.0</v>
      </c>
      <c r="AA46" s="1">
        <v>0.0</v>
      </c>
      <c r="AC46" s="1">
        <v>0.0</v>
      </c>
      <c r="AM46" s="1">
        <v>1142.0</v>
      </c>
      <c r="AN46" s="1">
        <v>1142.0</v>
      </c>
      <c r="AO46" s="1">
        <v>1142.0</v>
      </c>
      <c r="AP46" s="1">
        <v>0.437</v>
      </c>
      <c r="AR46" s="1">
        <v>0.0</v>
      </c>
      <c r="AW46" s="1">
        <v>0.0</v>
      </c>
      <c r="AX46" s="1">
        <v>1.0</v>
      </c>
      <c r="AY46" s="1">
        <v>5.0</v>
      </c>
      <c r="BA46" s="1">
        <v>0.0</v>
      </c>
      <c r="BB46" s="1">
        <v>0.0</v>
      </c>
      <c r="BC46" s="1">
        <v>0.0</v>
      </c>
      <c r="BD46" s="1">
        <v>0.0</v>
      </c>
      <c r="BE46" s="1">
        <v>0.0</v>
      </c>
      <c r="BF46" s="1">
        <v>0.0</v>
      </c>
      <c r="BG46" s="1">
        <v>0.0</v>
      </c>
      <c r="BH46" s="1">
        <v>0.0</v>
      </c>
      <c r="BI46" s="1">
        <v>0.0</v>
      </c>
      <c r="BJ46" s="1">
        <v>0.0</v>
      </c>
      <c r="BP46" s="1">
        <v>0.257</v>
      </c>
      <c r="BQ46" s="1" t="s">
        <v>1017</v>
      </c>
      <c r="BV46" s="1">
        <v>1.1</v>
      </c>
      <c r="EQ46" s="9" t="s">
        <v>1177</v>
      </c>
      <c r="ER46" s="21">
        <v>46045.29773148148</v>
      </c>
    </row>
    <row r="47">
      <c r="A47" s="9" t="s">
        <v>1178</v>
      </c>
      <c r="B47" s="20" t="str">
        <f>IFERROR(__xludf.DUMMYFUNCTION("REGEXREPLACE(A47, ""^https?://[^/]+"", """")"),"/sales-leadership-training/")</f>
        <v>/sales-leadership-training/</v>
      </c>
      <c r="C47" s="1" t="s">
        <v>1179</v>
      </c>
      <c r="D47" s="1" t="s">
        <v>1180</v>
      </c>
      <c r="E47" s="1" t="s">
        <v>1181</v>
      </c>
      <c r="F47" s="1" t="s">
        <v>965</v>
      </c>
      <c r="G47" s="1">
        <v>200.0</v>
      </c>
      <c r="H47" s="1" t="s">
        <v>966</v>
      </c>
      <c r="I47" s="1" t="s">
        <v>967</v>
      </c>
      <c r="K47" s="1" t="s">
        <v>1182</v>
      </c>
      <c r="L47" s="1">
        <v>64.0</v>
      </c>
      <c r="M47" s="1">
        <v>598.0</v>
      </c>
      <c r="O47" s="1">
        <v>0.0</v>
      </c>
      <c r="P47" s="1">
        <v>0.0</v>
      </c>
      <c r="Q47" s="1" t="s">
        <v>1183</v>
      </c>
      <c r="R47" s="1">
        <v>129.0</v>
      </c>
      <c r="S47" s="1">
        <v>787.0</v>
      </c>
      <c r="U47" s="1">
        <v>0.0</v>
      </c>
      <c r="V47" s="1" t="s">
        <v>1179</v>
      </c>
      <c r="W47" s="1">
        <v>26.0</v>
      </c>
      <c r="Y47" s="1">
        <v>0.0</v>
      </c>
      <c r="Z47" s="1" t="s">
        <v>1180</v>
      </c>
      <c r="AA47" s="1">
        <v>23.0</v>
      </c>
      <c r="AB47" s="1" t="s">
        <v>1181</v>
      </c>
      <c r="AC47" s="1">
        <v>43.0</v>
      </c>
      <c r="AD47" s="1" t="s">
        <v>971</v>
      </c>
      <c r="AG47" s="9" t="s">
        <v>1178</v>
      </c>
      <c r="AM47" s="1">
        <v>240800.0</v>
      </c>
      <c r="AN47" s="1">
        <v>63284.0</v>
      </c>
      <c r="AO47" s="1">
        <v>63284.0</v>
      </c>
      <c r="AP47" s="1">
        <v>24.243</v>
      </c>
      <c r="AR47" s="1">
        <v>1628.0</v>
      </c>
      <c r="AS47" s="1">
        <v>250.0</v>
      </c>
      <c r="AT47" s="1">
        <v>6.512</v>
      </c>
      <c r="AU47" s="1">
        <v>60.698</v>
      </c>
      <c r="AV47" s="1" t="s">
        <v>990</v>
      </c>
      <c r="AW47" s="1">
        <v>6.292</v>
      </c>
      <c r="AX47" s="1">
        <v>1.0</v>
      </c>
      <c r="AY47" s="1">
        <v>1.0</v>
      </c>
      <c r="AZ47" s="1">
        <v>51.0</v>
      </c>
      <c r="BA47" s="1">
        <v>3106.0</v>
      </c>
      <c r="BB47" s="1">
        <v>754.0</v>
      </c>
      <c r="BC47" s="1">
        <v>0.0</v>
      </c>
      <c r="BD47" s="1">
        <v>100.0</v>
      </c>
      <c r="BE47" s="1">
        <v>136.0</v>
      </c>
      <c r="BF47" s="1">
        <v>45.0</v>
      </c>
      <c r="BG47" s="1">
        <v>0.0</v>
      </c>
      <c r="BH47" s="1">
        <v>23.0</v>
      </c>
      <c r="BI47" s="1">
        <v>12.0</v>
      </c>
      <c r="BJ47" s="1">
        <v>0.0</v>
      </c>
      <c r="BO47" s="1" t="s">
        <v>1184</v>
      </c>
      <c r="BP47" s="1">
        <v>0.994</v>
      </c>
      <c r="BU47" s="1" t="s">
        <v>974</v>
      </c>
      <c r="BV47" s="1">
        <v>1.1</v>
      </c>
      <c r="BW47" s="1">
        <v>42.0</v>
      </c>
      <c r="BX47" s="1">
        <v>4201.03</v>
      </c>
      <c r="BY47" s="1">
        <v>8231.943</v>
      </c>
      <c r="BZ47" s="1">
        <v>9902.073</v>
      </c>
      <c r="CA47" s="1">
        <v>19206.875</v>
      </c>
      <c r="CB47" s="1">
        <v>688.0</v>
      </c>
      <c r="CC47" s="1">
        <v>0.007</v>
      </c>
      <c r="CD47" s="1">
        <v>672773.0</v>
      </c>
      <c r="CE47" s="1">
        <v>750.0</v>
      </c>
      <c r="CF47" s="1">
        <v>176.0</v>
      </c>
      <c r="CG47" s="1">
        <v>3120971.0</v>
      </c>
      <c r="CH47" s="1">
        <v>61823.0</v>
      </c>
      <c r="CI47" s="1">
        <v>2.0</v>
      </c>
      <c r="CJ47" s="1">
        <v>771248.0</v>
      </c>
      <c r="CK47" s="1">
        <v>25.0</v>
      </c>
      <c r="CL47" s="1">
        <v>123807.0</v>
      </c>
      <c r="CM47" s="1">
        <v>42.0</v>
      </c>
      <c r="CN47" s="1">
        <v>1790075.0</v>
      </c>
      <c r="CO47" s="1">
        <v>71.0</v>
      </c>
      <c r="CP47" s="1">
        <v>348806.0</v>
      </c>
      <c r="CQ47" s="1">
        <v>6.0</v>
      </c>
      <c r="CR47" s="1">
        <v>0.0</v>
      </c>
      <c r="CS47" s="1">
        <v>0.0</v>
      </c>
      <c r="CT47" s="1">
        <v>25212.0</v>
      </c>
      <c r="CU47" s="1">
        <v>30.0</v>
      </c>
      <c r="CV47" s="1">
        <v>1504692.0</v>
      </c>
      <c r="CW47" s="1">
        <v>74.0</v>
      </c>
      <c r="DC47" s="1">
        <v>0.0</v>
      </c>
      <c r="DD47" s="1">
        <v>5074.0</v>
      </c>
      <c r="DE47" s="1">
        <v>0.0</v>
      </c>
      <c r="DF47" s="1">
        <v>3396.0</v>
      </c>
      <c r="DG47" s="1">
        <v>150.0</v>
      </c>
      <c r="DH47" s="1">
        <v>50562.0</v>
      </c>
      <c r="DI47" s="1">
        <v>600.0</v>
      </c>
      <c r="DJ47" s="1">
        <v>613741.0</v>
      </c>
      <c r="DK47" s="1">
        <v>2261.077</v>
      </c>
      <c r="DL47" s="1" t="s">
        <v>975</v>
      </c>
      <c r="DM47" s="1">
        <v>3964.045</v>
      </c>
      <c r="DN47" s="1" t="s">
        <v>975</v>
      </c>
      <c r="DO47" s="1">
        <v>3120857.0</v>
      </c>
      <c r="DP47" s="1">
        <v>1.0</v>
      </c>
      <c r="DQ47" s="1" t="s">
        <v>976</v>
      </c>
      <c r="DR47" s="1" t="s">
        <v>1185</v>
      </c>
      <c r="DS47" s="1" t="s">
        <v>978</v>
      </c>
      <c r="DU47" s="1" t="s">
        <v>994</v>
      </c>
      <c r="DV47" s="1">
        <v>13545.0</v>
      </c>
      <c r="DX47" s="1">
        <v>4140.0</v>
      </c>
      <c r="DY47" s="1">
        <v>945218.0</v>
      </c>
      <c r="DZ47" s="1" t="s">
        <v>981</v>
      </c>
      <c r="EA47" s="1">
        <v>1065.0</v>
      </c>
      <c r="EB47" s="1">
        <v>505125.0</v>
      </c>
      <c r="EC47" s="1">
        <v>42.0</v>
      </c>
      <c r="ED47" s="1">
        <v>26492.0</v>
      </c>
      <c r="EF47" s="1">
        <v>225.0</v>
      </c>
      <c r="EG47" s="1" t="s">
        <v>982</v>
      </c>
      <c r="EH47" s="1">
        <v>100.0</v>
      </c>
      <c r="EK47" s="1">
        <v>100.0</v>
      </c>
      <c r="EQ47" s="9" t="s">
        <v>1178</v>
      </c>
      <c r="ER47" s="21">
        <v>46045.29771990741</v>
      </c>
    </row>
    <row r="48">
      <c r="A48" s="9" t="s">
        <v>1186</v>
      </c>
      <c r="B48" s="20" t="str">
        <f>IFERROR(__xludf.DUMMYFUNCTION("REGEXREPLACE(A48, ""^https?://[^/]+"", """")"),"/wp-content/plugins/elementor/assets/css/conditionals/apple-webkit.min.css?ver=3.34.0")</f>
        <v>/wp-content/plugins/elementor/assets/css/conditionals/apple-webkit.min.css?ver=3.34.0</v>
      </c>
      <c r="F48" s="1" t="s">
        <v>1016</v>
      </c>
      <c r="G48" s="1">
        <v>200.0</v>
      </c>
      <c r="H48" s="1" t="s">
        <v>966</v>
      </c>
      <c r="I48" s="1" t="s">
        <v>967</v>
      </c>
      <c r="L48" s="1">
        <v>0.0</v>
      </c>
      <c r="M48" s="1">
        <v>0.0</v>
      </c>
      <c r="O48" s="1">
        <v>0.0</v>
      </c>
      <c r="P48" s="1">
        <v>0.0</v>
      </c>
      <c r="R48" s="1">
        <v>0.0</v>
      </c>
      <c r="S48" s="1">
        <v>0.0</v>
      </c>
      <c r="U48" s="1">
        <v>0.0</v>
      </c>
      <c r="W48" s="1">
        <v>0.0</v>
      </c>
      <c r="Y48" s="1">
        <v>0.0</v>
      </c>
      <c r="AA48" s="1">
        <v>0.0</v>
      </c>
      <c r="AC48" s="1">
        <v>0.0</v>
      </c>
      <c r="AM48" s="1">
        <v>547.0</v>
      </c>
      <c r="AN48" s="1">
        <v>547.0</v>
      </c>
      <c r="AO48" s="1">
        <v>547.0</v>
      </c>
      <c r="AP48" s="1">
        <v>0.21</v>
      </c>
      <c r="AR48" s="1">
        <v>0.0</v>
      </c>
      <c r="AW48" s="1">
        <v>0.0</v>
      </c>
      <c r="AX48" s="1">
        <v>1.0</v>
      </c>
      <c r="AY48" s="1">
        <v>6.0</v>
      </c>
      <c r="BA48" s="1">
        <v>0.0</v>
      </c>
      <c r="BB48" s="1">
        <v>0.0</v>
      </c>
      <c r="BC48" s="1">
        <v>0.0</v>
      </c>
      <c r="BD48" s="1">
        <v>0.0</v>
      </c>
      <c r="BE48" s="1">
        <v>0.0</v>
      </c>
      <c r="BF48" s="1">
        <v>0.0</v>
      </c>
      <c r="BG48" s="1">
        <v>0.0</v>
      </c>
      <c r="BH48" s="1">
        <v>0.0</v>
      </c>
      <c r="BI48" s="1">
        <v>0.0</v>
      </c>
      <c r="BJ48" s="1">
        <v>0.0</v>
      </c>
      <c r="BP48" s="1">
        <v>0.257</v>
      </c>
      <c r="BQ48" s="1" t="s">
        <v>1017</v>
      </c>
      <c r="BV48" s="1">
        <v>1.1</v>
      </c>
      <c r="EQ48" s="9" t="s">
        <v>1186</v>
      </c>
      <c r="ER48" s="21">
        <v>46045.29773148148</v>
      </c>
    </row>
    <row r="49">
      <c r="A49" s="9" t="s">
        <v>1187</v>
      </c>
      <c r="B49" s="20" t="str">
        <f>IFERROR(__xludf.DUMMYFUNCTION("REGEXREPLACE(A49, ""^https?://[^/]+"", """")"),"/html-sitemap/")</f>
        <v>/html-sitemap/</v>
      </c>
      <c r="C49" s="1" t="s">
        <v>1188</v>
      </c>
      <c r="F49" s="1" t="s">
        <v>965</v>
      </c>
      <c r="G49" s="1">
        <v>200.0</v>
      </c>
      <c r="H49" s="1" t="s">
        <v>966</v>
      </c>
      <c r="I49" s="1" t="s">
        <v>967</v>
      </c>
      <c r="K49" s="1" t="s">
        <v>1189</v>
      </c>
      <c r="L49" s="1">
        <v>32.0</v>
      </c>
      <c r="M49" s="1">
        <v>305.0</v>
      </c>
      <c r="O49" s="1">
        <v>0.0</v>
      </c>
      <c r="P49" s="1">
        <v>0.0</v>
      </c>
      <c r="Q49" s="1" t="s">
        <v>1190</v>
      </c>
      <c r="R49" s="1">
        <v>40.0</v>
      </c>
      <c r="S49" s="1">
        <v>255.0</v>
      </c>
      <c r="U49" s="1">
        <v>0.0</v>
      </c>
      <c r="V49" s="1" t="s">
        <v>1188</v>
      </c>
      <c r="W49" s="1">
        <v>12.0</v>
      </c>
      <c r="Y49" s="1">
        <v>0.0</v>
      </c>
      <c r="AA49" s="1">
        <v>0.0</v>
      </c>
      <c r="AC49" s="1">
        <v>0.0</v>
      </c>
      <c r="AD49" s="1" t="s">
        <v>971</v>
      </c>
      <c r="AG49" s="9" t="s">
        <v>1187</v>
      </c>
      <c r="AM49" s="1">
        <v>147949.0</v>
      </c>
      <c r="AN49" s="1">
        <v>28763.0</v>
      </c>
      <c r="AO49" s="1">
        <v>28763.0</v>
      </c>
      <c r="AP49" s="1">
        <v>11.019</v>
      </c>
      <c r="AR49" s="1">
        <v>602.0</v>
      </c>
      <c r="AS49" s="1">
        <v>111.0</v>
      </c>
      <c r="AT49" s="1">
        <v>5.423</v>
      </c>
      <c r="AU49" s="1">
        <v>60.939</v>
      </c>
      <c r="AV49" s="1" t="s">
        <v>990</v>
      </c>
      <c r="AW49" s="1">
        <v>4.12</v>
      </c>
      <c r="AX49" s="1">
        <v>1.0</v>
      </c>
      <c r="AY49" s="1">
        <v>1.0</v>
      </c>
      <c r="AZ49" s="1">
        <v>47.0</v>
      </c>
      <c r="BA49" s="1">
        <v>747.0</v>
      </c>
      <c r="BB49" s="1">
        <v>747.0</v>
      </c>
      <c r="BC49" s="1">
        <v>0.0</v>
      </c>
      <c r="BD49" s="1">
        <v>99.07</v>
      </c>
      <c r="BE49" s="1">
        <v>138.0</v>
      </c>
      <c r="BF49" s="1">
        <v>45.0</v>
      </c>
      <c r="BG49" s="1">
        <v>0.0</v>
      </c>
      <c r="BH49" s="1">
        <v>16.0</v>
      </c>
      <c r="BI49" s="1">
        <v>8.0</v>
      </c>
      <c r="BJ49" s="1">
        <v>0.0</v>
      </c>
      <c r="BO49" s="1" t="s">
        <v>1191</v>
      </c>
      <c r="BP49" s="1">
        <v>0.913</v>
      </c>
      <c r="BU49" s="1" t="s">
        <v>974</v>
      </c>
      <c r="BV49" s="1">
        <v>1.1</v>
      </c>
      <c r="BW49" s="1">
        <v>50.0</v>
      </c>
      <c r="BX49" s="1">
        <v>3751.027</v>
      </c>
      <c r="BY49" s="1">
        <v>7498.17</v>
      </c>
      <c r="BZ49" s="1">
        <v>11401.087</v>
      </c>
      <c r="CA49" s="1">
        <v>18102.33</v>
      </c>
      <c r="CB49" s="1">
        <v>416.5</v>
      </c>
      <c r="CC49" s="1">
        <v>0.0</v>
      </c>
      <c r="CD49" s="1">
        <v>652501.0</v>
      </c>
      <c r="CE49" s="1">
        <v>1200.0</v>
      </c>
      <c r="CF49" s="1">
        <v>160.0</v>
      </c>
      <c r="CG49" s="1">
        <v>2224501.0</v>
      </c>
      <c r="CH49" s="1">
        <v>30190.0</v>
      </c>
      <c r="CI49" s="1">
        <v>2.0</v>
      </c>
      <c r="CJ49" s="1">
        <v>66994.0</v>
      </c>
      <c r="CK49" s="1">
        <v>22.0</v>
      </c>
      <c r="CL49" s="1">
        <v>110646.0</v>
      </c>
      <c r="CM49" s="1">
        <v>36.0</v>
      </c>
      <c r="CN49" s="1">
        <v>1747401.0</v>
      </c>
      <c r="CO49" s="1">
        <v>67.0</v>
      </c>
      <c r="CP49" s="1">
        <v>244248.0</v>
      </c>
      <c r="CQ49" s="1">
        <v>5.0</v>
      </c>
      <c r="CR49" s="1">
        <v>0.0</v>
      </c>
      <c r="CS49" s="1">
        <v>0.0</v>
      </c>
      <c r="CT49" s="1">
        <v>25022.0</v>
      </c>
      <c r="CU49" s="1">
        <v>28.0</v>
      </c>
      <c r="CV49" s="1">
        <v>1504618.0</v>
      </c>
      <c r="CW49" s="1">
        <v>65.0</v>
      </c>
      <c r="DC49" s="1">
        <v>0.0</v>
      </c>
      <c r="DD49" s="1">
        <v>5075.0</v>
      </c>
      <c r="DE49" s="1">
        <v>0.0</v>
      </c>
      <c r="DF49" s="1">
        <v>3396.0</v>
      </c>
      <c r="DG49" s="1">
        <v>450.0</v>
      </c>
      <c r="DH49" s="1">
        <v>50541.0</v>
      </c>
      <c r="DI49" s="1">
        <v>750.0</v>
      </c>
      <c r="DJ49" s="1">
        <v>593489.0</v>
      </c>
      <c r="DK49" s="1">
        <v>1653.352</v>
      </c>
      <c r="DL49" s="1" t="s">
        <v>975</v>
      </c>
      <c r="DM49" s="1">
        <v>2958.322</v>
      </c>
      <c r="DN49" s="1" t="s">
        <v>975</v>
      </c>
      <c r="DO49" s="1">
        <v>2224419.0</v>
      </c>
      <c r="DP49" s="1">
        <v>1.0</v>
      </c>
      <c r="DQ49" s="1" t="s">
        <v>976</v>
      </c>
      <c r="DR49" s="1" t="s">
        <v>1085</v>
      </c>
      <c r="DS49" s="1" t="s">
        <v>978</v>
      </c>
      <c r="DU49" s="1" t="s">
        <v>994</v>
      </c>
      <c r="DV49" s="1">
        <v>12791.0</v>
      </c>
      <c r="DX49" s="1">
        <v>3978.0</v>
      </c>
      <c r="DY49" s="1">
        <v>599330.0</v>
      </c>
      <c r="DZ49" s="1" t="s">
        <v>981</v>
      </c>
      <c r="EA49" s="1">
        <v>792.0</v>
      </c>
      <c r="EB49" s="1">
        <v>31882.0</v>
      </c>
      <c r="EC49" s="1">
        <v>1.0</v>
      </c>
      <c r="ED49" s="1">
        <v>26492.0</v>
      </c>
      <c r="EF49" s="1">
        <v>215.0</v>
      </c>
      <c r="EG49" s="1" t="s">
        <v>982</v>
      </c>
      <c r="EH49" s="1">
        <v>100.0</v>
      </c>
      <c r="EK49" s="1">
        <v>100.0</v>
      </c>
      <c r="EQ49" s="9" t="s">
        <v>1187</v>
      </c>
      <c r="ER49" s="21">
        <v>46045.29773148148</v>
      </c>
    </row>
    <row r="50">
      <c r="A50" s="9" t="s">
        <v>1192</v>
      </c>
      <c r="B50" s="20" t="str">
        <f>IFERROR(__xludf.DUMMYFUNCTION("REGEXREPLACE(A50, ""^https?://[^/]+"", """")"),"/wp-content/plugins/powerpack-elements/assets/lib/tooltipster/tooltipster.min.js?ver=2.12.15")</f>
        <v>/wp-content/plugins/powerpack-elements/assets/lib/tooltipster/tooltipster.min.js?ver=2.12.15</v>
      </c>
      <c r="F50" s="1" t="s">
        <v>984</v>
      </c>
      <c r="G50" s="1">
        <v>200.0</v>
      </c>
      <c r="H50" s="1" t="s">
        <v>966</v>
      </c>
      <c r="I50" s="1" t="s">
        <v>967</v>
      </c>
      <c r="L50" s="1">
        <v>0.0</v>
      </c>
      <c r="M50" s="1">
        <v>0.0</v>
      </c>
      <c r="O50" s="1">
        <v>0.0</v>
      </c>
      <c r="P50" s="1">
        <v>0.0</v>
      </c>
      <c r="R50" s="1">
        <v>0.0</v>
      </c>
      <c r="S50" s="1">
        <v>0.0</v>
      </c>
      <c r="U50" s="1">
        <v>0.0</v>
      </c>
      <c r="W50" s="1">
        <v>0.0</v>
      </c>
      <c r="Y50" s="1">
        <v>0.0</v>
      </c>
      <c r="AA50" s="1">
        <v>0.0</v>
      </c>
      <c r="AC50" s="1">
        <v>0.0</v>
      </c>
      <c r="AM50" s="1">
        <v>9963.0</v>
      </c>
      <c r="AN50" s="1">
        <v>9963.0</v>
      </c>
      <c r="AO50" s="1">
        <v>9963.0</v>
      </c>
      <c r="AP50" s="1">
        <v>3.817</v>
      </c>
      <c r="AR50" s="1">
        <v>0.0</v>
      </c>
      <c r="AW50" s="1">
        <v>0.0</v>
      </c>
      <c r="AX50" s="1">
        <v>1.0</v>
      </c>
      <c r="AY50" s="1">
        <v>6.0</v>
      </c>
      <c r="BA50" s="1">
        <v>0.0</v>
      </c>
      <c r="BB50" s="1">
        <v>0.0</v>
      </c>
      <c r="BC50" s="1">
        <v>0.0</v>
      </c>
      <c r="BD50" s="1">
        <v>0.0</v>
      </c>
      <c r="BE50" s="1">
        <v>0.0</v>
      </c>
      <c r="BF50" s="1">
        <v>0.0</v>
      </c>
      <c r="BG50" s="1">
        <v>0.0</v>
      </c>
      <c r="BH50" s="1">
        <v>0.0</v>
      </c>
      <c r="BI50" s="1">
        <v>0.0</v>
      </c>
      <c r="BJ50" s="1">
        <v>0.0</v>
      </c>
      <c r="BP50" s="1">
        <v>0.274</v>
      </c>
      <c r="BQ50" s="1" t="s">
        <v>1193</v>
      </c>
      <c r="BV50" s="1">
        <v>1.1</v>
      </c>
      <c r="EQ50" s="9" t="s">
        <v>1192</v>
      </c>
      <c r="ER50" s="21">
        <v>46045.297743055555</v>
      </c>
    </row>
    <row r="51">
      <c r="A51" s="9" t="s">
        <v>1194</v>
      </c>
      <c r="B51" s="20" t="str">
        <f>IFERROR(__xludf.DUMMYFUNCTION("REGEXREPLACE(A51, ""^https?://[^/]+"", """")"),"/wp-content/uploads/elementor/css/post-40969.css?ver=1768845972")</f>
        <v>/wp-content/uploads/elementor/css/post-40969.css?ver=1768845972</v>
      </c>
      <c r="F51" s="1" t="s">
        <v>1016</v>
      </c>
      <c r="G51" s="1">
        <v>200.0</v>
      </c>
      <c r="H51" s="1" t="s">
        <v>966</v>
      </c>
      <c r="I51" s="1" t="s">
        <v>967</v>
      </c>
      <c r="L51" s="1">
        <v>0.0</v>
      </c>
      <c r="M51" s="1">
        <v>0.0</v>
      </c>
      <c r="O51" s="1">
        <v>0.0</v>
      </c>
      <c r="P51" s="1">
        <v>0.0</v>
      </c>
      <c r="R51" s="1">
        <v>0.0</v>
      </c>
      <c r="S51" s="1">
        <v>0.0</v>
      </c>
      <c r="U51" s="1">
        <v>0.0</v>
      </c>
      <c r="W51" s="1">
        <v>0.0</v>
      </c>
      <c r="Y51" s="1">
        <v>0.0</v>
      </c>
      <c r="AA51" s="1">
        <v>0.0</v>
      </c>
      <c r="AC51" s="1">
        <v>0.0</v>
      </c>
      <c r="AM51" s="1">
        <v>287.0</v>
      </c>
      <c r="AN51" s="1">
        <v>287.0</v>
      </c>
      <c r="AO51" s="1">
        <v>287.0</v>
      </c>
      <c r="AP51" s="1">
        <v>0.11</v>
      </c>
      <c r="AR51" s="1">
        <v>0.0</v>
      </c>
      <c r="AW51" s="1">
        <v>0.0</v>
      </c>
      <c r="AX51" s="1">
        <v>1.0</v>
      </c>
      <c r="AY51" s="1">
        <v>4.0</v>
      </c>
      <c r="BA51" s="1">
        <v>0.0</v>
      </c>
      <c r="BB51" s="1">
        <v>0.0</v>
      </c>
      <c r="BC51" s="1">
        <v>0.0</v>
      </c>
      <c r="BD51" s="1">
        <v>0.0</v>
      </c>
      <c r="BE51" s="1">
        <v>0.0</v>
      </c>
      <c r="BF51" s="1">
        <v>0.0</v>
      </c>
      <c r="BG51" s="1">
        <v>0.0</v>
      </c>
      <c r="BH51" s="1">
        <v>0.0</v>
      </c>
      <c r="BI51" s="1">
        <v>0.0</v>
      </c>
      <c r="BJ51" s="1">
        <v>0.0</v>
      </c>
      <c r="BP51" s="1">
        <v>0.261</v>
      </c>
      <c r="BQ51" s="1" t="s">
        <v>1195</v>
      </c>
      <c r="BV51" s="1">
        <v>1.1</v>
      </c>
      <c r="EQ51" s="9" t="s">
        <v>1194</v>
      </c>
      <c r="ER51" s="21">
        <v>46045.297743055555</v>
      </c>
    </row>
    <row r="52">
      <c r="A52" s="9" t="s">
        <v>1196</v>
      </c>
      <c r="B52" s="20" t="str">
        <f>IFERROR(__xludf.DUMMYFUNCTION("REGEXREPLACE(A52, ""^https?://[^/]+"", """")"),"/wp-content/plugins/elementor/assets/css/widget-icon-list.min.css?ver=3.34.0")</f>
        <v>/wp-content/plugins/elementor/assets/css/widget-icon-list.min.css?ver=3.34.0</v>
      </c>
      <c r="F52" s="1" t="s">
        <v>1016</v>
      </c>
      <c r="G52" s="1">
        <v>200.0</v>
      </c>
      <c r="H52" s="1" t="s">
        <v>966</v>
      </c>
      <c r="I52" s="1" t="s">
        <v>967</v>
      </c>
      <c r="L52" s="1">
        <v>0.0</v>
      </c>
      <c r="M52" s="1">
        <v>0.0</v>
      </c>
      <c r="O52" s="1">
        <v>0.0</v>
      </c>
      <c r="P52" s="1">
        <v>0.0</v>
      </c>
      <c r="R52" s="1">
        <v>0.0</v>
      </c>
      <c r="S52" s="1">
        <v>0.0</v>
      </c>
      <c r="U52" s="1">
        <v>0.0</v>
      </c>
      <c r="W52" s="1">
        <v>0.0</v>
      </c>
      <c r="Y52" s="1">
        <v>0.0</v>
      </c>
      <c r="AA52" s="1">
        <v>0.0</v>
      </c>
      <c r="AC52" s="1">
        <v>0.0</v>
      </c>
      <c r="AM52" s="1">
        <v>1023.0</v>
      </c>
      <c r="AN52" s="1">
        <v>1023.0</v>
      </c>
      <c r="AO52" s="1">
        <v>1023.0</v>
      </c>
      <c r="AP52" s="1">
        <v>0.392</v>
      </c>
      <c r="AR52" s="1">
        <v>0.0</v>
      </c>
      <c r="AW52" s="1">
        <v>0.0</v>
      </c>
      <c r="AX52" s="1">
        <v>1.0</v>
      </c>
      <c r="AY52" s="1">
        <v>5.0</v>
      </c>
      <c r="BA52" s="1">
        <v>0.0</v>
      </c>
      <c r="BB52" s="1">
        <v>0.0</v>
      </c>
      <c r="BC52" s="1">
        <v>0.0</v>
      </c>
      <c r="BD52" s="1">
        <v>0.0</v>
      </c>
      <c r="BE52" s="1">
        <v>0.0</v>
      </c>
      <c r="BF52" s="1">
        <v>0.0</v>
      </c>
      <c r="BG52" s="1">
        <v>0.0</v>
      </c>
      <c r="BH52" s="1">
        <v>0.0</v>
      </c>
      <c r="BI52" s="1">
        <v>0.0</v>
      </c>
      <c r="BJ52" s="1">
        <v>0.0</v>
      </c>
      <c r="BP52" s="1">
        <v>0.276</v>
      </c>
      <c r="BQ52" s="1" t="s">
        <v>1017</v>
      </c>
      <c r="BV52" s="1">
        <v>1.1</v>
      </c>
      <c r="EQ52" s="9" t="s">
        <v>1196</v>
      </c>
      <c r="ER52" s="21">
        <v>46045.297743055555</v>
      </c>
    </row>
    <row r="53">
      <c r="A53" s="9" t="s">
        <v>1197</v>
      </c>
      <c r="B53" s="20" t="str">
        <f>IFERROR(__xludf.DUMMYFUNCTION("REGEXREPLACE(A53, ""^https?://[^/]+"", """")"),"/wp-content/plugins/elementor/assets/js/frontend-modules.min.js?ver=3.34.0")</f>
        <v>/wp-content/plugins/elementor/assets/js/frontend-modules.min.js?ver=3.34.0</v>
      </c>
      <c r="F53" s="1" t="s">
        <v>984</v>
      </c>
      <c r="G53" s="1">
        <v>200.0</v>
      </c>
      <c r="H53" s="1" t="s">
        <v>966</v>
      </c>
      <c r="I53" s="1" t="s">
        <v>967</v>
      </c>
      <c r="L53" s="1">
        <v>0.0</v>
      </c>
      <c r="M53" s="1">
        <v>0.0</v>
      </c>
      <c r="O53" s="1">
        <v>0.0</v>
      </c>
      <c r="P53" s="1">
        <v>0.0</v>
      </c>
      <c r="R53" s="1">
        <v>0.0</v>
      </c>
      <c r="S53" s="1">
        <v>0.0</v>
      </c>
      <c r="U53" s="1">
        <v>0.0</v>
      </c>
      <c r="W53" s="1">
        <v>0.0</v>
      </c>
      <c r="Y53" s="1">
        <v>0.0</v>
      </c>
      <c r="AA53" s="1">
        <v>0.0</v>
      </c>
      <c r="AC53" s="1">
        <v>0.0</v>
      </c>
      <c r="AM53" s="1">
        <v>25657.0</v>
      </c>
      <c r="AN53" s="1">
        <v>25657.0</v>
      </c>
      <c r="AO53" s="1">
        <v>25657.0</v>
      </c>
      <c r="AP53" s="1">
        <v>9.829</v>
      </c>
      <c r="AR53" s="1">
        <v>0.0</v>
      </c>
      <c r="AW53" s="1">
        <v>0.0</v>
      </c>
      <c r="AX53" s="1">
        <v>1.0</v>
      </c>
      <c r="AY53" s="1">
        <v>5.0</v>
      </c>
      <c r="BA53" s="1">
        <v>0.0</v>
      </c>
      <c r="BB53" s="1">
        <v>0.0</v>
      </c>
      <c r="BC53" s="1">
        <v>0.0</v>
      </c>
      <c r="BD53" s="1">
        <v>0.0</v>
      </c>
      <c r="BE53" s="1">
        <v>0.0</v>
      </c>
      <c r="BF53" s="1">
        <v>0.0</v>
      </c>
      <c r="BG53" s="1">
        <v>0.0</v>
      </c>
      <c r="BH53" s="1">
        <v>0.0</v>
      </c>
      <c r="BI53" s="1">
        <v>0.0</v>
      </c>
      <c r="BJ53" s="1">
        <v>0.0</v>
      </c>
      <c r="BP53" s="1">
        <v>0.446</v>
      </c>
      <c r="BQ53" s="1" t="s">
        <v>1017</v>
      </c>
      <c r="BV53" s="1">
        <v>1.1</v>
      </c>
      <c r="EQ53" s="9" t="s">
        <v>1197</v>
      </c>
      <c r="ER53" s="21">
        <v>46045.297743055555</v>
      </c>
    </row>
    <row r="54">
      <c r="A54" s="9" t="s">
        <v>99</v>
      </c>
      <c r="B54" s="20" t="str">
        <f>IFERROR(__xludf.DUMMYFUNCTION("REGEXREPLACE(A54, ""^https?://[^/]+"", """")"),"/sales-management/")</f>
        <v>/sales-management/</v>
      </c>
      <c r="C54" s="1" t="s">
        <v>1198</v>
      </c>
      <c r="D54" s="1" t="s">
        <v>1199</v>
      </c>
      <c r="E54" s="1" t="s">
        <v>1200</v>
      </c>
      <c r="F54" s="1" t="s">
        <v>965</v>
      </c>
      <c r="G54" s="1">
        <v>200.0</v>
      </c>
      <c r="H54" s="1" t="s">
        <v>966</v>
      </c>
      <c r="I54" s="1" t="s">
        <v>967</v>
      </c>
      <c r="K54" s="1" t="s">
        <v>1201</v>
      </c>
      <c r="L54" s="1">
        <v>47.0</v>
      </c>
      <c r="M54" s="1">
        <v>444.0</v>
      </c>
      <c r="O54" s="1">
        <v>0.0</v>
      </c>
      <c r="P54" s="1">
        <v>0.0</v>
      </c>
      <c r="Q54" s="1" t="s">
        <v>1202</v>
      </c>
      <c r="R54" s="1">
        <v>210.0</v>
      </c>
      <c r="S54" s="1">
        <v>1320.0</v>
      </c>
      <c r="U54" s="1">
        <v>0.0</v>
      </c>
      <c r="V54" s="1" t="s">
        <v>1198</v>
      </c>
      <c r="W54" s="1">
        <v>36.0</v>
      </c>
      <c r="Y54" s="1">
        <v>0.0</v>
      </c>
      <c r="Z54" s="1" t="s">
        <v>1199</v>
      </c>
      <c r="AA54" s="1">
        <v>42.0</v>
      </c>
      <c r="AB54" s="1" t="s">
        <v>1200</v>
      </c>
      <c r="AC54" s="1">
        <v>31.0</v>
      </c>
      <c r="AD54" s="1" t="s">
        <v>971</v>
      </c>
      <c r="AG54" s="9" t="s">
        <v>99</v>
      </c>
      <c r="AM54" s="1">
        <v>585861.0</v>
      </c>
      <c r="AN54" s="1">
        <v>166130.0</v>
      </c>
      <c r="AO54" s="1">
        <v>166130.0</v>
      </c>
      <c r="AP54" s="1">
        <v>63.641</v>
      </c>
      <c r="AR54" s="1">
        <v>1546.0</v>
      </c>
      <c r="AS54" s="1">
        <v>268.0</v>
      </c>
      <c r="AT54" s="1">
        <v>5.769</v>
      </c>
      <c r="AU54" s="1">
        <v>53.231</v>
      </c>
      <c r="AV54" s="1" t="s">
        <v>972</v>
      </c>
      <c r="AW54" s="1">
        <v>2.418</v>
      </c>
      <c r="AX54" s="1">
        <v>1.0</v>
      </c>
      <c r="AY54" s="1">
        <v>1.0</v>
      </c>
      <c r="AZ54" s="1">
        <v>51.0</v>
      </c>
      <c r="BA54" s="1">
        <v>2375.0</v>
      </c>
      <c r="BB54" s="1">
        <v>754.0</v>
      </c>
      <c r="BC54" s="1">
        <v>0.0</v>
      </c>
      <c r="BD54" s="1">
        <v>100.0</v>
      </c>
      <c r="BE54" s="1">
        <v>137.0</v>
      </c>
      <c r="BF54" s="1">
        <v>49.0</v>
      </c>
      <c r="BG54" s="1">
        <v>0.0</v>
      </c>
      <c r="BH54" s="1">
        <v>16.0</v>
      </c>
      <c r="BI54" s="1">
        <v>8.0</v>
      </c>
      <c r="BJ54" s="1">
        <v>0.0</v>
      </c>
      <c r="BO54" s="1" t="s">
        <v>1203</v>
      </c>
      <c r="BP54" s="1">
        <v>1.173</v>
      </c>
      <c r="BU54" s="1" t="s">
        <v>974</v>
      </c>
      <c r="BV54" s="1">
        <v>1.1</v>
      </c>
      <c r="BW54" s="1">
        <v>51.0</v>
      </c>
      <c r="BX54" s="1">
        <v>4051.007</v>
      </c>
      <c r="BY54" s="1">
        <v>7778.126</v>
      </c>
      <c r="BZ54" s="1">
        <v>10202.019</v>
      </c>
      <c r="CA54" s="1">
        <v>19152.818</v>
      </c>
      <c r="CB54" s="1">
        <v>360.0</v>
      </c>
      <c r="CC54" s="1">
        <v>0.0</v>
      </c>
      <c r="CD54" s="1">
        <v>662955.0</v>
      </c>
      <c r="CE54" s="1">
        <v>750.0</v>
      </c>
      <c r="CF54" s="1">
        <v>178.0</v>
      </c>
      <c r="CG54" s="1">
        <v>3231240.0</v>
      </c>
      <c r="CH54" s="1">
        <v>156481.0</v>
      </c>
      <c r="CI54" s="1">
        <v>2.0</v>
      </c>
      <c r="CJ54" s="1">
        <v>762844.0</v>
      </c>
      <c r="CK54" s="1">
        <v>25.0</v>
      </c>
      <c r="CL54" s="1">
        <v>124351.0</v>
      </c>
      <c r="CM54" s="1">
        <v>43.0</v>
      </c>
      <c r="CN54" s="1">
        <v>1791600.0</v>
      </c>
      <c r="CO54" s="1">
        <v>71.0</v>
      </c>
      <c r="CP54" s="1">
        <v>370754.0</v>
      </c>
      <c r="CQ54" s="1">
        <v>7.0</v>
      </c>
      <c r="CR54" s="1">
        <v>0.0</v>
      </c>
      <c r="CS54" s="1">
        <v>0.0</v>
      </c>
      <c r="CT54" s="1">
        <v>25210.0</v>
      </c>
      <c r="CU54" s="1">
        <v>30.0</v>
      </c>
      <c r="CV54" s="1">
        <v>1526022.0</v>
      </c>
      <c r="CW54" s="1">
        <v>76.0</v>
      </c>
      <c r="DC54" s="1">
        <v>0.0</v>
      </c>
      <c r="DD54" s="1">
        <v>5075.0</v>
      </c>
      <c r="DE54" s="1">
        <v>0.0</v>
      </c>
      <c r="DF54" s="1">
        <v>3396.0</v>
      </c>
      <c r="DG54" s="1">
        <v>150.0</v>
      </c>
      <c r="DH54" s="1">
        <v>40154.0</v>
      </c>
      <c r="DI54" s="1">
        <v>600.0</v>
      </c>
      <c r="DJ54" s="1">
        <v>614330.0</v>
      </c>
      <c r="DK54" s="1">
        <v>1684.416</v>
      </c>
      <c r="DL54" s="1" t="s">
        <v>975</v>
      </c>
      <c r="DM54" s="1">
        <v>3301.812</v>
      </c>
      <c r="DN54" s="1" t="s">
        <v>975</v>
      </c>
      <c r="DO54" s="1">
        <v>3231241.0</v>
      </c>
      <c r="DP54" s="1">
        <v>1.0</v>
      </c>
      <c r="DQ54" s="1" t="s">
        <v>976</v>
      </c>
      <c r="DR54" s="1" t="s">
        <v>1204</v>
      </c>
      <c r="DS54" s="1" t="s">
        <v>978</v>
      </c>
      <c r="DU54" s="1" t="s">
        <v>994</v>
      </c>
      <c r="DV54" s="1">
        <v>13575.0</v>
      </c>
      <c r="DX54" s="1">
        <v>4355.0</v>
      </c>
      <c r="DY54" s="1">
        <v>942937.0</v>
      </c>
      <c r="DZ54" s="1" t="s">
        <v>981</v>
      </c>
      <c r="EA54" s="1">
        <v>1845.0</v>
      </c>
      <c r="EB54" s="1">
        <v>499109.0</v>
      </c>
      <c r="EC54" s="1">
        <v>22.0</v>
      </c>
      <c r="ED54" s="1">
        <v>26492.0</v>
      </c>
      <c r="EF54" s="1">
        <v>370.0</v>
      </c>
      <c r="EG54" s="1" t="s">
        <v>982</v>
      </c>
      <c r="EH54" s="1">
        <v>100.0</v>
      </c>
      <c r="EK54" s="1">
        <v>100.0</v>
      </c>
      <c r="EQ54" s="9" t="s">
        <v>99</v>
      </c>
      <c r="ER54" s="21">
        <v>46045.29771990741</v>
      </c>
    </row>
    <row r="55">
      <c r="A55" s="9" t="s">
        <v>1205</v>
      </c>
      <c r="B55" s="20" t="str">
        <f>IFERROR(__xludf.DUMMYFUNCTION("REGEXREPLACE(A55, ""^https?://[^/]+"", """")"),"/ebooks/")</f>
        <v>/ebooks/</v>
      </c>
      <c r="C55" s="1" t="s">
        <v>1206</v>
      </c>
      <c r="D55" s="1" t="s">
        <v>1207</v>
      </c>
      <c r="E55" s="1" t="s">
        <v>1208</v>
      </c>
      <c r="F55" s="1" t="s">
        <v>965</v>
      </c>
      <c r="G55" s="1">
        <v>200.0</v>
      </c>
      <c r="H55" s="1" t="s">
        <v>966</v>
      </c>
      <c r="I55" s="1" t="s">
        <v>967</v>
      </c>
      <c r="K55" s="1" t="s">
        <v>1209</v>
      </c>
      <c r="L55" s="1">
        <v>41.0</v>
      </c>
      <c r="M55" s="1">
        <v>376.0</v>
      </c>
      <c r="O55" s="1">
        <v>0.0</v>
      </c>
      <c r="P55" s="1">
        <v>0.0</v>
      </c>
      <c r="Q55" s="1" t="s">
        <v>1210</v>
      </c>
      <c r="R55" s="1">
        <v>145.0</v>
      </c>
      <c r="S55" s="1">
        <v>911.0</v>
      </c>
      <c r="U55" s="1">
        <v>0.0</v>
      </c>
      <c r="V55" s="1" t="s">
        <v>1206</v>
      </c>
      <c r="W55" s="1">
        <v>44.0</v>
      </c>
      <c r="Y55" s="1">
        <v>0.0</v>
      </c>
      <c r="Z55" s="1" t="s">
        <v>1207</v>
      </c>
      <c r="AA55" s="1">
        <v>27.0</v>
      </c>
      <c r="AB55" s="1" t="s">
        <v>1208</v>
      </c>
      <c r="AC55" s="1">
        <v>42.0</v>
      </c>
      <c r="AD55" s="1" t="s">
        <v>971</v>
      </c>
      <c r="AG55" s="9" t="s">
        <v>1205</v>
      </c>
      <c r="AM55" s="1">
        <v>200744.0</v>
      </c>
      <c r="AN55" s="1">
        <v>32649.0</v>
      </c>
      <c r="AO55" s="1">
        <v>32649.0</v>
      </c>
      <c r="AP55" s="1">
        <v>12.507</v>
      </c>
      <c r="AR55" s="1">
        <v>871.0</v>
      </c>
      <c r="AS55" s="1">
        <v>143.0</v>
      </c>
      <c r="AT55" s="1">
        <v>6.091</v>
      </c>
      <c r="AU55" s="1">
        <v>58.552</v>
      </c>
      <c r="AV55" s="1" t="s">
        <v>972</v>
      </c>
      <c r="AW55" s="1">
        <v>3.903</v>
      </c>
      <c r="AX55" s="1">
        <v>1.0</v>
      </c>
      <c r="AY55" s="1">
        <v>1.0</v>
      </c>
      <c r="AZ55" s="1">
        <v>52.0</v>
      </c>
      <c r="BA55" s="1">
        <v>2263.0</v>
      </c>
      <c r="BB55" s="1">
        <v>754.0</v>
      </c>
      <c r="BC55" s="1">
        <v>0.0</v>
      </c>
      <c r="BD55" s="1">
        <v>100.0</v>
      </c>
      <c r="BE55" s="1">
        <v>132.0</v>
      </c>
      <c r="BF55" s="1">
        <v>52.0</v>
      </c>
      <c r="BG55" s="1">
        <v>0.0</v>
      </c>
      <c r="BH55" s="1">
        <v>16.0</v>
      </c>
      <c r="BI55" s="1">
        <v>8.0</v>
      </c>
      <c r="BJ55" s="1">
        <v>0.0</v>
      </c>
      <c r="BO55" s="1" t="s">
        <v>1211</v>
      </c>
      <c r="BP55" s="1">
        <v>0.986</v>
      </c>
      <c r="BU55" s="1" t="s">
        <v>974</v>
      </c>
      <c r="BV55" s="1">
        <v>1.1</v>
      </c>
      <c r="BW55" s="1">
        <v>59.0</v>
      </c>
      <c r="BX55" s="1">
        <v>4051.039</v>
      </c>
      <c r="BY55" s="1">
        <v>6550.963</v>
      </c>
      <c r="BZ55" s="1">
        <v>8701.088</v>
      </c>
      <c r="CA55" s="1">
        <v>18921.574</v>
      </c>
      <c r="CB55" s="1">
        <v>155.5</v>
      </c>
      <c r="CC55" s="1">
        <v>0.0</v>
      </c>
      <c r="CD55" s="1">
        <v>653150.0</v>
      </c>
      <c r="CE55" s="1">
        <v>1200.0</v>
      </c>
      <c r="CF55" s="1">
        <v>163.0</v>
      </c>
      <c r="CG55" s="1">
        <v>2419614.0</v>
      </c>
      <c r="CH55" s="1">
        <v>34028.0</v>
      </c>
      <c r="CI55" s="1">
        <v>2.0</v>
      </c>
      <c r="CJ55" s="1">
        <v>168226.0</v>
      </c>
      <c r="CK55" s="1">
        <v>21.0</v>
      </c>
      <c r="CL55" s="1">
        <v>114816.0</v>
      </c>
      <c r="CM55" s="1">
        <v>37.0</v>
      </c>
      <c r="CN55" s="1">
        <v>1748054.0</v>
      </c>
      <c r="CO55" s="1">
        <v>68.0</v>
      </c>
      <c r="CP55" s="1">
        <v>329251.0</v>
      </c>
      <c r="CQ55" s="1">
        <v>7.0</v>
      </c>
      <c r="CR55" s="1">
        <v>0.0</v>
      </c>
      <c r="CS55" s="1">
        <v>0.0</v>
      </c>
      <c r="CT55" s="1">
        <v>25239.0</v>
      </c>
      <c r="CU55" s="1">
        <v>28.0</v>
      </c>
      <c r="CV55" s="1">
        <v>1504898.0</v>
      </c>
      <c r="CW55" s="1">
        <v>67.0</v>
      </c>
      <c r="DC55" s="1">
        <v>0.0</v>
      </c>
      <c r="DD55" s="1">
        <v>5075.0</v>
      </c>
      <c r="DE55" s="1">
        <v>0.0</v>
      </c>
      <c r="DF55" s="1">
        <v>3396.0</v>
      </c>
      <c r="DG55" s="1">
        <v>150.0</v>
      </c>
      <c r="DH55" s="1">
        <v>50573.0</v>
      </c>
      <c r="DI55" s="1">
        <v>1050.0</v>
      </c>
      <c r="DJ55" s="1">
        <v>594106.0</v>
      </c>
      <c r="DK55" s="1">
        <v>1016.389</v>
      </c>
      <c r="DL55" s="1" t="s">
        <v>992</v>
      </c>
      <c r="DM55" s="1">
        <v>1885.619</v>
      </c>
      <c r="DN55" s="1" t="s">
        <v>992</v>
      </c>
      <c r="DO55" s="1">
        <v>2419250.0</v>
      </c>
      <c r="DP55" s="1">
        <v>1.0</v>
      </c>
      <c r="DQ55" s="1" t="s">
        <v>976</v>
      </c>
      <c r="DR55" s="1" t="s">
        <v>1115</v>
      </c>
      <c r="DS55" s="1" t="s">
        <v>978</v>
      </c>
      <c r="DT55" s="1" t="s">
        <v>979</v>
      </c>
      <c r="DU55" s="1" t="s">
        <v>980</v>
      </c>
      <c r="DV55" s="1">
        <v>12970.0</v>
      </c>
      <c r="DX55" s="1">
        <v>3070.0</v>
      </c>
      <c r="DY55" s="1">
        <v>675643.0</v>
      </c>
      <c r="EA55" s="1">
        <v>986.0</v>
      </c>
      <c r="EB55" s="1">
        <v>4453.0</v>
      </c>
      <c r="EC55" s="1">
        <v>0.0</v>
      </c>
      <c r="ED55" s="1">
        <v>26492.0</v>
      </c>
      <c r="EF55" s="1">
        <v>235.0</v>
      </c>
      <c r="EG55" s="1" t="s">
        <v>982</v>
      </c>
      <c r="EH55" s="1">
        <v>100.0</v>
      </c>
      <c r="EK55" s="1">
        <v>100.0</v>
      </c>
      <c r="EQ55" s="9" t="s">
        <v>1205</v>
      </c>
      <c r="ER55" s="21">
        <v>46045.29773148148</v>
      </c>
    </row>
    <row r="56">
      <c r="A56" s="9" t="s">
        <v>93</v>
      </c>
      <c r="B56" s="20" t="str">
        <f>IFERROR(__xludf.DUMMYFUNCTION("REGEXREPLACE(A56, ""^https?://[^/]+"", """")"),"/industries/technology/")</f>
        <v>/industries/technology/</v>
      </c>
      <c r="C56" s="1" t="s">
        <v>1212</v>
      </c>
      <c r="D56" s="1" t="s">
        <v>1070</v>
      </c>
      <c r="E56" s="1" t="s">
        <v>1213</v>
      </c>
      <c r="F56" s="1" t="s">
        <v>965</v>
      </c>
      <c r="G56" s="1">
        <v>200.0</v>
      </c>
      <c r="H56" s="1" t="s">
        <v>966</v>
      </c>
      <c r="I56" s="1" t="s">
        <v>1214</v>
      </c>
      <c r="J56" s="1" t="s">
        <v>1215</v>
      </c>
      <c r="K56" s="1" t="s">
        <v>1216</v>
      </c>
      <c r="L56" s="1">
        <v>87.0</v>
      </c>
      <c r="M56" s="1">
        <v>774.0</v>
      </c>
      <c r="N56" s="1" t="s">
        <v>1073</v>
      </c>
      <c r="O56" s="1">
        <v>29.0</v>
      </c>
      <c r="P56" s="1">
        <v>261.0</v>
      </c>
      <c r="Q56" s="1" t="s">
        <v>1217</v>
      </c>
      <c r="R56" s="1">
        <v>140.0</v>
      </c>
      <c r="S56" s="1">
        <v>883.0</v>
      </c>
      <c r="U56" s="1">
        <v>0.0</v>
      </c>
      <c r="V56" s="1" t="s">
        <v>1212</v>
      </c>
      <c r="W56" s="1">
        <v>46.0</v>
      </c>
      <c r="Y56" s="1">
        <v>0.0</v>
      </c>
      <c r="Z56" s="1" t="s">
        <v>1070</v>
      </c>
      <c r="AA56" s="1">
        <v>36.0</v>
      </c>
      <c r="AB56" s="1" t="s">
        <v>1213</v>
      </c>
      <c r="AC56" s="1">
        <v>38.0</v>
      </c>
      <c r="AD56" s="1" t="s">
        <v>971</v>
      </c>
      <c r="AG56" s="9" t="s">
        <v>1218</v>
      </c>
      <c r="AM56" s="1">
        <v>276692.0</v>
      </c>
      <c r="AN56" s="1">
        <v>87189.0</v>
      </c>
      <c r="AO56" s="1">
        <v>87189.0</v>
      </c>
      <c r="AP56" s="1">
        <v>33.4</v>
      </c>
      <c r="AR56" s="1">
        <v>1623.0</v>
      </c>
      <c r="AS56" s="1">
        <v>270.0</v>
      </c>
      <c r="AT56" s="1">
        <v>6.011</v>
      </c>
      <c r="AU56" s="1">
        <v>54.156</v>
      </c>
      <c r="AV56" s="1" t="s">
        <v>972</v>
      </c>
      <c r="AW56" s="1">
        <v>6.535</v>
      </c>
      <c r="AX56" s="1">
        <v>1.0</v>
      </c>
      <c r="AY56" s="1">
        <v>2.0</v>
      </c>
      <c r="BA56" s="1">
        <v>2250.0</v>
      </c>
      <c r="BB56" s="1">
        <v>754.0</v>
      </c>
      <c r="BC56" s="1">
        <v>0.0</v>
      </c>
      <c r="BD56" s="1">
        <v>100.0</v>
      </c>
      <c r="BE56" s="1">
        <v>131.0</v>
      </c>
      <c r="BF56" s="1">
        <v>46.0</v>
      </c>
      <c r="BG56" s="1">
        <v>0.0</v>
      </c>
      <c r="BH56" s="1">
        <v>16.0</v>
      </c>
      <c r="BI56" s="1">
        <v>8.0</v>
      </c>
      <c r="BJ56" s="1">
        <v>0.0</v>
      </c>
      <c r="BO56" s="1" t="s">
        <v>1219</v>
      </c>
      <c r="BP56" s="1">
        <v>1.048</v>
      </c>
      <c r="BU56" s="1" t="s">
        <v>974</v>
      </c>
      <c r="BV56" s="1">
        <v>1.1</v>
      </c>
      <c r="BW56" s="1">
        <v>53.0</v>
      </c>
      <c r="BX56" s="1">
        <v>4201.009</v>
      </c>
      <c r="BY56" s="1">
        <v>8812.093</v>
      </c>
      <c r="BZ56" s="1">
        <v>9752.021</v>
      </c>
      <c r="CA56" s="1">
        <v>19673.188</v>
      </c>
      <c r="CB56" s="1">
        <v>274.5</v>
      </c>
      <c r="CC56" s="1">
        <v>0.006</v>
      </c>
      <c r="CD56" s="1">
        <v>672445.0</v>
      </c>
      <c r="CE56" s="1">
        <v>900.0</v>
      </c>
      <c r="CF56" s="1">
        <v>179.0</v>
      </c>
      <c r="CG56" s="1">
        <v>3185469.0</v>
      </c>
      <c r="CH56" s="1">
        <v>85236.0</v>
      </c>
      <c r="CI56" s="1">
        <v>2.0</v>
      </c>
      <c r="CJ56" s="1">
        <v>762839.0</v>
      </c>
      <c r="CK56" s="1">
        <v>25.0</v>
      </c>
      <c r="CL56" s="1">
        <v>128104.0</v>
      </c>
      <c r="CM56" s="1">
        <v>45.0</v>
      </c>
      <c r="CN56" s="1">
        <v>1791361.0</v>
      </c>
      <c r="CO56" s="1">
        <v>71.0</v>
      </c>
      <c r="CP56" s="1">
        <v>392582.0</v>
      </c>
      <c r="CQ56" s="1">
        <v>7.0</v>
      </c>
      <c r="CR56" s="1">
        <v>0.0</v>
      </c>
      <c r="CS56" s="1">
        <v>0.0</v>
      </c>
      <c r="CT56" s="1">
        <v>25347.0</v>
      </c>
      <c r="CU56" s="1">
        <v>29.0</v>
      </c>
      <c r="CV56" s="1">
        <v>1550978.0</v>
      </c>
      <c r="CW56" s="1">
        <v>76.0</v>
      </c>
      <c r="DC56" s="1">
        <v>0.0</v>
      </c>
      <c r="DD56" s="1">
        <v>5075.0</v>
      </c>
      <c r="DE56" s="1">
        <v>0.0</v>
      </c>
      <c r="DF56" s="1">
        <v>3397.0</v>
      </c>
      <c r="DG56" s="1">
        <v>300.0</v>
      </c>
      <c r="DH56" s="1">
        <v>50542.0</v>
      </c>
      <c r="DI56" s="1">
        <v>600.0</v>
      </c>
      <c r="DJ56" s="1">
        <v>613431.0</v>
      </c>
      <c r="DK56" s="1">
        <v>1624.397</v>
      </c>
      <c r="DL56" s="1" t="s">
        <v>975</v>
      </c>
      <c r="DM56" s="1">
        <v>3130.577</v>
      </c>
      <c r="DN56" s="1" t="s">
        <v>975</v>
      </c>
      <c r="DO56" s="1">
        <v>3185470.0</v>
      </c>
      <c r="DP56" s="1">
        <v>1.0</v>
      </c>
      <c r="DQ56" s="1" t="s">
        <v>976</v>
      </c>
      <c r="DR56" s="1" t="s">
        <v>1039</v>
      </c>
      <c r="DS56" s="1" t="s">
        <v>978</v>
      </c>
      <c r="DU56" s="1" t="s">
        <v>994</v>
      </c>
      <c r="DV56" s="1">
        <v>14749.0</v>
      </c>
      <c r="DX56" s="1">
        <v>4385.0</v>
      </c>
      <c r="DY56" s="1">
        <v>943125.0</v>
      </c>
      <c r="DZ56" s="1" t="s">
        <v>981</v>
      </c>
      <c r="EA56" s="1">
        <v>1227.0</v>
      </c>
      <c r="EB56" s="1">
        <v>499109.0</v>
      </c>
      <c r="EC56" s="1">
        <v>74.0</v>
      </c>
      <c r="ED56" s="1">
        <v>26492.0</v>
      </c>
      <c r="EF56" s="1">
        <v>235.0</v>
      </c>
      <c r="EG56" s="1" t="s">
        <v>982</v>
      </c>
      <c r="EH56" s="1">
        <v>100.0</v>
      </c>
      <c r="EK56" s="1">
        <v>100.0</v>
      </c>
      <c r="EQ56" s="9" t="s">
        <v>93</v>
      </c>
      <c r="ER56" s="21">
        <v>46045.29773148148</v>
      </c>
    </row>
    <row r="57">
      <c r="A57" s="9" t="s">
        <v>1220</v>
      </c>
      <c r="B57" s="20" t="str">
        <f>IFERROR(__xludf.DUMMYFUNCTION("REGEXREPLACE(A57, ""^https?://[^/]+"", """")"),"/wp-content/plugins/elementor/assets/js/frontend.min.js?ver=3.34.0")</f>
        <v>/wp-content/plugins/elementor/assets/js/frontend.min.js?ver=3.34.0</v>
      </c>
      <c r="F57" s="1" t="s">
        <v>984</v>
      </c>
      <c r="G57" s="1">
        <v>200.0</v>
      </c>
      <c r="H57" s="1" t="s">
        <v>966</v>
      </c>
      <c r="I57" s="1" t="s">
        <v>967</v>
      </c>
      <c r="L57" s="1">
        <v>0.0</v>
      </c>
      <c r="M57" s="1">
        <v>0.0</v>
      </c>
      <c r="O57" s="1">
        <v>0.0</v>
      </c>
      <c r="P57" s="1">
        <v>0.0</v>
      </c>
      <c r="R57" s="1">
        <v>0.0</v>
      </c>
      <c r="S57" s="1">
        <v>0.0</v>
      </c>
      <c r="U57" s="1">
        <v>0.0</v>
      </c>
      <c r="W57" s="1">
        <v>0.0</v>
      </c>
      <c r="Y57" s="1">
        <v>0.0</v>
      </c>
      <c r="AA57" s="1">
        <v>0.0</v>
      </c>
      <c r="AC57" s="1">
        <v>0.0</v>
      </c>
      <c r="AM57" s="1">
        <v>10325.0</v>
      </c>
      <c r="AN57" s="1">
        <v>10325.0</v>
      </c>
      <c r="AO57" s="1">
        <v>10325.0</v>
      </c>
      <c r="AP57" s="1">
        <v>3.955</v>
      </c>
      <c r="AR57" s="1">
        <v>0.0</v>
      </c>
      <c r="AW57" s="1">
        <v>0.0</v>
      </c>
      <c r="AX57" s="1">
        <v>1.0</v>
      </c>
      <c r="AY57" s="1">
        <v>5.0</v>
      </c>
      <c r="BA57" s="1">
        <v>0.0</v>
      </c>
      <c r="BB57" s="1">
        <v>0.0</v>
      </c>
      <c r="BC57" s="1">
        <v>0.0</v>
      </c>
      <c r="BD57" s="1">
        <v>0.0</v>
      </c>
      <c r="BE57" s="1">
        <v>0.0</v>
      </c>
      <c r="BF57" s="1">
        <v>0.0</v>
      </c>
      <c r="BG57" s="1">
        <v>0.0</v>
      </c>
      <c r="BH57" s="1">
        <v>0.0</v>
      </c>
      <c r="BI57" s="1">
        <v>0.0</v>
      </c>
      <c r="BJ57" s="1">
        <v>0.0</v>
      </c>
      <c r="BP57" s="1">
        <v>0.281</v>
      </c>
      <c r="BQ57" s="1" t="s">
        <v>1017</v>
      </c>
      <c r="BV57" s="1">
        <v>1.1</v>
      </c>
      <c r="EQ57" s="9" t="s">
        <v>1220</v>
      </c>
      <c r="ER57" s="21">
        <v>46045.29775462963</v>
      </c>
    </row>
    <row r="58">
      <c r="A58" s="9" t="s">
        <v>1221</v>
      </c>
      <c r="B58" s="20" t="str">
        <f>IFERROR(__xludf.DUMMYFUNCTION("REGEXREPLACE(A58, ""^https?://[^/]+"", """")"),"/wp-content/uploads/2024/04/Revitalizing-Sales-Strategy-for-Sustained-Growth-Cover.jpg")</f>
        <v>/wp-content/uploads/2024/04/Revitalizing-Sales-Strategy-for-Sustained-Growth-Cover.jpg</v>
      </c>
      <c r="F58" s="1" t="s">
        <v>1004</v>
      </c>
      <c r="G58" s="1">
        <v>200.0</v>
      </c>
      <c r="H58" s="1" t="s">
        <v>966</v>
      </c>
      <c r="I58" s="1" t="s">
        <v>967</v>
      </c>
      <c r="L58" s="1">
        <v>0.0</v>
      </c>
      <c r="M58" s="1">
        <v>0.0</v>
      </c>
      <c r="O58" s="1">
        <v>0.0</v>
      </c>
      <c r="P58" s="1">
        <v>0.0</v>
      </c>
      <c r="R58" s="1">
        <v>0.0</v>
      </c>
      <c r="S58" s="1">
        <v>0.0</v>
      </c>
      <c r="U58" s="1">
        <v>0.0</v>
      </c>
      <c r="W58" s="1">
        <v>0.0</v>
      </c>
      <c r="Y58" s="1">
        <v>0.0</v>
      </c>
      <c r="AA58" s="1">
        <v>0.0</v>
      </c>
      <c r="AC58" s="1">
        <v>0.0</v>
      </c>
      <c r="AM58" s="1">
        <v>50775.0</v>
      </c>
      <c r="AN58" s="1">
        <v>50775.0</v>
      </c>
      <c r="AO58" s="1">
        <v>50775.0</v>
      </c>
      <c r="AP58" s="1">
        <v>19.451</v>
      </c>
      <c r="AR58" s="1">
        <v>0.0</v>
      </c>
      <c r="AW58" s="1">
        <v>0.0</v>
      </c>
      <c r="AX58" s="1">
        <v>1.0</v>
      </c>
      <c r="AY58" s="1">
        <v>4.0</v>
      </c>
      <c r="BA58" s="1">
        <v>0.0</v>
      </c>
      <c r="BB58" s="1">
        <v>0.0</v>
      </c>
      <c r="BC58" s="1">
        <v>0.0</v>
      </c>
      <c r="BD58" s="1">
        <v>0.0</v>
      </c>
      <c r="BE58" s="1">
        <v>0.0</v>
      </c>
      <c r="BF58" s="1">
        <v>0.0</v>
      </c>
      <c r="BG58" s="1">
        <v>0.0</v>
      </c>
      <c r="BH58" s="1">
        <v>0.0</v>
      </c>
      <c r="BI58" s="1">
        <v>0.0</v>
      </c>
      <c r="BJ58" s="1">
        <v>0.0</v>
      </c>
      <c r="BP58" s="1">
        <v>0.269</v>
      </c>
      <c r="BQ58" s="1" t="s">
        <v>1222</v>
      </c>
      <c r="BV58" s="1">
        <v>1.1</v>
      </c>
      <c r="EQ58" s="9" t="s">
        <v>1221</v>
      </c>
      <c r="ER58" s="21">
        <v>46045.29775462963</v>
      </c>
    </row>
    <row r="59">
      <c r="A59" s="9" t="s">
        <v>1223</v>
      </c>
      <c r="B59" s="20" t="str">
        <f>IFERROR(__xludf.DUMMYFUNCTION("REGEXREPLACE(A59, ""^https?://[^/]+"", """")"),"/wp-content/plugins/elementor/assets/lib/animations/styles/fadeInUp.min.css?ver=3.34.0")</f>
        <v>/wp-content/plugins/elementor/assets/lib/animations/styles/fadeInUp.min.css?ver=3.34.0</v>
      </c>
      <c r="F59" s="1" t="s">
        <v>1016</v>
      </c>
      <c r="G59" s="1">
        <v>200.0</v>
      </c>
      <c r="H59" s="1" t="s">
        <v>966</v>
      </c>
      <c r="I59" s="1" t="s">
        <v>967</v>
      </c>
      <c r="L59" s="1">
        <v>0.0</v>
      </c>
      <c r="M59" s="1">
        <v>0.0</v>
      </c>
      <c r="O59" s="1">
        <v>0.0</v>
      </c>
      <c r="P59" s="1">
        <v>0.0</v>
      </c>
      <c r="R59" s="1">
        <v>0.0</v>
      </c>
      <c r="S59" s="1">
        <v>0.0</v>
      </c>
      <c r="U59" s="1">
        <v>0.0</v>
      </c>
      <c r="W59" s="1">
        <v>0.0</v>
      </c>
      <c r="Y59" s="1">
        <v>0.0</v>
      </c>
      <c r="AA59" s="1">
        <v>0.0</v>
      </c>
      <c r="AC59" s="1">
        <v>0.0</v>
      </c>
      <c r="AM59" s="1">
        <v>117.0</v>
      </c>
      <c r="AN59" s="1">
        <v>117.0</v>
      </c>
      <c r="AO59" s="1">
        <v>117.0</v>
      </c>
      <c r="AP59" s="1">
        <v>0.045</v>
      </c>
      <c r="AR59" s="1">
        <v>0.0</v>
      </c>
      <c r="AW59" s="1">
        <v>0.0</v>
      </c>
      <c r="AX59" s="1">
        <v>1.0</v>
      </c>
      <c r="AY59" s="1">
        <v>7.0</v>
      </c>
      <c r="BA59" s="1">
        <v>0.0</v>
      </c>
      <c r="BB59" s="1">
        <v>0.0</v>
      </c>
      <c r="BC59" s="1">
        <v>0.0</v>
      </c>
      <c r="BD59" s="1">
        <v>0.0</v>
      </c>
      <c r="BE59" s="1">
        <v>0.0</v>
      </c>
      <c r="BF59" s="1">
        <v>0.0</v>
      </c>
      <c r="BG59" s="1">
        <v>0.0</v>
      </c>
      <c r="BH59" s="1">
        <v>0.0</v>
      </c>
      <c r="BI59" s="1">
        <v>0.0</v>
      </c>
      <c r="BJ59" s="1">
        <v>0.0</v>
      </c>
      <c r="BP59" s="1">
        <v>0.268</v>
      </c>
      <c r="BQ59" s="1" t="s">
        <v>1017</v>
      </c>
      <c r="BV59" s="1">
        <v>1.1</v>
      </c>
      <c r="EQ59" s="9" t="s">
        <v>1223</v>
      </c>
      <c r="ER59" s="21">
        <v>46045.29775462963</v>
      </c>
    </row>
    <row r="60">
      <c r="A60" s="9" t="s">
        <v>1224</v>
      </c>
      <c r="B60" s="20" t="str">
        <f>IFERROR(__xludf.DUMMYFUNCTION("REGEXREPLACE(A60, ""^https?://[^/]+"", """")"),"/wp-content/plugins/elementor/assets/css/widget-divider.min.css?ver=3.34.0")</f>
        <v>/wp-content/plugins/elementor/assets/css/widget-divider.min.css?ver=3.34.0</v>
      </c>
      <c r="F60" s="1" t="s">
        <v>1016</v>
      </c>
      <c r="G60" s="1">
        <v>200.0</v>
      </c>
      <c r="H60" s="1" t="s">
        <v>966</v>
      </c>
      <c r="I60" s="1" t="s">
        <v>967</v>
      </c>
      <c r="L60" s="1">
        <v>0.0</v>
      </c>
      <c r="M60" s="1">
        <v>0.0</v>
      </c>
      <c r="O60" s="1">
        <v>0.0</v>
      </c>
      <c r="P60" s="1">
        <v>0.0</v>
      </c>
      <c r="R60" s="1">
        <v>0.0</v>
      </c>
      <c r="S60" s="1">
        <v>0.0</v>
      </c>
      <c r="U60" s="1">
        <v>0.0</v>
      </c>
      <c r="W60" s="1">
        <v>0.0</v>
      </c>
      <c r="Y60" s="1">
        <v>0.0</v>
      </c>
      <c r="AA60" s="1">
        <v>0.0</v>
      </c>
      <c r="AC60" s="1">
        <v>0.0</v>
      </c>
      <c r="AM60" s="1">
        <v>741.0</v>
      </c>
      <c r="AN60" s="1">
        <v>741.0</v>
      </c>
      <c r="AO60" s="1">
        <v>741.0</v>
      </c>
      <c r="AP60" s="1">
        <v>0.284</v>
      </c>
      <c r="AR60" s="1">
        <v>0.0</v>
      </c>
      <c r="AW60" s="1">
        <v>0.0</v>
      </c>
      <c r="AX60" s="1">
        <v>1.0</v>
      </c>
      <c r="AY60" s="1">
        <v>5.0</v>
      </c>
      <c r="BA60" s="1">
        <v>0.0</v>
      </c>
      <c r="BB60" s="1">
        <v>0.0</v>
      </c>
      <c r="BC60" s="1">
        <v>0.0</v>
      </c>
      <c r="BD60" s="1">
        <v>0.0</v>
      </c>
      <c r="BE60" s="1">
        <v>0.0</v>
      </c>
      <c r="BF60" s="1">
        <v>0.0</v>
      </c>
      <c r="BG60" s="1">
        <v>0.0</v>
      </c>
      <c r="BH60" s="1">
        <v>0.0</v>
      </c>
      <c r="BI60" s="1">
        <v>0.0</v>
      </c>
      <c r="BJ60" s="1">
        <v>0.0</v>
      </c>
      <c r="BP60" s="1">
        <v>0.25</v>
      </c>
      <c r="BQ60" s="1" t="s">
        <v>1017</v>
      </c>
      <c r="BV60" s="1">
        <v>1.1</v>
      </c>
      <c r="EQ60" s="9" t="s">
        <v>1224</v>
      </c>
      <c r="ER60" s="21">
        <v>46045.29775462963</v>
      </c>
    </row>
    <row r="61">
      <c r="A61" s="9" t="s">
        <v>111</v>
      </c>
      <c r="B61" s="20" t="str">
        <f>IFERROR(__xludf.DUMMYFUNCTION("REGEXREPLACE(A61, ""^https?://[^/]+"", """")"),"/industries/manufacturing/")</f>
        <v>/industries/manufacturing/</v>
      </c>
      <c r="C61" s="1" t="s">
        <v>1225</v>
      </c>
      <c r="D61" s="1" t="s">
        <v>1070</v>
      </c>
      <c r="E61" s="1" t="s">
        <v>1226</v>
      </c>
      <c r="F61" s="1" t="s">
        <v>965</v>
      </c>
      <c r="G61" s="1">
        <v>200.0</v>
      </c>
      <c r="H61" s="1" t="s">
        <v>966</v>
      </c>
      <c r="I61" s="1" t="s">
        <v>967</v>
      </c>
      <c r="K61" s="1" t="s">
        <v>1227</v>
      </c>
      <c r="L61" s="1">
        <v>60.0</v>
      </c>
      <c r="M61" s="1">
        <v>533.0</v>
      </c>
      <c r="N61" s="1" t="s">
        <v>1073</v>
      </c>
      <c r="O61" s="1">
        <v>29.0</v>
      </c>
      <c r="P61" s="1">
        <v>261.0</v>
      </c>
      <c r="Q61" s="1" t="s">
        <v>1228</v>
      </c>
      <c r="R61" s="1">
        <v>149.0</v>
      </c>
      <c r="S61" s="1">
        <v>949.0</v>
      </c>
      <c r="U61" s="1">
        <v>0.0</v>
      </c>
      <c r="V61" s="1" t="s">
        <v>1225</v>
      </c>
      <c r="W61" s="1">
        <v>55.0</v>
      </c>
      <c r="Y61" s="1">
        <v>0.0</v>
      </c>
      <c r="Z61" s="1" t="s">
        <v>1070</v>
      </c>
      <c r="AA61" s="1">
        <v>36.0</v>
      </c>
      <c r="AB61" s="1" t="s">
        <v>1226</v>
      </c>
      <c r="AC61" s="1">
        <v>37.0</v>
      </c>
      <c r="AD61" s="1" t="s">
        <v>971</v>
      </c>
      <c r="AG61" s="9" t="s">
        <v>111</v>
      </c>
      <c r="AM61" s="1">
        <v>274302.0</v>
      </c>
      <c r="AN61" s="1">
        <v>86402.0</v>
      </c>
      <c r="AO61" s="1">
        <v>86402.0</v>
      </c>
      <c r="AP61" s="1">
        <v>33.099</v>
      </c>
      <c r="AR61" s="1">
        <v>1490.0</v>
      </c>
      <c r="AS61" s="1">
        <v>248.0</v>
      </c>
      <c r="AT61" s="1">
        <v>6.008</v>
      </c>
      <c r="AU61" s="1">
        <v>42.438</v>
      </c>
      <c r="AV61" s="1" t="s">
        <v>1075</v>
      </c>
      <c r="AW61" s="1">
        <v>6.422</v>
      </c>
      <c r="AX61" s="1">
        <v>1.0</v>
      </c>
      <c r="AY61" s="1">
        <v>2.0</v>
      </c>
      <c r="AZ61" s="1">
        <v>51.0</v>
      </c>
      <c r="BA61" s="1">
        <v>2250.0</v>
      </c>
      <c r="BB61" s="1">
        <v>754.0</v>
      </c>
      <c r="BC61" s="1">
        <v>0.0</v>
      </c>
      <c r="BD61" s="1">
        <v>100.0</v>
      </c>
      <c r="BE61" s="1">
        <v>133.0</v>
      </c>
      <c r="BF61" s="1">
        <v>44.0</v>
      </c>
      <c r="BG61" s="1">
        <v>0.0</v>
      </c>
      <c r="BH61" s="1">
        <v>16.0</v>
      </c>
      <c r="BI61" s="1">
        <v>8.0</v>
      </c>
      <c r="BJ61" s="1">
        <v>0.0</v>
      </c>
      <c r="BO61" s="1" t="s">
        <v>1229</v>
      </c>
      <c r="BP61" s="1">
        <v>1.059</v>
      </c>
      <c r="BU61" s="1" t="s">
        <v>974</v>
      </c>
      <c r="BV61" s="1">
        <v>1.1</v>
      </c>
      <c r="BW61" s="1">
        <v>53.0</v>
      </c>
      <c r="BX61" s="1">
        <v>3901.014</v>
      </c>
      <c r="BY61" s="1">
        <v>6751.641</v>
      </c>
      <c r="BZ61" s="1">
        <v>9451.035</v>
      </c>
      <c r="CA61" s="1">
        <v>20933.252</v>
      </c>
      <c r="CB61" s="1">
        <v>363.5</v>
      </c>
      <c r="CC61" s="1">
        <v>0.0</v>
      </c>
      <c r="CD61" s="1">
        <v>675828.0</v>
      </c>
      <c r="CE61" s="1">
        <v>900.0</v>
      </c>
      <c r="CF61" s="1">
        <v>175.0</v>
      </c>
      <c r="CG61" s="1">
        <v>3082575.0</v>
      </c>
      <c r="CH61" s="1">
        <v>84567.0</v>
      </c>
      <c r="CI61" s="1">
        <v>2.0</v>
      </c>
      <c r="CJ61" s="1">
        <v>762834.0</v>
      </c>
      <c r="CK61" s="1">
        <v>22.0</v>
      </c>
      <c r="CL61" s="1">
        <v>124136.0</v>
      </c>
      <c r="CM61" s="1">
        <v>46.0</v>
      </c>
      <c r="CN61" s="1">
        <v>1791115.0</v>
      </c>
      <c r="CO61" s="1">
        <v>71.0</v>
      </c>
      <c r="CP61" s="1">
        <v>294886.0</v>
      </c>
      <c r="CQ61" s="1">
        <v>6.0</v>
      </c>
      <c r="CR61" s="1">
        <v>0.0</v>
      </c>
      <c r="CS61" s="1">
        <v>0.0</v>
      </c>
      <c r="CT61" s="1">
        <v>25037.0</v>
      </c>
      <c r="CU61" s="1">
        <v>28.0</v>
      </c>
      <c r="CV61" s="1">
        <v>1502504.0</v>
      </c>
      <c r="CW61" s="1">
        <v>72.0</v>
      </c>
      <c r="DC61" s="1">
        <v>0.0</v>
      </c>
      <c r="DD61" s="1">
        <v>5075.0</v>
      </c>
      <c r="DE61" s="1">
        <v>0.0</v>
      </c>
      <c r="DF61" s="1">
        <v>3396.0</v>
      </c>
      <c r="DG61" s="1">
        <v>300.0</v>
      </c>
      <c r="DH61" s="1">
        <v>50543.0</v>
      </c>
      <c r="DI61" s="1">
        <v>600.0</v>
      </c>
      <c r="DJ61" s="1">
        <v>616814.0</v>
      </c>
      <c r="DK61" s="1">
        <v>1704.545</v>
      </c>
      <c r="DL61" s="1" t="s">
        <v>975</v>
      </c>
      <c r="DM61" s="1">
        <v>3160.757</v>
      </c>
      <c r="DN61" s="1" t="s">
        <v>975</v>
      </c>
      <c r="DO61" s="1">
        <v>3082576.0</v>
      </c>
      <c r="DP61" s="1">
        <v>1.0</v>
      </c>
      <c r="DQ61" s="1" t="s">
        <v>976</v>
      </c>
      <c r="DR61" s="1" t="s">
        <v>1230</v>
      </c>
      <c r="DS61" s="1" t="s">
        <v>978</v>
      </c>
      <c r="DU61" s="1" t="s">
        <v>994</v>
      </c>
      <c r="DV61" s="1">
        <v>15508.0</v>
      </c>
      <c r="DX61" s="1">
        <v>3632.0</v>
      </c>
      <c r="DY61" s="1">
        <v>921630.0</v>
      </c>
      <c r="EA61" s="1">
        <v>1189.0</v>
      </c>
      <c r="EB61" s="1">
        <v>499109.0</v>
      </c>
      <c r="EC61" s="1">
        <v>3.0</v>
      </c>
      <c r="ED61" s="1">
        <v>26492.0</v>
      </c>
      <c r="EF61" s="1">
        <v>235.0</v>
      </c>
      <c r="EG61" s="1" t="s">
        <v>982</v>
      </c>
      <c r="EH61" s="1">
        <v>100.0</v>
      </c>
      <c r="EK61" s="1">
        <v>100.0</v>
      </c>
      <c r="EQ61" s="9" t="s">
        <v>111</v>
      </c>
      <c r="ER61" s="21">
        <v>46045.297743055555</v>
      </c>
    </row>
    <row r="62">
      <c r="A62" s="9" t="s">
        <v>1231</v>
      </c>
      <c r="B62" s="20" t="str">
        <f>IFERROR(__xludf.DUMMYFUNCTION("REGEXREPLACE(A62, ""^https?://[^/]+"", """")"),"/wp-content/themes/salesxceleratione/assets/js/slick-1.8.1.min.js?ver=1.8.1")</f>
        <v>/wp-content/themes/salesxceleratione/assets/js/slick-1.8.1.min.js?ver=1.8.1</v>
      </c>
      <c r="F62" s="1" t="s">
        <v>984</v>
      </c>
      <c r="G62" s="1">
        <v>200.0</v>
      </c>
      <c r="H62" s="1" t="s">
        <v>966</v>
      </c>
      <c r="I62" s="1" t="s">
        <v>967</v>
      </c>
      <c r="L62" s="1">
        <v>0.0</v>
      </c>
      <c r="M62" s="1">
        <v>0.0</v>
      </c>
      <c r="O62" s="1">
        <v>0.0</v>
      </c>
      <c r="P62" s="1">
        <v>0.0</v>
      </c>
      <c r="R62" s="1">
        <v>0.0</v>
      </c>
      <c r="S62" s="1">
        <v>0.0</v>
      </c>
      <c r="U62" s="1">
        <v>0.0</v>
      </c>
      <c r="W62" s="1">
        <v>0.0</v>
      </c>
      <c r="Y62" s="1">
        <v>0.0</v>
      </c>
      <c r="AA62" s="1">
        <v>0.0</v>
      </c>
      <c r="AC62" s="1">
        <v>0.0</v>
      </c>
      <c r="AM62" s="1">
        <v>10718.0</v>
      </c>
      <c r="AN62" s="1">
        <v>10718.0</v>
      </c>
      <c r="AO62" s="1">
        <v>10718.0</v>
      </c>
      <c r="AP62" s="1">
        <v>4.106</v>
      </c>
      <c r="AR62" s="1">
        <v>0.0</v>
      </c>
      <c r="AW62" s="1">
        <v>0.0</v>
      </c>
      <c r="AX62" s="1">
        <v>1.0</v>
      </c>
      <c r="AY62" s="1">
        <v>5.0</v>
      </c>
      <c r="BA62" s="1">
        <v>0.0</v>
      </c>
      <c r="BB62" s="1">
        <v>0.0</v>
      </c>
      <c r="BC62" s="1">
        <v>0.0</v>
      </c>
      <c r="BD62" s="1">
        <v>0.0</v>
      </c>
      <c r="BE62" s="1">
        <v>0.0</v>
      </c>
      <c r="BF62" s="1">
        <v>0.0</v>
      </c>
      <c r="BG62" s="1">
        <v>0.0</v>
      </c>
      <c r="BH62" s="1">
        <v>0.0</v>
      </c>
      <c r="BI62" s="1">
        <v>0.0</v>
      </c>
      <c r="BJ62" s="1">
        <v>0.0</v>
      </c>
      <c r="BP62" s="1">
        <v>0.259</v>
      </c>
      <c r="BQ62" s="1" t="s">
        <v>1045</v>
      </c>
      <c r="BV62" s="1">
        <v>1.1</v>
      </c>
      <c r="EQ62" s="9" t="s">
        <v>1231</v>
      </c>
      <c r="ER62" s="21">
        <v>46045.2977662037</v>
      </c>
    </row>
    <row r="63">
      <c r="A63" s="9" t="s">
        <v>1232</v>
      </c>
      <c r="B63" s="20" t="str">
        <f>IFERROR(__xludf.DUMMYFUNCTION("REGEXREPLACE(A63, ""^https?://[^/]+"", """")"),"/wp-content/plugins/powerpack-elements/assets/css/min/extensions.min.css?ver=2.12.15")</f>
        <v>/wp-content/plugins/powerpack-elements/assets/css/min/extensions.min.css?ver=2.12.15</v>
      </c>
      <c r="F63" s="1" t="s">
        <v>1016</v>
      </c>
      <c r="G63" s="1">
        <v>200.0</v>
      </c>
      <c r="H63" s="1" t="s">
        <v>966</v>
      </c>
      <c r="I63" s="1" t="s">
        <v>967</v>
      </c>
      <c r="L63" s="1">
        <v>0.0</v>
      </c>
      <c r="M63" s="1">
        <v>0.0</v>
      </c>
      <c r="O63" s="1">
        <v>0.0</v>
      </c>
      <c r="P63" s="1">
        <v>0.0</v>
      </c>
      <c r="R63" s="1">
        <v>0.0</v>
      </c>
      <c r="S63" s="1">
        <v>0.0</v>
      </c>
      <c r="U63" s="1">
        <v>0.0</v>
      </c>
      <c r="W63" s="1">
        <v>0.0</v>
      </c>
      <c r="Y63" s="1">
        <v>0.0</v>
      </c>
      <c r="AA63" s="1">
        <v>0.0</v>
      </c>
      <c r="AC63" s="1">
        <v>0.0</v>
      </c>
      <c r="AM63" s="1">
        <v>394.0</v>
      </c>
      <c r="AN63" s="1">
        <v>394.0</v>
      </c>
      <c r="AO63" s="1">
        <v>394.0</v>
      </c>
      <c r="AP63" s="1">
        <v>0.151</v>
      </c>
      <c r="AR63" s="1">
        <v>0.0</v>
      </c>
      <c r="AW63" s="1">
        <v>0.0</v>
      </c>
      <c r="AX63" s="1">
        <v>1.0</v>
      </c>
      <c r="AY63" s="1">
        <v>6.0</v>
      </c>
      <c r="BA63" s="1">
        <v>0.0</v>
      </c>
      <c r="BB63" s="1">
        <v>0.0</v>
      </c>
      <c r="BC63" s="1">
        <v>0.0</v>
      </c>
      <c r="BD63" s="1">
        <v>0.0</v>
      </c>
      <c r="BE63" s="1">
        <v>0.0</v>
      </c>
      <c r="BF63" s="1">
        <v>0.0</v>
      </c>
      <c r="BG63" s="1">
        <v>0.0</v>
      </c>
      <c r="BH63" s="1">
        <v>0.0</v>
      </c>
      <c r="BI63" s="1">
        <v>0.0</v>
      </c>
      <c r="BJ63" s="1">
        <v>0.0</v>
      </c>
      <c r="BP63" s="1">
        <v>0.265</v>
      </c>
      <c r="BQ63" s="1" t="s">
        <v>1193</v>
      </c>
      <c r="BV63" s="1">
        <v>1.1</v>
      </c>
      <c r="EQ63" s="9" t="s">
        <v>1232</v>
      </c>
      <c r="ER63" s="21">
        <v>46045.2977662037</v>
      </c>
    </row>
    <row r="64">
      <c r="A64" s="9" t="s">
        <v>1233</v>
      </c>
      <c r="B64" s="20" t="str">
        <f>IFERROR(__xludf.DUMMYFUNCTION("REGEXREPLACE(A64, ""^https?://[^/]+"", """")"),"/wp-content/uploads/2021/02/thumb-consulting-cs.jpg")</f>
        <v>/wp-content/uploads/2021/02/thumb-consulting-cs.jpg</v>
      </c>
      <c r="F64" s="1" t="s">
        <v>1004</v>
      </c>
      <c r="G64" s="1">
        <v>200.0</v>
      </c>
      <c r="H64" s="1" t="s">
        <v>966</v>
      </c>
      <c r="I64" s="1" t="s">
        <v>967</v>
      </c>
      <c r="L64" s="1">
        <v>0.0</v>
      </c>
      <c r="M64" s="1">
        <v>0.0</v>
      </c>
      <c r="O64" s="1">
        <v>0.0</v>
      </c>
      <c r="P64" s="1">
        <v>0.0</v>
      </c>
      <c r="R64" s="1">
        <v>0.0</v>
      </c>
      <c r="S64" s="1">
        <v>0.0</v>
      </c>
      <c r="U64" s="1">
        <v>0.0</v>
      </c>
      <c r="W64" s="1">
        <v>0.0</v>
      </c>
      <c r="Y64" s="1">
        <v>0.0</v>
      </c>
      <c r="AA64" s="1">
        <v>0.0</v>
      </c>
      <c r="AC64" s="1">
        <v>0.0</v>
      </c>
      <c r="AM64" s="1">
        <v>106825.0</v>
      </c>
      <c r="AN64" s="1">
        <v>106825.0</v>
      </c>
      <c r="AO64" s="1">
        <v>106825.0</v>
      </c>
      <c r="AP64" s="1">
        <v>40.923</v>
      </c>
      <c r="AR64" s="1">
        <v>0.0</v>
      </c>
      <c r="AW64" s="1">
        <v>0.0</v>
      </c>
      <c r="AX64" s="1">
        <v>1.0</v>
      </c>
      <c r="AY64" s="1">
        <v>4.0</v>
      </c>
      <c r="BA64" s="1">
        <v>0.0</v>
      </c>
      <c r="BB64" s="1">
        <v>0.0</v>
      </c>
      <c r="BC64" s="1">
        <v>0.0</v>
      </c>
      <c r="BD64" s="1">
        <v>0.0</v>
      </c>
      <c r="BE64" s="1">
        <v>0.0</v>
      </c>
      <c r="BF64" s="1">
        <v>0.0</v>
      </c>
      <c r="BG64" s="1">
        <v>0.0</v>
      </c>
      <c r="BH64" s="1">
        <v>0.0</v>
      </c>
      <c r="BI64" s="1">
        <v>0.0</v>
      </c>
      <c r="BJ64" s="1">
        <v>0.0</v>
      </c>
      <c r="BP64" s="1">
        <v>0.27</v>
      </c>
      <c r="BQ64" s="1" t="s">
        <v>1234</v>
      </c>
      <c r="BV64" s="1">
        <v>1.1</v>
      </c>
      <c r="EQ64" s="9" t="s">
        <v>1233</v>
      </c>
      <c r="ER64" s="21">
        <v>46045.2977662037</v>
      </c>
    </row>
    <row r="65">
      <c r="A65" s="9" t="s">
        <v>1235</v>
      </c>
      <c r="B65" s="20" t="str">
        <f>IFERROR(__xludf.DUMMYFUNCTION("REGEXREPLACE(A65, ""^https?://[^/]+"", """")"),"/wp-content/uploads/elementor/css/post-68977.css?ver=1768845999")</f>
        <v>/wp-content/uploads/elementor/css/post-68977.css?ver=1768845999</v>
      </c>
      <c r="F65" s="1" t="s">
        <v>1016</v>
      </c>
      <c r="G65" s="1">
        <v>200.0</v>
      </c>
      <c r="H65" s="1" t="s">
        <v>966</v>
      </c>
      <c r="I65" s="1" t="s">
        <v>967</v>
      </c>
      <c r="L65" s="1">
        <v>0.0</v>
      </c>
      <c r="M65" s="1">
        <v>0.0</v>
      </c>
      <c r="O65" s="1">
        <v>0.0</v>
      </c>
      <c r="P65" s="1">
        <v>0.0</v>
      </c>
      <c r="R65" s="1">
        <v>0.0</v>
      </c>
      <c r="S65" s="1">
        <v>0.0</v>
      </c>
      <c r="U65" s="1">
        <v>0.0</v>
      </c>
      <c r="W65" s="1">
        <v>0.0</v>
      </c>
      <c r="Y65" s="1">
        <v>0.0</v>
      </c>
      <c r="AA65" s="1">
        <v>0.0</v>
      </c>
      <c r="AC65" s="1">
        <v>0.0</v>
      </c>
      <c r="AM65" s="1">
        <v>2156.0</v>
      </c>
      <c r="AN65" s="1">
        <v>2156.0</v>
      </c>
      <c r="AO65" s="1">
        <v>2156.0</v>
      </c>
      <c r="AP65" s="1">
        <v>0.826</v>
      </c>
      <c r="AR65" s="1">
        <v>0.0</v>
      </c>
      <c r="AW65" s="1">
        <v>0.0</v>
      </c>
      <c r="AX65" s="1">
        <v>1.0</v>
      </c>
      <c r="AY65" s="1">
        <v>4.0</v>
      </c>
      <c r="BA65" s="1">
        <v>0.0</v>
      </c>
      <c r="BB65" s="1">
        <v>0.0</v>
      </c>
      <c r="BC65" s="1">
        <v>0.0</v>
      </c>
      <c r="BD65" s="1">
        <v>0.0</v>
      </c>
      <c r="BE65" s="1">
        <v>0.0</v>
      </c>
      <c r="BF65" s="1">
        <v>0.0</v>
      </c>
      <c r="BG65" s="1">
        <v>0.0</v>
      </c>
      <c r="BH65" s="1">
        <v>0.0</v>
      </c>
      <c r="BI65" s="1">
        <v>0.0</v>
      </c>
      <c r="BJ65" s="1">
        <v>0.0</v>
      </c>
      <c r="BP65" s="1">
        <v>0.254</v>
      </c>
      <c r="BQ65" s="1" t="s">
        <v>1236</v>
      </c>
      <c r="BV65" s="1">
        <v>1.1</v>
      </c>
      <c r="EQ65" s="9" t="s">
        <v>1235</v>
      </c>
      <c r="ER65" s="21">
        <v>46045.2977662037</v>
      </c>
    </row>
    <row r="66">
      <c r="A66" s="9" t="s">
        <v>1237</v>
      </c>
      <c r="B66" s="20" t="str">
        <f>IFERROR(__xludf.DUMMYFUNCTION("REGEXREPLACE(A66, ""^https?://[^/]+"", """")"),"/wp-content/uploads/2021/06/logo-sales-xceleration-ko-1024x231.png")</f>
        <v>/wp-content/uploads/2021/06/logo-sales-xceleration-ko-1024x231.png</v>
      </c>
      <c r="F66" s="1" t="s">
        <v>1047</v>
      </c>
      <c r="G66" s="1">
        <v>200.0</v>
      </c>
      <c r="H66" s="1" t="s">
        <v>966</v>
      </c>
      <c r="I66" s="1" t="s">
        <v>967</v>
      </c>
      <c r="L66" s="1">
        <v>0.0</v>
      </c>
      <c r="M66" s="1">
        <v>0.0</v>
      </c>
      <c r="O66" s="1">
        <v>0.0</v>
      </c>
      <c r="P66" s="1">
        <v>0.0</v>
      </c>
      <c r="R66" s="1">
        <v>0.0</v>
      </c>
      <c r="S66" s="1">
        <v>0.0</v>
      </c>
      <c r="U66" s="1">
        <v>0.0</v>
      </c>
      <c r="W66" s="1">
        <v>0.0</v>
      </c>
      <c r="Y66" s="1">
        <v>0.0</v>
      </c>
      <c r="AA66" s="1">
        <v>0.0</v>
      </c>
      <c r="AC66" s="1">
        <v>0.0</v>
      </c>
      <c r="AM66" s="1">
        <v>18676.0</v>
      </c>
      <c r="AN66" s="1">
        <v>18676.0</v>
      </c>
      <c r="AO66" s="1">
        <v>18676.0</v>
      </c>
      <c r="AP66" s="1">
        <v>7.154</v>
      </c>
      <c r="AR66" s="1">
        <v>0.0</v>
      </c>
      <c r="AW66" s="1">
        <v>0.0</v>
      </c>
      <c r="AX66" s="1">
        <v>1.0</v>
      </c>
      <c r="AY66" s="1">
        <v>4.0</v>
      </c>
      <c r="BA66" s="1">
        <v>0.0</v>
      </c>
      <c r="BB66" s="1">
        <v>0.0</v>
      </c>
      <c r="BC66" s="1">
        <v>0.0</v>
      </c>
      <c r="BD66" s="1">
        <v>0.0</v>
      </c>
      <c r="BE66" s="1">
        <v>0.0</v>
      </c>
      <c r="BF66" s="1">
        <v>0.0</v>
      </c>
      <c r="BG66" s="1">
        <v>0.0</v>
      </c>
      <c r="BH66" s="1">
        <v>0.0</v>
      </c>
      <c r="BI66" s="1">
        <v>0.0</v>
      </c>
      <c r="BJ66" s="1">
        <v>0.0</v>
      </c>
      <c r="BP66" s="1">
        <v>0.373</v>
      </c>
      <c r="BQ66" s="1" t="s">
        <v>1238</v>
      </c>
      <c r="BV66" s="1">
        <v>1.1</v>
      </c>
      <c r="EQ66" s="9" t="s">
        <v>1237</v>
      </c>
      <c r="ER66" s="21">
        <v>46045.2977662037</v>
      </c>
    </row>
    <row r="67">
      <c r="A67" s="9" t="s">
        <v>1239</v>
      </c>
      <c r="B67" s="20" t="str">
        <f>IFERROR(__xludf.DUMMYFUNCTION("REGEXREPLACE(A67, ""^https?://[^/]+"", """")"),"/wp-includes/js/dist/i18n.min.js?ver=c26c3dc7bed366793375")</f>
        <v>/wp-includes/js/dist/i18n.min.js?ver=c26c3dc7bed366793375</v>
      </c>
      <c r="F67" s="1" t="s">
        <v>984</v>
      </c>
      <c r="G67" s="1">
        <v>200.0</v>
      </c>
      <c r="H67" s="1" t="s">
        <v>966</v>
      </c>
      <c r="I67" s="1" t="s">
        <v>967</v>
      </c>
      <c r="L67" s="1">
        <v>0.0</v>
      </c>
      <c r="M67" s="1">
        <v>0.0</v>
      </c>
      <c r="O67" s="1">
        <v>0.0</v>
      </c>
      <c r="P67" s="1">
        <v>0.0</v>
      </c>
      <c r="R67" s="1">
        <v>0.0</v>
      </c>
      <c r="S67" s="1">
        <v>0.0</v>
      </c>
      <c r="U67" s="1">
        <v>0.0</v>
      </c>
      <c r="W67" s="1">
        <v>0.0</v>
      </c>
      <c r="Y67" s="1">
        <v>0.0</v>
      </c>
      <c r="AA67" s="1">
        <v>0.0</v>
      </c>
      <c r="AC67" s="1">
        <v>0.0</v>
      </c>
      <c r="AM67" s="1">
        <v>2229.0</v>
      </c>
      <c r="AN67" s="1">
        <v>2229.0</v>
      </c>
      <c r="AO67" s="1">
        <v>2229.0</v>
      </c>
      <c r="AP67" s="1">
        <v>0.854</v>
      </c>
      <c r="AR67" s="1">
        <v>0.0</v>
      </c>
      <c r="AW67" s="1">
        <v>0.0</v>
      </c>
      <c r="AX67" s="1">
        <v>1.0</v>
      </c>
      <c r="AY67" s="1">
        <v>3.0</v>
      </c>
      <c r="BA67" s="1">
        <v>0.0</v>
      </c>
      <c r="BB67" s="1">
        <v>0.0</v>
      </c>
      <c r="BC67" s="1">
        <v>0.0</v>
      </c>
      <c r="BD67" s="1">
        <v>0.0</v>
      </c>
      <c r="BE67" s="1">
        <v>0.0</v>
      </c>
      <c r="BF67" s="1">
        <v>0.0</v>
      </c>
      <c r="BG67" s="1">
        <v>0.0</v>
      </c>
      <c r="BH67" s="1">
        <v>0.0</v>
      </c>
      <c r="BI67" s="1">
        <v>0.0</v>
      </c>
      <c r="BJ67" s="1">
        <v>0.0</v>
      </c>
      <c r="BP67" s="1">
        <v>0.276</v>
      </c>
      <c r="BQ67" s="1" t="s">
        <v>1007</v>
      </c>
      <c r="BV67" s="1">
        <v>1.1</v>
      </c>
      <c r="EQ67" s="9" t="s">
        <v>1239</v>
      </c>
      <c r="ER67" s="21">
        <v>46045.29777777778</v>
      </c>
    </row>
    <row r="68">
      <c r="A68" s="9" t="s">
        <v>105</v>
      </c>
      <c r="B68" s="20" t="str">
        <f>IFERROR(__xludf.DUMMYFUNCTION("REGEXREPLACE(A68, ""^https?://[^/]+"", """")"),"/industries/franchises/")</f>
        <v>/industries/franchises/</v>
      </c>
      <c r="C68" s="1" t="s">
        <v>1240</v>
      </c>
      <c r="D68" s="1" t="s">
        <v>1241</v>
      </c>
      <c r="E68" s="1" t="s">
        <v>1242</v>
      </c>
      <c r="F68" s="1" t="s">
        <v>965</v>
      </c>
      <c r="G68" s="1">
        <v>200.0</v>
      </c>
      <c r="H68" s="1" t="s">
        <v>966</v>
      </c>
      <c r="I68" s="1" t="s">
        <v>967</v>
      </c>
      <c r="K68" s="1" t="s">
        <v>1243</v>
      </c>
      <c r="L68" s="1">
        <v>62.0</v>
      </c>
      <c r="M68" s="1">
        <v>550.0</v>
      </c>
      <c r="O68" s="1">
        <v>0.0</v>
      </c>
      <c r="P68" s="1">
        <v>0.0</v>
      </c>
      <c r="Q68" s="1" t="s">
        <v>1244</v>
      </c>
      <c r="R68" s="1">
        <v>168.0</v>
      </c>
      <c r="S68" s="1">
        <v>1035.0</v>
      </c>
      <c r="U68" s="1">
        <v>0.0</v>
      </c>
      <c r="V68" s="1" t="s">
        <v>1240</v>
      </c>
      <c r="W68" s="1">
        <v>42.0</v>
      </c>
      <c r="Y68" s="1">
        <v>0.0</v>
      </c>
      <c r="Z68" s="1" t="s">
        <v>1241</v>
      </c>
      <c r="AA68" s="1">
        <v>35.0</v>
      </c>
      <c r="AB68" s="1" t="s">
        <v>1242</v>
      </c>
      <c r="AC68" s="1">
        <v>47.0</v>
      </c>
      <c r="AD68" s="1" t="s">
        <v>971</v>
      </c>
      <c r="AG68" s="9" t="s">
        <v>105</v>
      </c>
      <c r="AM68" s="1">
        <v>275732.0</v>
      </c>
      <c r="AN68" s="1">
        <v>90946.0</v>
      </c>
      <c r="AO68" s="1">
        <v>90946.0</v>
      </c>
      <c r="AP68" s="1">
        <v>34.84</v>
      </c>
      <c r="AR68" s="1">
        <v>1537.0</v>
      </c>
      <c r="AS68" s="1">
        <v>258.0</v>
      </c>
      <c r="AT68" s="1">
        <v>5.957</v>
      </c>
      <c r="AU68" s="1">
        <v>52.394</v>
      </c>
      <c r="AV68" s="1" t="s">
        <v>972</v>
      </c>
      <c r="AW68" s="1">
        <v>6.524</v>
      </c>
      <c r="AX68" s="1">
        <v>1.0</v>
      </c>
      <c r="AY68" s="1">
        <v>2.0</v>
      </c>
      <c r="AZ68" s="1">
        <v>51.0</v>
      </c>
      <c r="BA68" s="1">
        <v>2250.0</v>
      </c>
      <c r="BB68" s="1">
        <v>754.0</v>
      </c>
      <c r="BC68" s="1">
        <v>0.0</v>
      </c>
      <c r="BD68" s="1">
        <v>100.0</v>
      </c>
      <c r="BE68" s="1">
        <v>134.0</v>
      </c>
      <c r="BF68" s="1">
        <v>46.0</v>
      </c>
      <c r="BG68" s="1">
        <v>0.0</v>
      </c>
      <c r="BH68" s="1">
        <v>16.0</v>
      </c>
      <c r="BI68" s="1">
        <v>8.0</v>
      </c>
      <c r="BJ68" s="1">
        <v>0.0</v>
      </c>
      <c r="BO68" s="1" t="s">
        <v>1245</v>
      </c>
      <c r="BP68" s="1">
        <v>1.068</v>
      </c>
      <c r="BU68" s="1" t="s">
        <v>974</v>
      </c>
      <c r="BV68" s="1">
        <v>1.1</v>
      </c>
      <c r="BW68" s="1">
        <v>49.0</v>
      </c>
      <c r="BX68" s="1">
        <v>3601.009</v>
      </c>
      <c r="BY68" s="1">
        <v>7740.616</v>
      </c>
      <c r="BZ68" s="1">
        <v>9452.025</v>
      </c>
      <c r="CA68" s="1">
        <v>21049.211</v>
      </c>
      <c r="CB68" s="1">
        <v>464.5</v>
      </c>
      <c r="CC68" s="1">
        <v>0.0</v>
      </c>
      <c r="CD68" s="1">
        <v>672886.0</v>
      </c>
      <c r="CE68" s="1">
        <v>750.0</v>
      </c>
      <c r="CF68" s="1">
        <v>179.0</v>
      </c>
      <c r="CG68" s="1">
        <v>3142447.0</v>
      </c>
      <c r="CH68" s="1">
        <v>89016.0</v>
      </c>
      <c r="CI68" s="1">
        <v>2.0</v>
      </c>
      <c r="CJ68" s="1">
        <v>762998.0</v>
      </c>
      <c r="CK68" s="1">
        <v>26.0</v>
      </c>
      <c r="CL68" s="1">
        <v>124658.0</v>
      </c>
      <c r="CM68" s="1">
        <v>44.0</v>
      </c>
      <c r="CN68" s="1">
        <v>1791458.0</v>
      </c>
      <c r="CO68" s="1">
        <v>71.0</v>
      </c>
      <c r="CP68" s="1">
        <v>348806.0</v>
      </c>
      <c r="CQ68" s="1">
        <v>6.0</v>
      </c>
      <c r="CR68" s="1">
        <v>0.0</v>
      </c>
      <c r="CS68" s="1">
        <v>0.0</v>
      </c>
      <c r="CT68" s="1">
        <v>25511.0</v>
      </c>
      <c r="CU68" s="1">
        <v>30.0</v>
      </c>
      <c r="CV68" s="1">
        <v>1503233.0</v>
      </c>
      <c r="CW68" s="1">
        <v>76.0</v>
      </c>
      <c r="DC68" s="1">
        <v>0.0</v>
      </c>
      <c r="DD68" s="1">
        <v>5075.0</v>
      </c>
      <c r="DE68" s="1">
        <v>0.0</v>
      </c>
      <c r="DF68" s="1">
        <v>3396.0</v>
      </c>
      <c r="DG68" s="1">
        <v>150.0</v>
      </c>
      <c r="DH68" s="1">
        <v>50543.0</v>
      </c>
      <c r="DI68" s="1">
        <v>600.0</v>
      </c>
      <c r="DJ68" s="1">
        <v>613872.0</v>
      </c>
      <c r="DK68" s="1">
        <v>1922.089</v>
      </c>
      <c r="DL68" s="1" t="s">
        <v>975</v>
      </c>
      <c r="DM68" s="1">
        <v>3552.398</v>
      </c>
      <c r="DN68" s="1" t="s">
        <v>975</v>
      </c>
      <c r="DO68" s="1">
        <v>3142285.0</v>
      </c>
      <c r="DP68" s="1">
        <v>1.0</v>
      </c>
      <c r="DQ68" s="1" t="s">
        <v>976</v>
      </c>
      <c r="DR68" s="1" t="s">
        <v>1246</v>
      </c>
      <c r="DS68" s="1" t="s">
        <v>978</v>
      </c>
      <c r="DU68" s="1" t="s">
        <v>994</v>
      </c>
      <c r="DV68" s="1">
        <v>13547.0</v>
      </c>
      <c r="DW68" s="1">
        <v>313.0</v>
      </c>
      <c r="DX68" s="1">
        <v>4098.0</v>
      </c>
      <c r="DY68" s="1">
        <v>943409.0</v>
      </c>
      <c r="DZ68" s="1" t="s">
        <v>981</v>
      </c>
      <c r="EA68" s="1">
        <v>1161.0</v>
      </c>
      <c r="EB68" s="1">
        <v>499109.0</v>
      </c>
      <c r="EC68" s="1">
        <v>1.0</v>
      </c>
      <c r="ED68" s="1">
        <v>26492.0</v>
      </c>
      <c r="EF68" s="1">
        <v>235.0</v>
      </c>
      <c r="EG68" s="1" t="s">
        <v>982</v>
      </c>
      <c r="EH68" s="1">
        <v>100.0</v>
      </c>
      <c r="EK68" s="1">
        <v>100.0</v>
      </c>
      <c r="EQ68" s="9" t="s">
        <v>105</v>
      </c>
      <c r="ER68" s="21">
        <v>46045.29775462963</v>
      </c>
    </row>
    <row r="69">
      <c r="A69" s="9" t="s">
        <v>47</v>
      </c>
      <c r="B69" s="20" t="str">
        <f>IFERROR(__xludf.DUMMYFUNCTION("REGEXREPLACE(A69, ""^https?://[^/]+"", """")"),"/private-equity-solutions/")</f>
        <v>/private-equity-solutions/</v>
      </c>
      <c r="C69" s="1" t="s">
        <v>1247</v>
      </c>
      <c r="D69" s="1" t="s">
        <v>1248</v>
      </c>
      <c r="E69" s="1" t="s">
        <v>1249</v>
      </c>
      <c r="F69" s="1" t="s">
        <v>965</v>
      </c>
      <c r="G69" s="1">
        <v>200.0</v>
      </c>
      <c r="H69" s="1" t="s">
        <v>966</v>
      </c>
      <c r="I69" s="1" t="s">
        <v>967</v>
      </c>
      <c r="K69" s="1" t="s">
        <v>1250</v>
      </c>
      <c r="L69" s="1">
        <v>55.0</v>
      </c>
      <c r="M69" s="1">
        <v>504.0</v>
      </c>
      <c r="O69" s="1">
        <v>0.0</v>
      </c>
      <c r="P69" s="1">
        <v>0.0</v>
      </c>
      <c r="Q69" s="1" t="s">
        <v>1251</v>
      </c>
      <c r="R69" s="1">
        <v>163.0</v>
      </c>
      <c r="S69" s="1">
        <v>998.0</v>
      </c>
      <c r="U69" s="1">
        <v>0.0</v>
      </c>
      <c r="V69" s="1" t="s">
        <v>1247</v>
      </c>
      <c r="W69" s="1">
        <v>44.0</v>
      </c>
      <c r="Y69" s="1">
        <v>0.0</v>
      </c>
      <c r="Z69" s="1" t="s">
        <v>1248</v>
      </c>
      <c r="AA69" s="1">
        <v>70.0</v>
      </c>
      <c r="AB69" s="1" t="s">
        <v>1249</v>
      </c>
      <c r="AC69" s="1">
        <v>34.0</v>
      </c>
      <c r="AD69" s="1" t="s">
        <v>971</v>
      </c>
      <c r="AG69" s="9" t="s">
        <v>47</v>
      </c>
      <c r="AM69" s="1">
        <v>239938.0</v>
      </c>
      <c r="AN69" s="1">
        <v>49275.0</v>
      </c>
      <c r="AO69" s="1">
        <v>49275.0</v>
      </c>
      <c r="AP69" s="1">
        <v>18.876</v>
      </c>
      <c r="AR69" s="1">
        <v>1083.0</v>
      </c>
      <c r="AS69" s="1">
        <v>177.0</v>
      </c>
      <c r="AT69" s="1">
        <v>6.119</v>
      </c>
      <c r="AU69" s="1">
        <v>50.172</v>
      </c>
      <c r="AV69" s="1" t="s">
        <v>972</v>
      </c>
      <c r="AW69" s="1">
        <v>4.962</v>
      </c>
      <c r="AX69" s="1">
        <v>1.0</v>
      </c>
      <c r="AY69" s="1">
        <v>1.0</v>
      </c>
      <c r="AZ69" s="1">
        <v>51.0</v>
      </c>
      <c r="BA69" s="1">
        <v>2296.0</v>
      </c>
      <c r="BB69" s="1">
        <v>754.0</v>
      </c>
      <c r="BC69" s="1">
        <v>0.0</v>
      </c>
      <c r="BD69" s="1">
        <v>100.0</v>
      </c>
      <c r="BE69" s="1">
        <v>114.0</v>
      </c>
      <c r="BF69" s="1">
        <v>44.0</v>
      </c>
      <c r="BG69" s="1">
        <v>0.0</v>
      </c>
      <c r="BH69" s="1">
        <v>7.0</v>
      </c>
      <c r="BI69" s="1">
        <v>6.0</v>
      </c>
      <c r="BJ69" s="1">
        <v>0.0</v>
      </c>
      <c r="BO69" s="1" t="s">
        <v>1252</v>
      </c>
      <c r="BP69" s="1">
        <v>0.994</v>
      </c>
      <c r="BU69" s="1" t="s">
        <v>974</v>
      </c>
      <c r="BV69" s="1">
        <v>1.1</v>
      </c>
      <c r="BW69" s="1">
        <v>47.0</v>
      </c>
      <c r="BX69" s="1">
        <v>3601.02</v>
      </c>
      <c r="BY69" s="1">
        <v>9977.16</v>
      </c>
      <c r="BZ69" s="1">
        <v>9752.058</v>
      </c>
      <c r="CA69" s="1">
        <v>20192.814</v>
      </c>
      <c r="CB69" s="1">
        <v>462.5</v>
      </c>
      <c r="CC69" s="1">
        <v>0.0</v>
      </c>
      <c r="CD69" s="1">
        <v>673075.0</v>
      </c>
      <c r="CE69" s="1">
        <v>1050.0</v>
      </c>
      <c r="CF69" s="1">
        <v>207.0</v>
      </c>
      <c r="CG69" s="1">
        <v>2974253.0</v>
      </c>
      <c r="CH69" s="1">
        <v>50836.0</v>
      </c>
      <c r="CI69" s="1">
        <v>2.0</v>
      </c>
      <c r="CJ69" s="1">
        <v>659918.0</v>
      </c>
      <c r="CK69" s="1">
        <v>48.0</v>
      </c>
      <c r="CL69" s="1">
        <v>128158.0</v>
      </c>
      <c r="CM69" s="1">
        <v>45.0</v>
      </c>
      <c r="CN69" s="1">
        <v>1822178.0</v>
      </c>
      <c r="CO69" s="1">
        <v>77.0</v>
      </c>
      <c r="CP69" s="1">
        <v>287902.0</v>
      </c>
      <c r="CQ69" s="1">
        <v>5.0</v>
      </c>
      <c r="CR69" s="1">
        <v>0.0</v>
      </c>
      <c r="CS69" s="1">
        <v>0.0</v>
      </c>
      <c r="CT69" s="1">
        <v>25261.0</v>
      </c>
      <c r="CU69" s="1">
        <v>30.0</v>
      </c>
      <c r="CV69" s="1">
        <v>1504769.0</v>
      </c>
      <c r="CW69" s="1">
        <v>79.0</v>
      </c>
      <c r="DC69" s="1">
        <v>0.0</v>
      </c>
      <c r="DD69" s="1">
        <v>5074.0</v>
      </c>
      <c r="DE69" s="1">
        <v>0.0</v>
      </c>
      <c r="DF69" s="1">
        <v>3396.0</v>
      </c>
      <c r="DG69" s="1">
        <v>150.0</v>
      </c>
      <c r="DH69" s="1">
        <v>50755.0</v>
      </c>
      <c r="DI69" s="1">
        <v>900.0</v>
      </c>
      <c r="DJ69" s="1">
        <v>613850.0</v>
      </c>
      <c r="DK69" s="1">
        <v>2430.224</v>
      </c>
      <c r="DL69" s="1" t="s">
        <v>975</v>
      </c>
      <c r="DM69" s="1">
        <v>6209.114</v>
      </c>
      <c r="DN69" s="1" t="s">
        <v>975</v>
      </c>
      <c r="DO69" s="1">
        <v>2974075.0</v>
      </c>
      <c r="DP69" s="1">
        <v>1.0</v>
      </c>
      <c r="DQ69" s="1" t="s">
        <v>976</v>
      </c>
      <c r="DR69" s="1" t="s">
        <v>1077</v>
      </c>
      <c r="DS69" s="1" t="s">
        <v>978</v>
      </c>
      <c r="DT69" s="1" t="s">
        <v>979</v>
      </c>
      <c r="DU69" s="1" t="s">
        <v>980</v>
      </c>
      <c r="DV69" s="1">
        <v>13698.0</v>
      </c>
      <c r="DX69" s="1">
        <v>4432.0</v>
      </c>
      <c r="DY69" s="1">
        <v>890869.0</v>
      </c>
      <c r="DZ69" s="1" t="s">
        <v>994</v>
      </c>
      <c r="EA69" s="1">
        <v>1049.0</v>
      </c>
      <c r="EB69" s="1">
        <v>87764.0</v>
      </c>
      <c r="EC69" s="1">
        <v>57.0</v>
      </c>
      <c r="ED69" s="1">
        <v>26492.0</v>
      </c>
      <c r="EF69" s="1">
        <v>670.0</v>
      </c>
      <c r="EG69" s="1" t="s">
        <v>982</v>
      </c>
      <c r="EH69" s="1">
        <v>100.0</v>
      </c>
      <c r="EK69" s="1">
        <v>100.0</v>
      </c>
      <c r="EQ69" s="9" t="s">
        <v>47</v>
      </c>
      <c r="ER69" s="21">
        <v>46045.2977662037</v>
      </c>
    </row>
    <row r="70">
      <c r="A70" s="9" t="s">
        <v>125</v>
      </c>
      <c r="B70" s="20" t="str">
        <f>IFERROR(__xludf.DUMMYFUNCTION("REGEXREPLACE(A70, ""^https?://[^/]+"", """")"),"/ai-for-sales/")</f>
        <v>/ai-for-sales/</v>
      </c>
      <c r="C70" s="1" t="s">
        <v>1253</v>
      </c>
      <c r="D70" s="1" t="s">
        <v>1254</v>
      </c>
      <c r="F70" s="1" t="s">
        <v>965</v>
      </c>
      <c r="G70" s="1">
        <v>200.0</v>
      </c>
      <c r="H70" s="1" t="s">
        <v>966</v>
      </c>
      <c r="I70" s="1" t="s">
        <v>967</v>
      </c>
      <c r="K70" s="1" t="s">
        <v>1255</v>
      </c>
      <c r="L70" s="1">
        <v>32.0</v>
      </c>
      <c r="M70" s="1">
        <v>273.0</v>
      </c>
      <c r="O70" s="1">
        <v>0.0</v>
      </c>
      <c r="P70" s="1">
        <v>0.0</v>
      </c>
      <c r="Q70" s="1" t="s">
        <v>1256</v>
      </c>
      <c r="R70" s="1">
        <v>155.0</v>
      </c>
      <c r="S70" s="1">
        <v>970.0</v>
      </c>
      <c r="U70" s="1">
        <v>0.0</v>
      </c>
      <c r="V70" s="1" t="s">
        <v>1253</v>
      </c>
      <c r="W70" s="1">
        <v>38.0</v>
      </c>
      <c r="Y70" s="1">
        <v>0.0</v>
      </c>
      <c r="Z70" s="1" t="s">
        <v>1254</v>
      </c>
      <c r="AA70" s="1">
        <v>38.0</v>
      </c>
      <c r="AC70" s="1">
        <v>0.0</v>
      </c>
      <c r="AD70" s="1" t="s">
        <v>971</v>
      </c>
      <c r="AG70" s="9" t="s">
        <v>125</v>
      </c>
      <c r="AM70" s="1">
        <v>247488.0</v>
      </c>
      <c r="AN70" s="1">
        <v>41150.0</v>
      </c>
      <c r="AO70" s="1">
        <v>41150.0</v>
      </c>
      <c r="AP70" s="1">
        <v>15.764</v>
      </c>
      <c r="AR70" s="1">
        <v>1947.0</v>
      </c>
      <c r="AS70" s="1">
        <v>346.0</v>
      </c>
      <c r="AT70" s="1">
        <v>5.627</v>
      </c>
      <c r="AU70" s="1">
        <v>53.562</v>
      </c>
      <c r="AV70" s="1" t="s">
        <v>972</v>
      </c>
      <c r="AW70" s="1">
        <v>6.056</v>
      </c>
      <c r="AX70" s="1">
        <v>1.0</v>
      </c>
      <c r="AY70" s="1">
        <v>1.0</v>
      </c>
      <c r="AZ70" s="1">
        <v>52.0</v>
      </c>
      <c r="BA70" s="1">
        <v>2264.0</v>
      </c>
      <c r="BB70" s="1">
        <v>754.0</v>
      </c>
      <c r="BC70" s="1">
        <v>0.0</v>
      </c>
      <c r="BD70" s="1">
        <v>100.0</v>
      </c>
      <c r="BE70" s="1">
        <v>155.0</v>
      </c>
      <c r="BF70" s="1">
        <v>57.0</v>
      </c>
      <c r="BG70" s="1">
        <v>0.0</v>
      </c>
      <c r="BH70" s="1">
        <v>59.0</v>
      </c>
      <c r="BI70" s="1">
        <v>48.0</v>
      </c>
      <c r="BJ70" s="1">
        <v>0.0</v>
      </c>
      <c r="BO70" s="1" t="s">
        <v>1257</v>
      </c>
      <c r="BP70" s="1">
        <v>1.27</v>
      </c>
      <c r="BU70" s="1" t="s">
        <v>974</v>
      </c>
      <c r="BV70" s="1">
        <v>1.1</v>
      </c>
      <c r="BW70" s="1">
        <v>44.0</v>
      </c>
      <c r="BX70" s="1">
        <v>3451.058</v>
      </c>
      <c r="BY70" s="1">
        <v>7273.664</v>
      </c>
      <c r="BZ70" s="1">
        <v>6151.107</v>
      </c>
      <c r="CA70" s="1">
        <v>19155.137</v>
      </c>
      <c r="CB70" s="1">
        <v>872.5</v>
      </c>
      <c r="CC70" s="1">
        <v>0.01</v>
      </c>
      <c r="CD70" s="1">
        <v>673033.0</v>
      </c>
      <c r="CE70" s="1">
        <v>750.0</v>
      </c>
      <c r="CF70" s="1">
        <v>201.0</v>
      </c>
      <c r="CG70" s="1">
        <v>1.1190502E7</v>
      </c>
      <c r="CH70" s="1">
        <v>41890.0</v>
      </c>
      <c r="CI70" s="1">
        <v>2.0</v>
      </c>
      <c r="CJ70" s="1">
        <v>276003.0</v>
      </c>
      <c r="CK70" s="1">
        <v>35.0</v>
      </c>
      <c r="CL70" s="1">
        <v>132168.0</v>
      </c>
      <c r="CM70" s="1">
        <v>49.0</v>
      </c>
      <c r="CN70" s="1">
        <v>1809417.0</v>
      </c>
      <c r="CO70" s="1">
        <v>76.0</v>
      </c>
      <c r="CP70" s="1">
        <v>399444.0</v>
      </c>
      <c r="CQ70" s="1">
        <v>7.0</v>
      </c>
      <c r="CR70" s="1">
        <v>8506326.0</v>
      </c>
      <c r="CS70" s="1">
        <v>3.0</v>
      </c>
      <c r="CT70" s="1">
        <v>25254.0</v>
      </c>
      <c r="CU70" s="1">
        <v>29.0</v>
      </c>
      <c r="CV70" s="1">
        <v>1504965.0</v>
      </c>
      <c r="CW70" s="1">
        <v>80.0</v>
      </c>
      <c r="DC70" s="1">
        <v>0.0</v>
      </c>
      <c r="DD70" s="1">
        <v>5075.0</v>
      </c>
      <c r="DE70" s="1">
        <v>0.0</v>
      </c>
      <c r="DF70" s="1">
        <v>3396.0</v>
      </c>
      <c r="DG70" s="1">
        <v>150.0</v>
      </c>
      <c r="DH70" s="1">
        <v>50516.0</v>
      </c>
      <c r="DI70" s="1">
        <v>600.0</v>
      </c>
      <c r="DJ70" s="1">
        <v>614046.0</v>
      </c>
      <c r="DK70" s="1">
        <v>2608.594</v>
      </c>
      <c r="DL70" s="1" t="s">
        <v>975</v>
      </c>
      <c r="DM70" s="1">
        <v>5520.6</v>
      </c>
      <c r="DN70" s="1" t="s">
        <v>975</v>
      </c>
      <c r="DO70" s="1">
        <v>1.1189332E7</v>
      </c>
      <c r="DP70" s="1">
        <v>1.0</v>
      </c>
      <c r="DQ70" s="1" t="s">
        <v>976</v>
      </c>
      <c r="DR70" s="1" t="s">
        <v>1108</v>
      </c>
      <c r="DS70" s="1" t="s">
        <v>978</v>
      </c>
      <c r="DT70" s="1" t="s">
        <v>979</v>
      </c>
      <c r="DU70" s="1" t="s">
        <v>980</v>
      </c>
      <c r="DV70" s="1">
        <v>14029.0</v>
      </c>
      <c r="DX70" s="1">
        <v>4756.0</v>
      </c>
      <c r="DY70" s="1">
        <v>778387.0</v>
      </c>
      <c r="DZ70" s="1" t="s">
        <v>981</v>
      </c>
      <c r="EA70" s="1">
        <v>1396.0</v>
      </c>
      <c r="EB70" s="1">
        <v>19075.0</v>
      </c>
      <c r="EC70" s="1">
        <v>201.0</v>
      </c>
      <c r="ED70" s="1">
        <v>26492.0</v>
      </c>
      <c r="EF70" s="1">
        <v>245.0</v>
      </c>
      <c r="EG70" s="1" t="s">
        <v>982</v>
      </c>
      <c r="EH70" s="1">
        <v>100.0</v>
      </c>
      <c r="EK70" s="1">
        <v>100.0</v>
      </c>
      <c r="EQ70" s="9" t="s">
        <v>125</v>
      </c>
      <c r="ER70" s="21">
        <v>46045.2977662037</v>
      </c>
    </row>
    <row r="71">
      <c r="A71" s="9" t="s">
        <v>1258</v>
      </c>
      <c r="B71" s="20" t="str">
        <f>IFERROR(__xludf.DUMMYFUNCTION("REGEXREPLACE(A71, ""^https?://[^/]+"", """")"),"/how-we-serve/")</f>
        <v>/how-we-serve/</v>
      </c>
      <c r="C71" s="1" t="s">
        <v>1259</v>
      </c>
      <c r="D71" s="1" t="s">
        <v>1260</v>
      </c>
      <c r="E71" s="1" t="s">
        <v>1261</v>
      </c>
      <c r="F71" s="1" t="s">
        <v>965</v>
      </c>
      <c r="G71" s="1">
        <v>200.0</v>
      </c>
      <c r="H71" s="1" t="s">
        <v>966</v>
      </c>
      <c r="I71" s="1" t="s">
        <v>967</v>
      </c>
      <c r="K71" s="1" t="s">
        <v>1262</v>
      </c>
      <c r="L71" s="1">
        <v>49.0</v>
      </c>
      <c r="M71" s="1">
        <v>438.0</v>
      </c>
      <c r="O71" s="1">
        <v>0.0</v>
      </c>
      <c r="P71" s="1">
        <v>0.0</v>
      </c>
      <c r="Q71" s="1" t="s">
        <v>1263</v>
      </c>
      <c r="R71" s="1">
        <v>148.0</v>
      </c>
      <c r="S71" s="1">
        <v>905.0</v>
      </c>
      <c r="U71" s="1">
        <v>0.0</v>
      </c>
      <c r="V71" s="1" t="s">
        <v>1259</v>
      </c>
      <c r="W71" s="1">
        <v>12.0</v>
      </c>
      <c r="Y71" s="1">
        <v>0.0</v>
      </c>
      <c r="Z71" s="1" t="s">
        <v>1260</v>
      </c>
      <c r="AA71" s="1">
        <v>66.0</v>
      </c>
      <c r="AB71" s="1" t="s">
        <v>1261</v>
      </c>
      <c r="AC71" s="1">
        <v>31.0</v>
      </c>
      <c r="AD71" s="1" t="s">
        <v>971</v>
      </c>
      <c r="AG71" s="9" t="s">
        <v>1258</v>
      </c>
      <c r="AM71" s="1">
        <v>207188.0</v>
      </c>
      <c r="AN71" s="1">
        <v>36762.0</v>
      </c>
      <c r="AO71" s="1">
        <v>36762.0</v>
      </c>
      <c r="AP71" s="1">
        <v>14.083</v>
      </c>
      <c r="AR71" s="1">
        <v>1340.0</v>
      </c>
      <c r="AS71" s="1">
        <v>224.0</v>
      </c>
      <c r="AT71" s="1">
        <v>5.982</v>
      </c>
      <c r="AU71" s="1">
        <v>73.169</v>
      </c>
      <c r="AV71" s="1" t="s">
        <v>1264</v>
      </c>
      <c r="AW71" s="1">
        <v>4.949</v>
      </c>
      <c r="AX71" s="1">
        <v>1.0</v>
      </c>
      <c r="AY71" s="1">
        <v>1.0</v>
      </c>
      <c r="AZ71" s="1">
        <v>51.0</v>
      </c>
      <c r="BA71" s="1">
        <v>2263.0</v>
      </c>
      <c r="BB71" s="1">
        <v>754.0</v>
      </c>
      <c r="BC71" s="1">
        <v>0.0</v>
      </c>
      <c r="BD71" s="1">
        <v>100.0</v>
      </c>
      <c r="BE71" s="1">
        <v>130.0</v>
      </c>
      <c r="BF71" s="1">
        <v>50.0</v>
      </c>
      <c r="BG71" s="1">
        <v>0.0</v>
      </c>
      <c r="BH71" s="1">
        <v>70.0</v>
      </c>
      <c r="BI71" s="1">
        <v>58.0</v>
      </c>
      <c r="BJ71" s="1">
        <v>0.0</v>
      </c>
      <c r="BO71" s="1" t="s">
        <v>1265</v>
      </c>
      <c r="BP71" s="1">
        <v>1.138</v>
      </c>
      <c r="BU71" s="1" t="s">
        <v>974</v>
      </c>
      <c r="BV71" s="1">
        <v>1.1</v>
      </c>
      <c r="BW71" s="1">
        <v>45.0</v>
      </c>
      <c r="BX71" s="1">
        <v>4051.036</v>
      </c>
      <c r="BY71" s="1">
        <v>8262.512</v>
      </c>
      <c r="BZ71" s="1">
        <v>11851.111</v>
      </c>
      <c r="CA71" s="1">
        <v>19145.797</v>
      </c>
      <c r="CB71" s="1">
        <v>573.5</v>
      </c>
      <c r="CC71" s="1">
        <v>0.007</v>
      </c>
      <c r="CD71" s="1">
        <v>673099.0</v>
      </c>
      <c r="CE71" s="1">
        <v>1500.0</v>
      </c>
      <c r="CF71" s="1">
        <v>185.0</v>
      </c>
      <c r="CG71" s="1">
        <v>2635546.0</v>
      </c>
      <c r="CH71" s="1">
        <v>37754.0</v>
      </c>
      <c r="CI71" s="1">
        <v>2.0</v>
      </c>
      <c r="CJ71" s="1">
        <v>153322.0</v>
      </c>
      <c r="CK71" s="1">
        <v>23.0</v>
      </c>
      <c r="CL71" s="1">
        <v>129404.0</v>
      </c>
      <c r="CM71" s="1">
        <v>47.0</v>
      </c>
      <c r="CN71" s="1">
        <v>1805335.0</v>
      </c>
      <c r="CO71" s="1">
        <v>75.0</v>
      </c>
      <c r="CP71" s="1">
        <v>484453.0</v>
      </c>
      <c r="CQ71" s="1">
        <v>9.0</v>
      </c>
      <c r="CR71" s="1">
        <v>0.0</v>
      </c>
      <c r="CS71" s="1">
        <v>0.0</v>
      </c>
      <c r="CT71" s="1">
        <v>25278.0</v>
      </c>
      <c r="CU71" s="1">
        <v>29.0</v>
      </c>
      <c r="CV71" s="1">
        <v>1504120.0</v>
      </c>
      <c r="CW71" s="1">
        <v>70.0</v>
      </c>
      <c r="DC71" s="1">
        <v>0.0</v>
      </c>
      <c r="DD71" s="1">
        <v>5075.0</v>
      </c>
      <c r="DE71" s="1">
        <v>0.0</v>
      </c>
      <c r="DF71" s="1">
        <v>3396.0</v>
      </c>
      <c r="DG71" s="1">
        <v>300.0</v>
      </c>
      <c r="DH71" s="1">
        <v>50541.0</v>
      </c>
      <c r="DI71" s="1">
        <v>1200.0</v>
      </c>
      <c r="DJ71" s="1">
        <v>614087.0</v>
      </c>
      <c r="DK71" s="1">
        <v>2082.366</v>
      </c>
      <c r="DL71" s="1" t="s">
        <v>975</v>
      </c>
      <c r="DM71" s="1">
        <v>3984.78</v>
      </c>
      <c r="DN71" s="1" t="s">
        <v>975</v>
      </c>
      <c r="DO71" s="1">
        <v>2635221.0</v>
      </c>
      <c r="DP71" s="1">
        <v>1.0</v>
      </c>
      <c r="DQ71" s="1" t="s">
        <v>976</v>
      </c>
      <c r="DR71" s="1" t="s">
        <v>1266</v>
      </c>
      <c r="DS71" s="1" t="s">
        <v>978</v>
      </c>
      <c r="DU71" s="1" t="s">
        <v>980</v>
      </c>
      <c r="DV71" s="1">
        <v>14148.0</v>
      </c>
      <c r="DX71" s="1">
        <v>4077.0</v>
      </c>
      <c r="DY71" s="1">
        <v>760914.0</v>
      </c>
      <c r="DZ71" s="1" t="s">
        <v>981</v>
      </c>
      <c r="EA71" s="1">
        <v>1164.0</v>
      </c>
      <c r="EB71" s="1">
        <v>12082.0</v>
      </c>
      <c r="EC71" s="1">
        <v>1.0</v>
      </c>
      <c r="ED71" s="1">
        <v>26492.0</v>
      </c>
      <c r="EF71" s="1">
        <v>240.0</v>
      </c>
      <c r="EG71" s="1" t="s">
        <v>982</v>
      </c>
      <c r="EH71" s="1">
        <v>100.0</v>
      </c>
      <c r="EK71" s="1">
        <v>100.0</v>
      </c>
      <c r="EQ71" s="9" t="s">
        <v>1258</v>
      </c>
      <c r="ER71" s="21">
        <v>46045.2977662037</v>
      </c>
    </row>
    <row r="72">
      <c r="A72" s="9" t="s">
        <v>1267</v>
      </c>
      <c r="B72" s="20" t="str">
        <f>IFERROR(__xludf.DUMMYFUNCTION("REGEXREPLACE(A72, ""^https?://[^/]+"", """")"),"/wp-content/uploads/2021/11/Canda-shadow.png")</f>
        <v>/wp-content/uploads/2021/11/Canda-shadow.png</v>
      </c>
      <c r="F72" s="1" t="s">
        <v>1047</v>
      </c>
      <c r="G72" s="1">
        <v>200.0</v>
      </c>
      <c r="H72" s="1" t="s">
        <v>966</v>
      </c>
      <c r="I72" s="1" t="s">
        <v>967</v>
      </c>
      <c r="L72" s="1">
        <v>0.0</v>
      </c>
      <c r="M72" s="1">
        <v>0.0</v>
      </c>
      <c r="O72" s="1">
        <v>0.0</v>
      </c>
      <c r="P72" s="1">
        <v>0.0</v>
      </c>
      <c r="R72" s="1">
        <v>0.0</v>
      </c>
      <c r="S72" s="1">
        <v>0.0</v>
      </c>
      <c r="U72" s="1">
        <v>0.0</v>
      </c>
      <c r="W72" s="1">
        <v>0.0</v>
      </c>
      <c r="Y72" s="1">
        <v>0.0</v>
      </c>
      <c r="AA72" s="1">
        <v>0.0</v>
      </c>
      <c r="AC72" s="1">
        <v>0.0</v>
      </c>
      <c r="AM72" s="1">
        <v>68364.0</v>
      </c>
      <c r="AN72" s="1">
        <v>68364.0</v>
      </c>
      <c r="AO72" s="1">
        <v>68364.0</v>
      </c>
      <c r="AP72" s="1">
        <v>26.189</v>
      </c>
      <c r="AR72" s="1">
        <v>0.0</v>
      </c>
      <c r="AW72" s="1">
        <v>0.0</v>
      </c>
      <c r="AX72" s="1">
        <v>1.0</v>
      </c>
      <c r="AY72" s="1">
        <v>4.0</v>
      </c>
      <c r="BA72" s="1">
        <v>0.0</v>
      </c>
      <c r="BB72" s="1">
        <v>0.0</v>
      </c>
      <c r="BC72" s="1">
        <v>0.0</v>
      </c>
      <c r="BD72" s="1">
        <v>0.0</v>
      </c>
      <c r="BE72" s="1">
        <v>0.0</v>
      </c>
      <c r="BF72" s="1">
        <v>0.0</v>
      </c>
      <c r="BG72" s="1">
        <v>0.0</v>
      </c>
      <c r="BH72" s="1">
        <v>0.0</v>
      </c>
      <c r="BI72" s="1">
        <v>0.0</v>
      </c>
      <c r="BJ72" s="1">
        <v>0.0</v>
      </c>
      <c r="BP72" s="1">
        <v>0.273</v>
      </c>
      <c r="BQ72" s="1" t="s">
        <v>1268</v>
      </c>
      <c r="BV72" s="1">
        <v>1.1</v>
      </c>
      <c r="EQ72" s="9" t="s">
        <v>1267</v>
      </c>
      <c r="ER72" s="21">
        <v>46045.29777777778</v>
      </c>
    </row>
    <row r="73">
      <c r="A73" s="9" t="s">
        <v>1269</v>
      </c>
      <c r="B73" s="20" t="str">
        <f>IFERROR(__xludf.DUMMYFUNCTION("REGEXREPLACE(A73, ""^https?://[^/]+"", """")"),"/wp-content/plugins/elementor/assets/css/widget-heading.min.css?ver=3.34.0")</f>
        <v>/wp-content/plugins/elementor/assets/css/widget-heading.min.css?ver=3.34.0</v>
      </c>
      <c r="F73" s="1" t="s">
        <v>1016</v>
      </c>
      <c r="G73" s="1">
        <v>200.0</v>
      </c>
      <c r="H73" s="1" t="s">
        <v>966</v>
      </c>
      <c r="I73" s="1" t="s">
        <v>967</v>
      </c>
      <c r="L73" s="1">
        <v>0.0</v>
      </c>
      <c r="M73" s="1">
        <v>0.0</v>
      </c>
      <c r="O73" s="1">
        <v>0.0</v>
      </c>
      <c r="P73" s="1">
        <v>0.0</v>
      </c>
      <c r="R73" s="1">
        <v>0.0</v>
      </c>
      <c r="S73" s="1">
        <v>0.0</v>
      </c>
      <c r="U73" s="1">
        <v>0.0</v>
      </c>
      <c r="W73" s="1">
        <v>0.0</v>
      </c>
      <c r="Y73" s="1">
        <v>0.0</v>
      </c>
      <c r="AA73" s="1">
        <v>0.0</v>
      </c>
      <c r="AC73" s="1">
        <v>0.0</v>
      </c>
      <c r="AM73" s="1">
        <v>160.0</v>
      </c>
      <c r="AN73" s="1">
        <v>160.0</v>
      </c>
      <c r="AO73" s="1">
        <v>160.0</v>
      </c>
      <c r="AP73" s="1">
        <v>0.061</v>
      </c>
      <c r="AR73" s="1">
        <v>0.0</v>
      </c>
      <c r="AW73" s="1">
        <v>0.0</v>
      </c>
      <c r="AX73" s="1">
        <v>1.0</v>
      </c>
      <c r="AY73" s="1">
        <v>5.0</v>
      </c>
      <c r="BA73" s="1">
        <v>0.0</v>
      </c>
      <c r="BB73" s="1">
        <v>0.0</v>
      </c>
      <c r="BC73" s="1">
        <v>0.0</v>
      </c>
      <c r="BD73" s="1">
        <v>0.0</v>
      </c>
      <c r="BE73" s="1">
        <v>0.0</v>
      </c>
      <c r="BF73" s="1">
        <v>0.0</v>
      </c>
      <c r="BG73" s="1">
        <v>0.0</v>
      </c>
      <c r="BH73" s="1">
        <v>0.0</v>
      </c>
      <c r="BI73" s="1">
        <v>0.0</v>
      </c>
      <c r="BJ73" s="1">
        <v>0.0</v>
      </c>
      <c r="BP73" s="1">
        <v>0.256</v>
      </c>
      <c r="BQ73" s="1" t="s">
        <v>1017</v>
      </c>
      <c r="BV73" s="1">
        <v>1.1</v>
      </c>
      <c r="EQ73" s="9" t="s">
        <v>1269</v>
      </c>
      <c r="ER73" s="21">
        <v>46045.297789351855</v>
      </c>
    </row>
    <row r="74">
      <c r="A74" s="9" t="s">
        <v>1270</v>
      </c>
      <c r="B74" s="20" t="str">
        <f>IFERROR(__xludf.DUMMYFUNCTION("REGEXREPLACE(A74, ""^https?://[^/]+"", """")"),"/wp-content/uploads/2025/03/nomask-1024x578.jpg")</f>
        <v>/wp-content/uploads/2025/03/nomask-1024x578.jpg</v>
      </c>
      <c r="F74" s="1" t="s">
        <v>1004</v>
      </c>
      <c r="G74" s="1">
        <v>200.0</v>
      </c>
      <c r="H74" s="1" t="s">
        <v>966</v>
      </c>
      <c r="I74" s="1" t="s">
        <v>967</v>
      </c>
      <c r="L74" s="1">
        <v>0.0</v>
      </c>
      <c r="M74" s="1">
        <v>0.0</v>
      </c>
      <c r="O74" s="1">
        <v>0.0</v>
      </c>
      <c r="P74" s="1">
        <v>0.0</v>
      </c>
      <c r="R74" s="1">
        <v>0.0</v>
      </c>
      <c r="S74" s="1">
        <v>0.0</v>
      </c>
      <c r="U74" s="1">
        <v>0.0</v>
      </c>
      <c r="W74" s="1">
        <v>0.0</v>
      </c>
      <c r="Y74" s="1">
        <v>0.0</v>
      </c>
      <c r="AA74" s="1">
        <v>0.0</v>
      </c>
      <c r="AC74" s="1">
        <v>0.0</v>
      </c>
      <c r="AM74" s="1">
        <v>47222.0</v>
      </c>
      <c r="AN74" s="1">
        <v>47222.0</v>
      </c>
      <c r="AO74" s="1">
        <v>47222.0</v>
      </c>
      <c r="AP74" s="1">
        <v>18.09</v>
      </c>
      <c r="AR74" s="1">
        <v>0.0</v>
      </c>
      <c r="AW74" s="1">
        <v>0.0</v>
      </c>
      <c r="AX74" s="1">
        <v>1.0</v>
      </c>
      <c r="AY74" s="1">
        <v>4.0</v>
      </c>
      <c r="BA74" s="1">
        <v>0.0</v>
      </c>
      <c r="BB74" s="1">
        <v>0.0</v>
      </c>
      <c r="BC74" s="1">
        <v>0.0</v>
      </c>
      <c r="BD74" s="1">
        <v>0.0</v>
      </c>
      <c r="BE74" s="1">
        <v>0.0</v>
      </c>
      <c r="BF74" s="1">
        <v>0.0</v>
      </c>
      <c r="BG74" s="1">
        <v>0.0</v>
      </c>
      <c r="BH74" s="1">
        <v>0.0</v>
      </c>
      <c r="BI74" s="1">
        <v>0.0</v>
      </c>
      <c r="BJ74" s="1">
        <v>0.0</v>
      </c>
      <c r="BP74" s="1">
        <v>0.26</v>
      </c>
      <c r="BQ74" s="1" t="s">
        <v>1271</v>
      </c>
      <c r="BV74" s="1">
        <v>1.1</v>
      </c>
      <c r="EQ74" s="9" t="s">
        <v>1270</v>
      </c>
      <c r="ER74" s="21">
        <v>46045.297789351855</v>
      </c>
    </row>
    <row r="75">
      <c r="A75" s="9" t="s">
        <v>1272</v>
      </c>
      <c r="B75" s="20" t="str">
        <f>IFERROR(__xludf.DUMMYFUNCTION("REGEXREPLACE(A75, ""^https?://[^/]+"", """")"),"/wp-content/uploads/2025/02/SX-2-1024x684.jpg")</f>
        <v>/wp-content/uploads/2025/02/SX-2-1024x684.jpg</v>
      </c>
      <c r="F75" s="1" t="s">
        <v>1004</v>
      </c>
      <c r="G75" s="1">
        <v>200.0</v>
      </c>
      <c r="H75" s="1" t="s">
        <v>966</v>
      </c>
      <c r="I75" s="1" t="s">
        <v>967</v>
      </c>
      <c r="L75" s="1">
        <v>0.0</v>
      </c>
      <c r="M75" s="1">
        <v>0.0</v>
      </c>
      <c r="O75" s="1">
        <v>0.0</v>
      </c>
      <c r="P75" s="1">
        <v>0.0</v>
      </c>
      <c r="R75" s="1">
        <v>0.0</v>
      </c>
      <c r="S75" s="1">
        <v>0.0</v>
      </c>
      <c r="U75" s="1">
        <v>0.0</v>
      </c>
      <c r="W75" s="1">
        <v>0.0</v>
      </c>
      <c r="Y75" s="1">
        <v>0.0</v>
      </c>
      <c r="AA75" s="1">
        <v>0.0</v>
      </c>
      <c r="AC75" s="1">
        <v>0.0</v>
      </c>
      <c r="AM75" s="1">
        <v>52252.0</v>
      </c>
      <c r="AN75" s="1">
        <v>52252.0</v>
      </c>
      <c r="AO75" s="1">
        <v>52252.0</v>
      </c>
      <c r="AP75" s="1">
        <v>20.017</v>
      </c>
      <c r="AR75" s="1">
        <v>0.0</v>
      </c>
      <c r="AW75" s="1">
        <v>0.0</v>
      </c>
      <c r="AX75" s="1">
        <v>1.0</v>
      </c>
      <c r="AY75" s="1">
        <v>4.0</v>
      </c>
      <c r="BA75" s="1">
        <v>0.0</v>
      </c>
      <c r="BB75" s="1">
        <v>0.0</v>
      </c>
      <c r="BC75" s="1">
        <v>0.0</v>
      </c>
      <c r="BD75" s="1">
        <v>0.0</v>
      </c>
      <c r="BE75" s="1">
        <v>0.0</v>
      </c>
      <c r="BF75" s="1">
        <v>0.0</v>
      </c>
      <c r="BG75" s="1">
        <v>0.0</v>
      </c>
      <c r="BH75" s="1">
        <v>0.0</v>
      </c>
      <c r="BI75" s="1">
        <v>0.0</v>
      </c>
      <c r="BJ75" s="1">
        <v>0.0</v>
      </c>
      <c r="BP75" s="1">
        <v>0.268</v>
      </c>
      <c r="BQ75" s="1" t="s">
        <v>1273</v>
      </c>
      <c r="BV75" s="1">
        <v>1.1</v>
      </c>
      <c r="EQ75" s="9" t="s">
        <v>1272</v>
      </c>
      <c r="ER75" s="21">
        <v>46045.297789351855</v>
      </c>
    </row>
    <row r="76">
      <c r="A76" s="9" t="s">
        <v>1274</v>
      </c>
      <c r="B76" s="20" t="str">
        <f>IFERROR(__xludf.DUMMYFUNCTION("REGEXREPLACE(A76, ""^https?://[^/]+"", """")"),"/frequently-asked-questions/")</f>
        <v>/frequently-asked-questions/</v>
      </c>
      <c r="C76" s="1" t="s">
        <v>1275</v>
      </c>
      <c r="D76" s="1" t="s">
        <v>1276</v>
      </c>
      <c r="E76" s="1" t="s">
        <v>1277</v>
      </c>
      <c r="F76" s="1" t="s">
        <v>965</v>
      </c>
      <c r="G76" s="1">
        <v>200.0</v>
      </c>
      <c r="H76" s="1" t="s">
        <v>966</v>
      </c>
      <c r="I76" s="1" t="s">
        <v>967</v>
      </c>
      <c r="K76" s="1" t="s">
        <v>1278</v>
      </c>
      <c r="L76" s="1">
        <v>46.0</v>
      </c>
      <c r="M76" s="1">
        <v>420.0</v>
      </c>
      <c r="O76" s="1">
        <v>0.0</v>
      </c>
      <c r="P76" s="1">
        <v>0.0</v>
      </c>
      <c r="Q76" s="1" t="s">
        <v>1279</v>
      </c>
      <c r="R76" s="1">
        <v>31.0</v>
      </c>
      <c r="S76" s="1">
        <v>201.0</v>
      </c>
      <c r="U76" s="1">
        <v>0.0</v>
      </c>
      <c r="V76" s="1" t="s">
        <v>1275</v>
      </c>
      <c r="W76" s="1">
        <v>26.0</v>
      </c>
      <c r="Y76" s="1">
        <v>0.0</v>
      </c>
      <c r="Z76" s="1" t="s">
        <v>1276</v>
      </c>
      <c r="AA76" s="1">
        <v>17.0</v>
      </c>
      <c r="AB76" s="1" t="s">
        <v>1277</v>
      </c>
      <c r="AC76" s="1">
        <v>20.0</v>
      </c>
      <c r="AD76" s="1" t="s">
        <v>971</v>
      </c>
      <c r="AG76" s="9" t="s">
        <v>1274</v>
      </c>
      <c r="AM76" s="1">
        <v>165559.0</v>
      </c>
      <c r="AN76" s="1">
        <v>32316.0</v>
      </c>
      <c r="AO76" s="1">
        <v>32316.0</v>
      </c>
      <c r="AP76" s="1">
        <v>12.38</v>
      </c>
      <c r="AR76" s="1">
        <v>1126.0</v>
      </c>
      <c r="AS76" s="1">
        <v>164.0</v>
      </c>
      <c r="AT76" s="1">
        <v>6.866</v>
      </c>
      <c r="AU76" s="1">
        <v>58.691</v>
      </c>
      <c r="AV76" s="1" t="s">
        <v>972</v>
      </c>
      <c r="AW76" s="1">
        <v>5.708</v>
      </c>
      <c r="AX76" s="1">
        <v>1.0</v>
      </c>
      <c r="AY76" s="1">
        <v>1.0</v>
      </c>
      <c r="AZ76" s="1">
        <v>51.0</v>
      </c>
      <c r="BA76" s="1">
        <v>2249.0</v>
      </c>
      <c r="BB76" s="1">
        <v>754.0</v>
      </c>
      <c r="BC76" s="1">
        <v>0.0</v>
      </c>
      <c r="BD76" s="1">
        <v>100.0</v>
      </c>
      <c r="BE76" s="1">
        <v>123.0</v>
      </c>
      <c r="BF76" s="1">
        <v>42.0</v>
      </c>
      <c r="BG76" s="1">
        <v>0.0</v>
      </c>
      <c r="BH76" s="1">
        <v>16.0</v>
      </c>
      <c r="BI76" s="1">
        <v>8.0</v>
      </c>
      <c r="BJ76" s="1">
        <v>0.0</v>
      </c>
      <c r="BO76" s="1" t="s">
        <v>1280</v>
      </c>
      <c r="BP76" s="1">
        <v>1.003</v>
      </c>
      <c r="BU76" s="1" t="s">
        <v>974</v>
      </c>
      <c r="BV76" s="1">
        <v>1.1</v>
      </c>
      <c r="BW76" s="1">
        <v>53.0</v>
      </c>
      <c r="BX76" s="1">
        <v>3451.072</v>
      </c>
      <c r="BY76" s="1">
        <v>6752.793</v>
      </c>
      <c r="BZ76" s="1">
        <v>6151.133</v>
      </c>
      <c r="CA76" s="1">
        <v>18040.514</v>
      </c>
      <c r="CB76" s="1">
        <v>474.5</v>
      </c>
      <c r="CC76" s="1">
        <v>0.0</v>
      </c>
      <c r="CD76" s="1">
        <v>651667.0</v>
      </c>
      <c r="CE76" s="1">
        <v>1350.0</v>
      </c>
      <c r="CF76" s="1">
        <v>166.0</v>
      </c>
      <c r="CG76" s="1">
        <v>2353987.0</v>
      </c>
      <c r="CH76" s="1">
        <v>31771.0</v>
      </c>
      <c r="CI76" s="1">
        <v>2.0</v>
      </c>
      <c r="CJ76" s="1">
        <v>191627.0</v>
      </c>
      <c r="CK76" s="1">
        <v>24.0</v>
      </c>
      <c r="CL76" s="1">
        <v>112033.0</v>
      </c>
      <c r="CM76" s="1">
        <v>38.0</v>
      </c>
      <c r="CN76" s="1">
        <v>1748987.0</v>
      </c>
      <c r="CO76" s="1">
        <v>69.0</v>
      </c>
      <c r="CP76" s="1">
        <v>244251.0</v>
      </c>
      <c r="CQ76" s="1">
        <v>5.0</v>
      </c>
      <c r="CR76" s="1">
        <v>0.0</v>
      </c>
      <c r="CS76" s="1">
        <v>0.0</v>
      </c>
      <c r="CT76" s="1">
        <v>25318.0</v>
      </c>
      <c r="CU76" s="1">
        <v>28.0</v>
      </c>
      <c r="CV76" s="1">
        <v>1503514.0</v>
      </c>
      <c r="CW76" s="1">
        <v>65.0</v>
      </c>
      <c r="DC76" s="1">
        <v>150.0</v>
      </c>
      <c r="DD76" s="1">
        <v>5075.0</v>
      </c>
      <c r="DE76" s="1">
        <v>0.0</v>
      </c>
      <c r="DF76" s="1">
        <v>3396.0</v>
      </c>
      <c r="DG76" s="1">
        <v>600.0</v>
      </c>
      <c r="DH76" s="1">
        <v>50560.0</v>
      </c>
      <c r="DI76" s="1">
        <v>600.0</v>
      </c>
      <c r="DJ76" s="1">
        <v>592636.0</v>
      </c>
      <c r="DK76" s="1">
        <v>1739.957</v>
      </c>
      <c r="DL76" s="1" t="s">
        <v>975</v>
      </c>
      <c r="DM76" s="1">
        <v>3105.097</v>
      </c>
      <c r="DN76" s="1" t="s">
        <v>975</v>
      </c>
      <c r="DO76" s="1">
        <v>2353905.0</v>
      </c>
      <c r="DP76" s="1">
        <v>1.0</v>
      </c>
      <c r="DQ76" s="1" t="s">
        <v>976</v>
      </c>
      <c r="DR76" s="1" t="s">
        <v>1064</v>
      </c>
      <c r="DS76" s="1" t="s">
        <v>978</v>
      </c>
      <c r="DT76" s="1" t="s">
        <v>979</v>
      </c>
      <c r="DU76" s="1" t="s">
        <v>980</v>
      </c>
      <c r="DV76" s="1">
        <v>12791.0</v>
      </c>
      <c r="DX76" s="1">
        <v>3945.0</v>
      </c>
      <c r="DY76" s="1">
        <v>650971.0</v>
      </c>
      <c r="DZ76" s="1" t="s">
        <v>981</v>
      </c>
      <c r="EA76" s="1">
        <v>902.0</v>
      </c>
      <c r="EB76" s="1">
        <v>27429.0</v>
      </c>
      <c r="EC76" s="1">
        <v>1.0</v>
      </c>
      <c r="ED76" s="1">
        <v>26492.0</v>
      </c>
      <c r="EF76" s="1">
        <v>235.0</v>
      </c>
      <c r="EG76" s="1" t="s">
        <v>982</v>
      </c>
      <c r="EH76" s="1">
        <v>100.0</v>
      </c>
      <c r="EK76" s="1">
        <v>100.0</v>
      </c>
      <c r="EQ76" s="9" t="s">
        <v>1274</v>
      </c>
      <c r="ER76" s="21">
        <v>46045.29777777778</v>
      </c>
    </row>
    <row r="77">
      <c r="A77" s="9" t="s">
        <v>1281</v>
      </c>
      <c r="B77" s="20" t="str">
        <f>IFERROR(__xludf.DUMMYFUNCTION("REGEXREPLACE(A77, ""^https?://[^/]+"", """")"),"/wp-content/uploads/elementor/css/post-51707.css?ver=1768845927")</f>
        <v>/wp-content/uploads/elementor/css/post-51707.css?ver=1768845927</v>
      </c>
      <c r="F77" s="1" t="s">
        <v>1016</v>
      </c>
      <c r="G77" s="1">
        <v>200.0</v>
      </c>
      <c r="H77" s="1" t="s">
        <v>966</v>
      </c>
      <c r="I77" s="1" t="s">
        <v>967</v>
      </c>
      <c r="L77" s="1">
        <v>0.0</v>
      </c>
      <c r="M77" s="1">
        <v>0.0</v>
      </c>
      <c r="O77" s="1">
        <v>0.0</v>
      </c>
      <c r="P77" s="1">
        <v>0.0</v>
      </c>
      <c r="R77" s="1">
        <v>0.0</v>
      </c>
      <c r="S77" s="1">
        <v>0.0</v>
      </c>
      <c r="U77" s="1">
        <v>0.0</v>
      </c>
      <c r="W77" s="1">
        <v>0.0</v>
      </c>
      <c r="Y77" s="1">
        <v>0.0</v>
      </c>
      <c r="AA77" s="1">
        <v>0.0</v>
      </c>
      <c r="AC77" s="1">
        <v>0.0</v>
      </c>
      <c r="AM77" s="1">
        <v>1602.0</v>
      </c>
      <c r="AN77" s="1">
        <v>1602.0</v>
      </c>
      <c r="AO77" s="1">
        <v>1602.0</v>
      </c>
      <c r="AP77" s="1">
        <v>0.614</v>
      </c>
      <c r="AR77" s="1">
        <v>0.0</v>
      </c>
      <c r="AW77" s="1">
        <v>0.0</v>
      </c>
      <c r="AX77" s="1">
        <v>1.0</v>
      </c>
      <c r="AY77" s="1">
        <v>4.0</v>
      </c>
      <c r="BA77" s="1">
        <v>0.0</v>
      </c>
      <c r="BB77" s="1">
        <v>0.0</v>
      </c>
      <c r="BC77" s="1">
        <v>0.0</v>
      </c>
      <c r="BD77" s="1">
        <v>0.0</v>
      </c>
      <c r="BE77" s="1">
        <v>0.0</v>
      </c>
      <c r="BF77" s="1">
        <v>0.0</v>
      </c>
      <c r="BG77" s="1">
        <v>0.0</v>
      </c>
      <c r="BH77" s="1">
        <v>0.0</v>
      </c>
      <c r="BI77" s="1">
        <v>0.0</v>
      </c>
      <c r="BJ77" s="1">
        <v>0.0</v>
      </c>
      <c r="BP77" s="1">
        <v>0.257</v>
      </c>
      <c r="BQ77" s="1" t="s">
        <v>1282</v>
      </c>
      <c r="BV77" s="1">
        <v>1.1</v>
      </c>
      <c r="EQ77" s="9" t="s">
        <v>1281</v>
      </c>
      <c r="ER77" s="21">
        <v>46045.297789351855</v>
      </c>
    </row>
    <row r="78">
      <c r="A78" s="9" t="s">
        <v>1283</v>
      </c>
      <c r="B78" s="20" t="str">
        <f>IFERROR(__xludf.DUMMYFUNCTION("REGEXREPLACE(A78, ""^https?://[^/]+"", """")"),"/wp-content/plugins/powerpack-elements/assets/js/min/pp-bg-effects.min.js?ver=1.0.0")</f>
        <v>/wp-content/plugins/powerpack-elements/assets/js/min/pp-bg-effects.min.js?ver=1.0.0</v>
      </c>
      <c r="F78" s="1" t="s">
        <v>984</v>
      </c>
      <c r="G78" s="1">
        <v>200.0</v>
      </c>
      <c r="H78" s="1" t="s">
        <v>966</v>
      </c>
      <c r="I78" s="1" t="s">
        <v>967</v>
      </c>
      <c r="L78" s="1">
        <v>0.0</v>
      </c>
      <c r="M78" s="1">
        <v>0.0</v>
      </c>
      <c r="O78" s="1">
        <v>0.0</v>
      </c>
      <c r="P78" s="1">
        <v>0.0</v>
      </c>
      <c r="R78" s="1">
        <v>0.0</v>
      </c>
      <c r="S78" s="1">
        <v>0.0</v>
      </c>
      <c r="U78" s="1">
        <v>0.0</v>
      </c>
      <c r="W78" s="1">
        <v>0.0</v>
      </c>
      <c r="Y78" s="1">
        <v>0.0</v>
      </c>
      <c r="AA78" s="1">
        <v>0.0</v>
      </c>
      <c r="AC78" s="1">
        <v>0.0</v>
      </c>
      <c r="AM78" s="1">
        <v>2051.0</v>
      </c>
      <c r="AN78" s="1">
        <v>2051.0</v>
      </c>
      <c r="AO78" s="1">
        <v>2051.0</v>
      </c>
      <c r="AP78" s="1">
        <v>0.786</v>
      </c>
      <c r="AR78" s="1">
        <v>0.0</v>
      </c>
      <c r="AW78" s="1">
        <v>0.0</v>
      </c>
      <c r="AX78" s="1">
        <v>1.0</v>
      </c>
      <c r="AY78" s="1">
        <v>6.0</v>
      </c>
      <c r="BA78" s="1">
        <v>0.0</v>
      </c>
      <c r="BB78" s="1">
        <v>0.0</v>
      </c>
      <c r="BC78" s="1">
        <v>0.0</v>
      </c>
      <c r="BD78" s="1">
        <v>0.0</v>
      </c>
      <c r="BE78" s="1">
        <v>0.0</v>
      </c>
      <c r="BF78" s="1">
        <v>0.0</v>
      </c>
      <c r="BG78" s="1">
        <v>0.0</v>
      </c>
      <c r="BH78" s="1">
        <v>0.0</v>
      </c>
      <c r="BI78" s="1">
        <v>0.0</v>
      </c>
      <c r="BJ78" s="1">
        <v>0.0</v>
      </c>
      <c r="BP78" s="1">
        <v>0.264</v>
      </c>
      <c r="BQ78" s="1" t="s">
        <v>1193</v>
      </c>
      <c r="BV78" s="1">
        <v>1.1</v>
      </c>
      <c r="EQ78" s="9" t="s">
        <v>1283</v>
      </c>
      <c r="ER78" s="21">
        <v>46045.297789351855</v>
      </c>
    </row>
    <row r="79">
      <c r="A79" s="9" t="s">
        <v>1284</v>
      </c>
      <c r="B79" s="20" t="str">
        <f>IFERROR(__xludf.DUMMYFUNCTION("REGEXREPLACE(A79, ""^https?://[^/]+"", """")"),"/wp-content/plugins/elementor/assets/css/widget-image.min.css?ver=3.34.0")</f>
        <v>/wp-content/plugins/elementor/assets/css/widget-image.min.css?ver=3.34.0</v>
      </c>
      <c r="F79" s="1" t="s">
        <v>1016</v>
      </c>
      <c r="G79" s="1">
        <v>200.0</v>
      </c>
      <c r="H79" s="1" t="s">
        <v>966</v>
      </c>
      <c r="I79" s="1" t="s">
        <v>967</v>
      </c>
      <c r="L79" s="1">
        <v>0.0</v>
      </c>
      <c r="M79" s="1">
        <v>0.0</v>
      </c>
      <c r="O79" s="1">
        <v>0.0</v>
      </c>
      <c r="P79" s="1">
        <v>0.0</v>
      </c>
      <c r="R79" s="1">
        <v>0.0</v>
      </c>
      <c r="S79" s="1">
        <v>0.0</v>
      </c>
      <c r="U79" s="1">
        <v>0.0</v>
      </c>
      <c r="W79" s="1">
        <v>0.0</v>
      </c>
      <c r="Y79" s="1">
        <v>0.0</v>
      </c>
      <c r="AA79" s="1">
        <v>0.0</v>
      </c>
      <c r="AC79" s="1">
        <v>0.0</v>
      </c>
      <c r="AM79" s="1">
        <v>135.0</v>
      </c>
      <c r="AN79" s="1">
        <v>135.0</v>
      </c>
      <c r="AO79" s="1">
        <v>135.0</v>
      </c>
      <c r="AP79" s="1">
        <v>0.052</v>
      </c>
      <c r="AR79" s="1">
        <v>0.0</v>
      </c>
      <c r="AW79" s="1">
        <v>0.0</v>
      </c>
      <c r="AX79" s="1">
        <v>1.0</v>
      </c>
      <c r="AY79" s="1">
        <v>5.0</v>
      </c>
      <c r="BA79" s="1">
        <v>0.0</v>
      </c>
      <c r="BB79" s="1">
        <v>0.0</v>
      </c>
      <c r="BC79" s="1">
        <v>0.0</v>
      </c>
      <c r="BD79" s="1">
        <v>0.0</v>
      </c>
      <c r="BE79" s="1">
        <v>0.0</v>
      </c>
      <c r="BF79" s="1">
        <v>0.0</v>
      </c>
      <c r="BG79" s="1">
        <v>0.0</v>
      </c>
      <c r="BH79" s="1">
        <v>0.0</v>
      </c>
      <c r="BI79" s="1">
        <v>0.0</v>
      </c>
      <c r="BJ79" s="1">
        <v>0.0</v>
      </c>
      <c r="BP79" s="1">
        <v>0.699</v>
      </c>
      <c r="BQ79" s="1" t="s">
        <v>1017</v>
      </c>
      <c r="BV79" s="1">
        <v>1.1</v>
      </c>
      <c r="EQ79" s="9" t="s">
        <v>1284</v>
      </c>
      <c r="ER79" s="21">
        <v>46045.297789351855</v>
      </c>
    </row>
    <row r="80">
      <c r="A80" s="9" t="s">
        <v>1285</v>
      </c>
      <c r="B80" s="20" t="str">
        <f>IFERROR(__xludf.DUMMYFUNCTION("REGEXREPLACE(A80, ""^https?://[^/]+"", """")"),"/wp-content/uploads/2025/02/Untitled-design-13.png")</f>
        <v>/wp-content/uploads/2025/02/Untitled-design-13.png</v>
      </c>
      <c r="F80" s="1" t="s">
        <v>1047</v>
      </c>
      <c r="G80" s="1">
        <v>200.0</v>
      </c>
      <c r="H80" s="1" t="s">
        <v>966</v>
      </c>
      <c r="I80" s="1" t="s">
        <v>967</v>
      </c>
      <c r="L80" s="1">
        <v>0.0</v>
      </c>
      <c r="M80" s="1">
        <v>0.0</v>
      </c>
      <c r="O80" s="1">
        <v>0.0</v>
      </c>
      <c r="P80" s="1">
        <v>0.0</v>
      </c>
      <c r="R80" s="1">
        <v>0.0</v>
      </c>
      <c r="S80" s="1">
        <v>0.0</v>
      </c>
      <c r="U80" s="1">
        <v>0.0</v>
      </c>
      <c r="W80" s="1">
        <v>0.0</v>
      </c>
      <c r="Y80" s="1">
        <v>0.0</v>
      </c>
      <c r="AA80" s="1">
        <v>0.0</v>
      </c>
      <c r="AC80" s="1">
        <v>0.0</v>
      </c>
      <c r="AM80" s="1">
        <v>462605.0</v>
      </c>
      <c r="AN80" s="1">
        <v>462605.0</v>
      </c>
      <c r="AO80" s="1">
        <v>462605.0</v>
      </c>
      <c r="AP80" s="1">
        <v>177.215</v>
      </c>
      <c r="AR80" s="1">
        <v>0.0</v>
      </c>
      <c r="AW80" s="1">
        <v>0.0</v>
      </c>
      <c r="AX80" s="1">
        <v>1.0</v>
      </c>
      <c r="AY80" s="1">
        <v>4.0</v>
      </c>
      <c r="BA80" s="1">
        <v>0.0</v>
      </c>
      <c r="BB80" s="1">
        <v>0.0</v>
      </c>
      <c r="BC80" s="1">
        <v>0.0</v>
      </c>
      <c r="BD80" s="1">
        <v>0.0</v>
      </c>
      <c r="BE80" s="1">
        <v>0.0</v>
      </c>
      <c r="BF80" s="1">
        <v>0.0</v>
      </c>
      <c r="BG80" s="1">
        <v>0.0</v>
      </c>
      <c r="BH80" s="1">
        <v>0.0</v>
      </c>
      <c r="BI80" s="1">
        <v>0.0</v>
      </c>
      <c r="BJ80" s="1">
        <v>0.0</v>
      </c>
      <c r="BP80" s="1">
        <v>0.26</v>
      </c>
      <c r="BQ80" s="1" t="s">
        <v>1286</v>
      </c>
      <c r="BV80" s="1">
        <v>1.1</v>
      </c>
      <c r="EQ80" s="9" t="s">
        <v>1285</v>
      </c>
      <c r="ER80" s="21">
        <v>46045.297800925924</v>
      </c>
    </row>
    <row r="81">
      <c r="A81" s="9" t="s">
        <v>1287</v>
      </c>
      <c r="B81" s="20" t="str">
        <f>IFERROR(__xludf.DUMMYFUNCTION("REGEXREPLACE(A81, ""^https?://[^/]+"", """")"),"/wp-content/uploads/2025/03/mask-1024x978.png")</f>
        <v>/wp-content/uploads/2025/03/mask-1024x978.png</v>
      </c>
      <c r="F81" s="1" t="s">
        <v>1047</v>
      </c>
      <c r="G81" s="1">
        <v>200.0</v>
      </c>
      <c r="H81" s="1" t="s">
        <v>966</v>
      </c>
      <c r="I81" s="1" t="s">
        <v>967</v>
      </c>
      <c r="L81" s="1">
        <v>0.0</v>
      </c>
      <c r="M81" s="1">
        <v>0.0</v>
      </c>
      <c r="O81" s="1">
        <v>0.0</v>
      </c>
      <c r="P81" s="1">
        <v>0.0</v>
      </c>
      <c r="R81" s="1">
        <v>0.0</v>
      </c>
      <c r="S81" s="1">
        <v>0.0</v>
      </c>
      <c r="U81" s="1">
        <v>0.0</v>
      </c>
      <c r="W81" s="1">
        <v>0.0</v>
      </c>
      <c r="Y81" s="1">
        <v>0.0</v>
      </c>
      <c r="AA81" s="1">
        <v>0.0</v>
      </c>
      <c r="AC81" s="1">
        <v>0.0</v>
      </c>
      <c r="AM81" s="1">
        <v>702076.0</v>
      </c>
      <c r="AN81" s="1">
        <v>702076.0</v>
      </c>
      <c r="AO81" s="1">
        <v>702076.0</v>
      </c>
      <c r="AP81" s="1">
        <v>268.952</v>
      </c>
      <c r="AR81" s="1">
        <v>0.0</v>
      </c>
      <c r="AW81" s="1">
        <v>0.0</v>
      </c>
      <c r="AX81" s="1">
        <v>1.0</v>
      </c>
      <c r="AY81" s="1">
        <v>4.0</v>
      </c>
      <c r="BA81" s="1">
        <v>0.0</v>
      </c>
      <c r="BB81" s="1">
        <v>0.0</v>
      </c>
      <c r="BC81" s="1">
        <v>0.0</v>
      </c>
      <c r="BD81" s="1">
        <v>0.0</v>
      </c>
      <c r="BE81" s="1">
        <v>0.0</v>
      </c>
      <c r="BF81" s="1">
        <v>0.0</v>
      </c>
      <c r="BG81" s="1">
        <v>0.0</v>
      </c>
      <c r="BH81" s="1">
        <v>0.0</v>
      </c>
      <c r="BI81" s="1">
        <v>0.0</v>
      </c>
      <c r="BJ81" s="1">
        <v>0.0</v>
      </c>
      <c r="BP81" s="1">
        <v>0.27</v>
      </c>
      <c r="BQ81" s="1" t="s">
        <v>1288</v>
      </c>
      <c r="BV81" s="1">
        <v>1.1</v>
      </c>
      <c r="EQ81" s="9" t="s">
        <v>1287</v>
      </c>
      <c r="ER81" s="21">
        <v>46045.297800925924</v>
      </c>
    </row>
    <row r="82">
      <c r="A82" s="9" t="s">
        <v>1289</v>
      </c>
      <c r="B82" s="20" t="str">
        <f>IFERROR(__xludf.DUMMYFUNCTION("REGEXREPLACE(A82, ""^https?://[^/]+"", """")"),"/wp-includes/js/jquery/jquery-migrate.min.js?ver=3.4.1")</f>
        <v>/wp-includes/js/jquery/jquery-migrate.min.js?ver=3.4.1</v>
      </c>
      <c r="F82" s="1" t="s">
        <v>984</v>
      </c>
      <c r="G82" s="1">
        <v>200.0</v>
      </c>
      <c r="H82" s="1" t="s">
        <v>966</v>
      </c>
      <c r="I82" s="1" t="s">
        <v>967</v>
      </c>
      <c r="L82" s="1">
        <v>0.0</v>
      </c>
      <c r="M82" s="1">
        <v>0.0</v>
      </c>
      <c r="O82" s="1">
        <v>0.0</v>
      </c>
      <c r="P82" s="1">
        <v>0.0</v>
      </c>
      <c r="R82" s="1">
        <v>0.0</v>
      </c>
      <c r="S82" s="1">
        <v>0.0</v>
      </c>
      <c r="U82" s="1">
        <v>0.0</v>
      </c>
      <c r="W82" s="1">
        <v>0.0</v>
      </c>
      <c r="Y82" s="1">
        <v>0.0</v>
      </c>
      <c r="AA82" s="1">
        <v>0.0</v>
      </c>
      <c r="AC82" s="1">
        <v>0.0</v>
      </c>
      <c r="AM82" s="1">
        <v>4872.0</v>
      </c>
      <c r="AN82" s="1">
        <v>4872.0</v>
      </c>
      <c r="AO82" s="1">
        <v>4872.0</v>
      </c>
      <c r="AP82" s="1">
        <v>1.866</v>
      </c>
      <c r="AR82" s="1">
        <v>0.0</v>
      </c>
      <c r="AW82" s="1">
        <v>0.0</v>
      </c>
      <c r="AX82" s="1">
        <v>1.0</v>
      </c>
      <c r="AY82" s="1">
        <v>3.0</v>
      </c>
      <c r="BA82" s="1">
        <v>0.0</v>
      </c>
      <c r="BB82" s="1">
        <v>0.0</v>
      </c>
      <c r="BC82" s="1">
        <v>0.0</v>
      </c>
      <c r="BD82" s="1">
        <v>0.0</v>
      </c>
      <c r="BE82" s="1">
        <v>0.0</v>
      </c>
      <c r="BF82" s="1">
        <v>0.0</v>
      </c>
      <c r="BG82" s="1">
        <v>0.0</v>
      </c>
      <c r="BH82" s="1">
        <v>0.0</v>
      </c>
      <c r="BI82" s="1">
        <v>0.0</v>
      </c>
      <c r="BJ82" s="1">
        <v>0.0</v>
      </c>
      <c r="BP82" s="1">
        <v>0.26</v>
      </c>
      <c r="BQ82" s="1" t="s">
        <v>1290</v>
      </c>
      <c r="BV82" s="1">
        <v>1.1</v>
      </c>
      <c r="EQ82" s="9" t="s">
        <v>1289</v>
      </c>
      <c r="ER82" s="21">
        <v>46045.297800925924</v>
      </c>
    </row>
    <row r="83">
      <c r="A83" s="9" t="s">
        <v>1291</v>
      </c>
      <c r="B83" s="20" t="str">
        <f>IFERROR(__xludf.DUMMYFUNCTION("REGEXREPLACE(A83, ""^https?://[^/]+"", """")"),"/wp-content/uploads/elementor/css/post-208.css?ver=1768845927")</f>
        <v>/wp-content/uploads/elementor/css/post-208.css?ver=1768845927</v>
      </c>
      <c r="F83" s="1" t="s">
        <v>1016</v>
      </c>
      <c r="G83" s="1">
        <v>200.0</v>
      </c>
      <c r="H83" s="1" t="s">
        <v>966</v>
      </c>
      <c r="I83" s="1" t="s">
        <v>967</v>
      </c>
      <c r="L83" s="1">
        <v>0.0</v>
      </c>
      <c r="M83" s="1">
        <v>0.0</v>
      </c>
      <c r="O83" s="1">
        <v>0.0</v>
      </c>
      <c r="P83" s="1">
        <v>0.0</v>
      </c>
      <c r="R83" s="1">
        <v>0.0</v>
      </c>
      <c r="S83" s="1">
        <v>0.0</v>
      </c>
      <c r="U83" s="1">
        <v>0.0</v>
      </c>
      <c r="W83" s="1">
        <v>0.0</v>
      </c>
      <c r="Y83" s="1">
        <v>0.0</v>
      </c>
      <c r="AA83" s="1">
        <v>0.0</v>
      </c>
      <c r="AC83" s="1">
        <v>0.0</v>
      </c>
      <c r="AM83" s="1">
        <v>1136.0</v>
      </c>
      <c r="AN83" s="1">
        <v>1136.0</v>
      </c>
      <c r="AO83" s="1">
        <v>1136.0</v>
      </c>
      <c r="AP83" s="1">
        <v>0.435</v>
      </c>
      <c r="AR83" s="1">
        <v>0.0</v>
      </c>
      <c r="AW83" s="1">
        <v>0.0</v>
      </c>
      <c r="AX83" s="1">
        <v>1.0</v>
      </c>
      <c r="AY83" s="1">
        <v>4.0</v>
      </c>
      <c r="BA83" s="1">
        <v>0.0</v>
      </c>
      <c r="BB83" s="1">
        <v>0.0</v>
      </c>
      <c r="BC83" s="1">
        <v>0.0</v>
      </c>
      <c r="BD83" s="1">
        <v>0.0</v>
      </c>
      <c r="BE83" s="1">
        <v>0.0</v>
      </c>
      <c r="BF83" s="1">
        <v>0.0</v>
      </c>
      <c r="BG83" s="1">
        <v>0.0</v>
      </c>
      <c r="BH83" s="1">
        <v>0.0</v>
      </c>
      <c r="BI83" s="1">
        <v>0.0</v>
      </c>
      <c r="BJ83" s="1">
        <v>0.0</v>
      </c>
      <c r="BP83" s="1">
        <v>0.258</v>
      </c>
      <c r="BQ83" s="1" t="s">
        <v>1282</v>
      </c>
      <c r="BV83" s="1">
        <v>1.1</v>
      </c>
      <c r="EQ83" s="9" t="s">
        <v>1291</v>
      </c>
      <c r="ER83" s="21">
        <v>46045.297800925924</v>
      </c>
    </row>
    <row r="84">
      <c r="A84" s="9" t="s">
        <v>77</v>
      </c>
      <c r="B84" s="20" t="str">
        <f>IFERROR(__xludf.DUMMYFUNCTION("REGEXREPLACE(A84, ""^https?://[^/]+"", """")"),"/private-equity-solutions/private-equity/")</f>
        <v>/private-equity-solutions/private-equity/</v>
      </c>
      <c r="C84" s="1" t="s">
        <v>1292</v>
      </c>
      <c r="D84" s="1" t="s">
        <v>1293</v>
      </c>
      <c r="E84" s="1" t="s">
        <v>1294</v>
      </c>
      <c r="F84" s="1" t="s">
        <v>965</v>
      </c>
      <c r="G84" s="1">
        <v>200.0</v>
      </c>
      <c r="H84" s="1" t="s">
        <v>966</v>
      </c>
      <c r="I84" s="1" t="s">
        <v>967</v>
      </c>
      <c r="K84" s="1" t="s">
        <v>1295</v>
      </c>
      <c r="L84" s="1">
        <v>50.0</v>
      </c>
      <c r="M84" s="1">
        <v>436.0</v>
      </c>
      <c r="O84" s="1">
        <v>0.0</v>
      </c>
      <c r="P84" s="1">
        <v>0.0</v>
      </c>
      <c r="Q84" s="1" t="s">
        <v>1296</v>
      </c>
      <c r="R84" s="1">
        <v>157.0</v>
      </c>
      <c r="S84" s="1">
        <v>963.0</v>
      </c>
      <c r="U84" s="1">
        <v>0.0</v>
      </c>
      <c r="V84" s="1" t="s">
        <v>1292</v>
      </c>
      <c r="W84" s="1">
        <v>50.0</v>
      </c>
      <c r="Y84" s="1">
        <v>0.0</v>
      </c>
      <c r="Z84" s="1" t="s">
        <v>1293</v>
      </c>
      <c r="AA84" s="1">
        <v>36.0</v>
      </c>
      <c r="AB84" s="1" t="s">
        <v>1294</v>
      </c>
      <c r="AC84" s="1">
        <v>25.0</v>
      </c>
      <c r="AD84" s="1" t="s">
        <v>971</v>
      </c>
      <c r="AG84" s="9" t="s">
        <v>77</v>
      </c>
      <c r="AM84" s="1">
        <v>161899.0</v>
      </c>
      <c r="AN84" s="1">
        <v>29280.0</v>
      </c>
      <c r="AO84" s="1">
        <v>29280.0</v>
      </c>
      <c r="AP84" s="1">
        <v>11.217</v>
      </c>
      <c r="AR84" s="1">
        <v>976.0</v>
      </c>
      <c r="AS84" s="1">
        <v>152.0</v>
      </c>
      <c r="AT84" s="1">
        <v>6.421</v>
      </c>
      <c r="AU84" s="1">
        <v>47.587</v>
      </c>
      <c r="AV84" s="1" t="s">
        <v>1075</v>
      </c>
      <c r="AW84" s="1">
        <v>5.25</v>
      </c>
      <c r="AX84" s="1">
        <v>1.0</v>
      </c>
      <c r="AY84" s="1">
        <v>2.0</v>
      </c>
      <c r="AZ84" s="1">
        <v>51.0</v>
      </c>
      <c r="BA84" s="1">
        <v>2278.0</v>
      </c>
      <c r="BB84" s="1">
        <v>754.0</v>
      </c>
      <c r="BC84" s="1">
        <v>0.0</v>
      </c>
      <c r="BD84" s="1">
        <v>100.0</v>
      </c>
      <c r="BE84" s="1">
        <v>110.0</v>
      </c>
      <c r="BF84" s="1">
        <v>42.0</v>
      </c>
      <c r="BG84" s="1">
        <v>0.0</v>
      </c>
      <c r="BH84" s="1">
        <v>7.0</v>
      </c>
      <c r="BI84" s="1">
        <v>6.0</v>
      </c>
      <c r="BJ84" s="1">
        <v>0.0</v>
      </c>
      <c r="BO84" s="1" t="s">
        <v>1297</v>
      </c>
      <c r="BP84" s="1">
        <v>0.96</v>
      </c>
      <c r="BU84" s="1" t="s">
        <v>974</v>
      </c>
      <c r="BV84" s="1">
        <v>1.1</v>
      </c>
      <c r="BW84" s="1">
        <v>52.0</v>
      </c>
      <c r="BX84" s="1">
        <v>3751.032</v>
      </c>
      <c r="BY84" s="1">
        <v>9131.671</v>
      </c>
      <c r="BZ84" s="1">
        <v>8401.075</v>
      </c>
      <c r="CA84" s="1">
        <v>18176.943</v>
      </c>
      <c r="CB84" s="1">
        <v>338.0</v>
      </c>
      <c r="CC84" s="1">
        <v>0.0</v>
      </c>
      <c r="CD84" s="1">
        <v>651976.0</v>
      </c>
      <c r="CE84" s="1">
        <v>1650.0</v>
      </c>
      <c r="CF84" s="1">
        <v>173.0</v>
      </c>
      <c r="CG84" s="1">
        <v>2531105.0</v>
      </c>
      <c r="CH84" s="1">
        <v>32034.0</v>
      </c>
      <c r="CI84" s="1">
        <v>2.0</v>
      </c>
      <c r="CJ84" s="1">
        <v>300993.0</v>
      </c>
      <c r="CK84" s="1">
        <v>22.0</v>
      </c>
      <c r="CL84" s="1">
        <v>117572.0</v>
      </c>
      <c r="CM84" s="1">
        <v>42.0</v>
      </c>
      <c r="CN84" s="1">
        <v>1767227.0</v>
      </c>
      <c r="CO84" s="1">
        <v>72.0</v>
      </c>
      <c r="CP84" s="1">
        <v>287905.0</v>
      </c>
      <c r="CQ84" s="1">
        <v>5.0</v>
      </c>
      <c r="CR84" s="1">
        <v>0.0</v>
      </c>
      <c r="CS84" s="1">
        <v>1.0</v>
      </c>
      <c r="CT84" s="1">
        <v>25374.0</v>
      </c>
      <c r="CU84" s="1">
        <v>29.0</v>
      </c>
      <c r="CV84" s="1">
        <v>1505245.0</v>
      </c>
      <c r="CW84" s="1">
        <v>70.0</v>
      </c>
      <c r="DC84" s="1">
        <v>150.0</v>
      </c>
      <c r="DD84" s="1">
        <v>5075.0</v>
      </c>
      <c r="DE84" s="1">
        <v>0.0</v>
      </c>
      <c r="DF84" s="1">
        <v>3397.0</v>
      </c>
      <c r="DG84" s="1">
        <v>300.0</v>
      </c>
      <c r="DH84" s="1">
        <v>51025.0</v>
      </c>
      <c r="DI84" s="1">
        <v>1200.0</v>
      </c>
      <c r="DJ84" s="1">
        <v>592479.0</v>
      </c>
      <c r="DK84" s="1">
        <v>2023.415</v>
      </c>
      <c r="DL84" s="1" t="s">
        <v>975</v>
      </c>
      <c r="DM84" s="1">
        <v>7750.167</v>
      </c>
      <c r="DN84" s="1" t="s">
        <v>975</v>
      </c>
      <c r="DO84" s="1">
        <v>2530927.0</v>
      </c>
      <c r="DP84" s="1">
        <v>1.0</v>
      </c>
      <c r="DQ84" s="1" t="s">
        <v>976</v>
      </c>
      <c r="DR84" s="1" t="s">
        <v>1298</v>
      </c>
      <c r="DS84" s="1" t="s">
        <v>978</v>
      </c>
      <c r="DT84" s="1" t="s">
        <v>979</v>
      </c>
      <c r="DU84" s="1" t="s">
        <v>980</v>
      </c>
      <c r="DV84" s="1">
        <v>13395.0</v>
      </c>
      <c r="DX84" s="1">
        <v>3715.0</v>
      </c>
      <c r="DY84" s="1">
        <v>720941.0</v>
      </c>
      <c r="DZ84" s="1" t="s">
        <v>981</v>
      </c>
      <c r="EA84" s="1">
        <v>757.0</v>
      </c>
      <c r="EB84" s="1">
        <v>0.0</v>
      </c>
      <c r="EC84" s="1">
        <v>2.0</v>
      </c>
      <c r="ED84" s="1">
        <v>26492.0</v>
      </c>
      <c r="EF84" s="1">
        <v>275.0</v>
      </c>
      <c r="EG84" s="1" t="s">
        <v>982</v>
      </c>
      <c r="EH84" s="1">
        <v>100.0</v>
      </c>
      <c r="EK84" s="1">
        <v>100.0</v>
      </c>
      <c r="EQ84" s="9" t="s">
        <v>77</v>
      </c>
      <c r="ER84" s="21">
        <v>46045.297789351855</v>
      </c>
    </row>
    <row r="85">
      <c r="A85" s="9" t="s">
        <v>1299</v>
      </c>
      <c r="B85" s="20" t="str">
        <f>IFERROR(__xludf.DUMMYFUNCTION("REGEXREPLACE(A85, ""^https?://[^/]+"", """")"),"/wp-content/plugins/wp-job-manager/assets/dist/css/job-listings.css?ver=598383a28ac5f9f156e4")</f>
        <v>/wp-content/plugins/wp-job-manager/assets/dist/css/job-listings.css?ver=598383a28ac5f9f156e4</v>
      </c>
      <c r="F85" s="1" t="s">
        <v>1016</v>
      </c>
      <c r="G85" s="1">
        <v>200.0</v>
      </c>
      <c r="H85" s="1" t="s">
        <v>966</v>
      </c>
      <c r="I85" s="1" t="s">
        <v>967</v>
      </c>
      <c r="L85" s="1">
        <v>0.0</v>
      </c>
      <c r="M85" s="1">
        <v>0.0</v>
      </c>
      <c r="O85" s="1">
        <v>0.0</v>
      </c>
      <c r="P85" s="1">
        <v>0.0</v>
      </c>
      <c r="R85" s="1">
        <v>0.0</v>
      </c>
      <c r="S85" s="1">
        <v>0.0</v>
      </c>
      <c r="U85" s="1">
        <v>0.0</v>
      </c>
      <c r="W85" s="1">
        <v>0.0</v>
      </c>
      <c r="Y85" s="1">
        <v>0.0</v>
      </c>
      <c r="AA85" s="1">
        <v>0.0</v>
      </c>
      <c r="AC85" s="1">
        <v>0.0</v>
      </c>
      <c r="AM85" s="1">
        <v>1315.0</v>
      </c>
      <c r="AN85" s="1">
        <v>1315.0</v>
      </c>
      <c r="AO85" s="1">
        <v>1315.0</v>
      </c>
      <c r="AP85" s="1">
        <v>0.504</v>
      </c>
      <c r="AR85" s="1">
        <v>0.0</v>
      </c>
      <c r="AW85" s="1">
        <v>0.0</v>
      </c>
      <c r="AX85" s="1">
        <v>1.0</v>
      </c>
      <c r="AY85" s="1">
        <v>6.0</v>
      </c>
      <c r="BA85" s="1">
        <v>0.0</v>
      </c>
      <c r="BB85" s="1">
        <v>0.0</v>
      </c>
      <c r="BC85" s="1">
        <v>0.0</v>
      </c>
      <c r="BD85" s="1">
        <v>0.0</v>
      </c>
      <c r="BE85" s="1">
        <v>0.0</v>
      </c>
      <c r="BF85" s="1">
        <v>0.0</v>
      </c>
      <c r="BG85" s="1">
        <v>0.0</v>
      </c>
      <c r="BH85" s="1">
        <v>0.0</v>
      </c>
      <c r="BI85" s="1">
        <v>0.0</v>
      </c>
      <c r="BJ85" s="1">
        <v>0.0</v>
      </c>
      <c r="BP85" s="1">
        <v>0.27</v>
      </c>
      <c r="BQ85" s="1" t="s">
        <v>1300</v>
      </c>
      <c r="BV85" s="1">
        <v>1.1</v>
      </c>
      <c r="EQ85" s="9" t="s">
        <v>1299</v>
      </c>
      <c r="ER85" s="21">
        <v>46045.297800925924</v>
      </c>
    </row>
    <row r="86">
      <c r="A86" s="9" t="s">
        <v>1301</v>
      </c>
      <c r="B86" s="20" t="str">
        <f>IFERROR(__xludf.DUMMYFUNCTION("REGEXREPLACE(A86, ""^https?://[^/]+"", """")"),"/wp-content/plugins/elementor/assets/lib/font-awesome/css/solid.min.css?ver=5.15.3")</f>
        <v>/wp-content/plugins/elementor/assets/lib/font-awesome/css/solid.min.css?ver=5.15.3</v>
      </c>
      <c r="F86" s="1" t="s">
        <v>1016</v>
      </c>
      <c r="G86" s="1">
        <v>200.0</v>
      </c>
      <c r="H86" s="1" t="s">
        <v>966</v>
      </c>
      <c r="I86" s="1" t="s">
        <v>967</v>
      </c>
      <c r="L86" s="1">
        <v>0.0</v>
      </c>
      <c r="M86" s="1">
        <v>0.0</v>
      </c>
      <c r="O86" s="1">
        <v>0.0</v>
      </c>
      <c r="P86" s="1">
        <v>0.0</v>
      </c>
      <c r="R86" s="1">
        <v>0.0</v>
      </c>
      <c r="S86" s="1">
        <v>0.0</v>
      </c>
      <c r="U86" s="1">
        <v>0.0</v>
      </c>
      <c r="W86" s="1">
        <v>0.0</v>
      </c>
      <c r="Y86" s="1">
        <v>0.0</v>
      </c>
      <c r="AA86" s="1">
        <v>0.0</v>
      </c>
      <c r="AC86" s="1">
        <v>0.0</v>
      </c>
      <c r="AM86" s="1">
        <v>309.0</v>
      </c>
      <c r="AN86" s="1">
        <v>309.0</v>
      </c>
      <c r="AO86" s="1">
        <v>309.0</v>
      </c>
      <c r="AP86" s="1">
        <v>0.118</v>
      </c>
      <c r="AR86" s="1">
        <v>0.0</v>
      </c>
      <c r="AW86" s="1">
        <v>0.0</v>
      </c>
      <c r="AX86" s="1">
        <v>1.0</v>
      </c>
      <c r="AY86" s="1">
        <v>7.0</v>
      </c>
      <c r="BA86" s="1">
        <v>0.0</v>
      </c>
      <c r="BB86" s="1">
        <v>0.0</v>
      </c>
      <c r="BC86" s="1">
        <v>0.0</v>
      </c>
      <c r="BD86" s="1">
        <v>0.0</v>
      </c>
      <c r="BE86" s="1">
        <v>0.0</v>
      </c>
      <c r="BF86" s="1">
        <v>0.0</v>
      </c>
      <c r="BG86" s="1">
        <v>0.0</v>
      </c>
      <c r="BH86" s="1">
        <v>0.0</v>
      </c>
      <c r="BI86" s="1">
        <v>0.0</v>
      </c>
      <c r="BJ86" s="1">
        <v>0.0</v>
      </c>
      <c r="BP86" s="1">
        <v>0.252</v>
      </c>
      <c r="BQ86" s="1" t="s">
        <v>1017</v>
      </c>
      <c r="BV86" s="1">
        <v>1.1</v>
      </c>
      <c r="EQ86" s="9" t="s">
        <v>1301</v>
      </c>
      <c r="ER86" s="21">
        <v>46045.297800925924</v>
      </c>
    </row>
    <row r="87">
      <c r="A87" s="9" t="s">
        <v>1302</v>
      </c>
      <c r="B87" s="20" t="str">
        <f>IFERROR(__xludf.DUMMYFUNCTION("REGEXREPLACE(A87, ""^https?://[^/]+"", """")"),"/wp-content/plugins/powerpack-elements/assets/css/min/tooltip.min.css?ver=2.12.15")</f>
        <v>/wp-content/plugins/powerpack-elements/assets/css/min/tooltip.min.css?ver=2.12.15</v>
      </c>
      <c r="F87" s="1" t="s">
        <v>1016</v>
      </c>
      <c r="G87" s="1">
        <v>200.0</v>
      </c>
      <c r="H87" s="1" t="s">
        <v>966</v>
      </c>
      <c r="I87" s="1" t="s">
        <v>967</v>
      </c>
      <c r="L87" s="1">
        <v>0.0</v>
      </c>
      <c r="M87" s="1">
        <v>0.0</v>
      </c>
      <c r="O87" s="1">
        <v>0.0</v>
      </c>
      <c r="P87" s="1">
        <v>0.0</v>
      </c>
      <c r="R87" s="1">
        <v>0.0</v>
      </c>
      <c r="S87" s="1">
        <v>0.0</v>
      </c>
      <c r="U87" s="1">
        <v>0.0</v>
      </c>
      <c r="W87" s="1">
        <v>0.0</v>
      </c>
      <c r="Y87" s="1">
        <v>0.0</v>
      </c>
      <c r="AA87" s="1">
        <v>0.0</v>
      </c>
      <c r="AC87" s="1">
        <v>0.0</v>
      </c>
      <c r="AM87" s="1">
        <v>1073.0</v>
      </c>
      <c r="AN87" s="1">
        <v>1073.0</v>
      </c>
      <c r="AO87" s="1">
        <v>1073.0</v>
      </c>
      <c r="AP87" s="1">
        <v>0.411</v>
      </c>
      <c r="AR87" s="1">
        <v>0.0</v>
      </c>
      <c r="AW87" s="1">
        <v>0.0</v>
      </c>
      <c r="AX87" s="1">
        <v>1.0</v>
      </c>
      <c r="AY87" s="1">
        <v>6.0</v>
      </c>
      <c r="BA87" s="1">
        <v>0.0</v>
      </c>
      <c r="BB87" s="1">
        <v>0.0</v>
      </c>
      <c r="BC87" s="1">
        <v>0.0</v>
      </c>
      <c r="BD87" s="1">
        <v>0.0</v>
      </c>
      <c r="BE87" s="1">
        <v>0.0</v>
      </c>
      <c r="BF87" s="1">
        <v>0.0</v>
      </c>
      <c r="BG87" s="1">
        <v>0.0</v>
      </c>
      <c r="BH87" s="1">
        <v>0.0</v>
      </c>
      <c r="BI87" s="1">
        <v>0.0</v>
      </c>
      <c r="BJ87" s="1">
        <v>0.0</v>
      </c>
      <c r="BP87" s="1">
        <v>0.257</v>
      </c>
      <c r="BQ87" s="1" t="s">
        <v>1193</v>
      </c>
      <c r="BV87" s="1">
        <v>1.1</v>
      </c>
      <c r="EQ87" s="9" t="s">
        <v>1302</v>
      </c>
      <c r="ER87" s="21">
        <v>46045.297800925924</v>
      </c>
    </row>
    <row r="88">
      <c r="A88" s="9" t="s">
        <v>1303</v>
      </c>
      <c r="B88" s="20" t="str">
        <f>IFERROR(__xludf.DUMMYFUNCTION("REGEXREPLACE(A88, ""^https?://[^/]+"", """")"),"/case-studies")</f>
        <v>/case-studies</v>
      </c>
      <c r="F88" s="1" t="s">
        <v>965</v>
      </c>
      <c r="G88" s="1">
        <v>301.0</v>
      </c>
      <c r="H88" s="1" t="s">
        <v>1304</v>
      </c>
      <c r="I88" s="1" t="s">
        <v>1214</v>
      </c>
      <c r="J88" s="1" t="s">
        <v>1305</v>
      </c>
      <c r="L88" s="1">
        <v>0.0</v>
      </c>
      <c r="M88" s="1">
        <v>0.0</v>
      </c>
      <c r="O88" s="1">
        <v>0.0</v>
      </c>
      <c r="P88" s="1">
        <v>0.0</v>
      </c>
      <c r="R88" s="1">
        <v>0.0</v>
      </c>
      <c r="S88" s="1">
        <v>0.0</v>
      </c>
      <c r="U88" s="1">
        <v>0.0</v>
      </c>
      <c r="W88" s="1">
        <v>0.0</v>
      </c>
      <c r="Y88" s="1">
        <v>0.0</v>
      </c>
      <c r="AA88" s="1">
        <v>0.0</v>
      </c>
      <c r="AC88" s="1">
        <v>0.0</v>
      </c>
      <c r="AM88" s="1">
        <v>0.0</v>
      </c>
      <c r="AN88" s="1">
        <v>0.0</v>
      </c>
      <c r="AO88" s="1">
        <v>0.0</v>
      </c>
      <c r="AP88" s="1">
        <v>0.0</v>
      </c>
      <c r="AR88" s="1">
        <v>0.0</v>
      </c>
      <c r="AW88" s="1">
        <v>0.0</v>
      </c>
      <c r="AX88" s="1">
        <v>1.0</v>
      </c>
      <c r="AY88" s="1">
        <v>0.0</v>
      </c>
      <c r="BA88" s="1">
        <v>2.0</v>
      </c>
      <c r="BB88" s="1">
        <v>2.0</v>
      </c>
      <c r="BC88" s="1">
        <v>0.0</v>
      </c>
      <c r="BD88" s="1">
        <v>0.27</v>
      </c>
      <c r="BE88" s="1">
        <v>0.0</v>
      </c>
      <c r="BF88" s="1">
        <v>0.0</v>
      </c>
      <c r="BG88" s="1">
        <v>0.0</v>
      </c>
      <c r="BH88" s="1">
        <v>0.0</v>
      </c>
      <c r="BI88" s="1">
        <v>0.0</v>
      </c>
      <c r="BJ88" s="1">
        <v>0.0</v>
      </c>
      <c r="BP88" s="1">
        <v>0.542</v>
      </c>
      <c r="BR88" s="9" t="s">
        <v>1306</v>
      </c>
      <c r="BS88" s="1" t="s">
        <v>1307</v>
      </c>
      <c r="BV88" s="1">
        <v>1.1</v>
      </c>
      <c r="EQ88" s="9" t="s">
        <v>1303</v>
      </c>
      <c r="ER88" s="21">
        <v>46045.297800925924</v>
      </c>
    </row>
    <row r="89">
      <c r="A89" s="9" t="s">
        <v>1308</v>
      </c>
      <c r="B89" s="20" t="str">
        <f>IFERROR(__xludf.DUMMYFUNCTION("REGEXREPLACE(A89, ""^https?://[^/]+"", """")"),"/wp-content/uploads/2023/05/2023-logo.png")</f>
        <v>/wp-content/uploads/2023/05/2023-logo.png</v>
      </c>
      <c r="F89" s="1" t="s">
        <v>1047</v>
      </c>
      <c r="G89" s="1">
        <v>200.0</v>
      </c>
      <c r="H89" s="1" t="s">
        <v>966</v>
      </c>
      <c r="I89" s="1" t="s">
        <v>967</v>
      </c>
      <c r="L89" s="1">
        <v>0.0</v>
      </c>
      <c r="M89" s="1">
        <v>0.0</v>
      </c>
      <c r="O89" s="1">
        <v>0.0</v>
      </c>
      <c r="P89" s="1">
        <v>0.0</v>
      </c>
      <c r="R89" s="1">
        <v>0.0</v>
      </c>
      <c r="S89" s="1">
        <v>0.0</v>
      </c>
      <c r="U89" s="1">
        <v>0.0</v>
      </c>
      <c r="W89" s="1">
        <v>0.0</v>
      </c>
      <c r="Y89" s="1">
        <v>0.0</v>
      </c>
      <c r="AA89" s="1">
        <v>0.0</v>
      </c>
      <c r="AC89" s="1">
        <v>0.0</v>
      </c>
      <c r="AM89" s="1">
        <v>30779.0</v>
      </c>
      <c r="AN89" s="1">
        <v>30779.0</v>
      </c>
      <c r="AO89" s="1">
        <v>30779.0</v>
      </c>
      <c r="AP89" s="1">
        <v>11.791</v>
      </c>
      <c r="AR89" s="1">
        <v>0.0</v>
      </c>
      <c r="AW89" s="1">
        <v>0.0</v>
      </c>
      <c r="AX89" s="1">
        <v>1.0</v>
      </c>
      <c r="AY89" s="1">
        <v>4.0</v>
      </c>
      <c r="BA89" s="1">
        <v>0.0</v>
      </c>
      <c r="BB89" s="1">
        <v>0.0</v>
      </c>
      <c r="BC89" s="1">
        <v>0.0</v>
      </c>
      <c r="BD89" s="1">
        <v>0.0</v>
      </c>
      <c r="BE89" s="1">
        <v>0.0</v>
      </c>
      <c r="BF89" s="1">
        <v>0.0</v>
      </c>
      <c r="BG89" s="1">
        <v>0.0</v>
      </c>
      <c r="BH89" s="1">
        <v>0.0</v>
      </c>
      <c r="BI89" s="1">
        <v>0.0</v>
      </c>
      <c r="BJ89" s="1">
        <v>0.0</v>
      </c>
      <c r="BP89" s="1">
        <v>0.271</v>
      </c>
      <c r="BQ89" s="1" t="s">
        <v>1309</v>
      </c>
      <c r="BV89" s="1">
        <v>1.1</v>
      </c>
      <c r="EQ89" s="9" t="s">
        <v>1308</v>
      </c>
      <c r="ER89" s="21">
        <v>46045.2978125</v>
      </c>
    </row>
    <row r="90">
      <c r="A90" s="9" t="s">
        <v>63</v>
      </c>
      <c r="B90" s="20" t="str">
        <f>IFERROR(__xludf.DUMMYFUNCTION("REGEXREPLACE(A90, ""^https?://[^/]+"", """")"),"/sales-infrastructure/")</f>
        <v>/sales-infrastructure/</v>
      </c>
      <c r="C90" s="1" t="s">
        <v>1310</v>
      </c>
      <c r="D90" s="1" t="s">
        <v>1311</v>
      </c>
      <c r="E90" s="1" t="s">
        <v>1019</v>
      </c>
      <c r="F90" s="1" t="s">
        <v>965</v>
      </c>
      <c r="G90" s="1">
        <v>200.0</v>
      </c>
      <c r="H90" s="1" t="s">
        <v>966</v>
      </c>
      <c r="I90" s="1" t="s">
        <v>967</v>
      </c>
      <c r="K90" s="1" t="s">
        <v>1312</v>
      </c>
      <c r="L90" s="1">
        <v>60.0</v>
      </c>
      <c r="M90" s="1">
        <v>528.0</v>
      </c>
      <c r="O90" s="1">
        <v>0.0</v>
      </c>
      <c r="P90" s="1">
        <v>0.0</v>
      </c>
      <c r="Q90" s="1" t="s">
        <v>1313</v>
      </c>
      <c r="R90" s="1">
        <v>163.0</v>
      </c>
      <c r="S90" s="1">
        <v>988.0</v>
      </c>
      <c r="U90" s="1">
        <v>0.0</v>
      </c>
      <c r="V90" s="1" t="s">
        <v>1310</v>
      </c>
      <c r="W90" s="1">
        <v>40.0</v>
      </c>
      <c r="Y90" s="1">
        <v>0.0</v>
      </c>
      <c r="Z90" s="1" t="s">
        <v>1311</v>
      </c>
      <c r="AA90" s="1">
        <v>29.0</v>
      </c>
      <c r="AB90" s="1" t="s">
        <v>1019</v>
      </c>
      <c r="AC90" s="1">
        <v>49.0</v>
      </c>
      <c r="AD90" s="1" t="s">
        <v>971</v>
      </c>
      <c r="AG90" s="9" t="s">
        <v>63</v>
      </c>
      <c r="AM90" s="1">
        <v>588206.0</v>
      </c>
      <c r="AN90" s="1">
        <v>176651.0</v>
      </c>
      <c r="AO90" s="1">
        <v>176651.0</v>
      </c>
      <c r="AP90" s="1">
        <v>67.672</v>
      </c>
      <c r="AR90" s="1">
        <v>1306.0</v>
      </c>
      <c r="AS90" s="1">
        <v>217.0</v>
      </c>
      <c r="AT90" s="1">
        <v>6.018</v>
      </c>
      <c r="AU90" s="1">
        <v>53.421</v>
      </c>
      <c r="AV90" s="1" t="s">
        <v>972</v>
      </c>
      <c r="AW90" s="1">
        <v>2.109</v>
      </c>
      <c r="AX90" s="1">
        <v>1.0</v>
      </c>
      <c r="AY90" s="1">
        <v>1.0</v>
      </c>
      <c r="AZ90" s="1">
        <v>51.0</v>
      </c>
      <c r="BA90" s="1">
        <v>2343.0</v>
      </c>
      <c r="BB90" s="1">
        <v>754.0</v>
      </c>
      <c r="BC90" s="1">
        <v>0.0</v>
      </c>
      <c r="BD90" s="1">
        <v>100.0</v>
      </c>
      <c r="BE90" s="1">
        <v>131.0</v>
      </c>
      <c r="BF90" s="1">
        <v>45.0</v>
      </c>
      <c r="BG90" s="1">
        <v>0.0</v>
      </c>
      <c r="BH90" s="1">
        <v>16.0</v>
      </c>
      <c r="BI90" s="1">
        <v>8.0</v>
      </c>
      <c r="BJ90" s="1">
        <v>0.0</v>
      </c>
      <c r="BO90" s="1" t="s">
        <v>1314</v>
      </c>
      <c r="BP90" s="1">
        <v>1.046</v>
      </c>
      <c r="BU90" s="1" t="s">
        <v>974</v>
      </c>
      <c r="BV90" s="1">
        <v>1.1</v>
      </c>
      <c r="BW90" s="1">
        <v>57.0</v>
      </c>
      <c r="BX90" s="1">
        <v>4501.005</v>
      </c>
      <c r="BY90" s="1">
        <v>8604.943</v>
      </c>
      <c r="BZ90" s="1">
        <v>12301.015</v>
      </c>
      <c r="CA90" s="1">
        <v>18690.762</v>
      </c>
      <c r="CB90" s="1">
        <v>48.5</v>
      </c>
      <c r="CC90" s="1">
        <v>0.007</v>
      </c>
      <c r="CD90" s="1">
        <v>664566.0</v>
      </c>
      <c r="CE90" s="1">
        <v>1650.0</v>
      </c>
      <c r="CF90" s="1">
        <v>174.0</v>
      </c>
      <c r="CG90" s="1">
        <v>3116358.0</v>
      </c>
      <c r="CH90" s="1">
        <v>168056.0</v>
      </c>
      <c r="CI90" s="1">
        <v>2.0</v>
      </c>
      <c r="CJ90" s="1">
        <v>762841.0</v>
      </c>
      <c r="CK90" s="1">
        <v>24.0</v>
      </c>
      <c r="CL90" s="1">
        <v>124264.0</v>
      </c>
      <c r="CM90" s="1">
        <v>43.0</v>
      </c>
      <c r="CN90" s="1">
        <v>1791635.0</v>
      </c>
      <c r="CO90" s="1">
        <v>71.0</v>
      </c>
      <c r="CP90" s="1">
        <v>244251.0</v>
      </c>
      <c r="CQ90" s="1">
        <v>5.0</v>
      </c>
      <c r="CR90" s="1">
        <v>0.0</v>
      </c>
      <c r="CS90" s="1">
        <v>0.0</v>
      </c>
      <c r="CT90" s="1">
        <v>25311.0</v>
      </c>
      <c r="CU90" s="1">
        <v>29.0</v>
      </c>
      <c r="CV90" s="1">
        <v>1504185.0</v>
      </c>
      <c r="CW90" s="1">
        <v>73.0</v>
      </c>
      <c r="DC90" s="1">
        <v>150.0</v>
      </c>
      <c r="DD90" s="1">
        <v>5075.0</v>
      </c>
      <c r="DE90" s="1">
        <v>0.0</v>
      </c>
      <c r="DF90" s="1">
        <v>3396.0</v>
      </c>
      <c r="DG90" s="1">
        <v>300.0</v>
      </c>
      <c r="DH90" s="1">
        <v>40124.0</v>
      </c>
      <c r="DI90" s="1">
        <v>1200.0</v>
      </c>
      <c r="DJ90" s="1">
        <v>615971.0</v>
      </c>
      <c r="DK90" s="1">
        <v>777.083</v>
      </c>
      <c r="DL90" s="1" t="s">
        <v>992</v>
      </c>
      <c r="DM90" s="1">
        <v>1699.82</v>
      </c>
      <c r="DN90" s="1" t="s">
        <v>992</v>
      </c>
      <c r="DO90" s="1">
        <v>3116359.0</v>
      </c>
      <c r="DP90" s="1">
        <v>1.0</v>
      </c>
      <c r="DQ90" s="1" t="s">
        <v>976</v>
      </c>
      <c r="DR90" s="1" t="s">
        <v>1315</v>
      </c>
      <c r="DS90" s="1" t="s">
        <v>978</v>
      </c>
      <c r="DU90" s="1" t="s">
        <v>994</v>
      </c>
      <c r="DV90" s="1">
        <v>13997.0</v>
      </c>
      <c r="DW90" s="1">
        <v>312.0</v>
      </c>
      <c r="DX90" s="1">
        <v>4084.0</v>
      </c>
      <c r="DY90" s="1">
        <v>901087.0</v>
      </c>
      <c r="DZ90" s="1" t="s">
        <v>981</v>
      </c>
      <c r="EA90" s="1">
        <v>1760.0</v>
      </c>
      <c r="EB90" s="1">
        <v>499109.0</v>
      </c>
      <c r="EC90" s="1">
        <v>31.0</v>
      </c>
      <c r="ED90" s="1">
        <v>26492.0</v>
      </c>
      <c r="EF90" s="1">
        <v>225.0</v>
      </c>
      <c r="EG90" s="1" t="s">
        <v>982</v>
      </c>
      <c r="EH90" s="1">
        <v>100.0</v>
      </c>
      <c r="EK90" s="1">
        <v>100.0</v>
      </c>
      <c r="EQ90" s="9" t="s">
        <v>63</v>
      </c>
      <c r="ER90" s="21">
        <v>46045.297789351855</v>
      </c>
    </row>
    <row r="91">
      <c r="A91" s="9" t="s">
        <v>1316</v>
      </c>
      <c r="B91" s="20" t="str">
        <f>IFERROR(__xludf.DUMMYFUNCTION("REGEXREPLACE(A91, ""^https?://[^/]+"", """")"),"/wp-content/plugins/elementor-pro/assets/js/frontend.min.js?ver=3.34.0")</f>
        <v>/wp-content/plugins/elementor-pro/assets/js/frontend.min.js?ver=3.34.0</v>
      </c>
      <c r="F91" s="1" t="s">
        <v>984</v>
      </c>
      <c r="G91" s="1">
        <v>200.0</v>
      </c>
      <c r="H91" s="1" t="s">
        <v>966</v>
      </c>
      <c r="I91" s="1" t="s">
        <v>967</v>
      </c>
      <c r="L91" s="1">
        <v>0.0</v>
      </c>
      <c r="M91" s="1">
        <v>0.0</v>
      </c>
      <c r="O91" s="1">
        <v>0.0</v>
      </c>
      <c r="P91" s="1">
        <v>0.0</v>
      </c>
      <c r="R91" s="1">
        <v>0.0</v>
      </c>
      <c r="S91" s="1">
        <v>0.0</v>
      </c>
      <c r="U91" s="1">
        <v>0.0</v>
      </c>
      <c r="W91" s="1">
        <v>0.0</v>
      </c>
      <c r="Y91" s="1">
        <v>0.0</v>
      </c>
      <c r="AA91" s="1">
        <v>0.0</v>
      </c>
      <c r="AC91" s="1">
        <v>0.0</v>
      </c>
      <c r="AM91" s="1">
        <v>6434.0</v>
      </c>
      <c r="AN91" s="1">
        <v>6434.0</v>
      </c>
      <c r="AO91" s="1">
        <v>6434.0</v>
      </c>
      <c r="AP91" s="1">
        <v>2.465</v>
      </c>
      <c r="AR91" s="1">
        <v>0.0</v>
      </c>
      <c r="AW91" s="1">
        <v>0.0</v>
      </c>
      <c r="AX91" s="1">
        <v>1.0</v>
      </c>
      <c r="AY91" s="1">
        <v>5.0</v>
      </c>
      <c r="BA91" s="1">
        <v>0.0</v>
      </c>
      <c r="BB91" s="1">
        <v>0.0</v>
      </c>
      <c r="BC91" s="1">
        <v>0.0</v>
      </c>
      <c r="BD91" s="1">
        <v>0.0</v>
      </c>
      <c r="BE91" s="1">
        <v>0.0</v>
      </c>
      <c r="BF91" s="1">
        <v>0.0</v>
      </c>
      <c r="BG91" s="1">
        <v>0.0</v>
      </c>
      <c r="BH91" s="1">
        <v>0.0</v>
      </c>
      <c r="BI91" s="1">
        <v>0.0</v>
      </c>
      <c r="BJ91" s="1">
        <v>0.0</v>
      </c>
      <c r="BP91" s="1">
        <v>0.271</v>
      </c>
      <c r="BQ91" s="1" t="s">
        <v>1041</v>
      </c>
      <c r="BV91" s="1">
        <v>1.1</v>
      </c>
      <c r="EQ91" s="9" t="s">
        <v>1316</v>
      </c>
      <c r="ER91" s="21">
        <v>46045.2978125</v>
      </c>
    </row>
    <row r="92">
      <c r="A92" s="9" t="s">
        <v>39</v>
      </c>
      <c r="B92" s="20" t="str">
        <f>IFERROR(__xludf.DUMMYFUNCTION("REGEXREPLACE(A92, ""^https?://[^/]+"", """")"),"/sales-strategy/")</f>
        <v>/sales-strategy/</v>
      </c>
      <c r="C92" s="1" t="s">
        <v>1317</v>
      </c>
      <c r="D92" s="1" t="s">
        <v>1199</v>
      </c>
      <c r="E92" s="1" t="s">
        <v>1318</v>
      </c>
      <c r="F92" s="1" t="s">
        <v>965</v>
      </c>
      <c r="G92" s="1">
        <v>200.0</v>
      </c>
      <c r="H92" s="1" t="s">
        <v>966</v>
      </c>
      <c r="I92" s="1" t="s">
        <v>967</v>
      </c>
      <c r="K92" s="1" t="s">
        <v>1319</v>
      </c>
      <c r="L92" s="1">
        <v>46.0</v>
      </c>
      <c r="M92" s="1">
        <v>412.0</v>
      </c>
      <c r="O92" s="1">
        <v>0.0</v>
      </c>
      <c r="P92" s="1">
        <v>0.0</v>
      </c>
      <c r="Q92" s="1" t="s">
        <v>1320</v>
      </c>
      <c r="R92" s="1">
        <v>106.0</v>
      </c>
      <c r="S92" s="1">
        <v>654.0</v>
      </c>
      <c r="U92" s="1">
        <v>0.0</v>
      </c>
      <c r="V92" s="1" t="s">
        <v>1317</v>
      </c>
      <c r="W92" s="1">
        <v>34.0</v>
      </c>
      <c r="Y92" s="1">
        <v>0.0</v>
      </c>
      <c r="Z92" s="1" t="s">
        <v>1199</v>
      </c>
      <c r="AA92" s="1">
        <v>42.0</v>
      </c>
      <c r="AB92" s="1" t="s">
        <v>1318</v>
      </c>
      <c r="AC92" s="1">
        <v>51.0</v>
      </c>
      <c r="AD92" s="1" t="s">
        <v>971</v>
      </c>
      <c r="AG92" s="9" t="s">
        <v>39</v>
      </c>
      <c r="AM92" s="1">
        <v>613729.0</v>
      </c>
      <c r="AN92" s="1">
        <v>184332.0</v>
      </c>
      <c r="AO92" s="1">
        <v>184332.0</v>
      </c>
      <c r="AP92" s="1">
        <v>70.614</v>
      </c>
      <c r="AR92" s="1">
        <v>1553.0</v>
      </c>
      <c r="AS92" s="1">
        <v>267.0</v>
      </c>
      <c r="AT92" s="1">
        <v>5.816</v>
      </c>
      <c r="AU92" s="1">
        <v>58.37</v>
      </c>
      <c r="AV92" s="1" t="s">
        <v>972</v>
      </c>
      <c r="AW92" s="1">
        <v>2.373</v>
      </c>
      <c r="AX92" s="1">
        <v>1.0</v>
      </c>
      <c r="AY92" s="1">
        <v>1.0</v>
      </c>
      <c r="AZ92" s="1">
        <v>51.0</v>
      </c>
      <c r="BA92" s="1">
        <v>2424.0</v>
      </c>
      <c r="BB92" s="1">
        <v>754.0</v>
      </c>
      <c r="BC92" s="1">
        <v>0.0</v>
      </c>
      <c r="BD92" s="1">
        <v>100.0</v>
      </c>
      <c r="BE92" s="1">
        <v>140.0</v>
      </c>
      <c r="BF92" s="1">
        <v>50.0</v>
      </c>
      <c r="BG92" s="1">
        <v>0.0</v>
      </c>
      <c r="BH92" s="1">
        <v>17.0</v>
      </c>
      <c r="BI92" s="1">
        <v>9.0</v>
      </c>
      <c r="BJ92" s="1">
        <v>0.0</v>
      </c>
      <c r="BO92" s="1" t="s">
        <v>1321</v>
      </c>
      <c r="BP92" s="1">
        <v>1.123</v>
      </c>
      <c r="BU92" s="1" t="s">
        <v>974</v>
      </c>
      <c r="BV92" s="1">
        <v>1.1</v>
      </c>
      <c r="BW92" s="1">
        <v>55.0</v>
      </c>
      <c r="BX92" s="1">
        <v>4951.008</v>
      </c>
      <c r="BY92" s="1">
        <v>8343.017</v>
      </c>
      <c r="BZ92" s="1">
        <v>11852.021</v>
      </c>
      <c r="CA92" s="1">
        <v>19171.119</v>
      </c>
      <c r="CB92" s="1">
        <v>196.0</v>
      </c>
      <c r="CC92" s="1">
        <v>0.0</v>
      </c>
      <c r="CD92" s="1">
        <v>662925.0</v>
      </c>
      <c r="CE92" s="1">
        <v>750.0</v>
      </c>
      <c r="CF92" s="1">
        <v>178.0</v>
      </c>
      <c r="CG92" s="1">
        <v>3279481.0</v>
      </c>
      <c r="CH92" s="1">
        <v>175876.0</v>
      </c>
      <c r="CI92" s="1">
        <v>2.0</v>
      </c>
      <c r="CJ92" s="1">
        <v>762848.0</v>
      </c>
      <c r="CK92" s="1">
        <v>26.0</v>
      </c>
      <c r="CL92" s="1">
        <v>124482.0</v>
      </c>
      <c r="CM92" s="1">
        <v>43.0</v>
      </c>
      <c r="CN92" s="1">
        <v>1791385.0</v>
      </c>
      <c r="CO92" s="1">
        <v>71.0</v>
      </c>
      <c r="CP92" s="1">
        <v>399448.0</v>
      </c>
      <c r="CQ92" s="1">
        <v>7.0</v>
      </c>
      <c r="CR92" s="1">
        <v>0.0</v>
      </c>
      <c r="CS92" s="1">
        <v>0.0</v>
      </c>
      <c r="CT92" s="1">
        <v>25442.0</v>
      </c>
      <c r="CU92" s="1">
        <v>29.0</v>
      </c>
      <c r="CV92" s="1">
        <v>1503572.0</v>
      </c>
      <c r="CW92" s="1">
        <v>75.0</v>
      </c>
      <c r="DC92" s="1">
        <v>0.0</v>
      </c>
      <c r="DD92" s="1">
        <v>5075.0</v>
      </c>
      <c r="DE92" s="1">
        <v>0.0</v>
      </c>
      <c r="DF92" s="1">
        <v>3396.0</v>
      </c>
      <c r="DG92" s="1">
        <v>150.0</v>
      </c>
      <c r="DH92" s="1">
        <v>40156.0</v>
      </c>
      <c r="DI92" s="1">
        <v>600.0</v>
      </c>
      <c r="DJ92" s="1">
        <v>614298.0</v>
      </c>
      <c r="DK92" s="1">
        <v>1442.965</v>
      </c>
      <c r="DL92" s="1" t="s">
        <v>975</v>
      </c>
      <c r="DM92" s="1">
        <v>2714.519</v>
      </c>
      <c r="DN92" s="1" t="s">
        <v>975</v>
      </c>
      <c r="DO92" s="1">
        <v>3279482.0</v>
      </c>
      <c r="DP92" s="1">
        <v>1.0</v>
      </c>
      <c r="DQ92" s="1" t="s">
        <v>976</v>
      </c>
      <c r="DR92" s="1" t="s">
        <v>1322</v>
      </c>
      <c r="DS92" s="1" t="s">
        <v>978</v>
      </c>
      <c r="DT92" s="1" t="s">
        <v>979</v>
      </c>
      <c r="DU92" s="1" t="s">
        <v>980</v>
      </c>
      <c r="DV92" s="1">
        <v>13875.0</v>
      </c>
      <c r="DX92" s="1">
        <v>4333.0</v>
      </c>
      <c r="DY92" s="1">
        <v>963251.0</v>
      </c>
      <c r="EA92" s="1">
        <v>1817.0</v>
      </c>
      <c r="EB92" s="1">
        <v>499109.0</v>
      </c>
      <c r="EC92" s="1">
        <v>55.0</v>
      </c>
      <c r="ED92" s="1">
        <v>26492.0</v>
      </c>
      <c r="EF92" s="1">
        <v>235.0</v>
      </c>
      <c r="EG92" s="1" t="s">
        <v>982</v>
      </c>
      <c r="EH92" s="1">
        <v>100.0</v>
      </c>
      <c r="EK92" s="1">
        <v>100.0</v>
      </c>
      <c r="EQ92" s="9" t="s">
        <v>39</v>
      </c>
      <c r="ER92" s="21">
        <v>46045.297800925924</v>
      </c>
    </row>
    <row r="93">
      <c r="A93" s="9" t="s">
        <v>1323</v>
      </c>
      <c r="B93" s="20" t="str">
        <f>IFERROR(__xludf.DUMMYFUNCTION("REGEXREPLACE(A93, ""^https?://[^/]+"", """")"),"/news-events/sales-xceleration-recognized-as-pipedrives-regional-partner-of-the-year-north-america-2024/")</f>
        <v>/news-events/sales-xceleration-recognized-as-pipedrives-regional-partner-of-the-year-north-america-2024/</v>
      </c>
      <c r="C93" s="1" t="s">
        <v>1324</v>
      </c>
      <c r="D93" s="1" t="s">
        <v>1172</v>
      </c>
      <c r="E93" s="1" t="s">
        <v>1325</v>
      </c>
      <c r="F93" s="1" t="s">
        <v>965</v>
      </c>
      <c r="G93" s="1">
        <v>200.0</v>
      </c>
      <c r="H93" s="1" t="s">
        <v>966</v>
      </c>
      <c r="I93" s="1" t="s">
        <v>967</v>
      </c>
      <c r="K93" s="1" t="s">
        <v>1326</v>
      </c>
      <c r="L93" s="1">
        <v>111.0</v>
      </c>
      <c r="M93" s="1">
        <v>1005.0</v>
      </c>
      <c r="O93" s="1">
        <v>0.0</v>
      </c>
      <c r="P93" s="1">
        <v>0.0</v>
      </c>
      <c r="Q93" s="1" t="s">
        <v>1327</v>
      </c>
      <c r="R93" s="1">
        <v>158.0</v>
      </c>
      <c r="S93" s="1">
        <v>986.0</v>
      </c>
      <c r="U93" s="1">
        <v>0.0</v>
      </c>
      <c r="V93" s="1" t="s">
        <v>1324</v>
      </c>
      <c r="W93" s="1">
        <v>91.0</v>
      </c>
      <c r="Y93" s="1">
        <v>0.0</v>
      </c>
      <c r="Z93" s="1" t="s">
        <v>1172</v>
      </c>
      <c r="AA93" s="1">
        <v>23.0</v>
      </c>
      <c r="AB93" s="1" t="s">
        <v>1325</v>
      </c>
      <c r="AC93" s="1">
        <v>15.0</v>
      </c>
      <c r="AD93" s="1" t="s">
        <v>971</v>
      </c>
      <c r="AG93" s="9" t="s">
        <v>1323</v>
      </c>
      <c r="AM93" s="1">
        <v>173711.0</v>
      </c>
      <c r="AN93" s="1">
        <v>32793.0</v>
      </c>
      <c r="AO93" s="1">
        <v>32793.0</v>
      </c>
      <c r="AP93" s="1">
        <v>12.562</v>
      </c>
      <c r="AR93" s="1">
        <v>1056.0</v>
      </c>
      <c r="AS93" s="1">
        <v>177.0</v>
      </c>
      <c r="AT93" s="1">
        <v>5.966</v>
      </c>
      <c r="AU93" s="1">
        <v>55.854</v>
      </c>
      <c r="AV93" s="1" t="s">
        <v>972</v>
      </c>
      <c r="AW93" s="1">
        <v>5.287</v>
      </c>
      <c r="AX93" s="1">
        <v>1.0</v>
      </c>
      <c r="AY93" s="1">
        <v>2.0</v>
      </c>
      <c r="AZ93" s="1">
        <v>3.0</v>
      </c>
      <c r="BA93" s="1">
        <v>4.0</v>
      </c>
      <c r="BB93" s="1">
        <v>4.0</v>
      </c>
      <c r="BC93" s="1">
        <v>0.0</v>
      </c>
      <c r="BD93" s="1">
        <v>0.53</v>
      </c>
      <c r="BE93" s="1">
        <v>127.0</v>
      </c>
      <c r="BF93" s="1">
        <v>43.0</v>
      </c>
      <c r="BG93" s="1">
        <v>0.0</v>
      </c>
      <c r="BH93" s="1">
        <v>28.0</v>
      </c>
      <c r="BI93" s="1">
        <v>20.0</v>
      </c>
      <c r="BJ93" s="1">
        <v>0.0</v>
      </c>
      <c r="BO93" s="1" t="s">
        <v>1328</v>
      </c>
      <c r="BP93" s="1">
        <v>0.964</v>
      </c>
      <c r="BU93" s="1" t="s">
        <v>974</v>
      </c>
      <c r="BV93" s="1">
        <v>1.1</v>
      </c>
      <c r="BW93" s="1">
        <v>55.0</v>
      </c>
      <c r="BX93" s="1">
        <v>4351.027</v>
      </c>
      <c r="BY93" s="1">
        <v>6848.427</v>
      </c>
      <c r="BZ93" s="1">
        <v>9976.065</v>
      </c>
      <c r="CA93" s="1">
        <v>19928.082</v>
      </c>
      <c r="CB93" s="1">
        <v>272.5</v>
      </c>
      <c r="CC93" s="1">
        <v>0.02</v>
      </c>
      <c r="CD93" s="1">
        <v>709192.0</v>
      </c>
      <c r="CE93" s="1">
        <v>1200.0</v>
      </c>
      <c r="CF93" s="1">
        <v>169.0</v>
      </c>
      <c r="CG93" s="1">
        <v>2691154.0</v>
      </c>
      <c r="CH93" s="1">
        <v>33538.0</v>
      </c>
      <c r="CI93" s="1">
        <v>2.0</v>
      </c>
      <c r="CJ93" s="1">
        <v>66736.0</v>
      </c>
      <c r="CK93" s="1">
        <v>20.0</v>
      </c>
      <c r="CL93" s="1">
        <v>176249.0</v>
      </c>
      <c r="CM93" s="1">
        <v>41.0</v>
      </c>
      <c r="CN93" s="1">
        <v>1748294.0</v>
      </c>
      <c r="CO93" s="1">
        <v>68.0</v>
      </c>
      <c r="CP93" s="1">
        <v>640717.0</v>
      </c>
      <c r="CQ93" s="1">
        <v>10.0</v>
      </c>
      <c r="CR93" s="1">
        <v>0.0</v>
      </c>
      <c r="CS93" s="1">
        <v>0.0</v>
      </c>
      <c r="CT93" s="1">
        <v>25620.0</v>
      </c>
      <c r="CU93" s="1">
        <v>28.0</v>
      </c>
      <c r="CV93" s="1">
        <v>1833216.0</v>
      </c>
      <c r="CW93" s="1">
        <v>70.0</v>
      </c>
      <c r="DC93" s="1">
        <v>0.0</v>
      </c>
      <c r="DD93" s="1">
        <v>5075.0</v>
      </c>
      <c r="DE93" s="1">
        <v>0.0</v>
      </c>
      <c r="DF93" s="1">
        <v>3396.0</v>
      </c>
      <c r="DG93" s="1">
        <v>450.0</v>
      </c>
      <c r="DH93" s="1">
        <v>108274.0</v>
      </c>
      <c r="DI93" s="1">
        <v>750.0</v>
      </c>
      <c r="DJ93" s="1">
        <v>592447.0</v>
      </c>
      <c r="DK93" s="1">
        <v>1329.92</v>
      </c>
      <c r="DL93" s="1" t="s">
        <v>975</v>
      </c>
      <c r="DM93" s="1">
        <v>2557.928</v>
      </c>
      <c r="DN93" s="1" t="s">
        <v>975</v>
      </c>
      <c r="DO93" s="1">
        <v>2690806.0</v>
      </c>
      <c r="DP93" s="1">
        <v>1.0</v>
      </c>
      <c r="DQ93" s="1" t="s">
        <v>976</v>
      </c>
      <c r="DR93" s="1" t="s">
        <v>1266</v>
      </c>
      <c r="DS93" s="1" t="s">
        <v>978</v>
      </c>
      <c r="DT93" s="1" t="s">
        <v>979</v>
      </c>
      <c r="DU93" s="1" t="s">
        <v>980</v>
      </c>
      <c r="DV93" s="1">
        <v>17147.0</v>
      </c>
      <c r="DX93" s="1">
        <v>3917.0</v>
      </c>
      <c r="DY93" s="1">
        <v>652777.0</v>
      </c>
      <c r="DZ93" s="1" t="s">
        <v>981</v>
      </c>
      <c r="EA93" s="1">
        <v>848.0</v>
      </c>
      <c r="EB93" s="1">
        <v>4453.0</v>
      </c>
      <c r="EC93" s="1">
        <v>1.0</v>
      </c>
      <c r="ED93" s="1">
        <v>26492.0</v>
      </c>
      <c r="EF93" s="1">
        <v>230.0</v>
      </c>
      <c r="EG93" s="1" t="s">
        <v>1032</v>
      </c>
      <c r="EH93" s="1">
        <v>100.0</v>
      </c>
      <c r="EK93" s="1">
        <v>100.0</v>
      </c>
      <c r="EQ93" s="9" t="s">
        <v>1323</v>
      </c>
      <c r="ER93" s="21">
        <v>46045.2978125</v>
      </c>
    </row>
    <row r="94">
      <c r="A94" s="9" t="s">
        <v>1329</v>
      </c>
      <c r="B94" s="20" t="str">
        <f>IFERROR(__xludf.DUMMYFUNCTION("REGEXREPLACE(A94, ""^https?://[^/]+"", """")"),"/wp-content/uploads/2022/05/logo-acg.jpg")</f>
        <v>/wp-content/uploads/2022/05/logo-acg.jpg</v>
      </c>
      <c r="F94" s="1" t="s">
        <v>1004</v>
      </c>
      <c r="G94" s="1">
        <v>200.0</v>
      </c>
      <c r="H94" s="1" t="s">
        <v>966</v>
      </c>
      <c r="I94" s="1" t="s">
        <v>967</v>
      </c>
      <c r="L94" s="1">
        <v>0.0</v>
      </c>
      <c r="M94" s="1">
        <v>0.0</v>
      </c>
      <c r="O94" s="1">
        <v>0.0</v>
      </c>
      <c r="P94" s="1">
        <v>0.0</v>
      </c>
      <c r="R94" s="1">
        <v>0.0</v>
      </c>
      <c r="S94" s="1">
        <v>0.0</v>
      </c>
      <c r="U94" s="1">
        <v>0.0</v>
      </c>
      <c r="W94" s="1">
        <v>0.0</v>
      </c>
      <c r="Y94" s="1">
        <v>0.0</v>
      </c>
      <c r="AA94" s="1">
        <v>0.0</v>
      </c>
      <c r="AC94" s="1">
        <v>0.0</v>
      </c>
      <c r="AM94" s="1">
        <v>29768.0</v>
      </c>
      <c r="AN94" s="1">
        <v>29768.0</v>
      </c>
      <c r="AO94" s="1">
        <v>29768.0</v>
      </c>
      <c r="AP94" s="1">
        <v>11.404</v>
      </c>
      <c r="AR94" s="1">
        <v>0.0</v>
      </c>
      <c r="AW94" s="1">
        <v>0.0</v>
      </c>
      <c r="AX94" s="1">
        <v>1.0</v>
      </c>
      <c r="AY94" s="1">
        <v>4.0</v>
      </c>
      <c r="BA94" s="1">
        <v>0.0</v>
      </c>
      <c r="BB94" s="1">
        <v>0.0</v>
      </c>
      <c r="BC94" s="1">
        <v>0.0</v>
      </c>
      <c r="BD94" s="1">
        <v>0.0</v>
      </c>
      <c r="BE94" s="1">
        <v>0.0</v>
      </c>
      <c r="BF94" s="1">
        <v>0.0</v>
      </c>
      <c r="BG94" s="1">
        <v>0.0</v>
      </c>
      <c r="BH94" s="1">
        <v>0.0</v>
      </c>
      <c r="BI94" s="1">
        <v>0.0</v>
      </c>
      <c r="BJ94" s="1">
        <v>0.0</v>
      </c>
      <c r="BP94" s="1">
        <v>0.253</v>
      </c>
      <c r="BQ94" s="1" t="s">
        <v>1330</v>
      </c>
      <c r="BV94" s="1">
        <v>1.1</v>
      </c>
      <c r="EQ94" s="9" t="s">
        <v>1329</v>
      </c>
      <c r="ER94" s="21">
        <v>46045.29782407408</v>
      </c>
    </row>
    <row r="95">
      <c r="A95" s="9" t="s">
        <v>114</v>
      </c>
      <c r="B95" s="20" t="str">
        <f>IFERROR(__xludf.DUMMYFUNCTION("REGEXREPLACE(A95, ""^https?://[^/]+"", """")"),"/industries/financial-services/")</f>
        <v>/industries/financial-services/</v>
      </c>
      <c r="C95" s="1" t="s">
        <v>1331</v>
      </c>
      <c r="D95" s="1" t="s">
        <v>1070</v>
      </c>
      <c r="E95" s="1" t="s">
        <v>1332</v>
      </c>
      <c r="F95" s="1" t="s">
        <v>965</v>
      </c>
      <c r="G95" s="1">
        <v>200.0</v>
      </c>
      <c r="H95" s="1" t="s">
        <v>966</v>
      </c>
      <c r="I95" s="1" t="s">
        <v>1214</v>
      </c>
      <c r="J95" s="1" t="s">
        <v>1215</v>
      </c>
      <c r="K95" s="1" t="s">
        <v>1333</v>
      </c>
      <c r="L95" s="1">
        <v>70.0</v>
      </c>
      <c r="M95" s="1">
        <v>614.0</v>
      </c>
      <c r="N95" s="1" t="s">
        <v>1073</v>
      </c>
      <c r="O95" s="1">
        <v>29.0</v>
      </c>
      <c r="P95" s="1">
        <v>261.0</v>
      </c>
      <c r="Q95" s="1" t="s">
        <v>1334</v>
      </c>
      <c r="R95" s="1">
        <v>160.0</v>
      </c>
      <c r="S95" s="1">
        <v>941.0</v>
      </c>
      <c r="U95" s="1">
        <v>0.0</v>
      </c>
      <c r="V95" s="1" t="s">
        <v>1331</v>
      </c>
      <c r="W95" s="1">
        <v>50.0</v>
      </c>
      <c r="Y95" s="1">
        <v>0.0</v>
      </c>
      <c r="Z95" s="1" t="s">
        <v>1070</v>
      </c>
      <c r="AA95" s="1">
        <v>36.0</v>
      </c>
      <c r="AB95" s="1" t="s">
        <v>1332</v>
      </c>
      <c r="AC95" s="1">
        <v>42.0</v>
      </c>
      <c r="AD95" s="1" t="s">
        <v>971</v>
      </c>
      <c r="AG95" s="9" t="s">
        <v>1218</v>
      </c>
      <c r="AM95" s="1">
        <v>276533.0</v>
      </c>
      <c r="AN95" s="1">
        <v>87546.0</v>
      </c>
      <c r="AO95" s="1">
        <v>87546.0</v>
      </c>
      <c r="AP95" s="1">
        <v>33.537</v>
      </c>
      <c r="AR95" s="1">
        <v>1636.0</v>
      </c>
      <c r="AS95" s="1">
        <v>276.0</v>
      </c>
      <c r="AT95" s="1">
        <v>5.928</v>
      </c>
      <c r="AU95" s="1">
        <v>47.753</v>
      </c>
      <c r="AV95" s="1" t="s">
        <v>1075</v>
      </c>
      <c r="AW95" s="1">
        <v>6.73</v>
      </c>
      <c r="AX95" s="1">
        <v>1.0</v>
      </c>
      <c r="AY95" s="1">
        <v>2.0</v>
      </c>
      <c r="BA95" s="1">
        <v>2250.0</v>
      </c>
      <c r="BB95" s="1">
        <v>754.0</v>
      </c>
      <c r="BC95" s="1">
        <v>0.0</v>
      </c>
      <c r="BD95" s="1">
        <v>100.0</v>
      </c>
      <c r="BE95" s="1">
        <v>135.0</v>
      </c>
      <c r="BF95" s="1">
        <v>46.0</v>
      </c>
      <c r="BG95" s="1">
        <v>0.0</v>
      </c>
      <c r="BH95" s="1">
        <v>16.0</v>
      </c>
      <c r="BI95" s="1">
        <v>8.0</v>
      </c>
      <c r="BJ95" s="1">
        <v>0.0</v>
      </c>
      <c r="BO95" s="1" t="s">
        <v>1335</v>
      </c>
      <c r="BP95" s="1">
        <v>1.053</v>
      </c>
      <c r="BU95" s="1" t="s">
        <v>974</v>
      </c>
      <c r="BV95" s="1">
        <v>1.1</v>
      </c>
      <c r="BW95" s="1">
        <v>56.0</v>
      </c>
      <c r="BX95" s="1">
        <v>4201.119</v>
      </c>
      <c r="BY95" s="1">
        <v>6805.319</v>
      </c>
      <c r="BZ95" s="1">
        <v>9752.289</v>
      </c>
      <c r="CA95" s="1">
        <v>20953.434</v>
      </c>
      <c r="CB95" s="1">
        <v>236.5</v>
      </c>
      <c r="CC95" s="1">
        <v>0.005</v>
      </c>
      <c r="CD95" s="1">
        <v>672351.0</v>
      </c>
      <c r="CE95" s="1">
        <v>900.0</v>
      </c>
      <c r="CF95" s="1">
        <v>179.0</v>
      </c>
      <c r="CG95" s="1">
        <v>3186128.0</v>
      </c>
      <c r="CH95" s="1">
        <v>85787.0</v>
      </c>
      <c r="CI95" s="1">
        <v>2.0</v>
      </c>
      <c r="CJ95" s="1">
        <v>763002.0</v>
      </c>
      <c r="CK95" s="1">
        <v>25.0</v>
      </c>
      <c r="CL95" s="1">
        <v>127932.0</v>
      </c>
      <c r="CM95" s="1">
        <v>45.0</v>
      </c>
      <c r="CN95" s="1">
        <v>1791193.0</v>
      </c>
      <c r="CO95" s="1">
        <v>71.0</v>
      </c>
      <c r="CP95" s="1">
        <v>392584.0</v>
      </c>
      <c r="CQ95" s="1">
        <v>7.0</v>
      </c>
      <c r="CR95" s="1">
        <v>0.0</v>
      </c>
      <c r="CS95" s="1">
        <v>0.0</v>
      </c>
      <c r="CT95" s="1">
        <v>25630.0</v>
      </c>
      <c r="CU95" s="1">
        <v>29.0</v>
      </c>
      <c r="CV95" s="1">
        <v>1550124.0</v>
      </c>
      <c r="CW95" s="1">
        <v>76.0</v>
      </c>
      <c r="DC95" s="1">
        <v>0.0</v>
      </c>
      <c r="DD95" s="1">
        <v>5075.0</v>
      </c>
      <c r="DE95" s="1">
        <v>0.0</v>
      </c>
      <c r="DF95" s="1">
        <v>3401.0</v>
      </c>
      <c r="DG95" s="1">
        <v>300.0</v>
      </c>
      <c r="DH95" s="1">
        <v>50543.0</v>
      </c>
      <c r="DI95" s="1">
        <v>600.0</v>
      </c>
      <c r="DJ95" s="1">
        <v>613332.0</v>
      </c>
      <c r="DK95" s="1">
        <v>1485.792</v>
      </c>
      <c r="DL95" s="1" t="s">
        <v>975</v>
      </c>
      <c r="DM95" s="1">
        <v>2794.078</v>
      </c>
      <c r="DN95" s="1" t="s">
        <v>975</v>
      </c>
      <c r="DO95" s="1">
        <v>3185966.0</v>
      </c>
      <c r="DP95" s="1">
        <v>1.0</v>
      </c>
      <c r="DQ95" s="1" t="s">
        <v>976</v>
      </c>
      <c r="DR95" s="1" t="s">
        <v>1124</v>
      </c>
      <c r="DS95" s="1" t="s">
        <v>978</v>
      </c>
      <c r="DU95" s="1" t="s">
        <v>994</v>
      </c>
      <c r="DV95" s="1">
        <v>14748.0</v>
      </c>
      <c r="DX95" s="1">
        <v>3898.0</v>
      </c>
      <c r="DY95" s="1">
        <v>943415.0</v>
      </c>
      <c r="DZ95" s="1" t="s">
        <v>981</v>
      </c>
      <c r="EA95" s="1">
        <v>1213.0</v>
      </c>
      <c r="EB95" s="1">
        <v>499109.0</v>
      </c>
      <c r="EC95" s="1">
        <v>0.0</v>
      </c>
      <c r="ED95" s="1">
        <v>26492.0</v>
      </c>
      <c r="EF95" s="1">
        <v>215.0</v>
      </c>
      <c r="EG95" s="1" t="s">
        <v>982</v>
      </c>
      <c r="EH95" s="1">
        <v>100.0</v>
      </c>
      <c r="EK95" s="1">
        <v>100.0</v>
      </c>
      <c r="EQ95" s="9" t="s">
        <v>114</v>
      </c>
      <c r="ER95" s="21">
        <v>46045.2978125</v>
      </c>
    </row>
    <row r="96">
      <c r="A96" s="9" t="s">
        <v>1336</v>
      </c>
      <c r="B96" s="20" t="str">
        <f>IFERROR(__xludf.DUMMYFUNCTION("REGEXREPLACE(A96, ""^https?://[^/]+"", """")"),"/wp-content/uploads/2025/02/Untitled-design-11.png")</f>
        <v>/wp-content/uploads/2025/02/Untitled-design-11.png</v>
      </c>
      <c r="F96" s="1" t="s">
        <v>1047</v>
      </c>
      <c r="G96" s="1">
        <v>200.0</v>
      </c>
      <c r="H96" s="1" t="s">
        <v>966</v>
      </c>
      <c r="I96" s="1" t="s">
        <v>967</v>
      </c>
      <c r="L96" s="1">
        <v>0.0</v>
      </c>
      <c r="M96" s="1">
        <v>0.0</v>
      </c>
      <c r="O96" s="1">
        <v>0.0</v>
      </c>
      <c r="P96" s="1">
        <v>0.0</v>
      </c>
      <c r="R96" s="1">
        <v>0.0</v>
      </c>
      <c r="S96" s="1">
        <v>0.0</v>
      </c>
      <c r="U96" s="1">
        <v>0.0</v>
      </c>
      <c r="W96" s="1">
        <v>0.0</v>
      </c>
      <c r="Y96" s="1">
        <v>0.0</v>
      </c>
      <c r="AA96" s="1">
        <v>0.0</v>
      </c>
      <c r="AC96" s="1">
        <v>0.0</v>
      </c>
      <c r="AM96" s="1">
        <v>611863.0</v>
      </c>
      <c r="AN96" s="1">
        <v>611863.0</v>
      </c>
      <c r="AO96" s="1">
        <v>611863.0</v>
      </c>
      <c r="AP96" s="1">
        <v>234.393</v>
      </c>
      <c r="AR96" s="1">
        <v>0.0</v>
      </c>
      <c r="AW96" s="1">
        <v>0.0</v>
      </c>
      <c r="AX96" s="1">
        <v>1.0</v>
      </c>
      <c r="AY96" s="1">
        <v>4.0</v>
      </c>
      <c r="BA96" s="1">
        <v>0.0</v>
      </c>
      <c r="BB96" s="1">
        <v>0.0</v>
      </c>
      <c r="BC96" s="1">
        <v>0.0</v>
      </c>
      <c r="BD96" s="1">
        <v>0.0</v>
      </c>
      <c r="BE96" s="1">
        <v>0.0</v>
      </c>
      <c r="BF96" s="1">
        <v>0.0</v>
      </c>
      <c r="BG96" s="1">
        <v>0.0</v>
      </c>
      <c r="BH96" s="1">
        <v>0.0</v>
      </c>
      <c r="BI96" s="1">
        <v>0.0</v>
      </c>
      <c r="BJ96" s="1">
        <v>0.0</v>
      </c>
      <c r="BP96" s="1">
        <v>0.261</v>
      </c>
      <c r="BQ96" s="1" t="s">
        <v>1337</v>
      </c>
      <c r="BV96" s="1">
        <v>1.1</v>
      </c>
      <c r="EQ96" s="9" t="s">
        <v>1336</v>
      </c>
      <c r="ER96" s="21">
        <v>46045.29782407408</v>
      </c>
    </row>
    <row r="97">
      <c r="A97" s="9" t="s">
        <v>1338</v>
      </c>
      <c r="B97" s="20" t="str">
        <f>IFERROR(__xludf.DUMMYFUNCTION("REGEXREPLACE(A97, ""^https?://[^/]+"", """")"),"/contact-us/")</f>
        <v>/contact-us/</v>
      </c>
      <c r="C97" s="1" t="s">
        <v>1339</v>
      </c>
      <c r="F97" s="1" t="s">
        <v>965</v>
      </c>
      <c r="G97" s="1">
        <v>200.0</v>
      </c>
      <c r="H97" s="1" t="s">
        <v>966</v>
      </c>
      <c r="I97" s="1" t="s">
        <v>1214</v>
      </c>
      <c r="J97" s="1" t="s">
        <v>1340</v>
      </c>
      <c r="K97" s="1" t="s">
        <v>1341</v>
      </c>
      <c r="L97" s="1">
        <v>34.0</v>
      </c>
      <c r="M97" s="1">
        <v>314.0</v>
      </c>
      <c r="O97" s="1">
        <v>0.0</v>
      </c>
      <c r="P97" s="1">
        <v>0.0</v>
      </c>
      <c r="Q97" s="1" t="s">
        <v>1342</v>
      </c>
      <c r="R97" s="1">
        <v>81.0</v>
      </c>
      <c r="S97" s="1">
        <v>492.0</v>
      </c>
      <c r="U97" s="1">
        <v>0.0</v>
      </c>
      <c r="V97" s="1" t="s">
        <v>1339</v>
      </c>
      <c r="W97" s="1">
        <v>10.0</v>
      </c>
      <c r="Y97" s="1">
        <v>0.0</v>
      </c>
      <c r="AA97" s="1">
        <v>0.0</v>
      </c>
      <c r="AC97" s="1">
        <v>0.0</v>
      </c>
      <c r="AD97" s="1" t="s">
        <v>1343</v>
      </c>
      <c r="AM97" s="1">
        <v>178087.0</v>
      </c>
      <c r="AN97" s="1">
        <v>35550.0</v>
      </c>
      <c r="AO97" s="1">
        <v>35550.0</v>
      </c>
      <c r="AP97" s="1">
        <v>13.619</v>
      </c>
      <c r="AR97" s="1">
        <v>605.0</v>
      </c>
      <c r="AS97" s="1">
        <v>110.0</v>
      </c>
      <c r="AT97" s="1">
        <v>5.5</v>
      </c>
      <c r="AU97" s="1">
        <v>63.655</v>
      </c>
      <c r="AV97" s="1" t="s">
        <v>990</v>
      </c>
      <c r="AW97" s="1">
        <v>3.417</v>
      </c>
      <c r="AX97" s="1">
        <v>1.0</v>
      </c>
      <c r="AY97" s="1">
        <v>1.0</v>
      </c>
      <c r="AZ97" s="1">
        <v>47.0</v>
      </c>
      <c r="BA97" s="1">
        <v>1606.0</v>
      </c>
      <c r="BB97" s="1">
        <v>748.0</v>
      </c>
      <c r="BC97" s="1">
        <v>0.0</v>
      </c>
      <c r="BD97" s="1">
        <v>99.2</v>
      </c>
      <c r="BE97" s="1">
        <v>125.0</v>
      </c>
      <c r="BF97" s="1">
        <v>43.0</v>
      </c>
      <c r="BG97" s="1">
        <v>0.0</v>
      </c>
      <c r="BH97" s="1">
        <v>16.0</v>
      </c>
      <c r="BI97" s="1">
        <v>8.0</v>
      </c>
      <c r="BJ97" s="1">
        <v>0.0</v>
      </c>
      <c r="BO97" s="1" t="s">
        <v>1344</v>
      </c>
      <c r="BP97" s="1">
        <v>0.928</v>
      </c>
      <c r="BU97" s="1" t="s">
        <v>974</v>
      </c>
      <c r="BV97" s="1">
        <v>1.1</v>
      </c>
      <c r="BW97" s="1">
        <v>45.0</v>
      </c>
      <c r="BX97" s="1">
        <v>3901.029</v>
      </c>
      <c r="BY97" s="1">
        <v>7193.344</v>
      </c>
      <c r="BZ97" s="1">
        <v>15076.603</v>
      </c>
      <c r="CA97" s="1">
        <v>22071.35</v>
      </c>
      <c r="CB97" s="1">
        <v>624.5</v>
      </c>
      <c r="CC97" s="1">
        <v>0.0</v>
      </c>
      <c r="CD97" s="1">
        <v>1239461.0</v>
      </c>
      <c r="CE97" s="1">
        <v>3720.0</v>
      </c>
      <c r="CF97" s="1">
        <v>189.0</v>
      </c>
      <c r="CG97" s="1">
        <v>3856948.0</v>
      </c>
      <c r="CH97" s="1">
        <v>90572.0</v>
      </c>
      <c r="CI97" s="1">
        <v>4.0</v>
      </c>
      <c r="CJ97" s="1">
        <v>210812.0</v>
      </c>
      <c r="CK97" s="1">
        <v>20.0</v>
      </c>
      <c r="CL97" s="1">
        <v>220408.0</v>
      </c>
      <c r="CM97" s="1">
        <v>46.0</v>
      </c>
      <c r="CN97" s="1">
        <v>2538146.0</v>
      </c>
      <c r="CO97" s="1">
        <v>80.0</v>
      </c>
      <c r="CP97" s="1">
        <v>406321.0</v>
      </c>
      <c r="CQ97" s="1">
        <v>9.0</v>
      </c>
      <c r="CR97" s="1">
        <v>0.0</v>
      </c>
      <c r="CS97" s="1">
        <v>0.0</v>
      </c>
      <c r="CT97" s="1">
        <v>390689.0</v>
      </c>
      <c r="CU97" s="1">
        <v>30.0</v>
      </c>
      <c r="CV97" s="1">
        <v>2819191.0</v>
      </c>
      <c r="CW97" s="1">
        <v>80.0</v>
      </c>
      <c r="DC97" s="1">
        <v>0.0</v>
      </c>
      <c r="DD97" s="1">
        <v>0.0</v>
      </c>
      <c r="DE97" s="1">
        <v>150.0</v>
      </c>
      <c r="DF97" s="1">
        <v>3396.0</v>
      </c>
      <c r="DG97" s="1">
        <v>870.0</v>
      </c>
      <c r="DH97" s="1">
        <v>59568.0</v>
      </c>
      <c r="DI97" s="1">
        <v>2700.0</v>
      </c>
      <c r="DJ97" s="1">
        <v>1176497.0</v>
      </c>
      <c r="DK97" s="1">
        <v>2424.558</v>
      </c>
      <c r="DL97" s="1" t="s">
        <v>975</v>
      </c>
      <c r="DM97" s="1">
        <v>3863.038</v>
      </c>
      <c r="DN97" s="1" t="s">
        <v>975</v>
      </c>
      <c r="DO97" s="1">
        <v>3856866.0</v>
      </c>
      <c r="DP97" s="1">
        <v>1.0</v>
      </c>
      <c r="DQ97" s="1" t="s">
        <v>976</v>
      </c>
      <c r="DR97" s="1" t="s">
        <v>1345</v>
      </c>
      <c r="DS97" s="1" t="s">
        <v>978</v>
      </c>
      <c r="DU97" s="1" t="s">
        <v>994</v>
      </c>
      <c r="DV97" s="1">
        <v>14148.0</v>
      </c>
      <c r="DX97" s="1">
        <v>3926.0</v>
      </c>
      <c r="DY97" s="1">
        <v>724536.0</v>
      </c>
      <c r="DZ97" s="1" t="s">
        <v>981</v>
      </c>
      <c r="EA97" s="1">
        <v>902.0</v>
      </c>
      <c r="EB97" s="1">
        <v>4453.0</v>
      </c>
      <c r="EC97" s="1">
        <v>4.0</v>
      </c>
      <c r="ED97" s="1">
        <v>26492.0</v>
      </c>
      <c r="EF97" s="1">
        <v>240.0</v>
      </c>
      <c r="EG97" s="1" t="s">
        <v>982</v>
      </c>
      <c r="EH97" s="1">
        <v>100.0</v>
      </c>
      <c r="EK97" s="1">
        <v>100.0</v>
      </c>
      <c r="EQ97" s="9" t="s">
        <v>1338</v>
      </c>
      <c r="ER97" s="21">
        <v>46045.2978125</v>
      </c>
    </row>
    <row r="98">
      <c r="A98" s="9" t="s">
        <v>1346</v>
      </c>
      <c r="B98" s="20" t="str">
        <f>IFERROR(__xludf.DUMMYFUNCTION("REGEXREPLACE(A98, ""^https?://[^/]+"", """")"),"/wp-content/uploads/2022/06/50-Fastest-Companies-2022_Award-Logo.png")</f>
        <v>/wp-content/uploads/2022/06/50-Fastest-Companies-2022_Award-Logo.png</v>
      </c>
      <c r="F98" s="1" t="s">
        <v>1047</v>
      </c>
      <c r="G98" s="1">
        <v>200.0</v>
      </c>
      <c r="H98" s="1" t="s">
        <v>966</v>
      </c>
      <c r="I98" s="1" t="s">
        <v>967</v>
      </c>
      <c r="L98" s="1">
        <v>0.0</v>
      </c>
      <c r="M98" s="1">
        <v>0.0</v>
      </c>
      <c r="O98" s="1">
        <v>0.0</v>
      </c>
      <c r="P98" s="1">
        <v>0.0</v>
      </c>
      <c r="R98" s="1">
        <v>0.0</v>
      </c>
      <c r="S98" s="1">
        <v>0.0</v>
      </c>
      <c r="U98" s="1">
        <v>0.0</v>
      </c>
      <c r="W98" s="1">
        <v>0.0</v>
      </c>
      <c r="Y98" s="1">
        <v>0.0</v>
      </c>
      <c r="AA98" s="1">
        <v>0.0</v>
      </c>
      <c r="AC98" s="1">
        <v>0.0</v>
      </c>
      <c r="AM98" s="1">
        <v>58249.0</v>
      </c>
      <c r="AN98" s="1">
        <v>58249.0</v>
      </c>
      <c r="AO98" s="1">
        <v>58249.0</v>
      </c>
      <c r="AP98" s="1">
        <v>22.314</v>
      </c>
      <c r="AR98" s="1">
        <v>0.0</v>
      </c>
      <c r="AW98" s="1">
        <v>0.0</v>
      </c>
      <c r="AX98" s="1">
        <v>1.0</v>
      </c>
      <c r="AY98" s="1">
        <v>4.0</v>
      </c>
      <c r="BA98" s="1">
        <v>0.0</v>
      </c>
      <c r="BB98" s="1">
        <v>0.0</v>
      </c>
      <c r="BC98" s="1">
        <v>0.0</v>
      </c>
      <c r="BD98" s="1">
        <v>0.0</v>
      </c>
      <c r="BE98" s="1">
        <v>0.0</v>
      </c>
      <c r="BF98" s="1">
        <v>0.0</v>
      </c>
      <c r="BG98" s="1">
        <v>0.0</v>
      </c>
      <c r="BH98" s="1">
        <v>0.0</v>
      </c>
      <c r="BI98" s="1">
        <v>0.0</v>
      </c>
      <c r="BJ98" s="1">
        <v>0.0</v>
      </c>
      <c r="BP98" s="1">
        <v>0.272</v>
      </c>
      <c r="BQ98" s="1" t="s">
        <v>1347</v>
      </c>
      <c r="BV98" s="1">
        <v>1.1</v>
      </c>
      <c r="EQ98" s="9" t="s">
        <v>1346</v>
      </c>
      <c r="ER98" s="21">
        <v>46045.29782407408</v>
      </c>
    </row>
    <row r="99">
      <c r="A99" s="9" t="s">
        <v>1348</v>
      </c>
      <c r="B99" s="20" t="str">
        <f>IFERROR(__xludf.DUMMYFUNCTION("REGEXREPLACE(A99, ""^https?://[^/]+"", """")"),"/wp-content/themes/salesxceleratione/assets/css/style.css?ver=1769123309")</f>
        <v>/wp-content/themes/salesxceleratione/assets/css/style.css?ver=1769123309</v>
      </c>
      <c r="F99" s="1" t="s">
        <v>1016</v>
      </c>
      <c r="G99" s="1">
        <v>200.0</v>
      </c>
      <c r="H99" s="1" t="s">
        <v>966</v>
      </c>
      <c r="I99" s="1" t="s">
        <v>967</v>
      </c>
      <c r="L99" s="1">
        <v>0.0</v>
      </c>
      <c r="M99" s="1">
        <v>0.0</v>
      </c>
      <c r="O99" s="1">
        <v>0.0</v>
      </c>
      <c r="P99" s="1">
        <v>0.0</v>
      </c>
      <c r="R99" s="1">
        <v>0.0</v>
      </c>
      <c r="S99" s="1">
        <v>0.0</v>
      </c>
      <c r="U99" s="1">
        <v>0.0</v>
      </c>
      <c r="W99" s="1">
        <v>0.0</v>
      </c>
      <c r="Y99" s="1">
        <v>0.0</v>
      </c>
      <c r="AA99" s="1">
        <v>0.0</v>
      </c>
      <c r="AC99" s="1">
        <v>0.0</v>
      </c>
      <c r="AM99" s="1">
        <v>17704.0</v>
      </c>
      <c r="AN99" s="1">
        <v>17704.0</v>
      </c>
      <c r="AO99" s="1">
        <v>17704.0</v>
      </c>
      <c r="AP99" s="1">
        <v>6.782</v>
      </c>
      <c r="AR99" s="1">
        <v>0.0</v>
      </c>
      <c r="AW99" s="1">
        <v>0.0</v>
      </c>
      <c r="AX99" s="1">
        <v>1.0</v>
      </c>
      <c r="AY99" s="1">
        <v>5.0</v>
      </c>
      <c r="BA99" s="1">
        <v>0.0</v>
      </c>
      <c r="BB99" s="1">
        <v>0.0</v>
      </c>
      <c r="BC99" s="1">
        <v>0.0</v>
      </c>
      <c r="BD99" s="1">
        <v>0.0</v>
      </c>
      <c r="BE99" s="1">
        <v>0.0</v>
      </c>
      <c r="BF99" s="1">
        <v>0.0</v>
      </c>
      <c r="BG99" s="1">
        <v>0.0</v>
      </c>
      <c r="BH99" s="1">
        <v>0.0</v>
      </c>
      <c r="BI99" s="1">
        <v>0.0</v>
      </c>
      <c r="BJ99" s="1">
        <v>0.0</v>
      </c>
      <c r="BP99" s="1">
        <v>0.28</v>
      </c>
      <c r="BQ99" s="1" t="s">
        <v>1349</v>
      </c>
      <c r="BV99" s="1">
        <v>1.1</v>
      </c>
      <c r="EQ99" s="9" t="s">
        <v>1348</v>
      </c>
      <c r="ER99" s="21">
        <v>46045.29782407408</v>
      </c>
    </row>
    <row r="100">
      <c r="A100" s="9" t="s">
        <v>1350</v>
      </c>
      <c r="B100" s="20" t="str">
        <f>IFERROR(__xludf.DUMMYFUNCTION("REGEXREPLACE(A100, ""^https?://[^/]+"", """")"),"/wp-content/uploads/2025/02/2024-Bronze.png")</f>
        <v>/wp-content/uploads/2025/02/2024-Bronze.png</v>
      </c>
      <c r="F100" s="1" t="s">
        <v>1047</v>
      </c>
      <c r="G100" s="1">
        <v>200.0</v>
      </c>
      <c r="H100" s="1" t="s">
        <v>966</v>
      </c>
      <c r="I100" s="1" t="s">
        <v>967</v>
      </c>
      <c r="L100" s="1">
        <v>0.0</v>
      </c>
      <c r="M100" s="1">
        <v>0.0</v>
      </c>
      <c r="O100" s="1">
        <v>0.0</v>
      </c>
      <c r="P100" s="1">
        <v>0.0</v>
      </c>
      <c r="R100" s="1">
        <v>0.0</v>
      </c>
      <c r="S100" s="1">
        <v>0.0</v>
      </c>
      <c r="U100" s="1">
        <v>0.0</v>
      </c>
      <c r="W100" s="1">
        <v>0.0</v>
      </c>
      <c r="Y100" s="1">
        <v>0.0</v>
      </c>
      <c r="AA100" s="1">
        <v>0.0</v>
      </c>
      <c r="AC100" s="1">
        <v>0.0</v>
      </c>
      <c r="AM100" s="1">
        <v>129596.0</v>
      </c>
      <c r="AN100" s="1">
        <v>129596.0</v>
      </c>
      <c r="AO100" s="1">
        <v>129596.0</v>
      </c>
      <c r="AP100" s="1">
        <v>49.646</v>
      </c>
      <c r="AR100" s="1">
        <v>0.0</v>
      </c>
      <c r="AW100" s="1">
        <v>0.0</v>
      </c>
      <c r="AX100" s="1">
        <v>1.0</v>
      </c>
      <c r="AY100" s="1">
        <v>4.0</v>
      </c>
      <c r="BA100" s="1">
        <v>0.0</v>
      </c>
      <c r="BB100" s="1">
        <v>0.0</v>
      </c>
      <c r="BC100" s="1">
        <v>0.0</v>
      </c>
      <c r="BD100" s="1">
        <v>0.0</v>
      </c>
      <c r="BE100" s="1">
        <v>0.0</v>
      </c>
      <c r="BF100" s="1">
        <v>0.0</v>
      </c>
      <c r="BG100" s="1">
        <v>0.0</v>
      </c>
      <c r="BH100" s="1">
        <v>0.0</v>
      </c>
      <c r="BI100" s="1">
        <v>0.0</v>
      </c>
      <c r="BJ100" s="1">
        <v>0.0</v>
      </c>
      <c r="BP100" s="1">
        <v>0.313</v>
      </c>
      <c r="BQ100" s="1" t="s">
        <v>1351</v>
      </c>
      <c r="BV100" s="1">
        <v>1.1</v>
      </c>
      <c r="EQ100" s="9" t="s">
        <v>1350</v>
      </c>
      <c r="ER100" s="21">
        <v>46045.29782407408</v>
      </c>
    </row>
    <row r="101">
      <c r="A101" s="9" t="s">
        <v>1352</v>
      </c>
      <c r="B101" s="20" t="str">
        <f>IFERROR(__xludf.DUMMYFUNCTION("REGEXREPLACE(A101, ""^https?://[^/]+"", """")"),"/wp-includes/js/comment-reply.min.js?ver=6.9")</f>
        <v>/wp-includes/js/comment-reply.min.js?ver=6.9</v>
      </c>
      <c r="F101" s="1" t="s">
        <v>984</v>
      </c>
      <c r="G101" s="1">
        <v>200.0</v>
      </c>
      <c r="H101" s="1" t="s">
        <v>966</v>
      </c>
      <c r="I101" s="1" t="s">
        <v>967</v>
      </c>
      <c r="L101" s="1">
        <v>0.0</v>
      </c>
      <c r="M101" s="1">
        <v>0.0</v>
      </c>
      <c r="O101" s="1">
        <v>0.0</v>
      </c>
      <c r="P101" s="1">
        <v>0.0</v>
      </c>
      <c r="R101" s="1">
        <v>0.0</v>
      </c>
      <c r="S101" s="1">
        <v>0.0</v>
      </c>
      <c r="U101" s="1">
        <v>0.0</v>
      </c>
      <c r="W101" s="1">
        <v>0.0</v>
      </c>
      <c r="Y101" s="1">
        <v>0.0</v>
      </c>
      <c r="AA101" s="1">
        <v>0.0</v>
      </c>
      <c r="AC101" s="1">
        <v>0.0</v>
      </c>
      <c r="AM101" s="1">
        <v>1375.0</v>
      </c>
      <c r="AN101" s="1">
        <v>1375.0</v>
      </c>
      <c r="AO101" s="1">
        <v>1375.0</v>
      </c>
      <c r="AP101" s="1">
        <v>0.527</v>
      </c>
      <c r="AR101" s="1">
        <v>0.0</v>
      </c>
      <c r="AW101" s="1">
        <v>0.0</v>
      </c>
      <c r="AX101" s="1">
        <v>1.0</v>
      </c>
      <c r="AY101" s="1">
        <v>2.0</v>
      </c>
      <c r="BA101" s="1">
        <v>0.0</v>
      </c>
      <c r="BB101" s="1">
        <v>0.0</v>
      </c>
      <c r="BC101" s="1">
        <v>0.0</v>
      </c>
      <c r="BD101" s="1">
        <v>0.0</v>
      </c>
      <c r="BE101" s="1">
        <v>0.0</v>
      </c>
      <c r="BF101" s="1">
        <v>0.0</v>
      </c>
      <c r="BG101" s="1">
        <v>0.0</v>
      </c>
      <c r="BH101" s="1">
        <v>0.0</v>
      </c>
      <c r="BI101" s="1">
        <v>0.0</v>
      </c>
      <c r="BJ101" s="1">
        <v>0.0</v>
      </c>
      <c r="BP101" s="1">
        <v>0.258</v>
      </c>
      <c r="BQ101" s="1" t="s">
        <v>1353</v>
      </c>
      <c r="BV101" s="1">
        <v>1.1</v>
      </c>
      <c r="EQ101" s="9" t="s">
        <v>1352</v>
      </c>
      <c r="ER101" s="21">
        <v>46045.29783564815</v>
      </c>
    </row>
    <row r="102">
      <c r="A102" s="9" t="s">
        <v>1354</v>
      </c>
      <c r="B102" s="20" t="str">
        <f>IFERROR(__xludf.DUMMYFUNCTION("REGEXREPLACE(A102, ""^https?://[^/]+"", """")"),"/wp-content/plugins/elementor-pro/assets/css/widget-search-form.min.css?ver=3.34.0")</f>
        <v>/wp-content/plugins/elementor-pro/assets/css/widget-search-form.min.css?ver=3.34.0</v>
      </c>
      <c r="F102" s="1" t="s">
        <v>1016</v>
      </c>
      <c r="G102" s="1">
        <v>200.0</v>
      </c>
      <c r="H102" s="1" t="s">
        <v>966</v>
      </c>
      <c r="I102" s="1" t="s">
        <v>967</v>
      </c>
      <c r="L102" s="1">
        <v>0.0</v>
      </c>
      <c r="M102" s="1">
        <v>0.0</v>
      </c>
      <c r="O102" s="1">
        <v>0.0</v>
      </c>
      <c r="P102" s="1">
        <v>0.0</v>
      </c>
      <c r="R102" s="1">
        <v>0.0</v>
      </c>
      <c r="S102" s="1">
        <v>0.0</v>
      </c>
      <c r="U102" s="1">
        <v>0.0</v>
      </c>
      <c r="W102" s="1">
        <v>0.0</v>
      </c>
      <c r="Y102" s="1">
        <v>0.0</v>
      </c>
      <c r="AA102" s="1">
        <v>0.0</v>
      </c>
      <c r="AC102" s="1">
        <v>0.0</v>
      </c>
      <c r="AM102" s="1">
        <v>1060.0</v>
      </c>
      <c r="AN102" s="1">
        <v>1060.0</v>
      </c>
      <c r="AO102" s="1">
        <v>1060.0</v>
      </c>
      <c r="AP102" s="1">
        <v>0.406</v>
      </c>
      <c r="AR102" s="1">
        <v>0.0</v>
      </c>
      <c r="AW102" s="1">
        <v>0.0</v>
      </c>
      <c r="AX102" s="1">
        <v>1.0</v>
      </c>
      <c r="AY102" s="1">
        <v>5.0</v>
      </c>
      <c r="BA102" s="1">
        <v>0.0</v>
      </c>
      <c r="BB102" s="1">
        <v>0.0</v>
      </c>
      <c r="BC102" s="1">
        <v>0.0</v>
      </c>
      <c r="BD102" s="1">
        <v>0.0</v>
      </c>
      <c r="BE102" s="1">
        <v>0.0</v>
      </c>
      <c r="BF102" s="1">
        <v>0.0</v>
      </c>
      <c r="BG102" s="1">
        <v>0.0</v>
      </c>
      <c r="BH102" s="1">
        <v>0.0</v>
      </c>
      <c r="BI102" s="1">
        <v>0.0</v>
      </c>
      <c r="BJ102" s="1">
        <v>0.0</v>
      </c>
      <c r="BP102" s="1">
        <v>0.269</v>
      </c>
      <c r="BQ102" s="1" t="s">
        <v>1041</v>
      </c>
      <c r="BV102" s="1">
        <v>1.1</v>
      </c>
      <c r="EQ102" s="9" t="s">
        <v>1354</v>
      </c>
      <c r="ER102" s="21">
        <v>46045.29783564815</v>
      </c>
    </row>
    <row r="103">
      <c r="A103" s="9" t="s">
        <v>1355</v>
      </c>
      <c r="B103" s="20" t="str">
        <f>IFERROR(__xludf.DUMMYFUNCTION("REGEXREPLACE(A103, ""^https?://[^/]+"", """")"),"/wp-content/plugins/elementor/assets/lib/font-awesome/css/brands.min.css?ver=5.15.3")</f>
        <v>/wp-content/plugins/elementor/assets/lib/font-awesome/css/brands.min.css?ver=5.15.3</v>
      </c>
      <c r="F103" s="1" t="s">
        <v>1016</v>
      </c>
      <c r="G103" s="1">
        <v>200.0</v>
      </c>
      <c r="H103" s="1" t="s">
        <v>966</v>
      </c>
      <c r="I103" s="1" t="s">
        <v>967</v>
      </c>
      <c r="L103" s="1">
        <v>0.0</v>
      </c>
      <c r="M103" s="1">
        <v>0.0</v>
      </c>
      <c r="O103" s="1">
        <v>0.0</v>
      </c>
      <c r="P103" s="1">
        <v>0.0</v>
      </c>
      <c r="R103" s="1">
        <v>0.0</v>
      </c>
      <c r="S103" s="1">
        <v>0.0</v>
      </c>
      <c r="U103" s="1">
        <v>0.0</v>
      </c>
      <c r="W103" s="1">
        <v>0.0</v>
      </c>
      <c r="Y103" s="1">
        <v>0.0</v>
      </c>
      <c r="AA103" s="1">
        <v>0.0</v>
      </c>
      <c r="AC103" s="1">
        <v>0.0</v>
      </c>
      <c r="AM103" s="1">
        <v>308.0</v>
      </c>
      <c r="AN103" s="1">
        <v>308.0</v>
      </c>
      <c r="AO103" s="1">
        <v>308.0</v>
      </c>
      <c r="AP103" s="1">
        <v>0.118</v>
      </c>
      <c r="AR103" s="1">
        <v>0.0</v>
      </c>
      <c r="AW103" s="1">
        <v>0.0</v>
      </c>
      <c r="AX103" s="1">
        <v>1.0</v>
      </c>
      <c r="AY103" s="1">
        <v>7.0</v>
      </c>
      <c r="BA103" s="1">
        <v>0.0</v>
      </c>
      <c r="BB103" s="1">
        <v>0.0</v>
      </c>
      <c r="BC103" s="1">
        <v>0.0</v>
      </c>
      <c r="BD103" s="1">
        <v>0.0</v>
      </c>
      <c r="BE103" s="1">
        <v>0.0</v>
      </c>
      <c r="BF103" s="1">
        <v>0.0</v>
      </c>
      <c r="BG103" s="1">
        <v>0.0</v>
      </c>
      <c r="BH103" s="1">
        <v>0.0</v>
      </c>
      <c r="BI103" s="1">
        <v>0.0</v>
      </c>
      <c r="BJ103" s="1">
        <v>0.0</v>
      </c>
      <c r="BP103" s="1">
        <v>0.253</v>
      </c>
      <c r="BQ103" s="1" t="s">
        <v>1017</v>
      </c>
      <c r="BV103" s="1">
        <v>1.1</v>
      </c>
      <c r="EQ103" s="9" t="s">
        <v>1355</v>
      </c>
      <c r="ER103" s="21">
        <v>46045.29783564815</v>
      </c>
    </row>
    <row r="104">
      <c r="A104" s="9" t="s">
        <v>1356</v>
      </c>
      <c r="B104" s="20" t="str">
        <f>IFERROR(__xludf.DUMMYFUNCTION("REGEXREPLACE(A104, ""^https?://[^/]+"", """")"),"/wp-content/uploads/2021/04/banner-Case-Study_Electrical-Manufacturing_SX-1.jpg")</f>
        <v>/wp-content/uploads/2021/04/banner-Case-Study_Electrical-Manufacturing_SX-1.jpg</v>
      </c>
      <c r="F104" s="1" t="s">
        <v>1004</v>
      </c>
      <c r="G104" s="1">
        <v>200.0</v>
      </c>
      <c r="H104" s="1" t="s">
        <v>966</v>
      </c>
      <c r="I104" s="1" t="s">
        <v>967</v>
      </c>
      <c r="L104" s="1">
        <v>0.0</v>
      </c>
      <c r="M104" s="1">
        <v>0.0</v>
      </c>
      <c r="O104" s="1">
        <v>0.0</v>
      </c>
      <c r="P104" s="1">
        <v>0.0</v>
      </c>
      <c r="R104" s="1">
        <v>0.0</v>
      </c>
      <c r="S104" s="1">
        <v>0.0</v>
      </c>
      <c r="U104" s="1">
        <v>0.0</v>
      </c>
      <c r="W104" s="1">
        <v>0.0</v>
      </c>
      <c r="Y104" s="1">
        <v>0.0</v>
      </c>
      <c r="AA104" s="1">
        <v>0.0</v>
      </c>
      <c r="AC104" s="1">
        <v>0.0</v>
      </c>
      <c r="AM104" s="1">
        <v>231241.0</v>
      </c>
      <c r="AN104" s="1">
        <v>231241.0</v>
      </c>
      <c r="AO104" s="1">
        <v>231241.0</v>
      </c>
      <c r="AP104" s="1">
        <v>88.584</v>
      </c>
      <c r="AR104" s="1">
        <v>0.0</v>
      </c>
      <c r="AW104" s="1">
        <v>0.0</v>
      </c>
      <c r="AX104" s="1">
        <v>1.0</v>
      </c>
      <c r="AY104" s="1">
        <v>4.0</v>
      </c>
      <c r="BA104" s="1">
        <v>0.0</v>
      </c>
      <c r="BB104" s="1">
        <v>0.0</v>
      </c>
      <c r="BC104" s="1">
        <v>0.0</v>
      </c>
      <c r="BD104" s="1">
        <v>0.0</v>
      </c>
      <c r="BE104" s="1">
        <v>0.0</v>
      </c>
      <c r="BF104" s="1">
        <v>0.0</v>
      </c>
      <c r="BG104" s="1">
        <v>0.0</v>
      </c>
      <c r="BH104" s="1">
        <v>0.0</v>
      </c>
      <c r="BI104" s="1">
        <v>0.0</v>
      </c>
      <c r="BJ104" s="1">
        <v>0.0</v>
      </c>
      <c r="BP104" s="1">
        <v>0.264</v>
      </c>
      <c r="BQ104" s="1" t="s">
        <v>1357</v>
      </c>
      <c r="BV104" s="1">
        <v>1.1</v>
      </c>
      <c r="EQ104" s="9" t="s">
        <v>1356</v>
      </c>
      <c r="ER104" s="21">
        <v>46045.29783564815</v>
      </c>
    </row>
    <row r="105">
      <c r="A105" s="9" t="s">
        <v>1358</v>
      </c>
      <c r="B105" s="20" t="str">
        <f>IFERROR(__xludf.DUMMYFUNCTION("REGEXREPLACE(A105, ""^https?://[^/]+"", """")"),"/wp-content/uploads/elementor/google-fonts/css/opensans.css?ver=1744026297")</f>
        <v>/wp-content/uploads/elementor/google-fonts/css/opensans.css?ver=1744026297</v>
      </c>
      <c r="F105" s="1" t="s">
        <v>1016</v>
      </c>
      <c r="G105" s="1">
        <v>200.0</v>
      </c>
      <c r="H105" s="1" t="s">
        <v>966</v>
      </c>
      <c r="I105" s="1" t="s">
        <v>967</v>
      </c>
      <c r="L105" s="1">
        <v>0.0</v>
      </c>
      <c r="M105" s="1">
        <v>0.0</v>
      </c>
      <c r="O105" s="1">
        <v>0.0</v>
      </c>
      <c r="P105" s="1">
        <v>0.0</v>
      </c>
      <c r="R105" s="1">
        <v>0.0</v>
      </c>
      <c r="S105" s="1">
        <v>0.0</v>
      </c>
      <c r="U105" s="1">
        <v>0.0</v>
      </c>
      <c r="W105" s="1">
        <v>0.0</v>
      </c>
      <c r="Y105" s="1">
        <v>0.0</v>
      </c>
      <c r="AA105" s="1">
        <v>0.0</v>
      </c>
      <c r="AC105" s="1">
        <v>0.0</v>
      </c>
      <c r="AM105" s="1">
        <v>2577.0</v>
      </c>
      <c r="AN105" s="1">
        <v>2577.0</v>
      </c>
      <c r="AO105" s="1">
        <v>2577.0</v>
      </c>
      <c r="AP105" s="1">
        <v>0.987</v>
      </c>
      <c r="AR105" s="1">
        <v>0.0</v>
      </c>
      <c r="AW105" s="1">
        <v>0.0</v>
      </c>
      <c r="AX105" s="1">
        <v>1.0</v>
      </c>
      <c r="AY105" s="1">
        <v>5.0</v>
      </c>
      <c r="BA105" s="1">
        <v>0.0</v>
      </c>
      <c r="BB105" s="1">
        <v>0.0</v>
      </c>
      <c r="BC105" s="1">
        <v>0.0</v>
      </c>
      <c r="BD105" s="1">
        <v>0.0</v>
      </c>
      <c r="BE105" s="1">
        <v>0.0</v>
      </c>
      <c r="BF105" s="1">
        <v>0.0</v>
      </c>
      <c r="BG105" s="1">
        <v>0.0</v>
      </c>
      <c r="BH105" s="1">
        <v>0.0</v>
      </c>
      <c r="BI105" s="1">
        <v>0.0</v>
      </c>
      <c r="BJ105" s="1">
        <v>0.0</v>
      </c>
      <c r="BP105" s="1">
        <v>0.255</v>
      </c>
      <c r="BQ105" s="1" t="s">
        <v>1359</v>
      </c>
      <c r="BV105" s="1">
        <v>1.1</v>
      </c>
      <c r="EQ105" s="9" t="s">
        <v>1358</v>
      </c>
      <c r="ER105" s="21">
        <v>46045.29783564815</v>
      </c>
    </row>
    <row r="106">
      <c r="A106" s="9" t="s">
        <v>1360</v>
      </c>
      <c r="B106" s="20" t="str">
        <f>IFERROR(__xludf.DUMMYFUNCTION("REGEXREPLACE(A106, ""^https?://[^/]+"", """")"),"/wp-content/plugins/cookie-law-info/legacy/admin/modules/ccpa/assets/js/cookie-law-info-ccpa.js?ver=3.3.9.1")</f>
        <v>/wp-content/plugins/cookie-law-info/legacy/admin/modules/ccpa/assets/js/cookie-law-info-ccpa.js?ver=3.3.9.1</v>
      </c>
      <c r="F106" s="1" t="s">
        <v>984</v>
      </c>
      <c r="G106" s="1">
        <v>200.0</v>
      </c>
      <c r="H106" s="1" t="s">
        <v>966</v>
      </c>
      <c r="I106" s="1" t="s">
        <v>967</v>
      </c>
      <c r="L106" s="1">
        <v>0.0</v>
      </c>
      <c r="M106" s="1">
        <v>0.0</v>
      </c>
      <c r="O106" s="1">
        <v>0.0</v>
      </c>
      <c r="P106" s="1">
        <v>0.0</v>
      </c>
      <c r="R106" s="1">
        <v>0.0</v>
      </c>
      <c r="S106" s="1">
        <v>0.0</v>
      </c>
      <c r="U106" s="1">
        <v>0.0</v>
      </c>
      <c r="W106" s="1">
        <v>0.0</v>
      </c>
      <c r="Y106" s="1">
        <v>0.0</v>
      </c>
      <c r="AA106" s="1">
        <v>0.0</v>
      </c>
      <c r="AC106" s="1">
        <v>0.0</v>
      </c>
      <c r="AM106" s="1">
        <v>1820.0</v>
      </c>
      <c r="AN106" s="1">
        <v>1820.0</v>
      </c>
      <c r="AO106" s="1">
        <v>1820.0</v>
      </c>
      <c r="AP106" s="1">
        <v>0.697</v>
      </c>
      <c r="AR106" s="1">
        <v>0.0</v>
      </c>
      <c r="AW106" s="1">
        <v>0.0</v>
      </c>
      <c r="AX106" s="1">
        <v>1.0</v>
      </c>
      <c r="AY106" s="1">
        <v>9.0</v>
      </c>
      <c r="BA106" s="1">
        <v>0.0</v>
      </c>
      <c r="BB106" s="1">
        <v>0.0</v>
      </c>
      <c r="BC106" s="1">
        <v>0.0</v>
      </c>
      <c r="BD106" s="1">
        <v>0.0</v>
      </c>
      <c r="BE106" s="1">
        <v>0.0</v>
      </c>
      <c r="BF106" s="1">
        <v>0.0</v>
      </c>
      <c r="BG106" s="1">
        <v>0.0</v>
      </c>
      <c r="BH106" s="1">
        <v>0.0</v>
      </c>
      <c r="BI106" s="1">
        <v>0.0</v>
      </c>
      <c r="BJ106" s="1">
        <v>0.0</v>
      </c>
      <c r="BP106" s="1">
        <v>0.257</v>
      </c>
      <c r="BQ106" s="1" t="s">
        <v>1161</v>
      </c>
      <c r="BV106" s="1">
        <v>1.1</v>
      </c>
      <c r="EQ106" s="9" t="s">
        <v>1360</v>
      </c>
      <c r="ER106" s="21">
        <v>46045.29783564815</v>
      </c>
    </row>
    <row r="107">
      <c r="A107" s="9" t="s">
        <v>1361</v>
      </c>
      <c r="B107" s="20" t="str">
        <f>IFERROR(__xludf.DUMMYFUNCTION("REGEXREPLACE(A107, ""^https?://[^/]+"", """")"),"/wp-content/uploads/elementor/thumbs/flag-ca-qsy48896ixcc9g1ro2b2sy1wwfemlnww1mrc4wg9hy.jpg")</f>
        <v>/wp-content/uploads/elementor/thumbs/flag-ca-qsy48896ixcc9g1ro2b2sy1wwfemlnww1mrc4wg9hy.jpg</v>
      </c>
      <c r="F107" s="1" t="s">
        <v>1004</v>
      </c>
      <c r="G107" s="1">
        <v>200.0</v>
      </c>
      <c r="H107" s="1" t="s">
        <v>966</v>
      </c>
      <c r="I107" s="1" t="s">
        <v>967</v>
      </c>
      <c r="L107" s="1">
        <v>0.0</v>
      </c>
      <c r="M107" s="1">
        <v>0.0</v>
      </c>
      <c r="O107" s="1">
        <v>0.0</v>
      </c>
      <c r="P107" s="1">
        <v>0.0</v>
      </c>
      <c r="R107" s="1">
        <v>0.0</v>
      </c>
      <c r="S107" s="1">
        <v>0.0</v>
      </c>
      <c r="U107" s="1">
        <v>0.0</v>
      </c>
      <c r="W107" s="1">
        <v>0.0</v>
      </c>
      <c r="Y107" s="1">
        <v>0.0</v>
      </c>
      <c r="AA107" s="1">
        <v>0.0</v>
      </c>
      <c r="AC107" s="1">
        <v>0.0</v>
      </c>
      <c r="AM107" s="1">
        <v>564.0</v>
      </c>
      <c r="AN107" s="1">
        <v>564.0</v>
      </c>
      <c r="AO107" s="1">
        <v>564.0</v>
      </c>
      <c r="AP107" s="1">
        <v>0.216</v>
      </c>
      <c r="AR107" s="1">
        <v>0.0</v>
      </c>
      <c r="AW107" s="1">
        <v>0.0</v>
      </c>
      <c r="AX107" s="1">
        <v>1.0</v>
      </c>
      <c r="AY107" s="1">
        <v>4.0</v>
      </c>
      <c r="BA107" s="1">
        <v>0.0</v>
      </c>
      <c r="BB107" s="1">
        <v>0.0</v>
      </c>
      <c r="BC107" s="1">
        <v>0.0</v>
      </c>
      <c r="BD107" s="1">
        <v>0.0</v>
      </c>
      <c r="BE107" s="1">
        <v>0.0</v>
      </c>
      <c r="BF107" s="1">
        <v>0.0</v>
      </c>
      <c r="BG107" s="1">
        <v>0.0</v>
      </c>
      <c r="BH107" s="1">
        <v>0.0</v>
      </c>
      <c r="BI107" s="1">
        <v>0.0</v>
      </c>
      <c r="BJ107" s="1">
        <v>0.0</v>
      </c>
      <c r="BP107" s="1">
        <v>0.279</v>
      </c>
      <c r="BQ107" s="1" t="s">
        <v>1362</v>
      </c>
      <c r="BV107" s="1">
        <v>1.1</v>
      </c>
      <c r="EQ107" s="9" t="s">
        <v>1361</v>
      </c>
      <c r="ER107" s="21">
        <v>46045.29783564815</v>
      </c>
    </row>
    <row r="108">
      <c r="A108" s="9" t="s">
        <v>1363</v>
      </c>
      <c r="B108" s="20" t="str">
        <f>IFERROR(__xludf.DUMMYFUNCTION("REGEXREPLACE(A108, ""^https?://[^/]+"", """")"),"/wp-content/plugins/cookie-law-info/legacy/public/css/cookie-law-info-gdpr.css?ver=3.3.9.1")</f>
        <v>/wp-content/plugins/cookie-law-info/legacy/public/css/cookie-law-info-gdpr.css?ver=3.3.9.1</v>
      </c>
      <c r="F108" s="1" t="s">
        <v>1016</v>
      </c>
      <c r="G108" s="1">
        <v>200.0</v>
      </c>
      <c r="H108" s="1" t="s">
        <v>966</v>
      </c>
      <c r="I108" s="1" t="s">
        <v>967</v>
      </c>
      <c r="L108" s="1">
        <v>0.0</v>
      </c>
      <c r="M108" s="1">
        <v>0.0</v>
      </c>
      <c r="O108" s="1">
        <v>0.0</v>
      </c>
      <c r="P108" s="1">
        <v>0.0</v>
      </c>
      <c r="R108" s="1">
        <v>0.0</v>
      </c>
      <c r="S108" s="1">
        <v>0.0</v>
      </c>
      <c r="U108" s="1">
        <v>0.0</v>
      </c>
      <c r="W108" s="1">
        <v>0.0</v>
      </c>
      <c r="Y108" s="1">
        <v>0.0</v>
      </c>
      <c r="AA108" s="1">
        <v>0.0</v>
      </c>
      <c r="AC108" s="1">
        <v>0.0</v>
      </c>
      <c r="AM108" s="1">
        <v>4395.0</v>
      </c>
      <c r="AN108" s="1">
        <v>4395.0</v>
      </c>
      <c r="AO108" s="1">
        <v>4395.0</v>
      </c>
      <c r="AP108" s="1">
        <v>1.684</v>
      </c>
      <c r="AR108" s="1">
        <v>0.0</v>
      </c>
      <c r="AW108" s="1">
        <v>0.0</v>
      </c>
      <c r="AX108" s="1">
        <v>1.0</v>
      </c>
      <c r="AY108" s="1">
        <v>6.0</v>
      </c>
      <c r="BA108" s="1">
        <v>0.0</v>
      </c>
      <c r="BB108" s="1">
        <v>0.0</v>
      </c>
      <c r="BC108" s="1">
        <v>0.0</v>
      </c>
      <c r="BD108" s="1">
        <v>0.0</v>
      </c>
      <c r="BE108" s="1">
        <v>0.0</v>
      </c>
      <c r="BF108" s="1">
        <v>0.0</v>
      </c>
      <c r="BG108" s="1">
        <v>0.0</v>
      </c>
      <c r="BH108" s="1">
        <v>0.0</v>
      </c>
      <c r="BI108" s="1">
        <v>0.0</v>
      </c>
      <c r="BJ108" s="1">
        <v>0.0</v>
      </c>
      <c r="BP108" s="1">
        <v>0.255</v>
      </c>
      <c r="BQ108" s="1" t="s">
        <v>1161</v>
      </c>
      <c r="BV108" s="1">
        <v>1.1</v>
      </c>
      <c r="EQ108" s="9" t="s">
        <v>1363</v>
      </c>
      <c r="ER108" s="21">
        <v>46045.29783564815</v>
      </c>
    </row>
    <row r="109">
      <c r="A109" s="9" t="s">
        <v>1364</v>
      </c>
      <c r="B109" s="20" t="str">
        <f>IFERROR(__xludf.DUMMYFUNCTION("REGEXREPLACE(A109, ""^https?://[^/]+"", """")"),"/wp-content/uploads/elementor/thumbs/flag-usa-qsy48970prdml20eikppdftdht9ztd0mdretm6evbq.jpg")</f>
        <v>/wp-content/uploads/elementor/thumbs/flag-usa-qsy48970prdml20eikppdftdht9ztd0mdretm6evbq.jpg</v>
      </c>
      <c r="F109" s="1" t="s">
        <v>1004</v>
      </c>
      <c r="G109" s="1">
        <v>200.0</v>
      </c>
      <c r="H109" s="1" t="s">
        <v>966</v>
      </c>
      <c r="I109" s="1" t="s">
        <v>967</v>
      </c>
      <c r="L109" s="1">
        <v>0.0</v>
      </c>
      <c r="M109" s="1">
        <v>0.0</v>
      </c>
      <c r="O109" s="1">
        <v>0.0</v>
      </c>
      <c r="P109" s="1">
        <v>0.0</v>
      </c>
      <c r="R109" s="1">
        <v>0.0</v>
      </c>
      <c r="S109" s="1">
        <v>0.0</v>
      </c>
      <c r="U109" s="1">
        <v>0.0</v>
      </c>
      <c r="W109" s="1">
        <v>0.0</v>
      </c>
      <c r="Y109" s="1">
        <v>0.0</v>
      </c>
      <c r="AA109" s="1">
        <v>0.0</v>
      </c>
      <c r="AC109" s="1">
        <v>0.0</v>
      </c>
      <c r="AM109" s="1">
        <v>501.0</v>
      </c>
      <c r="AN109" s="1">
        <v>501.0</v>
      </c>
      <c r="AO109" s="1">
        <v>501.0</v>
      </c>
      <c r="AP109" s="1">
        <v>0.192</v>
      </c>
      <c r="AR109" s="1">
        <v>0.0</v>
      </c>
      <c r="AW109" s="1">
        <v>0.0</v>
      </c>
      <c r="AX109" s="1">
        <v>1.0</v>
      </c>
      <c r="AY109" s="1">
        <v>4.0</v>
      </c>
      <c r="BA109" s="1">
        <v>0.0</v>
      </c>
      <c r="BB109" s="1">
        <v>0.0</v>
      </c>
      <c r="BC109" s="1">
        <v>0.0</v>
      </c>
      <c r="BD109" s="1">
        <v>0.0</v>
      </c>
      <c r="BE109" s="1">
        <v>0.0</v>
      </c>
      <c r="BF109" s="1">
        <v>0.0</v>
      </c>
      <c r="BG109" s="1">
        <v>0.0</v>
      </c>
      <c r="BH109" s="1">
        <v>0.0</v>
      </c>
      <c r="BI109" s="1">
        <v>0.0</v>
      </c>
      <c r="BJ109" s="1">
        <v>0.0</v>
      </c>
      <c r="BP109" s="1">
        <v>0.264</v>
      </c>
      <c r="BQ109" s="1" t="s">
        <v>1365</v>
      </c>
      <c r="BV109" s="1">
        <v>1.1</v>
      </c>
      <c r="EQ109" s="9" t="s">
        <v>1364</v>
      </c>
      <c r="ER109" s="21">
        <v>46045.297847222224</v>
      </c>
    </row>
    <row r="110">
      <c r="A110" s="9" t="s">
        <v>1366</v>
      </c>
      <c r="B110" s="20" t="str">
        <f>IFERROR(__xludf.DUMMYFUNCTION("REGEXREPLACE(A110, ""^https?://[^/]+"", """")"),"/wp-content/plugins/powerpack-elements/assets/js/min/frontend-tooltip.min.js?ver=2.12.15")</f>
        <v>/wp-content/plugins/powerpack-elements/assets/js/min/frontend-tooltip.min.js?ver=2.12.15</v>
      </c>
      <c r="F110" s="1" t="s">
        <v>984</v>
      </c>
      <c r="G110" s="1">
        <v>200.0</v>
      </c>
      <c r="H110" s="1" t="s">
        <v>966</v>
      </c>
      <c r="I110" s="1" t="s">
        <v>967</v>
      </c>
      <c r="L110" s="1">
        <v>0.0</v>
      </c>
      <c r="M110" s="1">
        <v>0.0</v>
      </c>
      <c r="O110" s="1">
        <v>0.0</v>
      </c>
      <c r="P110" s="1">
        <v>0.0</v>
      </c>
      <c r="R110" s="1">
        <v>0.0</v>
      </c>
      <c r="S110" s="1">
        <v>0.0</v>
      </c>
      <c r="U110" s="1">
        <v>0.0</v>
      </c>
      <c r="W110" s="1">
        <v>0.0</v>
      </c>
      <c r="Y110" s="1">
        <v>0.0</v>
      </c>
      <c r="AA110" s="1">
        <v>0.0</v>
      </c>
      <c r="AC110" s="1">
        <v>0.0</v>
      </c>
      <c r="AM110" s="1">
        <v>666.0</v>
      </c>
      <c r="AN110" s="1">
        <v>666.0</v>
      </c>
      <c r="AO110" s="1">
        <v>666.0</v>
      </c>
      <c r="AP110" s="1">
        <v>0.255</v>
      </c>
      <c r="AR110" s="1">
        <v>0.0</v>
      </c>
      <c r="AW110" s="1">
        <v>0.0</v>
      </c>
      <c r="AX110" s="1">
        <v>1.0</v>
      </c>
      <c r="AY110" s="1">
        <v>6.0</v>
      </c>
      <c r="BA110" s="1">
        <v>0.0</v>
      </c>
      <c r="BB110" s="1">
        <v>0.0</v>
      </c>
      <c r="BC110" s="1">
        <v>0.0</v>
      </c>
      <c r="BD110" s="1">
        <v>0.0</v>
      </c>
      <c r="BE110" s="1">
        <v>0.0</v>
      </c>
      <c r="BF110" s="1">
        <v>0.0</v>
      </c>
      <c r="BG110" s="1">
        <v>0.0</v>
      </c>
      <c r="BH110" s="1">
        <v>0.0</v>
      </c>
      <c r="BI110" s="1">
        <v>0.0</v>
      </c>
      <c r="BJ110" s="1">
        <v>0.0</v>
      </c>
      <c r="BP110" s="1">
        <v>0.265</v>
      </c>
      <c r="BQ110" s="1" t="s">
        <v>1193</v>
      </c>
      <c r="BV110" s="1">
        <v>1.1</v>
      </c>
      <c r="EQ110" s="9" t="s">
        <v>1366</v>
      </c>
      <c r="ER110" s="21">
        <v>46045.297847222224</v>
      </c>
    </row>
    <row r="111">
      <c r="A111" s="9" t="s">
        <v>1367</v>
      </c>
      <c r="B111" s="20" t="str">
        <f>IFERROR(__xludf.DUMMYFUNCTION("REGEXREPLACE(A111, ""^https?://[^/]+"", """")"),"/wp-content/plugins/image-map-pro-wordpress/js/image-map-pro.min.js?ver=5.3.2")</f>
        <v>/wp-content/plugins/image-map-pro-wordpress/js/image-map-pro.min.js?ver=5.3.2</v>
      </c>
      <c r="F111" s="1" t="s">
        <v>984</v>
      </c>
      <c r="G111" s="1">
        <v>200.0</v>
      </c>
      <c r="H111" s="1" t="s">
        <v>966</v>
      </c>
      <c r="I111" s="1" t="s">
        <v>967</v>
      </c>
      <c r="L111" s="1">
        <v>0.0</v>
      </c>
      <c r="M111" s="1">
        <v>0.0</v>
      </c>
      <c r="O111" s="1">
        <v>0.0</v>
      </c>
      <c r="P111" s="1">
        <v>0.0</v>
      </c>
      <c r="R111" s="1">
        <v>0.0</v>
      </c>
      <c r="S111" s="1">
        <v>0.0</v>
      </c>
      <c r="U111" s="1">
        <v>0.0</v>
      </c>
      <c r="W111" s="1">
        <v>0.0</v>
      </c>
      <c r="Y111" s="1">
        <v>0.0</v>
      </c>
      <c r="AA111" s="1">
        <v>0.0</v>
      </c>
      <c r="AC111" s="1">
        <v>0.0</v>
      </c>
      <c r="AM111" s="1">
        <v>21637.0</v>
      </c>
      <c r="AN111" s="1">
        <v>21637.0</v>
      </c>
      <c r="AO111" s="1">
        <v>21637.0</v>
      </c>
      <c r="AP111" s="1">
        <v>8.289</v>
      </c>
      <c r="AR111" s="1">
        <v>0.0</v>
      </c>
      <c r="AW111" s="1">
        <v>0.0</v>
      </c>
      <c r="AX111" s="1">
        <v>1.0</v>
      </c>
      <c r="AY111" s="1">
        <v>4.0</v>
      </c>
      <c r="BA111" s="1">
        <v>0.0</v>
      </c>
      <c r="BB111" s="1">
        <v>0.0</v>
      </c>
      <c r="BC111" s="1">
        <v>0.0</v>
      </c>
      <c r="BD111" s="1">
        <v>0.0</v>
      </c>
      <c r="BE111" s="1">
        <v>0.0</v>
      </c>
      <c r="BF111" s="1">
        <v>0.0</v>
      </c>
      <c r="BG111" s="1">
        <v>0.0</v>
      </c>
      <c r="BH111" s="1">
        <v>0.0</v>
      </c>
      <c r="BI111" s="1">
        <v>0.0</v>
      </c>
      <c r="BJ111" s="1">
        <v>0.0</v>
      </c>
      <c r="BP111" s="1">
        <v>0.265</v>
      </c>
      <c r="BQ111" s="1" t="s">
        <v>1368</v>
      </c>
      <c r="BV111" s="1">
        <v>1.1</v>
      </c>
      <c r="EQ111" s="9" t="s">
        <v>1367</v>
      </c>
      <c r="ER111" s="21">
        <v>46045.297847222224</v>
      </c>
    </row>
    <row r="112">
      <c r="A112" s="9" t="s">
        <v>1369</v>
      </c>
      <c r="B112" s="20" t="str">
        <f>IFERROR(__xludf.DUMMYFUNCTION("REGEXREPLACE(A112, ""^https?://[^/]+"", """")"),"/wp-content/plugins/cookie-law-info/legacy/public/js/cookie-law-info-public.js?ver=3.3.9.1")</f>
        <v>/wp-content/plugins/cookie-law-info/legacy/public/js/cookie-law-info-public.js?ver=3.3.9.1</v>
      </c>
      <c r="F112" s="1" t="s">
        <v>984</v>
      </c>
      <c r="G112" s="1">
        <v>200.0</v>
      </c>
      <c r="H112" s="1" t="s">
        <v>966</v>
      </c>
      <c r="I112" s="1" t="s">
        <v>967</v>
      </c>
      <c r="L112" s="1">
        <v>0.0</v>
      </c>
      <c r="M112" s="1">
        <v>0.0</v>
      </c>
      <c r="O112" s="1">
        <v>0.0</v>
      </c>
      <c r="P112" s="1">
        <v>0.0</v>
      </c>
      <c r="R112" s="1">
        <v>0.0</v>
      </c>
      <c r="S112" s="1">
        <v>0.0</v>
      </c>
      <c r="U112" s="1">
        <v>0.0</v>
      </c>
      <c r="W112" s="1">
        <v>0.0</v>
      </c>
      <c r="Y112" s="1">
        <v>0.0</v>
      </c>
      <c r="AA112" s="1">
        <v>0.0</v>
      </c>
      <c r="AC112" s="1">
        <v>0.0</v>
      </c>
      <c r="AM112" s="1">
        <v>7527.0</v>
      </c>
      <c r="AN112" s="1">
        <v>7527.0</v>
      </c>
      <c r="AO112" s="1">
        <v>7527.0</v>
      </c>
      <c r="AP112" s="1">
        <v>2.883</v>
      </c>
      <c r="AR112" s="1">
        <v>0.0</v>
      </c>
      <c r="AW112" s="1">
        <v>0.0</v>
      </c>
      <c r="AX112" s="1">
        <v>1.0</v>
      </c>
      <c r="AY112" s="1">
        <v>6.0</v>
      </c>
      <c r="BA112" s="1">
        <v>0.0</v>
      </c>
      <c r="BB112" s="1">
        <v>0.0</v>
      </c>
      <c r="BC112" s="1">
        <v>0.0</v>
      </c>
      <c r="BD112" s="1">
        <v>0.0</v>
      </c>
      <c r="BE112" s="1">
        <v>0.0</v>
      </c>
      <c r="BF112" s="1">
        <v>0.0</v>
      </c>
      <c r="BG112" s="1">
        <v>0.0</v>
      </c>
      <c r="BH112" s="1">
        <v>0.0</v>
      </c>
      <c r="BI112" s="1">
        <v>0.0</v>
      </c>
      <c r="BJ112" s="1">
        <v>0.0</v>
      </c>
      <c r="BP112" s="1">
        <v>0.267</v>
      </c>
      <c r="BQ112" s="1" t="s">
        <v>1161</v>
      </c>
      <c r="BV112" s="1">
        <v>1.1</v>
      </c>
      <c r="EQ112" s="9" t="s">
        <v>1369</v>
      </c>
      <c r="ER112" s="21">
        <v>46045.297847222224</v>
      </c>
    </row>
    <row r="113">
      <c r="A113" s="9" t="s">
        <v>1370</v>
      </c>
      <c r="B113" s="20" t="str">
        <f>IFERROR(__xludf.DUMMYFUNCTION("REGEXREPLACE(A113, ""^https?://[^/]+"", """")"),"/private-equity-solutions/case-studies/")</f>
        <v>/private-equity-solutions/case-studies/</v>
      </c>
      <c r="C113" s="1" t="s">
        <v>1371</v>
      </c>
      <c r="D113" s="1" t="s">
        <v>1372</v>
      </c>
      <c r="F113" s="1" t="s">
        <v>965</v>
      </c>
      <c r="G113" s="1">
        <v>200.0</v>
      </c>
      <c r="H113" s="1" t="s">
        <v>966</v>
      </c>
      <c r="I113" s="1" t="s">
        <v>967</v>
      </c>
      <c r="K113" s="1" t="s">
        <v>1373</v>
      </c>
      <c r="L113" s="1">
        <v>53.0</v>
      </c>
      <c r="M113" s="1">
        <v>470.0</v>
      </c>
      <c r="O113" s="1">
        <v>0.0</v>
      </c>
      <c r="P113" s="1">
        <v>0.0</v>
      </c>
      <c r="Q113" s="1" t="s">
        <v>1374</v>
      </c>
      <c r="R113" s="1">
        <v>161.0</v>
      </c>
      <c r="S113" s="1">
        <v>983.0</v>
      </c>
      <c r="U113" s="1">
        <v>0.0</v>
      </c>
      <c r="V113" s="1" t="s">
        <v>1371</v>
      </c>
      <c r="W113" s="1">
        <v>27.0</v>
      </c>
      <c r="Y113" s="1">
        <v>0.0</v>
      </c>
      <c r="Z113" s="1" t="s">
        <v>1372</v>
      </c>
      <c r="AA113" s="1">
        <v>49.0</v>
      </c>
      <c r="AC113" s="1">
        <v>0.0</v>
      </c>
      <c r="AD113" s="1" t="s">
        <v>971</v>
      </c>
      <c r="AG113" s="9" t="s">
        <v>1370</v>
      </c>
      <c r="AM113" s="1">
        <v>131019.0</v>
      </c>
      <c r="AN113" s="1">
        <v>25812.0</v>
      </c>
      <c r="AO113" s="1">
        <v>25812.0</v>
      </c>
      <c r="AP113" s="1">
        <v>9.888</v>
      </c>
      <c r="AR113" s="1">
        <v>595.0</v>
      </c>
      <c r="AS113" s="1">
        <v>104.0</v>
      </c>
      <c r="AT113" s="1">
        <v>5.721</v>
      </c>
      <c r="AU113" s="1">
        <v>57.137</v>
      </c>
      <c r="AV113" s="1" t="s">
        <v>972</v>
      </c>
      <c r="AW113" s="1">
        <v>4.401</v>
      </c>
      <c r="AX113" s="1">
        <v>1.0</v>
      </c>
      <c r="AY113" s="1">
        <v>2.0</v>
      </c>
      <c r="AZ113" s="1">
        <v>51.0</v>
      </c>
      <c r="BA113" s="1">
        <v>2278.0</v>
      </c>
      <c r="BB113" s="1">
        <v>754.0</v>
      </c>
      <c r="BC113" s="1">
        <v>0.0</v>
      </c>
      <c r="BD113" s="1">
        <v>100.0</v>
      </c>
      <c r="BE113" s="1">
        <v>111.0</v>
      </c>
      <c r="BF113" s="1">
        <v>44.0</v>
      </c>
      <c r="BG113" s="1">
        <v>0.0</v>
      </c>
      <c r="BH113" s="1">
        <v>6.0</v>
      </c>
      <c r="BI113" s="1">
        <v>6.0</v>
      </c>
      <c r="BJ113" s="1">
        <v>0.0</v>
      </c>
      <c r="BO113" s="1" t="s">
        <v>1375</v>
      </c>
      <c r="BP113" s="1">
        <v>0.905</v>
      </c>
      <c r="BU113" s="1" t="s">
        <v>974</v>
      </c>
      <c r="BV113" s="1">
        <v>1.1</v>
      </c>
      <c r="BW113" s="1">
        <v>56.0</v>
      </c>
      <c r="BX113" s="1">
        <v>3451.027</v>
      </c>
      <c r="BY113" s="1">
        <v>8979.644</v>
      </c>
      <c r="BZ113" s="1">
        <v>6976.057</v>
      </c>
      <c r="CA113" s="1">
        <v>18180.586</v>
      </c>
      <c r="CB113" s="1">
        <v>286.5</v>
      </c>
      <c r="CC113" s="1">
        <v>0.0</v>
      </c>
      <c r="CD113" s="1">
        <v>646374.0</v>
      </c>
      <c r="CE113" s="1">
        <v>900.0</v>
      </c>
      <c r="CF113" s="1">
        <v>160.0</v>
      </c>
      <c r="CG113" s="1">
        <v>2639978.0</v>
      </c>
      <c r="CH113" s="1">
        <v>28476.0</v>
      </c>
      <c r="CI113" s="1">
        <v>2.0</v>
      </c>
      <c r="CJ113" s="1">
        <v>426863.0</v>
      </c>
      <c r="CK113" s="1">
        <v>16.0</v>
      </c>
      <c r="CL113" s="1">
        <v>114354.0</v>
      </c>
      <c r="CM113" s="1">
        <v>39.0</v>
      </c>
      <c r="CN113" s="1">
        <v>1756399.0</v>
      </c>
      <c r="CO113" s="1">
        <v>69.0</v>
      </c>
      <c r="CP113" s="1">
        <v>287905.0</v>
      </c>
      <c r="CQ113" s="1">
        <v>5.0</v>
      </c>
      <c r="CR113" s="1">
        <v>0.0</v>
      </c>
      <c r="CS113" s="1">
        <v>0.0</v>
      </c>
      <c r="CT113" s="1">
        <v>25981.0</v>
      </c>
      <c r="CU113" s="1">
        <v>29.0</v>
      </c>
      <c r="CV113" s="1">
        <v>1504362.0</v>
      </c>
      <c r="CW113" s="1">
        <v>62.0</v>
      </c>
      <c r="DC113" s="1">
        <v>0.0</v>
      </c>
      <c r="DD113" s="1">
        <v>5075.0</v>
      </c>
      <c r="DE113" s="1">
        <v>0.0</v>
      </c>
      <c r="DF113" s="1">
        <v>3396.0</v>
      </c>
      <c r="DG113" s="1">
        <v>300.0</v>
      </c>
      <c r="DH113" s="1">
        <v>51023.0</v>
      </c>
      <c r="DI113" s="1">
        <v>600.0</v>
      </c>
      <c r="DJ113" s="1">
        <v>586880.0</v>
      </c>
      <c r="DK113" s="1">
        <v>1470.073</v>
      </c>
      <c r="DL113" s="1" t="s">
        <v>975</v>
      </c>
      <c r="DM113" s="1">
        <v>2489.118</v>
      </c>
      <c r="DN113" s="1" t="s">
        <v>975</v>
      </c>
      <c r="DO113" s="1">
        <v>2639979.0</v>
      </c>
      <c r="DP113" s="1">
        <v>1.0</v>
      </c>
      <c r="DQ113" s="1" t="s">
        <v>976</v>
      </c>
      <c r="DR113" s="1" t="s">
        <v>1376</v>
      </c>
      <c r="DS113" s="1" t="s">
        <v>978</v>
      </c>
      <c r="DT113" s="1" t="s">
        <v>979</v>
      </c>
      <c r="DU113" s="1" t="s">
        <v>980</v>
      </c>
      <c r="DV113" s="1">
        <v>13093.0</v>
      </c>
      <c r="DX113" s="1">
        <v>4174.0</v>
      </c>
      <c r="DY113" s="1">
        <v>765917.0</v>
      </c>
      <c r="DZ113" s="1" t="s">
        <v>981</v>
      </c>
      <c r="EA113" s="1">
        <v>619.0</v>
      </c>
      <c r="EB113" s="1">
        <v>120379.0</v>
      </c>
      <c r="EC113" s="1">
        <v>1.0</v>
      </c>
      <c r="ED113" s="1">
        <v>26492.0</v>
      </c>
      <c r="EF113" s="1">
        <v>240.0</v>
      </c>
      <c r="EG113" s="1" t="s">
        <v>982</v>
      </c>
      <c r="EH113" s="1">
        <v>100.0</v>
      </c>
      <c r="EK113" s="1">
        <v>100.0</v>
      </c>
      <c r="EQ113" s="9" t="s">
        <v>1370</v>
      </c>
      <c r="ER113" s="21">
        <v>46045.29783564815</v>
      </c>
    </row>
    <row r="114">
      <c r="A114" s="9" t="s">
        <v>1377</v>
      </c>
      <c r="B114" s="20" t="str">
        <f>IFERROR(__xludf.DUMMYFUNCTION("REGEXREPLACE(A114, ""^https?://[^/]+"", """")"),"/wp-content/plugins/powerpack-elements/assets/css/min/widget-advanced-menu.min.css?ver=2.12.15")</f>
        <v>/wp-content/plugins/powerpack-elements/assets/css/min/widget-advanced-menu.min.css?ver=2.12.15</v>
      </c>
      <c r="F114" s="1" t="s">
        <v>1016</v>
      </c>
      <c r="G114" s="1">
        <v>200.0</v>
      </c>
      <c r="H114" s="1" t="s">
        <v>966</v>
      </c>
      <c r="I114" s="1" t="s">
        <v>967</v>
      </c>
      <c r="L114" s="1">
        <v>0.0</v>
      </c>
      <c r="M114" s="1">
        <v>0.0</v>
      </c>
      <c r="O114" s="1">
        <v>0.0</v>
      </c>
      <c r="P114" s="1">
        <v>0.0</v>
      </c>
      <c r="R114" s="1">
        <v>0.0</v>
      </c>
      <c r="S114" s="1">
        <v>0.0</v>
      </c>
      <c r="U114" s="1">
        <v>0.0</v>
      </c>
      <c r="W114" s="1">
        <v>0.0</v>
      </c>
      <c r="Y114" s="1">
        <v>0.0</v>
      </c>
      <c r="AA114" s="1">
        <v>0.0</v>
      </c>
      <c r="AC114" s="1">
        <v>0.0</v>
      </c>
      <c r="AM114" s="1">
        <v>4582.0</v>
      </c>
      <c r="AN114" s="1">
        <v>4582.0</v>
      </c>
      <c r="AO114" s="1">
        <v>4582.0</v>
      </c>
      <c r="AP114" s="1">
        <v>1.755</v>
      </c>
      <c r="AR114" s="1">
        <v>0.0</v>
      </c>
      <c r="AW114" s="1">
        <v>0.0</v>
      </c>
      <c r="AX114" s="1">
        <v>1.0</v>
      </c>
      <c r="AY114" s="1">
        <v>6.0</v>
      </c>
      <c r="BA114" s="1">
        <v>0.0</v>
      </c>
      <c r="BB114" s="1">
        <v>0.0</v>
      </c>
      <c r="BC114" s="1">
        <v>0.0</v>
      </c>
      <c r="BD114" s="1">
        <v>0.0</v>
      </c>
      <c r="BE114" s="1">
        <v>0.0</v>
      </c>
      <c r="BF114" s="1">
        <v>0.0</v>
      </c>
      <c r="BG114" s="1">
        <v>0.0</v>
      </c>
      <c r="BH114" s="1">
        <v>0.0</v>
      </c>
      <c r="BI114" s="1">
        <v>0.0</v>
      </c>
      <c r="BJ114" s="1">
        <v>0.0</v>
      </c>
      <c r="BP114" s="1">
        <v>0.265</v>
      </c>
      <c r="BQ114" s="1" t="s">
        <v>1193</v>
      </c>
      <c r="BV114" s="1">
        <v>1.1</v>
      </c>
      <c r="EQ114" s="9" t="s">
        <v>1377</v>
      </c>
      <c r="ER114" s="21">
        <v>46045.29785879629</v>
      </c>
    </row>
    <row r="115">
      <c r="A115" s="9" t="s">
        <v>1378</v>
      </c>
      <c r="B115" s="20" t="str">
        <f>IFERROR(__xludf.DUMMYFUNCTION("REGEXREPLACE(A115, ""^https?://[^/]+"", """")"),"/wp-content/plugins/download-monitor/assets/js/dlm-xhr.min.js?ver=5.1.6")</f>
        <v>/wp-content/plugins/download-monitor/assets/js/dlm-xhr.min.js?ver=5.1.6</v>
      </c>
      <c r="F115" s="1" t="s">
        <v>984</v>
      </c>
      <c r="G115" s="1">
        <v>200.0</v>
      </c>
      <c r="H115" s="1" t="s">
        <v>966</v>
      </c>
      <c r="I115" s="1" t="s">
        <v>967</v>
      </c>
      <c r="L115" s="1">
        <v>0.0</v>
      </c>
      <c r="M115" s="1">
        <v>0.0</v>
      </c>
      <c r="O115" s="1">
        <v>0.0</v>
      </c>
      <c r="P115" s="1">
        <v>0.0</v>
      </c>
      <c r="R115" s="1">
        <v>0.0</v>
      </c>
      <c r="S115" s="1">
        <v>0.0</v>
      </c>
      <c r="U115" s="1">
        <v>0.0</v>
      </c>
      <c r="W115" s="1">
        <v>0.0</v>
      </c>
      <c r="Y115" s="1">
        <v>0.0</v>
      </c>
      <c r="AA115" s="1">
        <v>0.0</v>
      </c>
      <c r="AC115" s="1">
        <v>0.0</v>
      </c>
      <c r="AM115" s="1">
        <v>3377.0</v>
      </c>
      <c r="AN115" s="1">
        <v>3377.0</v>
      </c>
      <c r="AO115" s="1">
        <v>3377.0</v>
      </c>
      <c r="AP115" s="1">
        <v>1.294</v>
      </c>
      <c r="AR115" s="1">
        <v>0.0</v>
      </c>
      <c r="AW115" s="1">
        <v>0.0</v>
      </c>
      <c r="AX115" s="1">
        <v>1.0</v>
      </c>
      <c r="AY115" s="1">
        <v>5.0</v>
      </c>
      <c r="BA115" s="1">
        <v>0.0</v>
      </c>
      <c r="BB115" s="1">
        <v>0.0</v>
      </c>
      <c r="BC115" s="1">
        <v>0.0</v>
      </c>
      <c r="BD115" s="1">
        <v>0.0</v>
      </c>
      <c r="BE115" s="1">
        <v>0.0</v>
      </c>
      <c r="BF115" s="1">
        <v>0.0</v>
      </c>
      <c r="BG115" s="1">
        <v>0.0</v>
      </c>
      <c r="BH115" s="1">
        <v>0.0</v>
      </c>
      <c r="BI115" s="1">
        <v>0.0</v>
      </c>
      <c r="BJ115" s="1">
        <v>0.0</v>
      </c>
      <c r="BP115" s="1">
        <v>0.258</v>
      </c>
      <c r="BQ115" s="1" t="s">
        <v>1379</v>
      </c>
      <c r="BV115" s="1">
        <v>1.1</v>
      </c>
      <c r="EQ115" s="9" t="s">
        <v>1378</v>
      </c>
      <c r="ER115" s="21">
        <v>46045.29785879629</v>
      </c>
    </row>
    <row r="116">
      <c r="A116" s="9" t="s">
        <v>1380</v>
      </c>
      <c r="B116" s="20" t="str">
        <f>IFERROR(__xludf.DUMMYFUNCTION("REGEXREPLACE(A116, ""^https?://[^/]+"", """")"),"/sales-agility-assessment/")</f>
        <v>/sales-agility-assessment/</v>
      </c>
      <c r="C116" s="1" t="s">
        <v>1381</v>
      </c>
      <c r="F116" s="1" t="s">
        <v>965</v>
      </c>
      <c r="G116" s="1">
        <v>200.0</v>
      </c>
      <c r="H116" s="1" t="s">
        <v>966</v>
      </c>
      <c r="I116" s="1" t="s">
        <v>967</v>
      </c>
      <c r="K116" s="1" t="s">
        <v>1382</v>
      </c>
      <c r="L116" s="1">
        <v>79.0</v>
      </c>
      <c r="M116" s="1">
        <v>719.0</v>
      </c>
      <c r="O116" s="1">
        <v>0.0</v>
      </c>
      <c r="P116" s="1">
        <v>0.0</v>
      </c>
      <c r="Q116" s="1" t="s">
        <v>1383</v>
      </c>
      <c r="R116" s="1">
        <v>155.0</v>
      </c>
      <c r="S116" s="1">
        <v>970.0</v>
      </c>
      <c r="U116" s="1">
        <v>0.0</v>
      </c>
      <c r="V116" s="1" t="s">
        <v>1381</v>
      </c>
      <c r="W116" s="1">
        <v>31.0</v>
      </c>
      <c r="Y116" s="1">
        <v>0.0</v>
      </c>
      <c r="AA116" s="1">
        <v>0.0</v>
      </c>
      <c r="AC116" s="1">
        <v>0.0</v>
      </c>
      <c r="AD116" s="1" t="s">
        <v>971</v>
      </c>
      <c r="AG116" s="9" t="s">
        <v>1380</v>
      </c>
      <c r="AM116" s="1">
        <v>221310.0</v>
      </c>
      <c r="AN116" s="1">
        <v>43027.0</v>
      </c>
      <c r="AO116" s="1">
        <v>43027.0</v>
      </c>
      <c r="AP116" s="1">
        <v>16.483</v>
      </c>
      <c r="AR116" s="1">
        <v>1077.0</v>
      </c>
      <c r="AS116" s="1">
        <v>195.0</v>
      </c>
      <c r="AT116" s="1">
        <v>5.523</v>
      </c>
      <c r="AU116" s="1">
        <v>72.169</v>
      </c>
      <c r="AV116" s="1" t="s">
        <v>1264</v>
      </c>
      <c r="AW116" s="1">
        <v>5.468</v>
      </c>
      <c r="AX116" s="1">
        <v>1.0</v>
      </c>
      <c r="AY116" s="1">
        <v>1.0</v>
      </c>
      <c r="AZ116" s="1">
        <v>14.0</v>
      </c>
      <c r="BA116" s="1">
        <v>92.0</v>
      </c>
      <c r="BB116" s="1">
        <v>81.0</v>
      </c>
      <c r="BC116" s="1">
        <v>0.0</v>
      </c>
      <c r="BD116" s="1">
        <v>10.74</v>
      </c>
      <c r="BE116" s="1">
        <v>121.0</v>
      </c>
      <c r="BF116" s="1">
        <v>42.0</v>
      </c>
      <c r="BG116" s="1">
        <v>0.0</v>
      </c>
      <c r="BH116" s="1">
        <v>16.0</v>
      </c>
      <c r="BI116" s="1">
        <v>8.0</v>
      </c>
      <c r="BJ116" s="1">
        <v>0.0</v>
      </c>
      <c r="BO116" s="1" t="s">
        <v>1384</v>
      </c>
      <c r="BP116" s="1">
        <v>1.231</v>
      </c>
      <c r="BU116" s="1" t="s">
        <v>974</v>
      </c>
      <c r="BV116" s="1">
        <v>1.1</v>
      </c>
      <c r="BW116" s="1">
        <v>34.0</v>
      </c>
      <c r="BX116" s="1">
        <v>3751.016</v>
      </c>
      <c r="BY116" s="1">
        <v>8363.45</v>
      </c>
      <c r="BZ116" s="1">
        <v>7426.032</v>
      </c>
      <c r="CA116" s="1">
        <v>21153.73</v>
      </c>
      <c r="CB116" s="1">
        <v>472.5</v>
      </c>
      <c r="CC116" s="1">
        <v>0.286</v>
      </c>
      <c r="CD116" s="1">
        <v>1248938.0</v>
      </c>
      <c r="CE116" s="1">
        <v>900.0</v>
      </c>
      <c r="CF116" s="1">
        <v>194.0</v>
      </c>
      <c r="CG116" s="1">
        <v>3817288.0</v>
      </c>
      <c r="CH116" s="1">
        <v>97350.0</v>
      </c>
      <c r="CI116" s="1">
        <v>4.0</v>
      </c>
      <c r="CJ116" s="1">
        <v>263637.0</v>
      </c>
      <c r="CK116" s="1">
        <v>25.0</v>
      </c>
      <c r="CL116" s="1">
        <v>219901.0</v>
      </c>
      <c r="CM116" s="1">
        <v>43.0</v>
      </c>
      <c r="CN116" s="1">
        <v>2559729.0</v>
      </c>
      <c r="CO116" s="1">
        <v>85.0</v>
      </c>
      <c r="CP116" s="1">
        <v>284722.0</v>
      </c>
      <c r="CQ116" s="1">
        <v>6.0</v>
      </c>
      <c r="CR116" s="1">
        <v>0.0</v>
      </c>
      <c r="CS116" s="1">
        <v>0.0</v>
      </c>
      <c r="CT116" s="1">
        <v>391949.0</v>
      </c>
      <c r="CU116" s="1">
        <v>31.0</v>
      </c>
      <c r="CV116" s="1">
        <v>2746128.0</v>
      </c>
      <c r="CW116" s="1">
        <v>75.0</v>
      </c>
      <c r="DC116" s="1">
        <v>0.0</v>
      </c>
      <c r="DD116" s="1">
        <v>5075.0</v>
      </c>
      <c r="DE116" s="1">
        <v>0.0</v>
      </c>
      <c r="DF116" s="1">
        <v>3401.0</v>
      </c>
      <c r="DG116" s="1">
        <v>300.0</v>
      </c>
      <c r="DH116" s="1">
        <v>62030.0</v>
      </c>
      <c r="DI116" s="1">
        <v>600.0</v>
      </c>
      <c r="DJ116" s="1">
        <v>1178432.0</v>
      </c>
      <c r="DK116" s="1">
        <v>2019.89</v>
      </c>
      <c r="DL116" s="1" t="s">
        <v>975</v>
      </c>
      <c r="DM116" s="1">
        <v>3320.316</v>
      </c>
      <c r="DN116" s="1" t="s">
        <v>975</v>
      </c>
      <c r="DO116" s="1">
        <v>3817206.0</v>
      </c>
      <c r="DP116" s="1">
        <v>1.0</v>
      </c>
      <c r="DQ116" s="1" t="s">
        <v>976</v>
      </c>
      <c r="DR116" s="1" t="s">
        <v>1385</v>
      </c>
      <c r="DS116" s="1" t="s">
        <v>978</v>
      </c>
      <c r="DT116" s="1" t="s">
        <v>979</v>
      </c>
      <c r="DU116" s="1" t="s">
        <v>980</v>
      </c>
      <c r="DV116" s="1">
        <v>13545.0</v>
      </c>
      <c r="DX116" s="1">
        <v>4222.0</v>
      </c>
      <c r="DY116" s="1">
        <v>734471.0</v>
      </c>
      <c r="DZ116" s="1" t="s">
        <v>981</v>
      </c>
      <c r="EA116" s="1">
        <v>1397.0</v>
      </c>
      <c r="EB116" s="1">
        <v>31882.0</v>
      </c>
      <c r="EC116" s="1">
        <v>4.0</v>
      </c>
      <c r="ED116" s="1">
        <v>26492.0</v>
      </c>
      <c r="EF116" s="1">
        <v>210.0</v>
      </c>
      <c r="EG116" s="1" t="s">
        <v>982</v>
      </c>
      <c r="EH116" s="1">
        <v>100.0</v>
      </c>
      <c r="EK116" s="1">
        <v>100.0</v>
      </c>
      <c r="EQ116" s="9" t="s">
        <v>1380</v>
      </c>
      <c r="ER116" s="21">
        <v>46045.29783564815</v>
      </c>
    </row>
    <row r="117">
      <c r="A117" s="9" t="s">
        <v>1386</v>
      </c>
      <c r="B117" s="20" t="str">
        <f>IFERROR(__xludf.DUMMYFUNCTION("REGEXREPLACE(A117, ""^https?://[^/]+"", """")"),"/wp-content/plugins/elementor-pro/assets/css/conditionals/popup.min.css?ver=3.34.0")</f>
        <v>/wp-content/plugins/elementor-pro/assets/css/conditionals/popup.min.css?ver=3.34.0</v>
      </c>
      <c r="F117" s="1" t="s">
        <v>1016</v>
      </c>
      <c r="G117" s="1">
        <v>200.0</v>
      </c>
      <c r="H117" s="1" t="s">
        <v>966</v>
      </c>
      <c r="I117" s="1" t="s">
        <v>967</v>
      </c>
      <c r="L117" s="1">
        <v>0.0</v>
      </c>
      <c r="M117" s="1">
        <v>0.0</v>
      </c>
      <c r="O117" s="1">
        <v>0.0</v>
      </c>
      <c r="P117" s="1">
        <v>0.0</v>
      </c>
      <c r="R117" s="1">
        <v>0.0</v>
      </c>
      <c r="S117" s="1">
        <v>0.0</v>
      </c>
      <c r="U117" s="1">
        <v>0.0</v>
      </c>
      <c r="W117" s="1">
        <v>0.0</v>
      </c>
      <c r="Y117" s="1">
        <v>0.0</v>
      </c>
      <c r="AA117" s="1">
        <v>0.0</v>
      </c>
      <c r="AC117" s="1">
        <v>0.0</v>
      </c>
      <c r="AM117" s="1">
        <v>420.0</v>
      </c>
      <c r="AN117" s="1">
        <v>420.0</v>
      </c>
      <c r="AO117" s="1">
        <v>420.0</v>
      </c>
      <c r="AP117" s="1">
        <v>0.161</v>
      </c>
      <c r="AR117" s="1">
        <v>0.0</v>
      </c>
      <c r="AW117" s="1">
        <v>0.0</v>
      </c>
      <c r="AX117" s="1">
        <v>1.0</v>
      </c>
      <c r="AY117" s="1">
        <v>6.0</v>
      </c>
      <c r="BA117" s="1">
        <v>0.0</v>
      </c>
      <c r="BB117" s="1">
        <v>0.0</v>
      </c>
      <c r="BC117" s="1">
        <v>0.0</v>
      </c>
      <c r="BD117" s="1">
        <v>0.0</v>
      </c>
      <c r="BE117" s="1">
        <v>0.0</v>
      </c>
      <c r="BF117" s="1">
        <v>0.0</v>
      </c>
      <c r="BG117" s="1">
        <v>0.0</v>
      </c>
      <c r="BH117" s="1">
        <v>0.0</v>
      </c>
      <c r="BI117" s="1">
        <v>0.0</v>
      </c>
      <c r="BJ117" s="1">
        <v>0.0</v>
      </c>
      <c r="BP117" s="1">
        <v>0.256</v>
      </c>
      <c r="BQ117" s="1" t="s">
        <v>1041</v>
      </c>
      <c r="BV117" s="1">
        <v>1.1</v>
      </c>
      <c r="EQ117" s="9" t="s">
        <v>1386</v>
      </c>
      <c r="ER117" s="21">
        <v>46045.29785879629</v>
      </c>
    </row>
    <row r="118">
      <c r="A118" s="9" t="s">
        <v>1387</v>
      </c>
      <c r="B118" s="20" t="str">
        <f>IFERROR(__xludf.DUMMYFUNCTION("REGEXREPLACE(A118, ""^https?://[^/]+"", """")"),"/wp-content/plugins/powerpack-elements/assets/js/smartmenus-keyboard.js?ver=1.0.0")</f>
        <v>/wp-content/plugins/powerpack-elements/assets/js/smartmenus-keyboard.js?ver=1.0.0</v>
      </c>
      <c r="F118" s="1" t="s">
        <v>984</v>
      </c>
      <c r="G118" s="1">
        <v>200.0</v>
      </c>
      <c r="H118" s="1" t="s">
        <v>966</v>
      </c>
      <c r="I118" s="1" t="s">
        <v>967</v>
      </c>
      <c r="L118" s="1">
        <v>0.0</v>
      </c>
      <c r="M118" s="1">
        <v>0.0</v>
      </c>
      <c r="O118" s="1">
        <v>0.0</v>
      </c>
      <c r="P118" s="1">
        <v>0.0</v>
      </c>
      <c r="R118" s="1">
        <v>0.0</v>
      </c>
      <c r="S118" s="1">
        <v>0.0</v>
      </c>
      <c r="U118" s="1">
        <v>0.0</v>
      </c>
      <c r="W118" s="1">
        <v>0.0</v>
      </c>
      <c r="Y118" s="1">
        <v>0.0</v>
      </c>
      <c r="AA118" s="1">
        <v>0.0</v>
      </c>
      <c r="AC118" s="1">
        <v>0.0</v>
      </c>
      <c r="AM118" s="1">
        <v>2001.0</v>
      </c>
      <c r="AN118" s="1">
        <v>2001.0</v>
      </c>
      <c r="AO118" s="1">
        <v>2001.0</v>
      </c>
      <c r="AP118" s="1">
        <v>0.767</v>
      </c>
      <c r="AR118" s="1">
        <v>0.0</v>
      </c>
      <c r="AW118" s="1">
        <v>0.0</v>
      </c>
      <c r="AX118" s="1">
        <v>1.0</v>
      </c>
      <c r="AY118" s="1">
        <v>5.0</v>
      </c>
      <c r="BA118" s="1">
        <v>0.0</v>
      </c>
      <c r="BB118" s="1">
        <v>0.0</v>
      </c>
      <c r="BC118" s="1">
        <v>0.0</v>
      </c>
      <c r="BD118" s="1">
        <v>0.0</v>
      </c>
      <c r="BE118" s="1">
        <v>0.0</v>
      </c>
      <c r="BF118" s="1">
        <v>0.0</v>
      </c>
      <c r="BG118" s="1">
        <v>0.0</v>
      </c>
      <c r="BH118" s="1">
        <v>0.0</v>
      </c>
      <c r="BI118" s="1">
        <v>0.0</v>
      </c>
      <c r="BJ118" s="1">
        <v>0.0</v>
      </c>
      <c r="BP118" s="1">
        <v>0.25</v>
      </c>
      <c r="BQ118" s="1" t="s">
        <v>1193</v>
      </c>
      <c r="BV118" s="1">
        <v>1.1</v>
      </c>
      <c r="EQ118" s="9" t="s">
        <v>1387</v>
      </c>
      <c r="ER118" s="21">
        <v>46045.29785879629</v>
      </c>
    </row>
    <row r="119">
      <c r="A119" s="9" t="s">
        <v>1388</v>
      </c>
      <c r="B119" s="20" t="str">
        <f>IFERROR(__xludf.DUMMYFUNCTION("REGEXREPLACE(A119, ""^https?://[^/]+"", """")"),"/wp-content/uploads/elementor/css/post-64135.css?ver=1768845972")</f>
        <v>/wp-content/uploads/elementor/css/post-64135.css?ver=1768845972</v>
      </c>
      <c r="F119" s="1" t="s">
        <v>1016</v>
      </c>
      <c r="G119" s="1">
        <v>200.0</v>
      </c>
      <c r="H119" s="1" t="s">
        <v>966</v>
      </c>
      <c r="I119" s="1" t="s">
        <v>967</v>
      </c>
      <c r="L119" s="1">
        <v>0.0</v>
      </c>
      <c r="M119" s="1">
        <v>0.0</v>
      </c>
      <c r="O119" s="1">
        <v>0.0</v>
      </c>
      <c r="P119" s="1">
        <v>0.0</v>
      </c>
      <c r="R119" s="1">
        <v>0.0</v>
      </c>
      <c r="S119" s="1">
        <v>0.0</v>
      </c>
      <c r="U119" s="1">
        <v>0.0</v>
      </c>
      <c r="W119" s="1">
        <v>0.0</v>
      </c>
      <c r="Y119" s="1">
        <v>0.0</v>
      </c>
      <c r="AA119" s="1">
        <v>0.0</v>
      </c>
      <c r="AC119" s="1">
        <v>0.0</v>
      </c>
      <c r="AM119" s="1">
        <v>4845.0</v>
      </c>
      <c r="AN119" s="1">
        <v>4845.0</v>
      </c>
      <c r="AO119" s="1">
        <v>4845.0</v>
      </c>
      <c r="AP119" s="1">
        <v>1.856</v>
      </c>
      <c r="AR119" s="1">
        <v>0.0</v>
      </c>
      <c r="AW119" s="1">
        <v>0.0</v>
      </c>
      <c r="AX119" s="1">
        <v>1.0</v>
      </c>
      <c r="AY119" s="1">
        <v>4.0</v>
      </c>
      <c r="BA119" s="1">
        <v>0.0</v>
      </c>
      <c r="BB119" s="1">
        <v>0.0</v>
      </c>
      <c r="BC119" s="1">
        <v>0.0</v>
      </c>
      <c r="BD119" s="1">
        <v>0.0</v>
      </c>
      <c r="BE119" s="1">
        <v>0.0</v>
      </c>
      <c r="BF119" s="1">
        <v>0.0</v>
      </c>
      <c r="BG119" s="1">
        <v>0.0</v>
      </c>
      <c r="BH119" s="1">
        <v>0.0</v>
      </c>
      <c r="BI119" s="1">
        <v>0.0</v>
      </c>
      <c r="BJ119" s="1">
        <v>0.0</v>
      </c>
      <c r="BP119" s="1">
        <v>0.266</v>
      </c>
      <c r="BQ119" s="1" t="s">
        <v>1195</v>
      </c>
      <c r="BV119" s="1">
        <v>1.1</v>
      </c>
      <c r="EQ119" s="9" t="s">
        <v>1388</v>
      </c>
      <c r="ER119" s="21">
        <v>46045.29785879629</v>
      </c>
    </row>
    <row r="120">
      <c r="A120" s="9" t="s">
        <v>1389</v>
      </c>
      <c r="B120" s="20" t="str">
        <f>IFERROR(__xludf.DUMMYFUNCTION("REGEXREPLACE(A120, ""^https?://[^/]+"", """")"),"/wp-content/plugins/powerpack-elements/assets/css/min/widget-logo-grid.min.css?ver=2.12.15")</f>
        <v>/wp-content/plugins/powerpack-elements/assets/css/min/widget-logo-grid.min.css?ver=2.12.15</v>
      </c>
      <c r="F120" s="1" t="s">
        <v>1016</v>
      </c>
      <c r="G120" s="1">
        <v>200.0</v>
      </c>
      <c r="H120" s="1" t="s">
        <v>966</v>
      </c>
      <c r="I120" s="1" t="s">
        <v>967</v>
      </c>
      <c r="L120" s="1">
        <v>0.0</v>
      </c>
      <c r="M120" s="1">
        <v>0.0</v>
      </c>
      <c r="O120" s="1">
        <v>0.0</v>
      </c>
      <c r="P120" s="1">
        <v>0.0</v>
      </c>
      <c r="R120" s="1">
        <v>0.0</v>
      </c>
      <c r="S120" s="1">
        <v>0.0</v>
      </c>
      <c r="U120" s="1">
        <v>0.0</v>
      </c>
      <c r="W120" s="1">
        <v>0.0</v>
      </c>
      <c r="Y120" s="1">
        <v>0.0</v>
      </c>
      <c r="AA120" s="1">
        <v>0.0</v>
      </c>
      <c r="AC120" s="1">
        <v>0.0</v>
      </c>
      <c r="AM120" s="1">
        <v>338.0</v>
      </c>
      <c r="AN120" s="1">
        <v>338.0</v>
      </c>
      <c r="AO120" s="1">
        <v>338.0</v>
      </c>
      <c r="AP120" s="1">
        <v>0.129</v>
      </c>
      <c r="AR120" s="1">
        <v>0.0</v>
      </c>
      <c r="AW120" s="1">
        <v>0.0</v>
      </c>
      <c r="AX120" s="1">
        <v>1.0</v>
      </c>
      <c r="AY120" s="1">
        <v>6.0</v>
      </c>
      <c r="BA120" s="1">
        <v>0.0</v>
      </c>
      <c r="BB120" s="1">
        <v>0.0</v>
      </c>
      <c r="BC120" s="1">
        <v>0.0</v>
      </c>
      <c r="BD120" s="1">
        <v>0.0</v>
      </c>
      <c r="BE120" s="1">
        <v>0.0</v>
      </c>
      <c r="BF120" s="1">
        <v>0.0</v>
      </c>
      <c r="BG120" s="1">
        <v>0.0</v>
      </c>
      <c r="BH120" s="1">
        <v>0.0</v>
      </c>
      <c r="BI120" s="1">
        <v>0.0</v>
      </c>
      <c r="BJ120" s="1">
        <v>0.0</v>
      </c>
      <c r="BP120" s="1">
        <v>0.271</v>
      </c>
      <c r="BQ120" s="1" t="s">
        <v>1193</v>
      </c>
      <c r="BV120" s="1">
        <v>1.1</v>
      </c>
      <c r="EQ120" s="9" t="s">
        <v>1389</v>
      </c>
      <c r="ER120" s="21">
        <v>46045.29785879629</v>
      </c>
    </row>
    <row r="121">
      <c r="A121" s="9" t="s">
        <v>1390</v>
      </c>
      <c r="B121" s="20" t="str">
        <f>IFERROR(__xludf.DUMMYFUNCTION("REGEXREPLACE(A121, ""^https?://[^/]+"", """")"),"/wp-content/uploads/2021/07/award-3.svg")</f>
        <v>/wp-content/uploads/2021/07/award-3.svg</v>
      </c>
      <c r="F121" s="1" t="s">
        <v>1391</v>
      </c>
      <c r="G121" s="1">
        <v>200.0</v>
      </c>
      <c r="H121" s="1" t="s">
        <v>966</v>
      </c>
      <c r="I121" s="1" t="s">
        <v>967</v>
      </c>
      <c r="L121" s="1">
        <v>0.0</v>
      </c>
      <c r="M121" s="1">
        <v>0.0</v>
      </c>
      <c r="O121" s="1">
        <v>0.0</v>
      </c>
      <c r="P121" s="1">
        <v>0.0</v>
      </c>
      <c r="R121" s="1">
        <v>0.0</v>
      </c>
      <c r="S121" s="1">
        <v>0.0</v>
      </c>
      <c r="U121" s="1">
        <v>0.0</v>
      </c>
      <c r="W121" s="1">
        <v>0.0</v>
      </c>
      <c r="Y121" s="1">
        <v>0.0</v>
      </c>
      <c r="AA121" s="1">
        <v>0.0</v>
      </c>
      <c r="AC121" s="1">
        <v>0.0</v>
      </c>
      <c r="AM121" s="1">
        <v>0.0</v>
      </c>
      <c r="AN121" s="1">
        <v>0.0</v>
      </c>
      <c r="AO121" s="1">
        <v>0.0</v>
      </c>
      <c r="AP121" s="1">
        <v>0.0</v>
      </c>
      <c r="AR121" s="1">
        <v>0.0</v>
      </c>
      <c r="AW121" s="1">
        <v>0.0</v>
      </c>
      <c r="AX121" s="1">
        <v>1.0</v>
      </c>
      <c r="AY121" s="1">
        <v>4.0</v>
      </c>
      <c r="BA121" s="1">
        <v>0.0</v>
      </c>
      <c r="BB121" s="1">
        <v>0.0</v>
      </c>
      <c r="BC121" s="1">
        <v>0.0</v>
      </c>
      <c r="BD121" s="1">
        <v>0.0</v>
      </c>
      <c r="BE121" s="1">
        <v>0.0</v>
      </c>
      <c r="BF121" s="1">
        <v>0.0</v>
      </c>
      <c r="BG121" s="1">
        <v>0.0</v>
      </c>
      <c r="BH121" s="1">
        <v>0.0</v>
      </c>
      <c r="BI121" s="1">
        <v>0.0</v>
      </c>
      <c r="BJ121" s="1">
        <v>0.0</v>
      </c>
      <c r="BP121" s="1">
        <v>0.256</v>
      </c>
      <c r="BQ121" s="1" t="s">
        <v>1392</v>
      </c>
      <c r="BV121" s="1">
        <v>1.1</v>
      </c>
      <c r="EQ121" s="9" t="s">
        <v>1390</v>
      </c>
      <c r="ER121" s="21">
        <v>46045.29785879629</v>
      </c>
    </row>
    <row r="122">
      <c r="A122" s="9" t="s">
        <v>1393</v>
      </c>
      <c r="B122" s="20" t="str">
        <f>IFERROR(__xludf.DUMMYFUNCTION("REGEXREPLACE(A122, ""^https?://[^/]+"", """")"),"/wp-content/plugins/ewww-image-optimizer/includes/lazysizes.min.js?ver=831")</f>
        <v>/wp-content/plugins/ewww-image-optimizer/includes/lazysizes.min.js?ver=831</v>
      </c>
      <c r="F122" s="1" t="s">
        <v>984</v>
      </c>
      <c r="G122" s="1">
        <v>200.0</v>
      </c>
      <c r="H122" s="1" t="s">
        <v>966</v>
      </c>
      <c r="I122" s="1" t="s">
        <v>967</v>
      </c>
      <c r="L122" s="1">
        <v>0.0</v>
      </c>
      <c r="M122" s="1">
        <v>0.0</v>
      </c>
      <c r="O122" s="1">
        <v>0.0</v>
      </c>
      <c r="P122" s="1">
        <v>0.0</v>
      </c>
      <c r="R122" s="1">
        <v>0.0</v>
      </c>
      <c r="S122" s="1">
        <v>0.0</v>
      </c>
      <c r="U122" s="1">
        <v>0.0</v>
      </c>
      <c r="W122" s="1">
        <v>0.0</v>
      </c>
      <c r="Y122" s="1">
        <v>0.0</v>
      </c>
      <c r="AA122" s="1">
        <v>0.0</v>
      </c>
      <c r="AC122" s="1">
        <v>0.0</v>
      </c>
      <c r="AM122" s="1">
        <v>6397.0</v>
      </c>
      <c r="AN122" s="1">
        <v>6397.0</v>
      </c>
      <c r="AO122" s="1">
        <v>6397.0</v>
      </c>
      <c r="AP122" s="1">
        <v>2.451</v>
      </c>
      <c r="AR122" s="1">
        <v>0.0</v>
      </c>
      <c r="AW122" s="1">
        <v>0.0</v>
      </c>
      <c r="AX122" s="1">
        <v>1.0</v>
      </c>
      <c r="AY122" s="1">
        <v>4.0</v>
      </c>
      <c r="BA122" s="1">
        <v>0.0</v>
      </c>
      <c r="BB122" s="1">
        <v>0.0</v>
      </c>
      <c r="BC122" s="1">
        <v>0.0</v>
      </c>
      <c r="BD122" s="1">
        <v>0.0</v>
      </c>
      <c r="BE122" s="1">
        <v>0.0</v>
      </c>
      <c r="BF122" s="1">
        <v>0.0</v>
      </c>
      <c r="BG122" s="1">
        <v>0.0</v>
      </c>
      <c r="BH122" s="1">
        <v>0.0</v>
      </c>
      <c r="BI122" s="1">
        <v>0.0</v>
      </c>
      <c r="BJ122" s="1">
        <v>0.0</v>
      </c>
      <c r="BP122" s="1">
        <v>0.253</v>
      </c>
      <c r="BQ122" s="1" t="s">
        <v>1394</v>
      </c>
      <c r="BV122" s="1">
        <v>1.1</v>
      </c>
      <c r="EQ122" s="9" t="s">
        <v>1393</v>
      </c>
      <c r="ER122" s="21">
        <v>46045.29787037037</v>
      </c>
    </row>
    <row r="123">
      <c r="A123" s="9" t="s">
        <v>1395</v>
      </c>
      <c r="B123" s="20" t="str">
        <f>IFERROR(__xludf.DUMMYFUNCTION("REGEXREPLACE(A123, ""^https?://[^/]+"", """")"),"/wp-content/uploads/elementor/css/post-68900.css?ver=1768845927")</f>
        <v>/wp-content/uploads/elementor/css/post-68900.css?ver=1768845927</v>
      </c>
      <c r="F123" s="1" t="s">
        <v>1016</v>
      </c>
      <c r="G123" s="1">
        <v>200.0</v>
      </c>
      <c r="H123" s="1" t="s">
        <v>966</v>
      </c>
      <c r="I123" s="1" t="s">
        <v>967</v>
      </c>
      <c r="L123" s="1">
        <v>0.0</v>
      </c>
      <c r="M123" s="1">
        <v>0.0</v>
      </c>
      <c r="O123" s="1">
        <v>0.0</v>
      </c>
      <c r="P123" s="1">
        <v>0.0</v>
      </c>
      <c r="R123" s="1">
        <v>0.0</v>
      </c>
      <c r="S123" s="1">
        <v>0.0</v>
      </c>
      <c r="U123" s="1">
        <v>0.0</v>
      </c>
      <c r="W123" s="1">
        <v>0.0</v>
      </c>
      <c r="Y123" s="1">
        <v>0.0</v>
      </c>
      <c r="AA123" s="1">
        <v>0.0</v>
      </c>
      <c r="AC123" s="1">
        <v>0.0</v>
      </c>
      <c r="AM123" s="1">
        <v>1486.0</v>
      </c>
      <c r="AN123" s="1">
        <v>1486.0</v>
      </c>
      <c r="AO123" s="1">
        <v>1486.0</v>
      </c>
      <c r="AP123" s="1">
        <v>0.569</v>
      </c>
      <c r="AR123" s="1">
        <v>0.0</v>
      </c>
      <c r="AW123" s="1">
        <v>0.0</v>
      </c>
      <c r="AX123" s="1">
        <v>1.0</v>
      </c>
      <c r="AY123" s="1">
        <v>4.0</v>
      </c>
      <c r="BA123" s="1">
        <v>0.0</v>
      </c>
      <c r="BB123" s="1">
        <v>0.0</v>
      </c>
      <c r="BC123" s="1">
        <v>0.0</v>
      </c>
      <c r="BD123" s="1">
        <v>0.0</v>
      </c>
      <c r="BE123" s="1">
        <v>0.0</v>
      </c>
      <c r="BF123" s="1">
        <v>0.0</v>
      </c>
      <c r="BG123" s="1">
        <v>0.0</v>
      </c>
      <c r="BH123" s="1">
        <v>0.0</v>
      </c>
      <c r="BI123" s="1">
        <v>0.0</v>
      </c>
      <c r="BJ123" s="1">
        <v>0.0</v>
      </c>
      <c r="BP123" s="1">
        <v>0.263</v>
      </c>
      <c r="BQ123" s="1" t="s">
        <v>1282</v>
      </c>
      <c r="BV123" s="1">
        <v>1.1</v>
      </c>
      <c r="EQ123" s="9" t="s">
        <v>1395</v>
      </c>
      <c r="ER123" s="21">
        <v>46045.29787037037</v>
      </c>
    </row>
    <row r="124">
      <c r="A124" s="9" t="s">
        <v>1396</v>
      </c>
      <c r="B124" s="20" t="str">
        <f>IFERROR(__xludf.DUMMYFUNCTION("REGEXREPLACE(A124, ""^https?://[^/]+"", """")"),"/testimonials/")</f>
        <v>/testimonials/</v>
      </c>
      <c r="C124" s="1" t="s">
        <v>1397</v>
      </c>
      <c r="F124" s="1" t="s">
        <v>965</v>
      </c>
      <c r="G124" s="1">
        <v>200.0</v>
      </c>
      <c r="H124" s="1" t="s">
        <v>966</v>
      </c>
      <c r="I124" s="1" t="s">
        <v>967</v>
      </c>
      <c r="K124" s="1" t="s">
        <v>1398</v>
      </c>
      <c r="L124" s="1">
        <v>59.0</v>
      </c>
      <c r="M124" s="1">
        <v>529.0</v>
      </c>
      <c r="O124" s="1">
        <v>0.0</v>
      </c>
      <c r="P124" s="1">
        <v>0.0</v>
      </c>
      <c r="Q124" s="1" t="s">
        <v>1399</v>
      </c>
      <c r="R124" s="1">
        <v>156.0</v>
      </c>
      <c r="S124" s="1">
        <v>990.0</v>
      </c>
      <c r="U124" s="1">
        <v>0.0</v>
      </c>
      <c r="V124" s="1" t="s">
        <v>1397</v>
      </c>
      <c r="W124" s="1">
        <v>62.0</v>
      </c>
      <c r="Y124" s="1">
        <v>0.0</v>
      </c>
      <c r="AA124" s="1">
        <v>0.0</v>
      </c>
      <c r="AC124" s="1">
        <v>0.0</v>
      </c>
      <c r="AD124" s="1" t="s">
        <v>971</v>
      </c>
      <c r="AG124" s="9" t="s">
        <v>1396</v>
      </c>
      <c r="AM124" s="1">
        <v>186466.0</v>
      </c>
      <c r="AN124" s="1">
        <v>30897.0</v>
      </c>
      <c r="AO124" s="1">
        <v>30897.0</v>
      </c>
      <c r="AP124" s="1">
        <v>11.836</v>
      </c>
      <c r="AR124" s="1">
        <v>577.0</v>
      </c>
      <c r="AS124" s="1">
        <v>96.0</v>
      </c>
      <c r="AT124" s="1">
        <v>6.01</v>
      </c>
      <c r="AU124" s="1">
        <v>59.539</v>
      </c>
      <c r="AV124" s="1" t="s">
        <v>972</v>
      </c>
      <c r="AW124" s="1">
        <v>3.222</v>
      </c>
      <c r="AX124" s="1">
        <v>1.0</v>
      </c>
      <c r="AY124" s="1">
        <v>1.0</v>
      </c>
      <c r="AZ124" s="1">
        <v>51.0</v>
      </c>
      <c r="BA124" s="1">
        <v>2265.0</v>
      </c>
      <c r="BB124" s="1">
        <v>754.0</v>
      </c>
      <c r="BC124" s="1">
        <v>0.0</v>
      </c>
      <c r="BD124" s="1">
        <v>100.0</v>
      </c>
      <c r="BE124" s="1">
        <v>122.0</v>
      </c>
      <c r="BF124" s="1">
        <v>42.0</v>
      </c>
      <c r="BG124" s="1">
        <v>0.0</v>
      </c>
      <c r="BH124" s="1">
        <v>16.0</v>
      </c>
      <c r="BI124" s="1">
        <v>8.0</v>
      </c>
      <c r="BJ124" s="1">
        <v>0.0</v>
      </c>
      <c r="BO124" s="1" t="s">
        <v>1400</v>
      </c>
      <c r="BP124" s="1">
        <v>0.937</v>
      </c>
      <c r="BU124" s="1" t="s">
        <v>974</v>
      </c>
      <c r="BV124" s="1">
        <v>1.1</v>
      </c>
      <c r="BW124" s="1">
        <v>61.0</v>
      </c>
      <c r="BX124" s="1">
        <v>3151.023</v>
      </c>
      <c r="BY124" s="1">
        <v>6787.178</v>
      </c>
      <c r="BZ124" s="1">
        <v>7276.058</v>
      </c>
      <c r="CA124" s="1">
        <v>18528.414</v>
      </c>
      <c r="CB124" s="1">
        <v>192.5</v>
      </c>
      <c r="CC124" s="1">
        <v>0.001</v>
      </c>
      <c r="CD124" s="1">
        <v>651496.0</v>
      </c>
      <c r="CE124" s="1">
        <v>900.0</v>
      </c>
      <c r="CF124" s="1">
        <v>199.0</v>
      </c>
      <c r="CG124" s="1">
        <v>3.2120465E7</v>
      </c>
      <c r="CH124" s="1">
        <v>31962.0</v>
      </c>
      <c r="CI124" s="1">
        <v>2.0</v>
      </c>
      <c r="CJ124" s="1">
        <v>1156851.0</v>
      </c>
      <c r="CK124" s="1">
        <v>39.0</v>
      </c>
      <c r="CL124" s="1">
        <v>111434.0</v>
      </c>
      <c r="CM124" s="1">
        <v>38.0</v>
      </c>
      <c r="CN124" s="1">
        <v>1749773.0</v>
      </c>
      <c r="CO124" s="1">
        <v>69.0</v>
      </c>
      <c r="CP124" s="1">
        <v>370757.0</v>
      </c>
      <c r="CQ124" s="1">
        <v>7.0</v>
      </c>
      <c r="CR124" s="1">
        <v>2.8674964E7</v>
      </c>
      <c r="CS124" s="1">
        <v>17.0</v>
      </c>
      <c r="CT124" s="1">
        <v>24724.0</v>
      </c>
      <c r="CU124" s="1">
        <v>27.0</v>
      </c>
      <c r="CV124" s="1">
        <v>1525398.0</v>
      </c>
      <c r="CW124" s="1">
        <v>73.0</v>
      </c>
      <c r="DC124" s="1">
        <v>0.0</v>
      </c>
      <c r="DD124" s="1">
        <v>5075.0</v>
      </c>
      <c r="DE124" s="1">
        <v>0.0</v>
      </c>
      <c r="DF124" s="1">
        <v>3396.0</v>
      </c>
      <c r="DG124" s="1">
        <v>300.0</v>
      </c>
      <c r="DH124" s="1">
        <v>50608.0</v>
      </c>
      <c r="DI124" s="1">
        <v>600.0</v>
      </c>
      <c r="DJ124" s="1">
        <v>592417.0</v>
      </c>
      <c r="DK124" s="1">
        <v>1522.866</v>
      </c>
      <c r="DL124" s="1" t="s">
        <v>975</v>
      </c>
      <c r="DM124" s="1">
        <v>2957.336</v>
      </c>
      <c r="DN124" s="1" t="s">
        <v>975</v>
      </c>
      <c r="DO124" s="1">
        <v>3.2120466E7</v>
      </c>
      <c r="DP124" s="1">
        <v>1.0</v>
      </c>
      <c r="DQ124" s="1" t="s">
        <v>976</v>
      </c>
      <c r="DR124" s="1" t="s">
        <v>1266</v>
      </c>
      <c r="DS124" s="1" t="s">
        <v>978</v>
      </c>
      <c r="DT124" s="1" t="s">
        <v>979</v>
      </c>
      <c r="DU124" s="1" t="s">
        <v>980</v>
      </c>
      <c r="DV124" s="1">
        <v>12340.0</v>
      </c>
      <c r="DX124" s="1">
        <v>3844.0</v>
      </c>
      <c r="DY124" s="1">
        <v>1078706.0</v>
      </c>
      <c r="DZ124" s="1" t="s">
        <v>981</v>
      </c>
      <c r="EA124" s="1">
        <v>956.0</v>
      </c>
      <c r="EB124" s="1">
        <v>829721.0</v>
      </c>
      <c r="EC124" s="1">
        <v>3.0</v>
      </c>
      <c r="ED124" s="1">
        <v>26492.0</v>
      </c>
      <c r="EF124" s="1">
        <v>230.0</v>
      </c>
      <c r="EG124" s="1" t="s">
        <v>982</v>
      </c>
      <c r="EH124" s="1">
        <v>100.0</v>
      </c>
      <c r="EK124" s="1">
        <v>100.0</v>
      </c>
      <c r="EQ124" s="9" t="s">
        <v>1396</v>
      </c>
      <c r="ER124" s="21">
        <v>46045.29785879629</v>
      </c>
    </row>
    <row r="125">
      <c r="A125" s="9" t="s">
        <v>1401</v>
      </c>
      <c r="B125" s="20" t="str">
        <f>IFERROR(__xludf.DUMMYFUNCTION("REGEXREPLACE(A125, ""^https?://[^/]+"", """")"),"/wp-content/themes/salesxceleratione/assets/js/scripts.js")</f>
        <v>/wp-content/themes/salesxceleratione/assets/js/scripts.js</v>
      </c>
      <c r="F125" s="1" t="s">
        <v>984</v>
      </c>
      <c r="G125" s="1">
        <v>200.0</v>
      </c>
      <c r="H125" s="1" t="s">
        <v>966</v>
      </c>
      <c r="I125" s="1" t="s">
        <v>967</v>
      </c>
      <c r="L125" s="1">
        <v>0.0</v>
      </c>
      <c r="M125" s="1">
        <v>0.0</v>
      </c>
      <c r="O125" s="1">
        <v>0.0</v>
      </c>
      <c r="P125" s="1">
        <v>0.0</v>
      </c>
      <c r="R125" s="1">
        <v>0.0</v>
      </c>
      <c r="S125" s="1">
        <v>0.0</v>
      </c>
      <c r="U125" s="1">
        <v>0.0</v>
      </c>
      <c r="W125" s="1">
        <v>0.0</v>
      </c>
      <c r="Y125" s="1">
        <v>0.0</v>
      </c>
      <c r="AA125" s="1">
        <v>0.0</v>
      </c>
      <c r="AC125" s="1">
        <v>0.0</v>
      </c>
      <c r="AM125" s="1">
        <v>2327.0</v>
      </c>
      <c r="AN125" s="1">
        <v>2327.0</v>
      </c>
      <c r="AO125" s="1">
        <v>2327.0</v>
      </c>
      <c r="AP125" s="1">
        <v>0.891</v>
      </c>
      <c r="AR125" s="1">
        <v>0.0</v>
      </c>
      <c r="AW125" s="1">
        <v>0.0</v>
      </c>
      <c r="AX125" s="1">
        <v>1.0</v>
      </c>
      <c r="AY125" s="1">
        <v>5.0</v>
      </c>
      <c r="BA125" s="1">
        <v>0.0</v>
      </c>
      <c r="BB125" s="1">
        <v>0.0</v>
      </c>
      <c r="BC125" s="1">
        <v>0.0</v>
      </c>
      <c r="BD125" s="1">
        <v>0.0</v>
      </c>
      <c r="BE125" s="1">
        <v>0.0</v>
      </c>
      <c r="BF125" s="1">
        <v>0.0</v>
      </c>
      <c r="BG125" s="1">
        <v>0.0</v>
      </c>
      <c r="BH125" s="1">
        <v>0.0</v>
      </c>
      <c r="BI125" s="1">
        <v>0.0</v>
      </c>
      <c r="BJ125" s="1">
        <v>0.0</v>
      </c>
      <c r="BP125" s="1">
        <v>0.252</v>
      </c>
      <c r="BQ125" s="1" t="s">
        <v>1402</v>
      </c>
      <c r="BV125" s="1">
        <v>1.1</v>
      </c>
      <c r="EQ125" s="9" t="s">
        <v>1401</v>
      </c>
      <c r="ER125" s="21">
        <v>46045.29787037037</v>
      </c>
    </row>
    <row r="126">
      <c r="A126" s="9" t="s">
        <v>1403</v>
      </c>
      <c r="B126" s="20" t="str">
        <f>IFERROR(__xludf.DUMMYFUNCTION("REGEXREPLACE(A126, ""^https?://[^/]+"", """")"),"/wp-content/uploads/elementor/css/post-72016.css?ver=1768845927")</f>
        <v>/wp-content/uploads/elementor/css/post-72016.css?ver=1768845927</v>
      </c>
      <c r="F126" s="1" t="s">
        <v>1016</v>
      </c>
      <c r="G126" s="1">
        <v>200.0</v>
      </c>
      <c r="H126" s="1" t="s">
        <v>966</v>
      </c>
      <c r="I126" s="1" t="s">
        <v>967</v>
      </c>
      <c r="L126" s="1">
        <v>0.0</v>
      </c>
      <c r="M126" s="1">
        <v>0.0</v>
      </c>
      <c r="O126" s="1">
        <v>0.0</v>
      </c>
      <c r="P126" s="1">
        <v>0.0</v>
      </c>
      <c r="R126" s="1">
        <v>0.0</v>
      </c>
      <c r="S126" s="1">
        <v>0.0</v>
      </c>
      <c r="U126" s="1">
        <v>0.0</v>
      </c>
      <c r="W126" s="1">
        <v>0.0</v>
      </c>
      <c r="Y126" s="1">
        <v>0.0</v>
      </c>
      <c r="AA126" s="1">
        <v>0.0</v>
      </c>
      <c r="AC126" s="1">
        <v>0.0</v>
      </c>
      <c r="AM126" s="1">
        <v>729.0</v>
      </c>
      <c r="AN126" s="1">
        <v>729.0</v>
      </c>
      <c r="AO126" s="1">
        <v>729.0</v>
      </c>
      <c r="AP126" s="1">
        <v>0.279</v>
      </c>
      <c r="AR126" s="1">
        <v>0.0</v>
      </c>
      <c r="AW126" s="1">
        <v>0.0</v>
      </c>
      <c r="AX126" s="1">
        <v>1.0</v>
      </c>
      <c r="AY126" s="1">
        <v>4.0</v>
      </c>
      <c r="BA126" s="1">
        <v>0.0</v>
      </c>
      <c r="BB126" s="1">
        <v>0.0</v>
      </c>
      <c r="BC126" s="1">
        <v>0.0</v>
      </c>
      <c r="BD126" s="1">
        <v>0.0</v>
      </c>
      <c r="BE126" s="1">
        <v>0.0</v>
      </c>
      <c r="BF126" s="1">
        <v>0.0</v>
      </c>
      <c r="BG126" s="1">
        <v>0.0</v>
      </c>
      <c r="BH126" s="1">
        <v>0.0</v>
      </c>
      <c r="BI126" s="1">
        <v>0.0</v>
      </c>
      <c r="BJ126" s="1">
        <v>0.0</v>
      </c>
      <c r="BP126" s="1">
        <v>0.257</v>
      </c>
      <c r="BQ126" s="1" t="s">
        <v>1282</v>
      </c>
      <c r="BV126" s="1">
        <v>1.1</v>
      </c>
      <c r="EQ126" s="9" t="s">
        <v>1403</v>
      </c>
      <c r="ER126" s="21">
        <v>46045.29788194445</v>
      </c>
    </row>
    <row r="127">
      <c r="A127" s="9" t="s">
        <v>1404</v>
      </c>
      <c r="B127" s="20" t="str">
        <f>IFERROR(__xludf.DUMMYFUNCTION("REGEXREPLACE(A127, ""^https?://[^/]+"", """")"),"/wp-content/uploads/elementor/thumbs/flag-uk-qsy487bcc3b1xu34tjwg8gagb1j9dyt5pi3unmhno6.jpg")</f>
        <v>/wp-content/uploads/elementor/thumbs/flag-uk-qsy487bcc3b1xu34tjwg8gagb1j9dyt5pi3unmhno6.jpg</v>
      </c>
      <c r="F127" s="1" t="s">
        <v>1004</v>
      </c>
      <c r="G127" s="1">
        <v>200.0</v>
      </c>
      <c r="H127" s="1" t="s">
        <v>966</v>
      </c>
      <c r="I127" s="1" t="s">
        <v>967</v>
      </c>
      <c r="L127" s="1">
        <v>0.0</v>
      </c>
      <c r="M127" s="1">
        <v>0.0</v>
      </c>
      <c r="O127" s="1">
        <v>0.0</v>
      </c>
      <c r="P127" s="1">
        <v>0.0</v>
      </c>
      <c r="R127" s="1">
        <v>0.0</v>
      </c>
      <c r="S127" s="1">
        <v>0.0</v>
      </c>
      <c r="U127" s="1">
        <v>0.0</v>
      </c>
      <c r="W127" s="1">
        <v>0.0</v>
      </c>
      <c r="Y127" s="1">
        <v>0.0</v>
      </c>
      <c r="AA127" s="1">
        <v>0.0</v>
      </c>
      <c r="AC127" s="1">
        <v>0.0</v>
      </c>
      <c r="AM127" s="1">
        <v>778.0</v>
      </c>
      <c r="AN127" s="1">
        <v>778.0</v>
      </c>
      <c r="AO127" s="1">
        <v>778.0</v>
      </c>
      <c r="AP127" s="1">
        <v>0.298</v>
      </c>
      <c r="AR127" s="1">
        <v>0.0</v>
      </c>
      <c r="AW127" s="1">
        <v>0.0</v>
      </c>
      <c r="AX127" s="1">
        <v>1.0</v>
      </c>
      <c r="AY127" s="1">
        <v>4.0</v>
      </c>
      <c r="BA127" s="1">
        <v>0.0</v>
      </c>
      <c r="BB127" s="1">
        <v>0.0</v>
      </c>
      <c r="BC127" s="1">
        <v>0.0</v>
      </c>
      <c r="BD127" s="1">
        <v>0.0</v>
      </c>
      <c r="BE127" s="1">
        <v>0.0</v>
      </c>
      <c r="BF127" s="1">
        <v>0.0</v>
      </c>
      <c r="BG127" s="1">
        <v>0.0</v>
      </c>
      <c r="BH127" s="1">
        <v>0.0</v>
      </c>
      <c r="BI127" s="1">
        <v>0.0</v>
      </c>
      <c r="BJ127" s="1">
        <v>0.0</v>
      </c>
      <c r="BP127" s="1">
        <v>0.274</v>
      </c>
      <c r="BQ127" s="1" t="s">
        <v>1405</v>
      </c>
      <c r="BV127" s="1">
        <v>1.1</v>
      </c>
      <c r="EQ127" s="9" t="s">
        <v>1404</v>
      </c>
      <c r="ER127" s="21">
        <v>46045.29788194445</v>
      </c>
    </row>
    <row r="128">
      <c r="A128" s="9" t="s">
        <v>1406</v>
      </c>
      <c r="B128" s="20" t="str">
        <f>IFERROR(__xludf.DUMMYFUNCTION("REGEXREPLACE(A128, ""^https?://[^/]+"", """")"),"/wp-content/plugins/elementor/assets/css/widget-icon-box.min.css?ver=3.34.0")</f>
        <v>/wp-content/plugins/elementor/assets/css/widget-icon-box.min.css?ver=3.34.0</v>
      </c>
      <c r="F128" s="1" t="s">
        <v>1016</v>
      </c>
      <c r="G128" s="1">
        <v>200.0</v>
      </c>
      <c r="H128" s="1" t="s">
        <v>966</v>
      </c>
      <c r="I128" s="1" t="s">
        <v>967</v>
      </c>
      <c r="L128" s="1">
        <v>0.0</v>
      </c>
      <c r="M128" s="1">
        <v>0.0</v>
      </c>
      <c r="O128" s="1">
        <v>0.0</v>
      </c>
      <c r="P128" s="1">
        <v>0.0</v>
      </c>
      <c r="R128" s="1">
        <v>0.0</v>
      </c>
      <c r="S128" s="1">
        <v>0.0</v>
      </c>
      <c r="U128" s="1">
        <v>0.0</v>
      </c>
      <c r="W128" s="1">
        <v>0.0</v>
      </c>
      <c r="Y128" s="1">
        <v>0.0</v>
      </c>
      <c r="AA128" s="1">
        <v>0.0</v>
      </c>
      <c r="AC128" s="1">
        <v>0.0</v>
      </c>
      <c r="AM128" s="1">
        <v>507.0</v>
      </c>
      <c r="AN128" s="1">
        <v>507.0</v>
      </c>
      <c r="AO128" s="1">
        <v>507.0</v>
      </c>
      <c r="AP128" s="1">
        <v>0.194</v>
      </c>
      <c r="AR128" s="1">
        <v>0.0</v>
      </c>
      <c r="AW128" s="1">
        <v>0.0</v>
      </c>
      <c r="AX128" s="1">
        <v>1.0</v>
      </c>
      <c r="AY128" s="1">
        <v>5.0</v>
      </c>
      <c r="BA128" s="1">
        <v>0.0</v>
      </c>
      <c r="BB128" s="1">
        <v>0.0</v>
      </c>
      <c r="BC128" s="1">
        <v>0.0</v>
      </c>
      <c r="BD128" s="1">
        <v>0.0</v>
      </c>
      <c r="BE128" s="1">
        <v>0.0</v>
      </c>
      <c r="BF128" s="1">
        <v>0.0</v>
      </c>
      <c r="BG128" s="1">
        <v>0.0</v>
      </c>
      <c r="BH128" s="1">
        <v>0.0</v>
      </c>
      <c r="BI128" s="1">
        <v>0.0</v>
      </c>
      <c r="BJ128" s="1">
        <v>0.0</v>
      </c>
      <c r="BP128" s="1">
        <v>0.25</v>
      </c>
      <c r="BQ128" s="1" t="s">
        <v>1017</v>
      </c>
      <c r="BV128" s="1">
        <v>1.1</v>
      </c>
      <c r="EQ128" s="9" t="s">
        <v>1406</v>
      </c>
      <c r="ER128" s="21">
        <v>46045.29788194445</v>
      </c>
    </row>
    <row r="129">
      <c r="A129" s="9" t="s">
        <v>1306</v>
      </c>
      <c r="B129" s="20" t="str">
        <f>IFERROR(__xludf.DUMMYFUNCTION("REGEXREPLACE(A129, ""^https?://[^/]+"", """")"),"/case-studies/")</f>
        <v>/case-studies/</v>
      </c>
      <c r="C129" s="1" t="s">
        <v>1407</v>
      </c>
      <c r="D129" s="1" t="s">
        <v>1408</v>
      </c>
      <c r="F129" s="1" t="s">
        <v>965</v>
      </c>
      <c r="G129" s="1">
        <v>200.0</v>
      </c>
      <c r="H129" s="1" t="s">
        <v>966</v>
      </c>
      <c r="I129" s="1" t="s">
        <v>967</v>
      </c>
      <c r="K129" s="1" t="s">
        <v>1409</v>
      </c>
      <c r="L129" s="1">
        <v>56.0</v>
      </c>
      <c r="M129" s="1">
        <v>499.0</v>
      </c>
      <c r="O129" s="1">
        <v>0.0</v>
      </c>
      <c r="P129" s="1">
        <v>0.0</v>
      </c>
      <c r="Q129" s="1" t="s">
        <v>1410</v>
      </c>
      <c r="R129" s="1">
        <v>135.0</v>
      </c>
      <c r="S129" s="1">
        <v>855.0</v>
      </c>
      <c r="U129" s="1">
        <v>0.0</v>
      </c>
      <c r="V129" s="1" t="s">
        <v>1407</v>
      </c>
      <c r="W129" s="1">
        <v>38.0</v>
      </c>
      <c r="Y129" s="1">
        <v>0.0</v>
      </c>
      <c r="Z129" s="1" t="s">
        <v>1408</v>
      </c>
      <c r="AA129" s="1">
        <v>21.0</v>
      </c>
      <c r="AC129" s="1">
        <v>0.0</v>
      </c>
      <c r="AD129" s="1" t="s">
        <v>971</v>
      </c>
      <c r="AG129" s="9" t="s">
        <v>1306</v>
      </c>
      <c r="AM129" s="1">
        <v>281519.0</v>
      </c>
      <c r="AN129" s="1">
        <v>38559.0</v>
      </c>
      <c r="AO129" s="1">
        <v>38559.0</v>
      </c>
      <c r="AP129" s="1">
        <v>14.771</v>
      </c>
      <c r="AR129" s="1">
        <v>1163.0</v>
      </c>
      <c r="AS129" s="1">
        <v>245.0</v>
      </c>
      <c r="AT129" s="1">
        <v>4.747</v>
      </c>
      <c r="AU129" s="1">
        <v>37.254</v>
      </c>
      <c r="AV129" s="1" t="s">
        <v>1075</v>
      </c>
      <c r="AW129" s="1">
        <v>3.83</v>
      </c>
      <c r="AX129" s="1">
        <v>1.0</v>
      </c>
      <c r="AY129" s="1">
        <v>1.0</v>
      </c>
      <c r="AZ129" s="1">
        <v>52.0</v>
      </c>
      <c r="BA129" s="1">
        <v>2276.0</v>
      </c>
      <c r="BB129" s="1">
        <v>754.0</v>
      </c>
      <c r="BC129" s="1">
        <v>0.0</v>
      </c>
      <c r="BD129" s="1">
        <v>100.0</v>
      </c>
      <c r="BE129" s="1">
        <v>181.0</v>
      </c>
      <c r="BF129" s="1">
        <v>98.0</v>
      </c>
      <c r="BG129" s="1">
        <v>0.0</v>
      </c>
      <c r="BH129" s="1">
        <v>16.0</v>
      </c>
      <c r="BI129" s="1">
        <v>8.0</v>
      </c>
      <c r="BJ129" s="1">
        <v>0.0</v>
      </c>
      <c r="BO129" s="1" t="s">
        <v>1411</v>
      </c>
      <c r="BP129" s="1">
        <v>1.15</v>
      </c>
      <c r="BU129" s="1" t="s">
        <v>974</v>
      </c>
      <c r="BV129" s="1">
        <v>1.1</v>
      </c>
      <c r="BW129" s="1">
        <v>54.0</v>
      </c>
      <c r="BX129" s="1">
        <v>3451.027</v>
      </c>
      <c r="BY129" s="1">
        <v>8689.824</v>
      </c>
      <c r="BZ129" s="1">
        <v>8701.072</v>
      </c>
      <c r="CA129" s="1">
        <v>17697.732</v>
      </c>
      <c r="CB129" s="1">
        <v>283.0</v>
      </c>
      <c r="CC129" s="1">
        <v>0.0</v>
      </c>
      <c r="CD129" s="1">
        <v>651322.0</v>
      </c>
      <c r="CE129" s="1">
        <v>1500.0</v>
      </c>
      <c r="CF129" s="1">
        <v>169.0</v>
      </c>
      <c r="CG129" s="1">
        <v>2359094.0</v>
      </c>
      <c r="CH129" s="1">
        <v>39444.0</v>
      </c>
      <c r="CI129" s="1">
        <v>2.0</v>
      </c>
      <c r="CJ129" s="1">
        <v>146745.0</v>
      </c>
      <c r="CK129" s="1">
        <v>24.0</v>
      </c>
      <c r="CL129" s="1">
        <v>114558.0</v>
      </c>
      <c r="CM129" s="1">
        <v>39.0</v>
      </c>
      <c r="CN129" s="1">
        <v>1748050.0</v>
      </c>
      <c r="CO129" s="1">
        <v>68.0</v>
      </c>
      <c r="CP129" s="1">
        <v>284722.0</v>
      </c>
      <c r="CQ129" s="1">
        <v>6.0</v>
      </c>
      <c r="CR129" s="1">
        <v>0.0</v>
      </c>
      <c r="CS129" s="1">
        <v>0.0</v>
      </c>
      <c r="CT129" s="1">
        <v>25575.0</v>
      </c>
      <c r="CU129" s="1">
        <v>30.0</v>
      </c>
      <c r="CV129" s="1">
        <v>1504542.0</v>
      </c>
      <c r="CW129" s="1">
        <v>69.0</v>
      </c>
      <c r="DC129" s="1">
        <v>0.0</v>
      </c>
      <c r="DD129" s="1">
        <v>5075.0</v>
      </c>
      <c r="DE129" s="1">
        <v>0.0</v>
      </c>
      <c r="DF129" s="1">
        <v>3396.0</v>
      </c>
      <c r="DG129" s="1">
        <v>450.0</v>
      </c>
      <c r="DH129" s="1">
        <v>50535.0</v>
      </c>
      <c r="DI129" s="1">
        <v>1050.0</v>
      </c>
      <c r="DJ129" s="1">
        <v>592316.0</v>
      </c>
      <c r="DK129" s="1">
        <v>1759.859</v>
      </c>
      <c r="DL129" s="1" t="s">
        <v>975</v>
      </c>
      <c r="DM129" s="1">
        <v>3503.525</v>
      </c>
      <c r="DN129" s="1" t="s">
        <v>975</v>
      </c>
      <c r="DO129" s="1">
        <v>2358778.0</v>
      </c>
      <c r="DP129" s="1">
        <v>1.0</v>
      </c>
      <c r="DQ129" s="1" t="s">
        <v>976</v>
      </c>
      <c r="DR129" s="1" t="s">
        <v>1412</v>
      </c>
      <c r="DS129" s="1" t="s">
        <v>978</v>
      </c>
      <c r="DT129" s="1" t="s">
        <v>979</v>
      </c>
      <c r="DU129" s="1" t="s">
        <v>980</v>
      </c>
      <c r="DV129" s="1">
        <v>13093.0</v>
      </c>
      <c r="DX129" s="1">
        <v>4159.0</v>
      </c>
      <c r="DY129" s="1">
        <v>649489.0</v>
      </c>
      <c r="DZ129" s="1" t="s">
        <v>981</v>
      </c>
      <c r="EA129" s="1">
        <v>1098.0</v>
      </c>
      <c r="EB129" s="1">
        <v>12665.0</v>
      </c>
      <c r="EC129" s="1">
        <v>1.0</v>
      </c>
      <c r="ED129" s="1">
        <v>26492.0</v>
      </c>
      <c r="EF129" s="1">
        <v>235.0</v>
      </c>
      <c r="EG129" s="1" t="s">
        <v>982</v>
      </c>
      <c r="EH129" s="1">
        <v>100.0</v>
      </c>
      <c r="EK129" s="1">
        <v>100.0</v>
      </c>
      <c r="EQ129" s="9" t="s">
        <v>1306</v>
      </c>
      <c r="ER129" s="21">
        <v>46045.29787037037</v>
      </c>
    </row>
    <row r="130">
      <c r="A130" s="9" t="s">
        <v>1413</v>
      </c>
      <c r="B130" s="20" t="str">
        <f>IFERROR(__xludf.DUMMYFUNCTION("REGEXREPLACE(A130, ""^https?://[^/]+"", """")"),"/wp-content/plugins/image-map-pro-wordpress/css/image-map-pro.min.css?ver=5.3.2")</f>
        <v>/wp-content/plugins/image-map-pro-wordpress/css/image-map-pro.min.css?ver=5.3.2</v>
      </c>
      <c r="F130" s="1" t="s">
        <v>1016</v>
      </c>
      <c r="G130" s="1">
        <v>200.0</v>
      </c>
      <c r="H130" s="1" t="s">
        <v>966</v>
      </c>
      <c r="I130" s="1" t="s">
        <v>967</v>
      </c>
      <c r="L130" s="1">
        <v>0.0</v>
      </c>
      <c r="M130" s="1">
        <v>0.0</v>
      </c>
      <c r="O130" s="1">
        <v>0.0</v>
      </c>
      <c r="P130" s="1">
        <v>0.0</v>
      </c>
      <c r="R130" s="1">
        <v>0.0</v>
      </c>
      <c r="S130" s="1">
        <v>0.0</v>
      </c>
      <c r="U130" s="1">
        <v>0.0</v>
      </c>
      <c r="W130" s="1">
        <v>0.0</v>
      </c>
      <c r="Y130" s="1">
        <v>0.0</v>
      </c>
      <c r="AA130" s="1">
        <v>0.0</v>
      </c>
      <c r="AC130" s="1">
        <v>0.0</v>
      </c>
      <c r="AM130" s="1">
        <v>10557.0</v>
      </c>
      <c r="AN130" s="1">
        <v>10557.0</v>
      </c>
      <c r="AO130" s="1">
        <v>10557.0</v>
      </c>
      <c r="AP130" s="1">
        <v>4.044</v>
      </c>
      <c r="AR130" s="1">
        <v>0.0</v>
      </c>
      <c r="AW130" s="1">
        <v>0.0</v>
      </c>
      <c r="AX130" s="1">
        <v>1.0</v>
      </c>
      <c r="AY130" s="1">
        <v>4.0</v>
      </c>
      <c r="BA130" s="1">
        <v>0.0</v>
      </c>
      <c r="BB130" s="1">
        <v>0.0</v>
      </c>
      <c r="BC130" s="1">
        <v>0.0</v>
      </c>
      <c r="BD130" s="1">
        <v>0.0</v>
      </c>
      <c r="BE130" s="1">
        <v>0.0</v>
      </c>
      <c r="BF130" s="1">
        <v>0.0</v>
      </c>
      <c r="BG130" s="1">
        <v>0.0</v>
      </c>
      <c r="BH130" s="1">
        <v>0.0</v>
      </c>
      <c r="BI130" s="1">
        <v>0.0</v>
      </c>
      <c r="BJ130" s="1">
        <v>0.0</v>
      </c>
      <c r="BP130" s="1">
        <v>0.27</v>
      </c>
      <c r="BQ130" s="1" t="s">
        <v>1414</v>
      </c>
      <c r="BV130" s="1">
        <v>1.1</v>
      </c>
      <c r="EQ130" s="9" t="s">
        <v>1413</v>
      </c>
      <c r="ER130" s="21">
        <v>46045.29789351852</v>
      </c>
    </row>
    <row r="131">
      <c r="A131" s="9" t="s">
        <v>1415</v>
      </c>
      <c r="B131" s="20" t="str">
        <f>IFERROR(__xludf.DUMMYFUNCTION("REGEXREPLACE(A131, ""^https?://[^/]+"", """")"),"/case-study/revitalizing-sales-strategy-for-sustained-growth-human-resources-case-study/")</f>
        <v>/case-study/revitalizing-sales-strategy-for-sustained-growth-human-resources-case-study/</v>
      </c>
      <c r="C131" s="1" t="s">
        <v>1416</v>
      </c>
      <c r="D131" s="1" t="s">
        <v>1417</v>
      </c>
      <c r="E131" s="1" t="s">
        <v>1418</v>
      </c>
      <c r="F131" s="1" t="s">
        <v>965</v>
      </c>
      <c r="G131" s="1">
        <v>200.0</v>
      </c>
      <c r="H131" s="1" t="s">
        <v>966</v>
      </c>
      <c r="I131" s="1" t="s">
        <v>967</v>
      </c>
      <c r="K131" s="1" t="s">
        <v>1419</v>
      </c>
      <c r="L131" s="1">
        <v>64.0</v>
      </c>
      <c r="M131" s="1">
        <v>603.0</v>
      </c>
      <c r="O131" s="1">
        <v>0.0</v>
      </c>
      <c r="P131" s="1">
        <v>0.0</v>
      </c>
      <c r="Q131" s="1" t="s">
        <v>1420</v>
      </c>
      <c r="R131" s="1">
        <v>165.0</v>
      </c>
      <c r="S131" s="1">
        <v>1020.0</v>
      </c>
      <c r="U131" s="1">
        <v>0.0</v>
      </c>
      <c r="V131" s="1" t="s">
        <v>1416</v>
      </c>
      <c r="W131" s="1">
        <v>73.0</v>
      </c>
      <c r="Y131" s="1">
        <v>0.0</v>
      </c>
      <c r="Z131" s="1" t="s">
        <v>1417</v>
      </c>
      <c r="AA131" s="1">
        <v>15.0</v>
      </c>
      <c r="AB131" s="1" t="s">
        <v>1418</v>
      </c>
      <c r="AC131" s="1">
        <v>22.0</v>
      </c>
      <c r="AD131" s="1" t="s">
        <v>971</v>
      </c>
      <c r="AG131" s="9" t="s">
        <v>1415</v>
      </c>
      <c r="AM131" s="1">
        <v>177083.0</v>
      </c>
      <c r="AN131" s="1">
        <v>32429.0</v>
      </c>
      <c r="AO131" s="1">
        <v>32429.0</v>
      </c>
      <c r="AP131" s="1">
        <v>12.423</v>
      </c>
      <c r="AR131" s="1">
        <v>1113.0</v>
      </c>
      <c r="AS131" s="1">
        <v>178.0</v>
      </c>
      <c r="AT131" s="1">
        <v>6.253</v>
      </c>
      <c r="AU131" s="1">
        <v>53.332</v>
      </c>
      <c r="AV131" s="1" t="s">
        <v>972</v>
      </c>
      <c r="AW131" s="1">
        <v>5.472</v>
      </c>
      <c r="AX131" s="1">
        <v>1.0</v>
      </c>
      <c r="AY131" s="1">
        <v>2.0</v>
      </c>
      <c r="AZ131" s="1">
        <v>4.0</v>
      </c>
      <c r="BA131" s="1">
        <v>10.0</v>
      </c>
      <c r="BB131" s="1">
        <v>6.0</v>
      </c>
      <c r="BC131" s="1">
        <v>0.0</v>
      </c>
      <c r="BD131" s="1">
        <v>0.8</v>
      </c>
      <c r="BE131" s="1">
        <v>127.0</v>
      </c>
      <c r="BF131" s="1">
        <v>46.0</v>
      </c>
      <c r="BG131" s="1">
        <v>0.0</v>
      </c>
      <c r="BH131" s="1">
        <v>16.0</v>
      </c>
      <c r="BI131" s="1">
        <v>8.0</v>
      </c>
      <c r="BJ131" s="1">
        <v>0.0</v>
      </c>
      <c r="BO131" s="1" t="s">
        <v>1421</v>
      </c>
      <c r="BP131" s="1">
        <v>1.0</v>
      </c>
      <c r="BU131" s="1" t="s">
        <v>974</v>
      </c>
      <c r="BV131" s="1">
        <v>1.1</v>
      </c>
      <c r="BW131" s="1">
        <v>55.0</v>
      </c>
      <c r="BX131" s="1">
        <v>3601.046</v>
      </c>
      <c r="BY131" s="1">
        <v>6717.914</v>
      </c>
      <c r="BZ131" s="1">
        <v>8101.109</v>
      </c>
      <c r="CA131" s="1">
        <v>17670.332</v>
      </c>
      <c r="CB131" s="1">
        <v>329.5</v>
      </c>
      <c r="CC131" s="1">
        <v>0.022</v>
      </c>
      <c r="CD131" s="1">
        <v>652597.0</v>
      </c>
      <c r="CE131" s="1">
        <v>1500.0</v>
      </c>
      <c r="CF131" s="1">
        <v>168.0</v>
      </c>
      <c r="CG131" s="1">
        <v>2309354.0</v>
      </c>
      <c r="CH131" s="1">
        <v>33365.0</v>
      </c>
      <c r="CI131" s="1">
        <v>2.0</v>
      </c>
      <c r="CJ131" s="1">
        <v>98083.0</v>
      </c>
      <c r="CK131" s="1">
        <v>20.0</v>
      </c>
      <c r="CL131" s="1">
        <v>119960.0</v>
      </c>
      <c r="CM131" s="1">
        <v>44.0</v>
      </c>
      <c r="CN131" s="1">
        <v>1747967.0</v>
      </c>
      <c r="CO131" s="1">
        <v>68.0</v>
      </c>
      <c r="CP131" s="1">
        <v>284721.0</v>
      </c>
      <c r="CQ131" s="1">
        <v>6.0</v>
      </c>
      <c r="CR131" s="1">
        <v>0.0</v>
      </c>
      <c r="CS131" s="1">
        <v>0.0</v>
      </c>
      <c r="CT131" s="1">
        <v>25258.0</v>
      </c>
      <c r="CU131" s="1">
        <v>28.0</v>
      </c>
      <c r="CV131" s="1">
        <v>1504524.0</v>
      </c>
      <c r="CW131" s="1">
        <v>63.0</v>
      </c>
      <c r="DC131" s="1">
        <v>150.0</v>
      </c>
      <c r="DD131" s="1">
        <v>5075.0</v>
      </c>
      <c r="DE131" s="1">
        <v>0.0</v>
      </c>
      <c r="DF131" s="1">
        <v>3401.0</v>
      </c>
      <c r="DG131" s="1">
        <v>300.0</v>
      </c>
      <c r="DH131" s="1">
        <v>50518.0</v>
      </c>
      <c r="DI131" s="1">
        <v>1050.0</v>
      </c>
      <c r="DJ131" s="1">
        <v>593603.0</v>
      </c>
      <c r="DK131" s="1">
        <v>1511.338</v>
      </c>
      <c r="DL131" s="1" t="s">
        <v>975</v>
      </c>
      <c r="DM131" s="1">
        <v>2803.896</v>
      </c>
      <c r="DN131" s="1" t="s">
        <v>975</v>
      </c>
      <c r="DO131" s="1">
        <v>2309224.0</v>
      </c>
      <c r="DP131" s="1">
        <v>1.0</v>
      </c>
      <c r="DQ131" s="1" t="s">
        <v>976</v>
      </c>
      <c r="DR131" s="1" t="s">
        <v>1422</v>
      </c>
      <c r="DS131" s="1" t="s">
        <v>978</v>
      </c>
      <c r="DT131" s="1" t="s">
        <v>979</v>
      </c>
      <c r="DU131" s="1" t="s">
        <v>980</v>
      </c>
      <c r="DV131" s="1">
        <v>13697.0</v>
      </c>
      <c r="DX131" s="1">
        <v>3874.0</v>
      </c>
      <c r="DY131" s="1">
        <v>631927.0</v>
      </c>
      <c r="DZ131" s="1" t="s">
        <v>981</v>
      </c>
      <c r="EA131" s="1">
        <v>924.0</v>
      </c>
      <c r="EB131" s="1">
        <v>4453.0</v>
      </c>
      <c r="EC131" s="1">
        <v>0.0</v>
      </c>
      <c r="ED131" s="1">
        <v>26492.0</v>
      </c>
      <c r="EF131" s="1">
        <v>240.0</v>
      </c>
      <c r="EG131" s="1" t="s">
        <v>982</v>
      </c>
      <c r="EH131" s="1">
        <v>100.0</v>
      </c>
      <c r="EK131" s="1">
        <v>100.0</v>
      </c>
      <c r="EQ131" s="9" t="s">
        <v>1415</v>
      </c>
      <c r="ER131" s="21">
        <v>46045.29788194445</v>
      </c>
    </row>
    <row r="132">
      <c r="A132" s="9" t="s">
        <v>117</v>
      </c>
      <c r="B132" s="20" t="str">
        <f>IFERROR(__xludf.DUMMYFUNCTION("REGEXREPLACE(A132, ""^https?://[^/]+"", """")"),"/industries/legal/")</f>
        <v>/industries/legal/</v>
      </c>
      <c r="C132" s="1" t="s">
        <v>1423</v>
      </c>
      <c r="D132" s="1" t="s">
        <v>1424</v>
      </c>
      <c r="E132" s="1" t="s">
        <v>1425</v>
      </c>
      <c r="F132" s="1" t="s">
        <v>965</v>
      </c>
      <c r="G132" s="1">
        <v>200.0</v>
      </c>
      <c r="H132" s="1" t="s">
        <v>966</v>
      </c>
      <c r="I132" s="1" t="s">
        <v>967</v>
      </c>
      <c r="K132" s="1" t="s">
        <v>1426</v>
      </c>
      <c r="L132" s="1">
        <v>63.0</v>
      </c>
      <c r="M132" s="1">
        <v>558.0</v>
      </c>
      <c r="O132" s="1">
        <v>0.0</v>
      </c>
      <c r="P132" s="1">
        <v>0.0</v>
      </c>
      <c r="Q132" s="1" t="s">
        <v>1427</v>
      </c>
      <c r="R132" s="1">
        <v>162.0</v>
      </c>
      <c r="S132" s="1">
        <v>970.0</v>
      </c>
      <c r="U132" s="1">
        <v>0.0</v>
      </c>
      <c r="V132" s="1" t="s">
        <v>1423</v>
      </c>
      <c r="W132" s="1">
        <v>43.0</v>
      </c>
      <c r="Y132" s="1">
        <v>0.0</v>
      </c>
      <c r="Z132" s="1" t="s">
        <v>1424</v>
      </c>
      <c r="AA132" s="1">
        <v>42.0</v>
      </c>
      <c r="AB132" s="1" t="s">
        <v>1425</v>
      </c>
      <c r="AC132" s="1">
        <v>48.0</v>
      </c>
      <c r="AD132" s="1" t="s">
        <v>971</v>
      </c>
      <c r="AG132" s="9" t="s">
        <v>117</v>
      </c>
      <c r="AM132" s="1">
        <v>277954.0</v>
      </c>
      <c r="AN132" s="1">
        <v>91043.0</v>
      </c>
      <c r="AO132" s="1">
        <v>91043.0</v>
      </c>
      <c r="AP132" s="1">
        <v>34.877</v>
      </c>
      <c r="AR132" s="1">
        <v>1553.0</v>
      </c>
      <c r="AS132" s="1">
        <v>259.0</v>
      </c>
      <c r="AT132" s="1">
        <v>5.996</v>
      </c>
      <c r="AU132" s="1">
        <v>54.537</v>
      </c>
      <c r="AV132" s="1" t="s">
        <v>972</v>
      </c>
      <c r="AW132" s="1">
        <v>6.453</v>
      </c>
      <c r="AX132" s="1">
        <v>1.0</v>
      </c>
      <c r="AY132" s="1">
        <v>2.0</v>
      </c>
      <c r="AZ132" s="1">
        <v>51.0</v>
      </c>
      <c r="BA132" s="1">
        <v>2250.0</v>
      </c>
      <c r="BB132" s="1">
        <v>754.0</v>
      </c>
      <c r="BC132" s="1">
        <v>0.0</v>
      </c>
      <c r="BD132" s="1">
        <v>100.0</v>
      </c>
      <c r="BE132" s="1">
        <v>134.0</v>
      </c>
      <c r="BF132" s="1">
        <v>46.0</v>
      </c>
      <c r="BG132" s="1">
        <v>0.0</v>
      </c>
      <c r="BH132" s="1">
        <v>16.0</v>
      </c>
      <c r="BI132" s="1">
        <v>8.0</v>
      </c>
      <c r="BJ132" s="1">
        <v>0.0</v>
      </c>
      <c r="BO132" s="1" t="s">
        <v>1428</v>
      </c>
      <c r="BP132" s="1">
        <v>0.958</v>
      </c>
      <c r="BU132" s="1" t="s">
        <v>974</v>
      </c>
      <c r="BV132" s="1">
        <v>1.1</v>
      </c>
      <c r="BW132" s="1">
        <v>38.0</v>
      </c>
      <c r="BX132" s="1">
        <v>3301.009</v>
      </c>
      <c r="BY132" s="1">
        <v>8383.608</v>
      </c>
      <c r="BZ132" s="1">
        <v>10952.03</v>
      </c>
      <c r="CA132" s="1">
        <v>18880.629</v>
      </c>
      <c r="CB132" s="1">
        <v>1044.0</v>
      </c>
      <c r="CC132" s="1">
        <v>0.003</v>
      </c>
      <c r="CD132" s="1">
        <v>671655.0</v>
      </c>
      <c r="CE132" s="1">
        <v>1050.0</v>
      </c>
      <c r="CF132" s="1">
        <v>181.0</v>
      </c>
      <c r="CG132" s="1">
        <v>3143957.0</v>
      </c>
      <c r="CH132" s="1">
        <v>89259.0</v>
      </c>
      <c r="CI132" s="1">
        <v>2.0</v>
      </c>
      <c r="CJ132" s="1">
        <v>763005.0</v>
      </c>
      <c r="CK132" s="1">
        <v>28.0</v>
      </c>
      <c r="CL132" s="1">
        <v>126387.0</v>
      </c>
      <c r="CM132" s="1">
        <v>44.0</v>
      </c>
      <c r="CN132" s="1">
        <v>1791308.0</v>
      </c>
      <c r="CO132" s="1">
        <v>71.0</v>
      </c>
      <c r="CP132" s="1">
        <v>348809.0</v>
      </c>
      <c r="CQ132" s="1">
        <v>6.0</v>
      </c>
      <c r="CR132" s="1">
        <v>0.0</v>
      </c>
      <c r="CS132" s="1">
        <v>0.0</v>
      </c>
      <c r="CT132" s="1">
        <v>25189.0</v>
      </c>
      <c r="CU132" s="1">
        <v>30.0</v>
      </c>
      <c r="CV132" s="1">
        <v>1504775.0</v>
      </c>
      <c r="CW132" s="1">
        <v>78.0</v>
      </c>
      <c r="DC132" s="1">
        <v>0.0</v>
      </c>
      <c r="DD132" s="1">
        <v>5075.0</v>
      </c>
      <c r="DE132" s="1">
        <v>0.0</v>
      </c>
      <c r="DF132" s="1">
        <v>3396.0</v>
      </c>
      <c r="DG132" s="1">
        <v>150.0</v>
      </c>
      <c r="DH132" s="1">
        <v>50543.0</v>
      </c>
      <c r="DI132" s="1">
        <v>900.0</v>
      </c>
      <c r="DJ132" s="1">
        <v>612641.0</v>
      </c>
      <c r="DK132" s="1">
        <v>2989.13</v>
      </c>
      <c r="DL132" s="1" t="s">
        <v>975</v>
      </c>
      <c r="DM132" s="1">
        <v>5535.539</v>
      </c>
      <c r="DN132" s="1" t="s">
        <v>975</v>
      </c>
      <c r="DO132" s="1">
        <v>3143795.0</v>
      </c>
      <c r="DP132" s="1">
        <v>1.0</v>
      </c>
      <c r="DQ132" s="1" t="s">
        <v>976</v>
      </c>
      <c r="DR132" s="1" t="s">
        <v>1429</v>
      </c>
      <c r="DS132" s="1" t="s">
        <v>978</v>
      </c>
      <c r="DU132" s="1" t="s">
        <v>994</v>
      </c>
      <c r="DV132" s="1">
        <v>13547.0</v>
      </c>
      <c r="DX132" s="1">
        <v>4228.0</v>
      </c>
      <c r="DY132" s="1">
        <v>943407.0</v>
      </c>
      <c r="DZ132" s="1" t="s">
        <v>981</v>
      </c>
      <c r="EA132" s="1">
        <v>1181.0</v>
      </c>
      <c r="EB132" s="1">
        <v>499109.0</v>
      </c>
      <c r="EC132" s="1">
        <v>148.0</v>
      </c>
      <c r="ED132" s="1">
        <v>26492.0</v>
      </c>
      <c r="EF132" s="1">
        <v>225.0</v>
      </c>
      <c r="EG132" s="1" t="s">
        <v>982</v>
      </c>
      <c r="EH132" s="1">
        <v>100.0</v>
      </c>
      <c r="EK132" s="1">
        <v>100.0</v>
      </c>
      <c r="EQ132" s="9" t="s">
        <v>117</v>
      </c>
      <c r="ER132" s="21">
        <v>46045.29788194445</v>
      </c>
    </row>
    <row r="133">
      <c r="A133" s="9" t="s">
        <v>1430</v>
      </c>
      <c r="B133" s="20" t="str">
        <f>IFERROR(__xludf.DUMMYFUNCTION("REGEXREPLACE(A133, ""^https?://[^/]+"", """")"),"/wp-content/plugins/powerpack-elements/assets/lib/particles/particles.min.js?ver=2.0.0")</f>
        <v>/wp-content/plugins/powerpack-elements/assets/lib/particles/particles.min.js?ver=2.0.0</v>
      </c>
      <c r="F133" s="1" t="s">
        <v>984</v>
      </c>
      <c r="G133" s="1">
        <v>200.0</v>
      </c>
      <c r="H133" s="1" t="s">
        <v>966</v>
      </c>
      <c r="I133" s="1" t="s">
        <v>967</v>
      </c>
      <c r="L133" s="1">
        <v>0.0</v>
      </c>
      <c r="M133" s="1">
        <v>0.0</v>
      </c>
      <c r="O133" s="1">
        <v>0.0</v>
      </c>
      <c r="P133" s="1">
        <v>0.0</v>
      </c>
      <c r="R133" s="1">
        <v>0.0</v>
      </c>
      <c r="S133" s="1">
        <v>0.0</v>
      </c>
      <c r="U133" s="1">
        <v>0.0</v>
      </c>
      <c r="W133" s="1">
        <v>0.0</v>
      </c>
      <c r="Y133" s="1">
        <v>0.0</v>
      </c>
      <c r="AA133" s="1">
        <v>0.0</v>
      </c>
      <c r="AC133" s="1">
        <v>0.0</v>
      </c>
      <c r="AM133" s="1">
        <v>5959.0</v>
      </c>
      <c r="AN133" s="1">
        <v>5959.0</v>
      </c>
      <c r="AO133" s="1">
        <v>5959.0</v>
      </c>
      <c r="AP133" s="1">
        <v>2.283</v>
      </c>
      <c r="AR133" s="1">
        <v>0.0</v>
      </c>
      <c r="AW133" s="1">
        <v>0.0</v>
      </c>
      <c r="AX133" s="1">
        <v>1.0</v>
      </c>
      <c r="AY133" s="1">
        <v>6.0</v>
      </c>
      <c r="BA133" s="1">
        <v>0.0</v>
      </c>
      <c r="BB133" s="1">
        <v>0.0</v>
      </c>
      <c r="BC133" s="1">
        <v>0.0</v>
      </c>
      <c r="BD133" s="1">
        <v>0.0</v>
      </c>
      <c r="BE133" s="1">
        <v>0.0</v>
      </c>
      <c r="BF133" s="1">
        <v>0.0</v>
      </c>
      <c r="BG133" s="1">
        <v>0.0</v>
      </c>
      <c r="BH133" s="1">
        <v>0.0</v>
      </c>
      <c r="BI133" s="1">
        <v>0.0</v>
      </c>
      <c r="BJ133" s="1">
        <v>0.0</v>
      </c>
      <c r="BP133" s="1">
        <v>0.269</v>
      </c>
      <c r="BQ133" s="1" t="s">
        <v>1193</v>
      </c>
      <c r="BV133" s="1">
        <v>1.1</v>
      </c>
      <c r="EQ133" s="9" t="s">
        <v>1430</v>
      </c>
      <c r="ER133" s="21">
        <v>46045.29789351852</v>
      </c>
    </row>
    <row r="134">
      <c r="A134" s="9" t="s">
        <v>1431</v>
      </c>
      <c r="B134" s="20" t="str">
        <f>IFERROR(__xludf.DUMMYFUNCTION("REGEXREPLACE(A134, ""^https?://[^/]+"", """")"),"/industries/")</f>
        <v>/industries/</v>
      </c>
      <c r="C134" s="1" t="s">
        <v>1432</v>
      </c>
      <c r="D134" s="1" t="s">
        <v>1433</v>
      </c>
      <c r="E134" s="1" t="s">
        <v>1434</v>
      </c>
      <c r="F134" s="1" t="s">
        <v>965</v>
      </c>
      <c r="G134" s="1">
        <v>200.0</v>
      </c>
      <c r="H134" s="1" t="s">
        <v>966</v>
      </c>
      <c r="I134" s="1" t="s">
        <v>967</v>
      </c>
      <c r="K134" s="1" t="s">
        <v>1435</v>
      </c>
      <c r="L134" s="1">
        <v>59.0</v>
      </c>
      <c r="M134" s="1">
        <v>519.0</v>
      </c>
      <c r="O134" s="1">
        <v>0.0</v>
      </c>
      <c r="P134" s="1">
        <v>0.0</v>
      </c>
      <c r="Q134" s="1" t="s">
        <v>1436</v>
      </c>
      <c r="R134" s="1">
        <v>163.0</v>
      </c>
      <c r="S134" s="1">
        <v>1003.0</v>
      </c>
      <c r="U134" s="1">
        <v>0.0</v>
      </c>
      <c r="V134" s="1" t="s">
        <v>1432</v>
      </c>
      <c r="W134" s="1">
        <v>19.0</v>
      </c>
      <c r="Y134" s="1">
        <v>0.0</v>
      </c>
      <c r="Z134" s="1" t="s">
        <v>1433</v>
      </c>
      <c r="AA134" s="1">
        <v>38.0</v>
      </c>
      <c r="AB134" s="1" t="s">
        <v>1434</v>
      </c>
      <c r="AC134" s="1">
        <v>41.0</v>
      </c>
      <c r="AD134" s="1" t="s">
        <v>971</v>
      </c>
      <c r="AG134" s="9" t="s">
        <v>1431</v>
      </c>
      <c r="AM134" s="1">
        <v>7401565.0</v>
      </c>
      <c r="AN134" s="1">
        <v>5489716.0</v>
      </c>
      <c r="AO134" s="1">
        <v>5489716.0</v>
      </c>
      <c r="AP134" s="1">
        <v>2103.006</v>
      </c>
      <c r="AR134" s="1">
        <v>1496.0</v>
      </c>
      <c r="AS134" s="1">
        <v>267.0</v>
      </c>
      <c r="AT134" s="1">
        <v>5.603</v>
      </c>
      <c r="AU134" s="1">
        <v>59.036</v>
      </c>
      <c r="AV134" s="1" t="s">
        <v>972</v>
      </c>
      <c r="AW134" s="1">
        <v>5.277</v>
      </c>
      <c r="AX134" s="1">
        <v>1.0</v>
      </c>
      <c r="AY134" s="1">
        <v>1.0</v>
      </c>
      <c r="AZ134" s="1">
        <v>52.0</v>
      </c>
      <c r="BA134" s="1">
        <v>2248.0</v>
      </c>
      <c r="BB134" s="1">
        <v>754.0</v>
      </c>
      <c r="BC134" s="1">
        <v>0.0</v>
      </c>
      <c r="BD134" s="1">
        <v>100.0</v>
      </c>
      <c r="BE134" s="1">
        <v>164.0</v>
      </c>
      <c r="BF134" s="1">
        <v>53.0</v>
      </c>
      <c r="BG134" s="1">
        <v>0.0</v>
      </c>
      <c r="BH134" s="1">
        <v>23.0</v>
      </c>
      <c r="BI134" s="1">
        <v>15.0</v>
      </c>
      <c r="BJ134" s="1">
        <v>0.0</v>
      </c>
      <c r="BO134" s="1" t="s">
        <v>1437</v>
      </c>
      <c r="BP134" s="1">
        <v>3.446</v>
      </c>
      <c r="BU134" s="1" t="s">
        <v>974</v>
      </c>
      <c r="BV134" s="1">
        <v>1.1</v>
      </c>
      <c r="BW134" s="1">
        <v>25.0</v>
      </c>
      <c r="BX134" s="1">
        <v>29512.562</v>
      </c>
      <c r="BY134" s="1">
        <v>29512.562</v>
      </c>
      <c r="BZ134" s="1">
        <v>35117.473</v>
      </c>
      <c r="CA134" s="1">
        <v>45447.836</v>
      </c>
      <c r="CB134" s="1">
        <v>4577.0</v>
      </c>
      <c r="CC134" s="1">
        <v>0.0</v>
      </c>
      <c r="CD134" s="1">
        <v>653129.0</v>
      </c>
      <c r="CE134" s="1">
        <v>1210.0</v>
      </c>
      <c r="CF134" s="1">
        <v>203.0</v>
      </c>
      <c r="CG134" s="1">
        <v>8396230.0</v>
      </c>
      <c r="CH134" s="1">
        <v>5430237.0</v>
      </c>
      <c r="CI134" s="1">
        <v>2.0</v>
      </c>
      <c r="CJ134" s="1">
        <v>711486.0</v>
      </c>
      <c r="CK134" s="1">
        <v>41.0</v>
      </c>
      <c r="CL134" s="1">
        <v>132491.0</v>
      </c>
      <c r="CM134" s="1">
        <v>48.0</v>
      </c>
      <c r="CN134" s="1">
        <v>1777505.0</v>
      </c>
      <c r="CO134" s="1">
        <v>73.0</v>
      </c>
      <c r="CP134" s="1">
        <v>319394.0</v>
      </c>
      <c r="CQ134" s="1">
        <v>7.0</v>
      </c>
      <c r="CR134" s="1">
        <v>0.0</v>
      </c>
      <c r="CS134" s="1">
        <v>0.0</v>
      </c>
      <c r="CT134" s="1">
        <v>25117.0</v>
      </c>
      <c r="CU134" s="1">
        <v>32.0</v>
      </c>
      <c r="CV134" s="1">
        <v>1502588.0</v>
      </c>
      <c r="CW134" s="1">
        <v>84.0</v>
      </c>
      <c r="DC134" s="1">
        <v>0.0</v>
      </c>
      <c r="DD134" s="1">
        <v>5075.0</v>
      </c>
      <c r="DE134" s="1">
        <v>0.0</v>
      </c>
      <c r="DF134" s="1">
        <v>3396.0</v>
      </c>
      <c r="DG134" s="1">
        <v>300.0</v>
      </c>
      <c r="DH134" s="1">
        <v>50489.0</v>
      </c>
      <c r="DI134" s="1">
        <v>910.0</v>
      </c>
      <c r="DJ134" s="1">
        <v>594169.0</v>
      </c>
      <c r="DK134" s="1">
        <v>3348.578</v>
      </c>
      <c r="DL134" s="1" t="s">
        <v>975</v>
      </c>
      <c r="DM134" s="1">
        <v>8670.673</v>
      </c>
      <c r="DN134" s="1" t="s">
        <v>975</v>
      </c>
      <c r="DO134" s="1">
        <v>8396231.0</v>
      </c>
      <c r="DP134" s="1">
        <v>1.0</v>
      </c>
      <c r="DQ134" s="1" t="s">
        <v>976</v>
      </c>
      <c r="DR134" s="1" t="s">
        <v>1438</v>
      </c>
      <c r="DS134" s="1" t="s">
        <v>978</v>
      </c>
      <c r="DT134" s="1" t="s">
        <v>979</v>
      </c>
      <c r="DU134" s="1" t="s">
        <v>980</v>
      </c>
      <c r="DV134" s="1">
        <v>12945.0</v>
      </c>
      <c r="DX134" s="1">
        <v>8865.0</v>
      </c>
      <c r="DY134" s="1">
        <v>908769.0</v>
      </c>
      <c r="DZ134" s="1" t="s">
        <v>981</v>
      </c>
      <c r="EA134" s="1">
        <v>1343.0</v>
      </c>
      <c r="EB134" s="1">
        <v>479993.0</v>
      </c>
      <c r="EC134" s="1">
        <v>253.0</v>
      </c>
      <c r="ED134" s="1">
        <v>26492.0</v>
      </c>
      <c r="EF134" s="1">
        <v>245.0</v>
      </c>
      <c r="EG134" s="1" t="s">
        <v>982</v>
      </c>
      <c r="EH134" s="1">
        <v>100.0</v>
      </c>
      <c r="EK134" s="1">
        <v>100.0</v>
      </c>
      <c r="EQ134" s="9" t="s">
        <v>1431</v>
      </c>
      <c r="ER134" s="21">
        <v>46045.29783564815</v>
      </c>
    </row>
    <row r="135">
      <c r="A135" s="9" t="s">
        <v>1439</v>
      </c>
      <c r="B135" s="20" t="str">
        <f>IFERROR(__xludf.DUMMYFUNCTION("REGEXREPLACE(A135, ""^https?://[^/]+"", """")"),"/wp-content/plugins/elementor/assets/lib/font-awesome/css/regular.min.css?ver=5.15.3")</f>
        <v>/wp-content/plugins/elementor/assets/lib/font-awesome/css/regular.min.css?ver=5.15.3</v>
      </c>
      <c r="F135" s="1" t="s">
        <v>1016</v>
      </c>
      <c r="G135" s="1">
        <v>200.0</v>
      </c>
      <c r="H135" s="1" t="s">
        <v>966</v>
      </c>
      <c r="I135" s="1" t="s">
        <v>967</v>
      </c>
      <c r="L135" s="1">
        <v>0.0</v>
      </c>
      <c r="M135" s="1">
        <v>0.0</v>
      </c>
      <c r="O135" s="1">
        <v>0.0</v>
      </c>
      <c r="P135" s="1">
        <v>0.0</v>
      </c>
      <c r="R135" s="1">
        <v>0.0</v>
      </c>
      <c r="S135" s="1">
        <v>0.0</v>
      </c>
      <c r="U135" s="1">
        <v>0.0</v>
      </c>
      <c r="W135" s="1">
        <v>0.0</v>
      </c>
      <c r="Y135" s="1">
        <v>0.0</v>
      </c>
      <c r="AA135" s="1">
        <v>0.0</v>
      </c>
      <c r="AC135" s="1">
        <v>0.0</v>
      </c>
      <c r="AM135" s="1">
        <v>308.0</v>
      </c>
      <c r="AN135" s="1">
        <v>308.0</v>
      </c>
      <c r="AO135" s="1">
        <v>308.0</v>
      </c>
      <c r="AP135" s="1">
        <v>0.118</v>
      </c>
      <c r="AR135" s="1">
        <v>0.0</v>
      </c>
      <c r="AW135" s="1">
        <v>0.0</v>
      </c>
      <c r="AX135" s="1">
        <v>1.0</v>
      </c>
      <c r="AY135" s="1">
        <v>7.0</v>
      </c>
      <c r="BA135" s="1">
        <v>0.0</v>
      </c>
      <c r="BB135" s="1">
        <v>0.0</v>
      </c>
      <c r="BC135" s="1">
        <v>0.0</v>
      </c>
      <c r="BD135" s="1">
        <v>0.0</v>
      </c>
      <c r="BE135" s="1">
        <v>0.0</v>
      </c>
      <c r="BF135" s="1">
        <v>0.0</v>
      </c>
      <c r="BG135" s="1">
        <v>0.0</v>
      </c>
      <c r="BH135" s="1">
        <v>0.0</v>
      </c>
      <c r="BI135" s="1">
        <v>0.0</v>
      </c>
      <c r="BJ135" s="1">
        <v>0.0</v>
      </c>
      <c r="BP135" s="1">
        <v>0.251</v>
      </c>
      <c r="BQ135" s="1" t="s">
        <v>1017</v>
      </c>
      <c r="BV135" s="1">
        <v>1.1</v>
      </c>
      <c r="EQ135" s="9" t="s">
        <v>1439</v>
      </c>
      <c r="ER135" s="21">
        <v>46045.29790509259</v>
      </c>
    </row>
    <row r="136">
      <c r="A136" s="9" t="s">
        <v>1440</v>
      </c>
      <c r="B136" s="20" t="str">
        <f>IFERROR(__xludf.DUMMYFUNCTION("REGEXREPLACE(A136, ""^https?://[^/]+"", """")"),"/wp-content/plugins/elementor/assets/lib/eicons/css/elementor-icons.min.css?ver=5.45.0")</f>
        <v>/wp-content/plugins/elementor/assets/lib/eicons/css/elementor-icons.min.css?ver=5.45.0</v>
      </c>
      <c r="F136" s="1" t="s">
        <v>1016</v>
      </c>
      <c r="G136" s="1">
        <v>200.0</v>
      </c>
      <c r="H136" s="1" t="s">
        <v>966</v>
      </c>
      <c r="I136" s="1" t="s">
        <v>967</v>
      </c>
      <c r="L136" s="1">
        <v>0.0</v>
      </c>
      <c r="M136" s="1">
        <v>0.0</v>
      </c>
      <c r="O136" s="1">
        <v>0.0</v>
      </c>
      <c r="P136" s="1">
        <v>0.0</v>
      </c>
      <c r="R136" s="1">
        <v>0.0</v>
      </c>
      <c r="S136" s="1">
        <v>0.0</v>
      </c>
      <c r="U136" s="1">
        <v>0.0</v>
      </c>
      <c r="W136" s="1">
        <v>0.0</v>
      </c>
      <c r="Y136" s="1">
        <v>0.0</v>
      </c>
      <c r="AA136" s="1">
        <v>0.0</v>
      </c>
      <c r="AC136" s="1">
        <v>0.0</v>
      </c>
      <c r="AM136" s="1">
        <v>4384.0</v>
      </c>
      <c r="AN136" s="1">
        <v>4384.0</v>
      </c>
      <c r="AO136" s="1">
        <v>4384.0</v>
      </c>
      <c r="AP136" s="1">
        <v>1.679</v>
      </c>
      <c r="AR136" s="1">
        <v>0.0</v>
      </c>
      <c r="AW136" s="1">
        <v>0.0</v>
      </c>
      <c r="AX136" s="1">
        <v>1.0</v>
      </c>
      <c r="AY136" s="1">
        <v>7.0</v>
      </c>
      <c r="BA136" s="1">
        <v>0.0</v>
      </c>
      <c r="BB136" s="1">
        <v>0.0</v>
      </c>
      <c r="BC136" s="1">
        <v>0.0</v>
      </c>
      <c r="BD136" s="1">
        <v>0.0</v>
      </c>
      <c r="BE136" s="1">
        <v>0.0</v>
      </c>
      <c r="BF136" s="1">
        <v>0.0</v>
      </c>
      <c r="BG136" s="1">
        <v>0.0</v>
      </c>
      <c r="BH136" s="1">
        <v>0.0</v>
      </c>
      <c r="BI136" s="1">
        <v>0.0</v>
      </c>
      <c r="BJ136" s="1">
        <v>0.0</v>
      </c>
      <c r="BP136" s="1">
        <v>0.261</v>
      </c>
      <c r="BQ136" s="1" t="s">
        <v>1017</v>
      </c>
      <c r="BV136" s="1">
        <v>1.1</v>
      </c>
      <c r="EQ136" s="9" t="s">
        <v>1440</v>
      </c>
      <c r="ER136" s="21">
        <v>46045.29790509259</v>
      </c>
    </row>
    <row r="137">
      <c r="A137" s="9" t="s">
        <v>1441</v>
      </c>
      <c r="B137" s="20" t="str">
        <f>IFERROR(__xludf.DUMMYFUNCTION("REGEXREPLACE(A137, ""^https?://[^/]+"", """")"),"/cdn-cgi/scripts/5c5dd728/cloudflare-static/email-decode.min.js")</f>
        <v>/cdn-cgi/scripts/5c5dd728/cloudflare-static/email-decode.min.js</v>
      </c>
      <c r="F137" s="1" t="s">
        <v>984</v>
      </c>
      <c r="G137" s="1">
        <v>200.0</v>
      </c>
      <c r="H137" s="1" t="s">
        <v>966</v>
      </c>
      <c r="I137" s="1" t="s">
        <v>967</v>
      </c>
      <c r="L137" s="1">
        <v>0.0</v>
      </c>
      <c r="M137" s="1">
        <v>0.0</v>
      </c>
      <c r="O137" s="1">
        <v>0.0</v>
      </c>
      <c r="P137" s="1">
        <v>0.0</v>
      </c>
      <c r="R137" s="1">
        <v>0.0</v>
      </c>
      <c r="S137" s="1">
        <v>0.0</v>
      </c>
      <c r="U137" s="1">
        <v>0.0</v>
      </c>
      <c r="W137" s="1">
        <v>0.0</v>
      </c>
      <c r="Y137" s="1">
        <v>0.0</v>
      </c>
      <c r="AA137" s="1">
        <v>0.0</v>
      </c>
      <c r="AC137" s="1">
        <v>0.0</v>
      </c>
      <c r="AM137" s="1">
        <v>0.0</v>
      </c>
      <c r="AN137" s="1">
        <v>0.0</v>
      </c>
      <c r="AO137" s="1">
        <v>0.0</v>
      </c>
      <c r="AP137" s="1">
        <v>0.0</v>
      </c>
      <c r="AR137" s="1">
        <v>0.0</v>
      </c>
      <c r="AW137" s="1">
        <v>0.0</v>
      </c>
      <c r="AX137" s="1">
        <v>1.0</v>
      </c>
      <c r="AY137" s="1">
        <v>4.0</v>
      </c>
      <c r="BA137" s="1">
        <v>0.0</v>
      </c>
      <c r="BB137" s="1">
        <v>0.0</v>
      </c>
      <c r="BC137" s="1">
        <v>0.0</v>
      </c>
      <c r="BD137" s="1">
        <v>0.0</v>
      </c>
      <c r="BE137" s="1">
        <v>0.0</v>
      </c>
      <c r="BF137" s="1">
        <v>0.0</v>
      </c>
      <c r="BG137" s="1">
        <v>0.0</v>
      </c>
      <c r="BH137" s="1">
        <v>0.0</v>
      </c>
      <c r="BI137" s="1">
        <v>0.0</v>
      </c>
      <c r="BJ137" s="1">
        <v>0.0</v>
      </c>
      <c r="BP137" s="1">
        <v>0.026</v>
      </c>
      <c r="BV137" s="1">
        <v>1.1</v>
      </c>
      <c r="EQ137" s="9" t="s">
        <v>1441</v>
      </c>
      <c r="ER137" s="21">
        <v>46045.29790509259</v>
      </c>
    </row>
    <row r="138">
      <c r="A138" s="9" t="s">
        <v>1442</v>
      </c>
      <c r="B138" s="20" t="str">
        <f>IFERROR(__xludf.DUMMYFUNCTION("REGEXREPLACE(A138, ""^https?://[^/]+"", """")"),"/wp-content/uploads/2021/07/award-5.svg")</f>
        <v>/wp-content/uploads/2021/07/award-5.svg</v>
      </c>
      <c r="F138" s="1" t="s">
        <v>1391</v>
      </c>
      <c r="G138" s="1">
        <v>200.0</v>
      </c>
      <c r="H138" s="1" t="s">
        <v>966</v>
      </c>
      <c r="I138" s="1" t="s">
        <v>967</v>
      </c>
      <c r="L138" s="1">
        <v>0.0</v>
      </c>
      <c r="M138" s="1">
        <v>0.0</v>
      </c>
      <c r="O138" s="1">
        <v>0.0</v>
      </c>
      <c r="P138" s="1">
        <v>0.0</v>
      </c>
      <c r="R138" s="1">
        <v>0.0</v>
      </c>
      <c r="S138" s="1">
        <v>0.0</v>
      </c>
      <c r="U138" s="1">
        <v>0.0</v>
      </c>
      <c r="W138" s="1">
        <v>0.0</v>
      </c>
      <c r="Y138" s="1">
        <v>0.0</v>
      </c>
      <c r="AA138" s="1">
        <v>0.0</v>
      </c>
      <c r="AC138" s="1">
        <v>0.0</v>
      </c>
      <c r="AM138" s="1">
        <v>0.0</v>
      </c>
      <c r="AN138" s="1">
        <v>0.0</v>
      </c>
      <c r="AO138" s="1">
        <v>0.0</v>
      </c>
      <c r="AP138" s="1">
        <v>0.0</v>
      </c>
      <c r="AR138" s="1">
        <v>0.0</v>
      </c>
      <c r="AW138" s="1">
        <v>0.0</v>
      </c>
      <c r="AX138" s="1">
        <v>1.0</v>
      </c>
      <c r="AY138" s="1">
        <v>4.0</v>
      </c>
      <c r="BA138" s="1">
        <v>0.0</v>
      </c>
      <c r="BB138" s="1">
        <v>0.0</v>
      </c>
      <c r="BC138" s="1">
        <v>0.0</v>
      </c>
      <c r="BD138" s="1">
        <v>0.0</v>
      </c>
      <c r="BE138" s="1">
        <v>0.0</v>
      </c>
      <c r="BF138" s="1">
        <v>0.0</v>
      </c>
      <c r="BG138" s="1">
        <v>0.0</v>
      </c>
      <c r="BH138" s="1">
        <v>0.0</v>
      </c>
      <c r="BI138" s="1">
        <v>0.0</v>
      </c>
      <c r="BJ138" s="1">
        <v>0.0</v>
      </c>
      <c r="BP138" s="1">
        <v>0.264</v>
      </c>
      <c r="BQ138" s="1" t="s">
        <v>1443</v>
      </c>
      <c r="BV138" s="1">
        <v>1.1</v>
      </c>
      <c r="EQ138" s="9" t="s">
        <v>1442</v>
      </c>
      <c r="ER138" s="21">
        <v>46045.29790509259</v>
      </c>
    </row>
    <row r="139">
      <c r="A139" s="9" t="s">
        <v>1444</v>
      </c>
      <c r="B139" s="20" t="str">
        <f>IFERROR(__xludf.DUMMYFUNCTION("REGEXREPLACE(A139, ""^https?://[^/]+"", """")"),"/wp-content/plugins/powerpack-elements/assets/js/min/frontend-advanced-menu.min.js?ver=2.12.15")</f>
        <v>/wp-content/plugins/powerpack-elements/assets/js/min/frontend-advanced-menu.min.js?ver=2.12.15</v>
      </c>
      <c r="F139" s="1" t="s">
        <v>984</v>
      </c>
      <c r="G139" s="1">
        <v>200.0</v>
      </c>
      <c r="H139" s="1" t="s">
        <v>966</v>
      </c>
      <c r="I139" s="1" t="s">
        <v>967</v>
      </c>
      <c r="L139" s="1">
        <v>0.0</v>
      </c>
      <c r="M139" s="1">
        <v>0.0</v>
      </c>
      <c r="O139" s="1">
        <v>0.0</v>
      </c>
      <c r="P139" s="1">
        <v>0.0</v>
      </c>
      <c r="R139" s="1">
        <v>0.0</v>
      </c>
      <c r="S139" s="1">
        <v>0.0</v>
      </c>
      <c r="U139" s="1">
        <v>0.0</v>
      </c>
      <c r="W139" s="1">
        <v>0.0</v>
      </c>
      <c r="Y139" s="1">
        <v>0.0</v>
      </c>
      <c r="AA139" s="1">
        <v>0.0</v>
      </c>
      <c r="AC139" s="1">
        <v>0.0</v>
      </c>
      <c r="AM139" s="1">
        <v>2972.0</v>
      </c>
      <c r="AN139" s="1">
        <v>2972.0</v>
      </c>
      <c r="AO139" s="1">
        <v>2972.0</v>
      </c>
      <c r="AP139" s="1">
        <v>1.139</v>
      </c>
      <c r="AR139" s="1">
        <v>0.0</v>
      </c>
      <c r="AW139" s="1">
        <v>0.0</v>
      </c>
      <c r="AX139" s="1">
        <v>1.0</v>
      </c>
      <c r="AY139" s="1">
        <v>6.0</v>
      </c>
      <c r="BA139" s="1">
        <v>0.0</v>
      </c>
      <c r="BB139" s="1">
        <v>0.0</v>
      </c>
      <c r="BC139" s="1">
        <v>0.0</v>
      </c>
      <c r="BD139" s="1">
        <v>0.0</v>
      </c>
      <c r="BE139" s="1">
        <v>0.0</v>
      </c>
      <c r="BF139" s="1">
        <v>0.0</v>
      </c>
      <c r="BG139" s="1">
        <v>0.0</v>
      </c>
      <c r="BH139" s="1">
        <v>0.0</v>
      </c>
      <c r="BI139" s="1">
        <v>0.0</v>
      </c>
      <c r="BJ139" s="1">
        <v>0.0</v>
      </c>
      <c r="BP139" s="1">
        <v>0.26</v>
      </c>
      <c r="BQ139" s="1" t="s">
        <v>1193</v>
      </c>
      <c r="BV139" s="1">
        <v>1.1</v>
      </c>
      <c r="EQ139" s="9" t="s">
        <v>1444</v>
      </c>
      <c r="ER139" s="21">
        <v>46045.29790509259</v>
      </c>
    </row>
    <row r="140">
      <c r="A140" s="9" t="s">
        <v>1445</v>
      </c>
      <c r="B140" s="20" t="str">
        <f>IFERROR(__xludf.DUMMYFUNCTION("REGEXREPLACE(A140, ""^https?://[^/]+"", """")"),"/wp-content/plugins/powerpack-elements/assets/lib/smartmenu/jquery.smartmenus.min.js?ver=1.1.1")</f>
        <v>/wp-content/plugins/powerpack-elements/assets/lib/smartmenu/jquery.smartmenus.min.js?ver=1.1.1</v>
      </c>
      <c r="F140" s="1" t="s">
        <v>984</v>
      </c>
      <c r="G140" s="1">
        <v>200.0</v>
      </c>
      <c r="H140" s="1" t="s">
        <v>966</v>
      </c>
      <c r="I140" s="1" t="s">
        <v>967</v>
      </c>
      <c r="L140" s="1">
        <v>0.0</v>
      </c>
      <c r="M140" s="1">
        <v>0.0</v>
      </c>
      <c r="O140" s="1">
        <v>0.0</v>
      </c>
      <c r="P140" s="1">
        <v>0.0</v>
      </c>
      <c r="R140" s="1">
        <v>0.0</v>
      </c>
      <c r="S140" s="1">
        <v>0.0</v>
      </c>
      <c r="U140" s="1">
        <v>0.0</v>
      </c>
      <c r="W140" s="1">
        <v>0.0</v>
      </c>
      <c r="Y140" s="1">
        <v>0.0</v>
      </c>
      <c r="AA140" s="1">
        <v>0.0</v>
      </c>
      <c r="AC140" s="1">
        <v>0.0</v>
      </c>
      <c r="AM140" s="1">
        <v>7086.0</v>
      </c>
      <c r="AN140" s="1">
        <v>7086.0</v>
      </c>
      <c r="AO140" s="1">
        <v>7086.0</v>
      </c>
      <c r="AP140" s="1">
        <v>2.715</v>
      </c>
      <c r="AR140" s="1">
        <v>0.0</v>
      </c>
      <c r="AW140" s="1">
        <v>0.0</v>
      </c>
      <c r="AX140" s="1">
        <v>1.0</v>
      </c>
      <c r="AY140" s="1">
        <v>6.0</v>
      </c>
      <c r="BA140" s="1">
        <v>0.0</v>
      </c>
      <c r="BB140" s="1">
        <v>0.0</v>
      </c>
      <c r="BC140" s="1">
        <v>0.0</v>
      </c>
      <c r="BD140" s="1">
        <v>0.0</v>
      </c>
      <c r="BE140" s="1">
        <v>0.0</v>
      </c>
      <c r="BF140" s="1">
        <v>0.0</v>
      </c>
      <c r="BG140" s="1">
        <v>0.0</v>
      </c>
      <c r="BH140" s="1">
        <v>0.0</v>
      </c>
      <c r="BI140" s="1">
        <v>0.0</v>
      </c>
      <c r="BJ140" s="1">
        <v>0.0</v>
      </c>
      <c r="BP140" s="1">
        <v>0.273</v>
      </c>
      <c r="BQ140" s="1" t="s">
        <v>1193</v>
      </c>
      <c r="BV140" s="1">
        <v>1.1</v>
      </c>
      <c r="EQ140" s="9" t="s">
        <v>1445</v>
      </c>
      <c r="ER140" s="21">
        <v>46045.29790509259</v>
      </c>
    </row>
    <row r="141">
      <c r="A141" s="9" t="s">
        <v>1446</v>
      </c>
      <c r="B141" s="20" t="str">
        <f>IFERROR(__xludf.DUMMYFUNCTION("REGEXREPLACE(A141, ""^https?://[^/]+"", """")"),"/wp-content/uploads/2021/11/uk-map-972x1024.png")</f>
        <v>/wp-content/uploads/2021/11/uk-map-972x1024.png</v>
      </c>
      <c r="F141" s="1" t="s">
        <v>1047</v>
      </c>
      <c r="G141" s="1">
        <v>200.0</v>
      </c>
      <c r="H141" s="1" t="s">
        <v>966</v>
      </c>
      <c r="I141" s="1" t="s">
        <v>967</v>
      </c>
      <c r="L141" s="1">
        <v>0.0</v>
      </c>
      <c r="M141" s="1">
        <v>0.0</v>
      </c>
      <c r="O141" s="1">
        <v>0.0</v>
      </c>
      <c r="P141" s="1">
        <v>0.0</v>
      </c>
      <c r="R141" s="1">
        <v>0.0</v>
      </c>
      <c r="S141" s="1">
        <v>0.0</v>
      </c>
      <c r="U141" s="1">
        <v>0.0</v>
      </c>
      <c r="W141" s="1">
        <v>0.0</v>
      </c>
      <c r="Y141" s="1">
        <v>0.0</v>
      </c>
      <c r="AA141" s="1">
        <v>0.0</v>
      </c>
      <c r="AC141" s="1">
        <v>0.0</v>
      </c>
      <c r="AM141" s="1">
        <v>86971.0</v>
      </c>
      <c r="AN141" s="1">
        <v>86971.0</v>
      </c>
      <c r="AO141" s="1">
        <v>86971.0</v>
      </c>
      <c r="AP141" s="1">
        <v>33.317</v>
      </c>
      <c r="AR141" s="1">
        <v>0.0</v>
      </c>
      <c r="AW141" s="1">
        <v>0.0</v>
      </c>
      <c r="AX141" s="1">
        <v>1.0</v>
      </c>
      <c r="AY141" s="1">
        <v>4.0</v>
      </c>
      <c r="BA141" s="1">
        <v>0.0</v>
      </c>
      <c r="BB141" s="1">
        <v>0.0</v>
      </c>
      <c r="BC141" s="1">
        <v>0.0</v>
      </c>
      <c r="BD141" s="1">
        <v>0.0</v>
      </c>
      <c r="BE141" s="1">
        <v>0.0</v>
      </c>
      <c r="BF141" s="1">
        <v>0.0</v>
      </c>
      <c r="BG141" s="1">
        <v>0.0</v>
      </c>
      <c r="BH141" s="1">
        <v>0.0</v>
      </c>
      <c r="BI141" s="1">
        <v>0.0</v>
      </c>
      <c r="BJ141" s="1">
        <v>0.0</v>
      </c>
      <c r="BP141" s="1">
        <v>0.292</v>
      </c>
      <c r="BQ141" s="1" t="s">
        <v>1447</v>
      </c>
      <c r="BV141" s="1">
        <v>1.1</v>
      </c>
      <c r="EQ141" s="9" t="s">
        <v>1446</v>
      </c>
      <c r="ER141" s="21">
        <v>46045.29790509259</v>
      </c>
    </row>
    <row r="142">
      <c r="A142" s="9" t="s">
        <v>1448</v>
      </c>
      <c r="B142" s="20" t="str">
        <f>IFERROR(__xludf.DUMMYFUNCTION("REGEXREPLACE(A142, ""^https?://[^/]+"", """")"),"/wp-includes/js/jquery/jquery.min.js?ver=3.7.1")</f>
        <v>/wp-includes/js/jquery/jquery.min.js?ver=3.7.1</v>
      </c>
      <c r="F142" s="1" t="s">
        <v>984</v>
      </c>
      <c r="G142" s="1">
        <v>200.0</v>
      </c>
      <c r="H142" s="1" t="s">
        <v>966</v>
      </c>
      <c r="I142" s="1" t="s">
        <v>967</v>
      </c>
      <c r="L142" s="1">
        <v>0.0</v>
      </c>
      <c r="M142" s="1">
        <v>0.0</v>
      </c>
      <c r="O142" s="1">
        <v>0.0</v>
      </c>
      <c r="P142" s="1">
        <v>0.0</v>
      </c>
      <c r="R142" s="1">
        <v>0.0</v>
      </c>
      <c r="S142" s="1">
        <v>0.0</v>
      </c>
      <c r="U142" s="1">
        <v>0.0</v>
      </c>
      <c r="W142" s="1">
        <v>0.0</v>
      </c>
      <c r="Y142" s="1">
        <v>0.0</v>
      </c>
      <c r="AA142" s="1">
        <v>0.0</v>
      </c>
      <c r="AC142" s="1">
        <v>0.0</v>
      </c>
      <c r="AM142" s="1">
        <v>30368.0</v>
      </c>
      <c r="AN142" s="1">
        <v>30368.0</v>
      </c>
      <c r="AO142" s="1">
        <v>30368.0</v>
      </c>
      <c r="AP142" s="1">
        <v>11.633</v>
      </c>
      <c r="AR142" s="1">
        <v>0.0</v>
      </c>
      <c r="AW142" s="1">
        <v>0.0</v>
      </c>
      <c r="AX142" s="1">
        <v>1.0</v>
      </c>
      <c r="AY142" s="1">
        <v>3.0</v>
      </c>
      <c r="BA142" s="1">
        <v>0.0</v>
      </c>
      <c r="BB142" s="1">
        <v>0.0</v>
      </c>
      <c r="BC142" s="1">
        <v>0.0</v>
      </c>
      <c r="BD142" s="1">
        <v>0.0</v>
      </c>
      <c r="BE142" s="1">
        <v>0.0</v>
      </c>
      <c r="BF142" s="1">
        <v>0.0</v>
      </c>
      <c r="BG142" s="1">
        <v>0.0</v>
      </c>
      <c r="BH142" s="1">
        <v>0.0</v>
      </c>
      <c r="BI142" s="1">
        <v>0.0</v>
      </c>
      <c r="BJ142" s="1">
        <v>0.0</v>
      </c>
      <c r="BP142" s="1">
        <v>0.28</v>
      </c>
      <c r="BQ142" s="1" t="s">
        <v>1449</v>
      </c>
      <c r="BV142" s="1">
        <v>1.1</v>
      </c>
      <c r="EQ142" s="9" t="s">
        <v>1448</v>
      </c>
      <c r="ER142" s="21">
        <v>46045.29791666667</v>
      </c>
    </row>
    <row r="143">
      <c r="A143" s="9" t="s">
        <v>1450</v>
      </c>
      <c r="B143" s="20" t="str">
        <f>IFERROR(__xludf.DUMMYFUNCTION("REGEXREPLACE(A143, ""^https?://[^/]+"", """")"),"/wp-content/uploads/2025/04/logo-etk-1024x595.png")</f>
        <v>/wp-content/uploads/2025/04/logo-etk-1024x595.png</v>
      </c>
      <c r="F143" s="1" t="s">
        <v>1047</v>
      </c>
      <c r="G143" s="1">
        <v>200.0</v>
      </c>
      <c r="H143" s="1" t="s">
        <v>966</v>
      </c>
      <c r="I143" s="1" t="s">
        <v>967</v>
      </c>
      <c r="L143" s="1">
        <v>0.0</v>
      </c>
      <c r="M143" s="1">
        <v>0.0</v>
      </c>
      <c r="O143" s="1">
        <v>0.0</v>
      </c>
      <c r="P143" s="1">
        <v>0.0</v>
      </c>
      <c r="R143" s="1">
        <v>0.0</v>
      </c>
      <c r="S143" s="1">
        <v>0.0</v>
      </c>
      <c r="U143" s="1">
        <v>0.0</v>
      </c>
      <c r="W143" s="1">
        <v>0.0</v>
      </c>
      <c r="Y143" s="1">
        <v>0.0</v>
      </c>
      <c r="AA143" s="1">
        <v>0.0</v>
      </c>
      <c r="AC143" s="1">
        <v>0.0</v>
      </c>
      <c r="AM143" s="1">
        <v>65668.0</v>
      </c>
      <c r="AN143" s="1">
        <v>65668.0</v>
      </c>
      <c r="AO143" s="1">
        <v>65668.0</v>
      </c>
      <c r="AP143" s="1">
        <v>25.156</v>
      </c>
      <c r="AR143" s="1">
        <v>0.0</v>
      </c>
      <c r="AW143" s="1">
        <v>0.0</v>
      </c>
      <c r="AX143" s="1">
        <v>1.0</v>
      </c>
      <c r="AY143" s="1">
        <v>4.0</v>
      </c>
      <c r="BA143" s="1">
        <v>0.0</v>
      </c>
      <c r="BB143" s="1">
        <v>0.0</v>
      </c>
      <c r="BC143" s="1">
        <v>0.0</v>
      </c>
      <c r="BD143" s="1">
        <v>0.0</v>
      </c>
      <c r="BE143" s="1">
        <v>0.0</v>
      </c>
      <c r="BF143" s="1">
        <v>0.0</v>
      </c>
      <c r="BG143" s="1">
        <v>0.0</v>
      </c>
      <c r="BH143" s="1">
        <v>0.0</v>
      </c>
      <c r="BI143" s="1">
        <v>0.0</v>
      </c>
      <c r="BJ143" s="1">
        <v>0.0</v>
      </c>
      <c r="BP143" s="1">
        <v>0.279</v>
      </c>
      <c r="BQ143" s="1" t="s">
        <v>1451</v>
      </c>
      <c r="BV143" s="1">
        <v>1.1</v>
      </c>
      <c r="EQ143" s="9" t="s">
        <v>1450</v>
      </c>
      <c r="ER143" s="21">
        <v>46045.29791666667</v>
      </c>
    </row>
    <row r="144">
      <c r="A144" s="9" t="s">
        <v>1452</v>
      </c>
      <c r="B144" s="20" t="str">
        <f>IFERROR(__xludf.DUMMYFUNCTION("REGEXREPLACE(A144, ""^https?://[^/]+"", """")"),"/wp-content/uploads/2021/06/logo-sales-xceleration-300x68.png")</f>
        <v>/wp-content/uploads/2021/06/logo-sales-xceleration-300x68.png</v>
      </c>
      <c r="F144" s="1" t="s">
        <v>1047</v>
      </c>
      <c r="G144" s="1">
        <v>200.0</v>
      </c>
      <c r="H144" s="1" t="s">
        <v>966</v>
      </c>
      <c r="I144" s="1" t="s">
        <v>967</v>
      </c>
      <c r="L144" s="1">
        <v>0.0</v>
      </c>
      <c r="M144" s="1">
        <v>0.0</v>
      </c>
      <c r="O144" s="1">
        <v>0.0</v>
      </c>
      <c r="P144" s="1">
        <v>0.0</v>
      </c>
      <c r="R144" s="1">
        <v>0.0</v>
      </c>
      <c r="S144" s="1">
        <v>0.0</v>
      </c>
      <c r="U144" s="1">
        <v>0.0</v>
      </c>
      <c r="W144" s="1">
        <v>0.0</v>
      </c>
      <c r="Y144" s="1">
        <v>0.0</v>
      </c>
      <c r="AA144" s="1">
        <v>0.0</v>
      </c>
      <c r="AC144" s="1">
        <v>0.0</v>
      </c>
      <c r="AM144" s="1">
        <v>6454.0</v>
      </c>
      <c r="AN144" s="1">
        <v>6454.0</v>
      </c>
      <c r="AO144" s="1">
        <v>6454.0</v>
      </c>
      <c r="AP144" s="1">
        <v>2.472</v>
      </c>
      <c r="AR144" s="1">
        <v>0.0</v>
      </c>
      <c r="AW144" s="1">
        <v>0.0</v>
      </c>
      <c r="AX144" s="1">
        <v>1.0</v>
      </c>
      <c r="AY144" s="1">
        <v>4.0</v>
      </c>
      <c r="BA144" s="1">
        <v>0.0</v>
      </c>
      <c r="BB144" s="1">
        <v>0.0</v>
      </c>
      <c r="BC144" s="1">
        <v>0.0</v>
      </c>
      <c r="BD144" s="1">
        <v>0.0</v>
      </c>
      <c r="BE144" s="1">
        <v>0.0</v>
      </c>
      <c r="BF144" s="1">
        <v>0.0</v>
      </c>
      <c r="BG144" s="1">
        <v>0.0</v>
      </c>
      <c r="BH144" s="1">
        <v>0.0</v>
      </c>
      <c r="BI144" s="1">
        <v>0.0</v>
      </c>
      <c r="BJ144" s="1">
        <v>0.0</v>
      </c>
      <c r="BP144" s="1">
        <v>0.272</v>
      </c>
      <c r="BQ144" s="1" t="s">
        <v>1453</v>
      </c>
      <c r="BV144" s="1">
        <v>1.1</v>
      </c>
      <c r="EQ144" s="9" t="s">
        <v>1452</v>
      </c>
      <c r="ER144" s="21">
        <v>46045.29791666667</v>
      </c>
    </row>
    <row r="145">
      <c r="A145" s="9" t="s">
        <v>1454</v>
      </c>
      <c r="B145" s="20" t="str">
        <f>IFERROR(__xludf.DUMMYFUNCTION("REGEXREPLACE(A145, ""^https?://[^/]+"", """")"),"/sales-xcelerators-peer-group/")</f>
        <v>/sales-xcelerators-peer-group/</v>
      </c>
      <c r="C145" s="1" t="s">
        <v>1455</v>
      </c>
      <c r="F145" s="1" t="s">
        <v>965</v>
      </c>
      <c r="G145" s="1">
        <v>200.0</v>
      </c>
      <c r="H145" s="1" t="s">
        <v>966</v>
      </c>
      <c r="I145" s="1" t="s">
        <v>967</v>
      </c>
      <c r="K145" s="1" t="s">
        <v>1456</v>
      </c>
      <c r="L145" s="1">
        <v>48.0</v>
      </c>
      <c r="M145" s="1">
        <v>434.0</v>
      </c>
      <c r="O145" s="1">
        <v>0.0</v>
      </c>
      <c r="P145" s="1">
        <v>0.0</v>
      </c>
      <c r="Q145" s="1" t="s">
        <v>1457</v>
      </c>
      <c r="R145" s="1">
        <v>82.0</v>
      </c>
      <c r="S145" s="1">
        <v>485.0</v>
      </c>
      <c r="U145" s="1">
        <v>0.0</v>
      </c>
      <c r="V145" s="1" t="s">
        <v>1455</v>
      </c>
      <c r="W145" s="1">
        <v>28.0</v>
      </c>
      <c r="Y145" s="1">
        <v>0.0</v>
      </c>
      <c r="AA145" s="1">
        <v>0.0</v>
      </c>
      <c r="AC145" s="1">
        <v>0.0</v>
      </c>
      <c r="AD145" s="1" t="s">
        <v>971</v>
      </c>
      <c r="AG145" s="9" t="s">
        <v>1454</v>
      </c>
      <c r="AM145" s="1">
        <v>147379.0</v>
      </c>
      <c r="AN145" s="1">
        <v>28026.0</v>
      </c>
      <c r="AO145" s="1">
        <v>28026.0</v>
      </c>
      <c r="AP145" s="1">
        <v>10.736</v>
      </c>
      <c r="AR145" s="1">
        <v>548.0</v>
      </c>
      <c r="AS145" s="1">
        <v>94.0</v>
      </c>
      <c r="AT145" s="1">
        <v>5.83</v>
      </c>
      <c r="AU145" s="1">
        <v>61.822</v>
      </c>
      <c r="AV145" s="1" t="s">
        <v>990</v>
      </c>
      <c r="AW145" s="1">
        <v>3.903</v>
      </c>
      <c r="AX145" s="1">
        <v>1.0</v>
      </c>
      <c r="AY145" s="1">
        <v>1.0</v>
      </c>
      <c r="AZ145" s="1">
        <v>47.0</v>
      </c>
      <c r="BA145" s="1">
        <v>747.0</v>
      </c>
      <c r="BB145" s="1">
        <v>747.0</v>
      </c>
      <c r="BC145" s="1">
        <v>0.0</v>
      </c>
      <c r="BD145" s="1">
        <v>99.07</v>
      </c>
      <c r="BE145" s="1">
        <v>122.0</v>
      </c>
      <c r="BF145" s="1">
        <v>42.0</v>
      </c>
      <c r="BG145" s="1">
        <v>0.0</v>
      </c>
      <c r="BH145" s="1">
        <v>17.0</v>
      </c>
      <c r="BI145" s="1">
        <v>9.0</v>
      </c>
      <c r="BJ145" s="1">
        <v>0.0</v>
      </c>
      <c r="BO145" s="1" t="s">
        <v>1458</v>
      </c>
      <c r="BP145" s="1">
        <v>0.919</v>
      </c>
      <c r="BU145" s="1" t="s">
        <v>974</v>
      </c>
      <c r="BV145" s="1">
        <v>1.1</v>
      </c>
      <c r="BW145" s="1">
        <v>55.0</v>
      </c>
      <c r="BX145" s="1">
        <v>3901.03</v>
      </c>
      <c r="BY145" s="1">
        <v>7506.801</v>
      </c>
      <c r="BZ145" s="1">
        <v>6001.047</v>
      </c>
      <c r="CA145" s="1">
        <v>18336.482</v>
      </c>
      <c r="CB145" s="1">
        <v>350.5</v>
      </c>
      <c r="CC145" s="1">
        <v>0.0</v>
      </c>
      <c r="CD145" s="1">
        <v>652577.0</v>
      </c>
      <c r="CE145" s="1">
        <v>1200.0</v>
      </c>
      <c r="CF145" s="1">
        <v>166.0</v>
      </c>
      <c r="CG145" s="1">
        <v>2275425.0</v>
      </c>
      <c r="CH145" s="1">
        <v>29408.0</v>
      </c>
      <c r="CI145" s="1">
        <v>2.0</v>
      </c>
      <c r="CJ145" s="1">
        <v>97047.0</v>
      </c>
      <c r="CK145" s="1">
        <v>26.0</v>
      </c>
      <c r="CL145" s="1">
        <v>110427.0</v>
      </c>
      <c r="CM145" s="1">
        <v>37.0</v>
      </c>
      <c r="CN145" s="1">
        <v>1747308.0</v>
      </c>
      <c r="CO145" s="1">
        <v>67.0</v>
      </c>
      <c r="CP145" s="1">
        <v>266199.0</v>
      </c>
      <c r="CQ145" s="1">
        <v>6.0</v>
      </c>
      <c r="CR145" s="1">
        <v>0.0</v>
      </c>
      <c r="CS145" s="1">
        <v>0.0</v>
      </c>
      <c r="CT145" s="1">
        <v>25036.0</v>
      </c>
      <c r="CU145" s="1">
        <v>28.0</v>
      </c>
      <c r="CV145" s="1">
        <v>1528021.0</v>
      </c>
      <c r="CW145" s="1">
        <v>68.0</v>
      </c>
      <c r="DC145" s="1">
        <v>150.0</v>
      </c>
      <c r="DD145" s="1">
        <v>5075.0</v>
      </c>
      <c r="DE145" s="1">
        <v>0.0</v>
      </c>
      <c r="DF145" s="1">
        <v>3396.0</v>
      </c>
      <c r="DG145" s="1">
        <v>450.0</v>
      </c>
      <c r="DH145" s="1">
        <v>50541.0</v>
      </c>
      <c r="DI145" s="1">
        <v>600.0</v>
      </c>
      <c r="DJ145" s="1">
        <v>593565.0</v>
      </c>
      <c r="DK145" s="1">
        <v>1664.416</v>
      </c>
      <c r="DL145" s="1" t="s">
        <v>975</v>
      </c>
      <c r="DM145" s="1">
        <v>2886.784</v>
      </c>
      <c r="DN145" s="1" t="s">
        <v>975</v>
      </c>
      <c r="DO145" s="1">
        <v>2275343.0</v>
      </c>
      <c r="DP145" s="1">
        <v>1.0</v>
      </c>
      <c r="DQ145" s="1" t="s">
        <v>976</v>
      </c>
      <c r="DR145" s="1" t="s">
        <v>1142</v>
      </c>
      <c r="DS145" s="1" t="s">
        <v>978</v>
      </c>
      <c r="DU145" s="1" t="s">
        <v>994</v>
      </c>
      <c r="DV145" s="1">
        <v>12971.0</v>
      </c>
      <c r="DX145" s="1">
        <v>3777.0</v>
      </c>
      <c r="DY145" s="1">
        <v>610638.0</v>
      </c>
      <c r="DZ145" s="1" t="s">
        <v>981</v>
      </c>
      <c r="EA145" s="1">
        <v>767.0</v>
      </c>
      <c r="EB145" s="1">
        <v>39781.0</v>
      </c>
      <c r="EC145" s="1">
        <v>1.0</v>
      </c>
      <c r="ED145" s="1">
        <v>26492.0</v>
      </c>
      <c r="EF145" s="1">
        <v>300.0</v>
      </c>
      <c r="EG145" s="1" t="s">
        <v>982</v>
      </c>
      <c r="EH145" s="1">
        <v>100.0</v>
      </c>
      <c r="EK145" s="1">
        <v>100.0</v>
      </c>
      <c r="EQ145" s="9" t="s">
        <v>1454</v>
      </c>
      <c r="ER145" s="21">
        <v>46045.29790509259</v>
      </c>
    </row>
    <row r="146">
      <c r="A146" s="9" t="s">
        <v>1459</v>
      </c>
      <c r="B146" s="20" t="str">
        <f>IFERROR(__xludf.DUMMYFUNCTION("REGEXREPLACE(A146, ""^https?://[^/]+"", """")"),"/find-a-consultant/")</f>
        <v>/find-a-consultant/</v>
      </c>
      <c r="C146" s="1" t="s">
        <v>1460</v>
      </c>
      <c r="F146" s="1" t="s">
        <v>965</v>
      </c>
      <c r="G146" s="1">
        <v>200.0</v>
      </c>
      <c r="H146" s="1" t="s">
        <v>966</v>
      </c>
      <c r="I146" s="1" t="s">
        <v>967</v>
      </c>
      <c r="K146" s="1" t="s">
        <v>1461</v>
      </c>
      <c r="L146" s="1">
        <v>70.0</v>
      </c>
      <c r="M146" s="1">
        <v>636.0</v>
      </c>
      <c r="O146" s="1">
        <v>0.0</v>
      </c>
      <c r="P146" s="1">
        <v>0.0</v>
      </c>
      <c r="Q146" s="1" t="s">
        <v>1462</v>
      </c>
      <c r="R146" s="1">
        <v>132.0</v>
      </c>
      <c r="S146" s="1">
        <v>834.0</v>
      </c>
      <c r="U146" s="1">
        <v>0.0</v>
      </c>
      <c r="V146" s="1" t="s">
        <v>1460</v>
      </c>
      <c r="W146" s="1">
        <v>33.0</v>
      </c>
      <c r="Y146" s="1">
        <v>0.0</v>
      </c>
      <c r="AA146" s="1">
        <v>0.0</v>
      </c>
      <c r="AC146" s="1">
        <v>0.0</v>
      </c>
      <c r="AD146" s="1" t="s">
        <v>971</v>
      </c>
      <c r="AG146" s="9" t="s">
        <v>1459</v>
      </c>
      <c r="AM146" s="1">
        <v>148465.0</v>
      </c>
      <c r="AN146" s="1">
        <v>28733.0</v>
      </c>
      <c r="AO146" s="1">
        <v>28733.0</v>
      </c>
      <c r="AP146" s="1">
        <v>11.007</v>
      </c>
      <c r="AR146" s="1">
        <v>627.0</v>
      </c>
      <c r="AS146" s="1">
        <v>102.0</v>
      </c>
      <c r="AT146" s="1">
        <v>6.147</v>
      </c>
      <c r="AU146" s="1">
        <v>60.135</v>
      </c>
      <c r="AV146" s="1" t="s">
        <v>990</v>
      </c>
      <c r="AW146" s="1">
        <v>4.235</v>
      </c>
      <c r="AX146" s="1">
        <v>1.0</v>
      </c>
      <c r="AY146" s="1">
        <v>1.0</v>
      </c>
      <c r="AZ146" s="1">
        <v>51.0</v>
      </c>
      <c r="BA146" s="1">
        <v>5310.0</v>
      </c>
      <c r="BB146" s="1">
        <v>754.0</v>
      </c>
      <c r="BC146" s="1">
        <v>0.0</v>
      </c>
      <c r="BD146" s="1">
        <v>100.0</v>
      </c>
      <c r="BE146" s="1">
        <v>123.0</v>
      </c>
      <c r="BF146" s="1">
        <v>42.0</v>
      </c>
      <c r="BG146" s="1">
        <v>0.0</v>
      </c>
      <c r="BH146" s="1">
        <v>16.0</v>
      </c>
      <c r="BI146" s="1">
        <v>8.0</v>
      </c>
      <c r="BJ146" s="1">
        <v>0.0</v>
      </c>
      <c r="BO146" s="1" t="s">
        <v>1463</v>
      </c>
      <c r="BP146" s="1">
        <v>0.909</v>
      </c>
      <c r="BU146" s="1" t="s">
        <v>974</v>
      </c>
      <c r="BV146" s="1">
        <v>1.1</v>
      </c>
      <c r="BW146" s="1">
        <v>45.0</v>
      </c>
      <c r="BX146" s="1">
        <v>3451.018</v>
      </c>
      <c r="BY146" s="1">
        <v>9145.699</v>
      </c>
      <c r="BZ146" s="1">
        <v>7801.043</v>
      </c>
      <c r="CA146" s="1">
        <v>24197.824</v>
      </c>
      <c r="CB146" s="1">
        <v>617.5</v>
      </c>
      <c r="CC146" s="1">
        <v>0.0</v>
      </c>
      <c r="CD146" s="1">
        <v>1134306.0</v>
      </c>
      <c r="CE146" s="1">
        <v>1050.0</v>
      </c>
      <c r="CF146" s="1">
        <v>185.0</v>
      </c>
      <c r="CG146" s="1">
        <v>3510460.0</v>
      </c>
      <c r="CH146" s="1">
        <v>30903.0</v>
      </c>
      <c r="CI146" s="1">
        <v>4.0</v>
      </c>
      <c r="CJ146" s="1">
        <v>145436.0</v>
      </c>
      <c r="CK146" s="1">
        <v>20.0</v>
      </c>
      <c r="CL146" s="1">
        <v>160496.0</v>
      </c>
      <c r="CM146" s="1">
        <v>41.0</v>
      </c>
      <c r="CN146" s="1">
        <v>2787043.0</v>
      </c>
      <c r="CO146" s="1">
        <v>79.0</v>
      </c>
      <c r="CP146" s="1">
        <v>350690.0</v>
      </c>
      <c r="CQ146" s="1">
        <v>8.0</v>
      </c>
      <c r="CR146" s="1">
        <v>0.0</v>
      </c>
      <c r="CS146" s="1">
        <v>0.0</v>
      </c>
      <c r="CT146" s="1">
        <v>35892.0</v>
      </c>
      <c r="CU146" s="1">
        <v>33.0</v>
      </c>
      <c r="CV146" s="1">
        <v>2746908.0</v>
      </c>
      <c r="CW146" s="1">
        <v>91.0</v>
      </c>
      <c r="DC146" s="1">
        <v>0.0</v>
      </c>
      <c r="DD146" s="1">
        <v>5075.0</v>
      </c>
      <c r="DE146" s="1">
        <v>0.0</v>
      </c>
      <c r="DF146" s="1">
        <v>3396.0</v>
      </c>
      <c r="DG146" s="1">
        <v>150.0</v>
      </c>
      <c r="DH146" s="1">
        <v>90633.0</v>
      </c>
      <c r="DI146" s="1">
        <v>900.0</v>
      </c>
      <c r="DJ146" s="1">
        <v>1035202.0</v>
      </c>
      <c r="DK146" s="1">
        <v>2374.109</v>
      </c>
      <c r="DL146" s="1" t="s">
        <v>975</v>
      </c>
      <c r="DM146" s="1">
        <v>3973.128</v>
      </c>
      <c r="DN146" s="1" t="s">
        <v>975</v>
      </c>
      <c r="DO146" s="1">
        <v>3510378.0</v>
      </c>
      <c r="DP146" s="1">
        <v>2.0</v>
      </c>
      <c r="DQ146" s="1" t="s">
        <v>976</v>
      </c>
      <c r="DR146" s="1" t="s">
        <v>1464</v>
      </c>
      <c r="DS146" s="1" t="s">
        <v>978</v>
      </c>
      <c r="DT146" s="1" t="s">
        <v>979</v>
      </c>
      <c r="DU146" s="1" t="s">
        <v>980</v>
      </c>
      <c r="DV146" s="1">
        <v>12641.0</v>
      </c>
      <c r="DW146" s="1">
        <v>313.0</v>
      </c>
      <c r="DX146" s="1">
        <v>3873.0</v>
      </c>
      <c r="DY146" s="1">
        <v>953481.0</v>
      </c>
      <c r="DZ146" s="1" t="s">
        <v>981</v>
      </c>
      <c r="EA146" s="1">
        <v>777.0</v>
      </c>
      <c r="EB146" s="1">
        <v>4453.0</v>
      </c>
      <c r="EC146" s="1">
        <v>1.0</v>
      </c>
      <c r="ED146" s="1">
        <v>26492.0</v>
      </c>
      <c r="EF146" s="1">
        <v>365.0</v>
      </c>
      <c r="EG146" s="1" t="s">
        <v>1465</v>
      </c>
      <c r="EH146" s="1">
        <v>100.0</v>
      </c>
      <c r="EK146" s="1">
        <v>100.0</v>
      </c>
      <c r="EQ146" s="9" t="s">
        <v>1459</v>
      </c>
      <c r="ER146" s="21">
        <v>46045.29790509259</v>
      </c>
    </row>
    <row r="147">
      <c r="A147" s="9" t="s">
        <v>1466</v>
      </c>
      <c r="B147" s="20" t="str">
        <f>IFERROR(__xludf.DUMMYFUNCTION("REGEXREPLACE(A147, ""^https?://[^/]+"", """")"),"/wp-content/themes/salesxceleratione/assets/css/style.css?ver=1769123313")</f>
        <v>/wp-content/themes/salesxceleratione/assets/css/style.css?ver=1769123313</v>
      </c>
      <c r="F147" s="1" t="s">
        <v>1016</v>
      </c>
      <c r="G147" s="1">
        <v>200.0</v>
      </c>
      <c r="H147" s="1" t="s">
        <v>966</v>
      </c>
      <c r="I147" s="1" t="s">
        <v>967</v>
      </c>
      <c r="L147" s="1">
        <v>0.0</v>
      </c>
      <c r="M147" s="1">
        <v>0.0</v>
      </c>
      <c r="O147" s="1">
        <v>0.0</v>
      </c>
      <c r="P147" s="1">
        <v>0.0</v>
      </c>
      <c r="R147" s="1">
        <v>0.0</v>
      </c>
      <c r="S147" s="1">
        <v>0.0</v>
      </c>
      <c r="U147" s="1">
        <v>0.0</v>
      </c>
      <c r="W147" s="1">
        <v>0.0</v>
      </c>
      <c r="Y147" s="1">
        <v>0.0</v>
      </c>
      <c r="AA147" s="1">
        <v>0.0</v>
      </c>
      <c r="AC147" s="1">
        <v>0.0</v>
      </c>
      <c r="AM147" s="1">
        <v>17704.0</v>
      </c>
      <c r="AN147" s="1">
        <v>17704.0</v>
      </c>
      <c r="AO147" s="1">
        <v>17704.0</v>
      </c>
      <c r="AP147" s="1">
        <v>6.782</v>
      </c>
      <c r="AR147" s="1">
        <v>0.0</v>
      </c>
      <c r="AW147" s="1">
        <v>0.0</v>
      </c>
      <c r="AX147" s="1">
        <v>2.0</v>
      </c>
      <c r="AY147" s="1">
        <v>5.0</v>
      </c>
      <c r="BA147" s="1">
        <v>0.0</v>
      </c>
      <c r="BB147" s="1">
        <v>0.0</v>
      </c>
      <c r="BC147" s="1">
        <v>0.0</v>
      </c>
      <c r="BD147" s="1">
        <v>0.0</v>
      </c>
      <c r="BE147" s="1">
        <v>0.0</v>
      </c>
      <c r="BF147" s="1">
        <v>0.0</v>
      </c>
      <c r="BG147" s="1">
        <v>0.0</v>
      </c>
      <c r="BH147" s="1">
        <v>0.0</v>
      </c>
      <c r="BI147" s="1">
        <v>0.0</v>
      </c>
      <c r="BJ147" s="1">
        <v>0.0</v>
      </c>
      <c r="BP147" s="1">
        <v>0.271</v>
      </c>
      <c r="BQ147" s="1" t="s">
        <v>1467</v>
      </c>
      <c r="BV147" s="1">
        <v>1.1</v>
      </c>
      <c r="EQ147" s="9" t="s">
        <v>1466</v>
      </c>
      <c r="ER147" s="21">
        <v>46045.29791666667</v>
      </c>
    </row>
    <row r="148">
      <c r="A148" s="9" t="s">
        <v>1468</v>
      </c>
      <c r="B148" s="20" t="str">
        <f>IFERROR(__xludf.DUMMYFUNCTION("REGEXREPLACE(A148, ""^https?://[^/]+"", """")"),"/wp-content/uploads/2025/12/Comp-Plan-Error-1024x683.jpg")</f>
        <v>/wp-content/uploads/2025/12/Comp-Plan-Error-1024x683.jpg</v>
      </c>
      <c r="F148" s="1" t="s">
        <v>1004</v>
      </c>
      <c r="G148" s="1">
        <v>200.0</v>
      </c>
      <c r="H148" s="1" t="s">
        <v>966</v>
      </c>
      <c r="I148" s="1" t="s">
        <v>967</v>
      </c>
      <c r="L148" s="1">
        <v>0.0</v>
      </c>
      <c r="M148" s="1">
        <v>0.0</v>
      </c>
      <c r="O148" s="1">
        <v>0.0</v>
      </c>
      <c r="P148" s="1">
        <v>0.0</v>
      </c>
      <c r="R148" s="1">
        <v>0.0</v>
      </c>
      <c r="S148" s="1">
        <v>0.0</v>
      </c>
      <c r="U148" s="1">
        <v>0.0</v>
      </c>
      <c r="W148" s="1">
        <v>0.0</v>
      </c>
      <c r="Y148" s="1">
        <v>0.0</v>
      </c>
      <c r="AA148" s="1">
        <v>0.0</v>
      </c>
      <c r="AC148" s="1">
        <v>0.0</v>
      </c>
      <c r="AM148" s="1">
        <v>68997.0</v>
      </c>
      <c r="AN148" s="1">
        <v>68997.0</v>
      </c>
      <c r="AO148" s="1">
        <v>68997.0</v>
      </c>
      <c r="AP148" s="1">
        <v>26.431</v>
      </c>
      <c r="AR148" s="1">
        <v>0.0</v>
      </c>
      <c r="AW148" s="1">
        <v>0.0</v>
      </c>
      <c r="AX148" s="1">
        <v>2.0</v>
      </c>
      <c r="AY148" s="1">
        <v>4.0</v>
      </c>
      <c r="BA148" s="1">
        <v>0.0</v>
      </c>
      <c r="BB148" s="1">
        <v>0.0</v>
      </c>
      <c r="BC148" s="1">
        <v>0.0</v>
      </c>
      <c r="BD148" s="1">
        <v>0.0</v>
      </c>
      <c r="BE148" s="1">
        <v>0.0</v>
      </c>
      <c r="BF148" s="1">
        <v>0.0</v>
      </c>
      <c r="BG148" s="1">
        <v>0.0</v>
      </c>
      <c r="BH148" s="1">
        <v>0.0</v>
      </c>
      <c r="BI148" s="1">
        <v>0.0</v>
      </c>
      <c r="BJ148" s="1">
        <v>0.0</v>
      </c>
      <c r="BP148" s="1">
        <v>0.254</v>
      </c>
      <c r="BQ148" s="1" t="s">
        <v>1469</v>
      </c>
      <c r="BV148" s="1">
        <v>1.1</v>
      </c>
      <c r="EQ148" s="9" t="s">
        <v>1468</v>
      </c>
      <c r="ER148" s="21">
        <v>46045.29791666667</v>
      </c>
    </row>
    <row r="149">
      <c r="A149" s="9" t="s">
        <v>1470</v>
      </c>
      <c r="B149" s="20" t="str">
        <f>IFERROR(__xludf.DUMMYFUNCTION("REGEXREPLACE(A149, ""^https?://[^/]+"", """")"),"/wp-content/uploads/2025/12/Salespeople-in-Seats.jpg")</f>
        <v>/wp-content/uploads/2025/12/Salespeople-in-Seats.jpg</v>
      </c>
      <c r="F149" s="1" t="s">
        <v>1004</v>
      </c>
      <c r="G149" s="1">
        <v>200.0</v>
      </c>
      <c r="H149" s="1" t="s">
        <v>966</v>
      </c>
      <c r="I149" s="1" t="s">
        <v>967</v>
      </c>
      <c r="L149" s="1">
        <v>0.0</v>
      </c>
      <c r="M149" s="1">
        <v>0.0</v>
      </c>
      <c r="O149" s="1">
        <v>0.0</v>
      </c>
      <c r="P149" s="1">
        <v>0.0</v>
      </c>
      <c r="R149" s="1">
        <v>0.0</v>
      </c>
      <c r="S149" s="1">
        <v>0.0</v>
      </c>
      <c r="U149" s="1">
        <v>0.0</v>
      </c>
      <c r="W149" s="1">
        <v>0.0</v>
      </c>
      <c r="Y149" s="1">
        <v>0.0</v>
      </c>
      <c r="AA149" s="1">
        <v>0.0</v>
      </c>
      <c r="AC149" s="1">
        <v>0.0</v>
      </c>
      <c r="AM149" s="1">
        <v>143026.0</v>
      </c>
      <c r="AN149" s="1">
        <v>143026.0</v>
      </c>
      <c r="AO149" s="1">
        <v>143026.0</v>
      </c>
      <c r="AP149" s="1">
        <v>54.791</v>
      </c>
      <c r="AR149" s="1">
        <v>0.0</v>
      </c>
      <c r="AW149" s="1">
        <v>0.0</v>
      </c>
      <c r="AX149" s="1">
        <v>2.0</v>
      </c>
      <c r="AY149" s="1">
        <v>4.0</v>
      </c>
      <c r="BA149" s="1">
        <v>0.0</v>
      </c>
      <c r="BB149" s="1">
        <v>0.0</v>
      </c>
      <c r="BC149" s="1">
        <v>0.0</v>
      </c>
      <c r="BD149" s="1">
        <v>0.0</v>
      </c>
      <c r="BE149" s="1">
        <v>0.0</v>
      </c>
      <c r="BF149" s="1">
        <v>0.0</v>
      </c>
      <c r="BG149" s="1">
        <v>0.0</v>
      </c>
      <c r="BH149" s="1">
        <v>0.0</v>
      </c>
      <c r="BI149" s="1">
        <v>0.0</v>
      </c>
      <c r="BJ149" s="1">
        <v>0.0</v>
      </c>
      <c r="BP149" s="1">
        <v>0.265</v>
      </c>
      <c r="BQ149" s="1" t="s">
        <v>1471</v>
      </c>
      <c r="BV149" s="1">
        <v>1.1</v>
      </c>
      <c r="EQ149" s="9" t="s">
        <v>1470</v>
      </c>
      <c r="ER149" s="21">
        <v>46045.29792824074</v>
      </c>
    </row>
    <row r="150">
      <c r="A150" s="9" t="s">
        <v>1472</v>
      </c>
      <c r="B150" s="20" t="str">
        <f>IFERROR(__xludf.DUMMYFUNCTION("REGEXREPLACE(A150, ""^https?://[^/]+"", """")"),"/how-clear-messaging-turns-noise-into-revenue-with-donald-miller/")</f>
        <v>/how-clear-messaging-turns-noise-into-revenue-with-donald-miller/</v>
      </c>
      <c r="C150" s="1" t="s">
        <v>1473</v>
      </c>
      <c r="F150" s="1" t="s">
        <v>965</v>
      </c>
      <c r="G150" s="1">
        <v>200.0</v>
      </c>
      <c r="H150" s="1" t="s">
        <v>966</v>
      </c>
      <c r="I150" s="1" t="s">
        <v>967</v>
      </c>
      <c r="K150" s="1" t="s">
        <v>1474</v>
      </c>
      <c r="L150" s="1">
        <v>88.0</v>
      </c>
      <c r="M150" s="1">
        <v>807.0</v>
      </c>
      <c r="O150" s="1">
        <v>0.0</v>
      </c>
      <c r="P150" s="1">
        <v>0.0</v>
      </c>
      <c r="Q150" s="1" t="s">
        <v>1475</v>
      </c>
      <c r="R150" s="1">
        <v>158.0</v>
      </c>
      <c r="S150" s="1">
        <v>978.0</v>
      </c>
      <c r="U150" s="1">
        <v>0.0</v>
      </c>
      <c r="V150" s="1" t="s">
        <v>1473</v>
      </c>
      <c r="W150" s="1">
        <v>63.0</v>
      </c>
      <c r="Y150" s="1">
        <v>0.0</v>
      </c>
      <c r="AA150" s="1">
        <v>0.0</v>
      </c>
      <c r="AC150" s="1">
        <v>0.0</v>
      </c>
      <c r="AD150" s="1" t="s">
        <v>971</v>
      </c>
      <c r="AG150" s="9" t="s">
        <v>1472</v>
      </c>
      <c r="AM150" s="1">
        <v>240229.0</v>
      </c>
      <c r="AN150" s="1">
        <v>47721.0</v>
      </c>
      <c r="AO150" s="1">
        <v>47721.0</v>
      </c>
      <c r="AP150" s="1">
        <v>18.281</v>
      </c>
      <c r="AR150" s="1">
        <v>7476.0</v>
      </c>
      <c r="AS150" s="1">
        <v>1177.0</v>
      </c>
      <c r="AT150" s="1">
        <v>6.352</v>
      </c>
      <c r="AU150" s="1">
        <v>86.524</v>
      </c>
      <c r="AV150" s="1" t="s">
        <v>1129</v>
      </c>
      <c r="AW150" s="1">
        <v>18.444</v>
      </c>
      <c r="AX150" s="1">
        <v>2.0</v>
      </c>
      <c r="AY150" s="1">
        <v>1.0</v>
      </c>
      <c r="AZ150" s="1">
        <v>3.0</v>
      </c>
      <c r="BA150" s="1">
        <v>13.0</v>
      </c>
      <c r="BB150" s="1">
        <v>5.0</v>
      </c>
      <c r="BC150" s="1">
        <v>0.0</v>
      </c>
      <c r="BD150" s="1">
        <v>0.66</v>
      </c>
      <c r="BE150" s="1">
        <v>129.0</v>
      </c>
      <c r="BF150" s="1">
        <v>47.0</v>
      </c>
      <c r="BG150" s="1">
        <v>0.0</v>
      </c>
      <c r="BH150" s="1">
        <v>19.0</v>
      </c>
      <c r="BI150" s="1">
        <v>11.0</v>
      </c>
      <c r="BJ150" s="1">
        <v>0.0</v>
      </c>
      <c r="BO150" s="1" t="s">
        <v>1476</v>
      </c>
      <c r="BP150" s="1">
        <v>1.064</v>
      </c>
      <c r="BU150" s="1" t="s">
        <v>974</v>
      </c>
      <c r="BV150" s="1">
        <v>1.1</v>
      </c>
      <c r="BW150" s="1">
        <v>39.0</v>
      </c>
      <c r="BX150" s="1">
        <v>4351.098</v>
      </c>
      <c r="BY150" s="1">
        <v>8492.007</v>
      </c>
      <c r="BZ150" s="1">
        <v>10202.24</v>
      </c>
      <c r="CA150" s="1">
        <v>20567.006</v>
      </c>
      <c r="CB150" s="1">
        <v>831.5</v>
      </c>
      <c r="CC150" s="1">
        <v>0.021</v>
      </c>
      <c r="CD150" s="1">
        <v>705222.0</v>
      </c>
      <c r="CE150" s="1">
        <v>2400.0</v>
      </c>
      <c r="CF150" s="1">
        <v>185.0</v>
      </c>
      <c r="CG150" s="1">
        <v>2897362.0</v>
      </c>
      <c r="CH150" s="1">
        <v>86359.0</v>
      </c>
      <c r="CI150" s="1">
        <v>3.0</v>
      </c>
      <c r="CJ150" s="1">
        <v>175056.0</v>
      </c>
      <c r="CK150" s="1">
        <v>26.0</v>
      </c>
      <c r="CL150" s="1">
        <v>189690.0</v>
      </c>
      <c r="CM150" s="1">
        <v>46.0</v>
      </c>
      <c r="CN150" s="1">
        <v>1779375.0</v>
      </c>
      <c r="CO150" s="1">
        <v>70.0</v>
      </c>
      <c r="CP150" s="1">
        <v>640731.0</v>
      </c>
      <c r="CQ150" s="1">
        <v>10.0</v>
      </c>
      <c r="CR150" s="1">
        <v>0.0</v>
      </c>
      <c r="CS150" s="1">
        <v>0.0</v>
      </c>
      <c r="CT150" s="1">
        <v>26151.0</v>
      </c>
      <c r="CU150" s="1">
        <v>30.0</v>
      </c>
      <c r="CV150" s="1">
        <v>1923124.0</v>
      </c>
      <c r="CW150" s="1">
        <v>77.0</v>
      </c>
      <c r="DC150" s="1">
        <v>150.0</v>
      </c>
      <c r="DD150" s="1">
        <v>7526.0</v>
      </c>
      <c r="DE150" s="1">
        <v>0.0</v>
      </c>
      <c r="DF150" s="1">
        <v>3397.0</v>
      </c>
      <c r="DG150" s="1">
        <v>750.0</v>
      </c>
      <c r="DH150" s="1">
        <v>108296.0</v>
      </c>
      <c r="DI150" s="1">
        <v>1500.0</v>
      </c>
      <c r="DJ150" s="1">
        <v>586003.0</v>
      </c>
      <c r="DK150" s="1">
        <v>2821.948</v>
      </c>
      <c r="DL150" s="1" t="s">
        <v>975</v>
      </c>
      <c r="DM150" s="1">
        <v>5024.951</v>
      </c>
      <c r="DN150" s="1" t="s">
        <v>975</v>
      </c>
      <c r="DO150" s="1">
        <v>2896315.0</v>
      </c>
      <c r="DP150" s="1">
        <v>1.0</v>
      </c>
      <c r="DQ150" s="1" t="s">
        <v>976</v>
      </c>
      <c r="DR150" s="1" t="s">
        <v>1077</v>
      </c>
      <c r="DS150" s="1" t="s">
        <v>978</v>
      </c>
      <c r="DT150" s="1" t="s">
        <v>979</v>
      </c>
      <c r="DU150" s="1" t="s">
        <v>980</v>
      </c>
      <c r="DV150" s="1">
        <v>18049.0</v>
      </c>
      <c r="DW150" s="1">
        <v>313.0</v>
      </c>
      <c r="DX150" s="1">
        <v>4303.0</v>
      </c>
      <c r="DY150" s="1">
        <v>693464.0</v>
      </c>
      <c r="DZ150" s="1" t="s">
        <v>981</v>
      </c>
      <c r="EA150" s="1">
        <v>1120.0</v>
      </c>
      <c r="EB150" s="1">
        <v>68217.0</v>
      </c>
      <c r="EC150" s="1">
        <v>10.0</v>
      </c>
      <c r="ED150" s="1">
        <v>26492.0</v>
      </c>
      <c r="EF150" s="1">
        <v>235.0</v>
      </c>
      <c r="EG150" s="1" t="s">
        <v>1465</v>
      </c>
      <c r="EH150" s="1">
        <v>100.0</v>
      </c>
      <c r="EK150" s="1">
        <v>100.0</v>
      </c>
      <c r="EQ150" s="9" t="s">
        <v>1472</v>
      </c>
      <c r="ER150" s="21">
        <v>46045.29791666667</v>
      </c>
    </row>
    <row r="151">
      <c r="A151" s="9" t="s">
        <v>1477</v>
      </c>
      <c r="B151" s="20" t="str">
        <f>IFERROR(__xludf.DUMMYFUNCTION("REGEXREPLACE(A151, ""^https?://[^/]+"", """")"),"/hiring-a-sales-team-the-dos-and-donts-of-finding-the-right-candidates/")</f>
        <v>/hiring-a-sales-team-the-dos-and-donts-of-finding-the-right-candidates/</v>
      </c>
      <c r="C151" s="1" t="s">
        <v>1478</v>
      </c>
      <c r="F151" s="1" t="s">
        <v>965</v>
      </c>
      <c r="G151" s="1">
        <v>200.0</v>
      </c>
      <c r="H151" s="1" t="s">
        <v>966</v>
      </c>
      <c r="I151" s="1" t="s">
        <v>967</v>
      </c>
      <c r="K151" s="1" t="s">
        <v>1479</v>
      </c>
      <c r="L151" s="1">
        <v>96.0</v>
      </c>
      <c r="M151" s="1">
        <v>865.0</v>
      </c>
      <c r="O151" s="1">
        <v>0.0</v>
      </c>
      <c r="P151" s="1">
        <v>0.0</v>
      </c>
      <c r="Q151" s="1" t="s">
        <v>1480</v>
      </c>
      <c r="R151" s="1">
        <v>144.0</v>
      </c>
      <c r="S151" s="1">
        <v>864.0</v>
      </c>
      <c r="U151" s="1">
        <v>0.0</v>
      </c>
      <c r="V151" s="1" t="s">
        <v>1478</v>
      </c>
      <c r="W151" s="1">
        <v>71.0</v>
      </c>
      <c r="Y151" s="1">
        <v>0.0</v>
      </c>
      <c r="AA151" s="1">
        <v>0.0</v>
      </c>
      <c r="AC151" s="1">
        <v>0.0</v>
      </c>
      <c r="AD151" s="1" t="s">
        <v>971</v>
      </c>
      <c r="AG151" s="9" t="s">
        <v>1477</v>
      </c>
      <c r="AM151" s="1">
        <v>201646.0</v>
      </c>
      <c r="AN151" s="1">
        <v>36266.0</v>
      </c>
      <c r="AO151" s="1">
        <v>36266.0</v>
      </c>
      <c r="AP151" s="1">
        <v>13.893</v>
      </c>
      <c r="AR151" s="1">
        <v>1414.0</v>
      </c>
      <c r="AS151" s="1">
        <v>220.0</v>
      </c>
      <c r="AT151" s="1">
        <v>6.427</v>
      </c>
      <c r="AU151" s="1">
        <v>58.932</v>
      </c>
      <c r="AV151" s="1" t="s">
        <v>972</v>
      </c>
      <c r="AW151" s="1">
        <v>5.585</v>
      </c>
      <c r="AX151" s="1">
        <v>2.0</v>
      </c>
      <c r="AY151" s="1">
        <v>1.0</v>
      </c>
      <c r="AZ151" s="1">
        <v>2.0</v>
      </c>
      <c r="BA151" s="1">
        <v>11.0</v>
      </c>
      <c r="BB151" s="1">
        <v>4.0</v>
      </c>
      <c r="BC151" s="1">
        <v>0.0</v>
      </c>
      <c r="BD151" s="1">
        <v>0.53</v>
      </c>
      <c r="BE151" s="1">
        <v>130.0</v>
      </c>
      <c r="BF151" s="1">
        <v>47.0</v>
      </c>
      <c r="BG151" s="1">
        <v>0.0</v>
      </c>
      <c r="BH151" s="1">
        <v>17.0</v>
      </c>
      <c r="BI151" s="1">
        <v>9.0</v>
      </c>
      <c r="BJ151" s="1">
        <v>0.0</v>
      </c>
      <c r="BO151" s="1" t="s">
        <v>1481</v>
      </c>
      <c r="BP151" s="1">
        <v>1.174</v>
      </c>
      <c r="BU151" s="1" t="s">
        <v>974</v>
      </c>
      <c r="BV151" s="1">
        <v>1.1</v>
      </c>
      <c r="BW151" s="1">
        <v>42.0</v>
      </c>
      <c r="BX151" s="1">
        <v>4501.025</v>
      </c>
      <c r="BY151" s="1">
        <v>7360.808</v>
      </c>
      <c r="BZ151" s="1">
        <v>8476.05</v>
      </c>
      <c r="CA151" s="1">
        <v>20209.371</v>
      </c>
      <c r="CB151" s="1">
        <v>749.0</v>
      </c>
      <c r="CC151" s="1">
        <v>0.021</v>
      </c>
      <c r="CD151" s="1">
        <v>704724.0</v>
      </c>
      <c r="CE151" s="1">
        <v>1500.0</v>
      </c>
      <c r="CF151" s="1">
        <v>169.0</v>
      </c>
      <c r="CG151" s="1">
        <v>2696208.0</v>
      </c>
      <c r="CH151" s="1">
        <v>36778.0</v>
      </c>
      <c r="CI151" s="1">
        <v>2.0</v>
      </c>
      <c r="CJ151" s="1">
        <v>66210.0</v>
      </c>
      <c r="CK151" s="1">
        <v>17.0</v>
      </c>
      <c r="CL151" s="1">
        <v>178256.0</v>
      </c>
      <c r="CM151" s="1">
        <v>43.0</v>
      </c>
      <c r="CN151" s="1">
        <v>1748251.0</v>
      </c>
      <c r="CO151" s="1">
        <v>68.0</v>
      </c>
      <c r="CP151" s="1">
        <v>640719.0</v>
      </c>
      <c r="CQ151" s="1">
        <v>10.0</v>
      </c>
      <c r="CR151" s="1">
        <v>0.0</v>
      </c>
      <c r="CS151" s="1">
        <v>0.0</v>
      </c>
      <c r="CT151" s="1">
        <v>25994.0</v>
      </c>
      <c r="CU151" s="1">
        <v>29.0</v>
      </c>
      <c r="CV151" s="1">
        <v>1833946.0</v>
      </c>
      <c r="CW151" s="1">
        <v>68.0</v>
      </c>
      <c r="DC151" s="1">
        <v>0.0</v>
      </c>
      <c r="DD151" s="1">
        <v>5074.0</v>
      </c>
      <c r="DE151" s="1">
        <v>0.0</v>
      </c>
      <c r="DF151" s="1">
        <v>3396.0</v>
      </c>
      <c r="DG151" s="1">
        <v>450.0</v>
      </c>
      <c r="DH151" s="1">
        <v>108320.0</v>
      </c>
      <c r="DI151" s="1">
        <v>1050.0</v>
      </c>
      <c r="DJ151" s="1">
        <v>587934.0</v>
      </c>
      <c r="DK151" s="1">
        <v>2199.643</v>
      </c>
      <c r="DL151" s="1" t="s">
        <v>975</v>
      </c>
      <c r="DM151" s="1">
        <v>3845.312</v>
      </c>
      <c r="DN151" s="1" t="s">
        <v>975</v>
      </c>
      <c r="DO151" s="1">
        <v>2695667.0</v>
      </c>
      <c r="DP151" s="1">
        <v>1.0</v>
      </c>
      <c r="DQ151" s="1" t="s">
        <v>976</v>
      </c>
      <c r="DR151" s="1" t="s">
        <v>1345</v>
      </c>
      <c r="DS151" s="1" t="s">
        <v>978</v>
      </c>
      <c r="DT151" s="1" t="s">
        <v>979</v>
      </c>
      <c r="DU151" s="1" t="s">
        <v>980</v>
      </c>
      <c r="DV151" s="1">
        <v>17447.0</v>
      </c>
      <c r="DX151" s="1">
        <v>3826.0</v>
      </c>
      <c r="DY151" s="1">
        <v>653244.0</v>
      </c>
      <c r="DZ151" s="1" t="s">
        <v>981</v>
      </c>
      <c r="EA151" s="1">
        <v>868.0</v>
      </c>
      <c r="EB151" s="1">
        <v>4453.0</v>
      </c>
      <c r="EC151" s="1">
        <v>49.0</v>
      </c>
      <c r="ED151" s="1">
        <v>26492.0</v>
      </c>
      <c r="EF151" s="1">
        <v>230.0</v>
      </c>
      <c r="EG151" s="1" t="s">
        <v>1032</v>
      </c>
      <c r="EH151" s="1">
        <v>100.0</v>
      </c>
      <c r="EK151" s="1">
        <v>100.0</v>
      </c>
      <c r="EQ151" s="9" t="s">
        <v>1477</v>
      </c>
      <c r="ER151" s="21">
        <v>46045.29791666667</v>
      </c>
    </row>
    <row r="152">
      <c r="A152" s="9" t="s">
        <v>1482</v>
      </c>
      <c r="B152" s="20" t="str">
        <f>IFERROR(__xludf.DUMMYFUNCTION("REGEXREPLACE(A152, ""^https?://[^/]+"", """")"),"/wp-content/plugins/powerpack-elements/assets/lib/isotope/isotope.pkgd.min.js?ver=0.5.3")</f>
        <v>/wp-content/plugins/powerpack-elements/assets/lib/isotope/isotope.pkgd.min.js?ver=0.5.3</v>
      </c>
      <c r="F152" s="1" t="s">
        <v>984</v>
      </c>
      <c r="G152" s="1">
        <v>200.0</v>
      </c>
      <c r="H152" s="1" t="s">
        <v>966</v>
      </c>
      <c r="I152" s="1" t="s">
        <v>967</v>
      </c>
      <c r="L152" s="1">
        <v>0.0</v>
      </c>
      <c r="M152" s="1">
        <v>0.0</v>
      </c>
      <c r="O152" s="1">
        <v>0.0</v>
      </c>
      <c r="P152" s="1">
        <v>0.0</v>
      </c>
      <c r="R152" s="1">
        <v>0.0</v>
      </c>
      <c r="S152" s="1">
        <v>0.0</v>
      </c>
      <c r="U152" s="1">
        <v>0.0</v>
      </c>
      <c r="W152" s="1">
        <v>0.0</v>
      </c>
      <c r="Y152" s="1">
        <v>0.0</v>
      </c>
      <c r="AA152" s="1">
        <v>0.0</v>
      </c>
      <c r="AC152" s="1">
        <v>0.0</v>
      </c>
      <c r="AM152" s="1">
        <v>9847.0</v>
      </c>
      <c r="AN152" s="1">
        <v>9847.0</v>
      </c>
      <c r="AO152" s="1">
        <v>9847.0</v>
      </c>
      <c r="AP152" s="1">
        <v>3.772</v>
      </c>
      <c r="AR152" s="1">
        <v>0.0</v>
      </c>
      <c r="AW152" s="1">
        <v>0.0</v>
      </c>
      <c r="AX152" s="1">
        <v>2.0</v>
      </c>
      <c r="AY152" s="1">
        <v>6.0</v>
      </c>
      <c r="BA152" s="1">
        <v>0.0</v>
      </c>
      <c r="BB152" s="1">
        <v>0.0</v>
      </c>
      <c r="BC152" s="1">
        <v>0.0</v>
      </c>
      <c r="BD152" s="1">
        <v>0.0</v>
      </c>
      <c r="BE152" s="1">
        <v>0.0</v>
      </c>
      <c r="BF152" s="1">
        <v>0.0</v>
      </c>
      <c r="BG152" s="1">
        <v>0.0</v>
      </c>
      <c r="BH152" s="1">
        <v>0.0</v>
      </c>
      <c r="BI152" s="1">
        <v>0.0</v>
      </c>
      <c r="BJ152" s="1">
        <v>0.0</v>
      </c>
      <c r="BP152" s="1">
        <v>0.259</v>
      </c>
      <c r="BQ152" s="1" t="s">
        <v>1193</v>
      </c>
      <c r="BV152" s="1">
        <v>1.1</v>
      </c>
      <c r="EQ152" s="9" t="s">
        <v>1482</v>
      </c>
      <c r="ER152" s="21">
        <v>46045.297939814816</v>
      </c>
    </row>
    <row r="153">
      <c r="A153" s="9" t="s">
        <v>1483</v>
      </c>
      <c r="B153" s="20" t="str">
        <f>IFERROR(__xludf.DUMMYFUNCTION("REGEXREPLACE(A153, ""^https?://[^/]+"", """")"),"/category/revenue-growth/")</f>
        <v>/category/revenue-growth/</v>
      </c>
      <c r="C153" s="1" t="s">
        <v>1484</v>
      </c>
      <c r="F153" s="1" t="s">
        <v>965</v>
      </c>
      <c r="G153" s="1">
        <v>200.0</v>
      </c>
      <c r="H153" s="1" t="s">
        <v>966</v>
      </c>
      <c r="I153" s="1" t="s">
        <v>967</v>
      </c>
      <c r="K153" s="1" t="s">
        <v>1485</v>
      </c>
      <c r="L153" s="1">
        <v>43.0</v>
      </c>
      <c r="M153" s="1">
        <v>400.0</v>
      </c>
      <c r="O153" s="1">
        <v>0.0</v>
      </c>
      <c r="P153" s="1">
        <v>0.0</v>
      </c>
      <c r="R153" s="1">
        <v>0.0</v>
      </c>
      <c r="S153" s="1">
        <v>0.0</v>
      </c>
      <c r="U153" s="1">
        <v>0.0</v>
      </c>
      <c r="V153" s="1" t="s">
        <v>1484</v>
      </c>
      <c r="W153" s="1">
        <v>24.0</v>
      </c>
      <c r="Y153" s="1">
        <v>0.0</v>
      </c>
      <c r="AA153" s="1">
        <v>0.0</v>
      </c>
      <c r="AC153" s="1">
        <v>0.0</v>
      </c>
      <c r="AD153" s="1" t="s">
        <v>971</v>
      </c>
      <c r="AG153" s="9" t="s">
        <v>1483</v>
      </c>
      <c r="AH153" s="9" t="s">
        <v>1486</v>
      </c>
      <c r="AM153" s="1">
        <v>165307.0</v>
      </c>
      <c r="AN153" s="1">
        <v>30334.0</v>
      </c>
      <c r="AO153" s="1">
        <v>30334.0</v>
      </c>
      <c r="AP153" s="1">
        <v>11.62</v>
      </c>
      <c r="AR153" s="1">
        <v>645.0</v>
      </c>
      <c r="AS153" s="1">
        <v>114.0</v>
      </c>
      <c r="AT153" s="1">
        <v>5.658</v>
      </c>
      <c r="AU153" s="1">
        <v>59.043</v>
      </c>
      <c r="AV153" s="1" t="s">
        <v>972</v>
      </c>
      <c r="AW153" s="1">
        <v>3.898</v>
      </c>
      <c r="AX153" s="1">
        <v>2.0</v>
      </c>
      <c r="AY153" s="1">
        <v>2.0</v>
      </c>
      <c r="AZ153" s="1">
        <v>2.0</v>
      </c>
      <c r="BA153" s="1">
        <v>7.0</v>
      </c>
      <c r="BB153" s="1">
        <v>6.0</v>
      </c>
      <c r="BC153" s="1">
        <v>0.0</v>
      </c>
      <c r="BD153" s="1">
        <v>0.8</v>
      </c>
      <c r="BE153" s="1">
        <v>151.0</v>
      </c>
      <c r="BF153" s="1">
        <v>58.0</v>
      </c>
      <c r="BG153" s="1">
        <v>0.0</v>
      </c>
      <c r="BH153" s="1">
        <v>16.0</v>
      </c>
      <c r="BI153" s="1">
        <v>8.0</v>
      </c>
      <c r="BJ153" s="1">
        <v>0.0</v>
      </c>
      <c r="BO153" s="1" t="s">
        <v>1487</v>
      </c>
      <c r="BP153" s="1">
        <v>1.206</v>
      </c>
      <c r="BU153" s="1" t="s">
        <v>974</v>
      </c>
      <c r="BV153" s="1">
        <v>1.1</v>
      </c>
      <c r="BW153" s="1">
        <v>43.0</v>
      </c>
      <c r="BX153" s="1">
        <v>3151.027</v>
      </c>
      <c r="BY153" s="1">
        <v>7811.075</v>
      </c>
      <c r="BZ153" s="1">
        <v>7501.069</v>
      </c>
      <c r="CA153" s="1">
        <v>18495.441</v>
      </c>
      <c r="CB153" s="1">
        <v>844.0</v>
      </c>
      <c r="CC153" s="1">
        <v>0.033</v>
      </c>
      <c r="CD153" s="1">
        <v>653168.0</v>
      </c>
      <c r="CE153" s="1">
        <v>1350.0</v>
      </c>
      <c r="CF153" s="1">
        <v>171.0</v>
      </c>
      <c r="CG153" s="1">
        <v>2337645.0</v>
      </c>
      <c r="CH153" s="1">
        <v>31369.0</v>
      </c>
      <c r="CI153" s="1">
        <v>2.0</v>
      </c>
      <c r="CJ153" s="1">
        <v>106348.0</v>
      </c>
      <c r="CK153" s="1">
        <v>25.0</v>
      </c>
      <c r="CL153" s="1">
        <v>116981.0</v>
      </c>
      <c r="CM153" s="1">
        <v>39.0</v>
      </c>
      <c r="CN153" s="1">
        <v>1750931.0</v>
      </c>
      <c r="CO153" s="1">
        <v>69.0</v>
      </c>
      <c r="CP153" s="1">
        <v>306670.0</v>
      </c>
      <c r="CQ153" s="1">
        <v>7.0</v>
      </c>
      <c r="CR153" s="1">
        <v>0.0</v>
      </c>
      <c r="CS153" s="1">
        <v>0.0</v>
      </c>
      <c r="CT153" s="1">
        <v>25346.0</v>
      </c>
      <c r="CU153" s="1">
        <v>29.0</v>
      </c>
      <c r="CV153" s="1">
        <v>1526272.0</v>
      </c>
      <c r="CW153" s="1">
        <v>69.0</v>
      </c>
      <c r="DC153" s="1">
        <v>0.0</v>
      </c>
      <c r="DD153" s="1">
        <v>5075.0</v>
      </c>
      <c r="DE153" s="1">
        <v>0.0</v>
      </c>
      <c r="DF153" s="1">
        <v>3396.0</v>
      </c>
      <c r="DG153" s="1">
        <v>450.0</v>
      </c>
      <c r="DH153" s="1">
        <v>50603.0</v>
      </c>
      <c r="DI153" s="1">
        <v>900.0</v>
      </c>
      <c r="DJ153" s="1">
        <v>594094.0</v>
      </c>
      <c r="DK153" s="1">
        <v>2318.652</v>
      </c>
      <c r="DL153" s="1" t="s">
        <v>975</v>
      </c>
      <c r="DM153" s="1">
        <v>4020.383</v>
      </c>
      <c r="DN153" s="1" t="s">
        <v>975</v>
      </c>
      <c r="DO153" s="1">
        <v>2337033.0</v>
      </c>
      <c r="DP153" s="1">
        <v>1.0</v>
      </c>
      <c r="DQ153" s="1" t="s">
        <v>976</v>
      </c>
      <c r="DR153" s="1" t="s">
        <v>1055</v>
      </c>
      <c r="DS153" s="1" t="s">
        <v>978</v>
      </c>
      <c r="DT153" s="1" t="s">
        <v>979</v>
      </c>
      <c r="DU153" s="1" t="s">
        <v>980</v>
      </c>
      <c r="DV153" s="1">
        <v>12643.0</v>
      </c>
      <c r="DX153" s="1">
        <v>4001.0</v>
      </c>
      <c r="DY153" s="1">
        <v>635424.0</v>
      </c>
      <c r="DZ153" s="1" t="s">
        <v>994</v>
      </c>
      <c r="EA153" s="1">
        <v>872.0</v>
      </c>
      <c r="EB153" s="1">
        <v>4453.0</v>
      </c>
      <c r="EC153" s="1">
        <v>22.0</v>
      </c>
      <c r="ED153" s="1">
        <v>26492.0</v>
      </c>
      <c r="EF153" s="1">
        <v>255.0</v>
      </c>
      <c r="EG153" s="1" t="s">
        <v>982</v>
      </c>
      <c r="EH153" s="1">
        <v>100.0</v>
      </c>
      <c r="EK153" s="1">
        <v>100.0</v>
      </c>
      <c r="EQ153" s="9" t="s">
        <v>1483</v>
      </c>
      <c r="ER153" s="21">
        <v>46045.29792824074</v>
      </c>
    </row>
    <row r="154">
      <c r="A154" s="9" t="s">
        <v>1488</v>
      </c>
      <c r="B154" s="20" t="str">
        <f>IFERROR(__xludf.DUMMYFUNCTION("REGEXREPLACE(A154, ""^https?://[^/]+"", """")"),"/wp-includes/js/imagesloaded.min.js?ver=5.0.0")</f>
        <v>/wp-includes/js/imagesloaded.min.js?ver=5.0.0</v>
      </c>
      <c r="F154" s="1" t="s">
        <v>984</v>
      </c>
      <c r="G154" s="1">
        <v>200.0</v>
      </c>
      <c r="H154" s="1" t="s">
        <v>966</v>
      </c>
      <c r="I154" s="1" t="s">
        <v>967</v>
      </c>
      <c r="L154" s="1">
        <v>0.0</v>
      </c>
      <c r="M154" s="1">
        <v>0.0</v>
      </c>
      <c r="O154" s="1">
        <v>0.0</v>
      </c>
      <c r="P154" s="1">
        <v>0.0</v>
      </c>
      <c r="R154" s="1">
        <v>0.0</v>
      </c>
      <c r="S154" s="1">
        <v>0.0</v>
      </c>
      <c r="U154" s="1">
        <v>0.0</v>
      </c>
      <c r="W154" s="1">
        <v>0.0</v>
      </c>
      <c r="Y154" s="1">
        <v>0.0</v>
      </c>
      <c r="AA154" s="1">
        <v>0.0</v>
      </c>
      <c r="AC154" s="1">
        <v>0.0</v>
      </c>
      <c r="AM154" s="1">
        <v>1803.0</v>
      </c>
      <c r="AN154" s="1">
        <v>1803.0</v>
      </c>
      <c r="AO154" s="1">
        <v>1803.0</v>
      </c>
      <c r="AP154" s="1">
        <v>0.691</v>
      </c>
      <c r="AR154" s="1">
        <v>0.0</v>
      </c>
      <c r="AW154" s="1">
        <v>0.0</v>
      </c>
      <c r="AX154" s="1">
        <v>2.0</v>
      </c>
      <c r="AY154" s="1">
        <v>2.0</v>
      </c>
      <c r="BA154" s="1">
        <v>0.0</v>
      </c>
      <c r="BB154" s="1">
        <v>0.0</v>
      </c>
      <c r="BC154" s="1">
        <v>0.0</v>
      </c>
      <c r="BD154" s="1">
        <v>0.0</v>
      </c>
      <c r="BE154" s="1">
        <v>0.0</v>
      </c>
      <c r="BF154" s="1">
        <v>0.0</v>
      </c>
      <c r="BG154" s="1">
        <v>0.0</v>
      </c>
      <c r="BH154" s="1">
        <v>0.0</v>
      </c>
      <c r="BI154" s="1">
        <v>0.0</v>
      </c>
      <c r="BJ154" s="1">
        <v>0.0</v>
      </c>
      <c r="BP154" s="1">
        <v>0.256</v>
      </c>
      <c r="BQ154" s="1" t="s">
        <v>1449</v>
      </c>
      <c r="BV154" s="1">
        <v>1.1</v>
      </c>
      <c r="EQ154" s="9" t="s">
        <v>1488</v>
      </c>
      <c r="ER154" s="21">
        <v>46045.297939814816</v>
      </c>
    </row>
    <row r="155">
      <c r="A155" s="9" t="s">
        <v>1489</v>
      </c>
      <c r="B155" s="20" t="str">
        <f>IFERROR(__xludf.DUMMYFUNCTION("REGEXREPLACE(A155, ""^https?://[^/]+"", """")"),"/the-importance-of-building-a-top-performing-sales-team/")</f>
        <v>/the-importance-of-building-a-top-performing-sales-team/</v>
      </c>
      <c r="C155" s="1" t="s">
        <v>1490</v>
      </c>
      <c r="F155" s="1" t="s">
        <v>965</v>
      </c>
      <c r="G155" s="1">
        <v>200.0</v>
      </c>
      <c r="H155" s="1" t="s">
        <v>966</v>
      </c>
      <c r="I155" s="1" t="s">
        <v>967</v>
      </c>
      <c r="K155" s="1" t="s">
        <v>1491</v>
      </c>
      <c r="L155" s="1">
        <v>79.0</v>
      </c>
      <c r="M155" s="1">
        <v>728.0</v>
      </c>
      <c r="O155" s="1">
        <v>0.0</v>
      </c>
      <c r="P155" s="1">
        <v>0.0</v>
      </c>
      <c r="Q155" s="1" t="s">
        <v>1492</v>
      </c>
      <c r="R155" s="1">
        <v>155.0</v>
      </c>
      <c r="S155" s="1">
        <v>967.0</v>
      </c>
      <c r="U155" s="1">
        <v>0.0</v>
      </c>
      <c r="V155" s="1" t="s">
        <v>1490</v>
      </c>
      <c r="W155" s="1">
        <v>54.0</v>
      </c>
      <c r="Y155" s="1">
        <v>0.0</v>
      </c>
      <c r="AA155" s="1">
        <v>0.0</v>
      </c>
      <c r="AC155" s="1">
        <v>0.0</v>
      </c>
      <c r="AD155" s="1" t="s">
        <v>971</v>
      </c>
      <c r="AG155" s="9" t="s">
        <v>1489</v>
      </c>
      <c r="AM155" s="1">
        <v>191125.0</v>
      </c>
      <c r="AN155" s="1">
        <v>34982.0</v>
      </c>
      <c r="AO155" s="1">
        <v>34982.0</v>
      </c>
      <c r="AP155" s="1">
        <v>13.401</v>
      </c>
      <c r="AR155" s="1">
        <v>1374.0</v>
      </c>
      <c r="AS155" s="1">
        <v>199.0</v>
      </c>
      <c r="AT155" s="1">
        <v>6.905</v>
      </c>
      <c r="AU155" s="1">
        <v>73.85</v>
      </c>
      <c r="AV155" s="1" t="s">
        <v>1264</v>
      </c>
      <c r="AW155" s="1">
        <v>5.512</v>
      </c>
      <c r="AX155" s="1">
        <v>2.0</v>
      </c>
      <c r="AY155" s="1">
        <v>1.0</v>
      </c>
      <c r="AZ155" s="1">
        <v>2.0</v>
      </c>
      <c r="BA155" s="1">
        <v>11.0</v>
      </c>
      <c r="BB155" s="1">
        <v>4.0</v>
      </c>
      <c r="BC155" s="1">
        <v>0.0</v>
      </c>
      <c r="BD155" s="1">
        <v>0.53</v>
      </c>
      <c r="BE155" s="1">
        <v>129.0</v>
      </c>
      <c r="BF155" s="1">
        <v>47.0</v>
      </c>
      <c r="BG155" s="1">
        <v>0.0</v>
      </c>
      <c r="BH155" s="1">
        <v>16.0</v>
      </c>
      <c r="BI155" s="1">
        <v>8.0</v>
      </c>
      <c r="BJ155" s="1">
        <v>0.0</v>
      </c>
      <c r="BO155" s="1" t="s">
        <v>1493</v>
      </c>
      <c r="BP155" s="1">
        <v>1.005</v>
      </c>
      <c r="BU155" s="1" t="s">
        <v>974</v>
      </c>
      <c r="BV155" s="1">
        <v>1.1</v>
      </c>
      <c r="BW155" s="1">
        <v>54.0</v>
      </c>
      <c r="BX155" s="1">
        <v>4951.035</v>
      </c>
      <c r="BY155" s="1">
        <v>6719.38</v>
      </c>
      <c r="BZ155" s="1">
        <v>10352.077</v>
      </c>
      <c r="CA155" s="1">
        <v>20145.541</v>
      </c>
      <c r="CB155" s="1">
        <v>272.5</v>
      </c>
      <c r="CC155" s="1">
        <v>0.003</v>
      </c>
      <c r="CD155" s="1">
        <v>703941.0</v>
      </c>
      <c r="CE155" s="1">
        <v>1500.0</v>
      </c>
      <c r="CF155" s="1">
        <v>173.0</v>
      </c>
      <c r="CG155" s="1">
        <v>2694362.0</v>
      </c>
      <c r="CH155" s="1">
        <v>35924.0</v>
      </c>
      <c r="CI155" s="1">
        <v>2.0</v>
      </c>
      <c r="CJ155" s="1">
        <v>66350.0</v>
      </c>
      <c r="CK155" s="1">
        <v>21.0</v>
      </c>
      <c r="CL155" s="1">
        <v>177398.0</v>
      </c>
      <c r="CM155" s="1">
        <v>43.0</v>
      </c>
      <c r="CN155" s="1">
        <v>1748039.0</v>
      </c>
      <c r="CO155" s="1">
        <v>68.0</v>
      </c>
      <c r="CP155" s="1">
        <v>640723.0</v>
      </c>
      <c r="CQ155" s="1">
        <v>10.0</v>
      </c>
      <c r="CR155" s="1">
        <v>0.0</v>
      </c>
      <c r="CS155" s="1">
        <v>0.0</v>
      </c>
      <c r="CT155" s="1">
        <v>25928.0</v>
      </c>
      <c r="CU155" s="1">
        <v>29.0</v>
      </c>
      <c r="CV155" s="1">
        <v>1833032.0</v>
      </c>
      <c r="CW155" s="1">
        <v>72.0</v>
      </c>
      <c r="DC155" s="1">
        <v>0.0</v>
      </c>
      <c r="DD155" s="1">
        <v>5075.0</v>
      </c>
      <c r="DE155" s="1">
        <v>0.0</v>
      </c>
      <c r="DF155" s="1">
        <v>3396.0</v>
      </c>
      <c r="DG155" s="1">
        <v>600.0</v>
      </c>
      <c r="DH155" s="1">
        <v>108320.0</v>
      </c>
      <c r="DI155" s="1">
        <v>900.0</v>
      </c>
      <c r="DJ155" s="1">
        <v>587150.0</v>
      </c>
      <c r="DK155" s="1">
        <v>1469.954</v>
      </c>
      <c r="DL155" s="1" t="s">
        <v>975</v>
      </c>
      <c r="DM155" s="1">
        <v>2722.188</v>
      </c>
      <c r="DN155" s="1" t="s">
        <v>975</v>
      </c>
      <c r="DO155" s="1">
        <v>2693681.0</v>
      </c>
      <c r="DP155" s="1">
        <v>1.0</v>
      </c>
      <c r="DQ155" s="1" t="s">
        <v>976</v>
      </c>
      <c r="DR155" s="1" t="s">
        <v>993</v>
      </c>
      <c r="DS155" s="1" t="s">
        <v>978</v>
      </c>
      <c r="DT155" s="1" t="s">
        <v>979</v>
      </c>
      <c r="DU155" s="1" t="s">
        <v>980</v>
      </c>
      <c r="DV155" s="1">
        <v>17599.0</v>
      </c>
      <c r="DX155" s="1">
        <v>3784.0</v>
      </c>
      <c r="DY155" s="1">
        <v>653264.0</v>
      </c>
      <c r="DZ155" s="1" t="s">
        <v>981</v>
      </c>
      <c r="EA155" s="1">
        <v>850.0</v>
      </c>
      <c r="EB155" s="1">
        <v>4453.0</v>
      </c>
      <c r="EC155" s="1">
        <v>1.0</v>
      </c>
      <c r="ED155" s="1">
        <v>26492.0</v>
      </c>
      <c r="EF155" s="1">
        <v>210.0</v>
      </c>
      <c r="EG155" s="1" t="s">
        <v>1032</v>
      </c>
      <c r="EH155" s="1">
        <v>100.0</v>
      </c>
      <c r="EK155" s="1">
        <v>100.0</v>
      </c>
      <c r="EQ155" s="9" t="s">
        <v>1489</v>
      </c>
      <c r="ER155" s="21">
        <v>46045.297939814816</v>
      </c>
    </row>
    <row r="156">
      <c r="A156" s="9" t="s">
        <v>1494</v>
      </c>
      <c r="B156" s="20" t="str">
        <f>IFERROR(__xludf.DUMMYFUNCTION("REGEXREPLACE(A156, ""^https?://[^/]+"", """")"),"/wp-content/plugins/powerpack-elements/assets/js/min/frontend-posts.min.js?ver=2.12.15")</f>
        <v>/wp-content/plugins/powerpack-elements/assets/js/min/frontend-posts.min.js?ver=2.12.15</v>
      </c>
      <c r="F156" s="1" t="s">
        <v>984</v>
      </c>
      <c r="G156" s="1">
        <v>200.0</v>
      </c>
      <c r="H156" s="1" t="s">
        <v>966</v>
      </c>
      <c r="I156" s="1" t="s">
        <v>967</v>
      </c>
      <c r="L156" s="1">
        <v>0.0</v>
      </c>
      <c r="M156" s="1">
        <v>0.0</v>
      </c>
      <c r="O156" s="1">
        <v>0.0</v>
      </c>
      <c r="P156" s="1">
        <v>0.0</v>
      </c>
      <c r="R156" s="1">
        <v>0.0</v>
      </c>
      <c r="S156" s="1">
        <v>0.0</v>
      </c>
      <c r="U156" s="1">
        <v>0.0</v>
      </c>
      <c r="W156" s="1">
        <v>0.0</v>
      </c>
      <c r="Y156" s="1">
        <v>0.0</v>
      </c>
      <c r="AA156" s="1">
        <v>0.0</v>
      </c>
      <c r="AC156" s="1">
        <v>0.0</v>
      </c>
      <c r="AM156" s="1">
        <v>4088.0</v>
      </c>
      <c r="AN156" s="1">
        <v>4088.0</v>
      </c>
      <c r="AO156" s="1">
        <v>4088.0</v>
      </c>
      <c r="AP156" s="1">
        <v>1.566</v>
      </c>
      <c r="AR156" s="1">
        <v>0.0</v>
      </c>
      <c r="AW156" s="1">
        <v>0.0</v>
      </c>
      <c r="AX156" s="1">
        <v>2.0</v>
      </c>
      <c r="AY156" s="1">
        <v>6.0</v>
      </c>
      <c r="BA156" s="1">
        <v>0.0</v>
      </c>
      <c r="BB156" s="1">
        <v>0.0</v>
      </c>
      <c r="BC156" s="1">
        <v>0.0</v>
      </c>
      <c r="BD156" s="1">
        <v>0.0</v>
      </c>
      <c r="BE156" s="1">
        <v>0.0</v>
      </c>
      <c r="BF156" s="1">
        <v>0.0</v>
      </c>
      <c r="BG156" s="1">
        <v>0.0</v>
      </c>
      <c r="BH156" s="1">
        <v>0.0</v>
      </c>
      <c r="BI156" s="1">
        <v>0.0</v>
      </c>
      <c r="BJ156" s="1">
        <v>0.0</v>
      </c>
      <c r="BP156" s="1">
        <v>0.261</v>
      </c>
      <c r="BQ156" s="1" t="s">
        <v>1193</v>
      </c>
      <c r="BV156" s="1">
        <v>1.1</v>
      </c>
      <c r="EQ156" s="9" t="s">
        <v>1494</v>
      </c>
      <c r="ER156" s="21">
        <v>46045.297951388886</v>
      </c>
    </row>
    <row r="157">
      <c r="A157" s="9" t="s">
        <v>1495</v>
      </c>
      <c r="B157" s="20" t="str">
        <f>IFERROR(__xludf.DUMMYFUNCTION("REGEXREPLACE(A157, ""^https?://[^/]+"", """")"),"/what-if-you-knew-exactly-what-your-customers-wanted-next/")</f>
        <v>/what-if-you-knew-exactly-what-your-customers-wanted-next/</v>
      </c>
      <c r="C157" s="1" t="s">
        <v>1496</v>
      </c>
      <c r="D157" s="1" t="s">
        <v>1497</v>
      </c>
      <c r="E157" s="1" t="s">
        <v>1498</v>
      </c>
      <c r="F157" s="1" t="s">
        <v>965</v>
      </c>
      <c r="G157" s="1">
        <v>200.0</v>
      </c>
      <c r="H157" s="1" t="s">
        <v>966</v>
      </c>
      <c r="I157" s="1" t="s">
        <v>967</v>
      </c>
      <c r="K157" s="1" t="s">
        <v>1499</v>
      </c>
      <c r="L157" s="1">
        <v>82.0</v>
      </c>
      <c r="M157" s="1">
        <v>772.0</v>
      </c>
      <c r="O157" s="1">
        <v>0.0</v>
      </c>
      <c r="P157" s="1">
        <v>0.0</v>
      </c>
      <c r="Q157" s="1" t="s">
        <v>1500</v>
      </c>
      <c r="R157" s="1">
        <v>149.0</v>
      </c>
      <c r="S157" s="1">
        <v>931.0</v>
      </c>
      <c r="U157" s="1">
        <v>0.0</v>
      </c>
      <c r="V157" s="1" t="s">
        <v>1496</v>
      </c>
      <c r="W157" s="1">
        <v>57.0</v>
      </c>
      <c r="Y157" s="1">
        <v>0.0</v>
      </c>
      <c r="Z157" s="1" t="s">
        <v>1497</v>
      </c>
      <c r="AA157" s="1">
        <v>42.0</v>
      </c>
      <c r="AB157" s="1" t="s">
        <v>1498</v>
      </c>
      <c r="AC157" s="1">
        <v>59.0</v>
      </c>
      <c r="AD157" s="1" t="s">
        <v>971</v>
      </c>
      <c r="AG157" s="9" t="s">
        <v>1495</v>
      </c>
      <c r="AM157" s="1">
        <v>203200.0</v>
      </c>
      <c r="AN157" s="1">
        <v>36192.0</v>
      </c>
      <c r="AO157" s="1">
        <v>36192.0</v>
      </c>
      <c r="AP157" s="1">
        <v>13.864</v>
      </c>
      <c r="AR157" s="1">
        <v>1136.0</v>
      </c>
      <c r="AS157" s="1">
        <v>189.0</v>
      </c>
      <c r="AT157" s="1">
        <v>6.011</v>
      </c>
      <c r="AU157" s="1">
        <v>48.886</v>
      </c>
      <c r="AV157" s="1" t="s">
        <v>1075</v>
      </c>
      <c r="AW157" s="1">
        <v>4.875</v>
      </c>
      <c r="AX157" s="1">
        <v>2.0</v>
      </c>
      <c r="AY157" s="1">
        <v>1.0</v>
      </c>
      <c r="AZ157" s="1">
        <v>1.0</v>
      </c>
      <c r="BA157" s="1">
        <v>1.0</v>
      </c>
      <c r="BB157" s="1">
        <v>1.0</v>
      </c>
      <c r="BC157" s="1">
        <v>0.0</v>
      </c>
      <c r="BD157" s="1">
        <v>0.13</v>
      </c>
      <c r="BE157" s="1">
        <v>134.0</v>
      </c>
      <c r="BF157" s="1">
        <v>50.0</v>
      </c>
      <c r="BG157" s="1">
        <v>0.0</v>
      </c>
      <c r="BH157" s="1">
        <v>16.0</v>
      </c>
      <c r="BI157" s="1">
        <v>8.0</v>
      </c>
      <c r="BJ157" s="1">
        <v>0.0</v>
      </c>
      <c r="BO157" s="1" t="s">
        <v>1501</v>
      </c>
      <c r="BP157" s="1">
        <v>1.009</v>
      </c>
      <c r="BU157" s="1" t="s">
        <v>974</v>
      </c>
      <c r="BV157" s="1">
        <v>1.1</v>
      </c>
      <c r="BW157" s="1">
        <v>46.0</v>
      </c>
      <c r="BX157" s="1">
        <v>4801.032</v>
      </c>
      <c r="BY157" s="1">
        <v>7333.394</v>
      </c>
      <c r="BZ157" s="1">
        <v>10801.074</v>
      </c>
      <c r="CA157" s="1">
        <v>20802.885</v>
      </c>
      <c r="CB157" s="1">
        <v>512.897</v>
      </c>
      <c r="CC157" s="1">
        <v>0.0</v>
      </c>
      <c r="CD157" s="1">
        <v>702769.0</v>
      </c>
      <c r="CE157" s="1">
        <v>1500.0</v>
      </c>
      <c r="CF157" s="1">
        <v>169.0</v>
      </c>
      <c r="CG157" s="1">
        <v>2728713.0</v>
      </c>
      <c r="CH157" s="1">
        <v>36589.0</v>
      </c>
      <c r="CI157" s="1">
        <v>2.0</v>
      </c>
      <c r="CJ157" s="1">
        <v>98930.0</v>
      </c>
      <c r="CK157" s="1">
        <v>17.0</v>
      </c>
      <c r="CL157" s="1">
        <v>178262.0</v>
      </c>
      <c r="CM157" s="1">
        <v>43.0</v>
      </c>
      <c r="CN157" s="1">
        <v>1747954.0</v>
      </c>
      <c r="CO157" s="1">
        <v>68.0</v>
      </c>
      <c r="CP157" s="1">
        <v>640735.0</v>
      </c>
      <c r="CQ157" s="1">
        <v>10.0</v>
      </c>
      <c r="CR157" s="1">
        <v>0.0</v>
      </c>
      <c r="CS157" s="1">
        <v>0.0</v>
      </c>
      <c r="CT157" s="1">
        <v>26243.0</v>
      </c>
      <c r="CU157" s="1">
        <v>29.0</v>
      </c>
      <c r="CV157" s="1">
        <v>1833434.0</v>
      </c>
      <c r="CW157" s="1">
        <v>67.0</v>
      </c>
      <c r="DC157" s="1">
        <v>0.0</v>
      </c>
      <c r="DD157" s="1">
        <v>5075.0</v>
      </c>
      <c r="DE157" s="1">
        <v>0.0</v>
      </c>
      <c r="DF157" s="1">
        <v>3396.0</v>
      </c>
      <c r="DG157" s="1">
        <v>450.0</v>
      </c>
      <c r="DH157" s="1">
        <v>108243.0</v>
      </c>
      <c r="DI157" s="1">
        <v>1050.0</v>
      </c>
      <c r="DJ157" s="1">
        <v>586055.0</v>
      </c>
      <c r="DK157" s="1">
        <v>1711.66</v>
      </c>
      <c r="DL157" s="1" t="s">
        <v>975</v>
      </c>
      <c r="DM157" s="1">
        <v>3089.754</v>
      </c>
      <c r="DN157" s="1" t="s">
        <v>975</v>
      </c>
      <c r="DO157" s="1">
        <v>2728714.0</v>
      </c>
      <c r="DP157" s="1">
        <v>1.0</v>
      </c>
      <c r="DQ157" s="1" t="s">
        <v>976</v>
      </c>
      <c r="DR157" s="1" t="s">
        <v>1014</v>
      </c>
      <c r="DS157" s="1" t="s">
        <v>978</v>
      </c>
      <c r="DT157" s="1" t="s">
        <v>979</v>
      </c>
      <c r="DU157" s="1" t="s">
        <v>980</v>
      </c>
      <c r="DV157" s="1">
        <v>17599.0</v>
      </c>
      <c r="DX157" s="1">
        <v>3914.0</v>
      </c>
      <c r="DY157" s="1">
        <v>666554.0</v>
      </c>
      <c r="EA157" s="1">
        <v>893.0</v>
      </c>
      <c r="EB157" s="1">
        <v>4453.0</v>
      </c>
      <c r="EC157" s="1">
        <v>1.0</v>
      </c>
      <c r="ED157" s="1">
        <v>26492.0</v>
      </c>
      <c r="EF157" s="1">
        <v>230.0</v>
      </c>
      <c r="EG157" s="1" t="s">
        <v>1032</v>
      </c>
      <c r="EH157" s="1">
        <v>100.0</v>
      </c>
      <c r="EK157" s="1">
        <v>100.0</v>
      </c>
      <c r="EQ157" s="9" t="s">
        <v>1495</v>
      </c>
      <c r="ER157" s="21">
        <v>46045.297939814816</v>
      </c>
    </row>
    <row r="158">
      <c r="A158" s="9" t="s">
        <v>1502</v>
      </c>
      <c r="B158" s="20" t="str">
        <f>IFERROR(__xludf.DUMMYFUNCTION("REGEXREPLACE(A158, ""^https?://[^/]+"", """")"),"/wp-content/plugins/powerpack-elements/assets/css/min/widget-posts.min.css?ver=2.12.15")</f>
        <v>/wp-content/plugins/powerpack-elements/assets/css/min/widget-posts.min.css?ver=2.12.15</v>
      </c>
      <c r="F158" s="1" t="s">
        <v>1016</v>
      </c>
      <c r="G158" s="1">
        <v>200.0</v>
      </c>
      <c r="H158" s="1" t="s">
        <v>966</v>
      </c>
      <c r="I158" s="1" t="s">
        <v>967</v>
      </c>
      <c r="L158" s="1">
        <v>0.0</v>
      </c>
      <c r="M158" s="1">
        <v>0.0</v>
      </c>
      <c r="O158" s="1">
        <v>0.0</v>
      </c>
      <c r="P158" s="1">
        <v>0.0</v>
      </c>
      <c r="R158" s="1">
        <v>0.0</v>
      </c>
      <c r="S158" s="1">
        <v>0.0</v>
      </c>
      <c r="U158" s="1">
        <v>0.0</v>
      </c>
      <c r="W158" s="1">
        <v>0.0</v>
      </c>
      <c r="Y158" s="1">
        <v>0.0</v>
      </c>
      <c r="AA158" s="1">
        <v>0.0</v>
      </c>
      <c r="AC158" s="1">
        <v>0.0</v>
      </c>
      <c r="AM158" s="1">
        <v>2498.0</v>
      </c>
      <c r="AN158" s="1">
        <v>2498.0</v>
      </c>
      <c r="AO158" s="1">
        <v>2498.0</v>
      </c>
      <c r="AP158" s="1">
        <v>0.957</v>
      </c>
      <c r="AR158" s="1">
        <v>0.0</v>
      </c>
      <c r="AW158" s="1">
        <v>0.0</v>
      </c>
      <c r="AX158" s="1">
        <v>2.0</v>
      </c>
      <c r="AY158" s="1">
        <v>6.0</v>
      </c>
      <c r="BA158" s="1">
        <v>0.0</v>
      </c>
      <c r="BB158" s="1">
        <v>0.0</v>
      </c>
      <c r="BC158" s="1">
        <v>0.0</v>
      </c>
      <c r="BD158" s="1">
        <v>0.0</v>
      </c>
      <c r="BE158" s="1">
        <v>0.0</v>
      </c>
      <c r="BF158" s="1">
        <v>0.0</v>
      </c>
      <c r="BG158" s="1">
        <v>0.0</v>
      </c>
      <c r="BH158" s="1">
        <v>0.0</v>
      </c>
      <c r="BI158" s="1">
        <v>0.0</v>
      </c>
      <c r="BJ158" s="1">
        <v>0.0</v>
      </c>
      <c r="BP158" s="1">
        <v>0.269</v>
      </c>
      <c r="BQ158" s="1" t="s">
        <v>1193</v>
      </c>
      <c r="BV158" s="1">
        <v>1.1</v>
      </c>
      <c r="EQ158" s="9" t="s">
        <v>1502</v>
      </c>
      <c r="ER158" s="21">
        <v>46045.297951388886</v>
      </c>
    </row>
    <row r="159">
      <c r="A159" s="9" t="s">
        <v>1503</v>
      </c>
      <c r="B159" s="20" t="str">
        <f>IFERROR(__xludf.DUMMYFUNCTION("REGEXREPLACE(A159, ""^https?://[^/]+"", """")"),"/wp-content/uploads/2025/12/Improving-Your-Sales-Recruitment-and-Hiring-Process-684x1024.jpg")</f>
        <v>/wp-content/uploads/2025/12/Improving-Your-Sales-Recruitment-and-Hiring-Process-684x1024.jpg</v>
      </c>
      <c r="F159" s="1" t="s">
        <v>1004</v>
      </c>
      <c r="G159" s="1">
        <v>200.0</v>
      </c>
      <c r="H159" s="1" t="s">
        <v>966</v>
      </c>
      <c r="I159" s="1" t="s">
        <v>967</v>
      </c>
      <c r="L159" s="1">
        <v>0.0</v>
      </c>
      <c r="M159" s="1">
        <v>0.0</v>
      </c>
      <c r="O159" s="1">
        <v>0.0</v>
      </c>
      <c r="P159" s="1">
        <v>0.0</v>
      </c>
      <c r="R159" s="1">
        <v>0.0</v>
      </c>
      <c r="S159" s="1">
        <v>0.0</v>
      </c>
      <c r="U159" s="1">
        <v>0.0</v>
      </c>
      <c r="W159" s="1">
        <v>0.0</v>
      </c>
      <c r="Y159" s="1">
        <v>0.0</v>
      </c>
      <c r="AA159" s="1">
        <v>0.0</v>
      </c>
      <c r="AC159" s="1">
        <v>0.0</v>
      </c>
      <c r="AM159" s="1">
        <v>68020.0</v>
      </c>
      <c r="AN159" s="1">
        <v>68020.0</v>
      </c>
      <c r="AO159" s="1">
        <v>68020.0</v>
      </c>
      <c r="AP159" s="1">
        <v>26.057</v>
      </c>
      <c r="AR159" s="1">
        <v>0.0</v>
      </c>
      <c r="AW159" s="1">
        <v>0.0</v>
      </c>
      <c r="AX159" s="1">
        <v>2.0</v>
      </c>
      <c r="AY159" s="1">
        <v>4.0</v>
      </c>
      <c r="BA159" s="1">
        <v>0.0</v>
      </c>
      <c r="BB159" s="1">
        <v>0.0</v>
      </c>
      <c r="BC159" s="1">
        <v>0.0</v>
      </c>
      <c r="BD159" s="1">
        <v>0.0</v>
      </c>
      <c r="BE159" s="1">
        <v>0.0</v>
      </c>
      <c r="BF159" s="1">
        <v>0.0</v>
      </c>
      <c r="BG159" s="1">
        <v>0.0</v>
      </c>
      <c r="BH159" s="1">
        <v>0.0</v>
      </c>
      <c r="BI159" s="1">
        <v>0.0</v>
      </c>
      <c r="BJ159" s="1">
        <v>0.0</v>
      </c>
      <c r="BP159" s="1">
        <v>0.277</v>
      </c>
      <c r="BQ159" s="1" t="s">
        <v>1504</v>
      </c>
      <c r="BV159" s="1">
        <v>1.1</v>
      </c>
      <c r="EQ159" s="9" t="s">
        <v>1503</v>
      </c>
      <c r="ER159" s="21">
        <v>46045.297951388886</v>
      </c>
    </row>
    <row r="160">
      <c r="A160" s="9" t="s">
        <v>1505</v>
      </c>
      <c r="B160" s="20" t="str">
        <f>IFERROR(__xludf.DUMMYFUNCTION("REGEXREPLACE(A160, ""^https?://[^/]+"", """")"),"/wp-content/uploads/2025/12/Sales-Team-Meeting-1024x358.jpg")</f>
        <v>/wp-content/uploads/2025/12/Sales-Team-Meeting-1024x358.jpg</v>
      </c>
      <c r="F160" s="1" t="s">
        <v>1004</v>
      </c>
      <c r="G160" s="1">
        <v>200.0</v>
      </c>
      <c r="H160" s="1" t="s">
        <v>966</v>
      </c>
      <c r="I160" s="1" t="s">
        <v>967</v>
      </c>
      <c r="L160" s="1">
        <v>0.0</v>
      </c>
      <c r="M160" s="1">
        <v>0.0</v>
      </c>
      <c r="O160" s="1">
        <v>0.0</v>
      </c>
      <c r="P160" s="1">
        <v>0.0</v>
      </c>
      <c r="R160" s="1">
        <v>0.0</v>
      </c>
      <c r="S160" s="1">
        <v>0.0</v>
      </c>
      <c r="U160" s="1">
        <v>0.0</v>
      </c>
      <c r="W160" s="1">
        <v>0.0</v>
      </c>
      <c r="Y160" s="1">
        <v>0.0</v>
      </c>
      <c r="AA160" s="1">
        <v>0.0</v>
      </c>
      <c r="AC160" s="1">
        <v>0.0</v>
      </c>
      <c r="AM160" s="1">
        <v>69969.0</v>
      </c>
      <c r="AN160" s="1">
        <v>69969.0</v>
      </c>
      <c r="AO160" s="1">
        <v>69969.0</v>
      </c>
      <c r="AP160" s="1">
        <v>26.804</v>
      </c>
      <c r="AR160" s="1">
        <v>0.0</v>
      </c>
      <c r="AW160" s="1">
        <v>0.0</v>
      </c>
      <c r="AX160" s="1">
        <v>2.0</v>
      </c>
      <c r="AY160" s="1">
        <v>4.0</v>
      </c>
      <c r="BA160" s="1">
        <v>0.0</v>
      </c>
      <c r="BB160" s="1">
        <v>0.0</v>
      </c>
      <c r="BC160" s="1">
        <v>0.0</v>
      </c>
      <c r="BD160" s="1">
        <v>0.0</v>
      </c>
      <c r="BE160" s="1">
        <v>0.0</v>
      </c>
      <c r="BF160" s="1">
        <v>0.0</v>
      </c>
      <c r="BG160" s="1">
        <v>0.0</v>
      </c>
      <c r="BH160" s="1">
        <v>0.0</v>
      </c>
      <c r="BI160" s="1">
        <v>0.0</v>
      </c>
      <c r="BJ160" s="1">
        <v>0.0</v>
      </c>
      <c r="BP160" s="1">
        <v>0.276</v>
      </c>
      <c r="BQ160" s="1" t="s">
        <v>1506</v>
      </c>
      <c r="BV160" s="1">
        <v>1.1</v>
      </c>
      <c r="EQ160" s="9" t="s">
        <v>1505</v>
      </c>
      <c r="ER160" s="21">
        <v>46045.297951388886</v>
      </c>
    </row>
    <row r="161">
      <c r="A161" s="9" t="s">
        <v>1507</v>
      </c>
      <c r="B161" s="20" t="str">
        <f>IFERROR(__xludf.DUMMYFUNCTION("REGEXREPLACE(A161, ""^https?://[^/]+"", """")"),"/category/hiring-onboarding/")</f>
        <v>/category/hiring-onboarding/</v>
      </c>
      <c r="C161" s="1" t="s">
        <v>1508</v>
      </c>
      <c r="F161" s="1" t="s">
        <v>965</v>
      </c>
      <c r="G161" s="1">
        <v>200.0</v>
      </c>
      <c r="H161" s="1" t="s">
        <v>966</v>
      </c>
      <c r="I161" s="1" t="s">
        <v>967</v>
      </c>
      <c r="K161" s="1" t="s">
        <v>1509</v>
      </c>
      <c r="L161" s="1">
        <v>46.0</v>
      </c>
      <c r="M161" s="1">
        <v>417.0</v>
      </c>
      <c r="O161" s="1">
        <v>0.0</v>
      </c>
      <c r="P161" s="1">
        <v>0.0</v>
      </c>
      <c r="Q161" s="1" t="s">
        <v>1510</v>
      </c>
      <c r="R161" s="1">
        <v>131.0</v>
      </c>
      <c r="S161" s="1">
        <v>806.0</v>
      </c>
      <c r="U161" s="1">
        <v>0.0</v>
      </c>
      <c r="V161" s="1" t="s">
        <v>1508</v>
      </c>
      <c r="W161" s="1">
        <v>27.0</v>
      </c>
      <c r="Y161" s="1">
        <v>0.0</v>
      </c>
      <c r="AA161" s="1">
        <v>0.0</v>
      </c>
      <c r="AC161" s="1">
        <v>0.0</v>
      </c>
      <c r="AD161" s="1" t="s">
        <v>971</v>
      </c>
      <c r="AG161" s="9" t="s">
        <v>1507</v>
      </c>
      <c r="AH161" s="9" t="s">
        <v>1511</v>
      </c>
      <c r="AM161" s="1">
        <v>168989.0</v>
      </c>
      <c r="AN161" s="1">
        <v>31387.0</v>
      </c>
      <c r="AO161" s="1">
        <v>31387.0</v>
      </c>
      <c r="AP161" s="1">
        <v>12.024</v>
      </c>
      <c r="AR161" s="1">
        <v>653.0</v>
      </c>
      <c r="AS161" s="1">
        <v>114.0</v>
      </c>
      <c r="AT161" s="1">
        <v>5.728</v>
      </c>
      <c r="AU161" s="1">
        <v>61.101</v>
      </c>
      <c r="AV161" s="1" t="s">
        <v>990</v>
      </c>
      <c r="AW161" s="1">
        <v>3.843</v>
      </c>
      <c r="AX161" s="1">
        <v>2.0</v>
      </c>
      <c r="AY161" s="1">
        <v>2.0</v>
      </c>
      <c r="AZ161" s="1">
        <v>2.0</v>
      </c>
      <c r="BA161" s="1">
        <v>12.0</v>
      </c>
      <c r="BB161" s="1">
        <v>7.0</v>
      </c>
      <c r="BC161" s="1">
        <v>0.0</v>
      </c>
      <c r="BD161" s="1">
        <v>0.93</v>
      </c>
      <c r="BE161" s="1">
        <v>151.0</v>
      </c>
      <c r="BF161" s="1">
        <v>58.0</v>
      </c>
      <c r="BG161" s="1">
        <v>0.0</v>
      </c>
      <c r="BH161" s="1">
        <v>16.0</v>
      </c>
      <c r="BI161" s="1">
        <v>8.0</v>
      </c>
      <c r="BJ161" s="1">
        <v>0.0</v>
      </c>
      <c r="BO161" s="1" t="s">
        <v>1512</v>
      </c>
      <c r="BP161" s="1">
        <v>0.952</v>
      </c>
      <c r="BU161" s="1" t="s">
        <v>974</v>
      </c>
      <c r="BV161" s="1">
        <v>1.1</v>
      </c>
      <c r="BW161" s="1">
        <v>49.0</v>
      </c>
      <c r="BX161" s="1">
        <v>3601.029</v>
      </c>
      <c r="BY161" s="1">
        <v>6700.783</v>
      </c>
      <c r="BZ161" s="1">
        <v>6001.049</v>
      </c>
      <c r="CA161" s="1">
        <v>18458.781</v>
      </c>
      <c r="CB161" s="1">
        <v>643.5</v>
      </c>
      <c r="CC161" s="1">
        <v>0.039</v>
      </c>
      <c r="CD161" s="1">
        <v>651879.0</v>
      </c>
      <c r="CE161" s="1">
        <v>1050.0</v>
      </c>
      <c r="CF161" s="1">
        <v>170.0</v>
      </c>
      <c r="CG161" s="1">
        <v>2346926.0</v>
      </c>
      <c r="CH161" s="1">
        <v>32278.0</v>
      </c>
      <c r="CI161" s="1">
        <v>2.0</v>
      </c>
      <c r="CJ161" s="1">
        <v>114332.0</v>
      </c>
      <c r="CK161" s="1">
        <v>24.0</v>
      </c>
      <c r="CL161" s="1">
        <v>116986.0</v>
      </c>
      <c r="CM161" s="1">
        <v>39.0</v>
      </c>
      <c r="CN161" s="1">
        <v>1751303.0</v>
      </c>
      <c r="CO161" s="1">
        <v>69.0</v>
      </c>
      <c r="CP161" s="1">
        <v>306670.0</v>
      </c>
      <c r="CQ161" s="1">
        <v>7.0</v>
      </c>
      <c r="CR161" s="1">
        <v>0.0</v>
      </c>
      <c r="CS161" s="1">
        <v>0.0</v>
      </c>
      <c r="CT161" s="1">
        <v>25357.0</v>
      </c>
      <c r="CU161" s="1">
        <v>29.0</v>
      </c>
      <c r="CV161" s="1">
        <v>1526554.0</v>
      </c>
      <c r="CW161" s="1">
        <v>68.0</v>
      </c>
      <c r="DC161" s="1">
        <v>0.0</v>
      </c>
      <c r="DD161" s="1">
        <v>5075.0</v>
      </c>
      <c r="DE161" s="1">
        <v>0.0</v>
      </c>
      <c r="DF161" s="1">
        <v>3396.0</v>
      </c>
      <c r="DG161" s="1">
        <v>450.0</v>
      </c>
      <c r="DH161" s="1">
        <v>50603.0</v>
      </c>
      <c r="DI161" s="1">
        <v>600.0</v>
      </c>
      <c r="DJ161" s="1">
        <v>592805.0</v>
      </c>
      <c r="DK161" s="1">
        <v>2162.276</v>
      </c>
      <c r="DL161" s="1" t="s">
        <v>975</v>
      </c>
      <c r="DM161" s="1">
        <v>3822.994</v>
      </c>
      <c r="DN161" s="1" t="s">
        <v>975</v>
      </c>
      <c r="DO161" s="1">
        <v>2346425.0</v>
      </c>
      <c r="DP161" s="1">
        <v>1.0</v>
      </c>
      <c r="DQ161" s="1" t="s">
        <v>976</v>
      </c>
      <c r="DR161" s="1" t="s">
        <v>1464</v>
      </c>
      <c r="DS161" s="1" t="s">
        <v>978</v>
      </c>
      <c r="DT161" s="1" t="s">
        <v>979</v>
      </c>
      <c r="DU161" s="1" t="s">
        <v>980</v>
      </c>
      <c r="DV161" s="1">
        <v>12942.0</v>
      </c>
      <c r="DX161" s="1">
        <v>3806.0</v>
      </c>
      <c r="DY161" s="1">
        <v>638687.0</v>
      </c>
      <c r="DZ161" s="1" t="s">
        <v>981</v>
      </c>
      <c r="EA161" s="1">
        <v>872.0</v>
      </c>
      <c r="EB161" s="1">
        <v>9737.0</v>
      </c>
      <c r="EC161" s="1">
        <v>27.0</v>
      </c>
      <c r="ED161" s="1">
        <v>26492.0</v>
      </c>
      <c r="EF161" s="1">
        <v>275.0</v>
      </c>
      <c r="EG161" s="1" t="s">
        <v>982</v>
      </c>
      <c r="EH161" s="1">
        <v>100.0</v>
      </c>
      <c r="EK161" s="1">
        <v>100.0</v>
      </c>
      <c r="EQ161" s="9" t="s">
        <v>1507</v>
      </c>
      <c r="ER161" s="21">
        <v>46045.297939814816</v>
      </c>
    </row>
    <row r="162">
      <c r="A162" s="9" t="s">
        <v>1513</v>
      </c>
      <c r="B162" s="20" t="str">
        <f>IFERROR(__xludf.DUMMYFUNCTION("REGEXREPLACE(A162, ""^https?://[^/]+"", """")"),"/wp-content/uploads/2025/12/adasdaadada.jpg")</f>
        <v>/wp-content/uploads/2025/12/adasdaadada.jpg</v>
      </c>
      <c r="F162" s="1" t="s">
        <v>1004</v>
      </c>
      <c r="G162" s="1">
        <v>200.0</v>
      </c>
      <c r="H162" s="1" t="s">
        <v>966</v>
      </c>
      <c r="I162" s="1" t="s">
        <v>967</v>
      </c>
      <c r="L162" s="1">
        <v>0.0</v>
      </c>
      <c r="M162" s="1">
        <v>0.0</v>
      </c>
      <c r="O162" s="1">
        <v>0.0</v>
      </c>
      <c r="P162" s="1">
        <v>0.0</v>
      </c>
      <c r="R162" s="1">
        <v>0.0</v>
      </c>
      <c r="S162" s="1">
        <v>0.0</v>
      </c>
      <c r="U162" s="1">
        <v>0.0</v>
      </c>
      <c r="W162" s="1">
        <v>0.0</v>
      </c>
      <c r="Y162" s="1">
        <v>0.0</v>
      </c>
      <c r="AA162" s="1">
        <v>0.0</v>
      </c>
      <c r="AC162" s="1">
        <v>0.0</v>
      </c>
      <c r="AM162" s="1">
        <v>126708.0</v>
      </c>
      <c r="AN162" s="1">
        <v>126708.0</v>
      </c>
      <c r="AO162" s="1">
        <v>126708.0</v>
      </c>
      <c r="AP162" s="1">
        <v>48.539</v>
      </c>
      <c r="AR162" s="1">
        <v>0.0</v>
      </c>
      <c r="AW162" s="1">
        <v>0.0</v>
      </c>
      <c r="AX162" s="1">
        <v>2.0</v>
      </c>
      <c r="AY162" s="1">
        <v>4.0</v>
      </c>
      <c r="BA162" s="1">
        <v>0.0</v>
      </c>
      <c r="BB162" s="1">
        <v>0.0</v>
      </c>
      <c r="BC162" s="1">
        <v>0.0</v>
      </c>
      <c r="BD162" s="1">
        <v>0.0</v>
      </c>
      <c r="BE162" s="1">
        <v>0.0</v>
      </c>
      <c r="BF162" s="1">
        <v>0.0</v>
      </c>
      <c r="BG162" s="1">
        <v>0.0</v>
      </c>
      <c r="BH162" s="1">
        <v>0.0</v>
      </c>
      <c r="BI162" s="1">
        <v>0.0</v>
      </c>
      <c r="BJ162" s="1">
        <v>0.0</v>
      </c>
      <c r="BP162" s="1">
        <v>0.279</v>
      </c>
      <c r="BQ162" s="1" t="s">
        <v>1514</v>
      </c>
      <c r="BV162" s="1">
        <v>1.1</v>
      </c>
      <c r="EQ162" s="9" t="s">
        <v>1513</v>
      </c>
      <c r="ER162" s="21">
        <v>46045.297951388886</v>
      </c>
    </row>
    <row r="163">
      <c r="A163" s="9" t="s">
        <v>1515</v>
      </c>
      <c r="B163" s="20" t="str">
        <f>IFERROR(__xludf.DUMMYFUNCTION("REGEXREPLACE(A163, ""^https?://[^/]+"", """")"),"/wp-content/plugins/powerpack-elements/assets/css/min/elementor-grid.min.css?ver=2.12.15")</f>
        <v>/wp-content/plugins/powerpack-elements/assets/css/min/elementor-grid.min.css?ver=2.12.15</v>
      </c>
      <c r="F163" s="1" t="s">
        <v>1016</v>
      </c>
      <c r="G163" s="1">
        <v>200.0</v>
      </c>
      <c r="H163" s="1" t="s">
        <v>966</v>
      </c>
      <c r="I163" s="1" t="s">
        <v>967</v>
      </c>
      <c r="L163" s="1">
        <v>0.0</v>
      </c>
      <c r="M163" s="1">
        <v>0.0</v>
      </c>
      <c r="O163" s="1">
        <v>0.0</v>
      </c>
      <c r="P163" s="1">
        <v>0.0</v>
      </c>
      <c r="R163" s="1">
        <v>0.0</v>
      </c>
      <c r="S163" s="1">
        <v>0.0</v>
      </c>
      <c r="U163" s="1">
        <v>0.0</v>
      </c>
      <c r="W163" s="1">
        <v>0.0</v>
      </c>
      <c r="Y163" s="1">
        <v>0.0</v>
      </c>
      <c r="AA163" s="1">
        <v>0.0</v>
      </c>
      <c r="AC163" s="1">
        <v>0.0</v>
      </c>
      <c r="AM163" s="1">
        <v>719.0</v>
      </c>
      <c r="AN163" s="1">
        <v>719.0</v>
      </c>
      <c r="AO163" s="1">
        <v>719.0</v>
      </c>
      <c r="AP163" s="1">
        <v>0.275</v>
      </c>
      <c r="AR163" s="1">
        <v>0.0</v>
      </c>
      <c r="AW163" s="1">
        <v>0.0</v>
      </c>
      <c r="AX163" s="1">
        <v>2.0</v>
      </c>
      <c r="AY163" s="1">
        <v>6.0</v>
      </c>
      <c r="BA163" s="1">
        <v>0.0</v>
      </c>
      <c r="BB163" s="1">
        <v>0.0</v>
      </c>
      <c r="BC163" s="1">
        <v>0.0</v>
      </c>
      <c r="BD163" s="1">
        <v>0.0</v>
      </c>
      <c r="BE163" s="1">
        <v>0.0</v>
      </c>
      <c r="BF163" s="1">
        <v>0.0</v>
      </c>
      <c r="BG163" s="1">
        <v>0.0</v>
      </c>
      <c r="BH163" s="1">
        <v>0.0</v>
      </c>
      <c r="BI163" s="1">
        <v>0.0</v>
      </c>
      <c r="BJ163" s="1">
        <v>0.0</v>
      </c>
      <c r="BP163" s="1">
        <v>0.263</v>
      </c>
      <c r="BQ163" s="1" t="s">
        <v>1193</v>
      </c>
      <c r="BV163" s="1">
        <v>1.1</v>
      </c>
      <c r="EQ163" s="9" t="s">
        <v>1515</v>
      </c>
      <c r="ER163" s="21">
        <v>46045.29796296296</v>
      </c>
    </row>
    <row r="164">
      <c r="A164" s="9" t="s">
        <v>1516</v>
      </c>
      <c r="B164" s="20" t="str">
        <f>IFERROR(__xludf.DUMMYFUNCTION("REGEXREPLACE(A164, ""^https?://[^/]+"", """")"),"/category/sales-recruiting/")</f>
        <v>/category/sales-recruiting/</v>
      </c>
      <c r="C164" s="1" t="s">
        <v>1517</v>
      </c>
      <c r="F164" s="1" t="s">
        <v>965</v>
      </c>
      <c r="G164" s="1">
        <v>200.0</v>
      </c>
      <c r="H164" s="1" t="s">
        <v>966</v>
      </c>
      <c r="I164" s="1" t="s">
        <v>967</v>
      </c>
      <c r="K164" s="1" t="s">
        <v>1518</v>
      </c>
      <c r="L164" s="1">
        <v>45.0</v>
      </c>
      <c r="M164" s="1">
        <v>397.0</v>
      </c>
      <c r="O164" s="1">
        <v>0.0</v>
      </c>
      <c r="P164" s="1">
        <v>0.0</v>
      </c>
      <c r="Q164" s="1" t="s">
        <v>1519</v>
      </c>
      <c r="R164" s="1">
        <v>365.0</v>
      </c>
      <c r="S164" s="1">
        <v>2241.0</v>
      </c>
      <c r="U164" s="1">
        <v>0.0</v>
      </c>
      <c r="V164" s="1" t="s">
        <v>1517</v>
      </c>
      <c r="W164" s="1">
        <v>26.0</v>
      </c>
      <c r="Y164" s="1">
        <v>0.0</v>
      </c>
      <c r="AA164" s="1">
        <v>0.0</v>
      </c>
      <c r="AC164" s="1">
        <v>0.0</v>
      </c>
      <c r="AD164" s="1" t="s">
        <v>971</v>
      </c>
      <c r="AG164" s="9" t="s">
        <v>1516</v>
      </c>
      <c r="AH164" s="9" t="s">
        <v>1520</v>
      </c>
      <c r="AM164" s="1">
        <v>168422.0</v>
      </c>
      <c r="AN164" s="1">
        <v>31039.0</v>
      </c>
      <c r="AO164" s="1">
        <v>31039.0</v>
      </c>
      <c r="AP164" s="1">
        <v>11.89</v>
      </c>
      <c r="AR164" s="1">
        <v>625.0</v>
      </c>
      <c r="AS164" s="1">
        <v>106.0</v>
      </c>
      <c r="AT164" s="1">
        <v>5.896</v>
      </c>
      <c r="AU164" s="1">
        <v>58.722</v>
      </c>
      <c r="AV164" s="1" t="s">
        <v>972</v>
      </c>
      <c r="AW164" s="1">
        <v>3.754</v>
      </c>
      <c r="AX164" s="1">
        <v>2.0</v>
      </c>
      <c r="AY164" s="1">
        <v>2.0</v>
      </c>
      <c r="AZ164" s="1">
        <v>2.0</v>
      </c>
      <c r="BA164" s="1">
        <v>6.0</v>
      </c>
      <c r="BB164" s="1">
        <v>3.0</v>
      </c>
      <c r="BC164" s="1">
        <v>0.0</v>
      </c>
      <c r="BD164" s="1">
        <v>0.4</v>
      </c>
      <c r="BE164" s="1">
        <v>148.0</v>
      </c>
      <c r="BF164" s="1">
        <v>55.0</v>
      </c>
      <c r="BG164" s="1">
        <v>0.0</v>
      </c>
      <c r="BH164" s="1">
        <v>16.0</v>
      </c>
      <c r="BI164" s="1">
        <v>8.0</v>
      </c>
      <c r="BJ164" s="1">
        <v>0.0</v>
      </c>
      <c r="BO164" s="1" t="s">
        <v>1521</v>
      </c>
      <c r="BP164" s="1">
        <v>1.008</v>
      </c>
      <c r="BU164" s="1" t="s">
        <v>974</v>
      </c>
      <c r="BV164" s="1">
        <v>1.1</v>
      </c>
      <c r="BW164" s="1">
        <v>62.0</v>
      </c>
      <c r="BX164" s="1">
        <v>3451.016</v>
      </c>
      <c r="BY164" s="1">
        <v>6976.527</v>
      </c>
      <c r="BZ164" s="1">
        <v>6376.031</v>
      </c>
      <c r="CA164" s="1">
        <v>18087.146</v>
      </c>
      <c r="CB164" s="1">
        <v>181.0</v>
      </c>
      <c r="CC164" s="1">
        <v>0.021</v>
      </c>
      <c r="CD164" s="1">
        <v>651958.0</v>
      </c>
      <c r="CE164" s="1">
        <v>750.0</v>
      </c>
      <c r="CF164" s="1">
        <v>168.0</v>
      </c>
      <c r="CG164" s="1">
        <v>2343954.0</v>
      </c>
      <c r="CH164" s="1">
        <v>31865.0</v>
      </c>
      <c r="CI164" s="1">
        <v>2.0</v>
      </c>
      <c r="CJ164" s="1">
        <v>111198.0</v>
      </c>
      <c r="CK164" s="1">
        <v>23.0</v>
      </c>
      <c r="CL164" s="1">
        <v>117852.0</v>
      </c>
      <c r="CM164" s="1">
        <v>39.0</v>
      </c>
      <c r="CN164" s="1">
        <v>1751038.0</v>
      </c>
      <c r="CO164" s="1">
        <v>69.0</v>
      </c>
      <c r="CP164" s="1">
        <v>306670.0</v>
      </c>
      <c r="CQ164" s="1">
        <v>7.0</v>
      </c>
      <c r="CR164" s="1">
        <v>0.0</v>
      </c>
      <c r="CS164" s="1">
        <v>0.0</v>
      </c>
      <c r="CT164" s="1">
        <v>25331.0</v>
      </c>
      <c r="CU164" s="1">
        <v>28.0</v>
      </c>
      <c r="CV164" s="1">
        <v>1526746.0</v>
      </c>
      <c r="CW164" s="1">
        <v>67.0</v>
      </c>
      <c r="DC164" s="1">
        <v>0.0</v>
      </c>
      <c r="DD164" s="1">
        <v>5075.0</v>
      </c>
      <c r="DE164" s="1">
        <v>0.0</v>
      </c>
      <c r="DF164" s="1">
        <v>3396.0</v>
      </c>
      <c r="DG164" s="1">
        <v>300.0</v>
      </c>
      <c r="DH164" s="1">
        <v>50603.0</v>
      </c>
      <c r="DI164" s="1">
        <v>450.0</v>
      </c>
      <c r="DJ164" s="1">
        <v>592884.0</v>
      </c>
      <c r="DK164" s="1">
        <v>1297.141</v>
      </c>
      <c r="DL164" s="1" t="s">
        <v>975</v>
      </c>
      <c r="DM164" s="1">
        <v>2356.47</v>
      </c>
      <c r="DN164" s="1" t="s">
        <v>975</v>
      </c>
      <c r="DO164" s="1">
        <v>2343553.0</v>
      </c>
      <c r="DP164" s="1">
        <v>1.0</v>
      </c>
      <c r="DQ164" s="1" t="s">
        <v>976</v>
      </c>
      <c r="DR164" s="1" t="s">
        <v>993</v>
      </c>
      <c r="DS164" s="1" t="s">
        <v>978</v>
      </c>
      <c r="DT164" s="1" t="s">
        <v>979</v>
      </c>
      <c r="DU164" s="1" t="s">
        <v>980</v>
      </c>
      <c r="DV164" s="1">
        <v>12794.0</v>
      </c>
      <c r="DX164" s="1">
        <v>3839.0</v>
      </c>
      <c r="DY164" s="1">
        <v>637456.0</v>
      </c>
      <c r="DZ164" s="1" t="s">
        <v>994</v>
      </c>
      <c r="EA164" s="1">
        <v>866.0</v>
      </c>
      <c r="EB164" s="1">
        <v>9737.0</v>
      </c>
      <c r="EC164" s="1">
        <v>0.0</v>
      </c>
      <c r="ED164" s="1">
        <v>26492.0</v>
      </c>
      <c r="EF164" s="1">
        <v>235.0</v>
      </c>
      <c r="EG164" s="1" t="s">
        <v>982</v>
      </c>
      <c r="EH164" s="1">
        <v>100.0</v>
      </c>
      <c r="EK164" s="1">
        <v>100.0</v>
      </c>
      <c r="EQ164" s="9" t="s">
        <v>1516</v>
      </c>
      <c r="ER164" s="21">
        <v>46045.297951388886</v>
      </c>
    </row>
    <row r="165">
      <c r="A165" s="9" t="s">
        <v>1522</v>
      </c>
      <c r="B165" s="20" t="str">
        <f>IFERROR(__xludf.DUMMYFUNCTION("REGEXREPLACE(A165, ""^https?://[^/]+"", """")"),"/sales-forecasting-the-future-how-ai-turns-sales-strategy-from-guesswork-into-growth/")</f>
        <v>/sales-forecasting-the-future-how-ai-turns-sales-strategy-from-guesswork-into-growth/</v>
      </c>
      <c r="C165" s="1" t="s">
        <v>1523</v>
      </c>
      <c r="D165" s="1" t="s">
        <v>1524</v>
      </c>
      <c r="E165" s="1" t="s">
        <v>1525</v>
      </c>
      <c r="F165" s="1" t="s">
        <v>965</v>
      </c>
      <c r="G165" s="1">
        <v>200.0</v>
      </c>
      <c r="H165" s="1" t="s">
        <v>966</v>
      </c>
      <c r="I165" s="1" t="s">
        <v>967</v>
      </c>
      <c r="K165" s="1" t="s">
        <v>1526</v>
      </c>
      <c r="L165" s="1">
        <v>109.0</v>
      </c>
      <c r="M165" s="1">
        <v>995.0</v>
      </c>
      <c r="O165" s="1">
        <v>0.0</v>
      </c>
      <c r="P165" s="1">
        <v>0.0</v>
      </c>
      <c r="Q165" s="1" t="s">
        <v>1527</v>
      </c>
      <c r="R165" s="1">
        <v>145.0</v>
      </c>
      <c r="S165" s="1">
        <v>925.0</v>
      </c>
      <c r="U165" s="1">
        <v>0.0</v>
      </c>
      <c r="V165" s="1" t="s">
        <v>1523</v>
      </c>
      <c r="W165" s="1">
        <v>84.0</v>
      </c>
      <c r="Y165" s="1">
        <v>0.0</v>
      </c>
      <c r="Z165" s="1" t="s">
        <v>1524</v>
      </c>
      <c r="AA165" s="1">
        <v>54.0</v>
      </c>
      <c r="AB165" s="1" t="s">
        <v>1525</v>
      </c>
      <c r="AC165" s="1">
        <v>56.0</v>
      </c>
      <c r="AD165" s="1" t="s">
        <v>971</v>
      </c>
      <c r="AG165" s="9" t="s">
        <v>1522</v>
      </c>
      <c r="AM165" s="1">
        <v>199012.0</v>
      </c>
      <c r="AN165" s="1">
        <v>36511.0</v>
      </c>
      <c r="AO165" s="1">
        <v>36511.0</v>
      </c>
      <c r="AP165" s="1">
        <v>13.987</v>
      </c>
      <c r="AR165" s="1">
        <v>1306.0</v>
      </c>
      <c r="AS165" s="1">
        <v>220.0</v>
      </c>
      <c r="AT165" s="1">
        <v>5.936</v>
      </c>
      <c r="AU165" s="1">
        <v>62.25</v>
      </c>
      <c r="AV165" s="1" t="s">
        <v>990</v>
      </c>
      <c r="AW165" s="1">
        <v>5.339</v>
      </c>
      <c r="AX165" s="1">
        <v>2.0</v>
      </c>
      <c r="AY165" s="1">
        <v>1.0</v>
      </c>
      <c r="AZ165" s="1">
        <v>2.0</v>
      </c>
      <c r="BA165" s="1">
        <v>9.0</v>
      </c>
      <c r="BB165" s="1">
        <v>4.0</v>
      </c>
      <c r="BC165" s="1">
        <v>0.0</v>
      </c>
      <c r="BD165" s="1">
        <v>0.53</v>
      </c>
      <c r="BE165" s="1">
        <v>134.0</v>
      </c>
      <c r="BF165" s="1">
        <v>51.0</v>
      </c>
      <c r="BG165" s="1">
        <v>0.0</v>
      </c>
      <c r="BH165" s="1">
        <v>16.0</v>
      </c>
      <c r="BI165" s="1">
        <v>8.0</v>
      </c>
      <c r="BJ165" s="1">
        <v>0.0</v>
      </c>
      <c r="BO165" s="1" t="s">
        <v>1528</v>
      </c>
      <c r="BP165" s="1">
        <v>1.123</v>
      </c>
      <c r="BU165" s="1" t="s">
        <v>974</v>
      </c>
      <c r="BV165" s="1">
        <v>1.1</v>
      </c>
      <c r="BW165" s="1">
        <v>44.0</v>
      </c>
      <c r="BX165" s="1">
        <v>4801.029</v>
      </c>
      <c r="BY165" s="1">
        <v>8070.534</v>
      </c>
      <c r="BZ165" s="1">
        <v>11401.071</v>
      </c>
      <c r="CA165" s="1">
        <v>20011.621</v>
      </c>
      <c r="CB165" s="1">
        <v>565.0</v>
      </c>
      <c r="CC165" s="1">
        <v>0.005</v>
      </c>
      <c r="CD165" s="1">
        <v>704364.0</v>
      </c>
      <c r="CE165" s="1">
        <v>1350.0</v>
      </c>
      <c r="CF165" s="1">
        <v>167.0</v>
      </c>
      <c r="CG165" s="1">
        <v>2694851.0</v>
      </c>
      <c r="CH165" s="1">
        <v>37014.0</v>
      </c>
      <c r="CI165" s="1">
        <v>2.0</v>
      </c>
      <c r="CJ165" s="1">
        <v>65672.0</v>
      </c>
      <c r="CK165" s="1">
        <v>15.0</v>
      </c>
      <c r="CL165" s="1">
        <v>177392.0</v>
      </c>
      <c r="CM165" s="1">
        <v>43.0</v>
      </c>
      <c r="CN165" s="1">
        <v>1747996.0</v>
      </c>
      <c r="CO165" s="1">
        <v>68.0</v>
      </c>
      <c r="CP165" s="1">
        <v>640723.0</v>
      </c>
      <c r="CQ165" s="1">
        <v>10.0</v>
      </c>
      <c r="CR165" s="1">
        <v>0.0</v>
      </c>
      <c r="CS165" s="1">
        <v>0.0</v>
      </c>
      <c r="CT165" s="1">
        <v>26054.0</v>
      </c>
      <c r="CU165" s="1">
        <v>29.0</v>
      </c>
      <c r="CV165" s="1">
        <v>1832313.0</v>
      </c>
      <c r="CW165" s="1">
        <v>66.0</v>
      </c>
      <c r="DC165" s="1">
        <v>0.0</v>
      </c>
      <c r="DD165" s="1">
        <v>5075.0</v>
      </c>
      <c r="DE165" s="1">
        <v>0.0</v>
      </c>
      <c r="DF165" s="1">
        <v>3401.0</v>
      </c>
      <c r="DG165" s="1">
        <v>450.0</v>
      </c>
      <c r="DH165" s="1">
        <v>108278.0</v>
      </c>
      <c r="DI165" s="1">
        <v>900.0</v>
      </c>
      <c r="DJ165" s="1">
        <v>587610.0</v>
      </c>
      <c r="DK165" s="1">
        <v>1900.226</v>
      </c>
      <c r="DL165" s="1" t="s">
        <v>975</v>
      </c>
      <c r="DM165" s="1">
        <v>3338.964</v>
      </c>
      <c r="DN165" s="1" t="s">
        <v>975</v>
      </c>
      <c r="DO165" s="1">
        <v>2694852.0</v>
      </c>
      <c r="DP165" s="1">
        <v>1.0</v>
      </c>
      <c r="DQ165" s="1" t="s">
        <v>976</v>
      </c>
      <c r="DR165" s="1" t="s">
        <v>1464</v>
      </c>
      <c r="DS165" s="1" t="s">
        <v>978</v>
      </c>
      <c r="DT165" s="1" t="s">
        <v>979</v>
      </c>
      <c r="DU165" s="1" t="s">
        <v>980</v>
      </c>
      <c r="DV165" s="1">
        <v>17597.0</v>
      </c>
      <c r="DX165" s="1">
        <v>4276.0</v>
      </c>
      <c r="DY165" s="1">
        <v>653224.0</v>
      </c>
      <c r="DZ165" s="1" t="s">
        <v>994</v>
      </c>
      <c r="EA165" s="1">
        <v>899.0</v>
      </c>
      <c r="EB165" s="1">
        <v>4453.0</v>
      </c>
      <c r="EC165" s="1">
        <v>43.0</v>
      </c>
      <c r="ED165" s="1">
        <v>26492.0</v>
      </c>
      <c r="EF165" s="1">
        <v>225.0</v>
      </c>
      <c r="EG165" s="1" t="s">
        <v>1032</v>
      </c>
      <c r="EH165" s="1">
        <v>100.0</v>
      </c>
      <c r="EK165" s="1">
        <v>100.0</v>
      </c>
      <c r="EQ165" s="9" t="s">
        <v>1522</v>
      </c>
      <c r="ER165" s="21">
        <v>46045.297951388886</v>
      </c>
    </row>
    <row r="166">
      <c r="A166" s="9" t="s">
        <v>1529</v>
      </c>
      <c r="B166" s="20" t="str">
        <f>IFERROR(__xludf.DUMMYFUNCTION("REGEXREPLACE(A166, ""^https?://[^/]+"", """")"),"/improving-your-sales-recruitment-and-hiring-process/")</f>
        <v>/improving-your-sales-recruitment-and-hiring-process/</v>
      </c>
      <c r="C166" s="1" t="s">
        <v>1530</v>
      </c>
      <c r="D166" s="1" t="s">
        <v>1531</v>
      </c>
      <c r="E166" s="1" t="s">
        <v>1532</v>
      </c>
      <c r="F166" s="1" t="s">
        <v>965</v>
      </c>
      <c r="G166" s="1">
        <v>200.0</v>
      </c>
      <c r="H166" s="1" t="s">
        <v>966</v>
      </c>
      <c r="I166" s="1" t="s">
        <v>967</v>
      </c>
      <c r="K166" s="1" t="s">
        <v>1533</v>
      </c>
      <c r="L166" s="1">
        <v>76.0</v>
      </c>
      <c r="M166" s="1">
        <v>692.0</v>
      </c>
      <c r="O166" s="1">
        <v>0.0</v>
      </c>
      <c r="P166" s="1">
        <v>0.0</v>
      </c>
      <c r="Q166" s="1" t="s">
        <v>1534</v>
      </c>
      <c r="R166" s="1">
        <v>153.0</v>
      </c>
      <c r="S166" s="1">
        <v>926.0</v>
      </c>
      <c r="U166" s="1">
        <v>0.0</v>
      </c>
      <c r="V166" s="1" t="s">
        <v>1530</v>
      </c>
      <c r="W166" s="1">
        <v>51.0</v>
      </c>
      <c r="Y166" s="1">
        <v>0.0</v>
      </c>
      <c r="Z166" s="1" t="s">
        <v>1531</v>
      </c>
      <c r="AA166" s="1">
        <v>16.0</v>
      </c>
      <c r="AB166" s="1" t="s">
        <v>1532</v>
      </c>
      <c r="AC166" s="1">
        <v>11.0</v>
      </c>
      <c r="AD166" s="1" t="s">
        <v>971</v>
      </c>
      <c r="AG166" s="9" t="s">
        <v>1529</v>
      </c>
      <c r="AM166" s="1">
        <v>190159.0</v>
      </c>
      <c r="AN166" s="1">
        <v>34322.0</v>
      </c>
      <c r="AO166" s="1">
        <v>34322.0</v>
      </c>
      <c r="AP166" s="1">
        <v>13.148</v>
      </c>
      <c r="AR166" s="1">
        <v>1105.0</v>
      </c>
      <c r="AS166" s="1">
        <v>171.0</v>
      </c>
      <c r="AT166" s="1">
        <v>6.462</v>
      </c>
      <c r="AU166" s="1">
        <v>62.696</v>
      </c>
      <c r="AV166" s="1" t="s">
        <v>990</v>
      </c>
      <c r="AW166" s="1">
        <v>4.849</v>
      </c>
      <c r="AX166" s="1">
        <v>2.0</v>
      </c>
      <c r="AY166" s="1">
        <v>1.0</v>
      </c>
      <c r="AZ166" s="1">
        <v>2.0</v>
      </c>
      <c r="BA166" s="1">
        <v>11.0</v>
      </c>
      <c r="BB166" s="1">
        <v>4.0</v>
      </c>
      <c r="BC166" s="1">
        <v>0.0</v>
      </c>
      <c r="BD166" s="1">
        <v>0.53</v>
      </c>
      <c r="BE166" s="1">
        <v>129.0</v>
      </c>
      <c r="BF166" s="1">
        <v>47.0</v>
      </c>
      <c r="BG166" s="1">
        <v>0.0</v>
      </c>
      <c r="BH166" s="1">
        <v>16.0</v>
      </c>
      <c r="BI166" s="1">
        <v>8.0</v>
      </c>
      <c r="BJ166" s="1">
        <v>0.0</v>
      </c>
      <c r="BO166" s="1" t="s">
        <v>1535</v>
      </c>
      <c r="BP166" s="1">
        <v>1.049</v>
      </c>
      <c r="BU166" s="1" t="s">
        <v>974</v>
      </c>
      <c r="BV166" s="1">
        <v>1.1</v>
      </c>
      <c r="BW166" s="1">
        <v>38.0</v>
      </c>
      <c r="BX166" s="1">
        <v>3451.043</v>
      </c>
      <c r="BY166" s="1">
        <v>7599.695</v>
      </c>
      <c r="BZ166" s="1">
        <v>11477.152</v>
      </c>
      <c r="CA166" s="1">
        <v>20092.705</v>
      </c>
      <c r="CB166" s="1">
        <v>1097.0</v>
      </c>
      <c r="CC166" s="1">
        <v>0.002</v>
      </c>
      <c r="CD166" s="1">
        <v>703474.0</v>
      </c>
      <c r="CE166" s="1">
        <v>1500.0</v>
      </c>
      <c r="CF166" s="1">
        <v>175.0</v>
      </c>
      <c r="CG166" s="1">
        <v>2694912.0</v>
      </c>
      <c r="CH166" s="1">
        <v>35249.0</v>
      </c>
      <c r="CI166" s="1">
        <v>2.0</v>
      </c>
      <c r="CJ166" s="1">
        <v>66549.0</v>
      </c>
      <c r="CK166" s="1">
        <v>22.0</v>
      </c>
      <c r="CL166" s="1">
        <v>177404.0</v>
      </c>
      <c r="CM166" s="1">
        <v>43.0</v>
      </c>
      <c r="CN166" s="1">
        <v>1748483.0</v>
      </c>
      <c r="CO166" s="1">
        <v>68.0</v>
      </c>
      <c r="CP166" s="1">
        <v>640729.0</v>
      </c>
      <c r="CQ166" s="1">
        <v>10.0</v>
      </c>
      <c r="CR166" s="1">
        <v>0.0</v>
      </c>
      <c r="CS166" s="1">
        <v>0.0</v>
      </c>
      <c r="CT166" s="1">
        <v>26498.0</v>
      </c>
      <c r="CU166" s="1">
        <v>30.0</v>
      </c>
      <c r="CV166" s="1">
        <v>1834248.0</v>
      </c>
      <c r="CW166" s="1">
        <v>74.0</v>
      </c>
      <c r="DC166" s="1">
        <v>0.0</v>
      </c>
      <c r="DD166" s="1">
        <v>5075.0</v>
      </c>
      <c r="DE166" s="1">
        <v>0.0</v>
      </c>
      <c r="DF166" s="1">
        <v>3396.0</v>
      </c>
      <c r="DG166" s="1">
        <v>450.0</v>
      </c>
      <c r="DH166" s="1">
        <v>108278.0</v>
      </c>
      <c r="DI166" s="1">
        <v>1050.0</v>
      </c>
      <c r="DJ166" s="1">
        <v>586725.0</v>
      </c>
      <c r="DK166" s="1">
        <v>2942.72</v>
      </c>
      <c r="DL166" s="1" t="s">
        <v>975</v>
      </c>
      <c r="DM166" s="1">
        <v>4947.134</v>
      </c>
      <c r="DN166" s="1" t="s">
        <v>975</v>
      </c>
      <c r="DO166" s="1">
        <v>2694063.0</v>
      </c>
      <c r="DP166" s="1">
        <v>1.0</v>
      </c>
      <c r="DQ166" s="1" t="s">
        <v>976</v>
      </c>
      <c r="DR166" s="1" t="s">
        <v>993</v>
      </c>
      <c r="DS166" s="1" t="s">
        <v>978</v>
      </c>
      <c r="DT166" s="1" t="s">
        <v>979</v>
      </c>
      <c r="DU166" s="1" t="s">
        <v>980</v>
      </c>
      <c r="DV166" s="1">
        <v>16847.0</v>
      </c>
      <c r="DX166" s="1">
        <v>3605.0</v>
      </c>
      <c r="DY166" s="1">
        <v>653240.0</v>
      </c>
      <c r="DZ166" s="1" t="s">
        <v>994</v>
      </c>
      <c r="EA166" s="1">
        <v>849.0</v>
      </c>
      <c r="EB166" s="1">
        <v>4453.0</v>
      </c>
      <c r="EC166" s="1">
        <v>74.0</v>
      </c>
      <c r="ED166" s="1">
        <v>26492.0</v>
      </c>
      <c r="EF166" s="1">
        <v>230.0</v>
      </c>
      <c r="EG166" s="1" t="s">
        <v>1032</v>
      </c>
      <c r="EH166" s="1">
        <v>100.0</v>
      </c>
      <c r="EK166" s="1">
        <v>100.0</v>
      </c>
      <c r="EQ166" s="9" t="s">
        <v>1529</v>
      </c>
      <c r="ER166" s="21">
        <v>46045.297951388886</v>
      </c>
    </row>
    <row r="167">
      <c r="A167" s="9" t="s">
        <v>1536</v>
      </c>
      <c r="B167" s="20" t="str">
        <f>IFERROR(__xludf.DUMMYFUNCTION("REGEXREPLACE(A167, ""^https?://[^/]+"", """")"),"/wp-content/uploads/elementor/google-fonts/css/roboto.css?ver=1744026360")</f>
        <v>/wp-content/uploads/elementor/google-fonts/css/roboto.css?ver=1744026360</v>
      </c>
      <c r="F167" s="1" t="s">
        <v>1016</v>
      </c>
      <c r="G167" s="1">
        <v>200.0</v>
      </c>
      <c r="H167" s="1" t="s">
        <v>966</v>
      </c>
      <c r="I167" s="1" t="s">
        <v>967</v>
      </c>
      <c r="L167" s="1">
        <v>0.0</v>
      </c>
      <c r="M167" s="1">
        <v>0.0</v>
      </c>
      <c r="O167" s="1">
        <v>0.0</v>
      </c>
      <c r="P167" s="1">
        <v>0.0</v>
      </c>
      <c r="R167" s="1">
        <v>0.0</v>
      </c>
      <c r="S167" s="1">
        <v>0.0</v>
      </c>
      <c r="U167" s="1">
        <v>0.0</v>
      </c>
      <c r="W167" s="1">
        <v>0.0</v>
      </c>
      <c r="Y167" s="1">
        <v>0.0</v>
      </c>
      <c r="AA167" s="1">
        <v>0.0</v>
      </c>
      <c r="AC167" s="1">
        <v>0.0</v>
      </c>
      <c r="AM167" s="1">
        <v>2849.0</v>
      </c>
      <c r="AN167" s="1">
        <v>2849.0</v>
      </c>
      <c r="AO167" s="1">
        <v>2849.0</v>
      </c>
      <c r="AP167" s="1">
        <v>1.091</v>
      </c>
      <c r="AR167" s="1">
        <v>0.0</v>
      </c>
      <c r="AW167" s="1">
        <v>0.0</v>
      </c>
      <c r="AX167" s="1">
        <v>2.0</v>
      </c>
      <c r="AY167" s="1">
        <v>5.0</v>
      </c>
      <c r="BA167" s="1">
        <v>0.0</v>
      </c>
      <c r="BB167" s="1">
        <v>0.0</v>
      </c>
      <c r="BC167" s="1">
        <v>0.0</v>
      </c>
      <c r="BD167" s="1">
        <v>0.0</v>
      </c>
      <c r="BE167" s="1">
        <v>0.0</v>
      </c>
      <c r="BF167" s="1">
        <v>0.0</v>
      </c>
      <c r="BG167" s="1">
        <v>0.0</v>
      </c>
      <c r="BH167" s="1">
        <v>0.0</v>
      </c>
      <c r="BI167" s="1">
        <v>0.0</v>
      </c>
      <c r="BJ167" s="1">
        <v>0.0</v>
      </c>
      <c r="BP167" s="1">
        <v>0.3</v>
      </c>
      <c r="BQ167" s="1" t="s">
        <v>1537</v>
      </c>
      <c r="BV167" s="1">
        <v>1.1</v>
      </c>
      <c r="EQ167" s="9" t="s">
        <v>1536</v>
      </c>
      <c r="ER167" s="21">
        <v>46045.29797453704</v>
      </c>
    </row>
    <row r="168">
      <c r="A168" s="9" t="s">
        <v>1538</v>
      </c>
      <c r="B168" s="20" t="str">
        <f>IFERROR(__xludf.DUMMYFUNCTION("REGEXREPLACE(A168, ""^https?://[^/]+"", """")"),"/wp-content/uploads/2026/01/SAO-YT-Thumbnail-Donald-Miller-1024x576.jpg")</f>
        <v>/wp-content/uploads/2026/01/SAO-YT-Thumbnail-Donald-Miller-1024x576.jpg</v>
      </c>
      <c r="F168" s="1" t="s">
        <v>1004</v>
      </c>
      <c r="G168" s="1">
        <v>200.0</v>
      </c>
      <c r="H168" s="1" t="s">
        <v>966</v>
      </c>
      <c r="I168" s="1" t="s">
        <v>967</v>
      </c>
      <c r="L168" s="1">
        <v>0.0</v>
      </c>
      <c r="M168" s="1">
        <v>0.0</v>
      </c>
      <c r="O168" s="1">
        <v>0.0</v>
      </c>
      <c r="P168" s="1">
        <v>0.0</v>
      </c>
      <c r="R168" s="1">
        <v>0.0</v>
      </c>
      <c r="S168" s="1">
        <v>0.0</v>
      </c>
      <c r="U168" s="1">
        <v>0.0</v>
      </c>
      <c r="W168" s="1">
        <v>0.0</v>
      </c>
      <c r="Y168" s="1">
        <v>0.0</v>
      </c>
      <c r="AA168" s="1">
        <v>0.0</v>
      </c>
      <c r="AC168" s="1">
        <v>0.0</v>
      </c>
      <c r="AM168" s="1">
        <v>74854.0</v>
      </c>
      <c r="AN168" s="1">
        <v>74854.0</v>
      </c>
      <c r="AO168" s="1">
        <v>74854.0</v>
      </c>
      <c r="AP168" s="1">
        <v>28.675</v>
      </c>
      <c r="AR168" s="1">
        <v>0.0</v>
      </c>
      <c r="AW168" s="1">
        <v>0.0</v>
      </c>
      <c r="AX168" s="1">
        <v>2.0</v>
      </c>
      <c r="AY168" s="1">
        <v>4.0</v>
      </c>
      <c r="BA168" s="1">
        <v>0.0</v>
      </c>
      <c r="BB168" s="1">
        <v>0.0</v>
      </c>
      <c r="BC168" s="1">
        <v>0.0</v>
      </c>
      <c r="BD168" s="1">
        <v>0.0</v>
      </c>
      <c r="BE168" s="1">
        <v>0.0</v>
      </c>
      <c r="BF168" s="1">
        <v>0.0</v>
      </c>
      <c r="BG168" s="1">
        <v>0.0</v>
      </c>
      <c r="BH168" s="1">
        <v>0.0</v>
      </c>
      <c r="BI168" s="1">
        <v>0.0</v>
      </c>
      <c r="BJ168" s="1">
        <v>0.0</v>
      </c>
      <c r="BP168" s="1">
        <v>0.335</v>
      </c>
      <c r="BQ168" s="1" t="s">
        <v>1539</v>
      </c>
      <c r="BV168" s="1">
        <v>1.1</v>
      </c>
      <c r="EQ168" s="9" t="s">
        <v>1538</v>
      </c>
      <c r="ER168" s="21">
        <v>46045.29797453704</v>
      </c>
    </row>
    <row r="169">
      <c r="A169" s="9" t="s">
        <v>1540</v>
      </c>
      <c r="B169" s="20" t="str">
        <f>IFERROR(__xludf.DUMMYFUNCTION("REGEXREPLACE(A169, ""^https?://[^/]+"", """")"),"/your-most-valuable-resource-the-right-people-in-the-right-positions/")</f>
        <v>/your-most-valuable-resource-the-right-people-in-the-right-positions/</v>
      </c>
      <c r="C169" s="1" t="s">
        <v>1541</v>
      </c>
      <c r="F169" s="1" t="s">
        <v>965</v>
      </c>
      <c r="G169" s="1">
        <v>200.0</v>
      </c>
      <c r="H169" s="1" t="s">
        <v>966</v>
      </c>
      <c r="I169" s="1" t="s">
        <v>967</v>
      </c>
      <c r="K169" s="1" t="s">
        <v>1542</v>
      </c>
      <c r="L169" s="1">
        <v>93.0</v>
      </c>
      <c r="M169" s="1">
        <v>833.0</v>
      </c>
      <c r="O169" s="1">
        <v>0.0</v>
      </c>
      <c r="P169" s="1">
        <v>0.0</v>
      </c>
      <c r="Q169" s="1" t="s">
        <v>1543</v>
      </c>
      <c r="R169" s="1">
        <v>150.0</v>
      </c>
      <c r="S169" s="1">
        <v>922.0</v>
      </c>
      <c r="U169" s="1">
        <v>0.0</v>
      </c>
      <c r="V169" s="1" t="s">
        <v>1541</v>
      </c>
      <c r="W169" s="1">
        <v>68.0</v>
      </c>
      <c r="Y169" s="1">
        <v>0.0</v>
      </c>
      <c r="AA169" s="1">
        <v>0.0</v>
      </c>
      <c r="AC169" s="1">
        <v>0.0</v>
      </c>
      <c r="AD169" s="1" t="s">
        <v>971</v>
      </c>
      <c r="AG169" s="9" t="s">
        <v>1540</v>
      </c>
      <c r="AM169" s="1">
        <v>198347.0</v>
      </c>
      <c r="AN169" s="1">
        <v>34836.0</v>
      </c>
      <c r="AO169" s="1">
        <v>34836.0</v>
      </c>
      <c r="AP169" s="1">
        <v>13.345</v>
      </c>
      <c r="AR169" s="1">
        <v>1039.0</v>
      </c>
      <c r="AS169" s="1">
        <v>163.0</v>
      </c>
      <c r="AT169" s="1">
        <v>6.374</v>
      </c>
      <c r="AU169" s="1">
        <v>60.722</v>
      </c>
      <c r="AV169" s="1" t="s">
        <v>990</v>
      </c>
      <c r="AW169" s="1">
        <v>4.438</v>
      </c>
      <c r="AX169" s="1">
        <v>2.0</v>
      </c>
      <c r="AY169" s="1">
        <v>1.0</v>
      </c>
      <c r="AZ169" s="1">
        <v>2.0</v>
      </c>
      <c r="BA169" s="1">
        <v>11.0</v>
      </c>
      <c r="BB169" s="1">
        <v>4.0</v>
      </c>
      <c r="BC169" s="1">
        <v>0.0</v>
      </c>
      <c r="BD169" s="1">
        <v>0.53</v>
      </c>
      <c r="BE169" s="1">
        <v>130.0</v>
      </c>
      <c r="BF169" s="1">
        <v>48.0</v>
      </c>
      <c r="BG169" s="1">
        <v>0.0</v>
      </c>
      <c r="BH169" s="1">
        <v>16.0</v>
      </c>
      <c r="BI169" s="1">
        <v>8.0</v>
      </c>
      <c r="BJ169" s="1">
        <v>0.0</v>
      </c>
      <c r="BO169" s="1" t="s">
        <v>1544</v>
      </c>
      <c r="BP169" s="1">
        <v>1.083</v>
      </c>
      <c r="BU169" s="1" t="s">
        <v>974</v>
      </c>
      <c r="BV169" s="1">
        <v>1.1</v>
      </c>
      <c r="BW169" s="1">
        <v>49.0</v>
      </c>
      <c r="BX169" s="1">
        <v>4351.031</v>
      </c>
      <c r="BY169" s="1">
        <v>6337.331</v>
      </c>
      <c r="BZ169" s="1">
        <v>9977.075</v>
      </c>
      <c r="CA169" s="1">
        <v>20159.838</v>
      </c>
      <c r="CB169" s="1">
        <v>464.5</v>
      </c>
      <c r="CC169" s="1">
        <v>0.0</v>
      </c>
      <c r="CD169" s="1">
        <v>703565.0</v>
      </c>
      <c r="CE169" s="1">
        <v>1650.0</v>
      </c>
      <c r="CF169" s="1">
        <v>175.0</v>
      </c>
      <c r="CG169" s="1">
        <v>2696386.0</v>
      </c>
      <c r="CH169" s="1">
        <v>35615.0</v>
      </c>
      <c r="CI169" s="1">
        <v>2.0</v>
      </c>
      <c r="CJ169" s="1">
        <v>67438.0</v>
      </c>
      <c r="CK169" s="1">
        <v>22.0</v>
      </c>
      <c r="CL169" s="1">
        <v>177408.0</v>
      </c>
      <c r="CM169" s="1">
        <v>43.0</v>
      </c>
      <c r="CN169" s="1">
        <v>1748228.0</v>
      </c>
      <c r="CO169" s="1">
        <v>68.0</v>
      </c>
      <c r="CP169" s="1">
        <v>640727.0</v>
      </c>
      <c r="CQ169" s="1">
        <v>10.0</v>
      </c>
      <c r="CR169" s="1">
        <v>0.0</v>
      </c>
      <c r="CS169" s="1">
        <v>0.0</v>
      </c>
      <c r="CT169" s="1">
        <v>26970.0</v>
      </c>
      <c r="CU169" s="1">
        <v>30.0</v>
      </c>
      <c r="CV169" s="1">
        <v>1833244.0</v>
      </c>
      <c r="CW169" s="1">
        <v>72.0</v>
      </c>
      <c r="DC169" s="1">
        <v>150.0</v>
      </c>
      <c r="DD169" s="1">
        <v>5077.0</v>
      </c>
      <c r="DE169" s="1">
        <v>0.0</v>
      </c>
      <c r="DF169" s="1">
        <v>3396.0</v>
      </c>
      <c r="DG169" s="1">
        <v>600.0</v>
      </c>
      <c r="DH169" s="1">
        <v>108324.0</v>
      </c>
      <c r="DI169" s="1">
        <v>900.0</v>
      </c>
      <c r="DJ169" s="1">
        <v>586768.0</v>
      </c>
      <c r="DK169" s="1">
        <v>1778.747</v>
      </c>
      <c r="DL169" s="1" t="s">
        <v>975</v>
      </c>
      <c r="DM169" s="1">
        <v>3268.985</v>
      </c>
      <c r="DN169" s="1" t="s">
        <v>975</v>
      </c>
      <c r="DO169" s="1">
        <v>2695339.0</v>
      </c>
      <c r="DP169" s="1">
        <v>1.0</v>
      </c>
      <c r="DQ169" s="1" t="s">
        <v>976</v>
      </c>
      <c r="DR169" s="1" t="s">
        <v>1464</v>
      </c>
      <c r="DS169" s="1" t="s">
        <v>978</v>
      </c>
      <c r="DT169" s="1" t="s">
        <v>979</v>
      </c>
      <c r="DU169" s="1" t="s">
        <v>980</v>
      </c>
      <c r="DV169" s="1">
        <v>17447.0</v>
      </c>
      <c r="DX169" s="1">
        <v>3923.0</v>
      </c>
      <c r="DY169" s="1">
        <v>653239.0</v>
      </c>
      <c r="EA169" s="1">
        <v>850.0</v>
      </c>
      <c r="EB169" s="1">
        <v>4453.0</v>
      </c>
      <c r="EC169" s="1">
        <v>1.0</v>
      </c>
      <c r="ED169" s="1">
        <v>26492.0</v>
      </c>
      <c r="EF169" s="1">
        <v>225.0</v>
      </c>
      <c r="EG169" s="1" t="s">
        <v>1032</v>
      </c>
      <c r="EH169" s="1">
        <v>100.0</v>
      </c>
      <c r="EK169" s="1">
        <v>100.0</v>
      </c>
      <c r="EQ169" s="9" t="s">
        <v>1540</v>
      </c>
      <c r="ER169" s="21">
        <v>46045.29796296296</v>
      </c>
    </row>
    <row r="170">
      <c r="A170" s="9" t="s">
        <v>1545</v>
      </c>
      <c r="B170" s="20" t="str">
        <f>IFERROR(__xludf.DUMMYFUNCTION("REGEXREPLACE(A170, ""^https?://[^/]+"", """")"),"/wp-content/uploads/elementor/css/post-7.css?ver=1768846382")</f>
        <v>/wp-content/uploads/elementor/css/post-7.css?ver=1768846382</v>
      </c>
      <c r="F170" s="1" t="s">
        <v>1016</v>
      </c>
      <c r="G170" s="1">
        <v>200.0</v>
      </c>
      <c r="H170" s="1" t="s">
        <v>966</v>
      </c>
      <c r="I170" s="1" t="s">
        <v>967</v>
      </c>
      <c r="L170" s="1">
        <v>0.0</v>
      </c>
      <c r="M170" s="1">
        <v>0.0</v>
      </c>
      <c r="O170" s="1">
        <v>0.0</v>
      </c>
      <c r="P170" s="1">
        <v>0.0</v>
      </c>
      <c r="R170" s="1">
        <v>0.0</v>
      </c>
      <c r="S170" s="1">
        <v>0.0</v>
      </c>
      <c r="U170" s="1">
        <v>0.0</v>
      </c>
      <c r="W170" s="1">
        <v>0.0</v>
      </c>
      <c r="Y170" s="1">
        <v>0.0</v>
      </c>
      <c r="AA170" s="1">
        <v>0.0</v>
      </c>
      <c r="AC170" s="1">
        <v>0.0</v>
      </c>
      <c r="AM170" s="1">
        <v>1220.0</v>
      </c>
      <c r="AN170" s="1">
        <v>1220.0</v>
      </c>
      <c r="AO170" s="1">
        <v>1220.0</v>
      </c>
      <c r="AP170" s="1">
        <v>0.467</v>
      </c>
      <c r="AR170" s="1">
        <v>0.0</v>
      </c>
      <c r="AW170" s="1">
        <v>0.0</v>
      </c>
      <c r="AX170" s="1">
        <v>2.0</v>
      </c>
      <c r="AY170" s="1">
        <v>4.0</v>
      </c>
      <c r="BA170" s="1">
        <v>0.0</v>
      </c>
      <c r="BB170" s="1">
        <v>0.0</v>
      </c>
      <c r="BC170" s="1">
        <v>0.0</v>
      </c>
      <c r="BD170" s="1">
        <v>0.0</v>
      </c>
      <c r="BE170" s="1">
        <v>0.0</v>
      </c>
      <c r="BF170" s="1">
        <v>0.0</v>
      </c>
      <c r="BG170" s="1">
        <v>0.0</v>
      </c>
      <c r="BH170" s="1">
        <v>0.0</v>
      </c>
      <c r="BI170" s="1">
        <v>0.0</v>
      </c>
      <c r="BJ170" s="1">
        <v>0.0</v>
      </c>
      <c r="BP170" s="1">
        <v>0.686</v>
      </c>
      <c r="BQ170" s="1" t="s">
        <v>1546</v>
      </c>
      <c r="BV170" s="1">
        <v>1.1</v>
      </c>
      <c r="EQ170" s="9" t="s">
        <v>1545</v>
      </c>
      <c r="ER170" s="21">
        <v>46045.29797453704</v>
      </c>
    </row>
    <row r="171">
      <c r="A171" s="9" t="s">
        <v>1547</v>
      </c>
      <c r="B171" s="20" t="str">
        <f>IFERROR(__xludf.DUMMYFUNCTION("REGEXREPLACE(A171, ""^https?://[^/]+"", """")"),"/wp-content/uploads/2025/05/SX_Sales-Process-1024x245.png")</f>
        <v>/wp-content/uploads/2025/05/SX_Sales-Process-1024x245.png</v>
      </c>
      <c r="F171" s="1" t="s">
        <v>1047</v>
      </c>
      <c r="G171" s="1">
        <v>200.0</v>
      </c>
      <c r="H171" s="1" t="s">
        <v>966</v>
      </c>
      <c r="I171" s="1" t="s">
        <v>967</v>
      </c>
      <c r="L171" s="1">
        <v>0.0</v>
      </c>
      <c r="M171" s="1">
        <v>0.0</v>
      </c>
      <c r="O171" s="1">
        <v>0.0</v>
      </c>
      <c r="P171" s="1">
        <v>0.0</v>
      </c>
      <c r="R171" s="1">
        <v>0.0</v>
      </c>
      <c r="S171" s="1">
        <v>0.0</v>
      </c>
      <c r="U171" s="1">
        <v>0.0</v>
      </c>
      <c r="W171" s="1">
        <v>0.0</v>
      </c>
      <c r="Y171" s="1">
        <v>0.0</v>
      </c>
      <c r="AA171" s="1">
        <v>0.0</v>
      </c>
      <c r="AC171" s="1">
        <v>0.0</v>
      </c>
      <c r="AM171" s="1">
        <v>61677.0</v>
      </c>
      <c r="AN171" s="1">
        <v>61677.0</v>
      </c>
      <c r="AO171" s="1">
        <v>61677.0</v>
      </c>
      <c r="AP171" s="1">
        <v>23.627</v>
      </c>
      <c r="AR171" s="1">
        <v>0.0</v>
      </c>
      <c r="AW171" s="1">
        <v>0.0</v>
      </c>
      <c r="AX171" s="1">
        <v>2.0</v>
      </c>
      <c r="AY171" s="1">
        <v>4.0</v>
      </c>
      <c r="BA171" s="1">
        <v>0.0</v>
      </c>
      <c r="BB171" s="1">
        <v>0.0</v>
      </c>
      <c r="BC171" s="1">
        <v>0.0</v>
      </c>
      <c r="BD171" s="1">
        <v>0.0</v>
      </c>
      <c r="BE171" s="1">
        <v>0.0</v>
      </c>
      <c r="BF171" s="1">
        <v>0.0</v>
      </c>
      <c r="BG171" s="1">
        <v>0.0</v>
      </c>
      <c r="BH171" s="1">
        <v>0.0</v>
      </c>
      <c r="BI171" s="1">
        <v>0.0</v>
      </c>
      <c r="BJ171" s="1">
        <v>0.0</v>
      </c>
      <c r="BP171" s="1">
        <v>0.579</v>
      </c>
      <c r="BQ171" s="1" t="s">
        <v>1548</v>
      </c>
      <c r="BV171" s="1">
        <v>1.1</v>
      </c>
      <c r="EQ171" s="9" t="s">
        <v>1547</v>
      </c>
      <c r="ER171" s="21">
        <v>46045.29797453704</v>
      </c>
    </row>
    <row r="172">
      <c r="A172" s="9" t="s">
        <v>1549</v>
      </c>
      <c r="B172" s="20" t="str">
        <f>IFERROR(__xludf.DUMMYFUNCTION("REGEXREPLACE(A172, ""^https?://[^/]+"", """")"),"/compensation-plan-errors-to-avoid/")</f>
        <v>/compensation-plan-errors-to-avoid/</v>
      </c>
      <c r="C172" s="1" t="s">
        <v>1550</v>
      </c>
      <c r="D172" s="1" t="s">
        <v>1551</v>
      </c>
      <c r="E172" s="1" t="s">
        <v>1552</v>
      </c>
      <c r="F172" s="1" t="s">
        <v>965</v>
      </c>
      <c r="G172" s="1">
        <v>200.0</v>
      </c>
      <c r="H172" s="1" t="s">
        <v>966</v>
      </c>
      <c r="I172" s="1" t="s">
        <v>967</v>
      </c>
      <c r="K172" s="1" t="s">
        <v>1553</v>
      </c>
      <c r="L172" s="1">
        <v>58.0</v>
      </c>
      <c r="M172" s="1">
        <v>526.0</v>
      </c>
      <c r="O172" s="1">
        <v>0.0</v>
      </c>
      <c r="P172" s="1">
        <v>0.0</v>
      </c>
      <c r="Q172" s="1" t="s">
        <v>1554</v>
      </c>
      <c r="R172" s="1">
        <v>153.0</v>
      </c>
      <c r="S172" s="1">
        <v>955.0</v>
      </c>
      <c r="U172" s="1">
        <v>0.0</v>
      </c>
      <c r="V172" s="1" t="s">
        <v>1550</v>
      </c>
      <c r="W172" s="1">
        <v>33.0</v>
      </c>
      <c r="Y172" s="1">
        <v>0.0</v>
      </c>
      <c r="Z172" s="1" t="s">
        <v>1551</v>
      </c>
      <c r="AA172" s="1">
        <v>61.0</v>
      </c>
      <c r="AB172" s="1" t="s">
        <v>1552</v>
      </c>
      <c r="AC172" s="1">
        <v>57.0</v>
      </c>
      <c r="AD172" s="1" t="s">
        <v>971</v>
      </c>
      <c r="AG172" s="9" t="s">
        <v>1549</v>
      </c>
      <c r="AM172" s="1">
        <v>198270.0</v>
      </c>
      <c r="AN172" s="1">
        <v>35007.0</v>
      </c>
      <c r="AO172" s="1">
        <v>35007.0</v>
      </c>
      <c r="AP172" s="1">
        <v>13.411</v>
      </c>
      <c r="AR172" s="1">
        <v>1157.0</v>
      </c>
      <c r="AS172" s="1">
        <v>168.0</v>
      </c>
      <c r="AT172" s="1">
        <v>6.887</v>
      </c>
      <c r="AU172" s="1">
        <v>61.063</v>
      </c>
      <c r="AV172" s="1" t="s">
        <v>990</v>
      </c>
      <c r="AW172" s="1">
        <v>4.811</v>
      </c>
      <c r="AX172" s="1">
        <v>2.0</v>
      </c>
      <c r="AY172" s="1">
        <v>1.0</v>
      </c>
      <c r="AZ172" s="1">
        <v>2.0</v>
      </c>
      <c r="BA172" s="1">
        <v>11.0</v>
      </c>
      <c r="BB172" s="1">
        <v>4.0</v>
      </c>
      <c r="BC172" s="1">
        <v>0.0</v>
      </c>
      <c r="BD172" s="1">
        <v>0.53</v>
      </c>
      <c r="BE172" s="1">
        <v>129.0</v>
      </c>
      <c r="BF172" s="1">
        <v>47.0</v>
      </c>
      <c r="BG172" s="1">
        <v>0.0</v>
      </c>
      <c r="BH172" s="1">
        <v>17.0</v>
      </c>
      <c r="BI172" s="1">
        <v>9.0</v>
      </c>
      <c r="BJ172" s="1">
        <v>0.0</v>
      </c>
      <c r="BO172" s="1" t="s">
        <v>1555</v>
      </c>
      <c r="BP172" s="1">
        <v>2.081</v>
      </c>
      <c r="BU172" s="1" t="s">
        <v>974</v>
      </c>
      <c r="BV172" s="1">
        <v>1.1</v>
      </c>
      <c r="BW172" s="1">
        <v>53.0</v>
      </c>
      <c r="BX172" s="1">
        <v>4801.04</v>
      </c>
      <c r="BY172" s="1">
        <v>7678.631</v>
      </c>
      <c r="BZ172" s="1">
        <v>9602.084</v>
      </c>
      <c r="CA172" s="1">
        <v>19905.307</v>
      </c>
      <c r="CB172" s="1">
        <v>284.5</v>
      </c>
      <c r="CC172" s="1">
        <v>0.0</v>
      </c>
      <c r="CD172" s="1">
        <v>704725.0</v>
      </c>
      <c r="CE172" s="1">
        <v>1350.0</v>
      </c>
      <c r="CF172" s="1">
        <v>173.0</v>
      </c>
      <c r="CG172" s="1">
        <v>2694419.0</v>
      </c>
      <c r="CH172" s="1">
        <v>35726.0</v>
      </c>
      <c r="CI172" s="1">
        <v>2.0</v>
      </c>
      <c r="CJ172" s="1">
        <v>66720.0</v>
      </c>
      <c r="CK172" s="1">
        <v>21.0</v>
      </c>
      <c r="CL172" s="1">
        <v>177404.0</v>
      </c>
      <c r="CM172" s="1">
        <v>43.0</v>
      </c>
      <c r="CN172" s="1">
        <v>1747966.0</v>
      </c>
      <c r="CO172" s="1">
        <v>68.0</v>
      </c>
      <c r="CP172" s="1">
        <v>640717.0</v>
      </c>
      <c r="CQ172" s="1">
        <v>10.0</v>
      </c>
      <c r="CR172" s="1">
        <v>0.0</v>
      </c>
      <c r="CS172" s="1">
        <v>0.0</v>
      </c>
      <c r="CT172" s="1">
        <v>25886.0</v>
      </c>
      <c r="CU172" s="1">
        <v>29.0</v>
      </c>
      <c r="CV172" s="1">
        <v>1833359.0</v>
      </c>
      <c r="CW172" s="1">
        <v>72.0</v>
      </c>
      <c r="DC172" s="1">
        <v>0.0</v>
      </c>
      <c r="DD172" s="1">
        <v>5075.0</v>
      </c>
      <c r="DE172" s="1">
        <v>0.0</v>
      </c>
      <c r="DF172" s="1">
        <v>3396.0</v>
      </c>
      <c r="DG172" s="1">
        <v>600.0</v>
      </c>
      <c r="DH172" s="1">
        <v>108278.0</v>
      </c>
      <c r="DI172" s="1">
        <v>750.0</v>
      </c>
      <c r="DJ172" s="1">
        <v>587976.0</v>
      </c>
      <c r="DK172" s="1">
        <v>1621.896</v>
      </c>
      <c r="DL172" s="1" t="s">
        <v>975</v>
      </c>
      <c r="DM172" s="1">
        <v>2811.516</v>
      </c>
      <c r="DN172" s="1" t="s">
        <v>975</v>
      </c>
      <c r="DO172" s="1">
        <v>2693372.0</v>
      </c>
      <c r="DP172" s="1">
        <v>1.0</v>
      </c>
      <c r="DQ172" s="1" t="s">
        <v>976</v>
      </c>
      <c r="DR172" s="1" t="s">
        <v>1556</v>
      </c>
      <c r="DS172" s="1" t="s">
        <v>978</v>
      </c>
      <c r="DT172" s="1" t="s">
        <v>979</v>
      </c>
      <c r="DU172" s="1" t="s">
        <v>980</v>
      </c>
      <c r="DV172" s="1">
        <v>17598.0</v>
      </c>
      <c r="DX172" s="1">
        <v>3880.0</v>
      </c>
      <c r="DY172" s="1">
        <v>653225.0</v>
      </c>
      <c r="EA172" s="1">
        <v>850.0</v>
      </c>
      <c r="EB172" s="1">
        <v>4453.0</v>
      </c>
      <c r="EC172" s="1">
        <v>0.0</v>
      </c>
      <c r="ED172" s="1">
        <v>26492.0</v>
      </c>
      <c r="EF172" s="1">
        <v>665.0</v>
      </c>
      <c r="EG172" s="1" t="s">
        <v>1032</v>
      </c>
      <c r="EH172" s="1">
        <v>100.0</v>
      </c>
      <c r="EK172" s="1">
        <v>100.0</v>
      </c>
      <c r="EQ172" s="9" t="s">
        <v>1549</v>
      </c>
      <c r="ER172" s="21">
        <v>46045.29797453704</v>
      </c>
    </row>
    <row r="173">
      <c r="A173" s="9" t="s">
        <v>1557</v>
      </c>
      <c r="B173" s="20" t="str">
        <f>IFERROR(__xludf.DUMMYFUNCTION("REGEXREPLACE(A173, ""^https?://[^/]+"", """")"),"/wp-content/themes/salesxceleratione/assets/css/style.css?ver=1769123314")</f>
        <v>/wp-content/themes/salesxceleratione/assets/css/style.css?ver=1769123314</v>
      </c>
      <c r="F173" s="1" t="s">
        <v>1016</v>
      </c>
      <c r="G173" s="1">
        <v>200.0</v>
      </c>
      <c r="H173" s="1" t="s">
        <v>966</v>
      </c>
      <c r="I173" s="1" t="s">
        <v>967</v>
      </c>
      <c r="L173" s="1">
        <v>0.0</v>
      </c>
      <c r="M173" s="1">
        <v>0.0</v>
      </c>
      <c r="O173" s="1">
        <v>0.0</v>
      </c>
      <c r="P173" s="1">
        <v>0.0</v>
      </c>
      <c r="R173" s="1">
        <v>0.0</v>
      </c>
      <c r="S173" s="1">
        <v>0.0</v>
      </c>
      <c r="U173" s="1">
        <v>0.0</v>
      </c>
      <c r="W173" s="1">
        <v>0.0</v>
      </c>
      <c r="Y173" s="1">
        <v>0.0</v>
      </c>
      <c r="AA173" s="1">
        <v>0.0</v>
      </c>
      <c r="AC173" s="1">
        <v>0.0</v>
      </c>
      <c r="AM173" s="1">
        <v>17704.0</v>
      </c>
      <c r="AN173" s="1">
        <v>17704.0</v>
      </c>
      <c r="AO173" s="1">
        <v>17704.0</v>
      </c>
      <c r="AP173" s="1">
        <v>6.782</v>
      </c>
      <c r="AR173" s="1">
        <v>0.0</v>
      </c>
      <c r="AW173" s="1">
        <v>0.0</v>
      </c>
      <c r="AX173" s="1">
        <v>2.0</v>
      </c>
      <c r="AY173" s="1">
        <v>5.0</v>
      </c>
      <c r="BA173" s="1">
        <v>0.0</v>
      </c>
      <c r="BB173" s="1">
        <v>0.0</v>
      </c>
      <c r="BC173" s="1">
        <v>0.0</v>
      </c>
      <c r="BD173" s="1">
        <v>0.0</v>
      </c>
      <c r="BE173" s="1">
        <v>0.0</v>
      </c>
      <c r="BF173" s="1">
        <v>0.0</v>
      </c>
      <c r="BG173" s="1">
        <v>0.0</v>
      </c>
      <c r="BH173" s="1">
        <v>0.0</v>
      </c>
      <c r="BI173" s="1">
        <v>0.0</v>
      </c>
      <c r="BJ173" s="1">
        <v>0.0</v>
      </c>
      <c r="BP173" s="1">
        <v>1.644</v>
      </c>
      <c r="BQ173" s="1" t="s">
        <v>1558</v>
      </c>
      <c r="BV173" s="1">
        <v>1.1</v>
      </c>
      <c r="EQ173" s="9" t="s">
        <v>1557</v>
      </c>
      <c r="ER173" s="21">
        <v>46045.29798611111</v>
      </c>
    </row>
    <row r="174">
      <c r="A174" s="9" t="s">
        <v>1559</v>
      </c>
      <c r="B174" s="20" t="str">
        <f>IFERROR(__xludf.DUMMYFUNCTION("REGEXREPLACE(A174, ""^https?://[^/]+"", """")"),"/wp-content/uploads/elementor/thumbs/Sales-Xceleration-CSOMS-Sales-Strategy-qraxnymjvm92q6xti26tf53pijmszbe7zicp77teb8.png")</f>
        <v>/wp-content/uploads/elementor/thumbs/Sales-Xceleration-CSOMS-Sales-Strategy-qraxnymjvm92q6xti26tf53pijmszbe7zicp77teb8.png</v>
      </c>
      <c r="F174" s="1" t="s">
        <v>1047</v>
      </c>
      <c r="G174" s="1">
        <v>200.0</v>
      </c>
      <c r="H174" s="1" t="s">
        <v>966</v>
      </c>
      <c r="I174" s="1" t="s">
        <v>967</v>
      </c>
      <c r="L174" s="1">
        <v>0.0</v>
      </c>
      <c r="M174" s="1">
        <v>0.0</v>
      </c>
      <c r="O174" s="1">
        <v>0.0</v>
      </c>
      <c r="P174" s="1">
        <v>0.0</v>
      </c>
      <c r="R174" s="1">
        <v>0.0</v>
      </c>
      <c r="S174" s="1">
        <v>0.0</v>
      </c>
      <c r="U174" s="1">
        <v>0.0</v>
      </c>
      <c r="W174" s="1">
        <v>0.0</v>
      </c>
      <c r="Y174" s="1">
        <v>0.0</v>
      </c>
      <c r="AA174" s="1">
        <v>0.0</v>
      </c>
      <c r="AC174" s="1">
        <v>0.0</v>
      </c>
      <c r="AM174" s="1">
        <v>7387.0</v>
      </c>
      <c r="AN174" s="1">
        <v>7387.0</v>
      </c>
      <c r="AO174" s="1">
        <v>7387.0</v>
      </c>
      <c r="AP174" s="1">
        <v>2.83</v>
      </c>
      <c r="AR174" s="1">
        <v>0.0</v>
      </c>
      <c r="AW174" s="1">
        <v>0.0</v>
      </c>
      <c r="AX174" s="1">
        <v>2.0</v>
      </c>
      <c r="AY174" s="1">
        <v>4.0</v>
      </c>
      <c r="BA174" s="1">
        <v>0.0</v>
      </c>
      <c r="BB174" s="1">
        <v>0.0</v>
      </c>
      <c r="BC174" s="1">
        <v>0.0</v>
      </c>
      <c r="BD174" s="1">
        <v>0.0</v>
      </c>
      <c r="BE174" s="1">
        <v>0.0</v>
      </c>
      <c r="BF174" s="1">
        <v>0.0</v>
      </c>
      <c r="BG174" s="1">
        <v>0.0</v>
      </c>
      <c r="BH174" s="1">
        <v>0.0</v>
      </c>
      <c r="BI174" s="1">
        <v>0.0</v>
      </c>
      <c r="BJ174" s="1">
        <v>0.0</v>
      </c>
      <c r="BP174" s="1">
        <v>2.007</v>
      </c>
      <c r="BQ174" s="1" t="s">
        <v>1560</v>
      </c>
      <c r="BV174" s="1">
        <v>1.1</v>
      </c>
      <c r="EQ174" s="9" t="s">
        <v>1559</v>
      </c>
      <c r="ER174" s="21">
        <v>46045.29797453704</v>
      </c>
    </row>
    <row r="175">
      <c r="A175" s="9" t="s">
        <v>1561</v>
      </c>
      <c r="B175" s="20" t="str">
        <f>IFERROR(__xludf.DUMMYFUNCTION("REGEXREPLACE(A175, ""^https?://[^/]+"", """")"),"/wp-content/plugins/powerpack-elements/assets/js/min/frontend-wrapper-link.min.js?ver=2.12.15")</f>
        <v>/wp-content/plugins/powerpack-elements/assets/js/min/frontend-wrapper-link.min.js?ver=2.12.15</v>
      </c>
      <c r="F175" s="1" t="s">
        <v>984</v>
      </c>
      <c r="G175" s="1">
        <v>200.0</v>
      </c>
      <c r="H175" s="1" t="s">
        <v>966</v>
      </c>
      <c r="I175" s="1" t="s">
        <v>967</v>
      </c>
      <c r="L175" s="1">
        <v>0.0</v>
      </c>
      <c r="M175" s="1">
        <v>0.0</v>
      </c>
      <c r="O175" s="1">
        <v>0.0</v>
      </c>
      <c r="P175" s="1">
        <v>0.0</v>
      </c>
      <c r="R175" s="1">
        <v>0.0</v>
      </c>
      <c r="S175" s="1">
        <v>0.0</v>
      </c>
      <c r="U175" s="1">
        <v>0.0</v>
      </c>
      <c r="W175" s="1">
        <v>0.0</v>
      </c>
      <c r="Y175" s="1">
        <v>0.0</v>
      </c>
      <c r="AA175" s="1">
        <v>0.0</v>
      </c>
      <c r="AC175" s="1">
        <v>0.0</v>
      </c>
      <c r="AM175" s="1">
        <v>374.0</v>
      </c>
      <c r="AN175" s="1">
        <v>374.0</v>
      </c>
      <c r="AO175" s="1">
        <v>374.0</v>
      </c>
      <c r="AP175" s="1">
        <v>0.143</v>
      </c>
      <c r="AR175" s="1">
        <v>0.0</v>
      </c>
      <c r="AW175" s="1">
        <v>0.0</v>
      </c>
      <c r="AX175" s="1">
        <v>2.0</v>
      </c>
      <c r="AY175" s="1">
        <v>6.0</v>
      </c>
      <c r="BA175" s="1">
        <v>0.0</v>
      </c>
      <c r="BB175" s="1">
        <v>0.0</v>
      </c>
      <c r="BC175" s="1">
        <v>0.0</v>
      </c>
      <c r="BD175" s="1">
        <v>0.0</v>
      </c>
      <c r="BE175" s="1">
        <v>0.0</v>
      </c>
      <c r="BF175" s="1">
        <v>0.0</v>
      </c>
      <c r="BG175" s="1">
        <v>0.0</v>
      </c>
      <c r="BH175" s="1">
        <v>0.0</v>
      </c>
      <c r="BI175" s="1">
        <v>0.0</v>
      </c>
      <c r="BJ175" s="1">
        <v>0.0</v>
      </c>
      <c r="BP175" s="1">
        <v>0.252</v>
      </c>
      <c r="BQ175" s="1" t="s">
        <v>1193</v>
      </c>
      <c r="BV175" s="1">
        <v>1.1</v>
      </c>
      <c r="EQ175" s="9" t="s">
        <v>1561</v>
      </c>
      <c r="ER175" s="21">
        <v>46045.297997685186</v>
      </c>
    </row>
    <row r="176">
      <c r="A176" s="9" t="s">
        <v>1562</v>
      </c>
      <c r="B176" s="20" t="str">
        <f>IFERROR(__xludf.DUMMYFUNCTION("REGEXREPLACE(A176, ""^https?://[^/]+"", """")"),"/wp-content/uploads/2024/05/What-is-a-Fractional-Sales-Leader.jpg")</f>
        <v>/wp-content/uploads/2024/05/What-is-a-Fractional-Sales-Leader.jpg</v>
      </c>
      <c r="F176" s="1" t="s">
        <v>1004</v>
      </c>
      <c r="G176" s="1">
        <v>200.0</v>
      </c>
      <c r="H176" s="1" t="s">
        <v>966</v>
      </c>
      <c r="I176" s="1" t="s">
        <v>967</v>
      </c>
      <c r="L176" s="1">
        <v>0.0</v>
      </c>
      <c r="M176" s="1">
        <v>0.0</v>
      </c>
      <c r="O176" s="1">
        <v>0.0</v>
      </c>
      <c r="P176" s="1">
        <v>0.0</v>
      </c>
      <c r="R176" s="1">
        <v>0.0</v>
      </c>
      <c r="S176" s="1">
        <v>0.0</v>
      </c>
      <c r="U176" s="1">
        <v>0.0</v>
      </c>
      <c r="W176" s="1">
        <v>0.0</v>
      </c>
      <c r="Y176" s="1">
        <v>0.0</v>
      </c>
      <c r="AA176" s="1">
        <v>0.0</v>
      </c>
      <c r="AC176" s="1">
        <v>0.0</v>
      </c>
      <c r="AM176" s="1">
        <v>94966.0</v>
      </c>
      <c r="AN176" s="1">
        <v>94966.0</v>
      </c>
      <c r="AO176" s="1">
        <v>94966.0</v>
      </c>
      <c r="AP176" s="1">
        <v>36.38</v>
      </c>
      <c r="AR176" s="1">
        <v>0.0</v>
      </c>
      <c r="AW176" s="1">
        <v>0.0</v>
      </c>
      <c r="AX176" s="1">
        <v>2.0</v>
      </c>
      <c r="AY176" s="1">
        <v>4.0</v>
      </c>
      <c r="BA176" s="1">
        <v>0.0</v>
      </c>
      <c r="BB176" s="1">
        <v>0.0</v>
      </c>
      <c r="BC176" s="1">
        <v>0.0</v>
      </c>
      <c r="BD176" s="1">
        <v>0.0</v>
      </c>
      <c r="BE176" s="1">
        <v>0.0</v>
      </c>
      <c r="BF176" s="1">
        <v>0.0</v>
      </c>
      <c r="BG176" s="1">
        <v>0.0</v>
      </c>
      <c r="BH176" s="1">
        <v>0.0</v>
      </c>
      <c r="BI176" s="1">
        <v>0.0</v>
      </c>
      <c r="BJ176" s="1">
        <v>0.0</v>
      </c>
      <c r="BP176" s="1">
        <v>0.292</v>
      </c>
      <c r="BQ176" s="1" t="s">
        <v>1563</v>
      </c>
      <c r="BV176" s="1">
        <v>1.1</v>
      </c>
      <c r="EQ176" s="9" t="s">
        <v>1562</v>
      </c>
      <c r="ER176" s="21">
        <v>46045.297997685186</v>
      </c>
    </row>
    <row r="177">
      <c r="A177" s="9" t="s">
        <v>1564</v>
      </c>
      <c r="B177" s="20" t="str">
        <f>IFERROR(__xludf.DUMMYFUNCTION("REGEXREPLACE(A177, ""^https?://[^/]+"", """")"),"/wp-content/uploads/elementor/thumbs/Sales-Xceleration-CSOMS-Sales-Management-qraxnwqvhy6i2z0jt1dka5ksbrw2jx6rb91q8nw6no.png")</f>
        <v>/wp-content/uploads/elementor/thumbs/Sales-Xceleration-CSOMS-Sales-Management-qraxnwqvhy6i2z0jt1dka5ksbrw2jx6rb91q8nw6no.png</v>
      </c>
      <c r="F177" s="1" t="s">
        <v>1047</v>
      </c>
      <c r="G177" s="1">
        <v>200.0</v>
      </c>
      <c r="H177" s="1" t="s">
        <v>966</v>
      </c>
      <c r="I177" s="1" t="s">
        <v>967</v>
      </c>
      <c r="L177" s="1">
        <v>0.0</v>
      </c>
      <c r="M177" s="1">
        <v>0.0</v>
      </c>
      <c r="O177" s="1">
        <v>0.0</v>
      </c>
      <c r="P177" s="1">
        <v>0.0</v>
      </c>
      <c r="R177" s="1">
        <v>0.0</v>
      </c>
      <c r="S177" s="1">
        <v>0.0</v>
      </c>
      <c r="U177" s="1">
        <v>0.0</v>
      </c>
      <c r="W177" s="1">
        <v>0.0</v>
      </c>
      <c r="Y177" s="1">
        <v>0.0</v>
      </c>
      <c r="AA177" s="1">
        <v>0.0</v>
      </c>
      <c r="AC177" s="1">
        <v>0.0</v>
      </c>
      <c r="AM177" s="1">
        <v>7265.0</v>
      </c>
      <c r="AN177" s="1">
        <v>7265.0</v>
      </c>
      <c r="AO177" s="1">
        <v>7265.0</v>
      </c>
      <c r="AP177" s="1">
        <v>2.783</v>
      </c>
      <c r="AR177" s="1">
        <v>0.0</v>
      </c>
      <c r="AW177" s="1">
        <v>0.0</v>
      </c>
      <c r="AX177" s="1">
        <v>2.0</v>
      </c>
      <c r="AY177" s="1">
        <v>4.0</v>
      </c>
      <c r="BA177" s="1">
        <v>0.0</v>
      </c>
      <c r="BB177" s="1">
        <v>0.0</v>
      </c>
      <c r="BC177" s="1">
        <v>0.0</v>
      </c>
      <c r="BD177" s="1">
        <v>0.0</v>
      </c>
      <c r="BE177" s="1">
        <v>0.0</v>
      </c>
      <c r="BF177" s="1">
        <v>0.0</v>
      </c>
      <c r="BG177" s="1">
        <v>0.0</v>
      </c>
      <c r="BH177" s="1">
        <v>0.0</v>
      </c>
      <c r="BI177" s="1">
        <v>0.0</v>
      </c>
      <c r="BJ177" s="1">
        <v>0.0</v>
      </c>
      <c r="BP177" s="1">
        <v>0.266</v>
      </c>
      <c r="BQ177" s="1" t="s">
        <v>1565</v>
      </c>
      <c r="BV177" s="1">
        <v>1.1</v>
      </c>
      <c r="EQ177" s="9" t="s">
        <v>1564</v>
      </c>
      <c r="ER177" s="21">
        <v>46045.297997685186</v>
      </c>
    </row>
    <row r="178">
      <c r="A178" s="9" t="s">
        <v>1566</v>
      </c>
      <c r="B178" s="20" t="str">
        <f>IFERROR(__xludf.DUMMYFUNCTION("REGEXREPLACE(A178, ""^https?://[^/]+"", """")"),"/wp-content/uploads/elementor/thumbs/SalesXceleration-CSOMS-Sales-Team-qraxnzke2gad1swgcklfzmv63xi670hybn06ohs050.png")</f>
        <v>/wp-content/uploads/elementor/thumbs/SalesXceleration-CSOMS-Sales-Team-qraxnzke2gad1swgcklfzmv63xi670hybn06ohs050.png</v>
      </c>
      <c r="F178" s="1" t="s">
        <v>1047</v>
      </c>
      <c r="G178" s="1">
        <v>200.0</v>
      </c>
      <c r="H178" s="1" t="s">
        <v>966</v>
      </c>
      <c r="I178" s="1" t="s">
        <v>967</v>
      </c>
      <c r="L178" s="1">
        <v>0.0</v>
      </c>
      <c r="M178" s="1">
        <v>0.0</v>
      </c>
      <c r="O178" s="1">
        <v>0.0</v>
      </c>
      <c r="P178" s="1">
        <v>0.0</v>
      </c>
      <c r="R178" s="1">
        <v>0.0</v>
      </c>
      <c r="S178" s="1">
        <v>0.0</v>
      </c>
      <c r="U178" s="1">
        <v>0.0</v>
      </c>
      <c r="W178" s="1">
        <v>0.0</v>
      </c>
      <c r="Y178" s="1">
        <v>0.0</v>
      </c>
      <c r="AA178" s="1">
        <v>0.0</v>
      </c>
      <c r="AC178" s="1">
        <v>0.0</v>
      </c>
      <c r="AM178" s="1">
        <v>7935.0</v>
      </c>
      <c r="AN178" s="1">
        <v>7935.0</v>
      </c>
      <c r="AO178" s="1">
        <v>7935.0</v>
      </c>
      <c r="AP178" s="1">
        <v>3.04</v>
      </c>
      <c r="AR178" s="1">
        <v>0.0</v>
      </c>
      <c r="AW178" s="1">
        <v>0.0</v>
      </c>
      <c r="AX178" s="1">
        <v>2.0</v>
      </c>
      <c r="AY178" s="1">
        <v>4.0</v>
      </c>
      <c r="BA178" s="1">
        <v>0.0</v>
      </c>
      <c r="BB178" s="1">
        <v>0.0</v>
      </c>
      <c r="BC178" s="1">
        <v>0.0</v>
      </c>
      <c r="BD178" s="1">
        <v>0.0</v>
      </c>
      <c r="BE178" s="1">
        <v>0.0</v>
      </c>
      <c r="BF178" s="1">
        <v>0.0</v>
      </c>
      <c r="BG178" s="1">
        <v>0.0</v>
      </c>
      <c r="BH178" s="1">
        <v>0.0</v>
      </c>
      <c r="BI178" s="1">
        <v>0.0</v>
      </c>
      <c r="BJ178" s="1">
        <v>0.0</v>
      </c>
      <c r="BP178" s="1">
        <v>0.272</v>
      </c>
      <c r="BQ178" s="1" t="s">
        <v>1567</v>
      </c>
      <c r="BV178" s="1">
        <v>1.1</v>
      </c>
      <c r="EQ178" s="9" t="s">
        <v>1566</v>
      </c>
      <c r="ER178" s="21">
        <v>46045.297997685186</v>
      </c>
    </row>
    <row r="179">
      <c r="A179" s="9" t="s">
        <v>1568</v>
      </c>
      <c r="B179" s="20" t="str">
        <f>IFERROR(__xludf.DUMMYFUNCTION("REGEXREPLACE(A179, ""^https?://[^/]+"", """")"),"/wp-content/uploads/elementor/css/post-46786.css?ver=1768845927")</f>
        <v>/wp-content/uploads/elementor/css/post-46786.css?ver=1768845927</v>
      </c>
      <c r="F179" s="1" t="s">
        <v>1016</v>
      </c>
      <c r="G179" s="1">
        <v>200.0</v>
      </c>
      <c r="H179" s="1" t="s">
        <v>966</v>
      </c>
      <c r="I179" s="1" t="s">
        <v>967</v>
      </c>
      <c r="L179" s="1">
        <v>0.0</v>
      </c>
      <c r="M179" s="1">
        <v>0.0</v>
      </c>
      <c r="O179" s="1">
        <v>0.0</v>
      </c>
      <c r="P179" s="1">
        <v>0.0</v>
      </c>
      <c r="R179" s="1">
        <v>0.0</v>
      </c>
      <c r="S179" s="1">
        <v>0.0</v>
      </c>
      <c r="U179" s="1">
        <v>0.0</v>
      </c>
      <c r="W179" s="1">
        <v>0.0</v>
      </c>
      <c r="Y179" s="1">
        <v>0.0</v>
      </c>
      <c r="AA179" s="1">
        <v>0.0</v>
      </c>
      <c r="AC179" s="1">
        <v>0.0</v>
      </c>
      <c r="AM179" s="1">
        <v>2111.0</v>
      </c>
      <c r="AN179" s="1">
        <v>2111.0</v>
      </c>
      <c r="AO179" s="1">
        <v>2111.0</v>
      </c>
      <c r="AP179" s="1">
        <v>0.809</v>
      </c>
      <c r="AR179" s="1">
        <v>0.0</v>
      </c>
      <c r="AW179" s="1">
        <v>0.0</v>
      </c>
      <c r="AX179" s="1">
        <v>2.0</v>
      </c>
      <c r="AY179" s="1">
        <v>4.0</v>
      </c>
      <c r="BA179" s="1">
        <v>0.0</v>
      </c>
      <c r="BB179" s="1">
        <v>0.0</v>
      </c>
      <c r="BC179" s="1">
        <v>0.0</v>
      </c>
      <c r="BD179" s="1">
        <v>0.0</v>
      </c>
      <c r="BE179" s="1">
        <v>0.0</v>
      </c>
      <c r="BF179" s="1">
        <v>0.0</v>
      </c>
      <c r="BG179" s="1">
        <v>0.0</v>
      </c>
      <c r="BH179" s="1">
        <v>0.0</v>
      </c>
      <c r="BI179" s="1">
        <v>0.0</v>
      </c>
      <c r="BJ179" s="1">
        <v>0.0</v>
      </c>
      <c r="BP179" s="1">
        <v>0.26</v>
      </c>
      <c r="BQ179" s="1" t="s">
        <v>1282</v>
      </c>
      <c r="BV179" s="1">
        <v>1.1</v>
      </c>
      <c r="EQ179" s="9" t="s">
        <v>1568</v>
      </c>
      <c r="ER179" s="21">
        <v>46045.297997685186</v>
      </c>
    </row>
    <row r="180">
      <c r="A180" s="9" t="s">
        <v>1569</v>
      </c>
      <c r="B180" s="20" t="str">
        <f>IFERROR(__xludf.DUMMYFUNCTION("REGEXREPLACE(A180, ""^https?://[^/]+"", """")"),"/wp-content/uploads/2024/08/CSOMS-Website-Graphic-1024x353.png")</f>
        <v>/wp-content/uploads/2024/08/CSOMS-Website-Graphic-1024x353.png</v>
      </c>
      <c r="F180" s="1" t="s">
        <v>1047</v>
      </c>
      <c r="G180" s="1">
        <v>200.0</v>
      </c>
      <c r="H180" s="1" t="s">
        <v>966</v>
      </c>
      <c r="I180" s="1" t="s">
        <v>967</v>
      </c>
      <c r="L180" s="1">
        <v>0.0</v>
      </c>
      <c r="M180" s="1">
        <v>0.0</v>
      </c>
      <c r="O180" s="1">
        <v>0.0</v>
      </c>
      <c r="P180" s="1">
        <v>0.0</v>
      </c>
      <c r="R180" s="1">
        <v>0.0</v>
      </c>
      <c r="S180" s="1">
        <v>0.0</v>
      </c>
      <c r="U180" s="1">
        <v>0.0</v>
      </c>
      <c r="W180" s="1">
        <v>0.0</v>
      </c>
      <c r="Y180" s="1">
        <v>0.0</v>
      </c>
      <c r="AA180" s="1">
        <v>0.0</v>
      </c>
      <c r="AC180" s="1">
        <v>0.0</v>
      </c>
      <c r="AM180" s="1">
        <v>96407.0</v>
      </c>
      <c r="AN180" s="1">
        <v>96407.0</v>
      </c>
      <c r="AO180" s="1">
        <v>96407.0</v>
      </c>
      <c r="AP180" s="1">
        <v>36.932</v>
      </c>
      <c r="AR180" s="1">
        <v>0.0</v>
      </c>
      <c r="AW180" s="1">
        <v>0.0</v>
      </c>
      <c r="AX180" s="1">
        <v>2.0</v>
      </c>
      <c r="AY180" s="1">
        <v>4.0</v>
      </c>
      <c r="BA180" s="1">
        <v>0.0</v>
      </c>
      <c r="BB180" s="1">
        <v>0.0</v>
      </c>
      <c r="BC180" s="1">
        <v>0.0</v>
      </c>
      <c r="BD180" s="1">
        <v>0.0</v>
      </c>
      <c r="BE180" s="1">
        <v>0.0</v>
      </c>
      <c r="BF180" s="1">
        <v>0.0</v>
      </c>
      <c r="BG180" s="1">
        <v>0.0</v>
      </c>
      <c r="BH180" s="1">
        <v>0.0</v>
      </c>
      <c r="BI180" s="1">
        <v>0.0</v>
      </c>
      <c r="BJ180" s="1">
        <v>0.0</v>
      </c>
      <c r="BP180" s="1">
        <v>0.277</v>
      </c>
      <c r="BQ180" s="1" t="s">
        <v>1570</v>
      </c>
      <c r="BV180" s="1">
        <v>1.1</v>
      </c>
      <c r="EQ180" s="9" t="s">
        <v>1569</v>
      </c>
      <c r="ER180" s="21">
        <v>46045.297997685186</v>
      </c>
    </row>
    <row r="181">
      <c r="A181" s="9" t="s">
        <v>1571</v>
      </c>
      <c r="B181" s="20" t="str">
        <f>IFERROR(__xludf.DUMMYFUNCTION("REGEXREPLACE(A181, ""^https?://[^/]+"", """")"),"/wp-content/uploads/elementor/thumbs/Sales-Xceleration-CSOMS-Sales-Infrastructure-qraxnuv74a3xfr3a40kb561v505c4izamzqra3yz04.png")</f>
        <v>/wp-content/uploads/elementor/thumbs/Sales-Xceleration-CSOMS-Sales-Infrastructure-qraxnuv74a3xfr3a40kb561v505c4izamzqra3yz04.png</v>
      </c>
      <c r="F181" s="1" t="s">
        <v>1047</v>
      </c>
      <c r="G181" s="1">
        <v>200.0</v>
      </c>
      <c r="H181" s="1" t="s">
        <v>966</v>
      </c>
      <c r="I181" s="1" t="s">
        <v>967</v>
      </c>
      <c r="L181" s="1">
        <v>0.0</v>
      </c>
      <c r="M181" s="1">
        <v>0.0</v>
      </c>
      <c r="O181" s="1">
        <v>0.0</v>
      </c>
      <c r="P181" s="1">
        <v>0.0</v>
      </c>
      <c r="R181" s="1">
        <v>0.0</v>
      </c>
      <c r="S181" s="1">
        <v>0.0</v>
      </c>
      <c r="U181" s="1">
        <v>0.0</v>
      </c>
      <c r="W181" s="1">
        <v>0.0</v>
      </c>
      <c r="Y181" s="1">
        <v>0.0</v>
      </c>
      <c r="AA181" s="1">
        <v>0.0</v>
      </c>
      <c r="AC181" s="1">
        <v>0.0</v>
      </c>
      <c r="AM181" s="1">
        <v>9364.0</v>
      </c>
      <c r="AN181" s="1">
        <v>9364.0</v>
      </c>
      <c r="AO181" s="1">
        <v>9364.0</v>
      </c>
      <c r="AP181" s="1">
        <v>3.587</v>
      </c>
      <c r="AR181" s="1">
        <v>0.0</v>
      </c>
      <c r="AW181" s="1">
        <v>0.0</v>
      </c>
      <c r="AX181" s="1">
        <v>2.0</v>
      </c>
      <c r="AY181" s="1">
        <v>4.0</v>
      </c>
      <c r="BA181" s="1">
        <v>0.0</v>
      </c>
      <c r="BB181" s="1">
        <v>0.0</v>
      </c>
      <c r="BC181" s="1">
        <v>0.0</v>
      </c>
      <c r="BD181" s="1">
        <v>0.0</v>
      </c>
      <c r="BE181" s="1">
        <v>0.0</v>
      </c>
      <c r="BF181" s="1">
        <v>0.0</v>
      </c>
      <c r="BG181" s="1">
        <v>0.0</v>
      </c>
      <c r="BH181" s="1">
        <v>0.0</v>
      </c>
      <c r="BI181" s="1">
        <v>0.0</v>
      </c>
      <c r="BJ181" s="1">
        <v>0.0</v>
      </c>
      <c r="BP181" s="1">
        <v>0.258</v>
      </c>
      <c r="BQ181" s="1" t="s">
        <v>1572</v>
      </c>
      <c r="BV181" s="1">
        <v>1.1</v>
      </c>
      <c r="EQ181" s="9" t="s">
        <v>1571</v>
      </c>
      <c r="ER181" s="21">
        <v>46045.297997685186</v>
      </c>
    </row>
    <row r="182">
      <c r="A182" s="9" t="s">
        <v>1573</v>
      </c>
      <c r="B182" s="20" t="str">
        <f>IFERROR(__xludf.DUMMYFUNCTION("REGEXREPLACE(A182, ""^https?://[^/]+"", """")"),"/wp-content/plugins/elementor/assets/lib/swiper/v8/css/swiper.min.css?ver=8.4.5")</f>
        <v>/wp-content/plugins/elementor/assets/lib/swiper/v8/css/swiper.min.css?ver=8.4.5</v>
      </c>
      <c r="F182" s="1" t="s">
        <v>1016</v>
      </c>
      <c r="G182" s="1">
        <v>200.0</v>
      </c>
      <c r="H182" s="1" t="s">
        <v>966</v>
      </c>
      <c r="I182" s="1" t="s">
        <v>967</v>
      </c>
      <c r="L182" s="1">
        <v>0.0</v>
      </c>
      <c r="M182" s="1">
        <v>0.0</v>
      </c>
      <c r="O182" s="1">
        <v>0.0</v>
      </c>
      <c r="P182" s="1">
        <v>0.0</v>
      </c>
      <c r="R182" s="1">
        <v>0.0</v>
      </c>
      <c r="S182" s="1">
        <v>0.0</v>
      </c>
      <c r="U182" s="1">
        <v>0.0</v>
      </c>
      <c r="W182" s="1">
        <v>0.0</v>
      </c>
      <c r="Y182" s="1">
        <v>0.0</v>
      </c>
      <c r="AA182" s="1">
        <v>0.0</v>
      </c>
      <c r="AC182" s="1">
        <v>0.0</v>
      </c>
      <c r="AM182" s="1">
        <v>4583.0</v>
      </c>
      <c r="AN182" s="1">
        <v>4583.0</v>
      </c>
      <c r="AO182" s="1">
        <v>4583.0</v>
      </c>
      <c r="AP182" s="1">
        <v>1.756</v>
      </c>
      <c r="AR182" s="1">
        <v>0.0</v>
      </c>
      <c r="AW182" s="1">
        <v>0.0</v>
      </c>
      <c r="AX182" s="1">
        <v>2.0</v>
      </c>
      <c r="AY182" s="1">
        <v>8.0</v>
      </c>
      <c r="BA182" s="1">
        <v>0.0</v>
      </c>
      <c r="BB182" s="1">
        <v>0.0</v>
      </c>
      <c r="BC182" s="1">
        <v>0.0</v>
      </c>
      <c r="BD182" s="1">
        <v>0.0</v>
      </c>
      <c r="BE182" s="1">
        <v>0.0</v>
      </c>
      <c r="BF182" s="1">
        <v>0.0</v>
      </c>
      <c r="BG182" s="1">
        <v>0.0</v>
      </c>
      <c r="BH182" s="1">
        <v>0.0</v>
      </c>
      <c r="BI182" s="1">
        <v>0.0</v>
      </c>
      <c r="BJ182" s="1">
        <v>0.0</v>
      </c>
      <c r="BP182" s="1">
        <v>0.269</v>
      </c>
      <c r="BQ182" s="1" t="s">
        <v>1017</v>
      </c>
      <c r="BV182" s="1">
        <v>1.1</v>
      </c>
      <c r="EQ182" s="9" t="s">
        <v>1573</v>
      </c>
      <c r="ER182" s="21">
        <v>46045.297997685186</v>
      </c>
    </row>
    <row r="183">
      <c r="A183" s="9" t="s">
        <v>1574</v>
      </c>
      <c r="B183" s="20" t="str">
        <f>IFERROR(__xludf.DUMMYFUNCTION("REGEXREPLACE(A183, ""^https?://[^/]+"", """")"),"/wp-content/uploads/2025/07/footer.png-e1752526812396.webp")</f>
        <v>/wp-content/uploads/2025/07/footer.png-e1752526812396.webp</v>
      </c>
      <c r="F183" s="1" t="s">
        <v>1575</v>
      </c>
      <c r="G183" s="1">
        <v>200.0</v>
      </c>
      <c r="H183" s="1" t="s">
        <v>966</v>
      </c>
      <c r="I183" s="1" t="s">
        <v>967</v>
      </c>
      <c r="L183" s="1">
        <v>0.0</v>
      </c>
      <c r="M183" s="1">
        <v>0.0</v>
      </c>
      <c r="O183" s="1">
        <v>0.0</v>
      </c>
      <c r="P183" s="1">
        <v>0.0</v>
      </c>
      <c r="R183" s="1">
        <v>0.0</v>
      </c>
      <c r="S183" s="1">
        <v>0.0</v>
      </c>
      <c r="U183" s="1">
        <v>0.0</v>
      </c>
      <c r="W183" s="1">
        <v>0.0</v>
      </c>
      <c r="Y183" s="1">
        <v>0.0</v>
      </c>
      <c r="AA183" s="1">
        <v>0.0</v>
      </c>
      <c r="AC183" s="1">
        <v>0.0</v>
      </c>
      <c r="AM183" s="1">
        <v>172614.0</v>
      </c>
      <c r="AN183" s="1">
        <v>172614.0</v>
      </c>
      <c r="AO183" s="1">
        <v>172614.0</v>
      </c>
      <c r="AP183" s="1">
        <v>66.125</v>
      </c>
      <c r="AR183" s="1">
        <v>0.0</v>
      </c>
      <c r="AW183" s="1">
        <v>0.0</v>
      </c>
      <c r="AX183" s="1">
        <v>2.0</v>
      </c>
      <c r="AY183" s="1">
        <v>4.0</v>
      </c>
      <c r="BA183" s="1">
        <v>0.0</v>
      </c>
      <c r="BB183" s="1">
        <v>0.0</v>
      </c>
      <c r="BC183" s="1">
        <v>0.0</v>
      </c>
      <c r="BD183" s="1">
        <v>0.0</v>
      </c>
      <c r="BE183" s="1">
        <v>0.0</v>
      </c>
      <c r="BF183" s="1">
        <v>0.0</v>
      </c>
      <c r="BG183" s="1">
        <v>0.0</v>
      </c>
      <c r="BH183" s="1">
        <v>0.0</v>
      </c>
      <c r="BI183" s="1">
        <v>0.0</v>
      </c>
      <c r="BJ183" s="1">
        <v>0.0</v>
      </c>
      <c r="BP183" s="1">
        <v>0.262</v>
      </c>
      <c r="BQ183" s="1" t="s">
        <v>1576</v>
      </c>
      <c r="BV183" s="1">
        <v>1.1</v>
      </c>
      <c r="EQ183" s="9" t="s">
        <v>1574</v>
      </c>
      <c r="ER183" s="21">
        <v>46045.29800925926</v>
      </c>
    </row>
    <row r="184">
      <c r="A184" s="9" t="s">
        <v>1577</v>
      </c>
      <c r="B184" s="20" t="str">
        <f>IFERROR(__xludf.DUMMYFUNCTION("REGEXREPLACE(A184, ""^https?://[^/]+"", """")"),"/wp-content/plugins/elementor/assets/lib/animations/styles/fadeInRight.min.css?ver=3.34.0")</f>
        <v>/wp-content/plugins/elementor/assets/lib/animations/styles/fadeInRight.min.css?ver=3.34.0</v>
      </c>
      <c r="F184" s="1" t="s">
        <v>1016</v>
      </c>
      <c r="G184" s="1">
        <v>200.0</v>
      </c>
      <c r="H184" s="1" t="s">
        <v>966</v>
      </c>
      <c r="I184" s="1" t="s">
        <v>967</v>
      </c>
      <c r="L184" s="1">
        <v>0.0</v>
      </c>
      <c r="M184" s="1">
        <v>0.0</v>
      </c>
      <c r="O184" s="1">
        <v>0.0</v>
      </c>
      <c r="P184" s="1">
        <v>0.0</v>
      </c>
      <c r="R184" s="1">
        <v>0.0</v>
      </c>
      <c r="S184" s="1">
        <v>0.0</v>
      </c>
      <c r="U184" s="1">
        <v>0.0</v>
      </c>
      <c r="W184" s="1">
        <v>0.0</v>
      </c>
      <c r="Y184" s="1">
        <v>0.0</v>
      </c>
      <c r="AA184" s="1">
        <v>0.0</v>
      </c>
      <c r="AC184" s="1">
        <v>0.0</v>
      </c>
      <c r="AM184" s="1">
        <v>120.0</v>
      </c>
      <c r="AN184" s="1">
        <v>120.0</v>
      </c>
      <c r="AO184" s="1">
        <v>120.0</v>
      </c>
      <c r="AP184" s="1">
        <v>0.046</v>
      </c>
      <c r="AR184" s="1">
        <v>0.0</v>
      </c>
      <c r="AW184" s="1">
        <v>0.0</v>
      </c>
      <c r="AX184" s="1">
        <v>2.0</v>
      </c>
      <c r="AY184" s="1">
        <v>7.0</v>
      </c>
      <c r="BA184" s="1">
        <v>0.0</v>
      </c>
      <c r="BB184" s="1">
        <v>0.0</v>
      </c>
      <c r="BC184" s="1">
        <v>0.0</v>
      </c>
      <c r="BD184" s="1">
        <v>0.0</v>
      </c>
      <c r="BE184" s="1">
        <v>0.0</v>
      </c>
      <c r="BF184" s="1">
        <v>0.0</v>
      </c>
      <c r="BG184" s="1">
        <v>0.0</v>
      </c>
      <c r="BH184" s="1">
        <v>0.0</v>
      </c>
      <c r="BI184" s="1">
        <v>0.0</v>
      </c>
      <c r="BJ184" s="1">
        <v>0.0</v>
      </c>
      <c r="BP184" s="1">
        <v>0.268</v>
      </c>
      <c r="BQ184" s="1" t="s">
        <v>1017</v>
      </c>
      <c r="BV184" s="1">
        <v>1.1</v>
      </c>
      <c r="EQ184" s="9" t="s">
        <v>1577</v>
      </c>
      <c r="ER184" s="21">
        <v>46045.29800925926</v>
      </c>
    </row>
    <row r="185">
      <c r="A185" s="9" t="s">
        <v>1578</v>
      </c>
      <c r="B185" s="20" t="str">
        <f>IFERROR(__xludf.DUMMYFUNCTION("REGEXREPLACE(A185, ""^https?://[^/]+"", """")"),"/wp-content/uploads/2023/12/Boosting-Sales-Performance-1024x683.jpg")</f>
        <v>/wp-content/uploads/2023/12/Boosting-Sales-Performance-1024x683.jpg</v>
      </c>
      <c r="F185" s="1" t="s">
        <v>1004</v>
      </c>
      <c r="G185" s="1">
        <v>200.0</v>
      </c>
      <c r="H185" s="1" t="s">
        <v>966</v>
      </c>
      <c r="I185" s="1" t="s">
        <v>967</v>
      </c>
      <c r="L185" s="1">
        <v>0.0</v>
      </c>
      <c r="M185" s="1">
        <v>0.0</v>
      </c>
      <c r="O185" s="1">
        <v>0.0</v>
      </c>
      <c r="P185" s="1">
        <v>0.0</v>
      </c>
      <c r="R185" s="1">
        <v>0.0</v>
      </c>
      <c r="S185" s="1">
        <v>0.0</v>
      </c>
      <c r="U185" s="1">
        <v>0.0</v>
      </c>
      <c r="W185" s="1">
        <v>0.0</v>
      </c>
      <c r="Y185" s="1">
        <v>0.0</v>
      </c>
      <c r="AA185" s="1">
        <v>0.0</v>
      </c>
      <c r="AC185" s="1">
        <v>0.0</v>
      </c>
      <c r="AM185" s="1">
        <v>83555.0</v>
      </c>
      <c r="AN185" s="1">
        <v>83555.0</v>
      </c>
      <c r="AO185" s="1">
        <v>83555.0</v>
      </c>
      <c r="AP185" s="1">
        <v>32.008</v>
      </c>
      <c r="AR185" s="1">
        <v>0.0</v>
      </c>
      <c r="AW185" s="1">
        <v>0.0</v>
      </c>
      <c r="AX185" s="1">
        <v>2.0</v>
      </c>
      <c r="AY185" s="1">
        <v>4.0</v>
      </c>
      <c r="BA185" s="1">
        <v>0.0</v>
      </c>
      <c r="BB185" s="1">
        <v>0.0</v>
      </c>
      <c r="BC185" s="1">
        <v>0.0</v>
      </c>
      <c r="BD185" s="1">
        <v>0.0</v>
      </c>
      <c r="BE185" s="1">
        <v>0.0</v>
      </c>
      <c r="BF185" s="1">
        <v>0.0</v>
      </c>
      <c r="BG185" s="1">
        <v>0.0</v>
      </c>
      <c r="BH185" s="1">
        <v>0.0</v>
      </c>
      <c r="BI185" s="1">
        <v>0.0</v>
      </c>
      <c r="BJ185" s="1">
        <v>0.0</v>
      </c>
      <c r="BP185" s="1">
        <v>0.276</v>
      </c>
      <c r="BQ185" s="1" t="s">
        <v>1579</v>
      </c>
      <c r="BV185" s="1">
        <v>1.1</v>
      </c>
      <c r="EQ185" s="9" t="s">
        <v>1578</v>
      </c>
      <c r="ER185" s="21">
        <v>46045.29800925926</v>
      </c>
    </row>
    <row r="186">
      <c r="A186" s="9" t="s">
        <v>1580</v>
      </c>
      <c r="B186" s="20" t="str">
        <f>IFERROR(__xludf.DUMMYFUNCTION("REGEXREPLACE(A186, ""^https?://[^/]+"", """")"),"/wp-content/plugins/elementor/assets/lib/animations/styles/fadeIn.min.css?ver=3.34.0")</f>
        <v>/wp-content/plugins/elementor/assets/lib/animations/styles/fadeIn.min.css?ver=3.34.0</v>
      </c>
      <c r="F186" s="1" t="s">
        <v>1016</v>
      </c>
      <c r="G186" s="1">
        <v>200.0</v>
      </c>
      <c r="H186" s="1" t="s">
        <v>966</v>
      </c>
      <c r="I186" s="1" t="s">
        <v>967</v>
      </c>
      <c r="L186" s="1">
        <v>0.0</v>
      </c>
      <c r="M186" s="1">
        <v>0.0</v>
      </c>
      <c r="O186" s="1">
        <v>0.0</v>
      </c>
      <c r="P186" s="1">
        <v>0.0</v>
      </c>
      <c r="R186" s="1">
        <v>0.0</v>
      </c>
      <c r="S186" s="1">
        <v>0.0</v>
      </c>
      <c r="U186" s="1">
        <v>0.0</v>
      </c>
      <c r="W186" s="1">
        <v>0.0</v>
      </c>
      <c r="Y186" s="1">
        <v>0.0</v>
      </c>
      <c r="AA186" s="1">
        <v>0.0</v>
      </c>
      <c r="AC186" s="1">
        <v>0.0</v>
      </c>
      <c r="AM186" s="1">
        <v>79.0</v>
      </c>
      <c r="AN186" s="1">
        <v>79.0</v>
      </c>
      <c r="AO186" s="1">
        <v>79.0</v>
      </c>
      <c r="AP186" s="1">
        <v>0.03</v>
      </c>
      <c r="AR186" s="1">
        <v>0.0</v>
      </c>
      <c r="AW186" s="1">
        <v>0.0</v>
      </c>
      <c r="AX186" s="1">
        <v>2.0</v>
      </c>
      <c r="AY186" s="1">
        <v>7.0</v>
      </c>
      <c r="BA186" s="1">
        <v>0.0</v>
      </c>
      <c r="BB186" s="1">
        <v>0.0</v>
      </c>
      <c r="BC186" s="1">
        <v>0.0</v>
      </c>
      <c r="BD186" s="1">
        <v>0.0</v>
      </c>
      <c r="BE186" s="1">
        <v>0.0</v>
      </c>
      <c r="BF186" s="1">
        <v>0.0</v>
      </c>
      <c r="BG186" s="1">
        <v>0.0</v>
      </c>
      <c r="BH186" s="1">
        <v>0.0</v>
      </c>
      <c r="BI186" s="1">
        <v>0.0</v>
      </c>
      <c r="BJ186" s="1">
        <v>0.0</v>
      </c>
      <c r="BP186" s="1">
        <v>0.271</v>
      </c>
      <c r="BQ186" s="1" t="s">
        <v>1017</v>
      </c>
      <c r="BV186" s="1">
        <v>1.1</v>
      </c>
      <c r="EQ186" s="9" t="s">
        <v>1580</v>
      </c>
      <c r="ER186" s="21">
        <v>46045.29800925926</v>
      </c>
    </row>
    <row r="187">
      <c r="A187" s="9" t="s">
        <v>1581</v>
      </c>
      <c r="B187" s="20" t="str">
        <f>IFERROR(__xludf.DUMMYFUNCTION("REGEXREPLACE(A187, ""^https?://[^/]+"", """")"),"/wp-content/plugins/elementor/assets/lib/swiper/v8/swiper.min.js?ver=8.4.5")</f>
        <v>/wp-content/plugins/elementor/assets/lib/swiper/v8/swiper.min.js?ver=8.4.5</v>
      </c>
      <c r="F187" s="1" t="s">
        <v>984</v>
      </c>
      <c r="G187" s="1">
        <v>200.0</v>
      </c>
      <c r="H187" s="1" t="s">
        <v>966</v>
      </c>
      <c r="I187" s="1" t="s">
        <v>967</v>
      </c>
      <c r="L187" s="1">
        <v>0.0</v>
      </c>
      <c r="M187" s="1">
        <v>0.0</v>
      </c>
      <c r="O187" s="1">
        <v>0.0</v>
      </c>
      <c r="P187" s="1">
        <v>0.0</v>
      </c>
      <c r="R187" s="1">
        <v>0.0</v>
      </c>
      <c r="S187" s="1">
        <v>0.0</v>
      </c>
      <c r="U187" s="1">
        <v>0.0</v>
      </c>
      <c r="W187" s="1">
        <v>0.0</v>
      </c>
      <c r="Y187" s="1">
        <v>0.0</v>
      </c>
      <c r="AA187" s="1">
        <v>0.0</v>
      </c>
      <c r="AC187" s="1">
        <v>0.0</v>
      </c>
      <c r="AM187" s="1">
        <v>39695.0</v>
      </c>
      <c r="AN187" s="1">
        <v>39695.0</v>
      </c>
      <c r="AO187" s="1">
        <v>39695.0</v>
      </c>
      <c r="AP187" s="1">
        <v>15.206</v>
      </c>
      <c r="AR187" s="1">
        <v>0.0</v>
      </c>
      <c r="AW187" s="1">
        <v>0.0</v>
      </c>
      <c r="AX187" s="1">
        <v>2.0</v>
      </c>
      <c r="AY187" s="1">
        <v>7.0</v>
      </c>
      <c r="BA187" s="1">
        <v>0.0</v>
      </c>
      <c r="BB187" s="1">
        <v>0.0</v>
      </c>
      <c r="BC187" s="1">
        <v>0.0</v>
      </c>
      <c r="BD187" s="1">
        <v>0.0</v>
      </c>
      <c r="BE187" s="1">
        <v>0.0</v>
      </c>
      <c r="BF187" s="1">
        <v>0.0</v>
      </c>
      <c r="BG187" s="1">
        <v>0.0</v>
      </c>
      <c r="BH187" s="1">
        <v>0.0</v>
      </c>
      <c r="BI187" s="1">
        <v>0.0</v>
      </c>
      <c r="BJ187" s="1">
        <v>0.0</v>
      </c>
      <c r="BP187" s="1">
        <v>0.288</v>
      </c>
      <c r="BQ187" s="1" t="s">
        <v>1017</v>
      </c>
      <c r="BV187" s="1">
        <v>1.1</v>
      </c>
      <c r="EQ187" s="9" t="s">
        <v>1581</v>
      </c>
      <c r="ER187" s="21">
        <v>46045.29800925926</v>
      </c>
    </row>
    <row r="188">
      <c r="A188" s="9" t="s">
        <v>1582</v>
      </c>
      <c r="B188" s="20" t="str">
        <f>IFERROR(__xludf.DUMMYFUNCTION("REGEXREPLACE(A188, ""^https?://[^/]+"", """")"),"/wp-content/uploads/elementor/css/post-47812.css?ver=1768857105")</f>
        <v>/wp-content/uploads/elementor/css/post-47812.css?ver=1768857105</v>
      </c>
      <c r="F188" s="1" t="s">
        <v>1016</v>
      </c>
      <c r="G188" s="1">
        <v>200.0</v>
      </c>
      <c r="H188" s="1" t="s">
        <v>966</v>
      </c>
      <c r="I188" s="1" t="s">
        <v>967</v>
      </c>
      <c r="L188" s="1">
        <v>0.0</v>
      </c>
      <c r="M188" s="1">
        <v>0.0</v>
      </c>
      <c r="O188" s="1">
        <v>0.0</v>
      </c>
      <c r="P188" s="1">
        <v>0.0</v>
      </c>
      <c r="R188" s="1">
        <v>0.0</v>
      </c>
      <c r="S188" s="1">
        <v>0.0</v>
      </c>
      <c r="U188" s="1">
        <v>0.0</v>
      </c>
      <c r="W188" s="1">
        <v>0.0</v>
      </c>
      <c r="Y188" s="1">
        <v>0.0</v>
      </c>
      <c r="AA188" s="1">
        <v>0.0</v>
      </c>
      <c r="AC188" s="1">
        <v>0.0</v>
      </c>
      <c r="AM188" s="1">
        <v>4125.0</v>
      </c>
      <c r="AN188" s="1">
        <v>4125.0</v>
      </c>
      <c r="AO188" s="1">
        <v>4125.0</v>
      </c>
      <c r="AP188" s="1">
        <v>1.58</v>
      </c>
      <c r="AR188" s="1">
        <v>0.0</v>
      </c>
      <c r="AW188" s="1">
        <v>0.0</v>
      </c>
      <c r="AX188" s="1">
        <v>2.0</v>
      </c>
      <c r="AY188" s="1">
        <v>4.0</v>
      </c>
      <c r="BA188" s="1">
        <v>0.0</v>
      </c>
      <c r="BB188" s="1">
        <v>0.0</v>
      </c>
      <c r="BC188" s="1">
        <v>0.0</v>
      </c>
      <c r="BD188" s="1">
        <v>0.0</v>
      </c>
      <c r="BE188" s="1">
        <v>0.0</v>
      </c>
      <c r="BF188" s="1">
        <v>0.0</v>
      </c>
      <c r="BG188" s="1">
        <v>0.0</v>
      </c>
      <c r="BH188" s="1">
        <v>0.0</v>
      </c>
      <c r="BI188" s="1">
        <v>0.0</v>
      </c>
      <c r="BJ188" s="1">
        <v>0.0</v>
      </c>
      <c r="BP188" s="1">
        <v>0.255</v>
      </c>
      <c r="BQ188" s="1" t="s">
        <v>1583</v>
      </c>
      <c r="BV188" s="1">
        <v>1.1</v>
      </c>
      <c r="EQ188" s="9" t="s">
        <v>1582</v>
      </c>
      <c r="ER188" s="21">
        <v>46045.29800925926</v>
      </c>
    </row>
    <row r="189">
      <c r="A189" s="9" t="s">
        <v>1584</v>
      </c>
      <c r="B189" s="20" t="str">
        <f>IFERROR(__xludf.DUMMYFUNCTION("REGEXREPLACE(A189, ""^https?://[^/]+"", """")"),"/wp-content/uploads/2025/08/AdobeStock_277547100.jpeg")</f>
        <v>/wp-content/uploads/2025/08/AdobeStock_277547100.jpeg</v>
      </c>
      <c r="F189" s="1" t="s">
        <v>1004</v>
      </c>
      <c r="G189" s="1">
        <v>200.0</v>
      </c>
      <c r="H189" s="1" t="s">
        <v>966</v>
      </c>
      <c r="I189" s="1" t="s">
        <v>967</v>
      </c>
      <c r="L189" s="1">
        <v>0.0</v>
      </c>
      <c r="M189" s="1">
        <v>0.0</v>
      </c>
      <c r="O189" s="1">
        <v>0.0</v>
      </c>
      <c r="P189" s="1">
        <v>0.0</v>
      </c>
      <c r="R189" s="1">
        <v>0.0</v>
      </c>
      <c r="S189" s="1">
        <v>0.0</v>
      </c>
      <c r="U189" s="1">
        <v>0.0</v>
      </c>
      <c r="W189" s="1">
        <v>0.0</v>
      </c>
      <c r="Y189" s="1">
        <v>0.0</v>
      </c>
      <c r="AA189" s="1">
        <v>0.0</v>
      </c>
      <c r="AC189" s="1">
        <v>0.0</v>
      </c>
      <c r="AM189" s="1">
        <v>462576.0</v>
      </c>
      <c r="AN189" s="1">
        <v>462576.0</v>
      </c>
      <c r="AO189" s="1">
        <v>462576.0</v>
      </c>
      <c r="AP189" s="1">
        <v>177.204</v>
      </c>
      <c r="AR189" s="1">
        <v>0.0</v>
      </c>
      <c r="AW189" s="1">
        <v>0.0</v>
      </c>
      <c r="AX189" s="1">
        <v>2.0</v>
      </c>
      <c r="AY189" s="1">
        <v>4.0</v>
      </c>
      <c r="BA189" s="1">
        <v>0.0</v>
      </c>
      <c r="BB189" s="1">
        <v>0.0</v>
      </c>
      <c r="BC189" s="1">
        <v>0.0</v>
      </c>
      <c r="BD189" s="1">
        <v>0.0</v>
      </c>
      <c r="BE189" s="1">
        <v>0.0</v>
      </c>
      <c r="BF189" s="1">
        <v>0.0</v>
      </c>
      <c r="BG189" s="1">
        <v>0.0</v>
      </c>
      <c r="BH189" s="1">
        <v>0.0</v>
      </c>
      <c r="BI189" s="1">
        <v>0.0</v>
      </c>
      <c r="BJ189" s="1">
        <v>0.0</v>
      </c>
      <c r="BP189" s="1">
        <v>0.265</v>
      </c>
      <c r="BQ189" s="1" t="s">
        <v>1585</v>
      </c>
      <c r="BV189" s="1">
        <v>1.1</v>
      </c>
      <c r="EQ189" s="9" t="s">
        <v>1584</v>
      </c>
      <c r="ER189" s="21">
        <v>46045.29800925926</v>
      </c>
    </row>
    <row r="190">
      <c r="A190" s="9" t="s">
        <v>1586</v>
      </c>
      <c r="B190" s="20" t="str">
        <f>IFERROR(__xludf.DUMMYFUNCTION("REGEXREPLACE(A190, ""^https?://[^/]+"", """")"),"/wp-content/plugins/elementor-pro/assets/css/widget-carousel-module-base.min.css?ver=3.34.0")</f>
        <v>/wp-content/plugins/elementor-pro/assets/css/widget-carousel-module-base.min.css?ver=3.34.0</v>
      </c>
      <c r="F190" s="1" t="s">
        <v>1016</v>
      </c>
      <c r="G190" s="1">
        <v>200.0</v>
      </c>
      <c r="H190" s="1" t="s">
        <v>966</v>
      </c>
      <c r="I190" s="1" t="s">
        <v>967</v>
      </c>
      <c r="L190" s="1">
        <v>0.0</v>
      </c>
      <c r="M190" s="1">
        <v>0.0</v>
      </c>
      <c r="O190" s="1">
        <v>0.0</v>
      </c>
      <c r="P190" s="1">
        <v>0.0</v>
      </c>
      <c r="R190" s="1">
        <v>0.0</v>
      </c>
      <c r="S190" s="1">
        <v>0.0</v>
      </c>
      <c r="U190" s="1">
        <v>0.0</v>
      </c>
      <c r="W190" s="1">
        <v>0.0</v>
      </c>
      <c r="Y190" s="1">
        <v>0.0</v>
      </c>
      <c r="AA190" s="1">
        <v>0.0</v>
      </c>
      <c r="AC190" s="1">
        <v>0.0</v>
      </c>
      <c r="AM190" s="1">
        <v>671.0</v>
      </c>
      <c r="AN190" s="1">
        <v>671.0</v>
      </c>
      <c r="AO190" s="1">
        <v>671.0</v>
      </c>
      <c r="AP190" s="1">
        <v>0.257</v>
      </c>
      <c r="AR190" s="1">
        <v>0.0</v>
      </c>
      <c r="AW190" s="1">
        <v>0.0</v>
      </c>
      <c r="AX190" s="1">
        <v>2.0</v>
      </c>
      <c r="AY190" s="1">
        <v>5.0</v>
      </c>
      <c r="BA190" s="1">
        <v>0.0</v>
      </c>
      <c r="BB190" s="1">
        <v>0.0</v>
      </c>
      <c r="BC190" s="1">
        <v>0.0</v>
      </c>
      <c r="BD190" s="1">
        <v>0.0</v>
      </c>
      <c r="BE190" s="1">
        <v>0.0</v>
      </c>
      <c r="BF190" s="1">
        <v>0.0</v>
      </c>
      <c r="BG190" s="1">
        <v>0.0</v>
      </c>
      <c r="BH190" s="1">
        <v>0.0</v>
      </c>
      <c r="BI190" s="1">
        <v>0.0</v>
      </c>
      <c r="BJ190" s="1">
        <v>0.0</v>
      </c>
      <c r="BP190" s="1">
        <v>0.257</v>
      </c>
      <c r="BQ190" s="1" t="s">
        <v>1041</v>
      </c>
      <c r="BV190" s="1">
        <v>1.1</v>
      </c>
      <c r="EQ190" s="9" t="s">
        <v>1586</v>
      </c>
      <c r="ER190" s="21">
        <v>46045.29800925926</v>
      </c>
    </row>
    <row r="191">
      <c r="A191" s="9" t="s">
        <v>1587</v>
      </c>
      <c r="B191" s="20" t="str">
        <f>IFERROR(__xludf.DUMMYFUNCTION("REGEXREPLACE(A191, ""^https?://[^/]+"", """")"),"/wp-content/plugins/elementor/assets/css/widget-spacer.min.css?ver=3.34.0")</f>
        <v>/wp-content/plugins/elementor/assets/css/widget-spacer.min.css?ver=3.34.0</v>
      </c>
      <c r="F191" s="1" t="s">
        <v>1016</v>
      </c>
      <c r="G191" s="1">
        <v>200.0</v>
      </c>
      <c r="H191" s="1" t="s">
        <v>966</v>
      </c>
      <c r="I191" s="1" t="s">
        <v>967</v>
      </c>
      <c r="L191" s="1">
        <v>0.0</v>
      </c>
      <c r="M191" s="1">
        <v>0.0</v>
      </c>
      <c r="O191" s="1">
        <v>0.0</v>
      </c>
      <c r="P191" s="1">
        <v>0.0</v>
      </c>
      <c r="R191" s="1">
        <v>0.0</v>
      </c>
      <c r="S191" s="1">
        <v>0.0</v>
      </c>
      <c r="U191" s="1">
        <v>0.0</v>
      </c>
      <c r="W191" s="1">
        <v>0.0</v>
      </c>
      <c r="Y191" s="1">
        <v>0.0</v>
      </c>
      <c r="AA191" s="1">
        <v>0.0</v>
      </c>
      <c r="AC191" s="1">
        <v>0.0</v>
      </c>
      <c r="AM191" s="1">
        <v>338.0</v>
      </c>
      <c r="AN191" s="1">
        <v>338.0</v>
      </c>
      <c r="AO191" s="1">
        <v>338.0</v>
      </c>
      <c r="AP191" s="1">
        <v>0.129</v>
      </c>
      <c r="AR191" s="1">
        <v>0.0</v>
      </c>
      <c r="AW191" s="1">
        <v>0.0</v>
      </c>
      <c r="AX191" s="1">
        <v>2.0</v>
      </c>
      <c r="AY191" s="1">
        <v>5.0</v>
      </c>
      <c r="BA191" s="1">
        <v>0.0</v>
      </c>
      <c r="BB191" s="1">
        <v>0.0</v>
      </c>
      <c r="BC191" s="1">
        <v>0.0</v>
      </c>
      <c r="BD191" s="1">
        <v>0.0</v>
      </c>
      <c r="BE191" s="1">
        <v>0.0</v>
      </c>
      <c r="BF191" s="1">
        <v>0.0</v>
      </c>
      <c r="BG191" s="1">
        <v>0.0</v>
      </c>
      <c r="BH191" s="1">
        <v>0.0</v>
      </c>
      <c r="BI191" s="1">
        <v>0.0</v>
      </c>
      <c r="BJ191" s="1">
        <v>0.0</v>
      </c>
      <c r="BP191" s="1">
        <v>0.255</v>
      </c>
      <c r="BQ191" s="1" t="s">
        <v>1017</v>
      </c>
      <c r="BV191" s="1">
        <v>1.1</v>
      </c>
      <c r="EQ191" s="9" t="s">
        <v>1587</v>
      </c>
      <c r="ER191" s="21">
        <v>46045.29800925926</v>
      </c>
    </row>
    <row r="192">
      <c r="A192" s="9" t="s">
        <v>1588</v>
      </c>
      <c r="B192" s="20" t="str">
        <f>IFERROR(__xludf.DUMMYFUNCTION("REGEXREPLACE(A192, ""^https?://[^/]+"", """")"),"/wp-content/uploads/2023/04/Leadership-Styles-Sales-Recovery-1024x683.jpg")</f>
        <v>/wp-content/uploads/2023/04/Leadership-Styles-Sales-Recovery-1024x683.jpg</v>
      </c>
      <c r="F192" s="1" t="s">
        <v>1004</v>
      </c>
      <c r="G192" s="1">
        <v>200.0</v>
      </c>
      <c r="H192" s="1" t="s">
        <v>966</v>
      </c>
      <c r="I192" s="1" t="s">
        <v>967</v>
      </c>
      <c r="L192" s="1">
        <v>0.0</v>
      </c>
      <c r="M192" s="1">
        <v>0.0</v>
      </c>
      <c r="O192" s="1">
        <v>0.0</v>
      </c>
      <c r="P192" s="1">
        <v>0.0</v>
      </c>
      <c r="R192" s="1">
        <v>0.0</v>
      </c>
      <c r="S192" s="1">
        <v>0.0</v>
      </c>
      <c r="U192" s="1">
        <v>0.0</v>
      </c>
      <c r="W192" s="1">
        <v>0.0</v>
      </c>
      <c r="Y192" s="1">
        <v>0.0</v>
      </c>
      <c r="AA192" s="1">
        <v>0.0</v>
      </c>
      <c r="AC192" s="1">
        <v>0.0</v>
      </c>
      <c r="AM192" s="1">
        <v>114532.0</v>
      </c>
      <c r="AN192" s="1">
        <v>114532.0</v>
      </c>
      <c r="AO192" s="1">
        <v>114532.0</v>
      </c>
      <c r="AP192" s="1">
        <v>43.875</v>
      </c>
      <c r="AR192" s="1">
        <v>0.0</v>
      </c>
      <c r="AW192" s="1">
        <v>0.0</v>
      </c>
      <c r="AX192" s="1">
        <v>2.0</v>
      </c>
      <c r="AY192" s="1">
        <v>4.0</v>
      </c>
      <c r="BA192" s="1">
        <v>0.0</v>
      </c>
      <c r="BB192" s="1">
        <v>0.0</v>
      </c>
      <c r="BC192" s="1">
        <v>0.0</v>
      </c>
      <c r="BD192" s="1">
        <v>0.0</v>
      </c>
      <c r="BE192" s="1">
        <v>0.0</v>
      </c>
      <c r="BF192" s="1">
        <v>0.0</v>
      </c>
      <c r="BG192" s="1">
        <v>0.0</v>
      </c>
      <c r="BH192" s="1">
        <v>0.0</v>
      </c>
      <c r="BI192" s="1">
        <v>0.0</v>
      </c>
      <c r="BJ192" s="1">
        <v>0.0</v>
      </c>
      <c r="BP192" s="1">
        <v>0.273</v>
      </c>
      <c r="BQ192" s="1" t="s">
        <v>1589</v>
      </c>
      <c r="BV192" s="1">
        <v>1.1</v>
      </c>
      <c r="EQ192" s="9" t="s">
        <v>1588</v>
      </c>
      <c r="ER192" s="21">
        <v>46045.29800925926</v>
      </c>
    </row>
    <row r="193">
      <c r="A193" s="9" t="s">
        <v>1590</v>
      </c>
      <c r="B193" s="20" t="str">
        <f>IFERROR(__xludf.DUMMYFUNCTION("REGEXREPLACE(A193, ""^https?://[^/]+"", """")"),"/wp-content/uploads/2025/08/AdobeStock_633442794.jpeg")</f>
        <v>/wp-content/uploads/2025/08/AdobeStock_633442794.jpeg</v>
      </c>
      <c r="F193" s="1" t="s">
        <v>1004</v>
      </c>
      <c r="G193" s="1">
        <v>200.0</v>
      </c>
      <c r="H193" s="1" t="s">
        <v>966</v>
      </c>
      <c r="I193" s="1" t="s">
        <v>967</v>
      </c>
      <c r="L193" s="1">
        <v>0.0</v>
      </c>
      <c r="M193" s="1">
        <v>0.0</v>
      </c>
      <c r="O193" s="1">
        <v>0.0</v>
      </c>
      <c r="P193" s="1">
        <v>0.0</v>
      </c>
      <c r="R193" s="1">
        <v>0.0</v>
      </c>
      <c r="S193" s="1">
        <v>0.0</v>
      </c>
      <c r="U193" s="1">
        <v>0.0</v>
      </c>
      <c r="W193" s="1">
        <v>0.0</v>
      </c>
      <c r="Y193" s="1">
        <v>0.0</v>
      </c>
      <c r="AA193" s="1">
        <v>0.0</v>
      </c>
      <c r="AC193" s="1">
        <v>0.0</v>
      </c>
      <c r="AM193" s="1">
        <v>270151.0</v>
      </c>
      <c r="AN193" s="1">
        <v>270151.0</v>
      </c>
      <c r="AO193" s="1">
        <v>270151.0</v>
      </c>
      <c r="AP193" s="1">
        <v>103.49</v>
      </c>
      <c r="AR193" s="1">
        <v>0.0</v>
      </c>
      <c r="AW193" s="1">
        <v>0.0</v>
      </c>
      <c r="AX193" s="1">
        <v>2.0</v>
      </c>
      <c r="AY193" s="1">
        <v>4.0</v>
      </c>
      <c r="BA193" s="1">
        <v>0.0</v>
      </c>
      <c r="BB193" s="1">
        <v>0.0</v>
      </c>
      <c r="BC193" s="1">
        <v>0.0</v>
      </c>
      <c r="BD193" s="1">
        <v>0.0</v>
      </c>
      <c r="BE193" s="1">
        <v>0.0</v>
      </c>
      <c r="BF193" s="1">
        <v>0.0</v>
      </c>
      <c r="BG193" s="1">
        <v>0.0</v>
      </c>
      <c r="BH193" s="1">
        <v>0.0</v>
      </c>
      <c r="BI193" s="1">
        <v>0.0</v>
      </c>
      <c r="BJ193" s="1">
        <v>0.0</v>
      </c>
      <c r="BP193" s="1">
        <v>0.277</v>
      </c>
      <c r="BQ193" s="1" t="s">
        <v>1591</v>
      </c>
      <c r="BV193" s="1">
        <v>1.1</v>
      </c>
      <c r="EQ193" s="9" t="s">
        <v>1590</v>
      </c>
      <c r="ER193" s="21">
        <v>46045.29800925926</v>
      </c>
    </row>
    <row r="194">
      <c r="A194" s="9" t="s">
        <v>1592</v>
      </c>
      <c r="B194" s="20" t="str">
        <f>IFERROR(__xludf.DUMMYFUNCTION("REGEXREPLACE(A194, ""^https?://[^/]+"", """")"),"/wp-content/plugins/elementor/assets/css/conditionals/e-swiper.min.css?ver=3.34.0")</f>
        <v>/wp-content/plugins/elementor/assets/css/conditionals/e-swiper.min.css?ver=3.34.0</v>
      </c>
      <c r="F194" s="1" t="s">
        <v>1016</v>
      </c>
      <c r="G194" s="1">
        <v>200.0</v>
      </c>
      <c r="H194" s="1" t="s">
        <v>966</v>
      </c>
      <c r="I194" s="1" t="s">
        <v>967</v>
      </c>
      <c r="L194" s="1">
        <v>0.0</v>
      </c>
      <c r="M194" s="1">
        <v>0.0</v>
      </c>
      <c r="O194" s="1">
        <v>0.0</v>
      </c>
      <c r="P194" s="1">
        <v>0.0</v>
      </c>
      <c r="R194" s="1">
        <v>0.0</v>
      </c>
      <c r="S194" s="1">
        <v>0.0</v>
      </c>
      <c r="U194" s="1">
        <v>0.0</v>
      </c>
      <c r="W194" s="1">
        <v>0.0</v>
      </c>
      <c r="Y194" s="1">
        <v>0.0</v>
      </c>
      <c r="AA194" s="1">
        <v>0.0</v>
      </c>
      <c r="AC194" s="1">
        <v>0.0</v>
      </c>
      <c r="AM194" s="1">
        <v>799.0</v>
      </c>
      <c r="AN194" s="1">
        <v>799.0</v>
      </c>
      <c r="AO194" s="1">
        <v>799.0</v>
      </c>
      <c r="AP194" s="1">
        <v>0.306</v>
      </c>
      <c r="AR194" s="1">
        <v>0.0</v>
      </c>
      <c r="AW194" s="1">
        <v>0.0</v>
      </c>
      <c r="AX194" s="1">
        <v>2.0</v>
      </c>
      <c r="AY194" s="1">
        <v>6.0</v>
      </c>
      <c r="BA194" s="1">
        <v>0.0</v>
      </c>
      <c r="BB194" s="1">
        <v>0.0</v>
      </c>
      <c r="BC194" s="1">
        <v>0.0</v>
      </c>
      <c r="BD194" s="1">
        <v>0.0</v>
      </c>
      <c r="BE194" s="1">
        <v>0.0</v>
      </c>
      <c r="BF194" s="1">
        <v>0.0</v>
      </c>
      <c r="BG194" s="1">
        <v>0.0</v>
      </c>
      <c r="BH194" s="1">
        <v>0.0</v>
      </c>
      <c r="BI194" s="1">
        <v>0.0</v>
      </c>
      <c r="BJ194" s="1">
        <v>0.0</v>
      </c>
      <c r="BP194" s="1">
        <v>0.261</v>
      </c>
      <c r="BQ194" s="1" t="s">
        <v>1017</v>
      </c>
      <c r="BV194" s="1">
        <v>1.1</v>
      </c>
      <c r="EQ194" s="9" t="s">
        <v>1592</v>
      </c>
      <c r="ER194" s="21">
        <v>46045.29800925926</v>
      </c>
    </row>
    <row r="195">
      <c r="A195" s="9" t="s">
        <v>1593</v>
      </c>
      <c r="B195" s="20" t="str">
        <f>IFERROR(__xludf.DUMMYFUNCTION("REGEXREPLACE(A195, ""^https?://[^/]+"", """")"),"/wp-content/plugins/elementor/assets/lib/animations/styles/fadeInLeft.min.css?ver=3.34.0")</f>
        <v>/wp-content/plugins/elementor/assets/lib/animations/styles/fadeInLeft.min.css?ver=3.34.0</v>
      </c>
      <c r="F195" s="1" t="s">
        <v>1016</v>
      </c>
      <c r="G195" s="1">
        <v>200.0</v>
      </c>
      <c r="H195" s="1" t="s">
        <v>966</v>
      </c>
      <c r="I195" s="1" t="s">
        <v>967</v>
      </c>
      <c r="L195" s="1">
        <v>0.0</v>
      </c>
      <c r="M195" s="1">
        <v>0.0</v>
      </c>
      <c r="O195" s="1">
        <v>0.0</v>
      </c>
      <c r="P195" s="1">
        <v>0.0</v>
      </c>
      <c r="R195" s="1">
        <v>0.0</v>
      </c>
      <c r="S195" s="1">
        <v>0.0</v>
      </c>
      <c r="U195" s="1">
        <v>0.0</v>
      </c>
      <c r="W195" s="1">
        <v>0.0</v>
      </c>
      <c r="Y195" s="1">
        <v>0.0</v>
      </c>
      <c r="AA195" s="1">
        <v>0.0</v>
      </c>
      <c r="AC195" s="1">
        <v>0.0</v>
      </c>
      <c r="AM195" s="1">
        <v>120.0</v>
      </c>
      <c r="AN195" s="1">
        <v>120.0</v>
      </c>
      <c r="AO195" s="1">
        <v>120.0</v>
      </c>
      <c r="AP195" s="1">
        <v>0.046</v>
      </c>
      <c r="AR195" s="1">
        <v>0.0</v>
      </c>
      <c r="AW195" s="1">
        <v>0.0</v>
      </c>
      <c r="AX195" s="1">
        <v>2.0</v>
      </c>
      <c r="AY195" s="1">
        <v>7.0</v>
      </c>
      <c r="BA195" s="1">
        <v>0.0</v>
      </c>
      <c r="BB195" s="1">
        <v>0.0</v>
      </c>
      <c r="BC195" s="1">
        <v>0.0</v>
      </c>
      <c r="BD195" s="1">
        <v>0.0</v>
      </c>
      <c r="BE195" s="1">
        <v>0.0</v>
      </c>
      <c r="BF195" s="1">
        <v>0.0</v>
      </c>
      <c r="BG195" s="1">
        <v>0.0</v>
      </c>
      <c r="BH195" s="1">
        <v>0.0</v>
      </c>
      <c r="BI195" s="1">
        <v>0.0</v>
      </c>
      <c r="BJ195" s="1">
        <v>0.0</v>
      </c>
      <c r="BP195" s="1">
        <v>0.257</v>
      </c>
      <c r="BQ195" s="1" t="s">
        <v>1017</v>
      </c>
      <c r="BV195" s="1">
        <v>1.1</v>
      </c>
      <c r="EQ195" s="9" t="s">
        <v>1593</v>
      </c>
      <c r="ER195" s="21">
        <v>46045.29800925926</v>
      </c>
    </row>
    <row r="196">
      <c r="A196" s="9" t="s">
        <v>1594</v>
      </c>
      <c r="B196" s="20" t="str">
        <f>IFERROR(__xludf.DUMMYFUNCTION("REGEXREPLACE(A196, ""^https?://[^/]+"", """")"),"/wp-content/themes/salesxceleratione/assets/css/style.css?ver=1769123315")</f>
        <v>/wp-content/themes/salesxceleratione/assets/css/style.css?ver=1769123315</v>
      </c>
      <c r="F196" s="1" t="s">
        <v>1016</v>
      </c>
      <c r="G196" s="1">
        <v>200.0</v>
      </c>
      <c r="H196" s="1" t="s">
        <v>966</v>
      </c>
      <c r="I196" s="1" t="s">
        <v>967</v>
      </c>
      <c r="L196" s="1">
        <v>0.0</v>
      </c>
      <c r="M196" s="1">
        <v>0.0</v>
      </c>
      <c r="O196" s="1">
        <v>0.0</v>
      </c>
      <c r="P196" s="1">
        <v>0.0</v>
      </c>
      <c r="R196" s="1">
        <v>0.0</v>
      </c>
      <c r="S196" s="1">
        <v>0.0</v>
      </c>
      <c r="U196" s="1">
        <v>0.0</v>
      </c>
      <c r="W196" s="1">
        <v>0.0</v>
      </c>
      <c r="Y196" s="1">
        <v>0.0</v>
      </c>
      <c r="AA196" s="1">
        <v>0.0</v>
      </c>
      <c r="AC196" s="1">
        <v>0.0</v>
      </c>
      <c r="AM196" s="1">
        <v>17704.0</v>
      </c>
      <c r="AN196" s="1">
        <v>17704.0</v>
      </c>
      <c r="AO196" s="1">
        <v>17704.0</v>
      </c>
      <c r="AP196" s="1">
        <v>6.782</v>
      </c>
      <c r="AR196" s="1">
        <v>0.0</v>
      </c>
      <c r="AW196" s="1">
        <v>0.0</v>
      </c>
      <c r="AX196" s="1">
        <v>2.0</v>
      </c>
      <c r="AY196" s="1">
        <v>5.0</v>
      </c>
      <c r="BA196" s="1">
        <v>0.0</v>
      </c>
      <c r="BB196" s="1">
        <v>0.0</v>
      </c>
      <c r="BC196" s="1">
        <v>0.0</v>
      </c>
      <c r="BD196" s="1">
        <v>0.0</v>
      </c>
      <c r="BE196" s="1">
        <v>0.0</v>
      </c>
      <c r="BF196" s="1">
        <v>0.0</v>
      </c>
      <c r="BG196" s="1">
        <v>0.0</v>
      </c>
      <c r="BH196" s="1">
        <v>0.0</v>
      </c>
      <c r="BI196" s="1">
        <v>0.0</v>
      </c>
      <c r="BJ196" s="1">
        <v>0.0</v>
      </c>
      <c r="BP196" s="1">
        <v>0.279</v>
      </c>
      <c r="BQ196" s="1" t="s">
        <v>1595</v>
      </c>
      <c r="BV196" s="1">
        <v>1.1</v>
      </c>
      <c r="EQ196" s="9" t="s">
        <v>1594</v>
      </c>
      <c r="ER196" s="21">
        <v>46045.29800925926</v>
      </c>
    </row>
    <row r="197">
      <c r="A197" s="9" t="s">
        <v>1596</v>
      </c>
      <c r="B197" s="20" t="str">
        <f>IFERROR(__xludf.DUMMYFUNCTION("REGEXREPLACE(A197, ""^https?://[^/]+"", """")"),"/wp-content/uploads/2025/07/electronic-data-interchange-768x512-1.jpg")</f>
        <v>/wp-content/uploads/2025/07/electronic-data-interchange-768x512-1.jpg</v>
      </c>
      <c r="F197" s="1" t="s">
        <v>1004</v>
      </c>
      <c r="G197" s="1">
        <v>200.0</v>
      </c>
      <c r="H197" s="1" t="s">
        <v>966</v>
      </c>
      <c r="I197" s="1" t="s">
        <v>967</v>
      </c>
      <c r="L197" s="1">
        <v>0.0</v>
      </c>
      <c r="M197" s="1">
        <v>0.0</v>
      </c>
      <c r="O197" s="1">
        <v>0.0</v>
      </c>
      <c r="P197" s="1">
        <v>0.0</v>
      </c>
      <c r="R197" s="1">
        <v>0.0</v>
      </c>
      <c r="S197" s="1">
        <v>0.0</v>
      </c>
      <c r="U197" s="1">
        <v>0.0</v>
      </c>
      <c r="W197" s="1">
        <v>0.0</v>
      </c>
      <c r="Y197" s="1">
        <v>0.0</v>
      </c>
      <c r="AA197" s="1">
        <v>0.0</v>
      </c>
      <c r="AC197" s="1">
        <v>0.0</v>
      </c>
      <c r="AM197" s="1">
        <v>63238.0</v>
      </c>
      <c r="AN197" s="1">
        <v>63238.0</v>
      </c>
      <c r="AO197" s="1">
        <v>63238.0</v>
      </c>
      <c r="AP197" s="1">
        <v>24.225</v>
      </c>
      <c r="AR197" s="1">
        <v>0.0</v>
      </c>
      <c r="AW197" s="1">
        <v>0.0</v>
      </c>
      <c r="AX197" s="1">
        <v>2.0</v>
      </c>
      <c r="AY197" s="1">
        <v>4.0</v>
      </c>
      <c r="BA197" s="1">
        <v>0.0</v>
      </c>
      <c r="BB197" s="1">
        <v>0.0</v>
      </c>
      <c r="BC197" s="1">
        <v>0.0</v>
      </c>
      <c r="BD197" s="1">
        <v>0.0</v>
      </c>
      <c r="BE197" s="1">
        <v>0.0</v>
      </c>
      <c r="BF197" s="1">
        <v>0.0</v>
      </c>
      <c r="BG197" s="1">
        <v>0.0</v>
      </c>
      <c r="BH197" s="1">
        <v>0.0</v>
      </c>
      <c r="BI197" s="1">
        <v>0.0</v>
      </c>
      <c r="BJ197" s="1">
        <v>0.0</v>
      </c>
      <c r="BP197" s="1">
        <v>0.267</v>
      </c>
      <c r="BQ197" s="1" t="s">
        <v>1597</v>
      </c>
      <c r="BV197" s="1">
        <v>1.1</v>
      </c>
      <c r="EQ197" s="9" t="s">
        <v>1596</v>
      </c>
      <c r="ER197" s="21">
        <v>46045.29800925926</v>
      </c>
    </row>
    <row r="198">
      <c r="A198" s="9" t="s">
        <v>1598</v>
      </c>
      <c r="B198" s="20" t="str">
        <f>IFERROR(__xludf.DUMMYFUNCTION("REGEXREPLACE(A198, ""^https?://[^/]+"", """")"),"/wp-content/plugins/elementor/assets/css/conditionals/shapes.min.css?ver=3.34.0")</f>
        <v>/wp-content/plugins/elementor/assets/css/conditionals/shapes.min.css?ver=3.34.0</v>
      </c>
      <c r="F198" s="1" t="s">
        <v>1016</v>
      </c>
      <c r="G198" s="1">
        <v>200.0</v>
      </c>
      <c r="H198" s="1" t="s">
        <v>966</v>
      </c>
      <c r="I198" s="1" t="s">
        <v>967</v>
      </c>
      <c r="L198" s="1">
        <v>0.0</v>
      </c>
      <c r="M198" s="1">
        <v>0.0</v>
      </c>
      <c r="O198" s="1">
        <v>0.0</v>
      </c>
      <c r="P198" s="1">
        <v>0.0</v>
      </c>
      <c r="R198" s="1">
        <v>0.0</v>
      </c>
      <c r="S198" s="1">
        <v>0.0</v>
      </c>
      <c r="U198" s="1">
        <v>0.0</v>
      </c>
      <c r="W198" s="1">
        <v>0.0</v>
      </c>
      <c r="Y198" s="1">
        <v>0.0</v>
      </c>
      <c r="AA198" s="1">
        <v>0.0</v>
      </c>
      <c r="AC198" s="1">
        <v>0.0</v>
      </c>
      <c r="AM198" s="1">
        <v>288.0</v>
      </c>
      <c r="AN198" s="1">
        <v>288.0</v>
      </c>
      <c r="AO198" s="1">
        <v>288.0</v>
      </c>
      <c r="AP198" s="1">
        <v>0.11</v>
      </c>
      <c r="AR198" s="1">
        <v>0.0</v>
      </c>
      <c r="AW198" s="1">
        <v>0.0</v>
      </c>
      <c r="AX198" s="1">
        <v>2.0</v>
      </c>
      <c r="AY198" s="1">
        <v>6.0</v>
      </c>
      <c r="BA198" s="1">
        <v>0.0</v>
      </c>
      <c r="BB198" s="1">
        <v>0.0</v>
      </c>
      <c r="BC198" s="1">
        <v>0.0</v>
      </c>
      <c r="BD198" s="1">
        <v>0.0</v>
      </c>
      <c r="BE198" s="1">
        <v>0.0</v>
      </c>
      <c r="BF198" s="1">
        <v>0.0</v>
      </c>
      <c r="BG198" s="1">
        <v>0.0</v>
      </c>
      <c r="BH198" s="1">
        <v>0.0</v>
      </c>
      <c r="BI198" s="1">
        <v>0.0</v>
      </c>
      <c r="BJ198" s="1">
        <v>0.0</v>
      </c>
      <c r="BP198" s="1">
        <v>0.258</v>
      </c>
      <c r="BQ198" s="1" t="s">
        <v>1017</v>
      </c>
      <c r="BV198" s="1">
        <v>1.1</v>
      </c>
      <c r="EQ198" s="9" t="s">
        <v>1598</v>
      </c>
      <c r="ER198" s="21">
        <v>46045.29802083333</v>
      </c>
    </row>
    <row r="199">
      <c r="A199" s="9" t="s">
        <v>1599</v>
      </c>
      <c r="B199" s="20" t="str">
        <f>IFERROR(__xludf.DUMMYFUNCTION("REGEXREPLACE(A199, ""^https?://[^/]+"", """")"),"/wp-content/uploads/2025/08/AdobeStock_1403924835.jpeg")</f>
        <v>/wp-content/uploads/2025/08/AdobeStock_1403924835.jpeg</v>
      </c>
      <c r="F199" s="1" t="s">
        <v>1004</v>
      </c>
      <c r="G199" s="1">
        <v>200.0</v>
      </c>
      <c r="H199" s="1" t="s">
        <v>966</v>
      </c>
      <c r="I199" s="1" t="s">
        <v>967</v>
      </c>
      <c r="L199" s="1">
        <v>0.0</v>
      </c>
      <c r="M199" s="1">
        <v>0.0</v>
      </c>
      <c r="O199" s="1">
        <v>0.0</v>
      </c>
      <c r="P199" s="1">
        <v>0.0</v>
      </c>
      <c r="R199" s="1">
        <v>0.0</v>
      </c>
      <c r="S199" s="1">
        <v>0.0</v>
      </c>
      <c r="U199" s="1">
        <v>0.0</v>
      </c>
      <c r="W199" s="1">
        <v>0.0</v>
      </c>
      <c r="Y199" s="1">
        <v>0.0</v>
      </c>
      <c r="AA199" s="1">
        <v>0.0</v>
      </c>
      <c r="AC199" s="1">
        <v>0.0</v>
      </c>
      <c r="AM199" s="1">
        <v>151456.0</v>
      </c>
      <c r="AN199" s="1">
        <v>151456.0</v>
      </c>
      <c r="AO199" s="1">
        <v>151456.0</v>
      </c>
      <c r="AP199" s="1">
        <v>58.02</v>
      </c>
      <c r="AR199" s="1">
        <v>0.0</v>
      </c>
      <c r="AW199" s="1">
        <v>0.0</v>
      </c>
      <c r="AX199" s="1">
        <v>2.0</v>
      </c>
      <c r="AY199" s="1">
        <v>4.0</v>
      </c>
      <c r="BA199" s="1">
        <v>0.0</v>
      </c>
      <c r="BB199" s="1">
        <v>0.0</v>
      </c>
      <c r="BC199" s="1">
        <v>0.0</v>
      </c>
      <c r="BD199" s="1">
        <v>0.0</v>
      </c>
      <c r="BE199" s="1">
        <v>0.0</v>
      </c>
      <c r="BF199" s="1">
        <v>0.0</v>
      </c>
      <c r="BG199" s="1">
        <v>0.0</v>
      </c>
      <c r="BH199" s="1">
        <v>0.0</v>
      </c>
      <c r="BI199" s="1">
        <v>0.0</v>
      </c>
      <c r="BJ199" s="1">
        <v>0.0</v>
      </c>
      <c r="BP199" s="1">
        <v>0.282</v>
      </c>
      <c r="BQ199" s="1" t="s">
        <v>1600</v>
      </c>
      <c r="BV199" s="1">
        <v>1.1</v>
      </c>
      <c r="EQ199" s="9" t="s">
        <v>1599</v>
      </c>
      <c r="ER199" s="21">
        <v>46045.29802083333</v>
      </c>
    </row>
    <row r="200">
      <c r="A200" s="9" t="s">
        <v>1601</v>
      </c>
      <c r="B200" s="20" t="str">
        <f>IFERROR(__xludf.DUMMYFUNCTION("REGEXREPLACE(A200, ""^https?://[^/]+"", """")"),"/wp-content/plugins/elementor-pro/assets/css/widget-testimonial-carousel.min.css?ver=3.34.0")</f>
        <v>/wp-content/plugins/elementor-pro/assets/css/widget-testimonial-carousel.min.css?ver=3.34.0</v>
      </c>
      <c r="F200" s="1" t="s">
        <v>1016</v>
      </c>
      <c r="G200" s="1">
        <v>200.0</v>
      </c>
      <c r="H200" s="1" t="s">
        <v>966</v>
      </c>
      <c r="I200" s="1" t="s">
        <v>967</v>
      </c>
      <c r="L200" s="1">
        <v>0.0</v>
      </c>
      <c r="M200" s="1">
        <v>0.0</v>
      </c>
      <c r="O200" s="1">
        <v>0.0</v>
      </c>
      <c r="P200" s="1">
        <v>0.0</v>
      </c>
      <c r="R200" s="1">
        <v>0.0</v>
      </c>
      <c r="S200" s="1">
        <v>0.0</v>
      </c>
      <c r="U200" s="1">
        <v>0.0</v>
      </c>
      <c r="W200" s="1">
        <v>0.0</v>
      </c>
      <c r="Y200" s="1">
        <v>0.0</v>
      </c>
      <c r="AA200" s="1">
        <v>0.0</v>
      </c>
      <c r="AC200" s="1">
        <v>0.0</v>
      </c>
      <c r="AM200" s="1">
        <v>1498.0</v>
      </c>
      <c r="AN200" s="1">
        <v>1498.0</v>
      </c>
      <c r="AO200" s="1">
        <v>1498.0</v>
      </c>
      <c r="AP200" s="1">
        <v>0.574</v>
      </c>
      <c r="AR200" s="1">
        <v>0.0</v>
      </c>
      <c r="AW200" s="1">
        <v>0.0</v>
      </c>
      <c r="AX200" s="1">
        <v>2.0</v>
      </c>
      <c r="AY200" s="1">
        <v>5.0</v>
      </c>
      <c r="BA200" s="1">
        <v>0.0</v>
      </c>
      <c r="BB200" s="1">
        <v>0.0</v>
      </c>
      <c r="BC200" s="1">
        <v>0.0</v>
      </c>
      <c r="BD200" s="1">
        <v>0.0</v>
      </c>
      <c r="BE200" s="1">
        <v>0.0</v>
      </c>
      <c r="BF200" s="1">
        <v>0.0</v>
      </c>
      <c r="BG200" s="1">
        <v>0.0</v>
      </c>
      <c r="BH200" s="1">
        <v>0.0</v>
      </c>
      <c r="BI200" s="1">
        <v>0.0</v>
      </c>
      <c r="BJ200" s="1">
        <v>0.0</v>
      </c>
      <c r="BP200" s="1">
        <v>0.255</v>
      </c>
      <c r="BQ200" s="1" t="s">
        <v>1041</v>
      </c>
      <c r="BV200" s="1">
        <v>1.1</v>
      </c>
      <c r="EQ200" s="9" t="s">
        <v>1601</v>
      </c>
      <c r="ER200" s="21">
        <v>46045.29802083333</v>
      </c>
    </row>
    <row r="201">
      <c r="A201" s="9" t="s">
        <v>1602</v>
      </c>
      <c r="B201" s="20" t="str">
        <f>IFERROR(__xludf.DUMMYFUNCTION("REGEXREPLACE(A201, ""^https?://[^/]+"", """")"),"/wp-content/uploads/2023/07/Building-a-Modern-Sales-Operating-System-SOS-1024x598.jpg")</f>
        <v>/wp-content/uploads/2023/07/Building-a-Modern-Sales-Operating-System-SOS-1024x598.jpg</v>
      </c>
      <c r="F201" s="1" t="s">
        <v>1004</v>
      </c>
      <c r="G201" s="1">
        <v>200.0</v>
      </c>
      <c r="H201" s="1" t="s">
        <v>966</v>
      </c>
      <c r="I201" s="1" t="s">
        <v>967</v>
      </c>
      <c r="L201" s="1">
        <v>0.0</v>
      </c>
      <c r="M201" s="1">
        <v>0.0</v>
      </c>
      <c r="O201" s="1">
        <v>0.0</v>
      </c>
      <c r="P201" s="1">
        <v>0.0</v>
      </c>
      <c r="R201" s="1">
        <v>0.0</v>
      </c>
      <c r="S201" s="1">
        <v>0.0</v>
      </c>
      <c r="U201" s="1">
        <v>0.0</v>
      </c>
      <c r="W201" s="1">
        <v>0.0</v>
      </c>
      <c r="Y201" s="1">
        <v>0.0</v>
      </c>
      <c r="AA201" s="1">
        <v>0.0</v>
      </c>
      <c r="AC201" s="1">
        <v>0.0</v>
      </c>
      <c r="AM201" s="1">
        <v>88822.0</v>
      </c>
      <c r="AN201" s="1">
        <v>88822.0</v>
      </c>
      <c r="AO201" s="1">
        <v>88822.0</v>
      </c>
      <c r="AP201" s="1">
        <v>34.026</v>
      </c>
      <c r="AR201" s="1">
        <v>0.0</v>
      </c>
      <c r="AW201" s="1">
        <v>0.0</v>
      </c>
      <c r="AX201" s="1">
        <v>2.0</v>
      </c>
      <c r="AY201" s="1">
        <v>4.0</v>
      </c>
      <c r="BA201" s="1">
        <v>0.0</v>
      </c>
      <c r="BB201" s="1">
        <v>0.0</v>
      </c>
      <c r="BC201" s="1">
        <v>0.0</v>
      </c>
      <c r="BD201" s="1">
        <v>0.0</v>
      </c>
      <c r="BE201" s="1">
        <v>0.0</v>
      </c>
      <c r="BF201" s="1">
        <v>0.0</v>
      </c>
      <c r="BG201" s="1">
        <v>0.0</v>
      </c>
      <c r="BH201" s="1">
        <v>0.0</v>
      </c>
      <c r="BI201" s="1">
        <v>0.0</v>
      </c>
      <c r="BJ201" s="1">
        <v>0.0</v>
      </c>
      <c r="BP201" s="1">
        <v>0.28</v>
      </c>
      <c r="BQ201" s="1" t="s">
        <v>1603</v>
      </c>
      <c r="BV201" s="1">
        <v>1.1</v>
      </c>
      <c r="EQ201" s="9" t="s">
        <v>1602</v>
      </c>
      <c r="ER201" s="21">
        <v>46045.29802083333</v>
      </c>
    </row>
    <row r="202">
      <c r="A202" s="9" t="s">
        <v>1604</v>
      </c>
      <c r="B202" s="20" t="str">
        <f>IFERROR(__xludf.DUMMYFUNCTION("REGEXREPLACE(A202, ""^https?://[^/]+"", """")"),"/wp-content/uploads/2025/05/Sales-Organization-Category.png")</f>
        <v>/wp-content/uploads/2025/05/Sales-Organization-Category.png</v>
      </c>
      <c r="F202" s="1" t="s">
        <v>1047</v>
      </c>
      <c r="G202" s="1">
        <v>200.0</v>
      </c>
      <c r="H202" s="1" t="s">
        <v>966</v>
      </c>
      <c r="I202" s="1" t="s">
        <v>967</v>
      </c>
      <c r="L202" s="1">
        <v>0.0</v>
      </c>
      <c r="M202" s="1">
        <v>0.0</v>
      </c>
      <c r="O202" s="1">
        <v>0.0</v>
      </c>
      <c r="P202" s="1">
        <v>0.0</v>
      </c>
      <c r="R202" s="1">
        <v>0.0</v>
      </c>
      <c r="S202" s="1">
        <v>0.0</v>
      </c>
      <c r="U202" s="1">
        <v>0.0</v>
      </c>
      <c r="W202" s="1">
        <v>0.0</v>
      </c>
      <c r="Y202" s="1">
        <v>0.0</v>
      </c>
      <c r="AA202" s="1">
        <v>0.0</v>
      </c>
      <c r="AC202" s="1">
        <v>0.0</v>
      </c>
      <c r="AM202" s="1">
        <v>12368.0</v>
      </c>
      <c r="AN202" s="1">
        <v>12368.0</v>
      </c>
      <c r="AO202" s="1">
        <v>12368.0</v>
      </c>
      <c r="AP202" s="1">
        <v>4.738</v>
      </c>
      <c r="AR202" s="1">
        <v>0.0</v>
      </c>
      <c r="AW202" s="1">
        <v>0.0</v>
      </c>
      <c r="AX202" s="1">
        <v>2.0</v>
      </c>
      <c r="AY202" s="1">
        <v>4.0</v>
      </c>
      <c r="AZ202" s="1">
        <v>1.0</v>
      </c>
      <c r="BA202" s="1">
        <v>2.0</v>
      </c>
      <c r="BB202" s="1">
        <v>2.0</v>
      </c>
      <c r="BC202" s="1">
        <v>0.0</v>
      </c>
      <c r="BD202" s="1">
        <v>0.27</v>
      </c>
      <c r="BE202" s="1">
        <v>0.0</v>
      </c>
      <c r="BF202" s="1">
        <v>0.0</v>
      </c>
      <c r="BG202" s="1">
        <v>0.0</v>
      </c>
      <c r="BH202" s="1">
        <v>0.0</v>
      </c>
      <c r="BI202" s="1">
        <v>0.0</v>
      </c>
      <c r="BJ202" s="1">
        <v>0.0</v>
      </c>
      <c r="BP202" s="1">
        <v>0.272</v>
      </c>
      <c r="BQ202" s="1" t="s">
        <v>1605</v>
      </c>
      <c r="BV202" s="1">
        <v>1.1</v>
      </c>
      <c r="EQ202" s="9" t="s">
        <v>1604</v>
      </c>
      <c r="ER202" s="21">
        <v>46045.29802083333</v>
      </c>
    </row>
    <row r="203">
      <c r="A203" s="9" t="s">
        <v>1606</v>
      </c>
      <c r="B203" s="20" t="str">
        <f>IFERROR(__xludf.DUMMYFUNCTION("REGEXREPLACE(A203, ""^https?://[^/]+"", """")"),"/wp-content/plugins/elementor/assets/css/widget-menu-anchor.min.css?ver=3.34.0")</f>
        <v>/wp-content/plugins/elementor/assets/css/widget-menu-anchor.min.css?ver=3.34.0</v>
      </c>
      <c r="F203" s="1" t="s">
        <v>1016</v>
      </c>
      <c r="G203" s="1">
        <v>200.0</v>
      </c>
      <c r="H203" s="1" t="s">
        <v>966</v>
      </c>
      <c r="I203" s="1" t="s">
        <v>967</v>
      </c>
      <c r="L203" s="1">
        <v>0.0</v>
      </c>
      <c r="M203" s="1">
        <v>0.0</v>
      </c>
      <c r="O203" s="1">
        <v>0.0</v>
      </c>
      <c r="P203" s="1">
        <v>0.0</v>
      </c>
      <c r="R203" s="1">
        <v>0.0</v>
      </c>
      <c r="S203" s="1">
        <v>0.0</v>
      </c>
      <c r="U203" s="1">
        <v>0.0</v>
      </c>
      <c r="W203" s="1">
        <v>0.0</v>
      </c>
      <c r="Y203" s="1">
        <v>0.0</v>
      </c>
      <c r="AA203" s="1">
        <v>0.0</v>
      </c>
      <c r="AC203" s="1">
        <v>0.0</v>
      </c>
      <c r="AM203" s="1">
        <v>78.0</v>
      </c>
      <c r="AN203" s="1">
        <v>78.0</v>
      </c>
      <c r="AO203" s="1">
        <v>78.0</v>
      </c>
      <c r="AP203" s="1">
        <v>0.03</v>
      </c>
      <c r="AR203" s="1">
        <v>0.0</v>
      </c>
      <c r="AW203" s="1">
        <v>0.0</v>
      </c>
      <c r="AX203" s="1">
        <v>2.0</v>
      </c>
      <c r="AY203" s="1">
        <v>5.0</v>
      </c>
      <c r="BA203" s="1">
        <v>0.0</v>
      </c>
      <c r="BB203" s="1">
        <v>0.0</v>
      </c>
      <c r="BC203" s="1">
        <v>0.0</v>
      </c>
      <c r="BD203" s="1">
        <v>0.0</v>
      </c>
      <c r="BE203" s="1">
        <v>0.0</v>
      </c>
      <c r="BF203" s="1">
        <v>0.0</v>
      </c>
      <c r="BG203" s="1">
        <v>0.0</v>
      </c>
      <c r="BH203" s="1">
        <v>0.0</v>
      </c>
      <c r="BI203" s="1">
        <v>0.0</v>
      </c>
      <c r="BJ203" s="1">
        <v>0.0</v>
      </c>
      <c r="BP203" s="1">
        <v>0.274</v>
      </c>
      <c r="BQ203" s="1" t="s">
        <v>1017</v>
      </c>
      <c r="BV203" s="1">
        <v>1.1</v>
      </c>
      <c r="EQ203" s="9" t="s">
        <v>1606</v>
      </c>
      <c r="ER203" s="21">
        <v>46045.29802083333</v>
      </c>
    </row>
    <row r="204">
      <c r="A204" s="9" t="s">
        <v>1607</v>
      </c>
      <c r="B204" s="20" t="str">
        <f>IFERROR(__xludf.DUMMYFUNCTION("REGEXREPLACE(A204, ""^https?://[^/]+"", """")"),"/wp-content/uploads/2025/04/Sales-Strategy-Icon.svg")</f>
        <v>/wp-content/uploads/2025/04/Sales-Strategy-Icon.svg</v>
      </c>
      <c r="F204" s="1" t="s">
        <v>1391</v>
      </c>
      <c r="G204" s="1">
        <v>200.0</v>
      </c>
      <c r="H204" s="1" t="s">
        <v>966</v>
      </c>
      <c r="I204" s="1" t="s">
        <v>967</v>
      </c>
      <c r="L204" s="1">
        <v>0.0</v>
      </c>
      <c r="M204" s="1">
        <v>0.0</v>
      </c>
      <c r="O204" s="1">
        <v>0.0</v>
      </c>
      <c r="P204" s="1">
        <v>0.0</v>
      </c>
      <c r="R204" s="1">
        <v>0.0</v>
      </c>
      <c r="S204" s="1">
        <v>0.0</v>
      </c>
      <c r="U204" s="1">
        <v>0.0</v>
      </c>
      <c r="W204" s="1">
        <v>0.0</v>
      </c>
      <c r="Y204" s="1">
        <v>0.0</v>
      </c>
      <c r="AA204" s="1">
        <v>0.0</v>
      </c>
      <c r="AC204" s="1">
        <v>0.0</v>
      </c>
      <c r="AM204" s="1">
        <v>0.0</v>
      </c>
      <c r="AN204" s="1">
        <v>0.0</v>
      </c>
      <c r="AO204" s="1">
        <v>0.0</v>
      </c>
      <c r="AP204" s="1">
        <v>0.0</v>
      </c>
      <c r="AR204" s="1">
        <v>0.0</v>
      </c>
      <c r="AW204" s="1">
        <v>0.0</v>
      </c>
      <c r="AX204" s="1">
        <v>2.0</v>
      </c>
      <c r="AY204" s="1">
        <v>4.0</v>
      </c>
      <c r="BA204" s="1">
        <v>0.0</v>
      </c>
      <c r="BB204" s="1">
        <v>0.0</v>
      </c>
      <c r="BC204" s="1">
        <v>0.0</v>
      </c>
      <c r="BD204" s="1">
        <v>0.0</v>
      </c>
      <c r="BE204" s="1">
        <v>0.0</v>
      </c>
      <c r="BF204" s="1">
        <v>0.0</v>
      </c>
      <c r="BG204" s="1">
        <v>0.0</v>
      </c>
      <c r="BH204" s="1">
        <v>0.0</v>
      </c>
      <c r="BI204" s="1">
        <v>0.0</v>
      </c>
      <c r="BJ204" s="1">
        <v>0.0</v>
      </c>
      <c r="BP204" s="1">
        <v>0.272</v>
      </c>
      <c r="BQ204" s="1" t="s">
        <v>1608</v>
      </c>
      <c r="BV204" s="1">
        <v>1.1</v>
      </c>
      <c r="EQ204" s="9" t="s">
        <v>1607</v>
      </c>
      <c r="ER204" s="21">
        <v>46045.29802083333</v>
      </c>
    </row>
    <row r="205">
      <c r="A205" s="9" t="s">
        <v>1609</v>
      </c>
      <c r="B205" s="20" t="str">
        <f>IFERROR(__xludf.DUMMYFUNCTION("REGEXREPLACE(A205, ""^https?://[^/]+"", """")"),"/wp-content/uploads/elementor/css/post-27738.css?ver=1768845930")</f>
        <v>/wp-content/uploads/elementor/css/post-27738.css?ver=1768845930</v>
      </c>
      <c r="F205" s="1" t="s">
        <v>1016</v>
      </c>
      <c r="G205" s="1">
        <v>200.0</v>
      </c>
      <c r="H205" s="1" t="s">
        <v>966</v>
      </c>
      <c r="I205" s="1" t="s">
        <v>967</v>
      </c>
      <c r="L205" s="1">
        <v>0.0</v>
      </c>
      <c r="M205" s="1">
        <v>0.0</v>
      </c>
      <c r="O205" s="1">
        <v>0.0</v>
      </c>
      <c r="P205" s="1">
        <v>0.0</v>
      </c>
      <c r="R205" s="1">
        <v>0.0</v>
      </c>
      <c r="S205" s="1">
        <v>0.0</v>
      </c>
      <c r="U205" s="1">
        <v>0.0</v>
      </c>
      <c r="W205" s="1">
        <v>0.0</v>
      </c>
      <c r="Y205" s="1">
        <v>0.0</v>
      </c>
      <c r="AA205" s="1">
        <v>0.0</v>
      </c>
      <c r="AC205" s="1">
        <v>0.0</v>
      </c>
      <c r="AM205" s="1">
        <v>4102.0</v>
      </c>
      <c r="AN205" s="1">
        <v>4102.0</v>
      </c>
      <c r="AO205" s="1">
        <v>4102.0</v>
      </c>
      <c r="AP205" s="1">
        <v>1.571</v>
      </c>
      <c r="AR205" s="1">
        <v>0.0</v>
      </c>
      <c r="AW205" s="1">
        <v>0.0</v>
      </c>
      <c r="AX205" s="1">
        <v>2.0</v>
      </c>
      <c r="AY205" s="1">
        <v>4.0</v>
      </c>
      <c r="BA205" s="1">
        <v>0.0</v>
      </c>
      <c r="BB205" s="1">
        <v>0.0</v>
      </c>
      <c r="BC205" s="1">
        <v>0.0</v>
      </c>
      <c r="BD205" s="1">
        <v>0.0</v>
      </c>
      <c r="BE205" s="1">
        <v>0.0</v>
      </c>
      <c r="BF205" s="1">
        <v>0.0</v>
      </c>
      <c r="BG205" s="1">
        <v>0.0</v>
      </c>
      <c r="BH205" s="1">
        <v>0.0</v>
      </c>
      <c r="BI205" s="1">
        <v>0.0</v>
      </c>
      <c r="BJ205" s="1">
        <v>0.0</v>
      </c>
      <c r="BP205" s="1">
        <v>0.268</v>
      </c>
      <c r="BQ205" s="1" t="s">
        <v>1610</v>
      </c>
      <c r="BV205" s="1">
        <v>1.1</v>
      </c>
      <c r="EQ205" s="9" t="s">
        <v>1609</v>
      </c>
      <c r="ER205" s="21">
        <v>46045.29802083333</v>
      </c>
    </row>
    <row r="206">
      <c r="A206" s="9" t="s">
        <v>1611</v>
      </c>
      <c r="B206" s="20" t="str">
        <f>IFERROR(__xludf.DUMMYFUNCTION("REGEXREPLACE(A206, ""^https?://[^/]+"", """")"),"/case-study/internet-service-provider-improving-close-rates-to-44-09/")</f>
        <v>/case-study/internet-service-provider-improving-close-rates-to-44-09/</v>
      </c>
      <c r="C206" s="1" t="s">
        <v>1612</v>
      </c>
      <c r="D206" s="1" t="s">
        <v>1417</v>
      </c>
      <c r="E206" s="1" t="s">
        <v>1418</v>
      </c>
      <c r="F206" s="1" t="s">
        <v>965</v>
      </c>
      <c r="G206" s="1">
        <v>200.0</v>
      </c>
      <c r="H206" s="1" t="s">
        <v>966</v>
      </c>
      <c r="I206" s="1" t="s">
        <v>967</v>
      </c>
      <c r="K206" s="1" t="s">
        <v>1613</v>
      </c>
      <c r="L206" s="1">
        <v>96.0</v>
      </c>
      <c r="M206" s="1">
        <v>858.0</v>
      </c>
      <c r="O206" s="1">
        <v>0.0</v>
      </c>
      <c r="P206" s="1">
        <v>0.0</v>
      </c>
      <c r="Q206" s="1" t="s">
        <v>1614</v>
      </c>
      <c r="R206" s="1">
        <v>155.0</v>
      </c>
      <c r="S206" s="1">
        <v>932.0</v>
      </c>
      <c r="U206" s="1">
        <v>0.0</v>
      </c>
      <c r="V206" s="1" t="s">
        <v>1612</v>
      </c>
      <c r="W206" s="1">
        <v>58.0</v>
      </c>
      <c r="Y206" s="1">
        <v>0.0</v>
      </c>
      <c r="Z206" s="1" t="s">
        <v>1417</v>
      </c>
      <c r="AA206" s="1">
        <v>15.0</v>
      </c>
      <c r="AB206" s="1" t="s">
        <v>1418</v>
      </c>
      <c r="AC206" s="1">
        <v>22.0</v>
      </c>
      <c r="AD206" s="1" t="s">
        <v>971</v>
      </c>
      <c r="AG206" s="9" t="s">
        <v>1611</v>
      </c>
      <c r="AM206" s="1">
        <v>186040.0</v>
      </c>
      <c r="AN206" s="1">
        <v>32778.0</v>
      </c>
      <c r="AO206" s="1">
        <v>32778.0</v>
      </c>
      <c r="AP206" s="1">
        <v>12.557</v>
      </c>
      <c r="AR206" s="1">
        <v>1157.0</v>
      </c>
      <c r="AS206" s="1">
        <v>193.0</v>
      </c>
      <c r="AT206" s="1">
        <v>5.995</v>
      </c>
      <c r="AU206" s="1">
        <v>54.656</v>
      </c>
      <c r="AV206" s="1" t="s">
        <v>972</v>
      </c>
      <c r="AW206" s="1">
        <v>5.326</v>
      </c>
      <c r="AX206" s="1">
        <v>2.0</v>
      </c>
      <c r="AY206" s="1">
        <v>2.0</v>
      </c>
      <c r="AZ206" s="1">
        <v>2.0</v>
      </c>
      <c r="BA206" s="1">
        <v>3.0</v>
      </c>
      <c r="BB206" s="1">
        <v>2.0</v>
      </c>
      <c r="BC206" s="1">
        <v>0.0</v>
      </c>
      <c r="BD206" s="1">
        <v>0.27</v>
      </c>
      <c r="BE206" s="1">
        <v>129.0</v>
      </c>
      <c r="BF206" s="1">
        <v>48.0</v>
      </c>
      <c r="BG206" s="1">
        <v>0.0</v>
      </c>
      <c r="BH206" s="1">
        <v>16.0</v>
      </c>
      <c r="BI206" s="1">
        <v>8.0</v>
      </c>
      <c r="BJ206" s="1">
        <v>0.0</v>
      </c>
      <c r="BO206" s="1" t="s">
        <v>1615</v>
      </c>
      <c r="BP206" s="1">
        <v>1.047</v>
      </c>
      <c r="BU206" s="1" t="s">
        <v>974</v>
      </c>
      <c r="BV206" s="1">
        <v>1.1</v>
      </c>
      <c r="BW206" s="1">
        <v>52.0</v>
      </c>
      <c r="BX206" s="1">
        <v>3751.022</v>
      </c>
      <c r="BY206" s="1">
        <v>6022.988</v>
      </c>
      <c r="BZ206" s="1">
        <v>8101.049</v>
      </c>
      <c r="CA206" s="1">
        <v>17987.158</v>
      </c>
      <c r="CB206" s="1">
        <v>459.5</v>
      </c>
      <c r="CC206" s="1">
        <v>0.0</v>
      </c>
      <c r="CD206" s="1">
        <v>653156.0</v>
      </c>
      <c r="CE206" s="1">
        <v>1350.0</v>
      </c>
      <c r="CF206" s="1">
        <v>169.0</v>
      </c>
      <c r="CG206" s="1">
        <v>2310547.0</v>
      </c>
      <c r="CH206" s="1">
        <v>33621.0</v>
      </c>
      <c r="CI206" s="1">
        <v>2.0</v>
      </c>
      <c r="CJ206" s="1">
        <v>98863.0</v>
      </c>
      <c r="CK206" s="1">
        <v>20.0</v>
      </c>
      <c r="CL206" s="1">
        <v>119193.0</v>
      </c>
      <c r="CM206" s="1">
        <v>44.0</v>
      </c>
      <c r="CN206" s="1">
        <v>1748128.0</v>
      </c>
      <c r="CO206" s="1">
        <v>68.0</v>
      </c>
      <c r="CP206" s="1">
        <v>284722.0</v>
      </c>
      <c r="CQ206" s="1">
        <v>6.0</v>
      </c>
      <c r="CR206" s="1">
        <v>0.0</v>
      </c>
      <c r="CS206" s="1">
        <v>0.0</v>
      </c>
      <c r="CT206" s="1">
        <v>26020.0</v>
      </c>
      <c r="CU206" s="1">
        <v>29.0</v>
      </c>
      <c r="CV206" s="1">
        <v>1504118.0</v>
      </c>
      <c r="CW206" s="1">
        <v>64.0</v>
      </c>
      <c r="DC206" s="1">
        <v>0.0</v>
      </c>
      <c r="DD206" s="1">
        <v>5075.0</v>
      </c>
      <c r="DE206" s="1">
        <v>0.0</v>
      </c>
      <c r="DF206" s="1">
        <v>3396.0</v>
      </c>
      <c r="DG206" s="1">
        <v>300.0</v>
      </c>
      <c r="DH206" s="1">
        <v>50518.0</v>
      </c>
      <c r="DI206" s="1">
        <v>1050.0</v>
      </c>
      <c r="DJ206" s="1">
        <v>594167.0</v>
      </c>
      <c r="DK206" s="1">
        <v>1838.146</v>
      </c>
      <c r="DL206" s="1" t="s">
        <v>975</v>
      </c>
      <c r="DM206" s="1">
        <v>3467.692</v>
      </c>
      <c r="DN206" s="1" t="s">
        <v>975</v>
      </c>
      <c r="DO206" s="1">
        <v>2310417.0</v>
      </c>
      <c r="DP206" s="1">
        <v>1.0</v>
      </c>
      <c r="DQ206" s="1" t="s">
        <v>976</v>
      </c>
      <c r="DR206" s="1" t="s">
        <v>1064</v>
      </c>
      <c r="DS206" s="1" t="s">
        <v>978</v>
      </c>
      <c r="DT206" s="1" t="s">
        <v>979</v>
      </c>
      <c r="DU206" s="1" t="s">
        <v>980</v>
      </c>
      <c r="DV206" s="1">
        <v>13726.0</v>
      </c>
      <c r="DX206" s="1">
        <v>3911.0</v>
      </c>
      <c r="DY206" s="1">
        <v>632429.0</v>
      </c>
      <c r="EA206" s="1">
        <v>929.0</v>
      </c>
      <c r="EB206" s="1">
        <v>4453.0</v>
      </c>
      <c r="EC206" s="1">
        <v>1.0</v>
      </c>
      <c r="ED206" s="1">
        <v>26492.0</v>
      </c>
      <c r="EF206" s="1">
        <v>215.0</v>
      </c>
      <c r="EG206" s="1" t="s">
        <v>982</v>
      </c>
      <c r="EH206" s="1">
        <v>100.0</v>
      </c>
      <c r="EK206" s="1">
        <v>100.0</v>
      </c>
      <c r="EQ206" s="9" t="s">
        <v>1611</v>
      </c>
      <c r="ER206" s="21">
        <v>46045.29800925926</v>
      </c>
    </row>
    <row r="207">
      <c r="A207" s="9" t="s">
        <v>1616</v>
      </c>
      <c r="B207" s="20" t="str">
        <f>IFERROR(__xludf.DUMMYFUNCTION("REGEXREPLACE(A207, ""^https?://[^/]+"", """")"),"/wp-content/plugins/powerpack-elements/assets/css/min/widget-card-slider.min.css?ver=2.12.15")</f>
        <v>/wp-content/plugins/powerpack-elements/assets/css/min/widget-card-slider.min.css?ver=2.12.15</v>
      </c>
      <c r="F207" s="1" t="s">
        <v>1016</v>
      </c>
      <c r="G207" s="1">
        <v>200.0</v>
      </c>
      <c r="H207" s="1" t="s">
        <v>966</v>
      </c>
      <c r="I207" s="1" t="s">
        <v>967</v>
      </c>
      <c r="L207" s="1">
        <v>0.0</v>
      </c>
      <c r="M207" s="1">
        <v>0.0</v>
      </c>
      <c r="O207" s="1">
        <v>0.0</v>
      </c>
      <c r="P207" s="1">
        <v>0.0</v>
      </c>
      <c r="R207" s="1">
        <v>0.0</v>
      </c>
      <c r="S207" s="1">
        <v>0.0</v>
      </c>
      <c r="U207" s="1">
        <v>0.0</v>
      </c>
      <c r="W207" s="1">
        <v>0.0</v>
      </c>
      <c r="Y207" s="1">
        <v>0.0</v>
      </c>
      <c r="AA207" s="1">
        <v>0.0</v>
      </c>
      <c r="AC207" s="1">
        <v>0.0</v>
      </c>
      <c r="AM207" s="1">
        <v>1521.0</v>
      </c>
      <c r="AN207" s="1">
        <v>1521.0</v>
      </c>
      <c r="AO207" s="1">
        <v>1521.0</v>
      </c>
      <c r="AP207" s="1">
        <v>0.583</v>
      </c>
      <c r="AR207" s="1">
        <v>0.0</v>
      </c>
      <c r="AW207" s="1">
        <v>0.0</v>
      </c>
      <c r="AX207" s="1">
        <v>2.0</v>
      </c>
      <c r="AY207" s="1">
        <v>6.0</v>
      </c>
      <c r="BA207" s="1">
        <v>0.0</v>
      </c>
      <c r="BB207" s="1">
        <v>0.0</v>
      </c>
      <c r="BC207" s="1">
        <v>0.0</v>
      </c>
      <c r="BD207" s="1">
        <v>0.0</v>
      </c>
      <c r="BE207" s="1">
        <v>0.0</v>
      </c>
      <c r="BF207" s="1">
        <v>0.0</v>
      </c>
      <c r="BG207" s="1">
        <v>0.0</v>
      </c>
      <c r="BH207" s="1">
        <v>0.0</v>
      </c>
      <c r="BI207" s="1">
        <v>0.0</v>
      </c>
      <c r="BJ207" s="1">
        <v>0.0</v>
      </c>
      <c r="BP207" s="1">
        <v>0.276</v>
      </c>
      <c r="BQ207" s="1" t="s">
        <v>1193</v>
      </c>
      <c r="BV207" s="1">
        <v>1.1</v>
      </c>
      <c r="EQ207" s="9" t="s">
        <v>1616</v>
      </c>
      <c r="ER207" s="21">
        <v>46045.29802083333</v>
      </c>
    </row>
    <row r="208">
      <c r="A208" s="9" t="s">
        <v>1617</v>
      </c>
      <c r="B208" s="20" t="str">
        <f>IFERROR(__xludf.DUMMYFUNCTION("REGEXREPLACE(A208, ""^https?://[^/]+"", """")"),"/wp-content/uploads/2025/04/Sales-Xceleration-State-of-Sales-2025-AI2-1024x536.jpg")</f>
        <v>/wp-content/uploads/2025/04/Sales-Xceleration-State-of-Sales-2025-AI2-1024x536.jpg</v>
      </c>
      <c r="F208" s="1" t="s">
        <v>1004</v>
      </c>
      <c r="G208" s="1">
        <v>200.0</v>
      </c>
      <c r="H208" s="1" t="s">
        <v>966</v>
      </c>
      <c r="I208" s="1" t="s">
        <v>967</v>
      </c>
      <c r="L208" s="1">
        <v>0.0</v>
      </c>
      <c r="M208" s="1">
        <v>0.0</v>
      </c>
      <c r="O208" s="1">
        <v>0.0</v>
      </c>
      <c r="P208" s="1">
        <v>0.0</v>
      </c>
      <c r="R208" s="1">
        <v>0.0</v>
      </c>
      <c r="S208" s="1">
        <v>0.0</v>
      </c>
      <c r="U208" s="1">
        <v>0.0</v>
      </c>
      <c r="W208" s="1">
        <v>0.0</v>
      </c>
      <c r="Y208" s="1">
        <v>0.0</v>
      </c>
      <c r="AA208" s="1">
        <v>0.0</v>
      </c>
      <c r="AC208" s="1">
        <v>0.0</v>
      </c>
      <c r="AM208" s="1">
        <v>75216.0</v>
      </c>
      <c r="AN208" s="1">
        <v>75216.0</v>
      </c>
      <c r="AO208" s="1">
        <v>75216.0</v>
      </c>
      <c r="AP208" s="1">
        <v>28.814</v>
      </c>
      <c r="AR208" s="1">
        <v>0.0</v>
      </c>
      <c r="AW208" s="1">
        <v>0.0</v>
      </c>
      <c r="AX208" s="1">
        <v>2.0</v>
      </c>
      <c r="AY208" s="1">
        <v>4.0</v>
      </c>
      <c r="BA208" s="1">
        <v>0.0</v>
      </c>
      <c r="BB208" s="1">
        <v>0.0</v>
      </c>
      <c r="BC208" s="1">
        <v>0.0</v>
      </c>
      <c r="BD208" s="1">
        <v>0.0</v>
      </c>
      <c r="BE208" s="1">
        <v>0.0</v>
      </c>
      <c r="BF208" s="1">
        <v>0.0</v>
      </c>
      <c r="BG208" s="1">
        <v>0.0</v>
      </c>
      <c r="BH208" s="1">
        <v>0.0</v>
      </c>
      <c r="BI208" s="1">
        <v>0.0</v>
      </c>
      <c r="BJ208" s="1">
        <v>0.0</v>
      </c>
      <c r="BP208" s="1">
        <v>0.265</v>
      </c>
      <c r="BQ208" s="1" t="s">
        <v>1618</v>
      </c>
      <c r="BV208" s="1">
        <v>1.1</v>
      </c>
      <c r="EQ208" s="9" t="s">
        <v>1617</v>
      </c>
      <c r="ER208" s="21">
        <v>46045.29802083333</v>
      </c>
    </row>
    <row r="209">
      <c r="A209" s="9" t="s">
        <v>1619</v>
      </c>
      <c r="B209" s="20" t="str">
        <f>IFERROR(__xludf.DUMMYFUNCTION("REGEXREPLACE(A209, ""^https?://[^/]+"", """")"),"/wp-content/plugins/powerpack-elements/assets/js/min/frontend-gravity-forms.min.js?ver=2.12.15")</f>
        <v>/wp-content/plugins/powerpack-elements/assets/js/min/frontend-gravity-forms.min.js?ver=2.12.15</v>
      </c>
      <c r="F209" s="1" t="s">
        <v>984</v>
      </c>
      <c r="G209" s="1">
        <v>200.0</v>
      </c>
      <c r="H209" s="1" t="s">
        <v>966</v>
      </c>
      <c r="I209" s="1" t="s">
        <v>967</v>
      </c>
      <c r="L209" s="1">
        <v>0.0</v>
      </c>
      <c r="M209" s="1">
        <v>0.0</v>
      </c>
      <c r="O209" s="1">
        <v>0.0</v>
      </c>
      <c r="P209" s="1">
        <v>0.0</v>
      </c>
      <c r="R209" s="1">
        <v>0.0</v>
      </c>
      <c r="S209" s="1">
        <v>0.0</v>
      </c>
      <c r="U209" s="1">
        <v>0.0</v>
      </c>
      <c r="W209" s="1">
        <v>0.0</v>
      </c>
      <c r="Y209" s="1">
        <v>0.0</v>
      </c>
      <c r="AA209" s="1">
        <v>0.0</v>
      </c>
      <c r="AC209" s="1">
        <v>0.0</v>
      </c>
      <c r="AM209" s="1">
        <v>268.0</v>
      </c>
      <c r="AN209" s="1">
        <v>268.0</v>
      </c>
      <c r="AO209" s="1">
        <v>268.0</v>
      </c>
      <c r="AP209" s="1">
        <v>0.103</v>
      </c>
      <c r="AR209" s="1">
        <v>0.0</v>
      </c>
      <c r="AW209" s="1">
        <v>0.0</v>
      </c>
      <c r="AX209" s="1">
        <v>2.0</v>
      </c>
      <c r="AY209" s="1">
        <v>6.0</v>
      </c>
      <c r="BA209" s="1">
        <v>0.0</v>
      </c>
      <c r="BB209" s="1">
        <v>0.0</v>
      </c>
      <c r="BC209" s="1">
        <v>0.0</v>
      </c>
      <c r="BD209" s="1">
        <v>0.0</v>
      </c>
      <c r="BE209" s="1">
        <v>0.0</v>
      </c>
      <c r="BF209" s="1">
        <v>0.0</v>
      </c>
      <c r="BG209" s="1">
        <v>0.0</v>
      </c>
      <c r="BH209" s="1">
        <v>0.0</v>
      </c>
      <c r="BI209" s="1">
        <v>0.0</v>
      </c>
      <c r="BJ209" s="1">
        <v>0.0</v>
      </c>
      <c r="BP209" s="1">
        <v>0.258</v>
      </c>
      <c r="BQ209" s="1" t="s">
        <v>1193</v>
      </c>
      <c r="BV209" s="1">
        <v>1.1</v>
      </c>
      <c r="EQ209" s="9" t="s">
        <v>1619</v>
      </c>
      <c r="ER209" s="21">
        <v>46045.29802083333</v>
      </c>
    </row>
    <row r="210">
      <c r="A210" s="9" t="s">
        <v>1620</v>
      </c>
      <c r="B210" s="20" t="str">
        <f>IFERROR(__xludf.DUMMYFUNCTION("REGEXREPLACE(A210, ""^https?://[^/]+"", """")"),"/case-study/aerospace-manufacturing-turning-a-10-decrease-in-sales-into-a-14-increase/")</f>
        <v>/case-study/aerospace-manufacturing-turning-a-10-decrease-in-sales-into-a-14-increase/</v>
      </c>
      <c r="C210" s="1" t="s">
        <v>1621</v>
      </c>
      <c r="D210" s="1" t="s">
        <v>1417</v>
      </c>
      <c r="E210" s="1" t="s">
        <v>1418</v>
      </c>
      <c r="F210" s="1" t="s">
        <v>965</v>
      </c>
      <c r="G210" s="1">
        <v>200.0</v>
      </c>
      <c r="H210" s="1" t="s">
        <v>966</v>
      </c>
      <c r="I210" s="1" t="s">
        <v>967</v>
      </c>
      <c r="K210" s="1" t="s">
        <v>1622</v>
      </c>
      <c r="L210" s="1">
        <v>59.0</v>
      </c>
      <c r="M210" s="1">
        <v>570.0</v>
      </c>
      <c r="O210" s="1">
        <v>0.0</v>
      </c>
      <c r="P210" s="1">
        <v>0.0</v>
      </c>
      <c r="Q210" s="1" t="s">
        <v>1623</v>
      </c>
      <c r="R210" s="1">
        <v>151.0</v>
      </c>
      <c r="S210" s="1">
        <v>961.0</v>
      </c>
      <c r="U210" s="1">
        <v>0.0</v>
      </c>
      <c r="V210" s="1" t="s">
        <v>1621</v>
      </c>
      <c r="W210" s="1">
        <v>76.0</v>
      </c>
      <c r="Y210" s="1">
        <v>0.0</v>
      </c>
      <c r="Z210" s="1" t="s">
        <v>1417</v>
      </c>
      <c r="AA210" s="1">
        <v>15.0</v>
      </c>
      <c r="AB210" s="1" t="s">
        <v>1418</v>
      </c>
      <c r="AC210" s="1">
        <v>22.0</v>
      </c>
      <c r="AD210" s="1" t="s">
        <v>971</v>
      </c>
      <c r="AG210" s="9" t="s">
        <v>1620</v>
      </c>
      <c r="AM210" s="1">
        <v>185822.0</v>
      </c>
      <c r="AN210" s="1">
        <v>32735.0</v>
      </c>
      <c r="AO210" s="1">
        <v>32735.0</v>
      </c>
      <c r="AP210" s="1">
        <v>12.54</v>
      </c>
      <c r="AR210" s="1">
        <v>1118.0</v>
      </c>
      <c r="AS210" s="1">
        <v>175.0</v>
      </c>
      <c r="AT210" s="1">
        <v>6.389</v>
      </c>
      <c r="AU210" s="1">
        <v>51.506</v>
      </c>
      <c r="AV210" s="1" t="s">
        <v>972</v>
      </c>
      <c r="AW210" s="1">
        <v>5.23</v>
      </c>
      <c r="AX210" s="1">
        <v>2.0</v>
      </c>
      <c r="AY210" s="1">
        <v>2.0</v>
      </c>
      <c r="AZ210" s="1">
        <v>2.0</v>
      </c>
      <c r="BA210" s="1">
        <v>5.0</v>
      </c>
      <c r="BB210" s="1">
        <v>3.0</v>
      </c>
      <c r="BC210" s="1">
        <v>0.0</v>
      </c>
      <c r="BD210" s="1">
        <v>0.4</v>
      </c>
      <c r="BE210" s="1">
        <v>129.0</v>
      </c>
      <c r="BF210" s="1">
        <v>48.0</v>
      </c>
      <c r="BG210" s="1">
        <v>0.0</v>
      </c>
      <c r="BH210" s="1">
        <v>16.0</v>
      </c>
      <c r="BI210" s="1">
        <v>8.0</v>
      </c>
      <c r="BJ210" s="1">
        <v>0.0</v>
      </c>
      <c r="BO210" s="1" t="s">
        <v>1624</v>
      </c>
      <c r="BP210" s="1">
        <v>1.016</v>
      </c>
      <c r="BU210" s="1" t="s">
        <v>974</v>
      </c>
      <c r="BV210" s="1">
        <v>1.1</v>
      </c>
      <c r="BW210" s="1">
        <v>60.0</v>
      </c>
      <c r="BX210" s="1">
        <v>4051.04</v>
      </c>
      <c r="BY210" s="1">
        <v>7393.742</v>
      </c>
      <c r="BZ210" s="1">
        <v>9151.095</v>
      </c>
      <c r="CA210" s="1">
        <v>18150.467</v>
      </c>
      <c r="CB210" s="1">
        <v>85.5</v>
      </c>
      <c r="CC210" s="1">
        <v>0.0</v>
      </c>
      <c r="CD210" s="1">
        <v>652546.0</v>
      </c>
      <c r="CE210" s="1">
        <v>1500.0</v>
      </c>
      <c r="CF210" s="1">
        <v>168.0</v>
      </c>
      <c r="CG210" s="1">
        <v>2331157.0</v>
      </c>
      <c r="CH210" s="1">
        <v>33679.0</v>
      </c>
      <c r="CI210" s="1">
        <v>2.0</v>
      </c>
      <c r="CJ210" s="1">
        <v>121231.0</v>
      </c>
      <c r="CK210" s="1">
        <v>20.0</v>
      </c>
      <c r="CL210" s="1">
        <v>118315.0</v>
      </c>
      <c r="CM210" s="1">
        <v>44.0</v>
      </c>
      <c r="CN210" s="1">
        <v>1747952.0</v>
      </c>
      <c r="CO210" s="1">
        <v>68.0</v>
      </c>
      <c r="CP210" s="1">
        <v>284722.0</v>
      </c>
      <c r="CQ210" s="1">
        <v>6.0</v>
      </c>
      <c r="CR210" s="1">
        <v>0.0</v>
      </c>
      <c r="CS210" s="1">
        <v>0.0</v>
      </c>
      <c r="CT210" s="1">
        <v>25258.0</v>
      </c>
      <c r="CU210" s="1">
        <v>28.0</v>
      </c>
      <c r="CV210" s="1">
        <v>1502807.0</v>
      </c>
      <c r="CW210" s="1">
        <v>63.0</v>
      </c>
      <c r="DC210" s="1">
        <v>0.0</v>
      </c>
      <c r="DD210" s="1">
        <v>5075.0</v>
      </c>
      <c r="DE210" s="1">
        <v>0.0</v>
      </c>
      <c r="DF210" s="1">
        <v>3396.0</v>
      </c>
      <c r="DG210" s="1">
        <v>450.0</v>
      </c>
      <c r="DH210" s="1">
        <v>50543.0</v>
      </c>
      <c r="DI210" s="1">
        <v>1050.0</v>
      </c>
      <c r="DJ210" s="1">
        <v>593532.0</v>
      </c>
      <c r="DK210" s="1">
        <v>989.274</v>
      </c>
      <c r="DL210" s="1" t="s">
        <v>992</v>
      </c>
      <c r="DM210" s="1">
        <v>2024.452</v>
      </c>
      <c r="DN210" s="1" t="s">
        <v>975</v>
      </c>
      <c r="DO210" s="1">
        <v>2331027.0</v>
      </c>
      <c r="DP210" s="1">
        <v>1.0</v>
      </c>
      <c r="DQ210" s="1" t="s">
        <v>976</v>
      </c>
      <c r="DR210" s="1" t="s">
        <v>1142</v>
      </c>
      <c r="DS210" s="1" t="s">
        <v>978</v>
      </c>
      <c r="DT210" s="1" t="s">
        <v>979</v>
      </c>
      <c r="DU210" s="1" t="s">
        <v>980</v>
      </c>
      <c r="DV210" s="1">
        <v>14027.0</v>
      </c>
      <c r="DX210" s="1">
        <v>3712.0</v>
      </c>
      <c r="DY210" s="1">
        <v>641207.0</v>
      </c>
      <c r="EA210" s="1">
        <v>934.0</v>
      </c>
      <c r="EB210" s="1">
        <v>16979.0</v>
      </c>
      <c r="EC210" s="1">
        <v>1.0</v>
      </c>
      <c r="ED210" s="1">
        <v>26492.0</v>
      </c>
      <c r="EF210" s="1">
        <v>375.0</v>
      </c>
      <c r="EG210" s="1" t="s">
        <v>982</v>
      </c>
      <c r="EH210" s="1">
        <v>100.0</v>
      </c>
      <c r="EK210" s="1">
        <v>100.0</v>
      </c>
      <c r="EQ210" s="9" t="s">
        <v>1620</v>
      </c>
      <c r="ER210" s="21">
        <v>46045.29800925926</v>
      </c>
    </row>
    <row r="211">
      <c r="A211" s="9" t="s">
        <v>1625</v>
      </c>
      <c r="B211" s="20" t="str">
        <f>IFERROR(__xludf.DUMMYFUNCTION("REGEXREPLACE(A211, ""^https?://[^/]+"", """")"),"/wp-content/uploads/2025/05/Sales-Organization.png")</f>
        <v>/wp-content/uploads/2025/05/Sales-Organization.png</v>
      </c>
      <c r="F211" s="1" t="s">
        <v>1047</v>
      </c>
      <c r="G211" s="1">
        <v>200.0</v>
      </c>
      <c r="H211" s="1" t="s">
        <v>966</v>
      </c>
      <c r="I211" s="1" t="s">
        <v>967</v>
      </c>
      <c r="L211" s="1">
        <v>0.0</v>
      </c>
      <c r="M211" s="1">
        <v>0.0</v>
      </c>
      <c r="O211" s="1">
        <v>0.0</v>
      </c>
      <c r="P211" s="1">
        <v>0.0</v>
      </c>
      <c r="R211" s="1">
        <v>0.0</v>
      </c>
      <c r="S211" s="1">
        <v>0.0</v>
      </c>
      <c r="U211" s="1">
        <v>0.0</v>
      </c>
      <c r="W211" s="1">
        <v>0.0</v>
      </c>
      <c r="Y211" s="1">
        <v>0.0</v>
      </c>
      <c r="AA211" s="1">
        <v>0.0</v>
      </c>
      <c r="AC211" s="1">
        <v>0.0</v>
      </c>
      <c r="AM211" s="1">
        <v>16778.0</v>
      </c>
      <c r="AN211" s="1">
        <v>16778.0</v>
      </c>
      <c r="AO211" s="1">
        <v>16778.0</v>
      </c>
      <c r="AP211" s="1">
        <v>6.427</v>
      </c>
      <c r="AR211" s="1">
        <v>0.0</v>
      </c>
      <c r="AW211" s="1">
        <v>0.0</v>
      </c>
      <c r="AX211" s="1">
        <v>2.0</v>
      </c>
      <c r="AY211" s="1">
        <v>4.0</v>
      </c>
      <c r="BA211" s="1">
        <v>0.0</v>
      </c>
      <c r="BB211" s="1">
        <v>0.0</v>
      </c>
      <c r="BC211" s="1">
        <v>0.0</v>
      </c>
      <c r="BD211" s="1">
        <v>0.0</v>
      </c>
      <c r="BE211" s="1">
        <v>0.0</v>
      </c>
      <c r="BF211" s="1">
        <v>0.0</v>
      </c>
      <c r="BG211" s="1">
        <v>0.0</v>
      </c>
      <c r="BH211" s="1">
        <v>0.0</v>
      </c>
      <c r="BI211" s="1">
        <v>0.0</v>
      </c>
      <c r="BJ211" s="1">
        <v>0.0</v>
      </c>
      <c r="BP211" s="1">
        <v>0.265</v>
      </c>
      <c r="BQ211" s="1" t="s">
        <v>1626</v>
      </c>
      <c r="BV211" s="1">
        <v>1.1</v>
      </c>
      <c r="EQ211" s="9" t="s">
        <v>1625</v>
      </c>
      <c r="ER211" s="21">
        <v>46045.29802083333</v>
      </c>
    </row>
    <row r="212">
      <c r="A212" s="9" t="s">
        <v>1627</v>
      </c>
      <c r="B212" s="20" t="str">
        <f>IFERROR(__xludf.DUMMYFUNCTION("REGEXREPLACE(A212, ""^https?://[^/]+"", """")"),"/wp-content/plugins/elementor/assets/css/widget-progress.min.css?ver=3.34.0")</f>
        <v>/wp-content/plugins/elementor/assets/css/widget-progress.min.css?ver=3.34.0</v>
      </c>
      <c r="F212" s="1" t="s">
        <v>1016</v>
      </c>
      <c r="G212" s="1">
        <v>200.0</v>
      </c>
      <c r="H212" s="1" t="s">
        <v>966</v>
      </c>
      <c r="I212" s="1" t="s">
        <v>967</v>
      </c>
      <c r="L212" s="1">
        <v>0.0</v>
      </c>
      <c r="M212" s="1">
        <v>0.0</v>
      </c>
      <c r="O212" s="1">
        <v>0.0</v>
      </c>
      <c r="P212" s="1">
        <v>0.0</v>
      </c>
      <c r="R212" s="1">
        <v>0.0</v>
      </c>
      <c r="S212" s="1">
        <v>0.0</v>
      </c>
      <c r="U212" s="1">
        <v>0.0</v>
      </c>
      <c r="W212" s="1">
        <v>0.0</v>
      </c>
      <c r="Y212" s="1">
        <v>0.0</v>
      </c>
      <c r="AA212" s="1">
        <v>0.0</v>
      </c>
      <c r="AC212" s="1">
        <v>0.0</v>
      </c>
      <c r="AM212" s="1">
        <v>404.0</v>
      </c>
      <c r="AN212" s="1">
        <v>404.0</v>
      </c>
      <c r="AO212" s="1">
        <v>404.0</v>
      </c>
      <c r="AP212" s="1">
        <v>0.155</v>
      </c>
      <c r="AR212" s="1">
        <v>0.0</v>
      </c>
      <c r="AW212" s="1">
        <v>0.0</v>
      </c>
      <c r="AX212" s="1">
        <v>2.0</v>
      </c>
      <c r="AY212" s="1">
        <v>5.0</v>
      </c>
      <c r="BA212" s="1">
        <v>0.0</v>
      </c>
      <c r="BB212" s="1">
        <v>0.0</v>
      </c>
      <c r="BC212" s="1">
        <v>0.0</v>
      </c>
      <c r="BD212" s="1">
        <v>0.0</v>
      </c>
      <c r="BE212" s="1">
        <v>0.0</v>
      </c>
      <c r="BF212" s="1">
        <v>0.0</v>
      </c>
      <c r="BG212" s="1">
        <v>0.0</v>
      </c>
      <c r="BH212" s="1">
        <v>0.0</v>
      </c>
      <c r="BI212" s="1">
        <v>0.0</v>
      </c>
      <c r="BJ212" s="1">
        <v>0.0</v>
      </c>
      <c r="BP212" s="1">
        <v>0.261</v>
      </c>
      <c r="BQ212" s="1" t="s">
        <v>1017</v>
      </c>
      <c r="BV212" s="1">
        <v>1.1</v>
      </c>
      <c r="EQ212" s="9" t="s">
        <v>1627</v>
      </c>
      <c r="ER212" s="21">
        <v>46045.29803240741</v>
      </c>
    </row>
    <row r="213">
      <c r="A213" s="9" t="s">
        <v>1628</v>
      </c>
      <c r="B213" s="20" t="str">
        <f>IFERROR(__xludf.DUMMYFUNCTION("REGEXREPLACE(A213, ""^https?://[^/]+"", """")"),"/wp-content/uploads/2022/03/2022-state-of-sales-792x1024.jpg")</f>
        <v>/wp-content/uploads/2022/03/2022-state-of-sales-792x1024.jpg</v>
      </c>
      <c r="F213" s="1" t="s">
        <v>1004</v>
      </c>
      <c r="G213" s="1">
        <v>200.0</v>
      </c>
      <c r="H213" s="1" t="s">
        <v>966</v>
      </c>
      <c r="I213" s="1" t="s">
        <v>967</v>
      </c>
      <c r="L213" s="1">
        <v>0.0</v>
      </c>
      <c r="M213" s="1">
        <v>0.0</v>
      </c>
      <c r="O213" s="1">
        <v>0.0</v>
      </c>
      <c r="P213" s="1">
        <v>0.0</v>
      </c>
      <c r="R213" s="1">
        <v>0.0</v>
      </c>
      <c r="S213" s="1">
        <v>0.0</v>
      </c>
      <c r="U213" s="1">
        <v>0.0</v>
      </c>
      <c r="W213" s="1">
        <v>0.0</v>
      </c>
      <c r="Y213" s="1">
        <v>0.0</v>
      </c>
      <c r="AA213" s="1">
        <v>0.0</v>
      </c>
      <c r="AC213" s="1">
        <v>0.0</v>
      </c>
      <c r="AM213" s="1">
        <v>135964.0</v>
      </c>
      <c r="AN213" s="1">
        <v>135964.0</v>
      </c>
      <c r="AO213" s="1">
        <v>135964.0</v>
      </c>
      <c r="AP213" s="1">
        <v>52.085</v>
      </c>
      <c r="AR213" s="1">
        <v>0.0</v>
      </c>
      <c r="AW213" s="1">
        <v>0.0</v>
      </c>
      <c r="AX213" s="1">
        <v>2.0</v>
      </c>
      <c r="AY213" s="1">
        <v>4.0</v>
      </c>
      <c r="BA213" s="1">
        <v>0.0</v>
      </c>
      <c r="BB213" s="1">
        <v>0.0</v>
      </c>
      <c r="BC213" s="1">
        <v>0.0</v>
      </c>
      <c r="BD213" s="1">
        <v>0.0</v>
      </c>
      <c r="BE213" s="1">
        <v>0.0</v>
      </c>
      <c r="BF213" s="1">
        <v>0.0</v>
      </c>
      <c r="BG213" s="1">
        <v>0.0</v>
      </c>
      <c r="BH213" s="1">
        <v>0.0</v>
      </c>
      <c r="BI213" s="1">
        <v>0.0</v>
      </c>
      <c r="BJ213" s="1">
        <v>0.0</v>
      </c>
      <c r="BP213" s="1">
        <v>0.268</v>
      </c>
      <c r="BQ213" s="1" t="s">
        <v>1629</v>
      </c>
      <c r="BV213" s="1">
        <v>1.1</v>
      </c>
      <c r="EQ213" s="9" t="s">
        <v>1628</v>
      </c>
      <c r="ER213" s="21">
        <v>46045.29803240741</v>
      </c>
    </row>
    <row r="214">
      <c r="A214" s="9" t="s">
        <v>1630</v>
      </c>
      <c r="B214" s="20" t="str">
        <f>IFERROR(__xludf.DUMMYFUNCTION("REGEXREPLACE(A214, ""^https?://[^/]+"", """")"),"/wp-content/plugins/gravityforms/assets/js/dist/vendor-theme.min.js?ver=8673c9a2ff188de55f9073009ba56f5e")</f>
        <v>/wp-content/plugins/gravityforms/assets/js/dist/vendor-theme.min.js?ver=8673c9a2ff188de55f9073009ba56f5e</v>
      </c>
      <c r="F214" s="1" t="s">
        <v>984</v>
      </c>
      <c r="G214" s="1">
        <v>200.0</v>
      </c>
      <c r="H214" s="1" t="s">
        <v>966</v>
      </c>
      <c r="I214" s="1" t="s">
        <v>967</v>
      </c>
      <c r="L214" s="1">
        <v>0.0</v>
      </c>
      <c r="M214" s="1">
        <v>0.0</v>
      </c>
      <c r="O214" s="1">
        <v>0.0</v>
      </c>
      <c r="P214" s="1">
        <v>0.0</v>
      </c>
      <c r="R214" s="1">
        <v>0.0</v>
      </c>
      <c r="S214" s="1">
        <v>0.0</v>
      </c>
      <c r="U214" s="1">
        <v>0.0</v>
      </c>
      <c r="W214" s="1">
        <v>0.0</v>
      </c>
      <c r="Y214" s="1">
        <v>0.0</v>
      </c>
      <c r="AA214" s="1">
        <v>0.0</v>
      </c>
      <c r="AC214" s="1">
        <v>0.0</v>
      </c>
      <c r="AM214" s="1">
        <v>7268.0</v>
      </c>
      <c r="AN214" s="1">
        <v>7268.0</v>
      </c>
      <c r="AO214" s="1">
        <v>7268.0</v>
      </c>
      <c r="AP214" s="1">
        <v>2.784</v>
      </c>
      <c r="AR214" s="1">
        <v>0.0</v>
      </c>
      <c r="AW214" s="1">
        <v>0.0</v>
      </c>
      <c r="AX214" s="1">
        <v>2.0</v>
      </c>
      <c r="AY214" s="1">
        <v>6.0</v>
      </c>
      <c r="BA214" s="1">
        <v>0.0</v>
      </c>
      <c r="BB214" s="1">
        <v>0.0</v>
      </c>
      <c r="BC214" s="1">
        <v>0.0</v>
      </c>
      <c r="BD214" s="1">
        <v>0.0</v>
      </c>
      <c r="BE214" s="1">
        <v>0.0</v>
      </c>
      <c r="BF214" s="1">
        <v>0.0</v>
      </c>
      <c r="BG214" s="1">
        <v>0.0</v>
      </c>
      <c r="BH214" s="1">
        <v>0.0</v>
      </c>
      <c r="BI214" s="1">
        <v>0.0</v>
      </c>
      <c r="BJ214" s="1">
        <v>0.0</v>
      </c>
      <c r="BP214" s="1">
        <v>0.269</v>
      </c>
      <c r="BQ214" s="1" t="s">
        <v>1631</v>
      </c>
      <c r="BV214" s="1">
        <v>1.1</v>
      </c>
      <c r="EQ214" s="9" t="s">
        <v>1630</v>
      </c>
      <c r="ER214" s="21">
        <v>46045.29803240741</v>
      </c>
    </row>
    <row r="215">
      <c r="A215" s="9" t="s">
        <v>1632</v>
      </c>
      <c r="B215" s="20" t="str">
        <f>IFERROR(__xludf.DUMMYFUNCTION("REGEXREPLACE(A215, ""^https?://[^/]+"", """")"),"/wp-content/plugins/gravityforms/js/jquery.json.min.js?ver=2.9.24")</f>
        <v>/wp-content/plugins/gravityforms/js/jquery.json.min.js?ver=2.9.24</v>
      </c>
      <c r="F215" s="1" t="s">
        <v>984</v>
      </c>
      <c r="G215" s="1">
        <v>200.0</v>
      </c>
      <c r="H215" s="1" t="s">
        <v>966</v>
      </c>
      <c r="I215" s="1" t="s">
        <v>967</v>
      </c>
      <c r="L215" s="1">
        <v>0.0</v>
      </c>
      <c r="M215" s="1">
        <v>0.0</v>
      </c>
      <c r="O215" s="1">
        <v>0.0</v>
      </c>
      <c r="P215" s="1">
        <v>0.0</v>
      </c>
      <c r="R215" s="1">
        <v>0.0</v>
      </c>
      <c r="S215" s="1">
        <v>0.0</v>
      </c>
      <c r="U215" s="1">
        <v>0.0</v>
      </c>
      <c r="W215" s="1">
        <v>0.0</v>
      </c>
      <c r="Y215" s="1">
        <v>0.0</v>
      </c>
      <c r="AA215" s="1">
        <v>0.0</v>
      </c>
      <c r="AC215" s="1">
        <v>0.0</v>
      </c>
      <c r="AM215" s="1">
        <v>892.0</v>
      </c>
      <c r="AN215" s="1">
        <v>892.0</v>
      </c>
      <c r="AO215" s="1">
        <v>892.0</v>
      </c>
      <c r="AP215" s="1">
        <v>0.342</v>
      </c>
      <c r="AR215" s="1">
        <v>0.0</v>
      </c>
      <c r="AW215" s="1">
        <v>0.0</v>
      </c>
      <c r="AX215" s="1">
        <v>2.0</v>
      </c>
      <c r="AY215" s="1">
        <v>4.0</v>
      </c>
      <c r="BA215" s="1">
        <v>0.0</v>
      </c>
      <c r="BB215" s="1">
        <v>0.0</v>
      </c>
      <c r="BC215" s="1">
        <v>0.0</v>
      </c>
      <c r="BD215" s="1">
        <v>0.0</v>
      </c>
      <c r="BE215" s="1">
        <v>0.0</v>
      </c>
      <c r="BF215" s="1">
        <v>0.0</v>
      </c>
      <c r="BG215" s="1">
        <v>0.0</v>
      </c>
      <c r="BH215" s="1">
        <v>0.0</v>
      </c>
      <c r="BI215" s="1">
        <v>0.0</v>
      </c>
      <c r="BJ215" s="1">
        <v>0.0</v>
      </c>
      <c r="BP215" s="1">
        <v>0.264</v>
      </c>
      <c r="BQ215" s="1" t="s">
        <v>1631</v>
      </c>
      <c r="BV215" s="1">
        <v>1.1</v>
      </c>
      <c r="EQ215" s="9" t="s">
        <v>1632</v>
      </c>
      <c r="ER215" s="21">
        <v>46045.29803240741</v>
      </c>
    </row>
    <row r="216">
      <c r="A216" s="9" t="s">
        <v>1633</v>
      </c>
      <c r="B216" s="20" t="str">
        <f>IFERROR(__xludf.DUMMYFUNCTION("REGEXREPLACE(A216, ""^https?://[^/]+"", """")"),"/wp-content/uploads/2019/05/2023-State-of-Sales-Small-to-Mid-Size-Businesses-1-791x1024.jpg")</f>
        <v>/wp-content/uploads/2019/05/2023-State-of-Sales-Small-to-Mid-Size-Businesses-1-791x1024.jpg</v>
      </c>
      <c r="F216" s="1" t="s">
        <v>1004</v>
      </c>
      <c r="G216" s="1">
        <v>200.0</v>
      </c>
      <c r="H216" s="1" t="s">
        <v>966</v>
      </c>
      <c r="I216" s="1" t="s">
        <v>967</v>
      </c>
      <c r="L216" s="1">
        <v>0.0</v>
      </c>
      <c r="M216" s="1">
        <v>0.0</v>
      </c>
      <c r="O216" s="1">
        <v>0.0</v>
      </c>
      <c r="P216" s="1">
        <v>0.0</v>
      </c>
      <c r="R216" s="1">
        <v>0.0</v>
      </c>
      <c r="S216" s="1">
        <v>0.0</v>
      </c>
      <c r="U216" s="1">
        <v>0.0</v>
      </c>
      <c r="W216" s="1">
        <v>0.0</v>
      </c>
      <c r="Y216" s="1">
        <v>0.0</v>
      </c>
      <c r="AA216" s="1">
        <v>0.0</v>
      </c>
      <c r="AC216" s="1">
        <v>0.0</v>
      </c>
      <c r="AM216" s="1">
        <v>133189.0</v>
      </c>
      <c r="AN216" s="1">
        <v>133189.0</v>
      </c>
      <c r="AO216" s="1">
        <v>133189.0</v>
      </c>
      <c r="AP216" s="1">
        <v>51.022</v>
      </c>
      <c r="AR216" s="1">
        <v>0.0</v>
      </c>
      <c r="AW216" s="1">
        <v>0.0</v>
      </c>
      <c r="AX216" s="1">
        <v>2.0</v>
      </c>
      <c r="AY216" s="1">
        <v>4.0</v>
      </c>
      <c r="BA216" s="1">
        <v>0.0</v>
      </c>
      <c r="BB216" s="1">
        <v>0.0</v>
      </c>
      <c r="BC216" s="1">
        <v>0.0</v>
      </c>
      <c r="BD216" s="1">
        <v>0.0</v>
      </c>
      <c r="BE216" s="1">
        <v>0.0</v>
      </c>
      <c r="BF216" s="1">
        <v>0.0</v>
      </c>
      <c r="BG216" s="1">
        <v>0.0</v>
      </c>
      <c r="BH216" s="1">
        <v>0.0</v>
      </c>
      <c r="BI216" s="1">
        <v>0.0</v>
      </c>
      <c r="BJ216" s="1">
        <v>0.0</v>
      </c>
      <c r="BP216" s="1">
        <v>0.284</v>
      </c>
      <c r="BQ216" s="1" t="s">
        <v>1634</v>
      </c>
      <c r="BV216" s="1">
        <v>1.1</v>
      </c>
      <c r="EQ216" s="9" t="s">
        <v>1633</v>
      </c>
      <c r="ER216" s="21">
        <v>46045.29803240741</v>
      </c>
    </row>
    <row r="217">
      <c r="A217" s="9" t="s">
        <v>1635</v>
      </c>
      <c r="B217" s="20" t="str">
        <f>IFERROR(__xludf.DUMMYFUNCTION("REGEXREPLACE(A217, ""^https?://[^/]+"", """")"),"/wp-content/uploads/2025/05/Hidden-Disconnect-Sabotaging-Sales-Growth-1024x576.png")</f>
        <v>/wp-content/uploads/2025/05/Hidden-Disconnect-Sabotaging-Sales-Growth-1024x576.png</v>
      </c>
      <c r="F217" s="1" t="s">
        <v>1047</v>
      </c>
      <c r="G217" s="1">
        <v>200.0</v>
      </c>
      <c r="H217" s="1" t="s">
        <v>966</v>
      </c>
      <c r="I217" s="1" t="s">
        <v>967</v>
      </c>
      <c r="L217" s="1">
        <v>0.0</v>
      </c>
      <c r="M217" s="1">
        <v>0.0</v>
      </c>
      <c r="O217" s="1">
        <v>0.0</v>
      </c>
      <c r="P217" s="1">
        <v>0.0</v>
      </c>
      <c r="R217" s="1">
        <v>0.0</v>
      </c>
      <c r="S217" s="1">
        <v>0.0</v>
      </c>
      <c r="U217" s="1">
        <v>0.0</v>
      </c>
      <c r="W217" s="1">
        <v>0.0</v>
      </c>
      <c r="Y217" s="1">
        <v>0.0</v>
      </c>
      <c r="AA217" s="1">
        <v>0.0</v>
      </c>
      <c r="AC217" s="1">
        <v>0.0</v>
      </c>
      <c r="AM217" s="1">
        <v>53213.0</v>
      </c>
      <c r="AN217" s="1">
        <v>53213.0</v>
      </c>
      <c r="AO217" s="1">
        <v>53213.0</v>
      </c>
      <c r="AP217" s="1">
        <v>20.385</v>
      </c>
      <c r="AR217" s="1">
        <v>0.0</v>
      </c>
      <c r="AW217" s="1">
        <v>0.0</v>
      </c>
      <c r="AX217" s="1">
        <v>2.0</v>
      </c>
      <c r="AY217" s="1">
        <v>4.0</v>
      </c>
      <c r="BA217" s="1">
        <v>0.0</v>
      </c>
      <c r="BB217" s="1">
        <v>0.0</v>
      </c>
      <c r="BC217" s="1">
        <v>0.0</v>
      </c>
      <c r="BD217" s="1">
        <v>0.0</v>
      </c>
      <c r="BE217" s="1">
        <v>0.0</v>
      </c>
      <c r="BF217" s="1">
        <v>0.0</v>
      </c>
      <c r="BG217" s="1">
        <v>0.0</v>
      </c>
      <c r="BH217" s="1">
        <v>0.0</v>
      </c>
      <c r="BI217" s="1">
        <v>0.0</v>
      </c>
      <c r="BJ217" s="1">
        <v>0.0</v>
      </c>
      <c r="BP217" s="1">
        <v>0.266</v>
      </c>
      <c r="BQ217" s="1" t="s">
        <v>1636</v>
      </c>
      <c r="BV217" s="1">
        <v>1.1</v>
      </c>
      <c r="EQ217" s="9" t="s">
        <v>1635</v>
      </c>
      <c r="ER217" s="21">
        <v>46045.29803240741</v>
      </c>
    </row>
    <row r="218">
      <c r="A218" s="9" t="s">
        <v>1637</v>
      </c>
      <c r="B218" s="20" t="str">
        <f>IFERROR(__xludf.DUMMYFUNCTION("REGEXREPLACE(A218, ""^https?://[^/]+"", """")"),"/wp-content/uploads/2025/04/Sales-Xceleration-State-of-Sales-2025-Sales-Process-1024x542.png")</f>
        <v>/wp-content/uploads/2025/04/Sales-Xceleration-State-of-Sales-2025-Sales-Process-1024x542.png</v>
      </c>
      <c r="F218" s="1" t="s">
        <v>1047</v>
      </c>
      <c r="G218" s="1">
        <v>200.0</v>
      </c>
      <c r="H218" s="1" t="s">
        <v>966</v>
      </c>
      <c r="I218" s="1" t="s">
        <v>967</v>
      </c>
      <c r="L218" s="1">
        <v>0.0</v>
      </c>
      <c r="M218" s="1">
        <v>0.0</v>
      </c>
      <c r="O218" s="1">
        <v>0.0</v>
      </c>
      <c r="P218" s="1">
        <v>0.0</v>
      </c>
      <c r="R218" s="1">
        <v>0.0</v>
      </c>
      <c r="S218" s="1">
        <v>0.0</v>
      </c>
      <c r="U218" s="1">
        <v>0.0</v>
      </c>
      <c r="W218" s="1">
        <v>0.0</v>
      </c>
      <c r="Y218" s="1">
        <v>0.0</v>
      </c>
      <c r="AA218" s="1">
        <v>0.0</v>
      </c>
      <c r="AC218" s="1">
        <v>0.0</v>
      </c>
      <c r="AM218" s="1">
        <v>118839.0</v>
      </c>
      <c r="AN218" s="1">
        <v>118839.0</v>
      </c>
      <c r="AO218" s="1">
        <v>118839.0</v>
      </c>
      <c r="AP218" s="1">
        <v>45.525</v>
      </c>
      <c r="AR218" s="1">
        <v>0.0</v>
      </c>
      <c r="AW218" s="1">
        <v>0.0</v>
      </c>
      <c r="AX218" s="1">
        <v>2.0</v>
      </c>
      <c r="AY218" s="1">
        <v>4.0</v>
      </c>
      <c r="BA218" s="1">
        <v>0.0</v>
      </c>
      <c r="BB218" s="1">
        <v>0.0</v>
      </c>
      <c r="BC218" s="1">
        <v>0.0</v>
      </c>
      <c r="BD218" s="1">
        <v>0.0</v>
      </c>
      <c r="BE218" s="1">
        <v>0.0</v>
      </c>
      <c r="BF218" s="1">
        <v>0.0</v>
      </c>
      <c r="BG218" s="1">
        <v>0.0</v>
      </c>
      <c r="BH218" s="1">
        <v>0.0</v>
      </c>
      <c r="BI218" s="1">
        <v>0.0</v>
      </c>
      <c r="BJ218" s="1">
        <v>0.0</v>
      </c>
      <c r="BP218" s="1">
        <v>0.272</v>
      </c>
      <c r="BQ218" s="1" t="s">
        <v>1638</v>
      </c>
      <c r="BV218" s="1">
        <v>1.1</v>
      </c>
      <c r="EQ218" s="9" t="s">
        <v>1637</v>
      </c>
      <c r="ER218" s="21">
        <v>46045.29803240741</v>
      </c>
    </row>
    <row r="219">
      <c r="A219" s="9" t="s">
        <v>1639</v>
      </c>
      <c r="B219" s="20" t="str">
        <f>IFERROR(__xludf.DUMMYFUNCTION("REGEXREPLACE(A219, ""^https?://[^/]+"", """")"),"/wp-content/uploads/2019/05/Sales-Xceleration-2025-State-of-Sales-Small-to-MidSize-Businesses-1-1024x640.jpg")</f>
        <v>/wp-content/uploads/2019/05/Sales-Xceleration-2025-State-of-Sales-Small-to-MidSize-Businesses-1-1024x640.jpg</v>
      </c>
      <c r="F219" s="1" t="s">
        <v>1004</v>
      </c>
      <c r="G219" s="1">
        <v>200.0</v>
      </c>
      <c r="H219" s="1" t="s">
        <v>966</v>
      </c>
      <c r="I219" s="1" t="s">
        <v>967</v>
      </c>
      <c r="L219" s="1">
        <v>0.0</v>
      </c>
      <c r="M219" s="1">
        <v>0.0</v>
      </c>
      <c r="O219" s="1">
        <v>0.0</v>
      </c>
      <c r="P219" s="1">
        <v>0.0</v>
      </c>
      <c r="R219" s="1">
        <v>0.0</v>
      </c>
      <c r="S219" s="1">
        <v>0.0</v>
      </c>
      <c r="U219" s="1">
        <v>0.0</v>
      </c>
      <c r="W219" s="1">
        <v>0.0</v>
      </c>
      <c r="Y219" s="1">
        <v>0.0</v>
      </c>
      <c r="AA219" s="1">
        <v>0.0</v>
      </c>
      <c r="AC219" s="1">
        <v>0.0</v>
      </c>
      <c r="AM219" s="1">
        <v>106382.0</v>
      </c>
      <c r="AN219" s="1">
        <v>106382.0</v>
      </c>
      <c r="AO219" s="1">
        <v>106382.0</v>
      </c>
      <c r="AP219" s="1">
        <v>40.753</v>
      </c>
      <c r="AR219" s="1">
        <v>0.0</v>
      </c>
      <c r="AW219" s="1">
        <v>0.0</v>
      </c>
      <c r="AX219" s="1">
        <v>2.0</v>
      </c>
      <c r="AY219" s="1">
        <v>4.0</v>
      </c>
      <c r="BA219" s="1">
        <v>0.0</v>
      </c>
      <c r="BB219" s="1">
        <v>0.0</v>
      </c>
      <c r="BC219" s="1">
        <v>0.0</v>
      </c>
      <c r="BD219" s="1">
        <v>0.0</v>
      </c>
      <c r="BE219" s="1">
        <v>0.0</v>
      </c>
      <c r="BF219" s="1">
        <v>0.0</v>
      </c>
      <c r="BG219" s="1">
        <v>0.0</v>
      </c>
      <c r="BH219" s="1">
        <v>0.0</v>
      </c>
      <c r="BI219" s="1">
        <v>0.0</v>
      </c>
      <c r="BJ219" s="1">
        <v>0.0</v>
      </c>
      <c r="BP219" s="1">
        <v>0.284</v>
      </c>
      <c r="BQ219" s="1" t="s">
        <v>1640</v>
      </c>
      <c r="BV219" s="1">
        <v>1.1</v>
      </c>
      <c r="EQ219" s="9" t="s">
        <v>1639</v>
      </c>
      <c r="ER219" s="21">
        <v>46045.29803240741</v>
      </c>
    </row>
    <row r="220">
      <c r="A220" s="9" t="s">
        <v>1641</v>
      </c>
      <c r="B220" s="20" t="str">
        <f>IFERROR(__xludf.DUMMYFUNCTION("REGEXREPLACE(A220, ""^https?://[^/]+"", """")"),"/wp-content/plugins/powerpack-elements/assets/js/min/frontend-card-slider.min.js?ver=2.12.15")</f>
        <v>/wp-content/plugins/powerpack-elements/assets/js/min/frontend-card-slider.min.js?ver=2.12.15</v>
      </c>
      <c r="F220" s="1" t="s">
        <v>984</v>
      </c>
      <c r="G220" s="1">
        <v>200.0</v>
      </c>
      <c r="H220" s="1" t="s">
        <v>966</v>
      </c>
      <c r="I220" s="1" t="s">
        <v>967</v>
      </c>
      <c r="L220" s="1">
        <v>0.0</v>
      </c>
      <c r="M220" s="1">
        <v>0.0</v>
      </c>
      <c r="O220" s="1">
        <v>0.0</v>
      </c>
      <c r="P220" s="1">
        <v>0.0</v>
      </c>
      <c r="R220" s="1">
        <v>0.0</v>
      </c>
      <c r="S220" s="1">
        <v>0.0</v>
      </c>
      <c r="U220" s="1">
        <v>0.0</v>
      </c>
      <c r="W220" s="1">
        <v>0.0</v>
      </c>
      <c r="Y220" s="1">
        <v>0.0</v>
      </c>
      <c r="AA220" s="1">
        <v>0.0</v>
      </c>
      <c r="AC220" s="1">
        <v>0.0</v>
      </c>
      <c r="AM220" s="1">
        <v>1164.0</v>
      </c>
      <c r="AN220" s="1">
        <v>1164.0</v>
      </c>
      <c r="AO220" s="1">
        <v>1164.0</v>
      </c>
      <c r="AP220" s="1">
        <v>0.446</v>
      </c>
      <c r="AR220" s="1">
        <v>0.0</v>
      </c>
      <c r="AW220" s="1">
        <v>0.0</v>
      </c>
      <c r="AX220" s="1">
        <v>2.0</v>
      </c>
      <c r="AY220" s="1">
        <v>6.0</v>
      </c>
      <c r="BA220" s="1">
        <v>0.0</v>
      </c>
      <c r="BB220" s="1">
        <v>0.0</v>
      </c>
      <c r="BC220" s="1">
        <v>0.0</v>
      </c>
      <c r="BD220" s="1">
        <v>0.0</v>
      </c>
      <c r="BE220" s="1">
        <v>0.0</v>
      </c>
      <c r="BF220" s="1">
        <v>0.0</v>
      </c>
      <c r="BG220" s="1">
        <v>0.0</v>
      </c>
      <c r="BH220" s="1">
        <v>0.0</v>
      </c>
      <c r="BI220" s="1">
        <v>0.0</v>
      </c>
      <c r="BJ220" s="1">
        <v>0.0</v>
      </c>
      <c r="BP220" s="1">
        <v>0.284</v>
      </c>
      <c r="BQ220" s="1" t="s">
        <v>1193</v>
      </c>
      <c r="BV220" s="1">
        <v>1.1</v>
      </c>
      <c r="EQ220" s="9" t="s">
        <v>1641</v>
      </c>
      <c r="ER220" s="21">
        <v>46045.29803240741</v>
      </c>
    </row>
    <row r="221">
      <c r="A221" s="9" t="s">
        <v>1642</v>
      </c>
      <c r="B221" s="20" t="str">
        <f>IFERROR(__xludf.DUMMYFUNCTION("REGEXREPLACE(A221, ""^https?://[^/]+"", """")"),"/wp-content/plugins/gravityforms/assets/js/dist/scripts-theme.min.js?ver=1546762cd067873f438f559b1e819128")</f>
        <v>/wp-content/plugins/gravityforms/assets/js/dist/scripts-theme.min.js?ver=1546762cd067873f438f559b1e819128</v>
      </c>
      <c r="F221" s="1" t="s">
        <v>984</v>
      </c>
      <c r="G221" s="1">
        <v>200.0</v>
      </c>
      <c r="H221" s="1" t="s">
        <v>966</v>
      </c>
      <c r="I221" s="1" t="s">
        <v>967</v>
      </c>
      <c r="L221" s="1">
        <v>0.0</v>
      </c>
      <c r="M221" s="1">
        <v>0.0</v>
      </c>
      <c r="O221" s="1">
        <v>0.0</v>
      </c>
      <c r="P221" s="1">
        <v>0.0</v>
      </c>
      <c r="R221" s="1">
        <v>0.0</v>
      </c>
      <c r="S221" s="1">
        <v>0.0</v>
      </c>
      <c r="U221" s="1">
        <v>0.0</v>
      </c>
      <c r="W221" s="1">
        <v>0.0</v>
      </c>
      <c r="Y221" s="1">
        <v>0.0</v>
      </c>
      <c r="AA221" s="1">
        <v>0.0</v>
      </c>
      <c r="AC221" s="1">
        <v>0.0</v>
      </c>
      <c r="AM221" s="1">
        <v>11589.0</v>
      </c>
      <c r="AN221" s="1">
        <v>11589.0</v>
      </c>
      <c r="AO221" s="1">
        <v>11589.0</v>
      </c>
      <c r="AP221" s="1">
        <v>4.44</v>
      </c>
      <c r="AR221" s="1">
        <v>0.0</v>
      </c>
      <c r="AW221" s="1">
        <v>0.0</v>
      </c>
      <c r="AX221" s="1">
        <v>2.0</v>
      </c>
      <c r="AY221" s="1">
        <v>6.0</v>
      </c>
      <c r="BA221" s="1">
        <v>0.0</v>
      </c>
      <c r="BB221" s="1">
        <v>0.0</v>
      </c>
      <c r="BC221" s="1">
        <v>0.0</v>
      </c>
      <c r="BD221" s="1">
        <v>0.0</v>
      </c>
      <c r="BE221" s="1">
        <v>0.0</v>
      </c>
      <c r="BF221" s="1">
        <v>0.0</v>
      </c>
      <c r="BG221" s="1">
        <v>0.0</v>
      </c>
      <c r="BH221" s="1">
        <v>0.0</v>
      </c>
      <c r="BI221" s="1">
        <v>0.0</v>
      </c>
      <c r="BJ221" s="1">
        <v>0.0</v>
      </c>
      <c r="BP221" s="1">
        <v>0.282</v>
      </c>
      <c r="BQ221" s="1" t="s">
        <v>1631</v>
      </c>
      <c r="BV221" s="1">
        <v>1.1</v>
      </c>
      <c r="EQ221" s="9" t="s">
        <v>1642</v>
      </c>
      <c r="ER221" s="21">
        <v>46045.29803240741</v>
      </c>
    </row>
    <row r="222">
      <c r="A222" s="9" t="s">
        <v>1643</v>
      </c>
      <c r="B222" s="20" t="str">
        <f>IFERROR(__xludf.DUMMYFUNCTION("REGEXREPLACE(A222, ""^https?://[^/]+"", """")"),"/wp-content/plugins/elementor/assets/css/widget-image-box.min.css?ver=3.34.0")</f>
        <v>/wp-content/plugins/elementor/assets/css/widget-image-box.min.css?ver=3.34.0</v>
      </c>
      <c r="F222" s="1" t="s">
        <v>1016</v>
      </c>
      <c r="G222" s="1">
        <v>200.0</v>
      </c>
      <c r="H222" s="1" t="s">
        <v>966</v>
      </c>
      <c r="I222" s="1" t="s">
        <v>967</v>
      </c>
      <c r="L222" s="1">
        <v>0.0</v>
      </c>
      <c r="M222" s="1">
        <v>0.0</v>
      </c>
      <c r="O222" s="1">
        <v>0.0</v>
      </c>
      <c r="P222" s="1">
        <v>0.0</v>
      </c>
      <c r="R222" s="1">
        <v>0.0</v>
      </c>
      <c r="S222" s="1">
        <v>0.0</v>
      </c>
      <c r="U222" s="1">
        <v>0.0</v>
      </c>
      <c r="W222" s="1">
        <v>0.0</v>
      </c>
      <c r="Y222" s="1">
        <v>0.0</v>
      </c>
      <c r="AA222" s="1">
        <v>0.0</v>
      </c>
      <c r="AC222" s="1">
        <v>0.0</v>
      </c>
      <c r="AM222" s="1">
        <v>368.0</v>
      </c>
      <c r="AN222" s="1">
        <v>368.0</v>
      </c>
      <c r="AO222" s="1">
        <v>368.0</v>
      </c>
      <c r="AP222" s="1">
        <v>0.141</v>
      </c>
      <c r="AR222" s="1">
        <v>0.0</v>
      </c>
      <c r="AW222" s="1">
        <v>0.0</v>
      </c>
      <c r="AX222" s="1">
        <v>2.0</v>
      </c>
      <c r="AY222" s="1">
        <v>5.0</v>
      </c>
      <c r="BA222" s="1">
        <v>0.0</v>
      </c>
      <c r="BB222" s="1">
        <v>0.0</v>
      </c>
      <c r="BC222" s="1">
        <v>0.0</v>
      </c>
      <c r="BD222" s="1">
        <v>0.0</v>
      </c>
      <c r="BE222" s="1">
        <v>0.0</v>
      </c>
      <c r="BF222" s="1">
        <v>0.0</v>
      </c>
      <c r="BG222" s="1">
        <v>0.0</v>
      </c>
      <c r="BH222" s="1">
        <v>0.0</v>
      </c>
      <c r="BI222" s="1">
        <v>0.0</v>
      </c>
      <c r="BJ222" s="1">
        <v>0.0</v>
      </c>
      <c r="BP222" s="1">
        <v>0.258</v>
      </c>
      <c r="BQ222" s="1" t="s">
        <v>1017</v>
      </c>
      <c r="BV222" s="1">
        <v>1.1</v>
      </c>
      <c r="EQ222" s="9" t="s">
        <v>1643</v>
      </c>
      <c r="ER222" s="21">
        <v>46045.29803240741</v>
      </c>
    </row>
    <row r="223">
      <c r="A223" s="9" t="s">
        <v>1644</v>
      </c>
      <c r="B223" s="20" t="str">
        <f>IFERROR(__xludf.DUMMYFUNCTION("REGEXREPLACE(A223, ""^https?://[^/]+"", """")"),"/wp-content/plugins/gravityforms/assets/js/dist/utils.min.js?ver=48a3755090e76a154853db28fc254681")</f>
        <v>/wp-content/plugins/gravityforms/assets/js/dist/utils.min.js?ver=48a3755090e76a154853db28fc254681</v>
      </c>
      <c r="F223" s="1" t="s">
        <v>984</v>
      </c>
      <c r="G223" s="1">
        <v>200.0</v>
      </c>
      <c r="H223" s="1" t="s">
        <v>966</v>
      </c>
      <c r="I223" s="1" t="s">
        <v>967</v>
      </c>
      <c r="L223" s="1">
        <v>0.0</v>
      </c>
      <c r="M223" s="1">
        <v>0.0</v>
      </c>
      <c r="O223" s="1">
        <v>0.0</v>
      </c>
      <c r="P223" s="1">
        <v>0.0</v>
      </c>
      <c r="R223" s="1">
        <v>0.0</v>
      </c>
      <c r="S223" s="1">
        <v>0.0</v>
      </c>
      <c r="U223" s="1">
        <v>0.0</v>
      </c>
      <c r="W223" s="1">
        <v>0.0</v>
      </c>
      <c r="Y223" s="1">
        <v>0.0</v>
      </c>
      <c r="AA223" s="1">
        <v>0.0</v>
      </c>
      <c r="AC223" s="1">
        <v>0.0</v>
      </c>
      <c r="AM223" s="1">
        <v>16994.0</v>
      </c>
      <c r="AN223" s="1">
        <v>16994.0</v>
      </c>
      <c r="AO223" s="1">
        <v>16994.0</v>
      </c>
      <c r="AP223" s="1">
        <v>6.51</v>
      </c>
      <c r="AR223" s="1">
        <v>0.0</v>
      </c>
      <c r="AW223" s="1">
        <v>0.0</v>
      </c>
      <c r="AX223" s="1">
        <v>2.0</v>
      </c>
      <c r="AY223" s="1">
        <v>6.0</v>
      </c>
      <c r="BA223" s="1">
        <v>0.0</v>
      </c>
      <c r="BB223" s="1">
        <v>0.0</v>
      </c>
      <c r="BC223" s="1">
        <v>0.0</v>
      </c>
      <c r="BD223" s="1">
        <v>0.0</v>
      </c>
      <c r="BE223" s="1">
        <v>0.0</v>
      </c>
      <c r="BF223" s="1">
        <v>0.0</v>
      </c>
      <c r="BG223" s="1">
        <v>0.0</v>
      </c>
      <c r="BH223" s="1">
        <v>0.0</v>
      </c>
      <c r="BI223" s="1">
        <v>0.0</v>
      </c>
      <c r="BJ223" s="1">
        <v>0.0</v>
      </c>
      <c r="BP223" s="1">
        <v>0.27</v>
      </c>
      <c r="BQ223" s="1" t="s">
        <v>1631</v>
      </c>
      <c r="BV223" s="1">
        <v>1.1</v>
      </c>
      <c r="EQ223" s="9" t="s">
        <v>1644</v>
      </c>
      <c r="ER223" s="21">
        <v>46045.29803240741</v>
      </c>
    </row>
    <row r="224">
      <c r="A224" s="9" t="s">
        <v>1645</v>
      </c>
      <c r="B224" s="20" t="str">
        <f>IFERROR(__xludf.DUMMYFUNCTION("REGEXREPLACE(A224, ""^https?://[^/]+"", """")"),"/wp-content/uploads/2025/05/SalesX-Sales-Analysis.png")</f>
        <v>/wp-content/uploads/2025/05/SalesX-Sales-Analysis.png</v>
      </c>
      <c r="F224" s="1" t="s">
        <v>1047</v>
      </c>
      <c r="G224" s="1">
        <v>200.0</v>
      </c>
      <c r="H224" s="1" t="s">
        <v>966</v>
      </c>
      <c r="I224" s="1" t="s">
        <v>967</v>
      </c>
      <c r="L224" s="1">
        <v>0.0</v>
      </c>
      <c r="M224" s="1">
        <v>0.0</v>
      </c>
      <c r="O224" s="1">
        <v>0.0</v>
      </c>
      <c r="P224" s="1">
        <v>0.0</v>
      </c>
      <c r="R224" s="1">
        <v>0.0</v>
      </c>
      <c r="S224" s="1">
        <v>0.0</v>
      </c>
      <c r="U224" s="1">
        <v>0.0</v>
      </c>
      <c r="W224" s="1">
        <v>0.0</v>
      </c>
      <c r="Y224" s="1">
        <v>0.0</v>
      </c>
      <c r="AA224" s="1">
        <v>0.0</v>
      </c>
      <c r="AC224" s="1">
        <v>0.0</v>
      </c>
      <c r="AM224" s="1">
        <v>62011.0</v>
      </c>
      <c r="AN224" s="1">
        <v>62011.0</v>
      </c>
      <c r="AO224" s="1">
        <v>62011.0</v>
      </c>
      <c r="AP224" s="1">
        <v>23.755</v>
      </c>
      <c r="AR224" s="1">
        <v>0.0</v>
      </c>
      <c r="AW224" s="1">
        <v>0.0</v>
      </c>
      <c r="AX224" s="1">
        <v>2.0</v>
      </c>
      <c r="AY224" s="1">
        <v>4.0</v>
      </c>
      <c r="BA224" s="1">
        <v>0.0</v>
      </c>
      <c r="BB224" s="1">
        <v>0.0</v>
      </c>
      <c r="BC224" s="1">
        <v>0.0</v>
      </c>
      <c r="BD224" s="1">
        <v>0.0</v>
      </c>
      <c r="BE224" s="1">
        <v>0.0</v>
      </c>
      <c r="BF224" s="1">
        <v>0.0</v>
      </c>
      <c r="BG224" s="1">
        <v>0.0</v>
      </c>
      <c r="BH224" s="1">
        <v>0.0</v>
      </c>
      <c r="BI224" s="1">
        <v>0.0</v>
      </c>
      <c r="BJ224" s="1">
        <v>0.0</v>
      </c>
      <c r="BP224" s="1">
        <v>0.269</v>
      </c>
      <c r="BQ224" s="1" t="s">
        <v>1646</v>
      </c>
      <c r="BV224" s="1">
        <v>1.1</v>
      </c>
      <c r="EQ224" s="9" t="s">
        <v>1645</v>
      </c>
      <c r="ER224" s="21">
        <v>46045.29803240741</v>
      </c>
    </row>
    <row r="225">
      <c r="A225" s="9" t="s">
        <v>1647</v>
      </c>
      <c r="B225" s="20" t="str">
        <f>IFERROR(__xludf.DUMMYFUNCTION("REGEXREPLACE(A225, ""^https?://[^/]+"", """")"),"/wp-content/uploads/2025/05/Sales-Methodology-Category.png")</f>
        <v>/wp-content/uploads/2025/05/Sales-Methodology-Category.png</v>
      </c>
      <c r="F225" s="1" t="s">
        <v>1047</v>
      </c>
      <c r="G225" s="1">
        <v>200.0</v>
      </c>
      <c r="H225" s="1" t="s">
        <v>966</v>
      </c>
      <c r="I225" s="1" t="s">
        <v>967</v>
      </c>
      <c r="L225" s="1">
        <v>0.0</v>
      </c>
      <c r="M225" s="1">
        <v>0.0</v>
      </c>
      <c r="O225" s="1">
        <v>0.0</v>
      </c>
      <c r="P225" s="1">
        <v>0.0</v>
      </c>
      <c r="R225" s="1">
        <v>0.0</v>
      </c>
      <c r="S225" s="1">
        <v>0.0</v>
      </c>
      <c r="U225" s="1">
        <v>0.0</v>
      </c>
      <c r="W225" s="1">
        <v>0.0</v>
      </c>
      <c r="Y225" s="1">
        <v>0.0</v>
      </c>
      <c r="AA225" s="1">
        <v>0.0</v>
      </c>
      <c r="AC225" s="1">
        <v>0.0</v>
      </c>
      <c r="AM225" s="1">
        <v>21882.0</v>
      </c>
      <c r="AN225" s="1">
        <v>21882.0</v>
      </c>
      <c r="AO225" s="1">
        <v>21882.0</v>
      </c>
      <c r="AP225" s="1">
        <v>8.383</v>
      </c>
      <c r="AR225" s="1">
        <v>0.0</v>
      </c>
      <c r="AW225" s="1">
        <v>0.0</v>
      </c>
      <c r="AX225" s="1">
        <v>2.0</v>
      </c>
      <c r="AY225" s="1">
        <v>4.0</v>
      </c>
      <c r="AZ225" s="1">
        <v>1.0</v>
      </c>
      <c r="BA225" s="1">
        <v>2.0</v>
      </c>
      <c r="BB225" s="1">
        <v>2.0</v>
      </c>
      <c r="BC225" s="1">
        <v>0.0</v>
      </c>
      <c r="BD225" s="1">
        <v>0.27</v>
      </c>
      <c r="BE225" s="1">
        <v>0.0</v>
      </c>
      <c r="BF225" s="1">
        <v>0.0</v>
      </c>
      <c r="BG225" s="1">
        <v>0.0</v>
      </c>
      <c r="BH225" s="1">
        <v>0.0</v>
      </c>
      <c r="BI225" s="1">
        <v>0.0</v>
      </c>
      <c r="BJ225" s="1">
        <v>0.0</v>
      </c>
      <c r="BP225" s="1">
        <v>0.272</v>
      </c>
      <c r="BQ225" s="1" t="s">
        <v>1648</v>
      </c>
      <c r="BV225" s="1">
        <v>1.1</v>
      </c>
      <c r="EQ225" s="9" t="s">
        <v>1647</v>
      </c>
      <c r="ER225" s="21">
        <v>46045.29803240741</v>
      </c>
    </row>
    <row r="226">
      <c r="A226" s="9" t="s">
        <v>1649</v>
      </c>
      <c r="B226" s="20" t="str">
        <f>IFERROR(__xludf.DUMMYFUNCTION("REGEXREPLACE(A226, ""^https?://[^/]+"", """")"),"/wp-content/plugins/powerpack-elements/assets/css/min/widget-gravity-forms.min.css?ver=2.12.15")</f>
        <v>/wp-content/plugins/powerpack-elements/assets/css/min/widget-gravity-forms.min.css?ver=2.12.15</v>
      </c>
      <c r="F226" s="1" t="s">
        <v>1016</v>
      </c>
      <c r="G226" s="1">
        <v>200.0</v>
      </c>
      <c r="H226" s="1" t="s">
        <v>966</v>
      </c>
      <c r="I226" s="1" t="s">
        <v>967</v>
      </c>
      <c r="L226" s="1">
        <v>0.0</v>
      </c>
      <c r="M226" s="1">
        <v>0.0</v>
      </c>
      <c r="O226" s="1">
        <v>0.0</v>
      </c>
      <c r="P226" s="1">
        <v>0.0</v>
      </c>
      <c r="R226" s="1">
        <v>0.0</v>
      </c>
      <c r="S226" s="1">
        <v>0.0</v>
      </c>
      <c r="U226" s="1">
        <v>0.0</v>
      </c>
      <c r="W226" s="1">
        <v>0.0</v>
      </c>
      <c r="Y226" s="1">
        <v>0.0</v>
      </c>
      <c r="AA226" s="1">
        <v>0.0</v>
      </c>
      <c r="AC226" s="1">
        <v>0.0</v>
      </c>
      <c r="AM226" s="1">
        <v>1155.0</v>
      </c>
      <c r="AN226" s="1">
        <v>1155.0</v>
      </c>
      <c r="AO226" s="1">
        <v>1155.0</v>
      </c>
      <c r="AP226" s="1">
        <v>0.442</v>
      </c>
      <c r="AR226" s="1">
        <v>0.0</v>
      </c>
      <c r="AW226" s="1">
        <v>0.0</v>
      </c>
      <c r="AX226" s="1">
        <v>2.0</v>
      </c>
      <c r="AY226" s="1">
        <v>6.0</v>
      </c>
      <c r="BA226" s="1">
        <v>0.0</v>
      </c>
      <c r="BB226" s="1">
        <v>0.0</v>
      </c>
      <c r="BC226" s="1">
        <v>0.0</v>
      </c>
      <c r="BD226" s="1">
        <v>0.0</v>
      </c>
      <c r="BE226" s="1">
        <v>0.0</v>
      </c>
      <c r="BF226" s="1">
        <v>0.0</v>
      </c>
      <c r="BG226" s="1">
        <v>0.0</v>
      </c>
      <c r="BH226" s="1">
        <v>0.0</v>
      </c>
      <c r="BI226" s="1">
        <v>0.0</v>
      </c>
      <c r="BJ226" s="1">
        <v>0.0</v>
      </c>
      <c r="BP226" s="1">
        <v>0.268</v>
      </c>
      <c r="BQ226" s="1" t="s">
        <v>1193</v>
      </c>
      <c r="BV226" s="1">
        <v>1.1</v>
      </c>
      <c r="EQ226" s="9" t="s">
        <v>1649</v>
      </c>
      <c r="ER226" s="21">
        <v>46045.29804398148</v>
      </c>
    </row>
    <row r="227">
      <c r="A227" s="9" t="s">
        <v>1650</v>
      </c>
      <c r="B227" s="20" t="str">
        <f>IFERROR(__xludf.DUMMYFUNCTION("REGEXREPLACE(A227, ""^https?://[^/]+"", """")"),"/wp-content/uploads/2025/04/Sales-Methodology-Icon.svg")</f>
        <v>/wp-content/uploads/2025/04/Sales-Methodology-Icon.svg</v>
      </c>
      <c r="F227" s="1" t="s">
        <v>1391</v>
      </c>
      <c r="G227" s="1">
        <v>200.0</v>
      </c>
      <c r="H227" s="1" t="s">
        <v>966</v>
      </c>
      <c r="I227" s="1" t="s">
        <v>967</v>
      </c>
      <c r="L227" s="1">
        <v>0.0</v>
      </c>
      <c r="M227" s="1">
        <v>0.0</v>
      </c>
      <c r="O227" s="1">
        <v>0.0</v>
      </c>
      <c r="P227" s="1">
        <v>0.0</v>
      </c>
      <c r="R227" s="1">
        <v>0.0</v>
      </c>
      <c r="S227" s="1">
        <v>0.0</v>
      </c>
      <c r="U227" s="1">
        <v>0.0</v>
      </c>
      <c r="W227" s="1">
        <v>0.0</v>
      </c>
      <c r="Y227" s="1">
        <v>0.0</v>
      </c>
      <c r="AA227" s="1">
        <v>0.0</v>
      </c>
      <c r="AC227" s="1">
        <v>0.0</v>
      </c>
      <c r="AM227" s="1">
        <v>0.0</v>
      </c>
      <c r="AN227" s="1">
        <v>0.0</v>
      </c>
      <c r="AO227" s="1">
        <v>0.0</v>
      </c>
      <c r="AP227" s="1">
        <v>0.0</v>
      </c>
      <c r="AR227" s="1">
        <v>0.0</v>
      </c>
      <c r="AW227" s="1">
        <v>0.0</v>
      </c>
      <c r="AX227" s="1">
        <v>2.0</v>
      </c>
      <c r="AY227" s="1">
        <v>4.0</v>
      </c>
      <c r="BA227" s="1">
        <v>0.0</v>
      </c>
      <c r="BB227" s="1">
        <v>0.0</v>
      </c>
      <c r="BC227" s="1">
        <v>0.0</v>
      </c>
      <c r="BD227" s="1">
        <v>0.0</v>
      </c>
      <c r="BE227" s="1">
        <v>0.0</v>
      </c>
      <c r="BF227" s="1">
        <v>0.0</v>
      </c>
      <c r="BG227" s="1">
        <v>0.0</v>
      </c>
      <c r="BH227" s="1">
        <v>0.0</v>
      </c>
      <c r="BI227" s="1">
        <v>0.0</v>
      </c>
      <c r="BJ227" s="1">
        <v>0.0</v>
      </c>
      <c r="BP227" s="1">
        <v>0.385</v>
      </c>
      <c r="BQ227" s="1" t="s">
        <v>1651</v>
      </c>
      <c r="BV227" s="1">
        <v>1.1</v>
      </c>
      <c r="EQ227" s="9" t="s">
        <v>1650</v>
      </c>
      <c r="ER227" s="21">
        <v>46045.29804398148</v>
      </c>
    </row>
    <row r="228">
      <c r="A228" s="9" t="s">
        <v>1652</v>
      </c>
      <c r="B228" s="20" t="str">
        <f>IFERROR(__xludf.DUMMYFUNCTION("REGEXREPLACE(A228, ""^https?://[^/]+"", """")"),"/wp-content/uploads/2025/05/Sales-Strategy-Category.png")</f>
        <v>/wp-content/uploads/2025/05/Sales-Strategy-Category.png</v>
      </c>
      <c r="F228" s="1" t="s">
        <v>1047</v>
      </c>
      <c r="G228" s="1">
        <v>200.0</v>
      </c>
      <c r="H228" s="1" t="s">
        <v>966</v>
      </c>
      <c r="I228" s="1" t="s">
        <v>967</v>
      </c>
      <c r="L228" s="1">
        <v>0.0</v>
      </c>
      <c r="M228" s="1">
        <v>0.0</v>
      </c>
      <c r="O228" s="1">
        <v>0.0</v>
      </c>
      <c r="P228" s="1">
        <v>0.0</v>
      </c>
      <c r="R228" s="1">
        <v>0.0</v>
      </c>
      <c r="S228" s="1">
        <v>0.0</v>
      </c>
      <c r="U228" s="1">
        <v>0.0</v>
      </c>
      <c r="W228" s="1">
        <v>0.0</v>
      </c>
      <c r="Y228" s="1">
        <v>0.0</v>
      </c>
      <c r="AA228" s="1">
        <v>0.0</v>
      </c>
      <c r="AC228" s="1">
        <v>0.0</v>
      </c>
      <c r="AM228" s="1">
        <v>10760.0</v>
      </c>
      <c r="AN228" s="1">
        <v>10760.0</v>
      </c>
      <c r="AO228" s="1">
        <v>10760.0</v>
      </c>
      <c r="AP228" s="1">
        <v>4.122</v>
      </c>
      <c r="AR228" s="1">
        <v>0.0</v>
      </c>
      <c r="AW228" s="1">
        <v>0.0</v>
      </c>
      <c r="AX228" s="1">
        <v>2.0</v>
      </c>
      <c r="AY228" s="1">
        <v>4.0</v>
      </c>
      <c r="AZ228" s="1">
        <v>1.0</v>
      </c>
      <c r="BA228" s="1">
        <v>2.0</v>
      </c>
      <c r="BB228" s="1">
        <v>2.0</v>
      </c>
      <c r="BC228" s="1">
        <v>0.0</v>
      </c>
      <c r="BD228" s="1">
        <v>0.27</v>
      </c>
      <c r="BE228" s="1">
        <v>0.0</v>
      </c>
      <c r="BF228" s="1">
        <v>0.0</v>
      </c>
      <c r="BG228" s="1">
        <v>0.0</v>
      </c>
      <c r="BH228" s="1">
        <v>0.0</v>
      </c>
      <c r="BI228" s="1">
        <v>0.0</v>
      </c>
      <c r="BJ228" s="1">
        <v>0.0</v>
      </c>
      <c r="BP228" s="1">
        <v>0.289</v>
      </c>
      <c r="BQ228" s="1" t="s">
        <v>1653</v>
      </c>
      <c r="BV228" s="1">
        <v>1.1</v>
      </c>
      <c r="EQ228" s="9" t="s">
        <v>1652</v>
      </c>
      <c r="ER228" s="21">
        <v>46045.29804398148</v>
      </c>
    </row>
    <row r="229">
      <c r="A229" s="9" t="s">
        <v>1654</v>
      </c>
      <c r="B229" s="20" t="str">
        <f>IFERROR(__xludf.DUMMYFUNCTION("REGEXREPLACE(A229, ""^https?://[^/]+"", """")"),"/wp-includes/js/dist/a11y.min.js?ver=cb460b4676c94bd228ed")</f>
        <v>/wp-includes/js/dist/a11y.min.js?ver=cb460b4676c94bd228ed</v>
      </c>
      <c r="F229" s="1" t="s">
        <v>984</v>
      </c>
      <c r="G229" s="1">
        <v>200.0</v>
      </c>
      <c r="H229" s="1" t="s">
        <v>966</v>
      </c>
      <c r="I229" s="1" t="s">
        <v>967</v>
      </c>
      <c r="L229" s="1">
        <v>0.0</v>
      </c>
      <c r="M229" s="1">
        <v>0.0</v>
      </c>
      <c r="O229" s="1">
        <v>0.0</v>
      </c>
      <c r="P229" s="1">
        <v>0.0</v>
      </c>
      <c r="R229" s="1">
        <v>0.0</v>
      </c>
      <c r="S229" s="1">
        <v>0.0</v>
      </c>
      <c r="U229" s="1">
        <v>0.0</v>
      </c>
      <c r="W229" s="1">
        <v>0.0</v>
      </c>
      <c r="Y229" s="1">
        <v>0.0</v>
      </c>
      <c r="AA229" s="1">
        <v>0.0</v>
      </c>
      <c r="AC229" s="1">
        <v>0.0</v>
      </c>
      <c r="AM229" s="1">
        <v>929.0</v>
      </c>
      <c r="AN229" s="1">
        <v>929.0</v>
      </c>
      <c r="AO229" s="1">
        <v>929.0</v>
      </c>
      <c r="AP229" s="1">
        <v>0.356</v>
      </c>
      <c r="AR229" s="1">
        <v>0.0</v>
      </c>
      <c r="AW229" s="1">
        <v>0.0</v>
      </c>
      <c r="AX229" s="1">
        <v>2.0</v>
      </c>
      <c r="AY229" s="1">
        <v>3.0</v>
      </c>
      <c r="BA229" s="1">
        <v>0.0</v>
      </c>
      <c r="BB229" s="1">
        <v>0.0</v>
      </c>
      <c r="BC229" s="1">
        <v>0.0</v>
      </c>
      <c r="BD229" s="1">
        <v>0.0</v>
      </c>
      <c r="BE229" s="1">
        <v>0.0</v>
      </c>
      <c r="BF229" s="1">
        <v>0.0</v>
      </c>
      <c r="BG229" s="1">
        <v>0.0</v>
      </c>
      <c r="BH229" s="1">
        <v>0.0</v>
      </c>
      <c r="BI229" s="1">
        <v>0.0</v>
      </c>
      <c r="BJ229" s="1">
        <v>0.0</v>
      </c>
      <c r="BP229" s="1">
        <v>0.262</v>
      </c>
      <c r="BQ229" s="1" t="s">
        <v>1007</v>
      </c>
      <c r="BV229" s="1">
        <v>1.1</v>
      </c>
      <c r="EQ229" s="9" t="s">
        <v>1654</v>
      </c>
      <c r="ER229" s="21">
        <v>46045.29804398148</v>
      </c>
    </row>
    <row r="230">
      <c r="A230" s="9" t="s">
        <v>1655</v>
      </c>
      <c r="B230" s="20" t="str">
        <f>IFERROR(__xludf.DUMMYFUNCTION("REGEXREPLACE(A230, ""^https?://[^/]+"", """")"),"/wp-content/plugins/gravityforms/js/gravityforms.min.js?ver=2.9.24")</f>
        <v>/wp-content/plugins/gravityforms/js/gravityforms.min.js?ver=2.9.24</v>
      </c>
      <c r="F230" s="1" t="s">
        <v>984</v>
      </c>
      <c r="G230" s="1">
        <v>200.0</v>
      </c>
      <c r="H230" s="1" t="s">
        <v>966</v>
      </c>
      <c r="I230" s="1" t="s">
        <v>967</v>
      </c>
      <c r="L230" s="1">
        <v>0.0</v>
      </c>
      <c r="M230" s="1">
        <v>0.0</v>
      </c>
      <c r="O230" s="1">
        <v>0.0</v>
      </c>
      <c r="P230" s="1">
        <v>0.0</v>
      </c>
      <c r="R230" s="1">
        <v>0.0</v>
      </c>
      <c r="S230" s="1">
        <v>0.0</v>
      </c>
      <c r="U230" s="1">
        <v>0.0</v>
      </c>
      <c r="W230" s="1">
        <v>0.0</v>
      </c>
      <c r="Y230" s="1">
        <v>0.0</v>
      </c>
      <c r="AA230" s="1">
        <v>0.0</v>
      </c>
      <c r="AC230" s="1">
        <v>0.0</v>
      </c>
      <c r="AM230" s="1">
        <v>13136.0</v>
      </c>
      <c r="AN230" s="1">
        <v>13136.0</v>
      </c>
      <c r="AO230" s="1">
        <v>13136.0</v>
      </c>
      <c r="AP230" s="1">
        <v>5.032</v>
      </c>
      <c r="AR230" s="1">
        <v>0.0</v>
      </c>
      <c r="AW230" s="1">
        <v>0.0</v>
      </c>
      <c r="AX230" s="1">
        <v>2.0</v>
      </c>
      <c r="AY230" s="1">
        <v>4.0</v>
      </c>
      <c r="BA230" s="1">
        <v>0.0</v>
      </c>
      <c r="BB230" s="1">
        <v>0.0</v>
      </c>
      <c r="BC230" s="1">
        <v>0.0</v>
      </c>
      <c r="BD230" s="1">
        <v>0.0</v>
      </c>
      <c r="BE230" s="1">
        <v>0.0</v>
      </c>
      <c r="BF230" s="1">
        <v>0.0</v>
      </c>
      <c r="BG230" s="1">
        <v>0.0</v>
      </c>
      <c r="BH230" s="1">
        <v>0.0</v>
      </c>
      <c r="BI230" s="1">
        <v>0.0</v>
      </c>
      <c r="BJ230" s="1">
        <v>0.0</v>
      </c>
      <c r="BP230" s="1">
        <v>0.393</v>
      </c>
      <c r="BQ230" s="1" t="s">
        <v>1631</v>
      </c>
      <c r="BV230" s="1">
        <v>1.1</v>
      </c>
      <c r="EQ230" s="9" t="s">
        <v>1655</v>
      </c>
      <c r="ER230" s="21">
        <v>46045.29804398148</v>
      </c>
    </row>
    <row r="231">
      <c r="A231" s="9" t="s">
        <v>1656</v>
      </c>
      <c r="B231" s="20" t="str">
        <f>IFERROR(__xludf.DUMMYFUNCTION("REGEXREPLACE(A231, ""^https?://[^/]+"", """")"),"/wp-content/plugins/elementor/assets/css/widget-alert.min.css?ver=3.34.0")</f>
        <v>/wp-content/plugins/elementor/assets/css/widget-alert.min.css?ver=3.34.0</v>
      </c>
      <c r="F231" s="1" t="s">
        <v>1016</v>
      </c>
      <c r="G231" s="1">
        <v>200.0</v>
      </c>
      <c r="H231" s="1" t="s">
        <v>966</v>
      </c>
      <c r="I231" s="1" t="s">
        <v>967</v>
      </c>
      <c r="L231" s="1">
        <v>0.0</v>
      </c>
      <c r="M231" s="1">
        <v>0.0</v>
      </c>
      <c r="O231" s="1">
        <v>0.0</v>
      </c>
      <c r="P231" s="1">
        <v>0.0</v>
      </c>
      <c r="R231" s="1">
        <v>0.0</v>
      </c>
      <c r="S231" s="1">
        <v>0.0</v>
      </c>
      <c r="U231" s="1">
        <v>0.0</v>
      </c>
      <c r="W231" s="1">
        <v>0.0</v>
      </c>
      <c r="Y231" s="1">
        <v>0.0</v>
      </c>
      <c r="AA231" s="1">
        <v>0.0</v>
      </c>
      <c r="AC231" s="1">
        <v>0.0</v>
      </c>
      <c r="AM231" s="1">
        <v>529.0</v>
      </c>
      <c r="AN231" s="1">
        <v>529.0</v>
      </c>
      <c r="AO231" s="1">
        <v>529.0</v>
      </c>
      <c r="AP231" s="1">
        <v>0.203</v>
      </c>
      <c r="AR231" s="1">
        <v>0.0</v>
      </c>
      <c r="AW231" s="1">
        <v>0.0</v>
      </c>
      <c r="AX231" s="1">
        <v>2.0</v>
      </c>
      <c r="AY231" s="1">
        <v>5.0</v>
      </c>
      <c r="BA231" s="1">
        <v>0.0</v>
      </c>
      <c r="BB231" s="1">
        <v>0.0</v>
      </c>
      <c r="BC231" s="1">
        <v>0.0</v>
      </c>
      <c r="BD231" s="1">
        <v>0.0</v>
      </c>
      <c r="BE231" s="1">
        <v>0.0</v>
      </c>
      <c r="BF231" s="1">
        <v>0.0</v>
      </c>
      <c r="BG231" s="1">
        <v>0.0</v>
      </c>
      <c r="BH231" s="1">
        <v>0.0</v>
      </c>
      <c r="BI231" s="1">
        <v>0.0</v>
      </c>
      <c r="BJ231" s="1">
        <v>0.0</v>
      </c>
      <c r="BP231" s="1">
        <v>0.277</v>
      </c>
      <c r="BQ231" s="1" t="s">
        <v>1017</v>
      </c>
      <c r="BV231" s="1">
        <v>1.1</v>
      </c>
      <c r="EQ231" s="9" t="s">
        <v>1656</v>
      </c>
      <c r="ER231" s="21">
        <v>46045.29804398148</v>
      </c>
    </row>
    <row r="232">
      <c r="A232" s="9" t="s">
        <v>1657</v>
      </c>
      <c r="B232" s="20" t="str">
        <f>IFERROR(__xludf.DUMMYFUNCTION("REGEXREPLACE(A232, ""^https?://[^/]+"", """")"),"/books/7th-edition-2025-state-of-sales/")</f>
        <v>/books/7th-edition-2025-state-of-sales/</v>
      </c>
      <c r="C232" s="1" t="s">
        <v>1658</v>
      </c>
      <c r="F232" s="1" t="s">
        <v>965</v>
      </c>
      <c r="G232" s="1">
        <v>200.0</v>
      </c>
      <c r="H232" s="1" t="s">
        <v>966</v>
      </c>
      <c r="I232" s="1" t="s">
        <v>967</v>
      </c>
      <c r="K232" s="1" t="s">
        <v>1659</v>
      </c>
      <c r="L232" s="1">
        <v>65.0</v>
      </c>
      <c r="M232" s="1">
        <v>569.0</v>
      </c>
      <c r="O232" s="1">
        <v>0.0</v>
      </c>
      <c r="P232" s="1">
        <v>0.0</v>
      </c>
      <c r="Q232" s="1" t="s">
        <v>1660</v>
      </c>
      <c r="R232" s="1">
        <v>89.0</v>
      </c>
      <c r="S232" s="1">
        <v>586.0</v>
      </c>
      <c r="U232" s="1">
        <v>0.0</v>
      </c>
      <c r="V232" s="1" t="s">
        <v>1658</v>
      </c>
      <c r="W232" s="1">
        <v>32.0</v>
      </c>
      <c r="Y232" s="1">
        <v>0.0</v>
      </c>
      <c r="AA232" s="1">
        <v>0.0</v>
      </c>
      <c r="AC232" s="1">
        <v>0.0</v>
      </c>
      <c r="AD232" s="1" t="s">
        <v>971</v>
      </c>
      <c r="AG232" s="9" t="s">
        <v>1657</v>
      </c>
      <c r="AM232" s="1">
        <v>177736.0</v>
      </c>
      <c r="AN232" s="1">
        <v>35671.0</v>
      </c>
      <c r="AO232" s="1">
        <v>35671.0</v>
      </c>
      <c r="AP232" s="1">
        <v>13.665</v>
      </c>
      <c r="AR232" s="1">
        <v>579.0</v>
      </c>
      <c r="AS232" s="1">
        <v>104.0</v>
      </c>
      <c r="AT232" s="1">
        <v>5.567</v>
      </c>
      <c r="AU232" s="1">
        <v>62.084</v>
      </c>
      <c r="AV232" s="1" t="s">
        <v>990</v>
      </c>
      <c r="AW232" s="1">
        <v>3.363</v>
      </c>
      <c r="AX232" s="1">
        <v>2.0</v>
      </c>
      <c r="AY232" s="1">
        <v>2.0</v>
      </c>
      <c r="AZ232" s="1">
        <v>4.0</v>
      </c>
      <c r="BA232" s="1">
        <v>7.0</v>
      </c>
      <c r="BB232" s="1">
        <v>5.0</v>
      </c>
      <c r="BC232" s="1">
        <v>0.0</v>
      </c>
      <c r="BD232" s="1">
        <v>0.66</v>
      </c>
      <c r="BE232" s="1">
        <v>122.0</v>
      </c>
      <c r="BF232" s="1">
        <v>42.0</v>
      </c>
      <c r="BG232" s="1">
        <v>0.0</v>
      </c>
      <c r="BH232" s="1">
        <v>16.0</v>
      </c>
      <c r="BI232" s="1">
        <v>8.0</v>
      </c>
      <c r="BJ232" s="1">
        <v>0.0</v>
      </c>
      <c r="BO232" s="1" t="s">
        <v>1661</v>
      </c>
      <c r="BP232" s="1">
        <v>1.042</v>
      </c>
      <c r="BU232" s="1" t="s">
        <v>974</v>
      </c>
      <c r="BV232" s="1">
        <v>1.1</v>
      </c>
      <c r="BW232" s="1">
        <v>45.0</v>
      </c>
      <c r="BX232" s="1">
        <v>3451.024</v>
      </c>
      <c r="BY232" s="1">
        <v>6536.923</v>
      </c>
      <c r="BZ232" s="1">
        <v>8101.06</v>
      </c>
      <c r="CA232" s="1">
        <v>21599.104</v>
      </c>
      <c r="CB232" s="1">
        <v>738.5</v>
      </c>
      <c r="CC232" s="1">
        <v>0.0</v>
      </c>
      <c r="CD232" s="1">
        <v>1253893.0</v>
      </c>
      <c r="CE232" s="1">
        <v>1710.0</v>
      </c>
      <c r="CF232" s="1">
        <v>195.0</v>
      </c>
      <c r="CG232" s="1">
        <v>3738393.0</v>
      </c>
      <c r="CH232" s="1">
        <v>90349.0</v>
      </c>
      <c r="CI232" s="1">
        <v>4.0</v>
      </c>
      <c r="CJ232" s="1">
        <v>176284.0</v>
      </c>
      <c r="CK232" s="1">
        <v>30.0</v>
      </c>
      <c r="CL232" s="1">
        <v>229365.0</v>
      </c>
      <c r="CM232" s="1">
        <v>45.0</v>
      </c>
      <c r="CN232" s="1">
        <v>2536329.0</v>
      </c>
      <c r="CO232" s="1">
        <v>79.0</v>
      </c>
      <c r="CP232" s="1">
        <v>315211.0</v>
      </c>
      <c r="CQ232" s="1">
        <v>7.0</v>
      </c>
      <c r="CR232" s="1">
        <v>0.0</v>
      </c>
      <c r="CS232" s="1">
        <v>0.0</v>
      </c>
      <c r="CT232" s="1">
        <v>390855.0</v>
      </c>
      <c r="CU232" s="1">
        <v>30.0</v>
      </c>
      <c r="CV232" s="1">
        <v>2819793.0</v>
      </c>
      <c r="CW232" s="1">
        <v>81.0</v>
      </c>
      <c r="DC232" s="1">
        <v>0.0</v>
      </c>
      <c r="DD232" s="1">
        <v>5075.0</v>
      </c>
      <c r="DE232" s="1">
        <v>0.0</v>
      </c>
      <c r="DF232" s="1">
        <v>3396.0</v>
      </c>
      <c r="DG232" s="1">
        <v>510.0</v>
      </c>
      <c r="DH232" s="1">
        <v>68294.0</v>
      </c>
      <c r="DI232" s="1">
        <v>1200.0</v>
      </c>
      <c r="DJ232" s="1">
        <v>1177128.0</v>
      </c>
      <c r="DK232" s="1">
        <v>2437.598</v>
      </c>
      <c r="DL232" s="1" t="s">
        <v>975</v>
      </c>
      <c r="DM232" s="1">
        <v>3917.992</v>
      </c>
      <c r="DN232" s="1" t="s">
        <v>975</v>
      </c>
      <c r="DO232" s="1">
        <v>3737888.0</v>
      </c>
      <c r="DP232" s="1">
        <v>1.0</v>
      </c>
      <c r="DQ232" s="1" t="s">
        <v>976</v>
      </c>
      <c r="DR232" s="1" t="s">
        <v>1464</v>
      </c>
      <c r="DS232" s="1" t="s">
        <v>978</v>
      </c>
      <c r="DT232" s="1" t="s">
        <v>979</v>
      </c>
      <c r="DU232" s="1" t="s">
        <v>980</v>
      </c>
      <c r="DV232" s="1">
        <v>14296.0</v>
      </c>
      <c r="DW232" s="1">
        <v>312.0</v>
      </c>
      <c r="DX232" s="1">
        <v>3842.0</v>
      </c>
      <c r="DY232" s="1">
        <v>676844.0</v>
      </c>
      <c r="EA232" s="1">
        <v>860.0</v>
      </c>
      <c r="EB232" s="1">
        <v>40344.0</v>
      </c>
      <c r="EC232" s="1">
        <v>0.0</v>
      </c>
      <c r="ED232" s="1">
        <v>26492.0</v>
      </c>
      <c r="EF232" s="1">
        <v>230.0</v>
      </c>
      <c r="EG232" s="1" t="s">
        <v>982</v>
      </c>
      <c r="EH232" s="1">
        <v>100.0</v>
      </c>
      <c r="EK232" s="1">
        <v>100.0</v>
      </c>
      <c r="EQ232" s="9" t="s">
        <v>1657</v>
      </c>
      <c r="ER232" s="21">
        <v>46045.29803240741</v>
      </c>
    </row>
    <row r="233">
      <c r="A233" s="9" t="s">
        <v>1662</v>
      </c>
      <c r="B233" s="20" t="str">
        <f>IFERROR(__xludf.DUMMYFUNCTION("REGEXREPLACE(A233, ""^https?://[^/]+"", """")"),"/wp-content/uploads/2025/04/The-Sales-Struggle-is-Real-768x410.png")</f>
        <v>/wp-content/uploads/2025/04/The-Sales-Struggle-is-Real-768x410.png</v>
      </c>
      <c r="F233" s="1" t="s">
        <v>1047</v>
      </c>
      <c r="G233" s="1">
        <v>200.0</v>
      </c>
      <c r="H233" s="1" t="s">
        <v>966</v>
      </c>
      <c r="I233" s="1" t="s">
        <v>967</v>
      </c>
      <c r="L233" s="1">
        <v>0.0</v>
      </c>
      <c r="M233" s="1">
        <v>0.0</v>
      </c>
      <c r="O233" s="1">
        <v>0.0</v>
      </c>
      <c r="P233" s="1">
        <v>0.0</v>
      </c>
      <c r="R233" s="1">
        <v>0.0</v>
      </c>
      <c r="S233" s="1">
        <v>0.0</v>
      </c>
      <c r="U233" s="1">
        <v>0.0</v>
      </c>
      <c r="W233" s="1">
        <v>0.0</v>
      </c>
      <c r="Y233" s="1">
        <v>0.0</v>
      </c>
      <c r="AA233" s="1">
        <v>0.0</v>
      </c>
      <c r="AC233" s="1">
        <v>0.0</v>
      </c>
      <c r="AM233" s="1">
        <v>155197.0</v>
      </c>
      <c r="AN233" s="1">
        <v>155197.0</v>
      </c>
      <c r="AO233" s="1">
        <v>155197.0</v>
      </c>
      <c r="AP233" s="1">
        <v>59.453</v>
      </c>
      <c r="AR233" s="1">
        <v>0.0</v>
      </c>
      <c r="AW233" s="1">
        <v>0.0</v>
      </c>
      <c r="AX233" s="1">
        <v>2.0</v>
      </c>
      <c r="AY233" s="1">
        <v>4.0</v>
      </c>
      <c r="BA233" s="1">
        <v>0.0</v>
      </c>
      <c r="BB233" s="1">
        <v>0.0</v>
      </c>
      <c r="BC233" s="1">
        <v>0.0</v>
      </c>
      <c r="BD233" s="1">
        <v>0.0</v>
      </c>
      <c r="BE233" s="1">
        <v>0.0</v>
      </c>
      <c r="BF233" s="1">
        <v>0.0</v>
      </c>
      <c r="BG233" s="1">
        <v>0.0</v>
      </c>
      <c r="BH233" s="1">
        <v>0.0</v>
      </c>
      <c r="BI233" s="1">
        <v>0.0</v>
      </c>
      <c r="BJ233" s="1">
        <v>0.0</v>
      </c>
      <c r="BP233" s="1">
        <v>0.3</v>
      </c>
      <c r="BQ233" s="1" t="s">
        <v>1663</v>
      </c>
      <c r="BV233" s="1">
        <v>1.1</v>
      </c>
      <c r="EQ233" s="9" t="s">
        <v>1662</v>
      </c>
      <c r="ER233" s="21">
        <v>46045.29804398148</v>
      </c>
    </row>
    <row r="234">
      <c r="A234" s="9" t="s">
        <v>1664</v>
      </c>
      <c r="B234" s="20" t="str">
        <f>IFERROR(__xludf.DUMMYFUNCTION("REGEXREPLACE(A234, ""^https?://[^/]+"", """")"),"/wp-content/plugins/powerpack-elements/assets/css/min/pp-swiper.min.css?ver=2.12.15")</f>
        <v>/wp-content/plugins/powerpack-elements/assets/css/min/pp-swiper.min.css?ver=2.12.15</v>
      </c>
      <c r="F234" s="1" t="s">
        <v>1016</v>
      </c>
      <c r="G234" s="1">
        <v>200.0</v>
      </c>
      <c r="H234" s="1" t="s">
        <v>966</v>
      </c>
      <c r="I234" s="1" t="s">
        <v>967</v>
      </c>
      <c r="L234" s="1">
        <v>0.0</v>
      </c>
      <c r="M234" s="1">
        <v>0.0</v>
      </c>
      <c r="O234" s="1">
        <v>0.0</v>
      </c>
      <c r="P234" s="1">
        <v>0.0</v>
      </c>
      <c r="R234" s="1">
        <v>0.0</v>
      </c>
      <c r="S234" s="1">
        <v>0.0</v>
      </c>
      <c r="U234" s="1">
        <v>0.0</v>
      </c>
      <c r="W234" s="1">
        <v>0.0</v>
      </c>
      <c r="Y234" s="1">
        <v>0.0</v>
      </c>
      <c r="AA234" s="1">
        <v>0.0</v>
      </c>
      <c r="AC234" s="1">
        <v>0.0</v>
      </c>
      <c r="AM234" s="1">
        <v>935.0</v>
      </c>
      <c r="AN234" s="1">
        <v>935.0</v>
      </c>
      <c r="AO234" s="1">
        <v>935.0</v>
      </c>
      <c r="AP234" s="1">
        <v>0.358</v>
      </c>
      <c r="AR234" s="1">
        <v>0.0</v>
      </c>
      <c r="AW234" s="1">
        <v>0.0</v>
      </c>
      <c r="AX234" s="1">
        <v>2.0</v>
      </c>
      <c r="AY234" s="1">
        <v>6.0</v>
      </c>
      <c r="BA234" s="1">
        <v>0.0</v>
      </c>
      <c r="BB234" s="1">
        <v>0.0</v>
      </c>
      <c r="BC234" s="1">
        <v>0.0</v>
      </c>
      <c r="BD234" s="1">
        <v>0.0</v>
      </c>
      <c r="BE234" s="1">
        <v>0.0</v>
      </c>
      <c r="BF234" s="1">
        <v>0.0</v>
      </c>
      <c r="BG234" s="1">
        <v>0.0</v>
      </c>
      <c r="BH234" s="1">
        <v>0.0</v>
      </c>
      <c r="BI234" s="1">
        <v>0.0</v>
      </c>
      <c r="BJ234" s="1">
        <v>0.0</v>
      </c>
      <c r="BP234" s="1">
        <v>0.276</v>
      </c>
      <c r="BQ234" s="1" t="s">
        <v>1193</v>
      </c>
      <c r="BV234" s="1">
        <v>1.1</v>
      </c>
      <c r="EQ234" s="9" t="s">
        <v>1664</v>
      </c>
      <c r="ER234" s="21">
        <v>46045.29804398148</v>
      </c>
    </row>
    <row r="235">
      <c r="A235" s="9" t="s">
        <v>1665</v>
      </c>
      <c r="B235" s="20" t="str">
        <f>IFERROR(__xludf.DUMMYFUNCTION("REGEXREPLACE(A235, ""^https?://[^/]+"", """")"),"/wp-content/uploads/2025/05/Sales-Xceleration-State-of-Sales-2025-Flying-Blind-1024x536.png")</f>
        <v>/wp-content/uploads/2025/05/Sales-Xceleration-State-of-Sales-2025-Flying-Blind-1024x536.png</v>
      </c>
      <c r="F235" s="1" t="s">
        <v>1047</v>
      </c>
      <c r="G235" s="1">
        <v>200.0</v>
      </c>
      <c r="H235" s="1" t="s">
        <v>966</v>
      </c>
      <c r="I235" s="1" t="s">
        <v>967</v>
      </c>
      <c r="L235" s="1">
        <v>0.0</v>
      </c>
      <c r="M235" s="1">
        <v>0.0</v>
      </c>
      <c r="O235" s="1">
        <v>0.0</v>
      </c>
      <c r="P235" s="1">
        <v>0.0</v>
      </c>
      <c r="R235" s="1">
        <v>0.0</v>
      </c>
      <c r="S235" s="1">
        <v>0.0</v>
      </c>
      <c r="U235" s="1">
        <v>0.0</v>
      </c>
      <c r="W235" s="1">
        <v>0.0</v>
      </c>
      <c r="Y235" s="1">
        <v>0.0</v>
      </c>
      <c r="AA235" s="1">
        <v>0.0</v>
      </c>
      <c r="AC235" s="1">
        <v>0.0</v>
      </c>
      <c r="AM235" s="1">
        <v>160072.0</v>
      </c>
      <c r="AN235" s="1">
        <v>160072.0</v>
      </c>
      <c r="AO235" s="1">
        <v>160072.0</v>
      </c>
      <c r="AP235" s="1">
        <v>61.321</v>
      </c>
      <c r="AR235" s="1">
        <v>0.0</v>
      </c>
      <c r="AW235" s="1">
        <v>0.0</v>
      </c>
      <c r="AX235" s="1">
        <v>2.0</v>
      </c>
      <c r="AY235" s="1">
        <v>4.0</v>
      </c>
      <c r="BA235" s="1">
        <v>0.0</v>
      </c>
      <c r="BB235" s="1">
        <v>0.0</v>
      </c>
      <c r="BC235" s="1">
        <v>0.0</v>
      </c>
      <c r="BD235" s="1">
        <v>0.0</v>
      </c>
      <c r="BE235" s="1">
        <v>0.0</v>
      </c>
      <c r="BF235" s="1">
        <v>0.0</v>
      </c>
      <c r="BG235" s="1">
        <v>0.0</v>
      </c>
      <c r="BH235" s="1">
        <v>0.0</v>
      </c>
      <c r="BI235" s="1">
        <v>0.0</v>
      </c>
      <c r="BJ235" s="1">
        <v>0.0</v>
      </c>
      <c r="BP235" s="1">
        <v>0.285</v>
      </c>
      <c r="BQ235" s="1" t="s">
        <v>1666</v>
      </c>
      <c r="BV235" s="1">
        <v>1.1</v>
      </c>
      <c r="EQ235" s="9" t="s">
        <v>1665</v>
      </c>
      <c r="ER235" s="21">
        <v>46045.29804398148</v>
      </c>
    </row>
    <row r="236">
      <c r="A236" s="9" t="s">
        <v>1667</v>
      </c>
      <c r="B236" s="20" t="str">
        <f>IFERROR(__xludf.DUMMYFUNCTION("REGEXREPLACE(A236, ""^https?://[^/]+"", """")"),"/wp-content/uploads/2025/05/Sales-Analysis-Category.png")</f>
        <v>/wp-content/uploads/2025/05/Sales-Analysis-Category.png</v>
      </c>
      <c r="F236" s="1" t="s">
        <v>1047</v>
      </c>
      <c r="G236" s="1">
        <v>200.0</v>
      </c>
      <c r="H236" s="1" t="s">
        <v>966</v>
      </c>
      <c r="I236" s="1" t="s">
        <v>967</v>
      </c>
      <c r="L236" s="1">
        <v>0.0</v>
      </c>
      <c r="M236" s="1">
        <v>0.0</v>
      </c>
      <c r="O236" s="1">
        <v>0.0</v>
      </c>
      <c r="P236" s="1">
        <v>0.0</v>
      </c>
      <c r="R236" s="1">
        <v>0.0</v>
      </c>
      <c r="S236" s="1">
        <v>0.0</v>
      </c>
      <c r="U236" s="1">
        <v>0.0</v>
      </c>
      <c r="W236" s="1">
        <v>0.0</v>
      </c>
      <c r="Y236" s="1">
        <v>0.0</v>
      </c>
      <c r="AA236" s="1">
        <v>0.0</v>
      </c>
      <c r="AC236" s="1">
        <v>0.0</v>
      </c>
      <c r="AM236" s="1">
        <v>11663.0</v>
      </c>
      <c r="AN236" s="1">
        <v>11663.0</v>
      </c>
      <c r="AO236" s="1">
        <v>11663.0</v>
      </c>
      <c r="AP236" s="1">
        <v>4.468</v>
      </c>
      <c r="AR236" s="1">
        <v>0.0</v>
      </c>
      <c r="AW236" s="1">
        <v>0.0</v>
      </c>
      <c r="AX236" s="1">
        <v>2.0</v>
      </c>
      <c r="AY236" s="1">
        <v>4.0</v>
      </c>
      <c r="AZ236" s="1">
        <v>1.0</v>
      </c>
      <c r="BA236" s="1">
        <v>2.0</v>
      </c>
      <c r="BB236" s="1">
        <v>2.0</v>
      </c>
      <c r="BC236" s="1">
        <v>0.0</v>
      </c>
      <c r="BD236" s="1">
        <v>0.27</v>
      </c>
      <c r="BE236" s="1">
        <v>0.0</v>
      </c>
      <c r="BF236" s="1">
        <v>0.0</v>
      </c>
      <c r="BG236" s="1">
        <v>0.0</v>
      </c>
      <c r="BH236" s="1">
        <v>0.0</v>
      </c>
      <c r="BI236" s="1">
        <v>0.0</v>
      </c>
      <c r="BJ236" s="1">
        <v>0.0</v>
      </c>
      <c r="BP236" s="1">
        <v>0.27</v>
      </c>
      <c r="BQ236" s="1" t="s">
        <v>1668</v>
      </c>
      <c r="BV236" s="1">
        <v>1.1</v>
      </c>
      <c r="EQ236" s="9" t="s">
        <v>1667</v>
      </c>
      <c r="ER236" s="21">
        <v>46045.29804398148</v>
      </c>
    </row>
    <row r="237">
      <c r="A237" s="9" t="s">
        <v>1669</v>
      </c>
      <c r="B237" s="20" t="str">
        <f>IFERROR(__xludf.DUMMYFUNCTION("REGEXREPLACE(A237, ""^https?://[^/]+"", """")"),"/wp-content/uploads/2025/05/Sales-Xceleration-State-of-Sales-2025-Meet-Weekly-1024x536.jpg")</f>
        <v>/wp-content/uploads/2025/05/Sales-Xceleration-State-of-Sales-2025-Meet-Weekly-1024x536.jpg</v>
      </c>
      <c r="F237" s="1" t="s">
        <v>1004</v>
      </c>
      <c r="G237" s="1">
        <v>200.0</v>
      </c>
      <c r="H237" s="1" t="s">
        <v>966</v>
      </c>
      <c r="I237" s="1" t="s">
        <v>967</v>
      </c>
      <c r="L237" s="1">
        <v>0.0</v>
      </c>
      <c r="M237" s="1">
        <v>0.0</v>
      </c>
      <c r="O237" s="1">
        <v>0.0</v>
      </c>
      <c r="P237" s="1">
        <v>0.0</v>
      </c>
      <c r="R237" s="1">
        <v>0.0</v>
      </c>
      <c r="S237" s="1">
        <v>0.0</v>
      </c>
      <c r="U237" s="1">
        <v>0.0</v>
      </c>
      <c r="W237" s="1">
        <v>0.0</v>
      </c>
      <c r="Y237" s="1">
        <v>0.0</v>
      </c>
      <c r="AA237" s="1">
        <v>0.0</v>
      </c>
      <c r="AC237" s="1">
        <v>0.0</v>
      </c>
      <c r="AM237" s="1">
        <v>85670.0</v>
      </c>
      <c r="AN237" s="1">
        <v>85670.0</v>
      </c>
      <c r="AO237" s="1">
        <v>85670.0</v>
      </c>
      <c r="AP237" s="1">
        <v>32.819</v>
      </c>
      <c r="AR237" s="1">
        <v>0.0</v>
      </c>
      <c r="AW237" s="1">
        <v>0.0</v>
      </c>
      <c r="AX237" s="1">
        <v>2.0</v>
      </c>
      <c r="AY237" s="1">
        <v>4.0</v>
      </c>
      <c r="BA237" s="1">
        <v>0.0</v>
      </c>
      <c r="BB237" s="1">
        <v>0.0</v>
      </c>
      <c r="BC237" s="1">
        <v>0.0</v>
      </c>
      <c r="BD237" s="1">
        <v>0.0</v>
      </c>
      <c r="BE237" s="1">
        <v>0.0</v>
      </c>
      <c r="BF237" s="1">
        <v>0.0</v>
      </c>
      <c r="BG237" s="1">
        <v>0.0</v>
      </c>
      <c r="BH237" s="1">
        <v>0.0</v>
      </c>
      <c r="BI237" s="1">
        <v>0.0</v>
      </c>
      <c r="BJ237" s="1">
        <v>0.0</v>
      </c>
      <c r="BP237" s="1">
        <v>0.273</v>
      </c>
      <c r="BQ237" s="1" t="s">
        <v>1670</v>
      </c>
      <c r="BV237" s="1">
        <v>1.1</v>
      </c>
      <c r="EQ237" s="9" t="s">
        <v>1669</v>
      </c>
      <c r="ER237" s="21">
        <v>46045.29804398148</v>
      </c>
    </row>
    <row r="238">
      <c r="A238" s="9" t="s">
        <v>1671</v>
      </c>
      <c r="B238" s="20" t="str">
        <f>IFERROR(__xludf.DUMMYFUNCTION("REGEXREPLACE(A238, ""^https?://[^/]+"", """")"),"/wp-includes/js/dist/dom-ready.min.js?ver=f77871ff7694fffea381")</f>
        <v>/wp-includes/js/dist/dom-ready.min.js?ver=f77871ff7694fffea381</v>
      </c>
      <c r="F238" s="1" t="s">
        <v>984</v>
      </c>
      <c r="G238" s="1">
        <v>200.0</v>
      </c>
      <c r="H238" s="1" t="s">
        <v>966</v>
      </c>
      <c r="I238" s="1" t="s">
        <v>967</v>
      </c>
      <c r="L238" s="1">
        <v>0.0</v>
      </c>
      <c r="M238" s="1">
        <v>0.0</v>
      </c>
      <c r="O238" s="1">
        <v>0.0</v>
      </c>
      <c r="P238" s="1">
        <v>0.0</v>
      </c>
      <c r="R238" s="1">
        <v>0.0</v>
      </c>
      <c r="S238" s="1">
        <v>0.0</v>
      </c>
      <c r="U238" s="1">
        <v>0.0</v>
      </c>
      <c r="W238" s="1">
        <v>0.0</v>
      </c>
      <c r="Y238" s="1">
        <v>0.0</v>
      </c>
      <c r="AA238" s="1">
        <v>0.0</v>
      </c>
      <c r="AC238" s="1">
        <v>0.0</v>
      </c>
      <c r="AM238" s="1">
        <v>320.0</v>
      </c>
      <c r="AN238" s="1">
        <v>320.0</v>
      </c>
      <c r="AO238" s="1">
        <v>320.0</v>
      </c>
      <c r="AP238" s="1">
        <v>0.123</v>
      </c>
      <c r="AR238" s="1">
        <v>0.0</v>
      </c>
      <c r="AW238" s="1">
        <v>0.0</v>
      </c>
      <c r="AX238" s="1">
        <v>2.0</v>
      </c>
      <c r="AY238" s="1">
        <v>3.0</v>
      </c>
      <c r="BA238" s="1">
        <v>0.0</v>
      </c>
      <c r="BB238" s="1">
        <v>0.0</v>
      </c>
      <c r="BC238" s="1">
        <v>0.0</v>
      </c>
      <c r="BD238" s="1">
        <v>0.0</v>
      </c>
      <c r="BE238" s="1">
        <v>0.0</v>
      </c>
      <c r="BF238" s="1">
        <v>0.0</v>
      </c>
      <c r="BG238" s="1">
        <v>0.0</v>
      </c>
      <c r="BH238" s="1">
        <v>0.0</v>
      </c>
      <c r="BI238" s="1">
        <v>0.0</v>
      </c>
      <c r="BJ238" s="1">
        <v>0.0</v>
      </c>
      <c r="BP238" s="1">
        <v>0.276</v>
      </c>
      <c r="BQ238" s="1" t="s">
        <v>1672</v>
      </c>
      <c r="BV238" s="1">
        <v>1.1</v>
      </c>
      <c r="EQ238" s="9" t="s">
        <v>1671</v>
      </c>
      <c r="ER238" s="21">
        <v>46045.29804398148</v>
      </c>
    </row>
    <row r="239">
      <c r="A239" s="9" t="s">
        <v>1673</v>
      </c>
      <c r="B239" s="20" t="str">
        <f>IFERROR(__xludf.DUMMYFUNCTION("REGEXREPLACE(A239, ""^https?://[^/]+"", """")"),"/wp-content/uploads/2019/05/Sales-Xceleration-Sixth-Edition-2024_DRAFT-State-of-Sales-Small-to-Mid-Size-Businesses-1-791x1024.jpg")</f>
        <v>/wp-content/uploads/2019/05/Sales-Xceleration-Sixth-Edition-2024_DRAFT-State-of-Sales-Small-to-Mid-Size-Businesses-1-791x1024.jpg</v>
      </c>
      <c r="F239" s="1" t="s">
        <v>1004</v>
      </c>
      <c r="G239" s="1">
        <v>200.0</v>
      </c>
      <c r="H239" s="1" t="s">
        <v>966</v>
      </c>
      <c r="I239" s="1" t="s">
        <v>967</v>
      </c>
      <c r="L239" s="1">
        <v>0.0</v>
      </c>
      <c r="M239" s="1">
        <v>0.0</v>
      </c>
      <c r="O239" s="1">
        <v>0.0</v>
      </c>
      <c r="P239" s="1">
        <v>0.0</v>
      </c>
      <c r="R239" s="1">
        <v>0.0</v>
      </c>
      <c r="S239" s="1">
        <v>0.0</v>
      </c>
      <c r="U239" s="1">
        <v>0.0</v>
      </c>
      <c r="W239" s="1">
        <v>0.0</v>
      </c>
      <c r="Y239" s="1">
        <v>0.0</v>
      </c>
      <c r="AA239" s="1">
        <v>0.0</v>
      </c>
      <c r="AC239" s="1">
        <v>0.0</v>
      </c>
      <c r="AM239" s="1">
        <v>102324.0</v>
      </c>
      <c r="AN239" s="1">
        <v>102324.0</v>
      </c>
      <c r="AO239" s="1">
        <v>102324.0</v>
      </c>
      <c r="AP239" s="1">
        <v>39.198</v>
      </c>
      <c r="AR239" s="1">
        <v>0.0</v>
      </c>
      <c r="AW239" s="1">
        <v>0.0</v>
      </c>
      <c r="AX239" s="1">
        <v>2.0</v>
      </c>
      <c r="AY239" s="1">
        <v>4.0</v>
      </c>
      <c r="BA239" s="1">
        <v>0.0</v>
      </c>
      <c r="BB239" s="1">
        <v>0.0</v>
      </c>
      <c r="BC239" s="1">
        <v>0.0</v>
      </c>
      <c r="BD239" s="1">
        <v>0.0</v>
      </c>
      <c r="BE239" s="1">
        <v>0.0</v>
      </c>
      <c r="BF239" s="1">
        <v>0.0</v>
      </c>
      <c r="BG239" s="1">
        <v>0.0</v>
      </c>
      <c r="BH239" s="1">
        <v>0.0</v>
      </c>
      <c r="BI239" s="1">
        <v>0.0</v>
      </c>
      <c r="BJ239" s="1">
        <v>0.0</v>
      </c>
      <c r="BP239" s="1">
        <v>0.299</v>
      </c>
      <c r="BQ239" s="1" t="s">
        <v>1674</v>
      </c>
      <c r="BV239" s="1">
        <v>1.1</v>
      </c>
      <c r="EQ239" s="9" t="s">
        <v>1673</v>
      </c>
      <c r="ER239" s="21">
        <v>46045.29804398148</v>
      </c>
    </row>
    <row r="240">
      <c r="A240" s="9" t="s">
        <v>1675</v>
      </c>
      <c r="B240" s="20" t="str">
        <f>IFERROR(__xludf.DUMMYFUNCTION("REGEXREPLACE(A240, ""^https?://[^/]+"", """")"),"/wp-content/uploads/elementor/thumbs/Hiring-Sales-Talent-in-a-Slow-Economy-1024x683-1-rebopkih3p4bwb060zhyf6pih063uo1cawd79294gc.jpg")</f>
        <v>/wp-content/uploads/elementor/thumbs/Hiring-Sales-Talent-in-a-Slow-Economy-1024x683-1-rebopkih3p4bwb060zhyf6pih063uo1cawd79294gc.jpg</v>
      </c>
      <c r="F240" s="1" t="s">
        <v>1004</v>
      </c>
      <c r="G240" s="1">
        <v>200.0</v>
      </c>
      <c r="H240" s="1" t="s">
        <v>966</v>
      </c>
      <c r="I240" s="1" t="s">
        <v>967</v>
      </c>
      <c r="L240" s="1">
        <v>0.0</v>
      </c>
      <c r="M240" s="1">
        <v>0.0</v>
      </c>
      <c r="O240" s="1">
        <v>0.0</v>
      </c>
      <c r="P240" s="1">
        <v>0.0</v>
      </c>
      <c r="R240" s="1">
        <v>0.0</v>
      </c>
      <c r="S240" s="1">
        <v>0.0</v>
      </c>
      <c r="U240" s="1">
        <v>0.0</v>
      </c>
      <c r="W240" s="1">
        <v>0.0</v>
      </c>
      <c r="Y240" s="1">
        <v>0.0</v>
      </c>
      <c r="AA240" s="1">
        <v>0.0</v>
      </c>
      <c r="AC240" s="1">
        <v>0.0</v>
      </c>
      <c r="AM240" s="1">
        <v>63234.0</v>
      </c>
      <c r="AN240" s="1">
        <v>63234.0</v>
      </c>
      <c r="AO240" s="1">
        <v>63234.0</v>
      </c>
      <c r="AP240" s="1">
        <v>24.224</v>
      </c>
      <c r="AR240" s="1">
        <v>0.0</v>
      </c>
      <c r="AW240" s="1">
        <v>0.0</v>
      </c>
      <c r="AX240" s="1">
        <v>2.0</v>
      </c>
      <c r="AY240" s="1">
        <v>4.0</v>
      </c>
      <c r="BA240" s="1">
        <v>0.0</v>
      </c>
      <c r="BB240" s="1">
        <v>0.0</v>
      </c>
      <c r="BC240" s="1">
        <v>0.0</v>
      </c>
      <c r="BD240" s="1">
        <v>0.0</v>
      </c>
      <c r="BE240" s="1">
        <v>0.0</v>
      </c>
      <c r="BF240" s="1">
        <v>0.0</v>
      </c>
      <c r="BG240" s="1">
        <v>0.0</v>
      </c>
      <c r="BH240" s="1">
        <v>0.0</v>
      </c>
      <c r="BI240" s="1">
        <v>0.0</v>
      </c>
      <c r="BJ240" s="1">
        <v>0.0</v>
      </c>
      <c r="BP240" s="1">
        <v>0.252</v>
      </c>
      <c r="BQ240" s="1" t="s">
        <v>1676</v>
      </c>
      <c r="BV240" s="1">
        <v>1.1</v>
      </c>
      <c r="EQ240" s="9" t="s">
        <v>1675</v>
      </c>
      <c r="ER240" s="21">
        <v>46045.298055555555</v>
      </c>
    </row>
    <row r="241">
      <c r="A241" s="9" t="s">
        <v>1677</v>
      </c>
      <c r="B241" s="20" t="str">
        <f>IFERROR(__xludf.DUMMYFUNCTION("REGEXREPLACE(A241, ""^https?://[^/]+"", """")"),"/wp-content/uploads/2025/04/Sales-Xceleration-State-of-Sales-2025-Playbook-1024x536.png")</f>
        <v>/wp-content/uploads/2025/04/Sales-Xceleration-State-of-Sales-2025-Playbook-1024x536.png</v>
      </c>
      <c r="F241" s="1" t="s">
        <v>1047</v>
      </c>
      <c r="G241" s="1">
        <v>200.0</v>
      </c>
      <c r="H241" s="1" t="s">
        <v>966</v>
      </c>
      <c r="I241" s="1" t="s">
        <v>967</v>
      </c>
      <c r="L241" s="1">
        <v>0.0</v>
      </c>
      <c r="M241" s="1">
        <v>0.0</v>
      </c>
      <c r="O241" s="1">
        <v>0.0</v>
      </c>
      <c r="P241" s="1">
        <v>0.0</v>
      </c>
      <c r="R241" s="1">
        <v>0.0</v>
      </c>
      <c r="S241" s="1">
        <v>0.0</v>
      </c>
      <c r="U241" s="1">
        <v>0.0</v>
      </c>
      <c r="W241" s="1">
        <v>0.0</v>
      </c>
      <c r="Y241" s="1">
        <v>0.0</v>
      </c>
      <c r="AA241" s="1">
        <v>0.0</v>
      </c>
      <c r="AC241" s="1">
        <v>0.0</v>
      </c>
      <c r="AM241" s="1">
        <v>136798.0</v>
      </c>
      <c r="AN241" s="1">
        <v>136798.0</v>
      </c>
      <c r="AO241" s="1">
        <v>136798.0</v>
      </c>
      <c r="AP241" s="1">
        <v>52.405</v>
      </c>
      <c r="AR241" s="1">
        <v>0.0</v>
      </c>
      <c r="AW241" s="1">
        <v>0.0</v>
      </c>
      <c r="AX241" s="1">
        <v>2.0</v>
      </c>
      <c r="AY241" s="1">
        <v>4.0</v>
      </c>
      <c r="BA241" s="1">
        <v>0.0</v>
      </c>
      <c r="BB241" s="1">
        <v>0.0</v>
      </c>
      <c r="BC241" s="1">
        <v>0.0</v>
      </c>
      <c r="BD241" s="1">
        <v>0.0</v>
      </c>
      <c r="BE241" s="1">
        <v>0.0</v>
      </c>
      <c r="BF241" s="1">
        <v>0.0</v>
      </c>
      <c r="BG241" s="1">
        <v>0.0</v>
      </c>
      <c r="BH241" s="1">
        <v>0.0</v>
      </c>
      <c r="BI241" s="1">
        <v>0.0</v>
      </c>
      <c r="BJ241" s="1">
        <v>0.0</v>
      </c>
      <c r="BP241" s="1">
        <v>0.271</v>
      </c>
      <c r="BQ241" s="1" t="s">
        <v>1678</v>
      </c>
      <c r="BV241" s="1">
        <v>1.1</v>
      </c>
      <c r="EQ241" s="9" t="s">
        <v>1677</v>
      </c>
      <c r="ER241" s="21">
        <v>46045.298055555555</v>
      </c>
    </row>
    <row r="242">
      <c r="A242" s="9" t="s">
        <v>1679</v>
      </c>
      <c r="B242" s="20" t="str">
        <f>IFERROR(__xludf.DUMMYFUNCTION("REGEXREPLACE(A242, ""^https?://[^/]+"", """")"),"/wp-content/uploads/2025/11/pe.jpg")</f>
        <v>/wp-content/uploads/2025/11/pe.jpg</v>
      </c>
      <c r="F242" s="1" t="s">
        <v>1004</v>
      </c>
      <c r="G242" s="1">
        <v>200.0</v>
      </c>
      <c r="H242" s="1" t="s">
        <v>966</v>
      </c>
      <c r="I242" s="1" t="s">
        <v>967</v>
      </c>
      <c r="L242" s="1">
        <v>0.0</v>
      </c>
      <c r="M242" s="1">
        <v>0.0</v>
      </c>
      <c r="O242" s="1">
        <v>0.0</v>
      </c>
      <c r="P242" s="1">
        <v>0.0</v>
      </c>
      <c r="R242" s="1">
        <v>0.0</v>
      </c>
      <c r="S242" s="1">
        <v>0.0</v>
      </c>
      <c r="U242" s="1">
        <v>0.0</v>
      </c>
      <c r="W242" s="1">
        <v>0.0</v>
      </c>
      <c r="Y242" s="1">
        <v>0.0</v>
      </c>
      <c r="AA242" s="1">
        <v>0.0</v>
      </c>
      <c r="AC242" s="1">
        <v>0.0</v>
      </c>
      <c r="AM242" s="1">
        <v>938713.0</v>
      </c>
      <c r="AN242" s="1">
        <v>938713.0</v>
      </c>
      <c r="AO242" s="1">
        <v>938713.0</v>
      </c>
      <c r="AP242" s="1">
        <v>359.603</v>
      </c>
      <c r="AR242" s="1">
        <v>0.0</v>
      </c>
      <c r="AW242" s="1">
        <v>0.0</v>
      </c>
      <c r="AX242" s="1">
        <v>2.0</v>
      </c>
      <c r="AY242" s="1">
        <v>4.0</v>
      </c>
      <c r="BA242" s="1">
        <v>0.0</v>
      </c>
      <c r="BB242" s="1">
        <v>0.0</v>
      </c>
      <c r="BC242" s="1">
        <v>0.0</v>
      </c>
      <c r="BD242" s="1">
        <v>0.0</v>
      </c>
      <c r="BE242" s="1">
        <v>0.0</v>
      </c>
      <c r="BF242" s="1">
        <v>0.0</v>
      </c>
      <c r="BG242" s="1">
        <v>0.0</v>
      </c>
      <c r="BH242" s="1">
        <v>0.0</v>
      </c>
      <c r="BI242" s="1">
        <v>0.0</v>
      </c>
      <c r="BJ242" s="1">
        <v>0.0</v>
      </c>
      <c r="BP242" s="1">
        <v>0.287</v>
      </c>
      <c r="BQ242" s="1" t="s">
        <v>1680</v>
      </c>
      <c r="BV242" s="1">
        <v>1.1</v>
      </c>
      <c r="EQ242" s="9" t="s">
        <v>1679</v>
      </c>
      <c r="ER242" s="21">
        <v>46045.298055555555</v>
      </c>
    </row>
    <row r="243">
      <c r="A243" s="9" t="s">
        <v>1681</v>
      </c>
      <c r="B243" s="20" t="str">
        <f>IFERROR(__xludf.DUMMYFUNCTION("REGEXREPLACE(A243, ""^https?://[^/]+"", """")"),"/wp-content/uploads/2025/07/technology.jpg")</f>
        <v>/wp-content/uploads/2025/07/technology.jpg</v>
      </c>
      <c r="F243" s="1" t="s">
        <v>1004</v>
      </c>
      <c r="G243" s="1">
        <v>200.0</v>
      </c>
      <c r="H243" s="1" t="s">
        <v>966</v>
      </c>
      <c r="I243" s="1" t="s">
        <v>967</v>
      </c>
      <c r="L243" s="1">
        <v>0.0</v>
      </c>
      <c r="M243" s="1">
        <v>0.0</v>
      </c>
      <c r="O243" s="1">
        <v>0.0</v>
      </c>
      <c r="P243" s="1">
        <v>0.0</v>
      </c>
      <c r="R243" s="1">
        <v>0.0</v>
      </c>
      <c r="S243" s="1">
        <v>0.0</v>
      </c>
      <c r="U243" s="1">
        <v>0.0</v>
      </c>
      <c r="W243" s="1">
        <v>0.0</v>
      </c>
      <c r="Y243" s="1">
        <v>0.0</v>
      </c>
      <c r="AA243" s="1">
        <v>0.0</v>
      </c>
      <c r="AC243" s="1">
        <v>0.0</v>
      </c>
      <c r="AM243" s="1">
        <v>230989.0</v>
      </c>
      <c r="AN243" s="1">
        <v>230989.0</v>
      </c>
      <c r="AO243" s="1">
        <v>230989.0</v>
      </c>
      <c r="AP243" s="1">
        <v>88.487</v>
      </c>
      <c r="AR243" s="1">
        <v>0.0</v>
      </c>
      <c r="AW243" s="1">
        <v>0.0</v>
      </c>
      <c r="AX243" s="1">
        <v>2.0</v>
      </c>
      <c r="AY243" s="1">
        <v>4.0</v>
      </c>
      <c r="BA243" s="1">
        <v>0.0</v>
      </c>
      <c r="BB243" s="1">
        <v>0.0</v>
      </c>
      <c r="BC243" s="1">
        <v>0.0</v>
      </c>
      <c r="BD243" s="1">
        <v>0.0</v>
      </c>
      <c r="BE243" s="1">
        <v>0.0</v>
      </c>
      <c r="BF243" s="1">
        <v>0.0</v>
      </c>
      <c r="BG243" s="1">
        <v>0.0</v>
      </c>
      <c r="BH243" s="1">
        <v>0.0</v>
      </c>
      <c r="BI243" s="1">
        <v>0.0</v>
      </c>
      <c r="BJ243" s="1">
        <v>0.0</v>
      </c>
      <c r="BP243" s="1">
        <v>0.301</v>
      </c>
      <c r="BQ243" s="1" t="s">
        <v>1682</v>
      </c>
      <c r="BV243" s="1">
        <v>1.1</v>
      </c>
      <c r="EQ243" s="9" t="s">
        <v>1681</v>
      </c>
      <c r="ER243" s="21">
        <v>46045.298055555555</v>
      </c>
    </row>
    <row r="244">
      <c r="A244" s="9" t="s">
        <v>1683</v>
      </c>
      <c r="B244" s="20" t="str">
        <f>IFERROR(__xludf.DUMMYFUNCTION("REGEXREPLACE(A244, ""^https?://[^/]+"", """")"),"/wp-content/uploads/2025/07/Q6M3AYIRXNGMTNWNEGQPJPJMAQ.jpg")</f>
        <v>/wp-content/uploads/2025/07/Q6M3AYIRXNGMTNWNEGQPJPJMAQ.jpg</v>
      </c>
      <c r="F244" s="1" t="s">
        <v>1004</v>
      </c>
      <c r="G244" s="1">
        <v>200.0</v>
      </c>
      <c r="H244" s="1" t="s">
        <v>966</v>
      </c>
      <c r="I244" s="1" t="s">
        <v>967</v>
      </c>
      <c r="L244" s="1">
        <v>0.0</v>
      </c>
      <c r="M244" s="1">
        <v>0.0</v>
      </c>
      <c r="O244" s="1">
        <v>0.0</v>
      </c>
      <c r="P244" s="1">
        <v>0.0</v>
      </c>
      <c r="R244" s="1">
        <v>0.0</v>
      </c>
      <c r="S244" s="1">
        <v>0.0</v>
      </c>
      <c r="U244" s="1">
        <v>0.0</v>
      </c>
      <c r="W244" s="1">
        <v>0.0</v>
      </c>
      <c r="Y244" s="1">
        <v>0.0</v>
      </c>
      <c r="AA244" s="1">
        <v>0.0</v>
      </c>
      <c r="AC244" s="1">
        <v>0.0</v>
      </c>
      <c r="AM244" s="1">
        <v>159991.0</v>
      </c>
      <c r="AN244" s="1">
        <v>159991.0</v>
      </c>
      <c r="AO244" s="1">
        <v>159991.0</v>
      </c>
      <c r="AP244" s="1">
        <v>61.29</v>
      </c>
      <c r="AR244" s="1">
        <v>0.0</v>
      </c>
      <c r="AW244" s="1">
        <v>0.0</v>
      </c>
      <c r="AX244" s="1">
        <v>2.0</v>
      </c>
      <c r="AY244" s="1">
        <v>4.0</v>
      </c>
      <c r="BA244" s="1">
        <v>0.0</v>
      </c>
      <c r="BB244" s="1">
        <v>0.0</v>
      </c>
      <c r="BC244" s="1">
        <v>0.0</v>
      </c>
      <c r="BD244" s="1">
        <v>0.0</v>
      </c>
      <c r="BE244" s="1">
        <v>0.0</v>
      </c>
      <c r="BF244" s="1">
        <v>0.0</v>
      </c>
      <c r="BG244" s="1">
        <v>0.0</v>
      </c>
      <c r="BH244" s="1">
        <v>0.0</v>
      </c>
      <c r="BI244" s="1">
        <v>0.0</v>
      </c>
      <c r="BJ244" s="1">
        <v>0.0</v>
      </c>
      <c r="BP244" s="1">
        <v>0.28</v>
      </c>
      <c r="BQ244" s="1" t="s">
        <v>1684</v>
      </c>
      <c r="BV244" s="1">
        <v>1.1</v>
      </c>
      <c r="EQ244" s="9" t="s">
        <v>1683</v>
      </c>
      <c r="ER244" s="21">
        <v>46045.298055555555</v>
      </c>
    </row>
    <row r="245">
      <c r="A245" s="9" t="s">
        <v>1685</v>
      </c>
      <c r="B245" s="20" t="str">
        <f>IFERROR(__xludf.DUMMYFUNCTION("REGEXREPLACE(A245, ""^https?://[^/]+"", """")"),"/wp-content/uploads/2025/07/Business-Executive-on-Manufaturing-Floor-1024x576.jpg.webp")</f>
        <v>/wp-content/uploads/2025/07/Business-Executive-on-Manufaturing-Floor-1024x576.jpg.webp</v>
      </c>
      <c r="F245" s="1" t="s">
        <v>1575</v>
      </c>
      <c r="G245" s="1">
        <v>200.0</v>
      </c>
      <c r="H245" s="1" t="s">
        <v>966</v>
      </c>
      <c r="I245" s="1" t="s">
        <v>967</v>
      </c>
      <c r="L245" s="1">
        <v>0.0</v>
      </c>
      <c r="M245" s="1">
        <v>0.0</v>
      </c>
      <c r="O245" s="1">
        <v>0.0</v>
      </c>
      <c r="P245" s="1">
        <v>0.0</v>
      </c>
      <c r="R245" s="1">
        <v>0.0</v>
      </c>
      <c r="S245" s="1">
        <v>0.0</v>
      </c>
      <c r="U245" s="1">
        <v>0.0</v>
      </c>
      <c r="W245" s="1">
        <v>0.0</v>
      </c>
      <c r="Y245" s="1">
        <v>0.0</v>
      </c>
      <c r="AA245" s="1">
        <v>0.0</v>
      </c>
      <c r="AC245" s="1">
        <v>0.0</v>
      </c>
      <c r="AM245" s="1">
        <v>31730.0</v>
      </c>
      <c r="AN245" s="1">
        <v>31730.0</v>
      </c>
      <c r="AO245" s="1">
        <v>31730.0</v>
      </c>
      <c r="AP245" s="1">
        <v>12.155</v>
      </c>
      <c r="AR245" s="1">
        <v>0.0</v>
      </c>
      <c r="AW245" s="1">
        <v>0.0</v>
      </c>
      <c r="AX245" s="1">
        <v>2.0</v>
      </c>
      <c r="AY245" s="1">
        <v>4.0</v>
      </c>
      <c r="BA245" s="1">
        <v>0.0</v>
      </c>
      <c r="BB245" s="1">
        <v>0.0</v>
      </c>
      <c r="BC245" s="1">
        <v>0.0</v>
      </c>
      <c r="BD245" s="1">
        <v>0.0</v>
      </c>
      <c r="BE245" s="1">
        <v>0.0</v>
      </c>
      <c r="BF245" s="1">
        <v>0.0</v>
      </c>
      <c r="BG245" s="1">
        <v>0.0</v>
      </c>
      <c r="BH245" s="1">
        <v>0.0</v>
      </c>
      <c r="BI245" s="1">
        <v>0.0</v>
      </c>
      <c r="BJ245" s="1">
        <v>0.0</v>
      </c>
      <c r="BP245" s="1">
        <v>0.278</v>
      </c>
      <c r="BQ245" s="1" t="s">
        <v>1686</v>
      </c>
      <c r="BV245" s="1">
        <v>1.1</v>
      </c>
      <c r="EQ245" s="9" t="s">
        <v>1685</v>
      </c>
      <c r="ER245" s="21">
        <v>46045.298055555555</v>
      </c>
    </row>
    <row r="246">
      <c r="A246" s="9" t="s">
        <v>1687</v>
      </c>
      <c r="B246" s="20" t="str">
        <f>IFERROR(__xludf.DUMMYFUNCTION("REGEXREPLACE(A246, ""^https?://[^/]+"", """")"),"/wp-content/uploads/elementor/css/post-72648.css?ver=1768846234")</f>
        <v>/wp-content/uploads/elementor/css/post-72648.css?ver=1768846234</v>
      </c>
      <c r="F246" s="1" t="s">
        <v>1016</v>
      </c>
      <c r="G246" s="1">
        <v>200.0</v>
      </c>
      <c r="H246" s="1" t="s">
        <v>966</v>
      </c>
      <c r="I246" s="1" t="s">
        <v>967</v>
      </c>
      <c r="L246" s="1">
        <v>0.0</v>
      </c>
      <c r="M246" s="1">
        <v>0.0</v>
      </c>
      <c r="O246" s="1">
        <v>0.0</v>
      </c>
      <c r="P246" s="1">
        <v>0.0</v>
      </c>
      <c r="R246" s="1">
        <v>0.0</v>
      </c>
      <c r="S246" s="1">
        <v>0.0</v>
      </c>
      <c r="U246" s="1">
        <v>0.0</v>
      </c>
      <c r="W246" s="1">
        <v>0.0</v>
      </c>
      <c r="Y246" s="1">
        <v>0.0</v>
      </c>
      <c r="AA246" s="1">
        <v>0.0</v>
      </c>
      <c r="AC246" s="1">
        <v>0.0</v>
      </c>
      <c r="AM246" s="1">
        <v>3941.0</v>
      </c>
      <c r="AN246" s="1">
        <v>3941.0</v>
      </c>
      <c r="AO246" s="1">
        <v>3941.0</v>
      </c>
      <c r="AP246" s="1">
        <v>1.51</v>
      </c>
      <c r="AR246" s="1">
        <v>0.0</v>
      </c>
      <c r="AW246" s="1">
        <v>0.0</v>
      </c>
      <c r="AX246" s="1">
        <v>2.0</v>
      </c>
      <c r="AY246" s="1">
        <v>4.0</v>
      </c>
      <c r="BA246" s="1">
        <v>0.0</v>
      </c>
      <c r="BB246" s="1">
        <v>0.0</v>
      </c>
      <c r="BC246" s="1">
        <v>0.0</v>
      </c>
      <c r="BD246" s="1">
        <v>0.0</v>
      </c>
      <c r="BE246" s="1">
        <v>0.0</v>
      </c>
      <c r="BF246" s="1">
        <v>0.0</v>
      </c>
      <c r="BG246" s="1">
        <v>0.0</v>
      </c>
      <c r="BH246" s="1">
        <v>0.0</v>
      </c>
      <c r="BI246" s="1">
        <v>0.0</v>
      </c>
      <c r="BJ246" s="1">
        <v>0.0</v>
      </c>
      <c r="BP246" s="1">
        <v>0.298</v>
      </c>
      <c r="BQ246" s="1" t="s">
        <v>1688</v>
      </c>
      <c r="BV246" s="1">
        <v>1.1</v>
      </c>
      <c r="EQ246" s="9" t="s">
        <v>1687</v>
      </c>
      <c r="ER246" s="21">
        <v>46045.298055555555</v>
      </c>
    </row>
    <row r="247">
      <c r="A247" s="9" t="s">
        <v>1689</v>
      </c>
      <c r="B247" s="20" t="str">
        <f>IFERROR(__xludf.DUMMYFUNCTION("REGEXREPLACE(A247, ""^https?://[^/]+"", """")"),"/wp-content/uploads/2025/02/Private-Equity-Healthcare-Managed-Services.jpg")</f>
        <v>/wp-content/uploads/2025/02/Private-Equity-Healthcare-Managed-Services.jpg</v>
      </c>
      <c r="F247" s="1" t="s">
        <v>1004</v>
      </c>
      <c r="G247" s="1">
        <v>200.0</v>
      </c>
      <c r="H247" s="1" t="s">
        <v>966</v>
      </c>
      <c r="I247" s="1" t="s">
        <v>967</v>
      </c>
      <c r="L247" s="1">
        <v>0.0</v>
      </c>
      <c r="M247" s="1">
        <v>0.0</v>
      </c>
      <c r="O247" s="1">
        <v>0.0</v>
      </c>
      <c r="P247" s="1">
        <v>0.0</v>
      </c>
      <c r="R247" s="1">
        <v>0.0</v>
      </c>
      <c r="S247" s="1">
        <v>0.0</v>
      </c>
      <c r="U247" s="1">
        <v>0.0</v>
      </c>
      <c r="W247" s="1">
        <v>0.0</v>
      </c>
      <c r="Y247" s="1">
        <v>0.0</v>
      </c>
      <c r="AA247" s="1">
        <v>0.0</v>
      </c>
      <c r="AC247" s="1">
        <v>0.0</v>
      </c>
      <c r="AM247" s="1">
        <v>322456.0</v>
      </c>
      <c r="AN247" s="1">
        <v>322456.0</v>
      </c>
      <c r="AO247" s="1">
        <v>322456.0</v>
      </c>
      <c r="AP247" s="1">
        <v>123.527</v>
      </c>
      <c r="AR247" s="1">
        <v>0.0</v>
      </c>
      <c r="AW247" s="1">
        <v>0.0</v>
      </c>
      <c r="AX247" s="1">
        <v>2.0</v>
      </c>
      <c r="AY247" s="1">
        <v>4.0</v>
      </c>
      <c r="BA247" s="1">
        <v>0.0</v>
      </c>
      <c r="BB247" s="1">
        <v>0.0</v>
      </c>
      <c r="BC247" s="1">
        <v>0.0</v>
      </c>
      <c r="BD247" s="1">
        <v>0.0</v>
      </c>
      <c r="BE247" s="1">
        <v>0.0</v>
      </c>
      <c r="BF247" s="1">
        <v>0.0</v>
      </c>
      <c r="BG247" s="1">
        <v>0.0</v>
      </c>
      <c r="BH247" s="1">
        <v>0.0</v>
      </c>
      <c r="BI247" s="1">
        <v>0.0</v>
      </c>
      <c r="BJ247" s="1">
        <v>0.0</v>
      </c>
      <c r="BP247" s="1">
        <v>0.325</v>
      </c>
      <c r="BQ247" s="1" t="s">
        <v>1690</v>
      </c>
      <c r="BV247" s="1">
        <v>1.1</v>
      </c>
      <c r="EQ247" s="9" t="s">
        <v>1689</v>
      </c>
      <c r="ER247" s="21">
        <v>46045.298055555555</v>
      </c>
    </row>
    <row r="248">
      <c r="A248" s="9" t="s">
        <v>1691</v>
      </c>
      <c r="B248" s="20" t="str">
        <f>IFERROR(__xludf.DUMMYFUNCTION("REGEXREPLACE(A248, ""^https?://[^/]+"", """")"),"/wp-content/plugins/powerpack-elements/assets/js/min/frontend-accordion.min.js?ver=2.12.15")</f>
        <v>/wp-content/plugins/powerpack-elements/assets/js/min/frontend-accordion.min.js?ver=2.12.15</v>
      </c>
      <c r="F248" s="1" t="s">
        <v>984</v>
      </c>
      <c r="G248" s="1">
        <v>200.0</v>
      </c>
      <c r="H248" s="1" t="s">
        <v>966</v>
      </c>
      <c r="I248" s="1" t="s">
        <v>967</v>
      </c>
      <c r="L248" s="1">
        <v>0.0</v>
      </c>
      <c r="M248" s="1">
        <v>0.0</v>
      </c>
      <c r="O248" s="1">
        <v>0.0</v>
      </c>
      <c r="P248" s="1">
        <v>0.0</v>
      </c>
      <c r="R248" s="1">
        <v>0.0</v>
      </c>
      <c r="S248" s="1">
        <v>0.0</v>
      </c>
      <c r="U248" s="1">
        <v>0.0</v>
      </c>
      <c r="W248" s="1">
        <v>0.0</v>
      </c>
      <c r="Y248" s="1">
        <v>0.0</v>
      </c>
      <c r="AA248" s="1">
        <v>0.0</v>
      </c>
      <c r="AC248" s="1">
        <v>0.0</v>
      </c>
      <c r="AM248" s="1">
        <v>810.0</v>
      </c>
      <c r="AN248" s="1">
        <v>810.0</v>
      </c>
      <c r="AO248" s="1">
        <v>810.0</v>
      </c>
      <c r="AP248" s="1">
        <v>0.31</v>
      </c>
      <c r="AR248" s="1">
        <v>0.0</v>
      </c>
      <c r="AW248" s="1">
        <v>0.0</v>
      </c>
      <c r="AX248" s="1">
        <v>2.0</v>
      </c>
      <c r="AY248" s="1">
        <v>6.0</v>
      </c>
      <c r="BA248" s="1">
        <v>0.0</v>
      </c>
      <c r="BB248" s="1">
        <v>0.0</v>
      </c>
      <c r="BC248" s="1">
        <v>0.0</v>
      </c>
      <c r="BD248" s="1">
        <v>0.0</v>
      </c>
      <c r="BE248" s="1">
        <v>0.0</v>
      </c>
      <c r="BF248" s="1">
        <v>0.0</v>
      </c>
      <c r="BG248" s="1">
        <v>0.0</v>
      </c>
      <c r="BH248" s="1">
        <v>0.0</v>
      </c>
      <c r="BI248" s="1">
        <v>0.0</v>
      </c>
      <c r="BJ248" s="1">
        <v>0.0</v>
      </c>
      <c r="BP248" s="1">
        <v>0.266</v>
      </c>
      <c r="BQ248" s="1" t="s">
        <v>1193</v>
      </c>
      <c r="BV248" s="1">
        <v>1.1</v>
      </c>
      <c r="EQ248" s="9" t="s">
        <v>1691</v>
      </c>
      <c r="ER248" s="21">
        <v>46045.298055555555</v>
      </c>
    </row>
    <row r="249">
      <c r="A249" s="9" t="s">
        <v>1692</v>
      </c>
      <c r="B249" s="20" t="str">
        <f>IFERROR(__xludf.DUMMYFUNCTION("REGEXREPLACE(A249, ""^https?://[^/]+"", """")"),"/wp-content/plugins/powerpack-elements/assets/css/min/widget-advanced-accordion.min.css?ver=2.12.15")</f>
        <v>/wp-content/plugins/powerpack-elements/assets/css/min/widget-advanced-accordion.min.css?ver=2.12.15</v>
      </c>
      <c r="F249" s="1" t="s">
        <v>1016</v>
      </c>
      <c r="G249" s="1">
        <v>200.0</v>
      </c>
      <c r="H249" s="1" t="s">
        <v>966</v>
      </c>
      <c r="I249" s="1" t="s">
        <v>967</v>
      </c>
      <c r="L249" s="1">
        <v>0.0</v>
      </c>
      <c r="M249" s="1">
        <v>0.0</v>
      </c>
      <c r="O249" s="1">
        <v>0.0</v>
      </c>
      <c r="P249" s="1">
        <v>0.0</v>
      </c>
      <c r="R249" s="1">
        <v>0.0</v>
      </c>
      <c r="S249" s="1">
        <v>0.0</v>
      </c>
      <c r="U249" s="1">
        <v>0.0</v>
      </c>
      <c r="W249" s="1">
        <v>0.0</v>
      </c>
      <c r="Y249" s="1">
        <v>0.0</v>
      </c>
      <c r="AA249" s="1">
        <v>0.0</v>
      </c>
      <c r="AC249" s="1">
        <v>0.0</v>
      </c>
      <c r="AM249" s="1">
        <v>549.0</v>
      </c>
      <c r="AN249" s="1">
        <v>549.0</v>
      </c>
      <c r="AO249" s="1">
        <v>549.0</v>
      </c>
      <c r="AP249" s="1">
        <v>0.21</v>
      </c>
      <c r="AR249" s="1">
        <v>0.0</v>
      </c>
      <c r="AW249" s="1">
        <v>0.0</v>
      </c>
      <c r="AX249" s="1">
        <v>2.0</v>
      </c>
      <c r="AY249" s="1">
        <v>6.0</v>
      </c>
      <c r="BA249" s="1">
        <v>0.0</v>
      </c>
      <c r="BB249" s="1">
        <v>0.0</v>
      </c>
      <c r="BC249" s="1">
        <v>0.0</v>
      </c>
      <c r="BD249" s="1">
        <v>0.0</v>
      </c>
      <c r="BE249" s="1">
        <v>0.0</v>
      </c>
      <c r="BF249" s="1">
        <v>0.0</v>
      </c>
      <c r="BG249" s="1">
        <v>0.0</v>
      </c>
      <c r="BH249" s="1">
        <v>0.0</v>
      </c>
      <c r="BI249" s="1">
        <v>0.0</v>
      </c>
      <c r="BJ249" s="1">
        <v>0.0</v>
      </c>
      <c r="BP249" s="1">
        <v>0.298</v>
      </c>
      <c r="BQ249" s="1" t="s">
        <v>1193</v>
      </c>
      <c r="BV249" s="1">
        <v>1.1</v>
      </c>
      <c r="EQ249" s="9" t="s">
        <v>1692</v>
      </c>
      <c r="ER249" s="21">
        <v>46045.298055555555</v>
      </c>
    </row>
    <row r="250">
      <c r="A250" s="9" t="s">
        <v>1693</v>
      </c>
      <c r="B250" s="20" t="str">
        <f>IFERROR(__xludf.DUMMYFUNCTION("REGEXREPLACE(A250, ""^https?://[^/]+"", """")"),"/wp-content/plugins/elementor-pro/assets/css/widget-post-info.min.css?ver=3.34.0")</f>
        <v>/wp-content/plugins/elementor-pro/assets/css/widget-post-info.min.css?ver=3.34.0</v>
      </c>
      <c r="F250" s="1" t="s">
        <v>1016</v>
      </c>
      <c r="G250" s="1">
        <v>200.0</v>
      </c>
      <c r="H250" s="1" t="s">
        <v>966</v>
      </c>
      <c r="I250" s="1" t="s">
        <v>967</v>
      </c>
      <c r="L250" s="1">
        <v>0.0</v>
      </c>
      <c r="M250" s="1">
        <v>0.0</v>
      </c>
      <c r="O250" s="1">
        <v>0.0</v>
      </c>
      <c r="P250" s="1">
        <v>0.0</v>
      </c>
      <c r="R250" s="1">
        <v>0.0</v>
      </c>
      <c r="S250" s="1">
        <v>0.0</v>
      </c>
      <c r="U250" s="1">
        <v>0.0</v>
      </c>
      <c r="W250" s="1">
        <v>0.0</v>
      </c>
      <c r="Y250" s="1">
        <v>0.0</v>
      </c>
      <c r="AA250" s="1">
        <v>0.0</v>
      </c>
      <c r="AC250" s="1">
        <v>0.0</v>
      </c>
      <c r="AM250" s="1">
        <v>201.0</v>
      </c>
      <c r="AN250" s="1">
        <v>201.0</v>
      </c>
      <c r="AO250" s="1">
        <v>201.0</v>
      </c>
      <c r="AP250" s="1">
        <v>0.077</v>
      </c>
      <c r="AR250" s="1">
        <v>0.0</v>
      </c>
      <c r="AW250" s="1">
        <v>0.0</v>
      </c>
      <c r="AX250" s="1">
        <v>2.0</v>
      </c>
      <c r="AY250" s="1">
        <v>5.0</v>
      </c>
      <c r="BA250" s="1">
        <v>0.0</v>
      </c>
      <c r="BB250" s="1">
        <v>0.0</v>
      </c>
      <c r="BC250" s="1">
        <v>0.0</v>
      </c>
      <c r="BD250" s="1">
        <v>0.0</v>
      </c>
      <c r="BE250" s="1">
        <v>0.0</v>
      </c>
      <c r="BF250" s="1">
        <v>0.0</v>
      </c>
      <c r="BG250" s="1">
        <v>0.0</v>
      </c>
      <c r="BH250" s="1">
        <v>0.0</v>
      </c>
      <c r="BI250" s="1">
        <v>0.0</v>
      </c>
      <c r="BJ250" s="1">
        <v>0.0</v>
      </c>
      <c r="BP250" s="1">
        <v>0.356</v>
      </c>
      <c r="BQ250" s="1" t="s">
        <v>1041</v>
      </c>
      <c r="BV250" s="1">
        <v>1.1</v>
      </c>
      <c r="EQ250" s="9" t="s">
        <v>1693</v>
      </c>
      <c r="ER250" s="21">
        <v>46045.298055555555</v>
      </c>
    </row>
    <row r="251">
      <c r="A251" s="9" t="s">
        <v>1694</v>
      </c>
      <c r="B251" s="20" t="str">
        <f>IFERROR(__xludf.DUMMYFUNCTION("REGEXREPLACE(A251, ""^https?://[^/]+"", """")"),"/private-equity-solutions/contact/")</f>
        <v>/private-equity-solutions/contact/</v>
      </c>
      <c r="C251" s="1" t="s">
        <v>1695</v>
      </c>
      <c r="F251" s="1" t="s">
        <v>965</v>
      </c>
      <c r="G251" s="1">
        <v>200.0</v>
      </c>
      <c r="H251" s="1" t="s">
        <v>966</v>
      </c>
      <c r="I251" s="1" t="s">
        <v>967</v>
      </c>
      <c r="K251" s="1" t="s">
        <v>1696</v>
      </c>
      <c r="L251" s="1">
        <v>39.0</v>
      </c>
      <c r="M251" s="1">
        <v>364.0</v>
      </c>
      <c r="O251" s="1">
        <v>0.0</v>
      </c>
      <c r="P251" s="1">
        <v>0.0</v>
      </c>
      <c r="Q251" s="1" t="s">
        <v>1697</v>
      </c>
      <c r="R251" s="1">
        <v>119.0</v>
      </c>
      <c r="S251" s="1">
        <v>724.0</v>
      </c>
      <c r="U251" s="1">
        <v>0.0</v>
      </c>
      <c r="V251" s="1" t="s">
        <v>1695</v>
      </c>
      <c r="W251" s="1">
        <v>19.0</v>
      </c>
      <c r="Y251" s="1">
        <v>0.0</v>
      </c>
      <c r="AA251" s="1">
        <v>0.0</v>
      </c>
      <c r="AC251" s="1">
        <v>0.0</v>
      </c>
      <c r="AD251" s="1" t="s">
        <v>971</v>
      </c>
      <c r="AG251" s="9" t="s">
        <v>1694</v>
      </c>
      <c r="AM251" s="1">
        <v>154048.0</v>
      </c>
      <c r="AN251" s="1">
        <v>31904.0</v>
      </c>
      <c r="AO251" s="1">
        <v>31904.0</v>
      </c>
      <c r="AP251" s="1">
        <v>12.222</v>
      </c>
      <c r="AR251" s="1">
        <v>610.0</v>
      </c>
      <c r="AS251" s="1">
        <v>112.0</v>
      </c>
      <c r="AT251" s="1">
        <v>5.446</v>
      </c>
      <c r="AU251" s="1">
        <v>63.034</v>
      </c>
      <c r="AV251" s="1" t="s">
        <v>990</v>
      </c>
      <c r="AW251" s="1">
        <v>3.731</v>
      </c>
      <c r="AX251" s="1">
        <v>2.0</v>
      </c>
      <c r="AY251" s="1">
        <v>2.0</v>
      </c>
      <c r="AZ251" s="1">
        <v>6.0</v>
      </c>
      <c r="BA251" s="1">
        <v>17.0</v>
      </c>
      <c r="BB251" s="1">
        <v>8.0</v>
      </c>
      <c r="BC251" s="1">
        <v>0.0</v>
      </c>
      <c r="BD251" s="1">
        <v>1.06</v>
      </c>
      <c r="BE251" s="1">
        <v>109.0</v>
      </c>
      <c r="BF251" s="1">
        <v>43.0</v>
      </c>
      <c r="BG251" s="1">
        <v>0.0</v>
      </c>
      <c r="BH251" s="1">
        <v>5.0</v>
      </c>
      <c r="BI251" s="1">
        <v>5.0</v>
      </c>
      <c r="BJ251" s="1">
        <v>0.0</v>
      </c>
      <c r="BO251" s="1" t="s">
        <v>1698</v>
      </c>
      <c r="BP251" s="1">
        <v>0.956</v>
      </c>
      <c r="BU251" s="1" t="s">
        <v>974</v>
      </c>
      <c r="BV251" s="1">
        <v>1.1</v>
      </c>
      <c r="BW251" s="1">
        <v>62.0</v>
      </c>
      <c r="BX251" s="1">
        <v>2717.017</v>
      </c>
      <c r="BY251" s="1">
        <v>7263.311</v>
      </c>
      <c r="BZ251" s="1">
        <v>7351.05</v>
      </c>
      <c r="CA251" s="1">
        <v>23431.119</v>
      </c>
      <c r="CB251" s="1">
        <v>171.0</v>
      </c>
      <c r="CC251" s="1">
        <v>0.0</v>
      </c>
      <c r="CD251" s="1">
        <v>1249223.0</v>
      </c>
      <c r="CE251" s="1">
        <v>1200.0</v>
      </c>
      <c r="CF251" s="1">
        <v>186.0</v>
      </c>
      <c r="CG251" s="1">
        <v>4299592.0</v>
      </c>
      <c r="CH251" s="1">
        <v>88371.0</v>
      </c>
      <c r="CI251" s="1">
        <v>4.0</v>
      </c>
      <c r="CJ251" s="1">
        <v>633466.0</v>
      </c>
      <c r="CK251" s="1">
        <v>16.0</v>
      </c>
      <c r="CL251" s="1">
        <v>223941.0</v>
      </c>
      <c r="CM251" s="1">
        <v>46.0</v>
      </c>
      <c r="CN251" s="1">
        <v>2547334.0</v>
      </c>
      <c r="CO251" s="1">
        <v>82.0</v>
      </c>
      <c r="CP251" s="1">
        <v>415303.0</v>
      </c>
      <c r="CQ251" s="1">
        <v>8.0</v>
      </c>
      <c r="CR251" s="1">
        <v>0.0</v>
      </c>
      <c r="CS251" s="1">
        <v>0.0</v>
      </c>
      <c r="CT251" s="1">
        <v>391177.0</v>
      </c>
      <c r="CU251" s="1">
        <v>30.0</v>
      </c>
      <c r="CV251" s="1">
        <v>2819242.0</v>
      </c>
      <c r="CW251" s="1">
        <v>76.0</v>
      </c>
      <c r="DC251" s="1">
        <v>150.0</v>
      </c>
      <c r="DD251" s="1">
        <v>5075.0</v>
      </c>
      <c r="DE251" s="1">
        <v>0.0</v>
      </c>
      <c r="DF251" s="1">
        <v>3396.0</v>
      </c>
      <c r="DG251" s="1">
        <v>450.0</v>
      </c>
      <c r="DH251" s="1">
        <v>62474.0</v>
      </c>
      <c r="DI251" s="1">
        <v>600.0</v>
      </c>
      <c r="DJ251" s="1">
        <v>1178278.0</v>
      </c>
      <c r="DK251" s="1">
        <v>1247.412</v>
      </c>
      <c r="DL251" s="1" t="s">
        <v>992</v>
      </c>
      <c r="DM251" s="1">
        <v>2184.204</v>
      </c>
      <c r="DN251" s="1" t="s">
        <v>975</v>
      </c>
      <c r="DO251" s="1">
        <v>4299593.0</v>
      </c>
      <c r="DP251" s="1">
        <v>1.0</v>
      </c>
      <c r="DQ251" s="1" t="s">
        <v>976</v>
      </c>
      <c r="DR251" s="1" t="s">
        <v>1464</v>
      </c>
      <c r="DS251" s="1" t="s">
        <v>978</v>
      </c>
      <c r="DU251" s="1" t="s">
        <v>994</v>
      </c>
      <c r="DV251" s="1">
        <v>13547.0</v>
      </c>
      <c r="DX251" s="1">
        <v>3743.0</v>
      </c>
      <c r="DY251" s="1">
        <v>902297.0</v>
      </c>
      <c r="EA251" s="1">
        <v>717.0</v>
      </c>
      <c r="EB251" s="1">
        <v>200798.0</v>
      </c>
      <c r="EC251" s="1">
        <v>0.0</v>
      </c>
      <c r="ED251" s="1">
        <v>26492.0</v>
      </c>
      <c r="EF251" s="1">
        <v>235.0</v>
      </c>
      <c r="EG251" s="1" t="s">
        <v>982</v>
      </c>
      <c r="EH251" s="1">
        <v>100.0</v>
      </c>
      <c r="EK251" s="1">
        <v>100.0</v>
      </c>
      <c r="EQ251" s="9" t="s">
        <v>1694</v>
      </c>
      <c r="ER251" s="21">
        <v>46045.298055555555</v>
      </c>
    </row>
    <row r="252">
      <c r="A252" s="9" t="s">
        <v>1699</v>
      </c>
      <c r="B252" s="20" t="str">
        <f>IFERROR(__xludf.DUMMYFUNCTION("REGEXREPLACE(A252, ""^https?://[^/]+"", """")"),"/wp-content/uploads/elementor/css/post-18729.css?ver=1768855617")</f>
        <v>/wp-content/uploads/elementor/css/post-18729.css?ver=1768855617</v>
      </c>
      <c r="F252" s="1" t="s">
        <v>1016</v>
      </c>
      <c r="G252" s="1">
        <v>200.0</v>
      </c>
      <c r="H252" s="1" t="s">
        <v>966</v>
      </c>
      <c r="I252" s="1" t="s">
        <v>967</v>
      </c>
      <c r="L252" s="1">
        <v>0.0</v>
      </c>
      <c r="M252" s="1">
        <v>0.0</v>
      </c>
      <c r="O252" s="1">
        <v>0.0</v>
      </c>
      <c r="P252" s="1">
        <v>0.0</v>
      </c>
      <c r="R252" s="1">
        <v>0.0</v>
      </c>
      <c r="S252" s="1">
        <v>0.0</v>
      </c>
      <c r="U252" s="1">
        <v>0.0</v>
      </c>
      <c r="W252" s="1">
        <v>0.0</v>
      </c>
      <c r="Y252" s="1">
        <v>0.0</v>
      </c>
      <c r="AA252" s="1">
        <v>0.0</v>
      </c>
      <c r="AC252" s="1">
        <v>0.0</v>
      </c>
      <c r="AM252" s="1">
        <v>1154.0</v>
      </c>
      <c r="AN252" s="1">
        <v>1154.0</v>
      </c>
      <c r="AO252" s="1">
        <v>1154.0</v>
      </c>
      <c r="AP252" s="1">
        <v>0.442</v>
      </c>
      <c r="AR252" s="1">
        <v>0.0</v>
      </c>
      <c r="AW252" s="1">
        <v>0.0</v>
      </c>
      <c r="AX252" s="1">
        <v>2.0</v>
      </c>
      <c r="AY252" s="1">
        <v>4.0</v>
      </c>
      <c r="BA252" s="1">
        <v>0.0</v>
      </c>
      <c r="BB252" s="1">
        <v>0.0</v>
      </c>
      <c r="BC252" s="1">
        <v>0.0</v>
      </c>
      <c r="BD252" s="1">
        <v>0.0</v>
      </c>
      <c r="BE252" s="1">
        <v>0.0</v>
      </c>
      <c r="BF252" s="1">
        <v>0.0</v>
      </c>
      <c r="BG252" s="1">
        <v>0.0</v>
      </c>
      <c r="BH252" s="1">
        <v>0.0</v>
      </c>
      <c r="BI252" s="1">
        <v>0.0</v>
      </c>
      <c r="BJ252" s="1">
        <v>0.0</v>
      </c>
      <c r="BP252" s="1">
        <v>0.292</v>
      </c>
      <c r="BQ252" s="1" t="s">
        <v>1700</v>
      </c>
      <c r="BV252" s="1">
        <v>1.1</v>
      </c>
      <c r="EQ252" s="9" t="s">
        <v>1699</v>
      </c>
      <c r="ER252" s="21">
        <v>46045.29806712963</v>
      </c>
    </row>
    <row r="253">
      <c r="A253" s="9" t="s">
        <v>1701</v>
      </c>
      <c r="B253" s="20" t="str">
        <f>IFERROR(__xludf.DUMMYFUNCTION("REGEXREPLACE(A253, ""^https?://[^/]+"", """")"),"/wp-content/uploads/2019/12/manu-case-thumb-2048x2048.jpg")</f>
        <v>/wp-content/uploads/2019/12/manu-case-thumb-2048x2048.jpg</v>
      </c>
      <c r="F253" s="1" t="s">
        <v>1004</v>
      </c>
      <c r="G253" s="1">
        <v>200.0</v>
      </c>
      <c r="H253" s="1" t="s">
        <v>966</v>
      </c>
      <c r="I253" s="1" t="s">
        <v>967</v>
      </c>
      <c r="L253" s="1">
        <v>0.0</v>
      </c>
      <c r="M253" s="1">
        <v>0.0</v>
      </c>
      <c r="O253" s="1">
        <v>0.0</v>
      </c>
      <c r="P253" s="1">
        <v>0.0</v>
      </c>
      <c r="R253" s="1">
        <v>0.0</v>
      </c>
      <c r="S253" s="1">
        <v>0.0</v>
      </c>
      <c r="U253" s="1">
        <v>0.0</v>
      </c>
      <c r="W253" s="1">
        <v>0.0</v>
      </c>
      <c r="Y253" s="1">
        <v>0.0</v>
      </c>
      <c r="AA253" s="1">
        <v>0.0</v>
      </c>
      <c r="AC253" s="1">
        <v>0.0</v>
      </c>
      <c r="AM253" s="1">
        <v>481331.0</v>
      </c>
      <c r="AN253" s="1">
        <v>481331.0</v>
      </c>
      <c r="AO253" s="1">
        <v>481331.0</v>
      </c>
      <c r="AP253" s="1">
        <v>184.389</v>
      </c>
      <c r="AR253" s="1">
        <v>0.0</v>
      </c>
      <c r="AW253" s="1">
        <v>0.0</v>
      </c>
      <c r="AX253" s="1">
        <v>2.0</v>
      </c>
      <c r="AY253" s="1">
        <v>4.0</v>
      </c>
      <c r="BA253" s="1">
        <v>0.0</v>
      </c>
      <c r="BB253" s="1">
        <v>0.0</v>
      </c>
      <c r="BC253" s="1">
        <v>0.0</v>
      </c>
      <c r="BD253" s="1">
        <v>0.0</v>
      </c>
      <c r="BE253" s="1">
        <v>0.0</v>
      </c>
      <c r="BF253" s="1">
        <v>0.0</v>
      </c>
      <c r="BG253" s="1">
        <v>0.0</v>
      </c>
      <c r="BH253" s="1">
        <v>0.0</v>
      </c>
      <c r="BI253" s="1">
        <v>0.0</v>
      </c>
      <c r="BJ253" s="1">
        <v>0.0</v>
      </c>
      <c r="BP253" s="1">
        <v>0.275</v>
      </c>
      <c r="BQ253" s="1" t="s">
        <v>1702</v>
      </c>
      <c r="BV253" s="1">
        <v>1.1</v>
      </c>
      <c r="EQ253" s="9" t="s">
        <v>1701</v>
      </c>
      <c r="ER253" s="21">
        <v>46045.29806712963</v>
      </c>
    </row>
    <row r="254">
      <c r="A254" s="9" t="s">
        <v>1703</v>
      </c>
      <c r="B254" s="20" t="str">
        <f>IFERROR(__xludf.DUMMYFUNCTION("REGEXREPLACE(A254, ""^https?://[^/]+"", """")"),"/case-study/virtual-reality-training-solution-for-healthcare-workers/")</f>
        <v>/case-study/virtual-reality-training-solution-for-healthcare-workers/</v>
      </c>
      <c r="C254" s="1" t="s">
        <v>1704</v>
      </c>
      <c r="D254" s="1" t="s">
        <v>1050</v>
      </c>
      <c r="E254" s="1" t="s">
        <v>1051</v>
      </c>
      <c r="F254" s="1" t="s">
        <v>965</v>
      </c>
      <c r="G254" s="1">
        <v>200.0</v>
      </c>
      <c r="H254" s="1" t="s">
        <v>966</v>
      </c>
      <c r="I254" s="1" t="s">
        <v>967</v>
      </c>
      <c r="K254" s="1" t="s">
        <v>1705</v>
      </c>
      <c r="L254" s="1">
        <v>127.0</v>
      </c>
      <c r="M254" s="1">
        <v>1140.0</v>
      </c>
      <c r="O254" s="1">
        <v>0.0</v>
      </c>
      <c r="P254" s="1">
        <v>0.0</v>
      </c>
      <c r="Q254" s="1" t="s">
        <v>1706</v>
      </c>
      <c r="R254" s="1">
        <v>158.0</v>
      </c>
      <c r="S254" s="1">
        <v>965.0</v>
      </c>
      <c r="U254" s="1">
        <v>0.0</v>
      </c>
      <c r="V254" s="1" t="s">
        <v>1704</v>
      </c>
      <c r="W254" s="1">
        <v>89.0</v>
      </c>
      <c r="Y254" s="1">
        <v>0.0</v>
      </c>
      <c r="Z254" s="1" t="s">
        <v>1050</v>
      </c>
      <c r="AA254" s="1">
        <v>17.0</v>
      </c>
      <c r="AB254" s="1" t="s">
        <v>1051</v>
      </c>
      <c r="AC254" s="1">
        <v>11.0</v>
      </c>
      <c r="AD254" s="1" t="s">
        <v>971</v>
      </c>
      <c r="AG254" s="9" t="s">
        <v>1703</v>
      </c>
      <c r="AM254" s="1">
        <v>177327.0</v>
      </c>
      <c r="AN254" s="1">
        <v>31282.0</v>
      </c>
      <c r="AO254" s="1">
        <v>31282.0</v>
      </c>
      <c r="AP254" s="1">
        <v>11.984</v>
      </c>
      <c r="AR254" s="1">
        <v>821.0</v>
      </c>
      <c r="AS254" s="1">
        <v>145.0</v>
      </c>
      <c r="AT254" s="1">
        <v>5.662</v>
      </c>
      <c r="AU254" s="1">
        <v>64.759</v>
      </c>
      <c r="AV254" s="1" t="s">
        <v>990</v>
      </c>
      <c r="AW254" s="1">
        <v>4.214</v>
      </c>
      <c r="AX254" s="1">
        <v>2.0</v>
      </c>
      <c r="AY254" s="1">
        <v>2.0</v>
      </c>
      <c r="AZ254" s="1">
        <v>8.0</v>
      </c>
      <c r="BA254" s="1">
        <v>19.0</v>
      </c>
      <c r="BB254" s="1">
        <v>16.0</v>
      </c>
      <c r="BC254" s="1">
        <v>0.0</v>
      </c>
      <c r="BD254" s="1">
        <v>2.12</v>
      </c>
      <c r="BE254" s="1">
        <v>130.0</v>
      </c>
      <c r="BF254" s="1">
        <v>48.0</v>
      </c>
      <c r="BG254" s="1">
        <v>0.0</v>
      </c>
      <c r="BH254" s="1">
        <v>16.0</v>
      </c>
      <c r="BI254" s="1">
        <v>8.0</v>
      </c>
      <c r="BJ254" s="1">
        <v>0.0</v>
      </c>
      <c r="BO254" s="1" t="s">
        <v>1707</v>
      </c>
      <c r="BP254" s="1">
        <v>0.99</v>
      </c>
      <c r="BU254" s="1" t="s">
        <v>974</v>
      </c>
      <c r="BV254" s="1">
        <v>1.1</v>
      </c>
      <c r="BW254" s="1">
        <v>56.0</v>
      </c>
      <c r="BX254" s="1">
        <v>4201.028</v>
      </c>
      <c r="BY254" s="1">
        <v>6439.061</v>
      </c>
      <c r="BZ254" s="1">
        <v>8701.061</v>
      </c>
      <c r="CA254" s="1">
        <v>18071.826</v>
      </c>
      <c r="CB254" s="1">
        <v>255.0</v>
      </c>
      <c r="CC254" s="1">
        <v>0.0</v>
      </c>
      <c r="CD254" s="1">
        <v>651456.0</v>
      </c>
      <c r="CE254" s="1">
        <v>1200.0</v>
      </c>
      <c r="CF254" s="1">
        <v>168.0</v>
      </c>
      <c r="CG254" s="1">
        <v>2322212.0</v>
      </c>
      <c r="CH254" s="1">
        <v>32349.0</v>
      </c>
      <c r="CI254" s="1">
        <v>2.0</v>
      </c>
      <c r="CJ254" s="1">
        <v>115060.0</v>
      </c>
      <c r="CK254" s="1">
        <v>22.0</v>
      </c>
      <c r="CL254" s="1">
        <v>117436.0</v>
      </c>
      <c r="CM254" s="1">
        <v>43.0</v>
      </c>
      <c r="CN254" s="1">
        <v>1748121.0</v>
      </c>
      <c r="CO254" s="1">
        <v>68.0</v>
      </c>
      <c r="CP254" s="1">
        <v>284722.0</v>
      </c>
      <c r="CQ254" s="1">
        <v>6.0</v>
      </c>
      <c r="CR254" s="1">
        <v>0.0</v>
      </c>
      <c r="CS254" s="1">
        <v>0.0</v>
      </c>
      <c r="CT254" s="1">
        <v>24524.0</v>
      </c>
      <c r="CU254" s="1">
        <v>27.0</v>
      </c>
      <c r="CV254" s="1">
        <v>1503329.0</v>
      </c>
      <c r="CW254" s="1">
        <v>67.0</v>
      </c>
      <c r="DC254" s="1">
        <v>0.0</v>
      </c>
      <c r="DD254" s="1">
        <v>5075.0</v>
      </c>
      <c r="DE254" s="1">
        <v>0.0</v>
      </c>
      <c r="DF254" s="1">
        <v>3401.0</v>
      </c>
      <c r="DG254" s="1">
        <v>300.0</v>
      </c>
      <c r="DH254" s="1">
        <v>50531.0</v>
      </c>
      <c r="DI254" s="1">
        <v>900.0</v>
      </c>
      <c r="DJ254" s="1">
        <v>592449.0</v>
      </c>
      <c r="DK254" s="1">
        <v>1666.429</v>
      </c>
      <c r="DL254" s="1" t="s">
        <v>975</v>
      </c>
      <c r="DM254" s="1">
        <v>2850.557</v>
      </c>
      <c r="DN254" s="1" t="s">
        <v>975</v>
      </c>
      <c r="DO254" s="1">
        <v>2321030.0</v>
      </c>
      <c r="DP254" s="1">
        <v>1.0</v>
      </c>
      <c r="DQ254" s="1" t="s">
        <v>976</v>
      </c>
      <c r="DR254" s="1" t="s">
        <v>1376</v>
      </c>
      <c r="DS254" s="1" t="s">
        <v>978</v>
      </c>
      <c r="DT254" s="1" t="s">
        <v>979</v>
      </c>
      <c r="DU254" s="1" t="s">
        <v>980</v>
      </c>
      <c r="DV254" s="1">
        <v>13848.0</v>
      </c>
      <c r="DX254" s="1">
        <v>4524.0</v>
      </c>
      <c r="DY254" s="1">
        <v>637975.0</v>
      </c>
      <c r="EA254" s="1">
        <v>907.0</v>
      </c>
      <c r="EB254" s="1">
        <v>17936.0</v>
      </c>
      <c r="EC254" s="1">
        <v>1.0</v>
      </c>
      <c r="ED254" s="1">
        <v>26492.0</v>
      </c>
      <c r="EF254" s="1">
        <v>250.0</v>
      </c>
      <c r="EG254" s="1" t="s">
        <v>982</v>
      </c>
      <c r="EH254" s="1">
        <v>100.0</v>
      </c>
      <c r="EK254" s="1">
        <v>100.0</v>
      </c>
      <c r="EQ254" s="9" t="s">
        <v>1703</v>
      </c>
      <c r="ER254" s="21">
        <v>46045.298055555555</v>
      </c>
    </row>
    <row r="255">
      <c r="A255" s="9" t="s">
        <v>1708</v>
      </c>
      <c r="B255" s="20" t="str">
        <f>IFERROR(__xludf.DUMMYFUNCTION("REGEXREPLACE(A255, ""^https?://[^/]+"", """")"),"/wp-content/uploads/2019/03/manufacturing-case-study1-2048x2048.jpg")</f>
        <v>/wp-content/uploads/2019/03/manufacturing-case-study1-2048x2048.jpg</v>
      </c>
      <c r="F255" s="1" t="s">
        <v>1004</v>
      </c>
      <c r="G255" s="1">
        <v>200.0</v>
      </c>
      <c r="H255" s="1" t="s">
        <v>966</v>
      </c>
      <c r="I255" s="1" t="s">
        <v>967</v>
      </c>
      <c r="L255" s="1">
        <v>0.0</v>
      </c>
      <c r="M255" s="1">
        <v>0.0</v>
      </c>
      <c r="O255" s="1">
        <v>0.0</v>
      </c>
      <c r="P255" s="1">
        <v>0.0</v>
      </c>
      <c r="R255" s="1">
        <v>0.0</v>
      </c>
      <c r="S255" s="1">
        <v>0.0</v>
      </c>
      <c r="U255" s="1">
        <v>0.0</v>
      </c>
      <c r="W255" s="1">
        <v>0.0</v>
      </c>
      <c r="Y255" s="1">
        <v>0.0</v>
      </c>
      <c r="AA255" s="1">
        <v>0.0</v>
      </c>
      <c r="AC255" s="1">
        <v>0.0</v>
      </c>
      <c r="AM255" s="1">
        <v>296405.0</v>
      </c>
      <c r="AN255" s="1">
        <v>296405.0</v>
      </c>
      <c r="AO255" s="1">
        <v>296405.0</v>
      </c>
      <c r="AP255" s="1">
        <v>113.547</v>
      </c>
      <c r="AR255" s="1">
        <v>0.0</v>
      </c>
      <c r="AW255" s="1">
        <v>0.0</v>
      </c>
      <c r="AX255" s="1">
        <v>2.0</v>
      </c>
      <c r="AY255" s="1">
        <v>4.0</v>
      </c>
      <c r="BA255" s="1">
        <v>0.0</v>
      </c>
      <c r="BB255" s="1">
        <v>0.0</v>
      </c>
      <c r="BC255" s="1">
        <v>0.0</v>
      </c>
      <c r="BD255" s="1">
        <v>0.0</v>
      </c>
      <c r="BE255" s="1">
        <v>0.0</v>
      </c>
      <c r="BF255" s="1">
        <v>0.0</v>
      </c>
      <c r="BG255" s="1">
        <v>0.0</v>
      </c>
      <c r="BH255" s="1">
        <v>0.0</v>
      </c>
      <c r="BI255" s="1">
        <v>0.0</v>
      </c>
      <c r="BJ255" s="1">
        <v>0.0</v>
      </c>
      <c r="BP255" s="1">
        <v>0.287</v>
      </c>
      <c r="BQ255" s="1" t="s">
        <v>1709</v>
      </c>
      <c r="BV255" s="1">
        <v>1.1</v>
      </c>
      <c r="EQ255" s="9" t="s">
        <v>1708</v>
      </c>
      <c r="ER255" s="21">
        <v>46045.29806712963</v>
      </c>
    </row>
    <row r="256">
      <c r="A256" s="9" t="s">
        <v>1710</v>
      </c>
      <c r="B256" s="20" t="str">
        <f>IFERROR(__xludf.DUMMYFUNCTION("REGEXREPLACE(A256, ""^https?://[^/]+"", """")"),"/wp-content/uploads/elementor/css/post-25115.css?ver=1768848826")</f>
        <v>/wp-content/uploads/elementor/css/post-25115.css?ver=1768848826</v>
      </c>
      <c r="F256" s="1" t="s">
        <v>1016</v>
      </c>
      <c r="G256" s="1">
        <v>200.0</v>
      </c>
      <c r="H256" s="1" t="s">
        <v>966</v>
      </c>
      <c r="I256" s="1" t="s">
        <v>967</v>
      </c>
      <c r="L256" s="1">
        <v>0.0</v>
      </c>
      <c r="M256" s="1">
        <v>0.0</v>
      </c>
      <c r="O256" s="1">
        <v>0.0</v>
      </c>
      <c r="P256" s="1">
        <v>0.0</v>
      </c>
      <c r="R256" s="1">
        <v>0.0</v>
      </c>
      <c r="S256" s="1">
        <v>0.0</v>
      </c>
      <c r="U256" s="1">
        <v>0.0</v>
      </c>
      <c r="W256" s="1">
        <v>0.0</v>
      </c>
      <c r="Y256" s="1">
        <v>0.0</v>
      </c>
      <c r="AA256" s="1">
        <v>0.0</v>
      </c>
      <c r="AC256" s="1">
        <v>0.0</v>
      </c>
      <c r="AM256" s="1">
        <v>920.0</v>
      </c>
      <c r="AN256" s="1">
        <v>920.0</v>
      </c>
      <c r="AO256" s="1">
        <v>920.0</v>
      </c>
      <c r="AP256" s="1">
        <v>0.352</v>
      </c>
      <c r="AR256" s="1">
        <v>0.0</v>
      </c>
      <c r="AW256" s="1">
        <v>0.0</v>
      </c>
      <c r="AX256" s="1">
        <v>2.0</v>
      </c>
      <c r="AY256" s="1">
        <v>4.0</v>
      </c>
      <c r="BA256" s="1">
        <v>0.0</v>
      </c>
      <c r="BB256" s="1">
        <v>0.0</v>
      </c>
      <c r="BC256" s="1">
        <v>0.0</v>
      </c>
      <c r="BD256" s="1">
        <v>0.0</v>
      </c>
      <c r="BE256" s="1">
        <v>0.0</v>
      </c>
      <c r="BF256" s="1">
        <v>0.0</v>
      </c>
      <c r="BG256" s="1">
        <v>0.0</v>
      </c>
      <c r="BH256" s="1">
        <v>0.0</v>
      </c>
      <c r="BI256" s="1">
        <v>0.0</v>
      </c>
      <c r="BJ256" s="1">
        <v>0.0</v>
      </c>
      <c r="BP256" s="1">
        <v>0.276</v>
      </c>
      <c r="BQ256" s="1" t="s">
        <v>1711</v>
      </c>
      <c r="BV256" s="1">
        <v>1.1</v>
      </c>
      <c r="EQ256" s="9" t="s">
        <v>1710</v>
      </c>
      <c r="ER256" s="21">
        <v>46045.29806712963</v>
      </c>
    </row>
    <row r="257">
      <c r="A257" s="9" t="s">
        <v>1712</v>
      </c>
      <c r="B257" s="20" t="str">
        <f>IFERROR(__xludf.DUMMYFUNCTION("REGEXREPLACE(A257, ""^https?://[^/]+"", """")"),"/case-study/information-security-services/")</f>
        <v>/case-study/information-security-services/</v>
      </c>
      <c r="C257" s="1" t="s">
        <v>1713</v>
      </c>
      <c r="D257" s="1" t="s">
        <v>1050</v>
      </c>
      <c r="E257" s="1" t="s">
        <v>1051</v>
      </c>
      <c r="F257" s="1" t="s">
        <v>965</v>
      </c>
      <c r="G257" s="1">
        <v>200.0</v>
      </c>
      <c r="H257" s="1" t="s">
        <v>966</v>
      </c>
      <c r="I257" s="1" t="s">
        <v>967</v>
      </c>
      <c r="K257" s="1" t="s">
        <v>1714</v>
      </c>
      <c r="L257" s="1">
        <v>131.0</v>
      </c>
      <c r="M257" s="1">
        <v>1182.0</v>
      </c>
      <c r="O257" s="1">
        <v>0.0</v>
      </c>
      <c r="P257" s="1">
        <v>0.0</v>
      </c>
      <c r="Q257" s="1" t="s">
        <v>1715</v>
      </c>
      <c r="R257" s="1">
        <v>151.0</v>
      </c>
      <c r="S257" s="1">
        <v>944.0</v>
      </c>
      <c r="U257" s="1">
        <v>0.0</v>
      </c>
      <c r="V257" s="1" t="s">
        <v>1713</v>
      </c>
      <c r="W257" s="1">
        <v>93.0</v>
      </c>
      <c r="Y257" s="1">
        <v>0.0</v>
      </c>
      <c r="Z257" s="1" t="s">
        <v>1050</v>
      </c>
      <c r="AA257" s="1">
        <v>17.0</v>
      </c>
      <c r="AB257" s="1" t="s">
        <v>1051</v>
      </c>
      <c r="AC257" s="1">
        <v>11.0</v>
      </c>
      <c r="AD257" s="1" t="s">
        <v>971</v>
      </c>
      <c r="AG257" s="9" t="s">
        <v>1712</v>
      </c>
      <c r="AM257" s="1">
        <v>173375.0</v>
      </c>
      <c r="AN257" s="1">
        <v>32303.0</v>
      </c>
      <c r="AO257" s="1">
        <v>32303.0</v>
      </c>
      <c r="AP257" s="1">
        <v>12.375</v>
      </c>
      <c r="AR257" s="1">
        <v>1050.0</v>
      </c>
      <c r="AS257" s="1">
        <v>166.0</v>
      </c>
      <c r="AT257" s="1">
        <v>6.325</v>
      </c>
      <c r="AU257" s="1">
        <v>57.239</v>
      </c>
      <c r="AV257" s="1" t="s">
        <v>972</v>
      </c>
      <c r="AW257" s="1">
        <v>5.219</v>
      </c>
      <c r="AX257" s="1">
        <v>2.0</v>
      </c>
      <c r="AY257" s="1">
        <v>2.0</v>
      </c>
      <c r="AZ257" s="1">
        <v>11.0</v>
      </c>
      <c r="BA257" s="1">
        <v>20.0</v>
      </c>
      <c r="BB257" s="1">
        <v>19.0</v>
      </c>
      <c r="BC257" s="1">
        <v>0.0</v>
      </c>
      <c r="BD257" s="1">
        <v>2.52</v>
      </c>
      <c r="BE257" s="1">
        <v>131.0</v>
      </c>
      <c r="BF257" s="1">
        <v>48.0</v>
      </c>
      <c r="BG257" s="1">
        <v>0.0</v>
      </c>
      <c r="BH257" s="1">
        <v>16.0</v>
      </c>
      <c r="BI257" s="1">
        <v>8.0</v>
      </c>
      <c r="BJ257" s="1">
        <v>0.0</v>
      </c>
      <c r="BO257" s="1" t="s">
        <v>1716</v>
      </c>
      <c r="BP257" s="1">
        <v>1.049</v>
      </c>
      <c r="BU257" s="1" t="s">
        <v>974</v>
      </c>
      <c r="BV257" s="1">
        <v>1.1</v>
      </c>
      <c r="BW257" s="1">
        <v>51.0</v>
      </c>
      <c r="BX257" s="1">
        <v>3601.029</v>
      </c>
      <c r="BY257" s="1">
        <v>6420.06</v>
      </c>
      <c r="BZ257" s="1">
        <v>7951.067</v>
      </c>
      <c r="CA257" s="1">
        <v>17732.982</v>
      </c>
      <c r="CB257" s="1">
        <v>480.5</v>
      </c>
      <c r="CC257" s="1">
        <v>0.0</v>
      </c>
      <c r="CD257" s="1">
        <v>652005.0</v>
      </c>
      <c r="CE257" s="1">
        <v>1050.0</v>
      </c>
      <c r="CF257" s="1">
        <v>163.0</v>
      </c>
      <c r="CG257" s="1">
        <v>2305482.0</v>
      </c>
      <c r="CH257" s="1">
        <v>33094.0</v>
      </c>
      <c r="CI257" s="1">
        <v>2.0</v>
      </c>
      <c r="CJ257" s="1">
        <v>97795.0</v>
      </c>
      <c r="CK257" s="1">
        <v>17.0</v>
      </c>
      <c r="CL257" s="1">
        <v>116780.0</v>
      </c>
      <c r="CM257" s="1">
        <v>42.0</v>
      </c>
      <c r="CN257" s="1">
        <v>1748013.0</v>
      </c>
      <c r="CO257" s="1">
        <v>68.0</v>
      </c>
      <c r="CP257" s="1">
        <v>284722.0</v>
      </c>
      <c r="CQ257" s="1">
        <v>6.0</v>
      </c>
      <c r="CR257" s="1">
        <v>0.0</v>
      </c>
      <c r="CS257" s="1">
        <v>0.0</v>
      </c>
      <c r="CT257" s="1">
        <v>25078.0</v>
      </c>
      <c r="CU257" s="1">
        <v>28.0</v>
      </c>
      <c r="CV257" s="1">
        <v>1504090.0</v>
      </c>
      <c r="CW257" s="1">
        <v>63.0</v>
      </c>
      <c r="DC257" s="1">
        <v>0.0</v>
      </c>
      <c r="DD257" s="1">
        <v>5075.0</v>
      </c>
      <c r="DE257" s="1">
        <v>0.0</v>
      </c>
      <c r="DF257" s="1">
        <v>3396.0</v>
      </c>
      <c r="DG257" s="1">
        <v>150.0</v>
      </c>
      <c r="DH257" s="1">
        <v>50573.0</v>
      </c>
      <c r="DI257" s="1">
        <v>900.0</v>
      </c>
      <c r="DJ257" s="1">
        <v>592961.0</v>
      </c>
      <c r="DK257" s="1">
        <v>1748.131</v>
      </c>
      <c r="DL257" s="1" t="s">
        <v>975</v>
      </c>
      <c r="DM257" s="1">
        <v>3143.786</v>
      </c>
      <c r="DN257" s="1" t="s">
        <v>975</v>
      </c>
      <c r="DO257" s="1">
        <v>2304941.0</v>
      </c>
      <c r="DP257" s="1">
        <v>1.0</v>
      </c>
      <c r="DQ257" s="1" t="s">
        <v>976</v>
      </c>
      <c r="DR257" s="1" t="s">
        <v>1717</v>
      </c>
      <c r="DS257" s="1" t="s">
        <v>978</v>
      </c>
      <c r="DT257" s="1" t="s">
        <v>979</v>
      </c>
      <c r="DU257" s="1" t="s">
        <v>980</v>
      </c>
      <c r="DV257" s="1">
        <v>13396.0</v>
      </c>
      <c r="DX257" s="1">
        <v>3862.0</v>
      </c>
      <c r="DY257" s="1">
        <v>630713.0</v>
      </c>
      <c r="EA257" s="1">
        <v>833.0</v>
      </c>
      <c r="EB257" s="1">
        <v>4453.0</v>
      </c>
      <c r="EC257" s="1">
        <v>19.0</v>
      </c>
      <c r="ED257" s="1">
        <v>26492.0</v>
      </c>
      <c r="EF257" s="1">
        <v>230.0</v>
      </c>
      <c r="EG257" s="1" t="s">
        <v>982</v>
      </c>
      <c r="EH257" s="1">
        <v>100.0</v>
      </c>
      <c r="EK257" s="1">
        <v>100.0</v>
      </c>
      <c r="EQ257" s="9" t="s">
        <v>1712</v>
      </c>
      <c r="ER257" s="21">
        <v>46045.298055555555</v>
      </c>
    </row>
    <row r="258">
      <c r="A258" s="9" t="s">
        <v>1718</v>
      </c>
      <c r="B258" s="20" t="str">
        <f>IFERROR(__xludf.DUMMYFUNCTION("REGEXREPLACE(A258, ""^https?://[^/]+"", """")"),"/wp-content/plugins/yet-another-related-posts-plugin/style/styles_thumbnails.css?ver=5.30.11")</f>
        <v>/wp-content/plugins/yet-another-related-posts-plugin/style/styles_thumbnails.css?ver=5.30.11</v>
      </c>
      <c r="F258" s="1" t="s">
        <v>1016</v>
      </c>
      <c r="G258" s="1">
        <v>200.0</v>
      </c>
      <c r="H258" s="1" t="s">
        <v>966</v>
      </c>
      <c r="I258" s="1" t="s">
        <v>967</v>
      </c>
      <c r="L258" s="1">
        <v>0.0</v>
      </c>
      <c r="M258" s="1">
        <v>0.0</v>
      </c>
      <c r="O258" s="1">
        <v>0.0</v>
      </c>
      <c r="P258" s="1">
        <v>0.0</v>
      </c>
      <c r="R258" s="1">
        <v>0.0</v>
      </c>
      <c r="S258" s="1">
        <v>0.0</v>
      </c>
      <c r="U258" s="1">
        <v>0.0</v>
      </c>
      <c r="W258" s="1">
        <v>0.0</v>
      </c>
      <c r="Y258" s="1">
        <v>0.0</v>
      </c>
      <c r="AA258" s="1">
        <v>0.0</v>
      </c>
      <c r="AC258" s="1">
        <v>0.0</v>
      </c>
      <c r="AM258" s="1">
        <v>222.0</v>
      </c>
      <c r="AN258" s="1">
        <v>222.0</v>
      </c>
      <c r="AO258" s="1">
        <v>222.0</v>
      </c>
      <c r="AP258" s="1">
        <v>0.085</v>
      </c>
      <c r="AR258" s="1">
        <v>0.0</v>
      </c>
      <c r="AW258" s="1">
        <v>0.0</v>
      </c>
      <c r="AX258" s="1">
        <v>2.0</v>
      </c>
      <c r="AY258" s="1">
        <v>4.0</v>
      </c>
      <c r="BA258" s="1">
        <v>0.0</v>
      </c>
      <c r="BB258" s="1">
        <v>0.0</v>
      </c>
      <c r="BC258" s="1">
        <v>0.0</v>
      </c>
      <c r="BD258" s="1">
        <v>0.0</v>
      </c>
      <c r="BE258" s="1">
        <v>0.0</v>
      </c>
      <c r="BF258" s="1">
        <v>0.0</v>
      </c>
      <c r="BG258" s="1">
        <v>0.0</v>
      </c>
      <c r="BH258" s="1">
        <v>0.0</v>
      </c>
      <c r="BI258" s="1">
        <v>0.0</v>
      </c>
      <c r="BJ258" s="1">
        <v>0.0</v>
      </c>
      <c r="BP258" s="1">
        <v>0.262</v>
      </c>
      <c r="BQ258" s="1" t="s">
        <v>1719</v>
      </c>
      <c r="BV258" s="1">
        <v>1.1</v>
      </c>
      <c r="EQ258" s="9" t="s">
        <v>1718</v>
      </c>
      <c r="ER258" s="21">
        <v>46045.29806712963</v>
      </c>
    </row>
    <row r="259">
      <c r="A259" s="9" t="s">
        <v>1720</v>
      </c>
      <c r="B259" s="20" t="str">
        <f>IFERROR(__xludf.DUMMYFUNCTION("REGEXREPLACE(A259, ""^https?://[^/]+"", """")"),"/wp-content/uploads/2019/10/food-thumb-2048x2048.jpg")</f>
        <v>/wp-content/uploads/2019/10/food-thumb-2048x2048.jpg</v>
      </c>
      <c r="F259" s="1" t="s">
        <v>1004</v>
      </c>
      <c r="G259" s="1">
        <v>200.0</v>
      </c>
      <c r="H259" s="1" t="s">
        <v>966</v>
      </c>
      <c r="I259" s="1" t="s">
        <v>967</v>
      </c>
      <c r="L259" s="1">
        <v>0.0</v>
      </c>
      <c r="M259" s="1">
        <v>0.0</v>
      </c>
      <c r="O259" s="1">
        <v>0.0</v>
      </c>
      <c r="P259" s="1">
        <v>0.0</v>
      </c>
      <c r="R259" s="1">
        <v>0.0</v>
      </c>
      <c r="S259" s="1">
        <v>0.0</v>
      </c>
      <c r="U259" s="1">
        <v>0.0</v>
      </c>
      <c r="W259" s="1">
        <v>0.0</v>
      </c>
      <c r="Y259" s="1">
        <v>0.0</v>
      </c>
      <c r="AA259" s="1">
        <v>0.0</v>
      </c>
      <c r="AC259" s="1">
        <v>0.0</v>
      </c>
      <c r="AM259" s="1">
        <v>516281.0</v>
      </c>
      <c r="AN259" s="1">
        <v>516281.0</v>
      </c>
      <c r="AO259" s="1">
        <v>516281.0</v>
      </c>
      <c r="AP259" s="1">
        <v>197.777</v>
      </c>
      <c r="AR259" s="1">
        <v>0.0</v>
      </c>
      <c r="AW259" s="1">
        <v>0.0</v>
      </c>
      <c r="AX259" s="1">
        <v>2.0</v>
      </c>
      <c r="AY259" s="1">
        <v>4.0</v>
      </c>
      <c r="BA259" s="1">
        <v>0.0</v>
      </c>
      <c r="BB259" s="1">
        <v>0.0</v>
      </c>
      <c r="BC259" s="1">
        <v>0.0</v>
      </c>
      <c r="BD259" s="1">
        <v>0.0</v>
      </c>
      <c r="BE259" s="1">
        <v>0.0</v>
      </c>
      <c r="BF259" s="1">
        <v>0.0</v>
      </c>
      <c r="BG259" s="1">
        <v>0.0</v>
      </c>
      <c r="BH259" s="1">
        <v>0.0</v>
      </c>
      <c r="BI259" s="1">
        <v>0.0</v>
      </c>
      <c r="BJ259" s="1">
        <v>0.0</v>
      </c>
      <c r="BP259" s="1">
        <v>0.291</v>
      </c>
      <c r="BQ259" s="1" t="s">
        <v>1721</v>
      </c>
      <c r="BV259" s="1">
        <v>1.1</v>
      </c>
      <c r="EQ259" s="9" t="s">
        <v>1720</v>
      </c>
      <c r="ER259" s="21">
        <v>46045.29806712963</v>
      </c>
    </row>
    <row r="260">
      <c r="A260" s="9" t="s">
        <v>1722</v>
      </c>
      <c r="B260" s="20" t="str">
        <f>IFERROR(__xludf.DUMMYFUNCTION("REGEXREPLACE(A260, ""^https?://[^/]+"", """")"),"/wp-content/uploads/2021/04/banner-Case-Study_Electrical-Manufacturing_SX-1-1024x587.jpg")</f>
        <v>/wp-content/uploads/2021/04/banner-Case-Study_Electrical-Manufacturing_SX-1-1024x587.jpg</v>
      </c>
      <c r="F260" s="1" t="s">
        <v>1004</v>
      </c>
      <c r="G260" s="1">
        <v>200.0</v>
      </c>
      <c r="H260" s="1" t="s">
        <v>966</v>
      </c>
      <c r="I260" s="1" t="s">
        <v>967</v>
      </c>
      <c r="L260" s="1">
        <v>0.0</v>
      </c>
      <c r="M260" s="1">
        <v>0.0</v>
      </c>
      <c r="O260" s="1">
        <v>0.0</v>
      </c>
      <c r="P260" s="1">
        <v>0.0</v>
      </c>
      <c r="R260" s="1">
        <v>0.0</v>
      </c>
      <c r="S260" s="1">
        <v>0.0</v>
      </c>
      <c r="U260" s="1">
        <v>0.0</v>
      </c>
      <c r="W260" s="1">
        <v>0.0</v>
      </c>
      <c r="Y260" s="1">
        <v>0.0</v>
      </c>
      <c r="AA260" s="1">
        <v>0.0</v>
      </c>
      <c r="AC260" s="1">
        <v>0.0</v>
      </c>
      <c r="AM260" s="1">
        <v>87784.0</v>
      </c>
      <c r="AN260" s="1">
        <v>87784.0</v>
      </c>
      <c r="AO260" s="1">
        <v>87784.0</v>
      </c>
      <c r="AP260" s="1">
        <v>33.628</v>
      </c>
      <c r="AR260" s="1">
        <v>0.0</v>
      </c>
      <c r="AW260" s="1">
        <v>0.0</v>
      </c>
      <c r="AX260" s="1">
        <v>2.0</v>
      </c>
      <c r="AY260" s="1">
        <v>4.0</v>
      </c>
      <c r="BA260" s="1">
        <v>0.0</v>
      </c>
      <c r="BB260" s="1">
        <v>0.0</v>
      </c>
      <c r="BC260" s="1">
        <v>0.0</v>
      </c>
      <c r="BD260" s="1">
        <v>0.0</v>
      </c>
      <c r="BE260" s="1">
        <v>0.0</v>
      </c>
      <c r="BF260" s="1">
        <v>0.0</v>
      </c>
      <c r="BG260" s="1">
        <v>0.0</v>
      </c>
      <c r="BH260" s="1">
        <v>0.0</v>
      </c>
      <c r="BI260" s="1">
        <v>0.0</v>
      </c>
      <c r="BJ260" s="1">
        <v>0.0</v>
      </c>
      <c r="BP260" s="1">
        <v>0.29</v>
      </c>
      <c r="BQ260" s="1" t="s">
        <v>1723</v>
      </c>
      <c r="BV260" s="1">
        <v>1.1</v>
      </c>
      <c r="EQ260" s="9" t="s">
        <v>1722</v>
      </c>
      <c r="ER260" s="21">
        <v>46045.2980787037</v>
      </c>
    </row>
    <row r="261">
      <c r="A261" s="9" t="s">
        <v>1724</v>
      </c>
      <c r="B261" s="20" t="str">
        <f>IFERROR(__xludf.DUMMYFUNCTION("REGEXREPLACE(A261, ""^https?://[^/]+"", """")"),"/case-study/large-chain-convenience-store-products/")</f>
        <v>/case-study/large-chain-convenience-store-products/</v>
      </c>
      <c r="C261" s="1" t="s">
        <v>1725</v>
      </c>
      <c r="D261" s="1" t="s">
        <v>1050</v>
      </c>
      <c r="E261" s="1" t="s">
        <v>1051</v>
      </c>
      <c r="F261" s="1" t="s">
        <v>965</v>
      </c>
      <c r="G261" s="1">
        <v>200.0</v>
      </c>
      <c r="H261" s="1" t="s">
        <v>966</v>
      </c>
      <c r="I261" s="1" t="s">
        <v>967</v>
      </c>
      <c r="K261" s="1" t="s">
        <v>1726</v>
      </c>
      <c r="L261" s="1">
        <v>158.0</v>
      </c>
      <c r="M261" s="1">
        <v>1425.0</v>
      </c>
      <c r="O261" s="1">
        <v>0.0</v>
      </c>
      <c r="P261" s="1">
        <v>0.0</v>
      </c>
      <c r="Q261" s="1" t="s">
        <v>1727</v>
      </c>
      <c r="R261" s="1">
        <v>106.0</v>
      </c>
      <c r="S261" s="1">
        <v>661.0</v>
      </c>
      <c r="U261" s="1">
        <v>0.0</v>
      </c>
      <c r="V261" s="1" t="s">
        <v>1725</v>
      </c>
      <c r="W261" s="1">
        <v>120.0</v>
      </c>
      <c r="Y261" s="1">
        <v>0.0</v>
      </c>
      <c r="Z261" s="1" t="s">
        <v>1050</v>
      </c>
      <c r="AA261" s="1">
        <v>17.0</v>
      </c>
      <c r="AB261" s="1" t="s">
        <v>1051</v>
      </c>
      <c r="AC261" s="1">
        <v>11.0</v>
      </c>
      <c r="AD261" s="1" t="s">
        <v>971</v>
      </c>
      <c r="AG261" s="9" t="s">
        <v>1724</v>
      </c>
      <c r="AM261" s="1">
        <v>184915.0</v>
      </c>
      <c r="AN261" s="1">
        <v>32411.0</v>
      </c>
      <c r="AO261" s="1">
        <v>32411.0</v>
      </c>
      <c r="AP261" s="1">
        <v>12.416</v>
      </c>
      <c r="AR261" s="1">
        <v>996.0</v>
      </c>
      <c r="AS261" s="1">
        <v>169.0</v>
      </c>
      <c r="AT261" s="1">
        <v>5.893</v>
      </c>
      <c r="AU261" s="1">
        <v>62.826</v>
      </c>
      <c r="AV261" s="1" t="s">
        <v>990</v>
      </c>
      <c r="AW261" s="1">
        <v>4.632</v>
      </c>
      <c r="AX261" s="1">
        <v>2.0</v>
      </c>
      <c r="AY261" s="1">
        <v>2.0</v>
      </c>
      <c r="AZ261" s="1">
        <v>8.0</v>
      </c>
      <c r="BA261" s="1">
        <v>14.0</v>
      </c>
      <c r="BB261" s="1">
        <v>11.0</v>
      </c>
      <c r="BC261" s="1">
        <v>0.0</v>
      </c>
      <c r="BD261" s="1">
        <v>1.46</v>
      </c>
      <c r="BE261" s="1">
        <v>128.0</v>
      </c>
      <c r="BF261" s="1">
        <v>48.0</v>
      </c>
      <c r="BG261" s="1">
        <v>0.0</v>
      </c>
      <c r="BH261" s="1">
        <v>16.0</v>
      </c>
      <c r="BI261" s="1">
        <v>8.0</v>
      </c>
      <c r="BJ261" s="1">
        <v>0.0</v>
      </c>
      <c r="BO261" s="1" t="s">
        <v>1728</v>
      </c>
      <c r="BP261" s="1">
        <v>1.421</v>
      </c>
      <c r="BU261" s="1" t="s">
        <v>974</v>
      </c>
      <c r="BV261" s="1">
        <v>1.1</v>
      </c>
      <c r="BW261" s="1">
        <v>47.0</v>
      </c>
      <c r="BX261" s="1">
        <v>4201.039</v>
      </c>
      <c r="BY261" s="1">
        <v>6856.802</v>
      </c>
      <c r="BZ261" s="1">
        <v>9451.091</v>
      </c>
      <c r="CA261" s="1">
        <v>17857.244</v>
      </c>
      <c r="CB261" s="1">
        <v>546.5</v>
      </c>
      <c r="CC261" s="1">
        <v>0.0</v>
      </c>
      <c r="CD261" s="1">
        <v>651306.0</v>
      </c>
      <c r="CE261" s="1">
        <v>1050.0</v>
      </c>
      <c r="CF261" s="1">
        <v>163.0</v>
      </c>
      <c r="CG261" s="1">
        <v>2302173.0</v>
      </c>
      <c r="CH261" s="1">
        <v>33335.0</v>
      </c>
      <c r="CI261" s="1">
        <v>2.0</v>
      </c>
      <c r="CJ261" s="1">
        <v>93108.0</v>
      </c>
      <c r="CK261" s="1">
        <v>16.0</v>
      </c>
      <c r="CL261" s="1">
        <v>118281.0</v>
      </c>
      <c r="CM261" s="1">
        <v>43.0</v>
      </c>
      <c r="CN261" s="1">
        <v>1747992.0</v>
      </c>
      <c r="CO261" s="1">
        <v>68.0</v>
      </c>
      <c r="CP261" s="1">
        <v>284722.0</v>
      </c>
      <c r="CQ261" s="1">
        <v>6.0</v>
      </c>
      <c r="CR261" s="1">
        <v>0.0</v>
      </c>
      <c r="CS261" s="1">
        <v>0.0</v>
      </c>
      <c r="CT261" s="1">
        <v>24735.0</v>
      </c>
      <c r="CU261" s="1">
        <v>28.0</v>
      </c>
      <c r="CV261" s="1">
        <v>1503133.0</v>
      </c>
      <c r="CW261" s="1">
        <v>62.0</v>
      </c>
      <c r="DC261" s="1">
        <v>0.0</v>
      </c>
      <c r="DD261" s="1">
        <v>5075.0</v>
      </c>
      <c r="DE261" s="1">
        <v>150.0</v>
      </c>
      <c r="DF261" s="1">
        <v>3396.0</v>
      </c>
      <c r="DG261" s="1">
        <v>0.0</v>
      </c>
      <c r="DH261" s="1">
        <v>50530.0</v>
      </c>
      <c r="DI261" s="1">
        <v>900.0</v>
      </c>
      <c r="DJ261" s="1">
        <v>592305.0</v>
      </c>
      <c r="DK261" s="1">
        <v>1943.968</v>
      </c>
      <c r="DL261" s="1" t="s">
        <v>975</v>
      </c>
      <c r="DM261" s="1">
        <v>3488.926</v>
      </c>
      <c r="DN261" s="1" t="s">
        <v>975</v>
      </c>
      <c r="DO261" s="1">
        <v>2302174.0</v>
      </c>
      <c r="DP261" s="1">
        <v>1.0</v>
      </c>
      <c r="DQ261" s="1" t="s">
        <v>976</v>
      </c>
      <c r="DR261" s="1" t="s">
        <v>1298</v>
      </c>
      <c r="DS261" s="1" t="s">
        <v>978</v>
      </c>
      <c r="DT261" s="1" t="s">
        <v>979</v>
      </c>
      <c r="DU261" s="1" t="s">
        <v>980</v>
      </c>
      <c r="DV261" s="1">
        <v>13847.0</v>
      </c>
      <c r="DX261" s="1">
        <v>3976.0</v>
      </c>
      <c r="DY261" s="1">
        <v>629649.0</v>
      </c>
      <c r="EA261" s="1">
        <v>936.0</v>
      </c>
      <c r="EB261" s="1">
        <v>4453.0</v>
      </c>
      <c r="EC261" s="1">
        <v>0.0</v>
      </c>
      <c r="ED261" s="1">
        <v>26492.0</v>
      </c>
      <c r="EF261" s="1">
        <v>210.0</v>
      </c>
      <c r="EG261" s="1" t="s">
        <v>982</v>
      </c>
      <c r="EH261" s="1">
        <v>100.0</v>
      </c>
      <c r="EK261" s="1">
        <v>100.0</v>
      </c>
      <c r="EQ261" s="9" t="s">
        <v>1724</v>
      </c>
      <c r="ER261" s="21">
        <v>46045.298055555555</v>
      </c>
    </row>
    <row r="262">
      <c r="A262" s="9" t="s">
        <v>1729</v>
      </c>
      <c r="B262" s="20" t="str">
        <f>IFERROR(__xludf.DUMMYFUNCTION("REGEXREPLACE(A262, ""^https?://[^/]+"", """")"),"/wp-content/uploads/2021/09/Case-Study_Electrical-Manufacturing_SX.pdf")</f>
        <v>/wp-content/uploads/2021/09/Case-Study_Electrical-Manufacturing_SX.pdf</v>
      </c>
      <c r="F262" s="1" t="s">
        <v>1730</v>
      </c>
      <c r="G262" s="1">
        <v>200.0</v>
      </c>
      <c r="H262" s="1" t="s">
        <v>966</v>
      </c>
      <c r="I262" s="1" t="s">
        <v>967</v>
      </c>
      <c r="L262" s="1">
        <v>0.0</v>
      </c>
      <c r="M262" s="1">
        <v>0.0</v>
      </c>
      <c r="O262" s="1">
        <v>0.0</v>
      </c>
      <c r="P262" s="1">
        <v>0.0</v>
      </c>
      <c r="R262" s="1">
        <v>0.0</v>
      </c>
      <c r="S262" s="1">
        <v>0.0</v>
      </c>
      <c r="U262" s="1">
        <v>0.0</v>
      </c>
      <c r="W262" s="1">
        <v>0.0</v>
      </c>
      <c r="Y262" s="1">
        <v>0.0</v>
      </c>
      <c r="AA262" s="1">
        <v>0.0</v>
      </c>
      <c r="AC262" s="1">
        <v>0.0</v>
      </c>
      <c r="AM262" s="1">
        <v>931291.0</v>
      </c>
      <c r="AN262" s="1">
        <v>931291.0</v>
      </c>
      <c r="AO262" s="1">
        <v>931291.0</v>
      </c>
      <c r="AP262" s="1">
        <v>356.76</v>
      </c>
      <c r="AR262" s="1">
        <v>0.0</v>
      </c>
      <c r="AW262" s="1">
        <v>0.0</v>
      </c>
      <c r="AX262" s="1">
        <v>2.0</v>
      </c>
      <c r="AY262" s="1">
        <v>4.0</v>
      </c>
      <c r="AZ262" s="1">
        <v>1.0</v>
      </c>
      <c r="BA262" s="1">
        <v>1.0</v>
      </c>
      <c r="BB262" s="1">
        <v>1.0</v>
      </c>
      <c r="BC262" s="1">
        <v>0.0</v>
      </c>
      <c r="BD262" s="1">
        <v>0.13</v>
      </c>
      <c r="BE262" s="1">
        <v>0.0</v>
      </c>
      <c r="BF262" s="1">
        <v>0.0</v>
      </c>
      <c r="BG262" s="1">
        <v>0.0</v>
      </c>
      <c r="BH262" s="1">
        <v>0.0</v>
      </c>
      <c r="BI262" s="1">
        <v>0.0</v>
      </c>
      <c r="BJ262" s="1">
        <v>0.0</v>
      </c>
      <c r="BP262" s="1">
        <v>0.291</v>
      </c>
      <c r="BQ262" s="1" t="s">
        <v>1731</v>
      </c>
      <c r="BV262" s="1">
        <v>1.1</v>
      </c>
      <c r="EQ262" s="9" t="s">
        <v>1729</v>
      </c>
      <c r="ER262" s="21">
        <v>46045.2980787037</v>
      </c>
    </row>
    <row r="263">
      <c r="A263" s="9" t="s">
        <v>1732</v>
      </c>
      <c r="B263" s="20" t="str">
        <f>IFERROR(__xludf.DUMMYFUNCTION("REGEXREPLACE(A263, ""^https?://[^/]+"", """")"),"/wp-content/themes/salesxceleratione/assets/css/style.css?ver=1769123317")</f>
        <v>/wp-content/themes/salesxceleratione/assets/css/style.css?ver=1769123317</v>
      </c>
      <c r="F263" s="1" t="s">
        <v>1016</v>
      </c>
      <c r="G263" s="1">
        <v>200.0</v>
      </c>
      <c r="H263" s="1" t="s">
        <v>966</v>
      </c>
      <c r="I263" s="1" t="s">
        <v>967</v>
      </c>
      <c r="L263" s="1">
        <v>0.0</v>
      </c>
      <c r="M263" s="1">
        <v>0.0</v>
      </c>
      <c r="O263" s="1">
        <v>0.0</v>
      </c>
      <c r="P263" s="1">
        <v>0.0</v>
      </c>
      <c r="R263" s="1">
        <v>0.0</v>
      </c>
      <c r="S263" s="1">
        <v>0.0</v>
      </c>
      <c r="U263" s="1">
        <v>0.0</v>
      </c>
      <c r="W263" s="1">
        <v>0.0</v>
      </c>
      <c r="Y263" s="1">
        <v>0.0</v>
      </c>
      <c r="AA263" s="1">
        <v>0.0</v>
      </c>
      <c r="AC263" s="1">
        <v>0.0</v>
      </c>
      <c r="AM263" s="1">
        <v>17704.0</v>
      </c>
      <c r="AN263" s="1">
        <v>17704.0</v>
      </c>
      <c r="AO263" s="1">
        <v>17704.0</v>
      </c>
      <c r="AP263" s="1">
        <v>6.782</v>
      </c>
      <c r="AR263" s="1">
        <v>0.0</v>
      </c>
      <c r="AW263" s="1">
        <v>0.0</v>
      </c>
      <c r="AX263" s="1">
        <v>2.0</v>
      </c>
      <c r="AY263" s="1">
        <v>5.0</v>
      </c>
      <c r="BA263" s="1">
        <v>0.0</v>
      </c>
      <c r="BB263" s="1">
        <v>0.0</v>
      </c>
      <c r="BC263" s="1">
        <v>0.0</v>
      </c>
      <c r="BD263" s="1">
        <v>0.0</v>
      </c>
      <c r="BE263" s="1">
        <v>0.0</v>
      </c>
      <c r="BF263" s="1">
        <v>0.0</v>
      </c>
      <c r="BG263" s="1">
        <v>0.0</v>
      </c>
      <c r="BH263" s="1">
        <v>0.0</v>
      </c>
      <c r="BI263" s="1">
        <v>0.0</v>
      </c>
      <c r="BJ263" s="1">
        <v>0.0</v>
      </c>
      <c r="BP263" s="1">
        <v>0.285</v>
      </c>
      <c r="BQ263" s="1" t="s">
        <v>1733</v>
      </c>
      <c r="BV263" s="1">
        <v>1.1</v>
      </c>
      <c r="EQ263" s="9" t="s">
        <v>1732</v>
      </c>
      <c r="ER263" s="21">
        <v>46045.2980787037</v>
      </c>
    </row>
    <row r="264">
      <c r="A264" s="9" t="s">
        <v>1734</v>
      </c>
      <c r="B264" s="20" t="str">
        <f>IFERROR(__xludf.DUMMYFUNCTION("REGEXREPLACE(A264, ""^https?://[^/]+"", """")"),"/wp-content/uploads/2019/03/Case_Study_Manufacturing-thumb-2048x2048.jpg")</f>
        <v>/wp-content/uploads/2019/03/Case_Study_Manufacturing-thumb-2048x2048.jpg</v>
      </c>
      <c r="F264" s="1" t="s">
        <v>1004</v>
      </c>
      <c r="G264" s="1">
        <v>200.0</v>
      </c>
      <c r="H264" s="1" t="s">
        <v>966</v>
      </c>
      <c r="I264" s="1" t="s">
        <v>967</v>
      </c>
      <c r="L264" s="1">
        <v>0.0</v>
      </c>
      <c r="M264" s="1">
        <v>0.0</v>
      </c>
      <c r="O264" s="1">
        <v>0.0</v>
      </c>
      <c r="P264" s="1">
        <v>0.0</v>
      </c>
      <c r="R264" s="1">
        <v>0.0</v>
      </c>
      <c r="S264" s="1">
        <v>0.0</v>
      </c>
      <c r="U264" s="1">
        <v>0.0</v>
      </c>
      <c r="W264" s="1">
        <v>0.0</v>
      </c>
      <c r="Y264" s="1">
        <v>0.0</v>
      </c>
      <c r="AA264" s="1">
        <v>0.0</v>
      </c>
      <c r="AC264" s="1">
        <v>0.0</v>
      </c>
      <c r="AM264" s="1">
        <v>504406.0</v>
      </c>
      <c r="AN264" s="1">
        <v>504406.0</v>
      </c>
      <c r="AO264" s="1">
        <v>504406.0</v>
      </c>
      <c r="AP264" s="1">
        <v>193.228</v>
      </c>
      <c r="AR264" s="1">
        <v>0.0</v>
      </c>
      <c r="AW264" s="1">
        <v>0.0</v>
      </c>
      <c r="AX264" s="1">
        <v>2.0</v>
      </c>
      <c r="AY264" s="1">
        <v>4.0</v>
      </c>
      <c r="BA264" s="1">
        <v>0.0</v>
      </c>
      <c r="BB264" s="1">
        <v>0.0</v>
      </c>
      <c r="BC264" s="1">
        <v>0.0</v>
      </c>
      <c r="BD264" s="1">
        <v>0.0</v>
      </c>
      <c r="BE264" s="1">
        <v>0.0</v>
      </c>
      <c r="BF264" s="1">
        <v>0.0</v>
      </c>
      <c r="BG264" s="1">
        <v>0.0</v>
      </c>
      <c r="BH264" s="1">
        <v>0.0</v>
      </c>
      <c r="BI264" s="1">
        <v>0.0</v>
      </c>
      <c r="BJ264" s="1">
        <v>0.0</v>
      </c>
      <c r="BP264" s="1">
        <v>0.294</v>
      </c>
      <c r="BQ264" s="1" t="s">
        <v>1735</v>
      </c>
      <c r="BV264" s="1">
        <v>1.1</v>
      </c>
      <c r="EQ264" s="9" t="s">
        <v>1734</v>
      </c>
      <c r="ER264" s="21">
        <v>46045.2980787037</v>
      </c>
    </row>
    <row r="265">
      <c r="A265" s="9" t="s">
        <v>1736</v>
      </c>
      <c r="B265" s="20" t="str">
        <f>IFERROR(__xludf.DUMMYFUNCTION("REGEXREPLACE(A265, ""^https?://[^/]+"", """")"),"/wp-content/uploads/elementor/css/post-18440.css?ver=1768855616")</f>
        <v>/wp-content/uploads/elementor/css/post-18440.css?ver=1768855616</v>
      </c>
      <c r="F265" s="1" t="s">
        <v>1016</v>
      </c>
      <c r="G265" s="1">
        <v>200.0</v>
      </c>
      <c r="H265" s="1" t="s">
        <v>966</v>
      </c>
      <c r="I265" s="1" t="s">
        <v>967</v>
      </c>
      <c r="L265" s="1">
        <v>0.0</v>
      </c>
      <c r="M265" s="1">
        <v>0.0</v>
      </c>
      <c r="O265" s="1">
        <v>0.0</v>
      </c>
      <c r="P265" s="1">
        <v>0.0</v>
      </c>
      <c r="R265" s="1">
        <v>0.0</v>
      </c>
      <c r="S265" s="1">
        <v>0.0</v>
      </c>
      <c r="U265" s="1">
        <v>0.0</v>
      </c>
      <c r="W265" s="1">
        <v>0.0</v>
      </c>
      <c r="Y265" s="1">
        <v>0.0</v>
      </c>
      <c r="AA265" s="1">
        <v>0.0</v>
      </c>
      <c r="AC265" s="1">
        <v>0.0</v>
      </c>
      <c r="AM265" s="1">
        <v>1154.0</v>
      </c>
      <c r="AN265" s="1">
        <v>1154.0</v>
      </c>
      <c r="AO265" s="1">
        <v>1154.0</v>
      </c>
      <c r="AP265" s="1">
        <v>0.442</v>
      </c>
      <c r="AR265" s="1">
        <v>0.0</v>
      </c>
      <c r="AW265" s="1">
        <v>0.0</v>
      </c>
      <c r="AX265" s="1">
        <v>2.0</v>
      </c>
      <c r="AY265" s="1">
        <v>4.0</v>
      </c>
      <c r="BA265" s="1">
        <v>0.0</v>
      </c>
      <c r="BB265" s="1">
        <v>0.0</v>
      </c>
      <c r="BC265" s="1">
        <v>0.0</v>
      </c>
      <c r="BD265" s="1">
        <v>0.0</v>
      </c>
      <c r="BE265" s="1">
        <v>0.0</v>
      </c>
      <c r="BF265" s="1">
        <v>0.0</v>
      </c>
      <c r="BG265" s="1">
        <v>0.0</v>
      </c>
      <c r="BH265" s="1">
        <v>0.0</v>
      </c>
      <c r="BI265" s="1">
        <v>0.0</v>
      </c>
      <c r="BJ265" s="1">
        <v>0.0</v>
      </c>
      <c r="BP265" s="1">
        <v>0.296</v>
      </c>
      <c r="BQ265" s="1" t="s">
        <v>1737</v>
      </c>
      <c r="BV265" s="1">
        <v>1.1</v>
      </c>
      <c r="EQ265" s="9" t="s">
        <v>1736</v>
      </c>
      <c r="ER265" s="21">
        <v>46045.2980787037</v>
      </c>
    </row>
    <row r="266">
      <c r="A266" s="9" t="s">
        <v>1738</v>
      </c>
      <c r="B266" s="20" t="str">
        <f>IFERROR(__xludf.DUMMYFUNCTION("REGEXREPLACE(A266, ""^https?://[^/]+"", """")"),"/case-study/manufacturing/")</f>
        <v>/case-study/manufacturing/</v>
      </c>
      <c r="C266" s="1" t="s">
        <v>1739</v>
      </c>
      <c r="F266" s="1" t="s">
        <v>965</v>
      </c>
      <c r="G266" s="1">
        <v>200.0</v>
      </c>
      <c r="H266" s="1" t="s">
        <v>966</v>
      </c>
      <c r="I266" s="1" t="s">
        <v>967</v>
      </c>
      <c r="K266" s="1" t="s">
        <v>1740</v>
      </c>
      <c r="L266" s="1">
        <v>101.0</v>
      </c>
      <c r="M266" s="1">
        <v>906.0</v>
      </c>
      <c r="O266" s="1">
        <v>0.0</v>
      </c>
      <c r="P266" s="1">
        <v>0.0</v>
      </c>
      <c r="Q266" s="1" t="s">
        <v>1741</v>
      </c>
      <c r="R266" s="1">
        <v>152.0</v>
      </c>
      <c r="S266" s="1">
        <v>942.0</v>
      </c>
      <c r="U266" s="1">
        <v>0.0</v>
      </c>
      <c r="V266" s="1" t="s">
        <v>1739</v>
      </c>
      <c r="W266" s="1">
        <v>63.0</v>
      </c>
      <c r="Y266" s="1">
        <v>0.0</v>
      </c>
      <c r="AA266" s="1">
        <v>0.0</v>
      </c>
      <c r="AC266" s="1">
        <v>0.0</v>
      </c>
      <c r="AD266" s="1" t="s">
        <v>971</v>
      </c>
      <c r="AG266" s="9" t="s">
        <v>1738</v>
      </c>
      <c r="AM266" s="1">
        <v>170646.0</v>
      </c>
      <c r="AN266" s="1">
        <v>30832.0</v>
      </c>
      <c r="AO266" s="1">
        <v>30832.0</v>
      </c>
      <c r="AP266" s="1">
        <v>11.811</v>
      </c>
      <c r="AR266" s="1">
        <v>592.0</v>
      </c>
      <c r="AS266" s="1">
        <v>104.0</v>
      </c>
      <c r="AT266" s="1">
        <v>5.692</v>
      </c>
      <c r="AU266" s="1">
        <v>59.295</v>
      </c>
      <c r="AV266" s="1" t="s">
        <v>972</v>
      </c>
      <c r="AW266" s="1">
        <v>3.566</v>
      </c>
      <c r="AX266" s="1">
        <v>2.0</v>
      </c>
      <c r="AY266" s="1">
        <v>2.0</v>
      </c>
      <c r="AZ266" s="1">
        <v>1.0</v>
      </c>
      <c r="BA266" s="1">
        <v>19.0</v>
      </c>
      <c r="BB266" s="1">
        <v>17.0</v>
      </c>
      <c r="BC266" s="1">
        <v>0.0</v>
      </c>
      <c r="BD266" s="1">
        <v>2.25</v>
      </c>
      <c r="BE266" s="1">
        <v>127.0</v>
      </c>
      <c r="BF266" s="1">
        <v>47.0</v>
      </c>
      <c r="BG266" s="1">
        <v>0.0</v>
      </c>
      <c r="BH266" s="1">
        <v>16.0</v>
      </c>
      <c r="BI266" s="1">
        <v>8.0</v>
      </c>
      <c r="BJ266" s="1">
        <v>0.0</v>
      </c>
      <c r="BO266" s="1" t="s">
        <v>1742</v>
      </c>
      <c r="BP266" s="1">
        <v>0.977</v>
      </c>
      <c r="BU266" s="1" t="s">
        <v>974</v>
      </c>
      <c r="BV266" s="1">
        <v>1.1</v>
      </c>
      <c r="BW266" s="1">
        <v>49.0</v>
      </c>
      <c r="BX266" s="1">
        <v>4201.037</v>
      </c>
      <c r="BY266" s="1">
        <v>7469.634</v>
      </c>
      <c r="BZ266" s="1">
        <v>11701.107</v>
      </c>
      <c r="CA266" s="1">
        <v>18151.547</v>
      </c>
      <c r="CB266" s="1">
        <v>444.0</v>
      </c>
      <c r="CC266" s="1">
        <v>0.0</v>
      </c>
      <c r="CD266" s="1">
        <v>650617.0</v>
      </c>
      <c r="CE266" s="1">
        <v>1950.0</v>
      </c>
      <c r="CF266" s="1">
        <v>176.0</v>
      </c>
      <c r="CG266" s="1">
        <v>2498251.0</v>
      </c>
      <c r="CH266" s="1">
        <v>31642.0</v>
      </c>
      <c r="CI266" s="1">
        <v>2.0</v>
      </c>
      <c r="CJ266" s="1">
        <v>292999.0</v>
      </c>
      <c r="CK266" s="1">
        <v>31.0</v>
      </c>
      <c r="CL266" s="1">
        <v>115921.0</v>
      </c>
      <c r="CM266" s="1">
        <v>41.0</v>
      </c>
      <c r="CN266" s="1">
        <v>1747951.0</v>
      </c>
      <c r="CO266" s="1">
        <v>68.0</v>
      </c>
      <c r="CP266" s="1">
        <v>284722.0</v>
      </c>
      <c r="CQ266" s="1">
        <v>6.0</v>
      </c>
      <c r="CR266" s="1">
        <v>0.0</v>
      </c>
      <c r="CS266" s="1">
        <v>0.0</v>
      </c>
      <c r="CT266" s="1">
        <v>25016.0</v>
      </c>
      <c r="CU266" s="1">
        <v>28.0</v>
      </c>
      <c r="CV266" s="1">
        <v>1504544.0</v>
      </c>
      <c r="CW266" s="1">
        <v>67.0</v>
      </c>
      <c r="DC266" s="1">
        <v>150.0</v>
      </c>
      <c r="DD266" s="1">
        <v>5075.0</v>
      </c>
      <c r="DE266" s="1">
        <v>0.0</v>
      </c>
      <c r="DF266" s="1">
        <v>3396.0</v>
      </c>
      <c r="DG266" s="1">
        <v>750.0</v>
      </c>
      <c r="DH266" s="1">
        <v>50604.0</v>
      </c>
      <c r="DI266" s="1">
        <v>1050.0</v>
      </c>
      <c r="DJ266" s="1">
        <v>591542.0</v>
      </c>
      <c r="DK266" s="1">
        <v>1561.604</v>
      </c>
      <c r="DL266" s="1" t="s">
        <v>975</v>
      </c>
      <c r="DM266" s="1">
        <v>2809.833</v>
      </c>
      <c r="DN266" s="1" t="s">
        <v>975</v>
      </c>
      <c r="DO266" s="1">
        <v>2497204.0</v>
      </c>
      <c r="DP266" s="1">
        <v>1.0</v>
      </c>
      <c r="DQ266" s="1" t="s">
        <v>976</v>
      </c>
      <c r="DR266" s="1" t="s">
        <v>1743</v>
      </c>
      <c r="DS266" s="1" t="s">
        <v>978</v>
      </c>
      <c r="DU266" s="1" t="s">
        <v>980</v>
      </c>
      <c r="DV266" s="1">
        <v>13545.0</v>
      </c>
      <c r="DX266" s="1">
        <v>4064.0</v>
      </c>
      <c r="DY266" s="1">
        <v>708243.0</v>
      </c>
      <c r="EA266" s="1">
        <v>787.0</v>
      </c>
      <c r="EB266" s="1">
        <v>88360.0</v>
      </c>
      <c r="EC266" s="1">
        <v>1.0</v>
      </c>
      <c r="ED266" s="1">
        <v>26492.0</v>
      </c>
      <c r="EF266" s="1">
        <v>220.0</v>
      </c>
      <c r="EG266" s="1" t="s">
        <v>982</v>
      </c>
      <c r="EH266" s="1">
        <v>100.0</v>
      </c>
      <c r="EK266" s="1">
        <v>100.0</v>
      </c>
      <c r="EQ266" s="9" t="s">
        <v>1738</v>
      </c>
      <c r="ER266" s="21">
        <v>46045.29806712963</v>
      </c>
    </row>
    <row r="267">
      <c r="A267" s="9" t="s">
        <v>1744</v>
      </c>
      <c r="B267" s="20" t="str">
        <f>IFERROR(__xludf.DUMMYFUNCTION("REGEXREPLACE(A267, ""^https?://[^/]+"", """")"),"/case-study/storage-tank-manufacturer/")</f>
        <v>/case-study/storage-tank-manufacturer/</v>
      </c>
      <c r="C267" s="1" t="s">
        <v>1745</v>
      </c>
      <c r="F267" s="1" t="s">
        <v>965</v>
      </c>
      <c r="G267" s="1">
        <v>200.0</v>
      </c>
      <c r="H267" s="1" t="s">
        <v>966</v>
      </c>
      <c r="I267" s="1" t="s">
        <v>967</v>
      </c>
      <c r="K267" s="1" t="s">
        <v>1746</v>
      </c>
      <c r="L267" s="1">
        <v>115.0</v>
      </c>
      <c r="M267" s="1">
        <v>1057.0</v>
      </c>
      <c r="O267" s="1">
        <v>0.0</v>
      </c>
      <c r="P267" s="1">
        <v>0.0</v>
      </c>
      <c r="Q267" s="1" t="s">
        <v>1747</v>
      </c>
      <c r="R267" s="1">
        <v>111.0</v>
      </c>
      <c r="S267" s="1">
        <v>695.0</v>
      </c>
      <c r="U267" s="1">
        <v>0.0</v>
      </c>
      <c r="V267" s="1" t="s">
        <v>1745</v>
      </c>
      <c r="W267" s="1">
        <v>77.0</v>
      </c>
      <c r="Y267" s="1">
        <v>0.0</v>
      </c>
      <c r="AA267" s="1">
        <v>0.0</v>
      </c>
      <c r="AC267" s="1">
        <v>0.0</v>
      </c>
      <c r="AD267" s="1" t="s">
        <v>971</v>
      </c>
      <c r="AG267" s="9" t="s">
        <v>1744</v>
      </c>
      <c r="AM267" s="1">
        <v>171144.0</v>
      </c>
      <c r="AN267" s="1">
        <v>30870.0</v>
      </c>
      <c r="AO267" s="1">
        <v>30870.0</v>
      </c>
      <c r="AP267" s="1">
        <v>11.826</v>
      </c>
      <c r="AR267" s="1">
        <v>597.0</v>
      </c>
      <c r="AS267" s="1">
        <v>103.0</v>
      </c>
      <c r="AT267" s="1">
        <v>5.796</v>
      </c>
      <c r="AU267" s="1">
        <v>59.81</v>
      </c>
      <c r="AV267" s="1" t="s">
        <v>972</v>
      </c>
      <c r="AW267" s="1">
        <v>3.566</v>
      </c>
      <c r="AX267" s="1">
        <v>2.0</v>
      </c>
      <c r="AY267" s="1">
        <v>2.0</v>
      </c>
      <c r="AZ267" s="1">
        <v>1.0</v>
      </c>
      <c r="BA267" s="1">
        <v>19.0</v>
      </c>
      <c r="BB267" s="1">
        <v>17.0</v>
      </c>
      <c r="BC267" s="1">
        <v>0.0</v>
      </c>
      <c r="BD267" s="1">
        <v>2.25</v>
      </c>
      <c r="BE267" s="1">
        <v>127.0</v>
      </c>
      <c r="BF267" s="1">
        <v>47.0</v>
      </c>
      <c r="BG267" s="1">
        <v>0.0</v>
      </c>
      <c r="BH267" s="1">
        <v>16.0</v>
      </c>
      <c r="BI267" s="1">
        <v>8.0</v>
      </c>
      <c r="BJ267" s="1">
        <v>0.0</v>
      </c>
      <c r="BO267" s="1" t="s">
        <v>1748</v>
      </c>
      <c r="BP267" s="1">
        <v>0.975</v>
      </c>
      <c r="BU267" s="1" t="s">
        <v>974</v>
      </c>
      <c r="BV267" s="1">
        <v>1.1</v>
      </c>
      <c r="BW267" s="1">
        <v>53.0</v>
      </c>
      <c r="BX267" s="1">
        <v>4051.041</v>
      </c>
      <c r="BY267" s="1">
        <v>7701.825</v>
      </c>
      <c r="BZ267" s="1">
        <v>11551.123</v>
      </c>
      <c r="CA267" s="1">
        <v>18084.809</v>
      </c>
      <c r="CB267" s="1">
        <v>304.5</v>
      </c>
      <c r="CC267" s="1">
        <v>0.0</v>
      </c>
      <c r="CD267" s="1">
        <v>651767.0</v>
      </c>
      <c r="CE267" s="1">
        <v>1500.0</v>
      </c>
      <c r="CF267" s="1">
        <v>175.0</v>
      </c>
      <c r="CG267" s="1">
        <v>2455861.0</v>
      </c>
      <c r="CH267" s="1">
        <v>31665.0</v>
      </c>
      <c r="CI267" s="1">
        <v>2.0</v>
      </c>
      <c r="CJ267" s="1">
        <v>250822.0</v>
      </c>
      <c r="CK267" s="1">
        <v>30.0</v>
      </c>
      <c r="CL267" s="1">
        <v>115922.0</v>
      </c>
      <c r="CM267" s="1">
        <v>41.0</v>
      </c>
      <c r="CN267" s="1">
        <v>1748006.0</v>
      </c>
      <c r="CO267" s="1">
        <v>68.0</v>
      </c>
      <c r="CP267" s="1">
        <v>284721.0</v>
      </c>
      <c r="CQ267" s="1">
        <v>6.0</v>
      </c>
      <c r="CR267" s="1">
        <v>0.0</v>
      </c>
      <c r="CS267" s="1">
        <v>0.0</v>
      </c>
      <c r="CT267" s="1">
        <v>24725.0</v>
      </c>
      <c r="CU267" s="1">
        <v>28.0</v>
      </c>
      <c r="CV267" s="1">
        <v>1504226.0</v>
      </c>
      <c r="CW267" s="1">
        <v>67.0</v>
      </c>
      <c r="DC267" s="1">
        <v>0.0</v>
      </c>
      <c r="DD267" s="1">
        <v>5075.0</v>
      </c>
      <c r="DE267" s="1">
        <v>0.0</v>
      </c>
      <c r="DF267" s="1">
        <v>3396.0</v>
      </c>
      <c r="DG267" s="1">
        <v>600.0</v>
      </c>
      <c r="DH267" s="1">
        <v>50607.0</v>
      </c>
      <c r="DI267" s="1">
        <v>900.0</v>
      </c>
      <c r="DJ267" s="1">
        <v>592689.0</v>
      </c>
      <c r="DK267" s="1">
        <v>1382.677</v>
      </c>
      <c r="DL267" s="1" t="s">
        <v>975</v>
      </c>
      <c r="DM267" s="1">
        <v>2679.424</v>
      </c>
      <c r="DN267" s="1" t="s">
        <v>975</v>
      </c>
      <c r="DO267" s="1">
        <v>2454814.0</v>
      </c>
      <c r="DP267" s="1">
        <v>1.0</v>
      </c>
      <c r="DQ267" s="1" t="s">
        <v>976</v>
      </c>
      <c r="DR267" s="1" t="s">
        <v>1064</v>
      </c>
      <c r="DS267" s="1" t="s">
        <v>978</v>
      </c>
      <c r="DU267" s="1" t="s">
        <v>980</v>
      </c>
      <c r="DV267" s="1">
        <v>13545.0</v>
      </c>
      <c r="DX267" s="1">
        <v>4011.0</v>
      </c>
      <c r="DY267" s="1">
        <v>691381.0</v>
      </c>
      <c r="EA267" s="1">
        <v>787.0</v>
      </c>
      <c r="EB267" s="1">
        <v>69287.0</v>
      </c>
      <c r="EC267" s="1">
        <v>1.0</v>
      </c>
      <c r="ED267" s="1">
        <v>26492.0</v>
      </c>
      <c r="EF267" s="1">
        <v>245.0</v>
      </c>
      <c r="EG267" s="1" t="s">
        <v>982</v>
      </c>
      <c r="EH267" s="1">
        <v>100.0</v>
      </c>
      <c r="EK267" s="1">
        <v>100.0</v>
      </c>
      <c r="EQ267" s="9" t="s">
        <v>1744</v>
      </c>
      <c r="ER267" s="21">
        <v>46045.2980787037</v>
      </c>
    </row>
    <row r="268">
      <c r="A268" s="9" t="s">
        <v>1749</v>
      </c>
      <c r="B268" s="20" t="str">
        <f>IFERROR(__xludf.DUMMYFUNCTION("REGEXREPLACE(A268, ""^https?://[^/]+"", """")"),"/wp-content/uploads/2022/03/Case-Study_Healthcare_SX-1-thumb-2048x2048.jpg")</f>
        <v>/wp-content/uploads/2022/03/Case-Study_Healthcare_SX-1-thumb-2048x2048.jpg</v>
      </c>
      <c r="F268" s="1" t="s">
        <v>1004</v>
      </c>
      <c r="G268" s="1">
        <v>200.0</v>
      </c>
      <c r="H268" s="1" t="s">
        <v>966</v>
      </c>
      <c r="I268" s="1" t="s">
        <v>967</v>
      </c>
      <c r="L268" s="1">
        <v>0.0</v>
      </c>
      <c r="M268" s="1">
        <v>0.0</v>
      </c>
      <c r="O268" s="1">
        <v>0.0</v>
      </c>
      <c r="P268" s="1">
        <v>0.0</v>
      </c>
      <c r="R268" s="1">
        <v>0.0</v>
      </c>
      <c r="S268" s="1">
        <v>0.0</v>
      </c>
      <c r="U268" s="1">
        <v>0.0</v>
      </c>
      <c r="W268" s="1">
        <v>0.0</v>
      </c>
      <c r="Y268" s="1">
        <v>0.0</v>
      </c>
      <c r="AA268" s="1">
        <v>0.0</v>
      </c>
      <c r="AC268" s="1">
        <v>0.0</v>
      </c>
      <c r="AM268" s="1">
        <v>687913.0</v>
      </c>
      <c r="AN268" s="1">
        <v>687913.0</v>
      </c>
      <c r="AO268" s="1">
        <v>687913.0</v>
      </c>
      <c r="AP268" s="1">
        <v>263.526</v>
      </c>
      <c r="AR268" s="1">
        <v>0.0</v>
      </c>
      <c r="AW268" s="1">
        <v>0.0</v>
      </c>
      <c r="AX268" s="1">
        <v>2.0</v>
      </c>
      <c r="AY268" s="1">
        <v>4.0</v>
      </c>
      <c r="BA268" s="1">
        <v>0.0</v>
      </c>
      <c r="BB268" s="1">
        <v>0.0</v>
      </c>
      <c r="BC268" s="1">
        <v>0.0</v>
      </c>
      <c r="BD268" s="1">
        <v>0.0</v>
      </c>
      <c r="BE268" s="1">
        <v>0.0</v>
      </c>
      <c r="BF268" s="1">
        <v>0.0</v>
      </c>
      <c r="BG268" s="1">
        <v>0.0</v>
      </c>
      <c r="BH268" s="1">
        <v>0.0</v>
      </c>
      <c r="BI268" s="1">
        <v>0.0</v>
      </c>
      <c r="BJ268" s="1">
        <v>0.0</v>
      </c>
      <c r="BP268" s="1">
        <v>0.29</v>
      </c>
      <c r="BQ268" s="1" t="s">
        <v>1750</v>
      </c>
      <c r="BV268" s="1">
        <v>1.1</v>
      </c>
      <c r="EQ268" s="9" t="s">
        <v>1749</v>
      </c>
      <c r="ER268" s="21">
        <v>46045.29809027778</v>
      </c>
    </row>
    <row r="269">
      <c r="A269" s="9" t="s">
        <v>1751</v>
      </c>
      <c r="B269" s="20" t="str">
        <f>IFERROR(__xludf.DUMMYFUNCTION("REGEXREPLACE(A269, ""^https?://[^/]+"", """")"),"/wp-content/uploads/2019/11/healthcare-thumb-1-2048x2048.jpg")</f>
        <v>/wp-content/uploads/2019/11/healthcare-thumb-1-2048x2048.jpg</v>
      </c>
      <c r="F269" s="1" t="s">
        <v>1004</v>
      </c>
      <c r="G269" s="1">
        <v>200.0</v>
      </c>
      <c r="H269" s="1" t="s">
        <v>966</v>
      </c>
      <c r="I269" s="1" t="s">
        <v>967</v>
      </c>
      <c r="L269" s="1">
        <v>0.0</v>
      </c>
      <c r="M269" s="1">
        <v>0.0</v>
      </c>
      <c r="O269" s="1">
        <v>0.0</v>
      </c>
      <c r="P269" s="1">
        <v>0.0</v>
      </c>
      <c r="R269" s="1">
        <v>0.0</v>
      </c>
      <c r="S269" s="1">
        <v>0.0</v>
      </c>
      <c r="U269" s="1">
        <v>0.0</v>
      </c>
      <c r="W269" s="1">
        <v>0.0</v>
      </c>
      <c r="Y269" s="1">
        <v>0.0</v>
      </c>
      <c r="AA269" s="1">
        <v>0.0</v>
      </c>
      <c r="AC269" s="1">
        <v>0.0</v>
      </c>
      <c r="AM269" s="1">
        <v>264965.0</v>
      </c>
      <c r="AN269" s="1">
        <v>264965.0</v>
      </c>
      <c r="AO269" s="1">
        <v>264965.0</v>
      </c>
      <c r="AP269" s="1">
        <v>101.503</v>
      </c>
      <c r="AR269" s="1">
        <v>0.0</v>
      </c>
      <c r="AW269" s="1">
        <v>0.0</v>
      </c>
      <c r="AX269" s="1">
        <v>2.0</v>
      </c>
      <c r="AY269" s="1">
        <v>4.0</v>
      </c>
      <c r="BA269" s="1">
        <v>0.0</v>
      </c>
      <c r="BB269" s="1">
        <v>0.0</v>
      </c>
      <c r="BC269" s="1">
        <v>0.0</v>
      </c>
      <c r="BD269" s="1">
        <v>0.0</v>
      </c>
      <c r="BE269" s="1">
        <v>0.0</v>
      </c>
      <c r="BF269" s="1">
        <v>0.0</v>
      </c>
      <c r="BG269" s="1">
        <v>0.0</v>
      </c>
      <c r="BH269" s="1">
        <v>0.0</v>
      </c>
      <c r="BI269" s="1">
        <v>0.0</v>
      </c>
      <c r="BJ269" s="1">
        <v>0.0</v>
      </c>
      <c r="BP269" s="1">
        <v>0.296</v>
      </c>
      <c r="BQ269" s="1" t="s">
        <v>1752</v>
      </c>
      <c r="BV269" s="1">
        <v>1.1</v>
      </c>
      <c r="EQ269" s="9" t="s">
        <v>1751</v>
      </c>
      <c r="ER269" s="21">
        <v>46045.29809027778</v>
      </c>
    </row>
    <row r="270">
      <c r="A270" s="9" t="s">
        <v>1753</v>
      </c>
      <c r="B270" s="20" t="str">
        <f>IFERROR(__xludf.DUMMYFUNCTION("REGEXREPLACE(A270, ""^https?://[^/]+"", """")"),"/wp-content/uploads/2021/02/Case-Study_Consulting_SX.pdf")</f>
        <v>/wp-content/uploads/2021/02/Case-Study_Consulting_SX.pdf</v>
      </c>
      <c r="F270" s="1" t="s">
        <v>1730</v>
      </c>
      <c r="G270" s="1">
        <v>200.0</v>
      </c>
      <c r="H270" s="1" t="s">
        <v>966</v>
      </c>
      <c r="I270" s="1" t="s">
        <v>967</v>
      </c>
      <c r="L270" s="1">
        <v>0.0</v>
      </c>
      <c r="M270" s="1">
        <v>0.0</v>
      </c>
      <c r="O270" s="1">
        <v>0.0</v>
      </c>
      <c r="P270" s="1">
        <v>0.0</v>
      </c>
      <c r="R270" s="1">
        <v>0.0</v>
      </c>
      <c r="S270" s="1">
        <v>0.0</v>
      </c>
      <c r="U270" s="1">
        <v>0.0</v>
      </c>
      <c r="W270" s="1">
        <v>0.0</v>
      </c>
      <c r="Y270" s="1">
        <v>0.0</v>
      </c>
      <c r="AA270" s="1">
        <v>0.0</v>
      </c>
      <c r="AC270" s="1">
        <v>0.0</v>
      </c>
      <c r="AM270" s="1">
        <v>1035910.0</v>
      </c>
      <c r="AN270" s="1">
        <v>1035910.0</v>
      </c>
      <c r="AO270" s="1">
        <v>1035910.0</v>
      </c>
      <c r="AP270" s="1">
        <v>396.837</v>
      </c>
      <c r="AR270" s="1">
        <v>0.0</v>
      </c>
      <c r="AW270" s="1">
        <v>0.0</v>
      </c>
      <c r="AX270" s="1">
        <v>2.0</v>
      </c>
      <c r="AY270" s="1">
        <v>4.0</v>
      </c>
      <c r="AZ270" s="1">
        <v>1.0</v>
      </c>
      <c r="BA270" s="1">
        <v>1.0</v>
      </c>
      <c r="BB270" s="1">
        <v>1.0</v>
      </c>
      <c r="BC270" s="1">
        <v>0.0</v>
      </c>
      <c r="BD270" s="1">
        <v>0.13</v>
      </c>
      <c r="BE270" s="1">
        <v>0.0</v>
      </c>
      <c r="BF270" s="1">
        <v>0.0</v>
      </c>
      <c r="BG270" s="1">
        <v>0.0</v>
      </c>
      <c r="BH270" s="1">
        <v>0.0</v>
      </c>
      <c r="BI270" s="1">
        <v>0.0</v>
      </c>
      <c r="BJ270" s="1">
        <v>0.0</v>
      </c>
      <c r="BP270" s="1">
        <v>0.324</v>
      </c>
      <c r="BQ270" s="1" t="s">
        <v>1754</v>
      </c>
      <c r="BV270" s="1">
        <v>1.1</v>
      </c>
      <c r="EQ270" s="9" t="s">
        <v>1753</v>
      </c>
      <c r="ER270" s="21">
        <v>46045.29809027778</v>
      </c>
    </row>
    <row r="271">
      <c r="A271" s="9" t="s">
        <v>1755</v>
      </c>
      <c r="B271" s="20" t="str">
        <f>IFERROR(__xludf.DUMMYFUNCTION("REGEXREPLACE(A271, ""^https?://[^/]+"", """")"),"/case-study/air-gauge-station-manufacturer/")</f>
        <v>/case-study/air-gauge-station-manufacturer/</v>
      </c>
      <c r="C271" s="1" t="s">
        <v>1756</v>
      </c>
      <c r="F271" s="1" t="s">
        <v>965</v>
      </c>
      <c r="G271" s="1">
        <v>200.0</v>
      </c>
      <c r="H271" s="1" t="s">
        <v>966</v>
      </c>
      <c r="I271" s="1" t="s">
        <v>967</v>
      </c>
      <c r="K271" s="1" t="s">
        <v>1757</v>
      </c>
      <c r="L271" s="1">
        <v>106.0</v>
      </c>
      <c r="M271" s="1">
        <v>972.0</v>
      </c>
      <c r="O271" s="1">
        <v>0.0</v>
      </c>
      <c r="P271" s="1">
        <v>0.0</v>
      </c>
      <c r="Q271" s="1" t="s">
        <v>1758</v>
      </c>
      <c r="R271" s="1">
        <v>119.0</v>
      </c>
      <c r="S271" s="1">
        <v>722.0</v>
      </c>
      <c r="U271" s="1">
        <v>0.0</v>
      </c>
      <c r="V271" s="1" t="s">
        <v>1756</v>
      </c>
      <c r="W271" s="1">
        <v>68.0</v>
      </c>
      <c r="Y271" s="1">
        <v>0.0</v>
      </c>
      <c r="AA271" s="1">
        <v>0.0</v>
      </c>
      <c r="AC271" s="1">
        <v>0.0</v>
      </c>
      <c r="AD271" s="1" t="s">
        <v>971</v>
      </c>
      <c r="AG271" s="9" t="s">
        <v>1755</v>
      </c>
      <c r="AM271" s="1">
        <v>170785.0</v>
      </c>
      <c r="AN271" s="1">
        <v>30849.0</v>
      </c>
      <c r="AO271" s="1">
        <v>30849.0</v>
      </c>
      <c r="AP271" s="1">
        <v>11.818</v>
      </c>
      <c r="AR271" s="1">
        <v>597.0</v>
      </c>
      <c r="AS271" s="1">
        <v>103.0</v>
      </c>
      <c r="AT271" s="1">
        <v>5.796</v>
      </c>
      <c r="AU271" s="1">
        <v>59.81</v>
      </c>
      <c r="AV271" s="1" t="s">
        <v>972</v>
      </c>
      <c r="AW271" s="1">
        <v>3.573</v>
      </c>
      <c r="AX271" s="1">
        <v>2.0</v>
      </c>
      <c r="AY271" s="1">
        <v>2.0</v>
      </c>
      <c r="AZ271" s="1">
        <v>2.0</v>
      </c>
      <c r="BA271" s="1">
        <v>19.0</v>
      </c>
      <c r="BB271" s="1">
        <v>17.0</v>
      </c>
      <c r="BC271" s="1">
        <v>0.0</v>
      </c>
      <c r="BD271" s="1">
        <v>2.25</v>
      </c>
      <c r="BE271" s="1">
        <v>127.0</v>
      </c>
      <c r="BF271" s="1">
        <v>47.0</v>
      </c>
      <c r="BG271" s="1">
        <v>0.0</v>
      </c>
      <c r="BH271" s="1">
        <v>16.0</v>
      </c>
      <c r="BI271" s="1">
        <v>8.0</v>
      </c>
      <c r="BJ271" s="1">
        <v>0.0</v>
      </c>
      <c r="BO271" s="1" t="s">
        <v>1759</v>
      </c>
      <c r="BP271" s="1">
        <v>1.005</v>
      </c>
      <c r="BU271" s="1" t="s">
        <v>974</v>
      </c>
      <c r="BV271" s="1">
        <v>1.1</v>
      </c>
      <c r="BW271" s="1">
        <v>54.0</v>
      </c>
      <c r="BX271" s="1">
        <v>4201.028</v>
      </c>
      <c r="BY271" s="1">
        <v>8574.958</v>
      </c>
      <c r="BZ271" s="1">
        <v>11551.08</v>
      </c>
      <c r="CA271" s="1">
        <v>18134.172</v>
      </c>
      <c r="CB271" s="1">
        <v>258.5</v>
      </c>
      <c r="CC271" s="1">
        <v>0.0</v>
      </c>
      <c r="CD271" s="1">
        <v>651678.0</v>
      </c>
      <c r="CE271" s="1">
        <v>1350.0</v>
      </c>
      <c r="CF271" s="1">
        <v>176.0</v>
      </c>
      <c r="CG271" s="1">
        <v>2498085.0</v>
      </c>
      <c r="CH271" s="1">
        <v>31670.0</v>
      </c>
      <c r="CI271" s="1">
        <v>2.0</v>
      </c>
      <c r="CJ271" s="1">
        <v>291650.0</v>
      </c>
      <c r="CK271" s="1">
        <v>31.0</v>
      </c>
      <c r="CL271" s="1">
        <v>116790.0</v>
      </c>
      <c r="CM271" s="1">
        <v>41.0</v>
      </c>
      <c r="CN271" s="1">
        <v>1747858.0</v>
      </c>
      <c r="CO271" s="1">
        <v>68.0</v>
      </c>
      <c r="CP271" s="1">
        <v>284722.0</v>
      </c>
      <c r="CQ271" s="1">
        <v>6.0</v>
      </c>
      <c r="CR271" s="1">
        <v>0.0</v>
      </c>
      <c r="CS271" s="1">
        <v>0.0</v>
      </c>
      <c r="CT271" s="1">
        <v>25395.0</v>
      </c>
      <c r="CU271" s="1">
        <v>28.0</v>
      </c>
      <c r="CV271" s="1">
        <v>1505610.0</v>
      </c>
      <c r="CW271" s="1">
        <v>67.0</v>
      </c>
      <c r="DC271" s="1">
        <v>0.0</v>
      </c>
      <c r="DD271" s="1">
        <v>5075.0</v>
      </c>
      <c r="DE271" s="1">
        <v>0.0</v>
      </c>
      <c r="DF271" s="1">
        <v>3396.0</v>
      </c>
      <c r="DG271" s="1">
        <v>600.0</v>
      </c>
      <c r="DH271" s="1">
        <v>50605.0</v>
      </c>
      <c r="DI271" s="1">
        <v>750.0</v>
      </c>
      <c r="DJ271" s="1">
        <v>592602.0</v>
      </c>
      <c r="DK271" s="1">
        <v>1540.83</v>
      </c>
      <c r="DL271" s="1" t="s">
        <v>975</v>
      </c>
      <c r="DM271" s="1">
        <v>2772.124</v>
      </c>
      <c r="DN271" s="1" t="s">
        <v>975</v>
      </c>
      <c r="DO271" s="1">
        <v>2497038.0</v>
      </c>
      <c r="DP271" s="1">
        <v>1.0</v>
      </c>
      <c r="DQ271" s="1" t="s">
        <v>976</v>
      </c>
      <c r="DR271" s="1" t="s">
        <v>1464</v>
      </c>
      <c r="DS271" s="1" t="s">
        <v>978</v>
      </c>
      <c r="DU271" s="1" t="s">
        <v>980</v>
      </c>
      <c r="DV271" s="1">
        <v>14393.0</v>
      </c>
      <c r="DX271" s="1">
        <v>4130.0</v>
      </c>
      <c r="DY271" s="1">
        <v>707711.0</v>
      </c>
      <c r="EA271" s="1">
        <v>787.0</v>
      </c>
      <c r="EB271" s="1">
        <v>78633.0</v>
      </c>
      <c r="EC271" s="1">
        <v>1.0</v>
      </c>
      <c r="ED271" s="1">
        <v>26492.0</v>
      </c>
      <c r="EF271" s="1">
        <v>230.0</v>
      </c>
      <c r="EG271" s="1" t="s">
        <v>982</v>
      </c>
      <c r="EH271" s="1">
        <v>100.0</v>
      </c>
      <c r="EK271" s="1">
        <v>100.0</v>
      </c>
      <c r="EQ271" s="9" t="s">
        <v>1755</v>
      </c>
      <c r="ER271" s="21">
        <v>46045.2980787037</v>
      </c>
    </row>
    <row r="272">
      <c r="A272" s="9" t="s">
        <v>1760</v>
      </c>
      <c r="B272" s="20" t="str">
        <f>IFERROR(__xludf.DUMMYFUNCTION("REGEXREPLACE(A272, ""^https?://[^/]+"", """")"),"/case-study/food-industry/")</f>
        <v>/case-study/food-industry/</v>
      </c>
      <c r="C272" s="1" t="s">
        <v>1761</v>
      </c>
      <c r="F272" s="1" t="s">
        <v>965</v>
      </c>
      <c r="G272" s="1">
        <v>200.0</v>
      </c>
      <c r="H272" s="1" t="s">
        <v>966</v>
      </c>
      <c r="I272" s="1" t="s">
        <v>967</v>
      </c>
      <c r="K272" s="1" t="s">
        <v>1762</v>
      </c>
      <c r="L272" s="1">
        <v>99.0</v>
      </c>
      <c r="M272" s="1">
        <v>882.0</v>
      </c>
      <c r="O272" s="1">
        <v>0.0</v>
      </c>
      <c r="P272" s="1">
        <v>0.0</v>
      </c>
      <c r="Q272" s="1" t="s">
        <v>1763</v>
      </c>
      <c r="R272" s="1">
        <v>105.0</v>
      </c>
      <c r="S272" s="1">
        <v>664.0</v>
      </c>
      <c r="U272" s="1">
        <v>0.0</v>
      </c>
      <c r="V272" s="1" t="s">
        <v>1761</v>
      </c>
      <c r="W272" s="1">
        <v>61.0</v>
      </c>
      <c r="Y272" s="1">
        <v>0.0</v>
      </c>
      <c r="AA272" s="1">
        <v>0.0</v>
      </c>
      <c r="AC272" s="1">
        <v>0.0</v>
      </c>
      <c r="AD272" s="1" t="s">
        <v>971</v>
      </c>
      <c r="AG272" s="9" t="s">
        <v>1760</v>
      </c>
      <c r="AM272" s="1">
        <v>170878.0</v>
      </c>
      <c r="AN272" s="1">
        <v>30830.0</v>
      </c>
      <c r="AO272" s="1">
        <v>30830.0</v>
      </c>
      <c r="AP272" s="1">
        <v>11.81</v>
      </c>
      <c r="AR272" s="1">
        <v>594.0</v>
      </c>
      <c r="AS272" s="1">
        <v>104.0</v>
      </c>
      <c r="AT272" s="1">
        <v>5.712</v>
      </c>
      <c r="AU272" s="1">
        <v>59.753</v>
      </c>
      <c r="AV272" s="1" t="s">
        <v>972</v>
      </c>
      <c r="AW272" s="1">
        <v>3.568</v>
      </c>
      <c r="AX272" s="1">
        <v>2.0</v>
      </c>
      <c r="AY272" s="1">
        <v>2.0</v>
      </c>
      <c r="AZ272" s="1">
        <v>1.0</v>
      </c>
      <c r="BA272" s="1">
        <v>19.0</v>
      </c>
      <c r="BB272" s="1">
        <v>17.0</v>
      </c>
      <c r="BC272" s="1">
        <v>0.0</v>
      </c>
      <c r="BD272" s="1">
        <v>2.25</v>
      </c>
      <c r="BE272" s="1">
        <v>128.0</v>
      </c>
      <c r="BF272" s="1">
        <v>47.0</v>
      </c>
      <c r="BG272" s="1">
        <v>0.0</v>
      </c>
      <c r="BH272" s="1">
        <v>16.0</v>
      </c>
      <c r="BI272" s="1">
        <v>8.0</v>
      </c>
      <c r="BJ272" s="1">
        <v>0.0</v>
      </c>
      <c r="BO272" s="1" t="s">
        <v>1764</v>
      </c>
      <c r="BP272" s="1">
        <v>0.98</v>
      </c>
      <c r="BU272" s="1" t="s">
        <v>974</v>
      </c>
      <c r="BV272" s="1">
        <v>1.1</v>
      </c>
      <c r="BW272" s="1">
        <v>59.0</v>
      </c>
      <c r="BX272" s="1">
        <v>4201.037</v>
      </c>
      <c r="BY272" s="1">
        <v>7214.092</v>
      </c>
      <c r="BZ272" s="1">
        <v>12526.115</v>
      </c>
      <c r="CA272" s="1">
        <v>18067.748</v>
      </c>
      <c r="CB272" s="1">
        <v>122.5</v>
      </c>
      <c r="CC272" s="1">
        <v>0.0</v>
      </c>
      <c r="CD272" s="1">
        <v>651133.0</v>
      </c>
      <c r="CE272" s="1">
        <v>1350.0</v>
      </c>
      <c r="CF272" s="1">
        <v>176.0</v>
      </c>
      <c r="CG272" s="1">
        <v>2506532.0</v>
      </c>
      <c r="CH272" s="1">
        <v>31617.0</v>
      </c>
      <c r="CI272" s="1">
        <v>2.0</v>
      </c>
      <c r="CJ272" s="1">
        <v>301278.0</v>
      </c>
      <c r="CK272" s="1">
        <v>31.0</v>
      </c>
      <c r="CL272" s="1">
        <v>115059.0</v>
      </c>
      <c r="CM272" s="1">
        <v>41.0</v>
      </c>
      <c r="CN272" s="1">
        <v>1748297.0</v>
      </c>
      <c r="CO272" s="1">
        <v>68.0</v>
      </c>
      <c r="CP272" s="1">
        <v>284722.0</v>
      </c>
      <c r="CQ272" s="1">
        <v>6.0</v>
      </c>
      <c r="CR272" s="1">
        <v>0.0</v>
      </c>
      <c r="CS272" s="1">
        <v>0.0</v>
      </c>
      <c r="CT272" s="1">
        <v>25559.0</v>
      </c>
      <c r="CU272" s="1">
        <v>28.0</v>
      </c>
      <c r="CV272" s="1">
        <v>1504018.0</v>
      </c>
      <c r="CW272" s="1">
        <v>67.0</v>
      </c>
      <c r="DC272" s="1">
        <v>0.0</v>
      </c>
      <c r="DD272" s="1">
        <v>5075.0</v>
      </c>
      <c r="DE272" s="1">
        <v>0.0</v>
      </c>
      <c r="DF272" s="1">
        <v>3396.0</v>
      </c>
      <c r="DG272" s="1">
        <v>450.0</v>
      </c>
      <c r="DH272" s="1">
        <v>50603.0</v>
      </c>
      <c r="DI272" s="1">
        <v>900.0</v>
      </c>
      <c r="DJ272" s="1">
        <v>592059.0</v>
      </c>
      <c r="DK272" s="1">
        <v>1199.604</v>
      </c>
      <c r="DL272" s="1" t="s">
        <v>992</v>
      </c>
      <c r="DM272" s="1">
        <v>2181.615</v>
      </c>
      <c r="DN272" s="1" t="s">
        <v>975</v>
      </c>
      <c r="DO272" s="1">
        <v>2505485.0</v>
      </c>
      <c r="DP272" s="1">
        <v>1.0</v>
      </c>
      <c r="DQ272" s="1" t="s">
        <v>976</v>
      </c>
      <c r="DR272" s="1" t="s">
        <v>1464</v>
      </c>
      <c r="DS272" s="1" t="s">
        <v>978</v>
      </c>
      <c r="DU272" s="1" t="s">
        <v>980</v>
      </c>
      <c r="DV272" s="1">
        <v>13545.0</v>
      </c>
      <c r="DX272" s="1">
        <v>3712.0</v>
      </c>
      <c r="DY272" s="1">
        <v>711720.0</v>
      </c>
      <c r="EA272" s="1">
        <v>788.0</v>
      </c>
      <c r="EB272" s="1">
        <v>80841.0</v>
      </c>
      <c r="EC272" s="1">
        <v>0.0</v>
      </c>
      <c r="ED272" s="1">
        <v>26492.0</v>
      </c>
      <c r="EF272" s="1">
        <v>215.0</v>
      </c>
      <c r="EG272" s="1" t="s">
        <v>982</v>
      </c>
      <c r="EH272" s="1">
        <v>100.0</v>
      </c>
      <c r="EK272" s="1">
        <v>100.0</v>
      </c>
      <c r="EQ272" s="9" t="s">
        <v>1760</v>
      </c>
      <c r="ER272" s="21">
        <v>46045.2980787037</v>
      </c>
    </row>
    <row r="273">
      <c r="A273" s="9" t="s">
        <v>1765</v>
      </c>
      <c r="B273" s="20" t="str">
        <f>IFERROR(__xludf.DUMMYFUNCTION("REGEXREPLACE(A273, ""^https?://[^/]+"", """")"),"/wp-content/uploads/2019/11/healthcare-thumb-2048x2048.jpg")</f>
        <v>/wp-content/uploads/2019/11/healthcare-thumb-2048x2048.jpg</v>
      </c>
      <c r="F273" s="1" t="s">
        <v>1004</v>
      </c>
      <c r="G273" s="1">
        <v>200.0</v>
      </c>
      <c r="H273" s="1" t="s">
        <v>966</v>
      </c>
      <c r="I273" s="1" t="s">
        <v>967</v>
      </c>
      <c r="L273" s="1">
        <v>0.0</v>
      </c>
      <c r="M273" s="1">
        <v>0.0</v>
      </c>
      <c r="O273" s="1">
        <v>0.0</v>
      </c>
      <c r="P273" s="1">
        <v>0.0</v>
      </c>
      <c r="R273" s="1">
        <v>0.0</v>
      </c>
      <c r="S273" s="1">
        <v>0.0</v>
      </c>
      <c r="U273" s="1">
        <v>0.0</v>
      </c>
      <c r="W273" s="1">
        <v>0.0</v>
      </c>
      <c r="Y273" s="1">
        <v>0.0</v>
      </c>
      <c r="AA273" s="1">
        <v>0.0</v>
      </c>
      <c r="AC273" s="1">
        <v>0.0</v>
      </c>
      <c r="AM273" s="1">
        <v>347845.0</v>
      </c>
      <c r="AN273" s="1">
        <v>347845.0</v>
      </c>
      <c r="AO273" s="1">
        <v>347845.0</v>
      </c>
      <c r="AP273" s="1">
        <v>133.253</v>
      </c>
      <c r="AR273" s="1">
        <v>0.0</v>
      </c>
      <c r="AW273" s="1">
        <v>0.0</v>
      </c>
      <c r="AX273" s="1">
        <v>2.0</v>
      </c>
      <c r="AY273" s="1">
        <v>4.0</v>
      </c>
      <c r="BA273" s="1">
        <v>0.0</v>
      </c>
      <c r="BB273" s="1">
        <v>0.0</v>
      </c>
      <c r="BC273" s="1">
        <v>0.0</v>
      </c>
      <c r="BD273" s="1">
        <v>0.0</v>
      </c>
      <c r="BE273" s="1">
        <v>0.0</v>
      </c>
      <c r="BF273" s="1">
        <v>0.0</v>
      </c>
      <c r="BG273" s="1">
        <v>0.0</v>
      </c>
      <c r="BH273" s="1">
        <v>0.0</v>
      </c>
      <c r="BI273" s="1">
        <v>0.0</v>
      </c>
      <c r="BJ273" s="1">
        <v>0.0</v>
      </c>
      <c r="BP273" s="1">
        <v>0.324</v>
      </c>
      <c r="BQ273" s="1" t="s">
        <v>1766</v>
      </c>
      <c r="BV273" s="1">
        <v>1.1</v>
      </c>
      <c r="EQ273" s="9" t="s">
        <v>1765</v>
      </c>
      <c r="ER273" s="21">
        <v>46045.298101851855</v>
      </c>
    </row>
    <row r="274">
      <c r="A274" s="9" t="s">
        <v>1767</v>
      </c>
      <c r="B274" s="20" t="str">
        <f>IFERROR(__xludf.DUMMYFUNCTION("REGEXREPLACE(A274, ""^https?://[^/]+"", """")"),"/wp-content/uploads/2023/03/thumb-Developing-a-Strategy-for-Ensured-Success-Healthcare.jpg")</f>
        <v>/wp-content/uploads/2023/03/thumb-Developing-a-Strategy-for-Ensured-Success-Healthcare.jpg</v>
      </c>
      <c r="F274" s="1" t="s">
        <v>1004</v>
      </c>
      <c r="G274" s="1">
        <v>200.0</v>
      </c>
      <c r="H274" s="1" t="s">
        <v>966</v>
      </c>
      <c r="I274" s="1" t="s">
        <v>967</v>
      </c>
      <c r="L274" s="1">
        <v>0.0</v>
      </c>
      <c r="M274" s="1">
        <v>0.0</v>
      </c>
      <c r="O274" s="1">
        <v>0.0</v>
      </c>
      <c r="P274" s="1">
        <v>0.0</v>
      </c>
      <c r="R274" s="1">
        <v>0.0</v>
      </c>
      <c r="S274" s="1">
        <v>0.0</v>
      </c>
      <c r="U274" s="1">
        <v>0.0</v>
      </c>
      <c r="W274" s="1">
        <v>0.0</v>
      </c>
      <c r="Y274" s="1">
        <v>0.0</v>
      </c>
      <c r="AA274" s="1">
        <v>0.0</v>
      </c>
      <c r="AC274" s="1">
        <v>0.0</v>
      </c>
      <c r="AM274" s="1">
        <v>60419.0</v>
      </c>
      <c r="AN274" s="1">
        <v>60419.0</v>
      </c>
      <c r="AO274" s="1">
        <v>60419.0</v>
      </c>
      <c r="AP274" s="1">
        <v>23.145</v>
      </c>
      <c r="AR274" s="1">
        <v>0.0</v>
      </c>
      <c r="AW274" s="1">
        <v>0.0</v>
      </c>
      <c r="AX274" s="1">
        <v>2.0</v>
      </c>
      <c r="AY274" s="1">
        <v>4.0</v>
      </c>
      <c r="BA274" s="1">
        <v>0.0</v>
      </c>
      <c r="BB274" s="1">
        <v>0.0</v>
      </c>
      <c r="BC274" s="1">
        <v>0.0</v>
      </c>
      <c r="BD274" s="1">
        <v>0.0</v>
      </c>
      <c r="BE274" s="1">
        <v>0.0</v>
      </c>
      <c r="BF274" s="1">
        <v>0.0</v>
      </c>
      <c r="BG274" s="1">
        <v>0.0</v>
      </c>
      <c r="BH274" s="1">
        <v>0.0</v>
      </c>
      <c r="BI274" s="1">
        <v>0.0</v>
      </c>
      <c r="BJ274" s="1">
        <v>0.0</v>
      </c>
      <c r="BP274" s="1">
        <v>0.362</v>
      </c>
      <c r="BQ274" s="1" t="s">
        <v>1768</v>
      </c>
      <c r="BV274" s="1">
        <v>1.1</v>
      </c>
      <c r="EQ274" s="9" t="s">
        <v>1767</v>
      </c>
      <c r="ER274" s="21">
        <v>46045.298101851855</v>
      </c>
    </row>
    <row r="275">
      <c r="A275" s="9" t="s">
        <v>1769</v>
      </c>
      <c r="B275" s="20" t="str">
        <f>IFERROR(__xludf.DUMMYFUNCTION("REGEXREPLACE(A275, ""^https?://[^/]+"", """")"),"/wp-content/uploads/elementor/css/post-71323.css?ver=1768846230")</f>
        <v>/wp-content/uploads/elementor/css/post-71323.css?ver=1768846230</v>
      </c>
      <c r="F275" s="1" t="s">
        <v>1016</v>
      </c>
      <c r="G275" s="1">
        <v>200.0</v>
      </c>
      <c r="H275" s="1" t="s">
        <v>966</v>
      </c>
      <c r="I275" s="1" t="s">
        <v>967</v>
      </c>
      <c r="L275" s="1">
        <v>0.0</v>
      </c>
      <c r="M275" s="1">
        <v>0.0</v>
      </c>
      <c r="O275" s="1">
        <v>0.0</v>
      </c>
      <c r="P275" s="1">
        <v>0.0</v>
      </c>
      <c r="R275" s="1">
        <v>0.0</v>
      </c>
      <c r="S275" s="1">
        <v>0.0</v>
      </c>
      <c r="U275" s="1">
        <v>0.0</v>
      </c>
      <c r="W275" s="1">
        <v>0.0</v>
      </c>
      <c r="Y275" s="1">
        <v>0.0</v>
      </c>
      <c r="AA275" s="1">
        <v>0.0</v>
      </c>
      <c r="AC275" s="1">
        <v>0.0</v>
      </c>
      <c r="AM275" s="1">
        <v>3244.0</v>
      </c>
      <c r="AN275" s="1">
        <v>3244.0</v>
      </c>
      <c r="AO275" s="1">
        <v>3244.0</v>
      </c>
      <c r="AP275" s="1">
        <v>1.243</v>
      </c>
      <c r="AR275" s="1">
        <v>0.0</v>
      </c>
      <c r="AW275" s="1">
        <v>0.0</v>
      </c>
      <c r="AX275" s="1">
        <v>2.0</v>
      </c>
      <c r="AY275" s="1">
        <v>4.0</v>
      </c>
      <c r="BA275" s="1">
        <v>0.0</v>
      </c>
      <c r="BB275" s="1">
        <v>0.0</v>
      </c>
      <c r="BC275" s="1">
        <v>0.0</v>
      </c>
      <c r="BD275" s="1">
        <v>0.0</v>
      </c>
      <c r="BE275" s="1">
        <v>0.0</v>
      </c>
      <c r="BF275" s="1">
        <v>0.0</v>
      </c>
      <c r="BG275" s="1">
        <v>0.0</v>
      </c>
      <c r="BH275" s="1">
        <v>0.0</v>
      </c>
      <c r="BI275" s="1">
        <v>0.0</v>
      </c>
      <c r="BJ275" s="1">
        <v>0.0</v>
      </c>
      <c r="BP275" s="1">
        <v>0.305</v>
      </c>
      <c r="BQ275" s="1" t="s">
        <v>1770</v>
      </c>
      <c r="BV275" s="1">
        <v>1.1</v>
      </c>
      <c r="EQ275" s="9" t="s">
        <v>1769</v>
      </c>
      <c r="ER275" s="21">
        <v>46045.298101851855</v>
      </c>
    </row>
    <row r="276">
      <c r="A276" s="9" t="s">
        <v>1771</v>
      </c>
      <c r="B276" s="20" t="str">
        <f>IFERROR(__xludf.DUMMYFUNCTION("REGEXREPLACE(A276, ""^https?://[^/]+"", """")"),"/wp-content/uploads/2025/07/AdobeStock_1068130690.jpeg")</f>
        <v>/wp-content/uploads/2025/07/AdobeStock_1068130690.jpeg</v>
      </c>
      <c r="F276" s="1" t="s">
        <v>1004</v>
      </c>
      <c r="G276" s="1">
        <v>200.0</v>
      </c>
      <c r="H276" s="1" t="s">
        <v>966</v>
      </c>
      <c r="I276" s="1" t="s">
        <v>967</v>
      </c>
      <c r="L276" s="1">
        <v>0.0</v>
      </c>
      <c r="M276" s="1">
        <v>0.0</v>
      </c>
      <c r="O276" s="1">
        <v>0.0</v>
      </c>
      <c r="P276" s="1">
        <v>0.0</v>
      </c>
      <c r="R276" s="1">
        <v>0.0</v>
      </c>
      <c r="S276" s="1">
        <v>0.0</v>
      </c>
      <c r="U276" s="1">
        <v>0.0</v>
      </c>
      <c r="W276" s="1">
        <v>0.0</v>
      </c>
      <c r="Y276" s="1">
        <v>0.0</v>
      </c>
      <c r="AA276" s="1">
        <v>0.0</v>
      </c>
      <c r="AC276" s="1">
        <v>0.0</v>
      </c>
      <c r="AM276" s="1">
        <v>248862.0</v>
      </c>
      <c r="AN276" s="1">
        <v>248862.0</v>
      </c>
      <c r="AO276" s="1">
        <v>248862.0</v>
      </c>
      <c r="AP276" s="1">
        <v>95.334</v>
      </c>
      <c r="AR276" s="1">
        <v>0.0</v>
      </c>
      <c r="AW276" s="1">
        <v>0.0</v>
      </c>
      <c r="AX276" s="1">
        <v>2.0</v>
      </c>
      <c r="AY276" s="1">
        <v>4.0</v>
      </c>
      <c r="BA276" s="1">
        <v>0.0</v>
      </c>
      <c r="BB276" s="1">
        <v>0.0</v>
      </c>
      <c r="BC276" s="1">
        <v>0.0</v>
      </c>
      <c r="BD276" s="1">
        <v>0.0</v>
      </c>
      <c r="BE276" s="1">
        <v>0.0</v>
      </c>
      <c r="BF276" s="1">
        <v>0.0</v>
      </c>
      <c r="BG276" s="1">
        <v>0.0</v>
      </c>
      <c r="BH276" s="1">
        <v>0.0</v>
      </c>
      <c r="BI276" s="1">
        <v>0.0</v>
      </c>
      <c r="BJ276" s="1">
        <v>0.0</v>
      </c>
      <c r="BP276" s="1">
        <v>0.28</v>
      </c>
      <c r="BQ276" s="1" t="s">
        <v>1772</v>
      </c>
      <c r="BV276" s="1">
        <v>1.1</v>
      </c>
      <c r="EQ276" s="9" t="s">
        <v>1771</v>
      </c>
      <c r="ER276" s="21">
        <v>46045.298101851855</v>
      </c>
    </row>
    <row r="277">
      <c r="A277" s="9" t="s">
        <v>1773</v>
      </c>
      <c r="B277" s="20" t="str">
        <f>IFERROR(__xludf.DUMMYFUNCTION("REGEXREPLACE(A277, ""^https?://[^/]+"", """")"),"/case-study/health-benefits-company/")</f>
        <v>/case-study/health-benefits-company/</v>
      </c>
      <c r="C277" s="1" t="s">
        <v>1774</v>
      </c>
      <c r="F277" s="1" t="s">
        <v>965</v>
      </c>
      <c r="G277" s="1">
        <v>200.0</v>
      </c>
      <c r="H277" s="1" t="s">
        <v>966</v>
      </c>
      <c r="I277" s="1" t="s">
        <v>967</v>
      </c>
      <c r="K277" s="1" t="s">
        <v>1775</v>
      </c>
      <c r="L277" s="1">
        <v>42.0</v>
      </c>
      <c r="M277" s="1">
        <v>379.0</v>
      </c>
      <c r="O277" s="1">
        <v>0.0</v>
      </c>
      <c r="P277" s="1">
        <v>0.0</v>
      </c>
      <c r="Q277" s="1" t="s">
        <v>1776</v>
      </c>
      <c r="R277" s="1">
        <v>243.0</v>
      </c>
      <c r="S277" s="1">
        <v>1499.0</v>
      </c>
      <c r="U277" s="1">
        <v>0.0</v>
      </c>
      <c r="V277" s="1" t="s">
        <v>1774</v>
      </c>
      <c r="W277" s="1">
        <v>67.0</v>
      </c>
      <c r="Y277" s="1">
        <v>0.0</v>
      </c>
      <c r="AA277" s="1">
        <v>0.0</v>
      </c>
      <c r="AC277" s="1">
        <v>0.0</v>
      </c>
      <c r="AD277" s="1" t="s">
        <v>971</v>
      </c>
      <c r="AG277" s="9" t="s">
        <v>1773</v>
      </c>
      <c r="AM277" s="1">
        <v>165353.0</v>
      </c>
      <c r="AN277" s="1">
        <v>30862.0</v>
      </c>
      <c r="AO277" s="1">
        <v>30862.0</v>
      </c>
      <c r="AP277" s="1">
        <v>11.823</v>
      </c>
      <c r="AR277" s="1">
        <v>607.0</v>
      </c>
      <c r="AS277" s="1">
        <v>105.0</v>
      </c>
      <c r="AT277" s="1">
        <v>5.781</v>
      </c>
      <c r="AU277" s="1">
        <v>58.945</v>
      </c>
      <c r="AV277" s="1" t="s">
        <v>972</v>
      </c>
      <c r="AW277" s="1">
        <v>3.745</v>
      </c>
      <c r="AX277" s="1">
        <v>2.0</v>
      </c>
      <c r="AY277" s="1">
        <v>2.0</v>
      </c>
      <c r="AZ277" s="1">
        <v>1.0</v>
      </c>
      <c r="BA277" s="1">
        <v>6.0</v>
      </c>
      <c r="BB277" s="1">
        <v>6.0</v>
      </c>
      <c r="BC277" s="1">
        <v>0.0</v>
      </c>
      <c r="BD277" s="1">
        <v>0.8</v>
      </c>
      <c r="BE277" s="1">
        <v>126.0</v>
      </c>
      <c r="BF277" s="1">
        <v>46.0</v>
      </c>
      <c r="BG277" s="1">
        <v>0.0</v>
      </c>
      <c r="BH277" s="1">
        <v>16.0</v>
      </c>
      <c r="BI277" s="1">
        <v>8.0</v>
      </c>
      <c r="BJ277" s="1">
        <v>0.0</v>
      </c>
      <c r="BO277" s="1" t="s">
        <v>1777</v>
      </c>
      <c r="BP277" s="1">
        <v>1.013</v>
      </c>
      <c r="BU277" s="1" t="s">
        <v>974</v>
      </c>
      <c r="BV277" s="1">
        <v>1.1</v>
      </c>
      <c r="BW277" s="1">
        <v>50.0</v>
      </c>
      <c r="BX277" s="1">
        <v>4201.05</v>
      </c>
      <c r="BY277" s="1">
        <v>7846.087</v>
      </c>
      <c r="BZ277" s="1">
        <v>11401.144</v>
      </c>
      <c r="CA277" s="1">
        <v>17972.988</v>
      </c>
      <c r="CB277" s="1">
        <v>364.5</v>
      </c>
      <c r="CC277" s="1">
        <v>0.0</v>
      </c>
      <c r="CD277" s="1">
        <v>650789.0</v>
      </c>
      <c r="CE277" s="1">
        <v>1800.0</v>
      </c>
      <c r="CF277" s="1">
        <v>175.0</v>
      </c>
      <c r="CG277" s="1">
        <v>2422694.0</v>
      </c>
      <c r="CH277" s="1">
        <v>31571.0</v>
      </c>
      <c r="CI277" s="1">
        <v>2.0</v>
      </c>
      <c r="CJ277" s="1">
        <v>216681.0</v>
      </c>
      <c r="CK277" s="1">
        <v>30.0</v>
      </c>
      <c r="CL277" s="1">
        <v>115925.0</v>
      </c>
      <c r="CM277" s="1">
        <v>41.0</v>
      </c>
      <c r="CN277" s="1">
        <v>1747897.0</v>
      </c>
      <c r="CO277" s="1">
        <v>68.0</v>
      </c>
      <c r="CP277" s="1">
        <v>284722.0</v>
      </c>
      <c r="CQ277" s="1">
        <v>6.0</v>
      </c>
      <c r="CR277" s="1">
        <v>0.0</v>
      </c>
      <c r="CS277" s="1">
        <v>0.0</v>
      </c>
      <c r="CT277" s="1">
        <v>25898.0</v>
      </c>
      <c r="CU277" s="1">
        <v>28.0</v>
      </c>
      <c r="CV277" s="1">
        <v>1504724.0</v>
      </c>
      <c r="CW277" s="1">
        <v>68.0</v>
      </c>
      <c r="DC277" s="1">
        <v>0.0</v>
      </c>
      <c r="DD277" s="1">
        <v>5075.0</v>
      </c>
      <c r="DE277" s="1">
        <v>0.0</v>
      </c>
      <c r="DF277" s="1">
        <v>3396.0</v>
      </c>
      <c r="DG277" s="1">
        <v>600.0</v>
      </c>
      <c r="DH277" s="1">
        <v>50604.0</v>
      </c>
      <c r="DI277" s="1">
        <v>1200.0</v>
      </c>
      <c r="DJ277" s="1">
        <v>591714.0</v>
      </c>
      <c r="DK277" s="1">
        <v>1649.272</v>
      </c>
      <c r="DL277" s="1" t="s">
        <v>975</v>
      </c>
      <c r="DM277" s="1">
        <v>3006.771</v>
      </c>
      <c r="DN277" s="1" t="s">
        <v>975</v>
      </c>
      <c r="DO277" s="1">
        <v>2421512.0</v>
      </c>
      <c r="DP277" s="1">
        <v>1.0</v>
      </c>
      <c r="DQ277" s="1" t="s">
        <v>976</v>
      </c>
      <c r="DR277" s="1" t="s">
        <v>993</v>
      </c>
      <c r="DS277" s="1" t="s">
        <v>978</v>
      </c>
      <c r="DU277" s="1" t="s">
        <v>980</v>
      </c>
      <c r="DV277" s="1">
        <v>13545.0</v>
      </c>
      <c r="DX277" s="1">
        <v>3851.0</v>
      </c>
      <c r="DY277" s="1">
        <v>677822.0</v>
      </c>
      <c r="DZ277" s="1" t="s">
        <v>981</v>
      </c>
      <c r="EA277" s="1">
        <v>783.0</v>
      </c>
      <c r="EB277" s="1">
        <v>33213.0</v>
      </c>
      <c r="EC277" s="1">
        <v>0.0</v>
      </c>
      <c r="ED277" s="1">
        <v>26492.0</v>
      </c>
      <c r="EF277" s="1">
        <v>240.0</v>
      </c>
      <c r="EG277" s="1" t="s">
        <v>982</v>
      </c>
      <c r="EH277" s="1">
        <v>100.0</v>
      </c>
      <c r="EK277" s="1">
        <v>100.0</v>
      </c>
      <c r="EQ277" s="9" t="s">
        <v>1773</v>
      </c>
      <c r="ER277" s="21">
        <v>46045.29809027778</v>
      </c>
    </row>
    <row r="278">
      <c r="A278" s="9" t="s">
        <v>1778</v>
      </c>
      <c r="B278" s="20" t="str">
        <f>IFERROR(__xludf.DUMMYFUNCTION("REGEXREPLACE(A278, ""^https?://[^/]+"", """")"),"/case-study/developing-a-strategy-for-ensured-success/")</f>
        <v>/case-study/developing-a-strategy-for-ensured-success/</v>
      </c>
      <c r="C278" s="1" t="s">
        <v>1779</v>
      </c>
      <c r="D278" s="1" t="s">
        <v>1050</v>
      </c>
      <c r="E278" s="1" t="s">
        <v>1051</v>
      </c>
      <c r="F278" s="1" t="s">
        <v>965</v>
      </c>
      <c r="G278" s="1">
        <v>200.0</v>
      </c>
      <c r="H278" s="1" t="s">
        <v>966</v>
      </c>
      <c r="I278" s="1" t="s">
        <v>967</v>
      </c>
      <c r="K278" s="1" t="s">
        <v>1780</v>
      </c>
      <c r="L278" s="1">
        <v>106.0</v>
      </c>
      <c r="M278" s="1">
        <v>964.0</v>
      </c>
      <c r="O278" s="1">
        <v>0.0</v>
      </c>
      <c r="P278" s="1">
        <v>0.0</v>
      </c>
      <c r="Q278" s="1" t="s">
        <v>1781</v>
      </c>
      <c r="R278" s="1">
        <v>153.0</v>
      </c>
      <c r="S278" s="1">
        <v>973.0</v>
      </c>
      <c r="U278" s="1">
        <v>0.0</v>
      </c>
      <c r="V278" s="1" t="s">
        <v>1779</v>
      </c>
      <c r="W278" s="1">
        <v>68.0</v>
      </c>
      <c r="Y278" s="1">
        <v>0.0</v>
      </c>
      <c r="Z278" s="1" t="s">
        <v>1050</v>
      </c>
      <c r="AA278" s="1">
        <v>17.0</v>
      </c>
      <c r="AB278" s="1" t="s">
        <v>1051</v>
      </c>
      <c r="AC278" s="1">
        <v>11.0</v>
      </c>
      <c r="AD278" s="1" t="s">
        <v>971</v>
      </c>
      <c r="AG278" s="9" t="s">
        <v>1778</v>
      </c>
      <c r="AM278" s="1">
        <v>172159.0</v>
      </c>
      <c r="AN278" s="1">
        <v>32196.0</v>
      </c>
      <c r="AO278" s="1">
        <v>32196.0</v>
      </c>
      <c r="AP278" s="1">
        <v>12.334</v>
      </c>
      <c r="AR278" s="1">
        <v>997.0</v>
      </c>
      <c r="AS278" s="1">
        <v>161.0</v>
      </c>
      <c r="AT278" s="1">
        <v>6.193</v>
      </c>
      <c r="AU278" s="1">
        <v>60.54</v>
      </c>
      <c r="AV278" s="1" t="s">
        <v>990</v>
      </c>
      <c r="AW278" s="1">
        <v>5.026</v>
      </c>
      <c r="AX278" s="1">
        <v>2.0</v>
      </c>
      <c r="AY278" s="1">
        <v>2.0</v>
      </c>
      <c r="AZ278" s="1">
        <v>1.0</v>
      </c>
      <c r="BA278" s="1">
        <v>6.0</v>
      </c>
      <c r="BB278" s="1">
        <v>6.0</v>
      </c>
      <c r="BC278" s="1">
        <v>0.0</v>
      </c>
      <c r="BD278" s="1">
        <v>0.8</v>
      </c>
      <c r="BE278" s="1">
        <v>129.0</v>
      </c>
      <c r="BF278" s="1">
        <v>48.0</v>
      </c>
      <c r="BG278" s="1">
        <v>0.0</v>
      </c>
      <c r="BH278" s="1">
        <v>16.0</v>
      </c>
      <c r="BI278" s="1">
        <v>8.0</v>
      </c>
      <c r="BJ278" s="1">
        <v>0.0</v>
      </c>
      <c r="BO278" s="1" t="s">
        <v>1782</v>
      </c>
      <c r="BP278" s="1">
        <v>1.07</v>
      </c>
      <c r="BU278" s="1" t="s">
        <v>974</v>
      </c>
      <c r="BV278" s="1">
        <v>1.1</v>
      </c>
      <c r="BW278" s="1">
        <v>61.0</v>
      </c>
      <c r="BX278" s="1">
        <v>4051.036</v>
      </c>
      <c r="BY278" s="1">
        <v>6833.021</v>
      </c>
      <c r="BZ278" s="1">
        <v>7351.068</v>
      </c>
      <c r="CA278" s="1">
        <v>17346.443</v>
      </c>
      <c r="CB278" s="1">
        <v>65.5</v>
      </c>
      <c r="CC278" s="1">
        <v>0.0</v>
      </c>
      <c r="CD278" s="1">
        <v>653223.0</v>
      </c>
      <c r="CE278" s="1">
        <v>900.0</v>
      </c>
      <c r="CF278" s="1">
        <v>166.0</v>
      </c>
      <c r="CG278" s="1">
        <v>2300785.0</v>
      </c>
      <c r="CH278" s="1">
        <v>32870.0</v>
      </c>
      <c r="CI278" s="1">
        <v>2.0</v>
      </c>
      <c r="CJ278" s="1">
        <v>92042.0</v>
      </c>
      <c r="CK278" s="1">
        <v>20.0</v>
      </c>
      <c r="CL278" s="1">
        <v>117655.0</v>
      </c>
      <c r="CM278" s="1">
        <v>42.0</v>
      </c>
      <c r="CN278" s="1">
        <v>1748346.0</v>
      </c>
      <c r="CO278" s="1">
        <v>68.0</v>
      </c>
      <c r="CP278" s="1">
        <v>284722.0</v>
      </c>
      <c r="CQ278" s="1">
        <v>6.0</v>
      </c>
      <c r="CR278" s="1">
        <v>0.0</v>
      </c>
      <c r="CS278" s="1">
        <v>0.0</v>
      </c>
      <c r="CT278" s="1">
        <v>25150.0</v>
      </c>
      <c r="CU278" s="1">
        <v>28.0</v>
      </c>
      <c r="CV278" s="1">
        <v>1505654.0</v>
      </c>
      <c r="CW278" s="1">
        <v>66.0</v>
      </c>
      <c r="DC278" s="1">
        <v>0.0</v>
      </c>
      <c r="DD278" s="1">
        <v>5075.0</v>
      </c>
      <c r="DE278" s="1">
        <v>0.0</v>
      </c>
      <c r="DF278" s="1">
        <v>3396.0</v>
      </c>
      <c r="DG278" s="1">
        <v>300.0</v>
      </c>
      <c r="DH278" s="1">
        <v>50562.0</v>
      </c>
      <c r="DI278" s="1">
        <v>600.0</v>
      </c>
      <c r="DJ278" s="1">
        <v>594190.0</v>
      </c>
      <c r="DK278" s="1">
        <v>746.238</v>
      </c>
      <c r="DL278" s="1" t="s">
        <v>992</v>
      </c>
      <c r="DM278" s="1">
        <v>1525.691</v>
      </c>
      <c r="DN278" s="1" t="s">
        <v>992</v>
      </c>
      <c r="DO278" s="1">
        <v>2299906.0</v>
      </c>
      <c r="DP278" s="1">
        <v>1.0</v>
      </c>
      <c r="DQ278" s="1" t="s">
        <v>976</v>
      </c>
      <c r="DR278" s="1" t="s">
        <v>1064</v>
      </c>
      <c r="DS278" s="1" t="s">
        <v>978</v>
      </c>
      <c r="DU278" s="1" t="s">
        <v>994</v>
      </c>
      <c r="DV278" s="1">
        <v>13696.0</v>
      </c>
      <c r="DX278" s="1">
        <v>3667.0</v>
      </c>
      <c r="DY278" s="1">
        <v>628276.0</v>
      </c>
      <c r="EA278" s="1">
        <v>817.0</v>
      </c>
      <c r="EB278" s="1">
        <v>4453.0</v>
      </c>
      <c r="EC278" s="1">
        <v>0.0</v>
      </c>
      <c r="ED278" s="1">
        <v>26492.0</v>
      </c>
      <c r="EF278" s="1">
        <v>225.0</v>
      </c>
      <c r="EG278" s="1" t="s">
        <v>982</v>
      </c>
      <c r="EH278" s="1">
        <v>100.0</v>
      </c>
      <c r="EK278" s="1">
        <v>100.0</v>
      </c>
      <c r="EQ278" s="9" t="s">
        <v>1778</v>
      </c>
      <c r="ER278" s="21">
        <v>46045.29809027778</v>
      </c>
    </row>
    <row r="279">
      <c r="A279" s="9" t="s">
        <v>1783</v>
      </c>
      <c r="B279" s="20" t="str">
        <f>IFERROR(__xludf.DUMMYFUNCTION("REGEXREPLACE(A279, ""^https?://[^/]+"", """")"),"/wp-content/themes/salesxceleratione/assets/css/style.css?ver=1769123318")</f>
        <v>/wp-content/themes/salesxceleratione/assets/css/style.css?ver=1769123318</v>
      </c>
      <c r="F279" s="1" t="s">
        <v>1016</v>
      </c>
      <c r="G279" s="1">
        <v>200.0</v>
      </c>
      <c r="H279" s="1" t="s">
        <v>966</v>
      </c>
      <c r="I279" s="1" t="s">
        <v>967</v>
      </c>
      <c r="L279" s="1">
        <v>0.0</v>
      </c>
      <c r="M279" s="1">
        <v>0.0</v>
      </c>
      <c r="O279" s="1">
        <v>0.0</v>
      </c>
      <c r="P279" s="1">
        <v>0.0</v>
      </c>
      <c r="R279" s="1">
        <v>0.0</v>
      </c>
      <c r="S279" s="1">
        <v>0.0</v>
      </c>
      <c r="U279" s="1">
        <v>0.0</v>
      </c>
      <c r="W279" s="1">
        <v>0.0</v>
      </c>
      <c r="Y279" s="1">
        <v>0.0</v>
      </c>
      <c r="AA279" s="1">
        <v>0.0</v>
      </c>
      <c r="AC279" s="1">
        <v>0.0</v>
      </c>
      <c r="AM279" s="1">
        <v>17704.0</v>
      </c>
      <c r="AN279" s="1">
        <v>17704.0</v>
      </c>
      <c r="AO279" s="1">
        <v>17704.0</v>
      </c>
      <c r="AP279" s="1">
        <v>6.782</v>
      </c>
      <c r="AR279" s="1">
        <v>0.0</v>
      </c>
      <c r="AW279" s="1">
        <v>0.0</v>
      </c>
      <c r="AX279" s="1">
        <v>2.0</v>
      </c>
      <c r="AY279" s="1">
        <v>5.0</v>
      </c>
      <c r="BA279" s="1">
        <v>0.0</v>
      </c>
      <c r="BB279" s="1">
        <v>0.0</v>
      </c>
      <c r="BC279" s="1">
        <v>0.0</v>
      </c>
      <c r="BD279" s="1">
        <v>0.0</v>
      </c>
      <c r="BE279" s="1">
        <v>0.0</v>
      </c>
      <c r="BF279" s="1">
        <v>0.0</v>
      </c>
      <c r="BG279" s="1">
        <v>0.0</v>
      </c>
      <c r="BH279" s="1">
        <v>0.0</v>
      </c>
      <c r="BI279" s="1">
        <v>0.0</v>
      </c>
      <c r="BJ279" s="1">
        <v>0.0</v>
      </c>
      <c r="BP279" s="1">
        <v>0.285</v>
      </c>
      <c r="BQ279" s="1" t="s">
        <v>1784</v>
      </c>
      <c r="BV279" s="1">
        <v>1.1</v>
      </c>
      <c r="EQ279" s="9" t="s">
        <v>1783</v>
      </c>
      <c r="ER279" s="21">
        <v>46045.298101851855</v>
      </c>
    </row>
    <row r="280">
      <c r="A280" s="9" t="s">
        <v>1785</v>
      </c>
      <c r="B280" s="20" t="str">
        <f>IFERROR(__xludf.DUMMYFUNCTION("REGEXREPLACE(A280, ""^https?://[^/]+"", """")"),"/wp-content/themes/salesxceleratione/assets/css/style.css?ver=1769123319")</f>
        <v>/wp-content/themes/salesxceleratione/assets/css/style.css?ver=1769123319</v>
      </c>
      <c r="F280" s="1" t="s">
        <v>1016</v>
      </c>
      <c r="G280" s="1">
        <v>200.0</v>
      </c>
      <c r="H280" s="1" t="s">
        <v>966</v>
      </c>
      <c r="I280" s="1" t="s">
        <v>967</v>
      </c>
      <c r="L280" s="1">
        <v>0.0</v>
      </c>
      <c r="M280" s="1">
        <v>0.0</v>
      </c>
      <c r="O280" s="1">
        <v>0.0</v>
      </c>
      <c r="P280" s="1">
        <v>0.0</v>
      </c>
      <c r="R280" s="1">
        <v>0.0</v>
      </c>
      <c r="S280" s="1">
        <v>0.0</v>
      </c>
      <c r="U280" s="1">
        <v>0.0</v>
      </c>
      <c r="W280" s="1">
        <v>0.0</v>
      </c>
      <c r="Y280" s="1">
        <v>0.0</v>
      </c>
      <c r="AA280" s="1">
        <v>0.0</v>
      </c>
      <c r="AC280" s="1">
        <v>0.0</v>
      </c>
      <c r="AM280" s="1">
        <v>17704.0</v>
      </c>
      <c r="AN280" s="1">
        <v>17704.0</v>
      </c>
      <c r="AO280" s="1">
        <v>17704.0</v>
      </c>
      <c r="AP280" s="1">
        <v>6.782</v>
      </c>
      <c r="AR280" s="1">
        <v>0.0</v>
      </c>
      <c r="AW280" s="1">
        <v>0.0</v>
      </c>
      <c r="AX280" s="1">
        <v>2.0</v>
      </c>
      <c r="AY280" s="1">
        <v>5.0</v>
      </c>
      <c r="BA280" s="1">
        <v>0.0</v>
      </c>
      <c r="BB280" s="1">
        <v>0.0</v>
      </c>
      <c r="BC280" s="1">
        <v>0.0</v>
      </c>
      <c r="BD280" s="1">
        <v>0.0</v>
      </c>
      <c r="BE280" s="1">
        <v>0.0</v>
      </c>
      <c r="BF280" s="1">
        <v>0.0</v>
      </c>
      <c r="BG280" s="1">
        <v>0.0</v>
      </c>
      <c r="BH280" s="1">
        <v>0.0</v>
      </c>
      <c r="BI280" s="1">
        <v>0.0</v>
      </c>
      <c r="BJ280" s="1">
        <v>0.0</v>
      </c>
      <c r="BP280" s="1">
        <v>0.274</v>
      </c>
      <c r="BQ280" s="1" t="s">
        <v>1784</v>
      </c>
      <c r="BV280" s="1">
        <v>1.1</v>
      </c>
      <c r="EQ280" s="9" t="s">
        <v>1785</v>
      </c>
      <c r="ER280" s="21">
        <v>46045.298101851855</v>
      </c>
    </row>
    <row r="281">
      <c r="A281" s="9" t="s">
        <v>1786</v>
      </c>
      <c r="B281" s="20" t="str">
        <f>IFERROR(__xludf.DUMMYFUNCTION("REGEXREPLACE(A281, ""^https?://[^/]+"", """")"),"/wp-content/uploads/2025/03/Leveraging-AI-to-Optimize-B2B-Lead-Generation.jpg")</f>
        <v>/wp-content/uploads/2025/03/Leveraging-AI-to-Optimize-B2B-Lead-Generation.jpg</v>
      </c>
      <c r="F281" s="1" t="s">
        <v>1004</v>
      </c>
      <c r="G281" s="1">
        <v>200.0</v>
      </c>
      <c r="H281" s="1" t="s">
        <v>966</v>
      </c>
      <c r="I281" s="1" t="s">
        <v>967</v>
      </c>
      <c r="L281" s="1">
        <v>0.0</v>
      </c>
      <c r="M281" s="1">
        <v>0.0</v>
      </c>
      <c r="O281" s="1">
        <v>0.0</v>
      </c>
      <c r="P281" s="1">
        <v>0.0</v>
      </c>
      <c r="R281" s="1">
        <v>0.0</v>
      </c>
      <c r="S281" s="1">
        <v>0.0</v>
      </c>
      <c r="U281" s="1">
        <v>0.0</v>
      </c>
      <c r="W281" s="1">
        <v>0.0</v>
      </c>
      <c r="Y281" s="1">
        <v>0.0</v>
      </c>
      <c r="AA281" s="1">
        <v>0.0</v>
      </c>
      <c r="AC281" s="1">
        <v>0.0</v>
      </c>
      <c r="AM281" s="1">
        <v>152856.0</v>
      </c>
      <c r="AN281" s="1">
        <v>152856.0</v>
      </c>
      <c r="AO281" s="1">
        <v>152856.0</v>
      </c>
      <c r="AP281" s="1">
        <v>58.556</v>
      </c>
      <c r="AR281" s="1">
        <v>0.0</v>
      </c>
      <c r="AW281" s="1">
        <v>0.0</v>
      </c>
      <c r="AX281" s="1">
        <v>2.0</v>
      </c>
      <c r="AY281" s="1">
        <v>4.0</v>
      </c>
      <c r="BA281" s="1">
        <v>0.0</v>
      </c>
      <c r="BB281" s="1">
        <v>0.0</v>
      </c>
      <c r="BC281" s="1">
        <v>0.0</v>
      </c>
      <c r="BD281" s="1">
        <v>0.0</v>
      </c>
      <c r="BE281" s="1">
        <v>0.0</v>
      </c>
      <c r="BF281" s="1">
        <v>0.0</v>
      </c>
      <c r="BG281" s="1">
        <v>0.0</v>
      </c>
      <c r="BH281" s="1">
        <v>0.0</v>
      </c>
      <c r="BI281" s="1">
        <v>0.0</v>
      </c>
      <c r="BJ281" s="1">
        <v>0.0</v>
      </c>
      <c r="BP281" s="1">
        <v>0.313</v>
      </c>
      <c r="BQ281" s="1" t="s">
        <v>1787</v>
      </c>
      <c r="BV281" s="1">
        <v>1.1</v>
      </c>
      <c r="EQ281" s="9" t="s">
        <v>1786</v>
      </c>
      <c r="ER281" s="21">
        <v>46045.298101851855</v>
      </c>
    </row>
    <row r="282">
      <c r="A282" s="9" t="s">
        <v>1788</v>
      </c>
      <c r="B282" s="20" t="str">
        <f>IFERROR(__xludf.DUMMYFUNCTION("REGEXREPLACE(A282, ""^https?://[^/]+"", """")"),"/sales-training/")</f>
        <v>/sales-training/</v>
      </c>
      <c r="F282" s="1" t="s">
        <v>965</v>
      </c>
      <c r="G282" s="1">
        <v>301.0</v>
      </c>
      <c r="H282" s="1" t="s">
        <v>1304</v>
      </c>
      <c r="I282" s="1" t="s">
        <v>1214</v>
      </c>
      <c r="J282" s="1" t="s">
        <v>1305</v>
      </c>
      <c r="L282" s="1">
        <v>0.0</v>
      </c>
      <c r="M282" s="1">
        <v>0.0</v>
      </c>
      <c r="O282" s="1">
        <v>0.0</v>
      </c>
      <c r="P282" s="1">
        <v>0.0</v>
      </c>
      <c r="R282" s="1">
        <v>0.0</v>
      </c>
      <c r="S282" s="1">
        <v>0.0</v>
      </c>
      <c r="U282" s="1">
        <v>0.0</v>
      </c>
      <c r="W282" s="1">
        <v>0.0</v>
      </c>
      <c r="Y282" s="1">
        <v>0.0</v>
      </c>
      <c r="AA282" s="1">
        <v>0.0</v>
      </c>
      <c r="AC282" s="1">
        <v>0.0</v>
      </c>
      <c r="AM282" s="1">
        <v>0.0</v>
      </c>
      <c r="AN282" s="1">
        <v>0.0</v>
      </c>
      <c r="AO282" s="1">
        <v>0.0</v>
      </c>
      <c r="AP282" s="1">
        <v>0.0</v>
      </c>
      <c r="AR282" s="1">
        <v>0.0</v>
      </c>
      <c r="AW282" s="1">
        <v>0.0</v>
      </c>
      <c r="AX282" s="1">
        <v>2.0</v>
      </c>
      <c r="AY282" s="1">
        <v>1.0</v>
      </c>
      <c r="BA282" s="1">
        <v>2.0</v>
      </c>
      <c r="BB282" s="1">
        <v>2.0</v>
      </c>
      <c r="BC282" s="1">
        <v>0.0</v>
      </c>
      <c r="BD282" s="1">
        <v>0.27</v>
      </c>
      <c r="BE282" s="1">
        <v>0.0</v>
      </c>
      <c r="BF282" s="1">
        <v>0.0</v>
      </c>
      <c r="BG282" s="1">
        <v>0.0</v>
      </c>
      <c r="BH282" s="1">
        <v>0.0</v>
      </c>
      <c r="BI282" s="1">
        <v>0.0</v>
      </c>
      <c r="BJ282" s="1">
        <v>0.0</v>
      </c>
      <c r="BP282" s="1">
        <v>0.6</v>
      </c>
      <c r="BR282" s="9" t="s">
        <v>1789</v>
      </c>
      <c r="BS282" s="1" t="s">
        <v>1307</v>
      </c>
      <c r="BV282" s="1">
        <v>1.1</v>
      </c>
      <c r="EQ282" s="9" t="s">
        <v>1788</v>
      </c>
      <c r="ER282" s="21">
        <v>46045.298101851855</v>
      </c>
    </row>
    <row r="283">
      <c r="A283" s="9" t="s">
        <v>1790</v>
      </c>
      <c r="B283" s="20" t="str">
        <f>IFERROR(__xludf.DUMMYFUNCTION("REGEXREPLACE(A283, ""^https?://[^/]+"", """")"),"/wp-content/uploads/2026/01/SAO-YT-Thumbnail-Tim-Van-Mieghem-1024x576.jpg")</f>
        <v>/wp-content/uploads/2026/01/SAO-YT-Thumbnail-Tim-Van-Mieghem-1024x576.jpg</v>
      </c>
      <c r="F283" s="1" t="s">
        <v>1004</v>
      </c>
      <c r="G283" s="1">
        <v>200.0</v>
      </c>
      <c r="H283" s="1" t="s">
        <v>966</v>
      </c>
      <c r="I283" s="1" t="s">
        <v>967</v>
      </c>
      <c r="L283" s="1">
        <v>0.0</v>
      </c>
      <c r="M283" s="1">
        <v>0.0</v>
      </c>
      <c r="O283" s="1">
        <v>0.0</v>
      </c>
      <c r="P283" s="1">
        <v>0.0</v>
      </c>
      <c r="R283" s="1">
        <v>0.0</v>
      </c>
      <c r="S283" s="1">
        <v>0.0</v>
      </c>
      <c r="U283" s="1">
        <v>0.0</v>
      </c>
      <c r="W283" s="1">
        <v>0.0</v>
      </c>
      <c r="Y283" s="1">
        <v>0.0</v>
      </c>
      <c r="AA283" s="1">
        <v>0.0</v>
      </c>
      <c r="AC283" s="1">
        <v>0.0</v>
      </c>
      <c r="AM283" s="1">
        <v>93863.0</v>
      </c>
      <c r="AN283" s="1">
        <v>93863.0</v>
      </c>
      <c r="AO283" s="1">
        <v>93863.0</v>
      </c>
      <c r="AP283" s="1">
        <v>35.957</v>
      </c>
      <c r="AR283" s="1">
        <v>0.0</v>
      </c>
      <c r="AW283" s="1">
        <v>0.0</v>
      </c>
      <c r="AX283" s="1">
        <v>2.0</v>
      </c>
      <c r="AY283" s="1">
        <v>4.0</v>
      </c>
      <c r="BA283" s="1">
        <v>0.0</v>
      </c>
      <c r="BB283" s="1">
        <v>0.0</v>
      </c>
      <c r="BC283" s="1">
        <v>0.0</v>
      </c>
      <c r="BD283" s="1">
        <v>0.0</v>
      </c>
      <c r="BE283" s="1">
        <v>0.0</v>
      </c>
      <c r="BF283" s="1">
        <v>0.0</v>
      </c>
      <c r="BG283" s="1">
        <v>0.0</v>
      </c>
      <c r="BH283" s="1">
        <v>0.0</v>
      </c>
      <c r="BI283" s="1">
        <v>0.0</v>
      </c>
      <c r="BJ283" s="1">
        <v>0.0</v>
      </c>
      <c r="BP283" s="1">
        <v>0.272</v>
      </c>
      <c r="BQ283" s="1" t="s">
        <v>1791</v>
      </c>
      <c r="BV283" s="1">
        <v>1.1</v>
      </c>
      <c r="EQ283" s="9" t="s">
        <v>1790</v>
      </c>
      <c r="ER283" s="21">
        <v>46045.298113425924</v>
      </c>
    </row>
    <row r="284">
      <c r="A284" s="9" t="s">
        <v>1792</v>
      </c>
      <c r="B284" s="20" t="str">
        <f>IFERROR(__xludf.DUMMYFUNCTION("REGEXREPLACE(A284, ""^https?://[^/]+"", """")"),"/case-study/home-healthcare/")</f>
        <v>/case-study/home-healthcare/</v>
      </c>
      <c r="C284" s="1" t="s">
        <v>1793</v>
      </c>
      <c r="F284" s="1" t="s">
        <v>965</v>
      </c>
      <c r="G284" s="1">
        <v>200.0</v>
      </c>
      <c r="H284" s="1" t="s">
        <v>966</v>
      </c>
      <c r="I284" s="1" t="s">
        <v>967</v>
      </c>
      <c r="K284" s="1" t="s">
        <v>1794</v>
      </c>
      <c r="L284" s="1">
        <v>113.0</v>
      </c>
      <c r="M284" s="1">
        <v>1058.0</v>
      </c>
      <c r="O284" s="1">
        <v>0.0</v>
      </c>
      <c r="P284" s="1">
        <v>0.0</v>
      </c>
      <c r="Q284" s="1" t="s">
        <v>1795</v>
      </c>
      <c r="R284" s="1">
        <v>102.0</v>
      </c>
      <c r="S284" s="1">
        <v>642.0</v>
      </c>
      <c r="U284" s="1">
        <v>0.0</v>
      </c>
      <c r="V284" s="1" t="s">
        <v>1793</v>
      </c>
      <c r="W284" s="1">
        <v>75.0</v>
      </c>
      <c r="Y284" s="1">
        <v>0.0</v>
      </c>
      <c r="AA284" s="1">
        <v>0.0</v>
      </c>
      <c r="AC284" s="1">
        <v>0.0</v>
      </c>
      <c r="AD284" s="1" t="s">
        <v>971</v>
      </c>
      <c r="AG284" s="9" t="s">
        <v>1792</v>
      </c>
      <c r="AM284" s="1">
        <v>164847.0</v>
      </c>
      <c r="AN284" s="1">
        <v>30692.0</v>
      </c>
      <c r="AO284" s="1">
        <v>30692.0</v>
      </c>
      <c r="AP284" s="1">
        <v>11.758</v>
      </c>
      <c r="AR284" s="1">
        <v>581.0</v>
      </c>
      <c r="AS284" s="1">
        <v>102.0</v>
      </c>
      <c r="AT284" s="1">
        <v>5.696</v>
      </c>
      <c r="AU284" s="1">
        <v>58.355</v>
      </c>
      <c r="AV284" s="1" t="s">
        <v>972</v>
      </c>
      <c r="AW284" s="1">
        <v>3.667</v>
      </c>
      <c r="AX284" s="1">
        <v>2.0</v>
      </c>
      <c r="AY284" s="1">
        <v>2.0</v>
      </c>
      <c r="AZ284" s="1">
        <v>1.0</v>
      </c>
      <c r="BA284" s="1">
        <v>9.0</v>
      </c>
      <c r="BB284" s="1">
        <v>7.0</v>
      </c>
      <c r="BC284" s="1">
        <v>0.0</v>
      </c>
      <c r="BD284" s="1">
        <v>0.93</v>
      </c>
      <c r="BE284" s="1">
        <v>126.0</v>
      </c>
      <c r="BF284" s="1">
        <v>46.0</v>
      </c>
      <c r="BG284" s="1">
        <v>0.0</v>
      </c>
      <c r="BH284" s="1">
        <v>16.0</v>
      </c>
      <c r="BI284" s="1">
        <v>8.0</v>
      </c>
      <c r="BJ284" s="1">
        <v>0.0</v>
      </c>
      <c r="BO284" s="1" t="s">
        <v>1796</v>
      </c>
      <c r="BP284" s="1">
        <v>1.374</v>
      </c>
      <c r="BU284" s="1" t="s">
        <v>974</v>
      </c>
      <c r="BV284" s="1">
        <v>1.1</v>
      </c>
      <c r="BW284" s="1">
        <v>51.0</v>
      </c>
      <c r="BX284" s="1">
        <v>4051.036</v>
      </c>
      <c r="BY284" s="1">
        <v>7324.771</v>
      </c>
      <c r="BZ284" s="1">
        <v>11401.105</v>
      </c>
      <c r="CA284" s="1">
        <v>18145.568</v>
      </c>
      <c r="CB284" s="1">
        <v>380.5</v>
      </c>
      <c r="CC284" s="1">
        <v>0.0</v>
      </c>
      <c r="CD284" s="1">
        <v>650576.0</v>
      </c>
      <c r="CE284" s="1">
        <v>1800.0</v>
      </c>
      <c r="CF284" s="1">
        <v>175.0</v>
      </c>
      <c r="CG284" s="1">
        <v>2420465.0</v>
      </c>
      <c r="CH284" s="1">
        <v>31495.0</v>
      </c>
      <c r="CI284" s="1">
        <v>2.0</v>
      </c>
      <c r="CJ284" s="1">
        <v>215463.0</v>
      </c>
      <c r="CK284" s="1">
        <v>30.0</v>
      </c>
      <c r="CL284" s="1">
        <v>115924.0</v>
      </c>
      <c r="CM284" s="1">
        <v>41.0</v>
      </c>
      <c r="CN284" s="1">
        <v>1747803.0</v>
      </c>
      <c r="CO284" s="1">
        <v>68.0</v>
      </c>
      <c r="CP284" s="1">
        <v>284722.0</v>
      </c>
      <c r="CQ284" s="1">
        <v>6.0</v>
      </c>
      <c r="CR284" s="1">
        <v>0.0</v>
      </c>
      <c r="CS284" s="1">
        <v>0.0</v>
      </c>
      <c r="CT284" s="1">
        <v>25058.0</v>
      </c>
      <c r="CU284" s="1">
        <v>28.0</v>
      </c>
      <c r="CV284" s="1">
        <v>1504529.0</v>
      </c>
      <c r="CW284" s="1">
        <v>68.0</v>
      </c>
      <c r="DC284" s="1">
        <v>150.0</v>
      </c>
      <c r="DD284" s="1">
        <v>5075.0</v>
      </c>
      <c r="DE284" s="1">
        <v>0.0</v>
      </c>
      <c r="DF284" s="1">
        <v>3396.0</v>
      </c>
      <c r="DG284" s="1">
        <v>600.0</v>
      </c>
      <c r="DH284" s="1">
        <v>50605.0</v>
      </c>
      <c r="DI284" s="1">
        <v>1050.0</v>
      </c>
      <c r="DJ284" s="1">
        <v>591500.0</v>
      </c>
      <c r="DK284" s="1">
        <v>1604.946</v>
      </c>
      <c r="DL284" s="1" t="s">
        <v>975</v>
      </c>
      <c r="DM284" s="1">
        <v>2824.724</v>
      </c>
      <c r="DN284" s="1" t="s">
        <v>975</v>
      </c>
      <c r="DO284" s="1">
        <v>2419283.0</v>
      </c>
      <c r="DP284" s="1">
        <v>1.0</v>
      </c>
      <c r="DQ284" s="1" t="s">
        <v>976</v>
      </c>
      <c r="DR284" s="1" t="s">
        <v>1085</v>
      </c>
      <c r="DS284" s="1" t="s">
        <v>978</v>
      </c>
      <c r="DU284" s="1" t="s">
        <v>980</v>
      </c>
      <c r="DV284" s="1">
        <v>13545.0</v>
      </c>
      <c r="DX284" s="1">
        <v>3680.0</v>
      </c>
      <c r="DY284" s="1">
        <v>677179.0</v>
      </c>
      <c r="DZ284" s="1" t="s">
        <v>981</v>
      </c>
      <c r="EA284" s="1">
        <v>784.0</v>
      </c>
      <c r="EB284" s="1">
        <v>32937.0</v>
      </c>
      <c r="EC284" s="1">
        <v>1.0</v>
      </c>
      <c r="ED284" s="1">
        <v>26492.0</v>
      </c>
      <c r="EF284" s="1">
        <v>210.0</v>
      </c>
      <c r="EG284" s="1" t="s">
        <v>982</v>
      </c>
      <c r="EH284" s="1">
        <v>100.0</v>
      </c>
      <c r="EK284" s="1">
        <v>100.0</v>
      </c>
      <c r="EQ284" s="9" t="s">
        <v>1792</v>
      </c>
      <c r="ER284" s="21">
        <v>46045.29809027778</v>
      </c>
    </row>
    <row r="285">
      <c r="A285" s="9" t="s">
        <v>1797</v>
      </c>
      <c r="B285" s="20" t="str">
        <f>IFERROR(__xludf.DUMMYFUNCTION("REGEXREPLACE(A285, ""^https?://[^/]+"", """")"),"/wp-content/plugins/elementor-pro/assets/css/widget-loop-common.min.css?ver=3.34.0")</f>
        <v>/wp-content/plugins/elementor-pro/assets/css/widget-loop-common.min.css?ver=3.34.0</v>
      </c>
      <c r="F285" s="1" t="s">
        <v>1016</v>
      </c>
      <c r="G285" s="1">
        <v>200.0</v>
      </c>
      <c r="H285" s="1" t="s">
        <v>966</v>
      </c>
      <c r="I285" s="1" t="s">
        <v>967</v>
      </c>
      <c r="L285" s="1">
        <v>0.0</v>
      </c>
      <c r="M285" s="1">
        <v>0.0</v>
      </c>
      <c r="O285" s="1">
        <v>0.0</v>
      </c>
      <c r="P285" s="1">
        <v>0.0</v>
      </c>
      <c r="R285" s="1">
        <v>0.0</v>
      </c>
      <c r="S285" s="1">
        <v>0.0</v>
      </c>
      <c r="U285" s="1">
        <v>0.0</v>
      </c>
      <c r="W285" s="1">
        <v>0.0</v>
      </c>
      <c r="Y285" s="1">
        <v>0.0</v>
      </c>
      <c r="AA285" s="1">
        <v>0.0</v>
      </c>
      <c r="AC285" s="1">
        <v>0.0</v>
      </c>
      <c r="AM285" s="1">
        <v>157.0</v>
      </c>
      <c r="AN285" s="1">
        <v>157.0</v>
      </c>
      <c r="AO285" s="1">
        <v>157.0</v>
      </c>
      <c r="AP285" s="1">
        <v>0.06</v>
      </c>
      <c r="AR285" s="1">
        <v>0.0</v>
      </c>
      <c r="AW285" s="1">
        <v>0.0</v>
      </c>
      <c r="AX285" s="1">
        <v>2.0</v>
      </c>
      <c r="AY285" s="1">
        <v>5.0</v>
      </c>
      <c r="BA285" s="1">
        <v>0.0</v>
      </c>
      <c r="BB285" s="1">
        <v>0.0</v>
      </c>
      <c r="BC285" s="1">
        <v>0.0</v>
      </c>
      <c r="BD285" s="1">
        <v>0.0</v>
      </c>
      <c r="BE285" s="1">
        <v>0.0</v>
      </c>
      <c r="BF285" s="1">
        <v>0.0</v>
      </c>
      <c r="BG285" s="1">
        <v>0.0</v>
      </c>
      <c r="BH285" s="1">
        <v>0.0</v>
      </c>
      <c r="BI285" s="1">
        <v>0.0</v>
      </c>
      <c r="BJ285" s="1">
        <v>0.0</v>
      </c>
      <c r="BP285" s="1">
        <v>0.263</v>
      </c>
      <c r="BQ285" s="1" t="s">
        <v>1041</v>
      </c>
      <c r="BV285" s="1">
        <v>1.1</v>
      </c>
      <c r="EQ285" s="9" t="s">
        <v>1797</v>
      </c>
      <c r="ER285" s="21">
        <v>46045.298113425924</v>
      </c>
    </row>
    <row r="286">
      <c r="A286" s="9" t="s">
        <v>1798</v>
      </c>
      <c r="B286" s="20" t="str">
        <f>IFERROR(__xludf.DUMMYFUNCTION("REGEXREPLACE(A286, ""^https?://[^/]+"", """")"),"/wp-content/uploads/2025/12/SAO-YT-Thumbnail-Bryan-Cressey-1024x576.jpg")</f>
        <v>/wp-content/uploads/2025/12/SAO-YT-Thumbnail-Bryan-Cressey-1024x576.jpg</v>
      </c>
      <c r="F286" s="1" t="s">
        <v>1004</v>
      </c>
      <c r="G286" s="1">
        <v>200.0</v>
      </c>
      <c r="H286" s="1" t="s">
        <v>966</v>
      </c>
      <c r="I286" s="1" t="s">
        <v>967</v>
      </c>
      <c r="L286" s="1">
        <v>0.0</v>
      </c>
      <c r="M286" s="1">
        <v>0.0</v>
      </c>
      <c r="O286" s="1">
        <v>0.0</v>
      </c>
      <c r="P286" s="1">
        <v>0.0</v>
      </c>
      <c r="R286" s="1">
        <v>0.0</v>
      </c>
      <c r="S286" s="1">
        <v>0.0</v>
      </c>
      <c r="U286" s="1">
        <v>0.0</v>
      </c>
      <c r="W286" s="1">
        <v>0.0</v>
      </c>
      <c r="Y286" s="1">
        <v>0.0</v>
      </c>
      <c r="AA286" s="1">
        <v>0.0</v>
      </c>
      <c r="AC286" s="1">
        <v>0.0</v>
      </c>
      <c r="AM286" s="1">
        <v>85196.0</v>
      </c>
      <c r="AN286" s="1">
        <v>85196.0</v>
      </c>
      <c r="AO286" s="1">
        <v>85196.0</v>
      </c>
      <c r="AP286" s="1">
        <v>32.637</v>
      </c>
      <c r="AR286" s="1">
        <v>0.0</v>
      </c>
      <c r="AW286" s="1">
        <v>0.0</v>
      </c>
      <c r="AX286" s="1">
        <v>2.0</v>
      </c>
      <c r="AY286" s="1">
        <v>4.0</v>
      </c>
      <c r="BA286" s="1">
        <v>0.0</v>
      </c>
      <c r="BB286" s="1">
        <v>0.0</v>
      </c>
      <c r="BC286" s="1">
        <v>0.0</v>
      </c>
      <c r="BD286" s="1">
        <v>0.0</v>
      </c>
      <c r="BE286" s="1">
        <v>0.0</v>
      </c>
      <c r="BF286" s="1">
        <v>0.0</v>
      </c>
      <c r="BG286" s="1">
        <v>0.0</v>
      </c>
      <c r="BH286" s="1">
        <v>0.0</v>
      </c>
      <c r="BI286" s="1">
        <v>0.0</v>
      </c>
      <c r="BJ286" s="1">
        <v>0.0</v>
      </c>
      <c r="BP286" s="1">
        <v>0.281</v>
      </c>
      <c r="BQ286" s="1" t="s">
        <v>1799</v>
      </c>
      <c r="BV286" s="1">
        <v>1.1</v>
      </c>
      <c r="EQ286" s="9" t="s">
        <v>1798</v>
      </c>
      <c r="ER286" s="21">
        <v>46045.298113425924</v>
      </c>
    </row>
    <row r="287">
      <c r="A287" s="9" t="s">
        <v>1800</v>
      </c>
      <c r="B287" s="20" t="str">
        <f>IFERROR(__xludf.DUMMYFUNCTION("REGEXREPLACE(A287, ""^https?://[^/]+"", """")"),"/wp-content/uploads/elementor/thumbs/podcast-sales-against-the-odds-rekhkpdrqbnjmj3tc00y1xropdbkzyjcxhp2m8l11k.jpg")</f>
        <v>/wp-content/uploads/elementor/thumbs/podcast-sales-against-the-odds-rekhkpdrqbnjmj3tc00y1xropdbkzyjcxhp2m8l11k.jpg</v>
      </c>
      <c r="F287" s="1" t="s">
        <v>1004</v>
      </c>
      <c r="G287" s="1">
        <v>200.0</v>
      </c>
      <c r="H287" s="1" t="s">
        <v>966</v>
      </c>
      <c r="I287" s="1" t="s">
        <v>967</v>
      </c>
      <c r="L287" s="1">
        <v>0.0</v>
      </c>
      <c r="M287" s="1">
        <v>0.0</v>
      </c>
      <c r="O287" s="1">
        <v>0.0</v>
      </c>
      <c r="P287" s="1">
        <v>0.0</v>
      </c>
      <c r="R287" s="1">
        <v>0.0</v>
      </c>
      <c r="S287" s="1">
        <v>0.0</v>
      </c>
      <c r="U287" s="1">
        <v>0.0</v>
      </c>
      <c r="W287" s="1">
        <v>0.0</v>
      </c>
      <c r="Y287" s="1">
        <v>0.0</v>
      </c>
      <c r="AA287" s="1">
        <v>0.0</v>
      </c>
      <c r="AC287" s="1">
        <v>0.0</v>
      </c>
      <c r="AM287" s="1">
        <v>41149.0</v>
      </c>
      <c r="AN287" s="1">
        <v>41149.0</v>
      </c>
      <c r="AO287" s="1">
        <v>41149.0</v>
      </c>
      <c r="AP287" s="1">
        <v>15.763</v>
      </c>
      <c r="AR287" s="1">
        <v>0.0</v>
      </c>
      <c r="AW287" s="1">
        <v>0.0</v>
      </c>
      <c r="AX287" s="1">
        <v>2.0</v>
      </c>
      <c r="AY287" s="1">
        <v>4.0</v>
      </c>
      <c r="BA287" s="1">
        <v>0.0</v>
      </c>
      <c r="BB287" s="1">
        <v>0.0</v>
      </c>
      <c r="BC287" s="1">
        <v>0.0</v>
      </c>
      <c r="BD287" s="1">
        <v>0.0</v>
      </c>
      <c r="BE287" s="1">
        <v>0.0</v>
      </c>
      <c r="BF287" s="1">
        <v>0.0</v>
      </c>
      <c r="BG287" s="1">
        <v>0.0</v>
      </c>
      <c r="BH287" s="1">
        <v>0.0</v>
      </c>
      <c r="BI287" s="1">
        <v>0.0</v>
      </c>
      <c r="BJ287" s="1">
        <v>0.0</v>
      </c>
      <c r="BP287" s="1">
        <v>0.253</v>
      </c>
      <c r="BQ287" s="1" t="s">
        <v>1801</v>
      </c>
      <c r="BV287" s="1">
        <v>1.1</v>
      </c>
      <c r="EQ287" s="9" t="s">
        <v>1800</v>
      </c>
      <c r="ER287" s="21">
        <v>46045.298113425924</v>
      </c>
    </row>
    <row r="288">
      <c r="A288" s="9" t="s">
        <v>1802</v>
      </c>
      <c r="B288" s="20" t="str">
        <f>IFERROR(__xludf.DUMMYFUNCTION("REGEXREPLACE(A288, ""^https?://[^/]+"", """")"),"/wp-content/plugins/powerpack-elements/assets/css/min/widget-buttons.min.css?ver=2.12.15")</f>
        <v>/wp-content/plugins/powerpack-elements/assets/css/min/widget-buttons.min.css?ver=2.12.15</v>
      </c>
      <c r="F288" s="1" t="s">
        <v>1016</v>
      </c>
      <c r="G288" s="1">
        <v>200.0</v>
      </c>
      <c r="H288" s="1" t="s">
        <v>966</v>
      </c>
      <c r="I288" s="1" t="s">
        <v>967</v>
      </c>
      <c r="L288" s="1">
        <v>0.0</v>
      </c>
      <c r="M288" s="1">
        <v>0.0</v>
      </c>
      <c r="O288" s="1">
        <v>0.0</v>
      </c>
      <c r="P288" s="1">
        <v>0.0</v>
      </c>
      <c r="R288" s="1">
        <v>0.0</v>
      </c>
      <c r="S288" s="1">
        <v>0.0</v>
      </c>
      <c r="U288" s="1">
        <v>0.0</v>
      </c>
      <c r="W288" s="1">
        <v>0.0</v>
      </c>
      <c r="Y288" s="1">
        <v>0.0</v>
      </c>
      <c r="AA288" s="1">
        <v>0.0</v>
      </c>
      <c r="AC288" s="1">
        <v>0.0</v>
      </c>
      <c r="AM288" s="1">
        <v>1153.0</v>
      </c>
      <c r="AN288" s="1">
        <v>1153.0</v>
      </c>
      <c r="AO288" s="1">
        <v>1153.0</v>
      </c>
      <c r="AP288" s="1">
        <v>0.442</v>
      </c>
      <c r="AR288" s="1">
        <v>0.0</v>
      </c>
      <c r="AW288" s="1">
        <v>0.0</v>
      </c>
      <c r="AX288" s="1">
        <v>2.0</v>
      </c>
      <c r="AY288" s="1">
        <v>6.0</v>
      </c>
      <c r="BA288" s="1">
        <v>0.0</v>
      </c>
      <c r="BB288" s="1">
        <v>0.0</v>
      </c>
      <c r="BC288" s="1">
        <v>0.0</v>
      </c>
      <c r="BD288" s="1">
        <v>0.0</v>
      </c>
      <c r="BE288" s="1">
        <v>0.0</v>
      </c>
      <c r="BF288" s="1">
        <v>0.0</v>
      </c>
      <c r="BG288" s="1">
        <v>0.0</v>
      </c>
      <c r="BH288" s="1">
        <v>0.0</v>
      </c>
      <c r="BI288" s="1">
        <v>0.0</v>
      </c>
      <c r="BJ288" s="1">
        <v>0.0</v>
      </c>
      <c r="BP288" s="1">
        <v>0.255</v>
      </c>
      <c r="BQ288" s="1" t="s">
        <v>1193</v>
      </c>
      <c r="BV288" s="1">
        <v>1.1</v>
      </c>
      <c r="EQ288" s="9" t="s">
        <v>1802</v>
      </c>
      <c r="ER288" s="21">
        <v>46045.298113425924</v>
      </c>
    </row>
    <row r="289">
      <c r="A289" s="9" t="s">
        <v>1803</v>
      </c>
      <c r="B289" s="20" t="str">
        <f>IFERROR(__xludf.DUMMYFUNCTION("REGEXREPLACE(A289, ""^https?://[^/]+"", """")"),"/rapid-fire-questions-on-growing-your-business/")</f>
        <v>/rapid-fire-questions-on-growing-your-business/</v>
      </c>
      <c r="C289" s="1" t="s">
        <v>1804</v>
      </c>
      <c r="F289" s="1" t="s">
        <v>965</v>
      </c>
      <c r="G289" s="1">
        <v>200.0</v>
      </c>
      <c r="H289" s="1" t="s">
        <v>966</v>
      </c>
      <c r="I289" s="1" t="s">
        <v>967</v>
      </c>
      <c r="K289" s="1" t="s">
        <v>1805</v>
      </c>
      <c r="L289" s="1">
        <v>70.0</v>
      </c>
      <c r="M289" s="1">
        <v>637.0</v>
      </c>
      <c r="O289" s="1">
        <v>0.0</v>
      </c>
      <c r="P289" s="1">
        <v>0.0</v>
      </c>
      <c r="Q289" s="1" t="s">
        <v>1806</v>
      </c>
      <c r="R289" s="1">
        <v>138.0</v>
      </c>
      <c r="S289" s="1">
        <v>853.0</v>
      </c>
      <c r="U289" s="1">
        <v>0.0</v>
      </c>
      <c r="V289" s="1" t="s">
        <v>1804</v>
      </c>
      <c r="W289" s="1">
        <v>45.0</v>
      </c>
      <c r="Y289" s="1">
        <v>0.0</v>
      </c>
      <c r="AA289" s="1">
        <v>0.0</v>
      </c>
      <c r="AC289" s="1">
        <v>0.0</v>
      </c>
      <c r="AD289" s="1" t="s">
        <v>971</v>
      </c>
      <c r="AG289" s="9" t="s">
        <v>1803</v>
      </c>
      <c r="AM289" s="1">
        <v>209108.0</v>
      </c>
      <c r="AN289" s="1">
        <v>39356.0</v>
      </c>
      <c r="AO289" s="1">
        <v>39356.0</v>
      </c>
      <c r="AP289" s="1">
        <v>15.077</v>
      </c>
      <c r="AR289" s="1">
        <v>3160.0</v>
      </c>
      <c r="AS289" s="1">
        <v>519.0</v>
      </c>
      <c r="AT289" s="1">
        <v>6.089</v>
      </c>
      <c r="AU289" s="1">
        <v>82.108</v>
      </c>
      <c r="AV289" s="1" t="s">
        <v>1129</v>
      </c>
      <c r="AW289" s="1">
        <v>9.843</v>
      </c>
      <c r="AX289" s="1">
        <v>2.0</v>
      </c>
      <c r="AY289" s="1">
        <v>1.0</v>
      </c>
      <c r="AZ289" s="1">
        <v>2.0</v>
      </c>
      <c r="BA289" s="1">
        <v>5.0</v>
      </c>
      <c r="BB289" s="1">
        <v>4.0</v>
      </c>
      <c r="BC289" s="1">
        <v>0.0</v>
      </c>
      <c r="BD289" s="1">
        <v>0.53</v>
      </c>
      <c r="BE289" s="1">
        <v>129.0</v>
      </c>
      <c r="BF289" s="1">
        <v>47.0</v>
      </c>
      <c r="BG289" s="1">
        <v>0.0</v>
      </c>
      <c r="BH289" s="1">
        <v>18.0</v>
      </c>
      <c r="BI289" s="1">
        <v>10.0</v>
      </c>
      <c r="BJ289" s="1">
        <v>0.0</v>
      </c>
      <c r="BO289" s="1" t="s">
        <v>1807</v>
      </c>
      <c r="BP289" s="1">
        <v>1.029</v>
      </c>
      <c r="BU289" s="1" t="s">
        <v>974</v>
      </c>
      <c r="BV289" s="1">
        <v>1.1</v>
      </c>
      <c r="BW289" s="1">
        <v>50.0</v>
      </c>
      <c r="BX289" s="1">
        <v>4051.113</v>
      </c>
      <c r="BY289" s="1">
        <v>7435.476</v>
      </c>
      <c r="BZ289" s="1">
        <v>11327.331</v>
      </c>
      <c r="CA289" s="1">
        <v>20137.213</v>
      </c>
      <c r="CB289" s="1">
        <v>398.0</v>
      </c>
      <c r="CC289" s="1">
        <v>0.0</v>
      </c>
      <c r="CD289" s="1">
        <v>706581.0</v>
      </c>
      <c r="CE289" s="1">
        <v>1350.0</v>
      </c>
      <c r="CF289" s="1">
        <v>182.0</v>
      </c>
      <c r="CG289" s="1">
        <v>2791089.0</v>
      </c>
      <c r="CH289" s="1">
        <v>77507.0</v>
      </c>
      <c r="CI289" s="1">
        <v>3.0</v>
      </c>
      <c r="CJ289" s="1">
        <v>77628.0</v>
      </c>
      <c r="CK289" s="1">
        <v>23.0</v>
      </c>
      <c r="CL289" s="1">
        <v>189648.0</v>
      </c>
      <c r="CM289" s="1">
        <v>46.0</v>
      </c>
      <c r="CN289" s="1">
        <v>1779369.0</v>
      </c>
      <c r="CO289" s="1">
        <v>70.0</v>
      </c>
      <c r="CP289" s="1">
        <v>640727.0</v>
      </c>
      <c r="CQ289" s="1">
        <v>10.0</v>
      </c>
      <c r="CR289" s="1">
        <v>0.0</v>
      </c>
      <c r="CS289" s="1">
        <v>0.0</v>
      </c>
      <c r="CT289" s="1">
        <v>26210.0</v>
      </c>
      <c r="CU289" s="1">
        <v>30.0</v>
      </c>
      <c r="CV289" s="1">
        <v>1923242.0</v>
      </c>
      <c r="CW289" s="1">
        <v>78.0</v>
      </c>
      <c r="DC289" s="1">
        <v>0.0</v>
      </c>
      <c r="DD289" s="1">
        <v>7527.0</v>
      </c>
      <c r="DE289" s="1">
        <v>0.0</v>
      </c>
      <c r="DF289" s="1">
        <v>3397.0</v>
      </c>
      <c r="DG289" s="1">
        <v>450.0</v>
      </c>
      <c r="DH289" s="1">
        <v>108292.0</v>
      </c>
      <c r="DI289" s="1">
        <v>900.0</v>
      </c>
      <c r="DJ289" s="1">
        <v>587365.0</v>
      </c>
      <c r="DK289" s="1">
        <v>1833.1</v>
      </c>
      <c r="DL289" s="1" t="s">
        <v>975</v>
      </c>
      <c r="DM289" s="1">
        <v>3351.781</v>
      </c>
      <c r="DN289" s="1" t="s">
        <v>975</v>
      </c>
      <c r="DO289" s="1">
        <v>2789649.0</v>
      </c>
      <c r="DP289" s="1">
        <v>1.0</v>
      </c>
      <c r="DQ289" s="1" t="s">
        <v>976</v>
      </c>
      <c r="DR289" s="1" t="s">
        <v>1014</v>
      </c>
      <c r="DS289" s="1" t="s">
        <v>978</v>
      </c>
      <c r="DT289" s="1" t="s">
        <v>979</v>
      </c>
      <c r="DU289" s="1" t="s">
        <v>980</v>
      </c>
      <c r="DV289" s="1">
        <v>17748.0</v>
      </c>
      <c r="DW289" s="1">
        <v>311.0</v>
      </c>
      <c r="DX289" s="1">
        <v>3848.0</v>
      </c>
      <c r="DY289" s="1">
        <v>654313.0</v>
      </c>
      <c r="DZ289" s="1" t="s">
        <v>994</v>
      </c>
      <c r="EA289" s="1">
        <v>984.0</v>
      </c>
      <c r="EB289" s="1">
        <v>13939.0</v>
      </c>
      <c r="EC289" s="1">
        <v>9.0</v>
      </c>
      <c r="ED289" s="1">
        <v>26492.0</v>
      </c>
      <c r="EF289" s="1">
        <v>270.0</v>
      </c>
      <c r="EG289" s="1" t="s">
        <v>1465</v>
      </c>
      <c r="EH289" s="1">
        <v>100.0</v>
      </c>
      <c r="EK289" s="1">
        <v>100.0</v>
      </c>
      <c r="EQ289" s="9" t="s">
        <v>1803</v>
      </c>
      <c r="ER289" s="21">
        <v>46045.298113425924</v>
      </c>
    </row>
    <row r="290">
      <c r="A290" s="9" t="s">
        <v>1808</v>
      </c>
      <c r="B290" s="20" t="str">
        <f>IFERROR(__xludf.DUMMYFUNCTION("REGEXREPLACE(A290, ""^https?://[^/]+"", """")"),"/what-it-really-takes-to-build-a-resilient-business/")</f>
        <v>/what-it-really-takes-to-build-a-resilient-business/</v>
      </c>
      <c r="C290" s="1" t="s">
        <v>1809</v>
      </c>
      <c r="F290" s="1" t="s">
        <v>965</v>
      </c>
      <c r="G290" s="1">
        <v>200.0</v>
      </c>
      <c r="H290" s="1" t="s">
        <v>966</v>
      </c>
      <c r="I290" s="1" t="s">
        <v>967</v>
      </c>
      <c r="K290" s="1" t="s">
        <v>1810</v>
      </c>
      <c r="L290" s="1">
        <v>75.0</v>
      </c>
      <c r="M290" s="1">
        <v>658.0</v>
      </c>
      <c r="O290" s="1">
        <v>0.0</v>
      </c>
      <c r="P290" s="1">
        <v>0.0</v>
      </c>
      <c r="Q290" s="1" t="s">
        <v>1811</v>
      </c>
      <c r="R290" s="1">
        <v>149.0</v>
      </c>
      <c r="S290" s="1">
        <v>894.0</v>
      </c>
      <c r="U290" s="1">
        <v>0.0</v>
      </c>
      <c r="V290" s="1" t="s">
        <v>1809</v>
      </c>
      <c r="W290" s="1">
        <v>50.0</v>
      </c>
      <c r="Y290" s="1">
        <v>0.0</v>
      </c>
      <c r="AA290" s="1">
        <v>0.0</v>
      </c>
      <c r="AC290" s="1">
        <v>0.0</v>
      </c>
      <c r="AD290" s="1" t="s">
        <v>971</v>
      </c>
      <c r="AG290" s="9" t="s">
        <v>1808</v>
      </c>
      <c r="AM290" s="1">
        <v>300431.0</v>
      </c>
      <c r="AN290" s="1">
        <v>65809.0</v>
      </c>
      <c r="AO290" s="1">
        <v>65809.0</v>
      </c>
      <c r="AP290" s="1">
        <v>25.21</v>
      </c>
      <c r="AR290" s="1">
        <v>16577.0</v>
      </c>
      <c r="AS290" s="1">
        <v>2571.0</v>
      </c>
      <c r="AT290" s="1">
        <v>6.448</v>
      </c>
      <c r="AU290" s="1">
        <v>88.122</v>
      </c>
      <c r="AV290" s="1" t="s">
        <v>1129</v>
      </c>
      <c r="AW290" s="1">
        <v>31.667</v>
      </c>
      <c r="AX290" s="1">
        <v>2.0</v>
      </c>
      <c r="AY290" s="1">
        <v>1.0</v>
      </c>
      <c r="AZ290" s="1">
        <v>1.0</v>
      </c>
      <c r="BA290" s="1">
        <v>3.0</v>
      </c>
      <c r="BB290" s="1">
        <v>3.0</v>
      </c>
      <c r="BC290" s="1">
        <v>0.0</v>
      </c>
      <c r="BD290" s="1">
        <v>0.4</v>
      </c>
      <c r="BE290" s="1">
        <v>129.0</v>
      </c>
      <c r="BF290" s="1">
        <v>47.0</v>
      </c>
      <c r="BG290" s="1">
        <v>0.0</v>
      </c>
      <c r="BH290" s="1">
        <v>18.0</v>
      </c>
      <c r="BI290" s="1">
        <v>10.0</v>
      </c>
      <c r="BJ290" s="1">
        <v>0.0</v>
      </c>
      <c r="BO290" s="1" t="s">
        <v>1812</v>
      </c>
      <c r="BP290" s="1">
        <v>1.131</v>
      </c>
      <c r="BU290" s="1" t="s">
        <v>974</v>
      </c>
      <c r="BV290" s="1">
        <v>1.1</v>
      </c>
      <c r="BW290" s="1">
        <v>47.0</v>
      </c>
      <c r="BX290" s="1">
        <v>4951.012</v>
      </c>
      <c r="BY290" s="1">
        <v>7534.101</v>
      </c>
      <c r="BZ290" s="1">
        <v>6826.017</v>
      </c>
      <c r="CA290" s="1">
        <v>20158.156</v>
      </c>
      <c r="CB290" s="1">
        <v>547.0</v>
      </c>
      <c r="CC290" s="1">
        <v>0.023</v>
      </c>
      <c r="CD290" s="1">
        <v>705713.0</v>
      </c>
      <c r="CE290" s="1">
        <v>750.0</v>
      </c>
      <c r="CF290" s="1">
        <v>181.0</v>
      </c>
      <c r="CG290" s="1">
        <v>2817824.0</v>
      </c>
      <c r="CH290" s="1">
        <v>104521.0</v>
      </c>
      <c r="CI290" s="1">
        <v>3.0</v>
      </c>
      <c r="CJ290" s="1">
        <v>77236.0</v>
      </c>
      <c r="CK290" s="1">
        <v>22.0</v>
      </c>
      <c r="CL290" s="1">
        <v>189670.0</v>
      </c>
      <c r="CM290" s="1">
        <v>46.0</v>
      </c>
      <c r="CN290" s="1">
        <v>1779454.0</v>
      </c>
      <c r="CO290" s="1">
        <v>70.0</v>
      </c>
      <c r="CP290" s="1">
        <v>640732.0</v>
      </c>
      <c r="CQ290" s="1">
        <v>10.0</v>
      </c>
      <c r="CR290" s="1">
        <v>0.0</v>
      </c>
      <c r="CS290" s="1">
        <v>0.0</v>
      </c>
      <c r="CT290" s="1">
        <v>26211.0</v>
      </c>
      <c r="CU290" s="1">
        <v>30.0</v>
      </c>
      <c r="CV290" s="1">
        <v>1923507.0</v>
      </c>
      <c r="CW290" s="1">
        <v>77.0</v>
      </c>
      <c r="DC290" s="1">
        <v>0.0</v>
      </c>
      <c r="DD290" s="1">
        <v>7527.0</v>
      </c>
      <c r="DE290" s="1">
        <v>0.0</v>
      </c>
      <c r="DF290" s="1">
        <v>3396.0</v>
      </c>
      <c r="DG290" s="1">
        <v>150.0</v>
      </c>
      <c r="DH290" s="1">
        <v>108297.0</v>
      </c>
      <c r="DI290" s="1">
        <v>600.0</v>
      </c>
      <c r="DJ290" s="1">
        <v>586493.0</v>
      </c>
      <c r="DK290" s="1">
        <v>2035.354</v>
      </c>
      <c r="DL290" s="1" t="s">
        <v>975</v>
      </c>
      <c r="DM290" s="1">
        <v>3774.678</v>
      </c>
      <c r="DN290" s="1" t="s">
        <v>975</v>
      </c>
      <c r="DO290" s="1">
        <v>2816777.0</v>
      </c>
      <c r="DP290" s="1">
        <v>1.0</v>
      </c>
      <c r="DQ290" s="1" t="s">
        <v>976</v>
      </c>
      <c r="DR290" s="1" t="s">
        <v>1429</v>
      </c>
      <c r="DS290" s="1" t="s">
        <v>978</v>
      </c>
      <c r="DT290" s="1" t="s">
        <v>979</v>
      </c>
      <c r="DU290" s="1" t="s">
        <v>980</v>
      </c>
      <c r="DV290" s="1">
        <v>19109.0</v>
      </c>
      <c r="DW290" s="1">
        <v>312.0</v>
      </c>
      <c r="DX290" s="1">
        <v>4451.0</v>
      </c>
      <c r="DY290" s="1">
        <v>654326.0</v>
      </c>
      <c r="DZ290" s="1" t="s">
        <v>981</v>
      </c>
      <c r="EA290" s="1">
        <v>1531.0</v>
      </c>
      <c r="EB290" s="1">
        <v>13939.0</v>
      </c>
      <c r="EC290" s="1">
        <v>29.0</v>
      </c>
      <c r="ED290" s="1">
        <v>26492.0</v>
      </c>
      <c r="EF290" s="1">
        <v>240.0</v>
      </c>
      <c r="EG290" s="1" t="s">
        <v>1465</v>
      </c>
      <c r="EH290" s="1">
        <v>100.0</v>
      </c>
      <c r="EK290" s="1">
        <v>100.0</v>
      </c>
      <c r="EQ290" s="9" t="s">
        <v>1808</v>
      </c>
      <c r="ER290" s="21">
        <v>46045.298101851855</v>
      </c>
    </row>
    <row r="291">
      <c r="A291" s="9" t="s">
        <v>1813</v>
      </c>
      <c r="B291" s="20" t="str">
        <f>IFERROR(__xludf.DUMMYFUNCTION("REGEXREPLACE(A291, ""^https?://[^/]+"", """")"),"/wp-content/uploads/elementor/css/post-71921.css?ver=1768847238")</f>
        <v>/wp-content/uploads/elementor/css/post-71921.css?ver=1768847238</v>
      </c>
      <c r="F291" s="1" t="s">
        <v>1016</v>
      </c>
      <c r="G291" s="1">
        <v>200.0</v>
      </c>
      <c r="H291" s="1" t="s">
        <v>966</v>
      </c>
      <c r="I291" s="1" t="s">
        <v>967</v>
      </c>
      <c r="L291" s="1">
        <v>0.0</v>
      </c>
      <c r="M291" s="1">
        <v>0.0</v>
      </c>
      <c r="O291" s="1">
        <v>0.0</v>
      </c>
      <c r="P291" s="1">
        <v>0.0</v>
      </c>
      <c r="R291" s="1">
        <v>0.0</v>
      </c>
      <c r="S291" s="1">
        <v>0.0</v>
      </c>
      <c r="U291" s="1">
        <v>0.0</v>
      </c>
      <c r="W291" s="1">
        <v>0.0</v>
      </c>
      <c r="Y291" s="1">
        <v>0.0</v>
      </c>
      <c r="AA291" s="1">
        <v>0.0</v>
      </c>
      <c r="AC291" s="1">
        <v>0.0</v>
      </c>
      <c r="AM291" s="1">
        <v>1111.0</v>
      </c>
      <c r="AN291" s="1">
        <v>1111.0</v>
      </c>
      <c r="AO291" s="1">
        <v>1111.0</v>
      </c>
      <c r="AP291" s="1">
        <v>0.426</v>
      </c>
      <c r="AR291" s="1">
        <v>0.0</v>
      </c>
      <c r="AW291" s="1">
        <v>0.0</v>
      </c>
      <c r="AX291" s="1">
        <v>2.0</v>
      </c>
      <c r="AY291" s="1">
        <v>4.0</v>
      </c>
      <c r="BA291" s="1">
        <v>0.0</v>
      </c>
      <c r="BB291" s="1">
        <v>0.0</v>
      </c>
      <c r="BC291" s="1">
        <v>0.0</v>
      </c>
      <c r="BD291" s="1">
        <v>0.0</v>
      </c>
      <c r="BE291" s="1">
        <v>0.0</v>
      </c>
      <c r="BF291" s="1">
        <v>0.0</v>
      </c>
      <c r="BG291" s="1">
        <v>0.0</v>
      </c>
      <c r="BH291" s="1">
        <v>0.0</v>
      </c>
      <c r="BI291" s="1">
        <v>0.0</v>
      </c>
      <c r="BJ291" s="1">
        <v>0.0</v>
      </c>
      <c r="BP291" s="1">
        <v>0.262</v>
      </c>
      <c r="BQ291" s="1" t="s">
        <v>1814</v>
      </c>
      <c r="BV291" s="1">
        <v>1.1</v>
      </c>
      <c r="EQ291" s="9" t="s">
        <v>1813</v>
      </c>
      <c r="ER291" s="21">
        <v>46045.298125</v>
      </c>
    </row>
    <row r="292">
      <c r="A292" s="9" t="s">
        <v>1815</v>
      </c>
      <c r="B292" s="20" t="str">
        <f>IFERROR(__xludf.DUMMYFUNCTION("REGEXREPLACE(A292, ""^https?://[^/]+"", """")"),"/wp-content/uploads/2025/11/SAO-YT-Thumbnail-Tom-Gardner-1024x576.jpg")</f>
        <v>/wp-content/uploads/2025/11/SAO-YT-Thumbnail-Tom-Gardner-1024x576.jpg</v>
      </c>
      <c r="F292" s="1" t="s">
        <v>1004</v>
      </c>
      <c r="G292" s="1">
        <v>200.0</v>
      </c>
      <c r="H292" s="1" t="s">
        <v>966</v>
      </c>
      <c r="I292" s="1" t="s">
        <v>967</v>
      </c>
      <c r="L292" s="1">
        <v>0.0</v>
      </c>
      <c r="M292" s="1">
        <v>0.0</v>
      </c>
      <c r="O292" s="1">
        <v>0.0</v>
      </c>
      <c r="P292" s="1">
        <v>0.0</v>
      </c>
      <c r="R292" s="1">
        <v>0.0</v>
      </c>
      <c r="S292" s="1">
        <v>0.0</v>
      </c>
      <c r="U292" s="1">
        <v>0.0</v>
      </c>
      <c r="W292" s="1">
        <v>0.0</v>
      </c>
      <c r="Y292" s="1">
        <v>0.0</v>
      </c>
      <c r="AA292" s="1">
        <v>0.0</v>
      </c>
      <c r="AC292" s="1">
        <v>0.0</v>
      </c>
      <c r="AM292" s="1">
        <v>67142.0</v>
      </c>
      <c r="AN292" s="1">
        <v>67142.0</v>
      </c>
      <c r="AO292" s="1">
        <v>67142.0</v>
      </c>
      <c r="AP292" s="1">
        <v>25.721</v>
      </c>
      <c r="AR292" s="1">
        <v>0.0</v>
      </c>
      <c r="AW292" s="1">
        <v>0.0</v>
      </c>
      <c r="AX292" s="1">
        <v>2.0</v>
      </c>
      <c r="AY292" s="1">
        <v>4.0</v>
      </c>
      <c r="BA292" s="1">
        <v>0.0</v>
      </c>
      <c r="BB292" s="1">
        <v>0.0</v>
      </c>
      <c r="BC292" s="1">
        <v>0.0</v>
      </c>
      <c r="BD292" s="1">
        <v>0.0</v>
      </c>
      <c r="BE292" s="1">
        <v>0.0</v>
      </c>
      <c r="BF292" s="1">
        <v>0.0</v>
      </c>
      <c r="BG292" s="1">
        <v>0.0</v>
      </c>
      <c r="BH292" s="1">
        <v>0.0</v>
      </c>
      <c r="BI292" s="1">
        <v>0.0</v>
      </c>
      <c r="BJ292" s="1">
        <v>0.0</v>
      </c>
      <c r="BP292" s="1">
        <v>0.275</v>
      </c>
      <c r="BQ292" s="1" t="s">
        <v>1816</v>
      </c>
      <c r="BV292" s="1">
        <v>1.1</v>
      </c>
      <c r="EQ292" s="9" t="s">
        <v>1815</v>
      </c>
      <c r="ER292" s="21">
        <v>46045.298125</v>
      </c>
    </row>
    <row r="293">
      <c r="A293" s="9" t="s">
        <v>1817</v>
      </c>
      <c r="B293" s="20" t="str">
        <f>IFERROR(__xludf.DUMMYFUNCTION("REGEXREPLACE(A293, ""^https?://[^/]+"", """")"),"/wp-content/uploads/2025/11/SAO-YT-Thumbnail-Nick-Friedman-1024x576.jpg")</f>
        <v>/wp-content/uploads/2025/11/SAO-YT-Thumbnail-Nick-Friedman-1024x576.jpg</v>
      </c>
      <c r="F293" s="1" t="s">
        <v>1004</v>
      </c>
      <c r="G293" s="1">
        <v>200.0</v>
      </c>
      <c r="H293" s="1" t="s">
        <v>966</v>
      </c>
      <c r="I293" s="1" t="s">
        <v>967</v>
      </c>
      <c r="L293" s="1">
        <v>0.0</v>
      </c>
      <c r="M293" s="1">
        <v>0.0</v>
      </c>
      <c r="O293" s="1">
        <v>0.0</v>
      </c>
      <c r="P293" s="1">
        <v>0.0</v>
      </c>
      <c r="R293" s="1">
        <v>0.0</v>
      </c>
      <c r="S293" s="1">
        <v>0.0</v>
      </c>
      <c r="U293" s="1">
        <v>0.0</v>
      </c>
      <c r="W293" s="1">
        <v>0.0</v>
      </c>
      <c r="Y293" s="1">
        <v>0.0</v>
      </c>
      <c r="AA293" s="1">
        <v>0.0</v>
      </c>
      <c r="AC293" s="1">
        <v>0.0</v>
      </c>
      <c r="AM293" s="1">
        <v>70646.0</v>
      </c>
      <c r="AN293" s="1">
        <v>70646.0</v>
      </c>
      <c r="AO293" s="1">
        <v>70646.0</v>
      </c>
      <c r="AP293" s="1">
        <v>27.063</v>
      </c>
      <c r="AR293" s="1">
        <v>0.0</v>
      </c>
      <c r="AW293" s="1">
        <v>0.0</v>
      </c>
      <c r="AX293" s="1">
        <v>2.0</v>
      </c>
      <c r="AY293" s="1">
        <v>4.0</v>
      </c>
      <c r="BA293" s="1">
        <v>0.0</v>
      </c>
      <c r="BB293" s="1">
        <v>0.0</v>
      </c>
      <c r="BC293" s="1">
        <v>0.0</v>
      </c>
      <c r="BD293" s="1">
        <v>0.0</v>
      </c>
      <c r="BE293" s="1">
        <v>0.0</v>
      </c>
      <c r="BF293" s="1">
        <v>0.0</v>
      </c>
      <c r="BG293" s="1">
        <v>0.0</v>
      </c>
      <c r="BH293" s="1">
        <v>0.0</v>
      </c>
      <c r="BI293" s="1">
        <v>0.0</v>
      </c>
      <c r="BJ293" s="1">
        <v>0.0</v>
      </c>
      <c r="BP293" s="1">
        <v>0.269</v>
      </c>
      <c r="BQ293" s="1" t="s">
        <v>1818</v>
      </c>
      <c r="BV293" s="1">
        <v>1.1</v>
      </c>
      <c r="EQ293" s="9" t="s">
        <v>1817</v>
      </c>
      <c r="ER293" s="21">
        <v>46045.298125</v>
      </c>
    </row>
    <row r="294">
      <c r="A294" s="9" t="s">
        <v>1819</v>
      </c>
      <c r="B294" s="20" t="str">
        <f>IFERROR(__xludf.DUMMYFUNCTION("REGEXREPLACE(A294, ""^https?://[^/]+"", """")"),"/wp-content/plugins/elementor-pro/assets/css/widget-loop-grid.min.css?ver=3.34.0")</f>
        <v>/wp-content/plugins/elementor-pro/assets/css/widget-loop-grid.min.css?ver=3.34.0</v>
      </c>
      <c r="F294" s="1" t="s">
        <v>1016</v>
      </c>
      <c r="G294" s="1">
        <v>200.0</v>
      </c>
      <c r="H294" s="1" t="s">
        <v>966</v>
      </c>
      <c r="I294" s="1" t="s">
        <v>967</v>
      </c>
      <c r="L294" s="1">
        <v>0.0</v>
      </c>
      <c r="M294" s="1">
        <v>0.0</v>
      </c>
      <c r="O294" s="1">
        <v>0.0</v>
      </c>
      <c r="P294" s="1">
        <v>0.0</v>
      </c>
      <c r="R294" s="1">
        <v>0.0</v>
      </c>
      <c r="S294" s="1">
        <v>0.0</v>
      </c>
      <c r="U294" s="1">
        <v>0.0</v>
      </c>
      <c r="W294" s="1">
        <v>0.0</v>
      </c>
      <c r="Y294" s="1">
        <v>0.0</v>
      </c>
      <c r="AA294" s="1">
        <v>0.0</v>
      </c>
      <c r="AC294" s="1">
        <v>0.0</v>
      </c>
      <c r="AM294" s="1">
        <v>1289.0</v>
      </c>
      <c r="AN294" s="1">
        <v>1289.0</v>
      </c>
      <c r="AO294" s="1">
        <v>1289.0</v>
      </c>
      <c r="AP294" s="1">
        <v>0.494</v>
      </c>
      <c r="AR294" s="1">
        <v>0.0</v>
      </c>
      <c r="AW294" s="1">
        <v>0.0</v>
      </c>
      <c r="AX294" s="1">
        <v>2.0</v>
      </c>
      <c r="AY294" s="1">
        <v>5.0</v>
      </c>
      <c r="BA294" s="1">
        <v>0.0</v>
      </c>
      <c r="BB294" s="1">
        <v>0.0</v>
      </c>
      <c r="BC294" s="1">
        <v>0.0</v>
      </c>
      <c r="BD294" s="1">
        <v>0.0</v>
      </c>
      <c r="BE294" s="1">
        <v>0.0</v>
      </c>
      <c r="BF294" s="1">
        <v>0.0</v>
      </c>
      <c r="BG294" s="1">
        <v>0.0</v>
      </c>
      <c r="BH294" s="1">
        <v>0.0</v>
      </c>
      <c r="BI294" s="1">
        <v>0.0</v>
      </c>
      <c r="BJ294" s="1">
        <v>0.0</v>
      </c>
      <c r="BP294" s="1">
        <v>0.262</v>
      </c>
      <c r="BQ294" s="1" t="s">
        <v>1041</v>
      </c>
      <c r="BV294" s="1">
        <v>1.1</v>
      </c>
      <c r="EQ294" s="9" t="s">
        <v>1819</v>
      </c>
      <c r="ER294" s="21">
        <v>46045.29813657407</v>
      </c>
    </row>
    <row r="295">
      <c r="A295" s="9" t="s">
        <v>1820</v>
      </c>
      <c r="B295" s="20" t="str">
        <f>IFERROR(__xludf.DUMMYFUNCTION("REGEXREPLACE(A295, ""^https?://[^/]+"", """")"),"/wp-content/uploads/2025/12/SAO-YT-Thumbnail-Kurt-Schneiber-1024x576.jpg")</f>
        <v>/wp-content/uploads/2025/12/SAO-YT-Thumbnail-Kurt-Schneiber-1024x576.jpg</v>
      </c>
      <c r="F295" s="1" t="s">
        <v>1004</v>
      </c>
      <c r="G295" s="1">
        <v>200.0</v>
      </c>
      <c r="H295" s="1" t="s">
        <v>966</v>
      </c>
      <c r="I295" s="1" t="s">
        <v>967</v>
      </c>
      <c r="L295" s="1">
        <v>0.0</v>
      </c>
      <c r="M295" s="1">
        <v>0.0</v>
      </c>
      <c r="O295" s="1">
        <v>0.0</v>
      </c>
      <c r="P295" s="1">
        <v>0.0</v>
      </c>
      <c r="R295" s="1">
        <v>0.0</v>
      </c>
      <c r="S295" s="1">
        <v>0.0</v>
      </c>
      <c r="U295" s="1">
        <v>0.0</v>
      </c>
      <c r="W295" s="1">
        <v>0.0</v>
      </c>
      <c r="Y295" s="1">
        <v>0.0</v>
      </c>
      <c r="AA295" s="1">
        <v>0.0</v>
      </c>
      <c r="AC295" s="1">
        <v>0.0</v>
      </c>
      <c r="AM295" s="1">
        <v>87327.0</v>
      </c>
      <c r="AN295" s="1">
        <v>87327.0</v>
      </c>
      <c r="AO295" s="1">
        <v>87327.0</v>
      </c>
      <c r="AP295" s="1">
        <v>33.453</v>
      </c>
      <c r="AR295" s="1">
        <v>0.0</v>
      </c>
      <c r="AW295" s="1">
        <v>0.0</v>
      </c>
      <c r="AX295" s="1">
        <v>2.0</v>
      </c>
      <c r="AY295" s="1">
        <v>4.0</v>
      </c>
      <c r="BA295" s="1">
        <v>0.0</v>
      </c>
      <c r="BB295" s="1">
        <v>0.0</v>
      </c>
      <c r="BC295" s="1">
        <v>0.0</v>
      </c>
      <c r="BD295" s="1">
        <v>0.0</v>
      </c>
      <c r="BE295" s="1">
        <v>0.0</v>
      </c>
      <c r="BF295" s="1">
        <v>0.0</v>
      </c>
      <c r="BG295" s="1">
        <v>0.0</v>
      </c>
      <c r="BH295" s="1">
        <v>0.0</v>
      </c>
      <c r="BI295" s="1">
        <v>0.0</v>
      </c>
      <c r="BJ295" s="1">
        <v>0.0</v>
      </c>
      <c r="BP295" s="1">
        <v>0.266</v>
      </c>
      <c r="BQ295" s="1" t="s">
        <v>1821</v>
      </c>
      <c r="BV295" s="1">
        <v>1.1</v>
      </c>
      <c r="EQ295" s="9" t="s">
        <v>1820</v>
      </c>
      <c r="ER295" s="21">
        <v>46045.29813657407</v>
      </c>
    </row>
    <row r="296">
      <c r="A296" s="9" t="s">
        <v>1822</v>
      </c>
      <c r="B296" s="20" t="str">
        <f>IFERROR(__xludf.DUMMYFUNCTION("REGEXREPLACE(A296, ""^https?://[^/]+"", """")"),"/the-leadership-traits-that-predict-breakout-success/")</f>
        <v>/the-leadership-traits-that-predict-breakout-success/</v>
      </c>
      <c r="C296" s="1" t="s">
        <v>1823</v>
      </c>
      <c r="F296" s="1" t="s">
        <v>965</v>
      </c>
      <c r="G296" s="1">
        <v>200.0</v>
      </c>
      <c r="H296" s="1" t="s">
        <v>966</v>
      </c>
      <c r="I296" s="1" t="s">
        <v>967</v>
      </c>
      <c r="K296" s="1" t="s">
        <v>1824</v>
      </c>
      <c r="L296" s="1">
        <v>76.0</v>
      </c>
      <c r="M296" s="1">
        <v>689.0</v>
      </c>
      <c r="O296" s="1">
        <v>0.0</v>
      </c>
      <c r="P296" s="1">
        <v>0.0</v>
      </c>
      <c r="Q296" s="1" t="s">
        <v>1825</v>
      </c>
      <c r="R296" s="1">
        <v>145.0</v>
      </c>
      <c r="S296" s="1">
        <v>899.0</v>
      </c>
      <c r="U296" s="1">
        <v>0.0</v>
      </c>
      <c r="V296" s="1" t="s">
        <v>1823</v>
      </c>
      <c r="W296" s="1">
        <v>51.0</v>
      </c>
      <c r="Y296" s="1">
        <v>0.0</v>
      </c>
      <c r="AA296" s="1">
        <v>0.0</v>
      </c>
      <c r="AC296" s="1">
        <v>0.0</v>
      </c>
      <c r="AD296" s="1" t="s">
        <v>971</v>
      </c>
      <c r="AG296" s="9" t="s">
        <v>1822</v>
      </c>
      <c r="AM296" s="1">
        <v>241893.0</v>
      </c>
      <c r="AN296" s="1">
        <v>46852.0</v>
      </c>
      <c r="AO296" s="1">
        <v>46852.0</v>
      </c>
      <c r="AP296" s="1">
        <v>17.948</v>
      </c>
      <c r="AR296" s="1">
        <v>6926.0</v>
      </c>
      <c r="AS296" s="1">
        <v>1280.0</v>
      </c>
      <c r="AT296" s="1">
        <v>5.411</v>
      </c>
      <c r="AU296" s="1">
        <v>85.79</v>
      </c>
      <c r="AV296" s="1" t="s">
        <v>1129</v>
      </c>
      <c r="AW296" s="1">
        <v>17.553</v>
      </c>
      <c r="AX296" s="1">
        <v>2.0</v>
      </c>
      <c r="AY296" s="1">
        <v>1.0</v>
      </c>
      <c r="AZ296" s="1">
        <v>1.0</v>
      </c>
      <c r="BA296" s="1">
        <v>2.0</v>
      </c>
      <c r="BB296" s="1">
        <v>2.0</v>
      </c>
      <c r="BC296" s="1">
        <v>0.0</v>
      </c>
      <c r="BD296" s="1">
        <v>0.27</v>
      </c>
      <c r="BE296" s="1">
        <v>129.0</v>
      </c>
      <c r="BF296" s="1">
        <v>47.0</v>
      </c>
      <c r="BG296" s="1">
        <v>0.0</v>
      </c>
      <c r="BH296" s="1">
        <v>18.0</v>
      </c>
      <c r="BI296" s="1">
        <v>10.0</v>
      </c>
      <c r="BJ296" s="1">
        <v>0.0</v>
      </c>
      <c r="BO296" s="1" t="s">
        <v>1826</v>
      </c>
      <c r="BP296" s="1">
        <v>1.096</v>
      </c>
      <c r="BU296" s="1" t="s">
        <v>974</v>
      </c>
      <c r="BV296" s="1">
        <v>1.1</v>
      </c>
      <c r="BW296" s="1">
        <v>42.0</v>
      </c>
      <c r="BX296" s="1">
        <v>4801.03</v>
      </c>
      <c r="BY296" s="1">
        <v>7785.789</v>
      </c>
      <c r="BZ296" s="1">
        <v>9451.062</v>
      </c>
      <c r="CA296" s="1">
        <v>20648.447</v>
      </c>
      <c r="CB296" s="1">
        <v>640.0</v>
      </c>
      <c r="CC296" s="1">
        <v>0.024</v>
      </c>
      <c r="CD296" s="1">
        <v>706542.0</v>
      </c>
      <c r="CE296" s="1">
        <v>2100.0</v>
      </c>
      <c r="CF296" s="1">
        <v>180.0</v>
      </c>
      <c r="CG296" s="1">
        <v>2797098.0</v>
      </c>
      <c r="CH296" s="1">
        <v>85434.0</v>
      </c>
      <c r="CI296" s="1">
        <v>3.0</v>
      </c>
      <c r="CJ296" s="1">
        <v>77226.0</v>
      </c>
      <c r="CK296" s="1">
        <v>22.0</v>
      </c>
      <c r="CL296" s="1">
        <v>188812.0</v>
      </c>
      <c r="CM296" s="1">
        <v>46.0</v>
      </c>
      <c r="CN296" s="1">
        <v>1779343.0</v>
      </c>
      <c r="CO296" s="1">
        <v>70.0</v>
      </c>
      <c r="CP296" s="1">
        <v>640731.0</v>
      </c>
      <c r="CQ296" s="1">
        <v>10.0</v>
      </c>
      <c r="CR296" s="1">
        <v>0.0</v>
      </c>
      <c r="CS296" s="1">
        <v>0.0</v>
      </c>
      <c r="CT296" s="1">
        <v>25552.0</v>
      </c>
      <c r="CU296" s="1">
        <v>29.0</v>
      </c>
      <c r="CV296" s="1">
        <v>1921775.0</v>
      </c>
      <c r="CW296" s="1">
        <v>76.0</v>
      </c>
      <c r="DC296" s="1">
        <v>0.0</v>
      </c>
      <c r="DD296" s="1">
        <v>7527.0</v>
      </c>
      <c r="DE296" s="1">
        <v>0.0</v>
      </c>
      <c r="DF296" s="1">
        <v>3396.0</v>
      </c>
      <c r="DG296" s="1">
        <v>900.0</v>
      </c>
      <c r="DH296" s="1">
        <v>108298.0</v>
      </c>
      <c r="DI296" s="1">
        <v>1200.0</v>
      </c>
      <c r="DJ296" s="1">
        <v>587321.0</v>
      </c>
      <c r="DK296" s="1">
        <v>2120.392</v>
      </c>
      <c r="DL296" s="1" t="s">
        <v>975</v>
      </c>
      <c r="DM296" s="1">
        <v>3908.088</v>
      </c>
      <c r="DN296" s="1" t="s">
        <v>975</v>
      </c>
      <c r="DO296" s="1">
        <v>2796051.0</v>
      </c>
      <c r="DP296" s="1">
        <v>1.0</v>
      </c>
      <c r="DQ296" s="1" t="s">
        <v>976</v>
      </c>
      <c r="DR296" s="1" t="s">
        <v>1827</v>
      </c>
      <c r="DS296" s="1" t="s">
        <v>978</v>
      </c>
      <c r="DT296" s="1" t="s">
        <v>979</v>
      </c>
      <c r="DU296" s="1" t="s">
        <v>980</v>
      </c>
      <c r="DV296" s="1">
        <v>19100.0</v>
      </c>
      <c r="DX296" s="1">
        <v>4118.0</v>
      </c>
      <c r="DY296" s="1">
        <v>654321.0</v>
      </c>
      <c r="DZ296" s="1" t="s">
        <v>981</v>
      </c>
      <c r="EA296" s="1">
        <v>1309.0</v>
      </c>
      <c r="EB296" s="1">
        <v>13939.0</v>
      </c>
      <c r="EC296" s="1">
        <v>14.0</v>
      </c>
      <c r="ED296" s="1">
        <v>26492.0</v>
      </c>
      <c r="EF296" s="1">
        <v>265.0</v>
      </c>
      <c r="EG296" s="1" t="s">
        <v>1465</v>
      </c>
      <c r="EH296" s="1">
        <v>100.0</v>
      </c>
      <c r="EK296" s="1">
        <v>100.0</v>
      </c>
      <c r="EQ296" s="9" t="s">
        <v>1822</v>
      </c>
      <c r="ER296" s="21">
        <v>46045.298125</v>
      </c>
    </row>
    <row r="297">
      <c r="A297" s="9" t="s">
        <v>1828</v>
      </c>
      <c r="B297" s="20" t="str">
        <f>IFERROR(__xludf.DUMMYFUNCTION("REGEXREPLACE(A297, ""^https?://[^/]+"", """")"),"/the-people-and-process-mistakes-that-hold-sales-back/")</f>
        <v>/the-people-and-process-mistakes-that-hold-sales-back/</v>
      </c>
      <c r="C297" s="1" t="s">
        <v>1829</v>
      </c>
      <c r="F297" s="1" t="s">
        <v>965</v>
      </c>
      <c r="G297" s="1">
        <v>200.0</v>
      </c>
      <c r="H297" s="1" t="s">
        <v>966</v>
      </c>
      <c r="I297" s="1" t="s">
        <v>967</v>
      </c>
      <c r="K297" s="1" t="s">
        <v>1830</v>
      </c>
      <c r="L297" s="1">
        <v>77.0</v>
      </c>
      <c r="M297" s="1">
        <v>711.0</v>
      </c>
      <c r="O297" s="1">
        <v>0.0</v>
      </c>
      <c r="P297" s="1">
        <v>0.0</v>
      </c>
      <c r="Q297" s="1" t="s">
        <v>1831</v>
      </c>
      <c r="R297" s="1">
        <v>145.0</v>
      </c>
      <c r="S297" s="1">
        <v>893.0</v>
      </c>
      <c r="U297" s="1">
        <v>0.0</v>
      </c>
      <c r="V297" s="1" t="s">
        <v>1829</v>
      </c>
      <c r="W297" s="1">
        <v>52.0</v>
      </c>
      <c r="Y297" s="1">
        <v>0.0</v>
      </c>
      <c r="AA297" s="1">
        <v>0.0</v>
      </c>
      <c r="AC297" s="1">
        <v>0.0</v>
      </c>
      <c r="AD297" s="1" t="s">
        <v>971</v>
      </c>
      <c r="AG297" s="9" t="s">
        <v>1828</v>
      </c>
      <c r="AM297" s="1">
        <v>256364.0</v>
      </c>
      <c r="AN297" s="1">
        <v>54301.0</v>
      </c>
      <c r="AO297" s="1">
        <v>54301.0</v>
      </c>
      <c r="AP297" s="1">
        <v>20.802</v>
      </c>
      <c r="AR297" s="1">
        <v>10735.0</v>
      </c>
      <c r="AS297" s="1">
        <v>1675.0</v>
      </c>
      <c r="AT297" s="1">
        <v>6.409</v>
      </c>
      <c r="AU297" s="1">
        <v>88.51</v>
      </c>
      <c r="AV297" s="1" t="s">
        <v>1129</v>
      </c>
      <c r="AW297" s="1">
        <v>24.247</v>
      </c>
      <c r="AX297" s="1">
        <v>2.0</v>
      </c>
      <c r="AY297" s="1">
        <v>1.0</v>
      </c>
      <c r="AZ297" s="1">
        <v>1.0</v>
      </c>
      <c r="BA297" s="1">
        <v>2.0</v>
      </c>
      <c r="BB297" s="1">
        <v>2.0</v>
      </c>
      <c r="BC297" s="1">
        <v>0.0</v>
      </c>
      <c r="BD297" s="1">
        <v>0.27</v>
      </c>
      <c r="BE297" s="1">
        <v>129.0</v>
      </c>
      <c r="BF297" s="1">
        <v>47.0</v>
      </c>
      <c r="BG297" s="1">
        <v>0.0</v>
      </c>
      <c r="BH297" s="1">
        <v>18.0</v>
      </c>
      <c r="BI297" s="1">
        <v>10.0</v>
      </c>
      <c r="BJ297" s="1">
        <v>0.0</v>
      </c>
      <c r="BO297" s="1" t="s">
        <v>1832</v>
      </c>
      <c r="BP297" s="1">
        <v>1.142</v>
      </c>
      <c r="BU297" s="1" t="s">
        <v>974</v>
      </c>
      <c r="BV297" s="1">
        <v>1.1</v>
      </c>
      <c r="BW297" s="1">
        <v>51.0</v>
      </c>
      <c r="BX297" s="1">
        <v>4951.028</v>
      </c>
      <c r="BY297" s="1">
        <v>7949.562</v>
      </c>
      <c r="BZ297" s="1">
        <v>9452.056</v>
      </c>
      <c r="CA297" s="1">
        <v>19897.82</v>
      </c>
      <c r="CB297" s="1">
        <v>316.5</v>
      </c>
      <c r="CC297" s="1">
        <v>0.0</v>
      </c>
      <c r="CD297" s="1">
        <v>706615.0</v>
      </c>
      <c r="CE297" s="1">
        <v>1650.0</v>
      </c>
      <c r="CF297" s="1">
        <v>180.0</v>
      </c>
      <c r="CG297" s="1">
        <v>2804499.0</v>
      </c>
      <c r="CH297" s="1">
        <v>92462.0</v>
      </c>
      <c r="CI297" s="1">
        <v>3.0</v>
      </c>
      <c r="CJ297" s="1">
        <v>77236.0</v>
      </c>
      <c r="CK297" s="1">
        <v>22.0</v>
      </c>
      <c r="CL297" s="1">
        <v>188813.0</v>
      </c>
      <c r="CM297" s="1">
        <v>46.0</v>
      </c>
      <c r="CN297" s="1">
        <v>1779337.0</v>
      </c>
      <c r="CO297" s="1">
        <v>70.0</v>
      </c>
      <c r="CP297" s="1">
        <v>640719.0</v>
      </c>
      <c r="CQ297" s="1">
        <v>10.0</v>
      </c>
      <c r="CR297" s="1">
        <v>0.0</v>
      </c>
      <c r="CS297" s="1">
        <v>0.0</v>
      </c>
      <c r="CT297" s="1">
        <v>25932.0</v>
      </c>
      <c r="CU297" s="1">
        <v>29.0</v>
      </c>
      <c r="CV297" s="1">
        <v>1921887.0</v>
      </c>
      <c r="CW297" s="1">
        <v>76.0</v>
      </c>
      <c r="DC297" s="1">
        <v>0.0</v>
      </c>
      <c r="DD297" s="1">
        <v>7527.0</v>
      </c>
      <c r="DE297" s="1">
        <v>0.0</v>
      </c>
      <c r="DF297" s="1">
        <v>3396.0</v>
      </c>
      <c r="DG297" s="1">
        <v>600.0</v>
      </c>
      <c r="DH297" s="1">
        <v>108298.0</v>
      </c>
      <c r="DI297" s="1">
        <v>1050.0</v>
      </c>
      <c r="DJ297" s="1">
        <v>587394.0</v>
      </c>
      <c r="DK297" s="1">
        <v>1452.574</v>
      </c>
      <c r="DL297" s="1" t="s">
        <v>975</v>
      </c>
      <c r="DM297" s="1">
        <v>2717.519</v>
      </c>
      <c r="DN297" s="1" t="s">
        <v>975</v>
      </c>
      <c r="DO297" s="1">
        <v>2803452.0</v>
      </c>
      <c r="DP297" s="1">
        <v>1.0</v>
      </c>
      <c r="DQ297" s="1" t="s">
        <v>976</v>
      </c>
      <c r="DR297" s="1" t="s">
        <v>1833</v>
      </c>
      <c r="DS297" s="1" t="s">
        <v>978</v>
      </c>
      <c r="DT297" s="1" t="s">
        <v>979</v>
      </c>
      <c r="DU297" s="1" t="s">
        <v>980</v>
      </c>
      <c r="DV297" s="1">
        <v>19796.0</v>
      </c>
      <c r="DW297" s="1">
        <v>314.0</v>
      </c>
      <c r="DX297" s="1">
        <v>4606.0</v>
      </c>
      <c r="DY297" s="1">
        <v>654326.0</v>
      </c>
      <c r="DZ297" s="1" t="s">
        <v>981</v>
      </c>
      <c r="EA297" s="1">
        <v>1153.0</v>
      </c>
      <c r="EB297" s="1">
        <v>13939.0</v>
      </c>
      <c r="EC297" s="1">
        <v>6.0</v>
      </c>
      <c r="ED297" s="1">
        <v>26492.0</v>
      </c>
      <c r="EF297" s="1">
        <v>245.0</v>
      </c>
      <c r="EG297" s="1" t="s">
        <v>1465</v>
      </c>
      <c r="EH297" s="1">
        <v>100.0</v>
      </c>
      <c r="EK297" s="1">
        <v>100.0</v>
      </c>
      <c r="EQ297" s="9" t="s">
        <v>1828</v>
      </c>
      <c r="ER297" s="21">
        <v>46045.298125</v>
      </c>
    </row>
    <row r="298">
      <c r="A298" s="9" t="s">
        <v>1834</v>
      </c>
      <c r="B298" s="20" t="str">
        <f>IFERROR(__xludf.DUMMYFUNCTION("REGEXREPLACE(A298, ""^https?://[^/]+"", """")"),"/wp-content/plugins/powerpack-elements/assets/js/min/frontend-buttons.min.js?ver=2.12.15")</f>
        <v>/wp-content/plugins/powerpack-elements/assets/js/min/frontend-buttons.min.js?ver=2.12.15</v>
      </c>
      <c r="F298" s="1" t="s">
        <v>984</v>
      </c>
      <c r="G298" s="1">
        <v>200.0</v>
      </c>
      <c r="H298" s="1" t="s">
        <v>966</v>
      </c>
      <c r="I298" s="1" t="s">
        <v>967</v>
      </c>
      <c r="L298" s="1">
        <v>0.0</v>
      </c>
      <c r="M298" s="1">
        <v>0.0</v>
      </c>
      <c r="O298" s="1">
        <v>0.0</v>
      </c>
      <c r="P298" s="1">
        <v>0.0</v>
      </c>
      <c r="R298" s="1">
        <v>0.0</v>
      </c>
      <c r="S298" s="1">
        <v>0.0</v>
      </c>
      <c r="U298" s="1">
        <v>0.0</v>
      </c>
      <c r="W298" s="1">
        <v>0.0</v>
      </c>
      <c r="Y298" s="1">
        <v>0.0</v>
      </c>
      <c r="AA298" s="1">
        <v>0.0</v>
      </c>
      <c r="AC298" s="1">
        <v>0.0</v>
      </c>
      <c r="AM298" s="1">
        <v>507.0</v>
      </c>
      <c r="AN298" s="1">
        <v>507.0</v>
      </c>
      <c r="AO298" s="1">
        <v>507.0</v>
      </c>
      <c r="AP298" s="1">
        <v>0.194</v>
      </c>
      <c r="AR298" s="1">
        <v>0.0</v>
      </c>
      <c r="AW298" s="1">
        <v>0.0</v>
      </c>
      <c r="AX298" s="1">
        <v>2.0</v>
      </c>
      <c r="AY298" s="1">
        <v>6.0</v>
      </c>
      <c r="BA298" s="1">
        <v>0.0</v>
      </c>
      <c r="BB298" s="1">
        <v>0.0</v>
      </c>
      <c r="BC298" s="1">
        <v>0.0</v>
      </c>
      <c r="BD298" s="1">
        <v>0.0</v>
      </c>
      <c r="BE298" s="1">
        <v>0.0</v>
      </c>
      <c r="BF298" s="1">
        <v>0.0</v>
      </c>
      <c r="BG298" s="1">
        <v>0.0</v>
      </c>
      <c r="BH298" s="1">
        <v>0.0</v>
      </c>
      <c r="BI298" s="1">
        <v>0.0</v>
      </c>
      <c r="BJ298" s="1">
        <v>0.0</v>
      </c>
      <c r="BP298" s="1">
        <v>0.249</v>
      </c>
      <c r="BQ298" s="1" t="s">
        <v>1193</v>
      </c>
      <c r="BV298" s="1">
        <v>1.1</v>
      </c>
      <c r="EQ298" s="9" t="s">
        <v>1834</v>
      </c>
      <c r="ER298" s="21">
        <v>46045.29813657407</v>
      </c>
    </row>
    <row r="299">
      <c r="A299" s="9" t="s">
        <v>1835</v>
      </c>
      <c r="B299" s="20" t="str">
        <f>IFERROR(__xludf.DUMMYFUNCTION("REGEXREPLACE(A299, ""^https?://[^/]+"", """")"),"/the-secret-to-aligning-sales-and-operations-for-success/")</f>
        <v>/the-secret-to-aligning-sales-and-operations-for-success/</v>
      </c>
      <c r="C299" s="1" t="s">
        <v>1836</v>
      </c>
      <c r="F299" s="1" t="s">
        <v>965</v>
      </c>
      <c r="G299" s="1">
        <v>200.0</v>
      </c>
      <c r="H299" s="1" t="s">
        <v>966</v>
      </c>
      <c r="I299" s="1" t="s">
        <v>967</v>
      </c>
      <c r="K299" s="1" t="s">
        <v>1837</v>
      </c>
      <c r="L299" s="1">
        <v>80.0</v>
      </c>
      <c r="M299" s="1">
        <v>716.0</v>
      </c>
      <c r="O299" s="1">
        <v>0.0</v>
      </c>
      <c r="P299" s="1">
        <v>0.0</v>
      </c>
      <c r="Q299" s="1" t="s">
        <v>1838</v>
      </c>
      <c r="R299" s="1">
        <v>159.0</v>
      </c>
      <c r="S299" s="1">
        <v>1004.0</v>
      </c>
      <c r="U299" s="1">
        <v>0.0</v>
      </c>
      <c r="V299" s="1" t="s">
        <v>1836</v>
      </c>
      <c r="W299" s="1">
        <v>55.0</v>
      </c>
      <c r="Y299" s="1">
        <v>0.0</v>
      </c>
      <c r="AA299" s="1">
        <v>0.0</v>
      </c>
      <c r="AC299" s="1">
        <v>0.0</v>
      </c>
      <c r="AD299" s="1" t="s">
        <v>971</v>
      </c>
      <c r="AG299" s="9" t="s">
        <v>1835</v>
      </c>
      <c r="AM299" s="1">
        <v>233351.0</v>
      </c>
      <c r="AN299" s="1">
        <v>46163.0</v>
      </c>
      <c r="AO299" s="1">
        <v>46163.0</v>
      </c>
      <c r="AP299" s="1">
        <v>17.684</v>
      </c>
      <c r="AR299" s="1">
        <v>6076.0</v>
      </c>
      <c r="AS299" s="1">
        <v>946.0</v>
      </c>
      <c r="AT299" s="1">
        <v>6.423</v>
      </c>
      <c r="AU299" s="1">
        <v>85.571</v>
      </c>
      <c r="AV299" s="1" t="s">
        <v>1129</v>
      </c>
      <c r="AW299" s="1">
        <v>15.882</v>
      </c>
      <c r="AX299" s="1">
        <v>2.0</v>
      </c>
      <c r="AY299" s="1">
        <v>1.0</v>
      </c>
      <c r="AZ299" s="1">
        <v>1.0</v>
      </c>
      <c r="BA299" s="1">
        <v>1.0</v>
      </c>
      <c r="BB299" s="1">
        <v>1.0</v>
      </c>
      <c r="BC299" s="1">
        <v>0.0</v>
      </c>
      <c r="BD299" s="1">
        <v>0.13</v>
      </c>
      <c r="BE299" s="1">
        <v>129.0</v>
      </c>
      <c r="BF299" s="1">
        <v>47.0</v>
      </c>
      <c r="BG299" s="1">
        <v>0.0</v>
      </c>
      <c r="BH299" s="1">
        <v>19.0</v>
      </c>
      <c r="BI299" s="1">
        <v>11.0</v>
      </c>
      <c r="BJ299" s="1">
        <v>0.0</v>
      </c>
      <c r="BO299" s="1" t="s">
        <v>1839</v>
      </c>
      <c r="BP299" s="1">
        <v>1.045</v>
      </c>
      <c r="BU299" s="1" t="s">
        <v>974</v>
      </c>
      <c r="BV299" s="1">
        <v>1.1</v>
      </c>
      <c r="BW299" s="1">
        <v>48.0</v>
      </c>
      <c r="BX299" s="1">
        <v>4951.032</v>
      </c>
      <c r="BY299" s="1">
        <v>8120.722</v>
      </c>
      <c r="BZ299" s="1">
        <v>9451.063</v>
      </c>
      <c r="CA299" s="1">
        <v>20922.889</v>
      </c>
      <c r="CB299" s="1">
        <v>417.5</v>
      </c>
      <c r="CC299" s="1">
        <v>0.0</v>
      </c>
      <c r="CD299" s="1">
        <v>705492.0</v>
      </c>
      <c r="CE299" s="1">
        <v>1650.0</v>
      </c>
      <c r="CF299" s="1">
        <v>179.0</v>
      </c>
      <c r="CG299" s="1">
        <v>2798344.0</v>
      </c>
      <c r="CH299" s="1">
        <v>84266.0</v>
      </c>
      <c r="CI299" s="1">
        <v>3.0</v>
      </c>
      <c r="CJ299" s="1">
        <v>77498.0</v>
      </c>
      <c r="CK299" s="1">
        <v>22.0</v>
      </c>
      <c r="CL299" s="1">
        <v>190542.0</v>
      </c>
      <c r="CM299" s="1">
        <v>46.0</v>
      </c>
      <c r="CN299" s="1">
        <v>1779379.0</v>
      </c>
      <c r="CO299" s="1">
        <v>70.0</v>
      </c>
      <c r="CP299" s="1">
        <v>640733.0</v>
      </c>
      <c r="CQ299" s="1">
        <v>10.0</v>
      </c>
      <c r="CR299" s="1">
        <v>0.0</v>
      </c>
      <c r="CS299" s="1">
        <v>0.0</v>
      </c>
      <c r="CT299" s="1">
        <v>25926.0</v>
      </c>
      <c r="CU299" s="1">
        <v>28.0</v>
      </c>
      <c r="CV299" s="1">
        <v>1923792.0</v>
      </c>
      <c r="CW299" s="1">
        <v>75.0</v>
      </c>
      <c r="DC299" s="1">
        <v>0.0</v>
      </c>
      <c r="DD299" s="1">
        <v>7527.0</v>
      </c>
      <c r="DE299" s="1">
        <v>0.0</v>
      </c>
      <c r="DF299" s="1">
        <v>3396.0</v>
      </c>
      <c r="DG299" s="1">
        <v>450.0</v>
      </c>
      <c r="DH299" s="1">
        <v>108296.0</v>
      </c>
      <c r="DI299" s="1">
        <v>1200.0</v>
      </c>
      <c r="DJ299" s="1">
        <v>586273.0</v>
      </c>
      <c r="DK299" s="1">
        <v>1757.381</v>
      </c>
      <c r="DL299" s="1" t="s">
        <v>975</v>
      </c>
      <c r="DM299" s="1">
        <v>3225.137</v>
      </c>
      <c r="DN299" s="1" t="s">
        <v>975</v>
      </c>
      <c r="DO299" s="1">
        <v>2797297.0</v>
      </c>
      <c r="DP299" s="1">
        <v>1.0</v>
      </c>
      <c r="DQ299" s="1" t="s">
        <v>976</v>
      </c>
      <c r="DR299" s="1" t="s">
        <v>1840</v>
      </c>
      <c r="DS299" s="1" t="s">
        <v>978</v>
      </c>
      <c r="DT299" s="1" t="s">
        <v>979</v>
      </c>
      <c r="DU299" s="1" t="s">
        <v>980</v>
      </c>
      <c r="DV299" s="1">
        <v>19098.0</v>
      </c>
      <c r="DW299" s="1">
        <v>313.0</v>
      </c>
      <c r="DX299" s="1">
        <v>4103.0</v>
      </c>
      <c r="DY299" s="1">
        <v>654593.0</v>
      </c>
      <c r="DZ299" s="1" t="s">
        <v>981</v>
      </c>
      <c r="EA299" s="1">
        <v>1192.0</v>
      </c>
      <c r="EB299" s="1">
        <v>13939.0</v>
      </c>
      <c r="EC299" s="1">
        <v>11.0</v>
      </c>
      <c r="ED299" s="1">
        <v>26492.0</v>
      </c>
      <c r="EF299" s="1">
        <v>230.0</v>
      </c>
      <c r="EG299" s="1" t="s">
        <v>1465</v>
      </c>
      <c r="EH299" s="1">
        <v>100.0</v>
      </c>
      <c r="EK299" s="1">
        <v>100.0</v>
      </c>
      <c r="EQ299" s="9" t="s">
        <v>1835</v>
      </c>
      <c r="ER299" s="21">
        <v>46045.298125</v>
      </c>
    </row>
    <row r="300">
      <c r="A300" s="9" t="s">
        <v>1841</v>
      </c>
      <c r="B300" s="20" t="str">
        <f>IFERROR(__xludf.DUMMYFUNCTION("REGEXREPLACE(A300, ""^https?://[^/]+"", """")"),"/wp-content/uploads/2021/09/shutterstock_469083911-scaled.jpg")</f>
        <v>/wp-content/uploads/2021/09/shutterstock_469083911-scaled.jpg</v>
      </c>
      <c r="F300" s="1" t="s">
        <v>1004</v>
      </c>
      <c r="G300" s="1">
        <v>200.0</v>
      </c>
      <c r="H300" s="1" t="s">
        <v>966</v>
      </c>
      <c r="I300" s="1" t="s">
        <v>967</v>
      </c>
      <c r="L300" s="1">
        <v>0.0</v>
      </c>
      <c r="M300" s="1">
        <v>0.0</v>
      </c>
      <c r="O300" s="1">
        <v>0.0</v>
      </c>
      <c r="P300" s="1">
        <v>0.0</v>
      </c>
      <c r="R300" s="1">
        <v>0.0</v>
      </c>
      <c r="S300" s="1">
        <v>0.0</v>
      </c>
      <c r="U300" s="1">
        <v>0.0</v>
      </c>
      <c r="W300" s="1">
        <v>0.0</v>
      </c>
      <c r="Y300" s="1">
        <v>0.0</v>
      </c>
      <c r="AA300" s="1">
        <v>0.0</v>
      </c>
      <c r="AC300" s="1">
        <v>0.0</v>
      </c>
      <c r="AM300" s="1">
        <v>244129.0</v>
      </c>
      <c r="AN300" s="1">
        <v>244129.0</v>
      </c>
      <c r="AO300" s="1">
        <v>244129.0</v>
      </c>
      <c r="AP300" s="1">
        <v>93.521</v>
      </c>
      <c r="AR300" s="1">
        <v>0.0</v>
      </c>
      <c r="AW300" s="1">
        <v>0.0</v>
      </c>
      <c r="AX300" s="1">
        <v>2.0</v>
      </c>
      <c r="AY300" s="1">
        <v>4.0</v>
      </c>
      <c r="BA300" s="1">
        <v>0.0</v>
      </c>
      <c r="BB300" s="1">
        <v>0.0</v>
      </c>
      <c r="BC300" s="1">
        <v>0.0</v>
      </c>
      <c r="BD300" s="1">
        <v>0.0</v>
      </c>
      <c r="BE300" s="1">
        <v>0.0</v>
      </c>
      <c r="BF300" s="1">
        <v>0.0</v>
      </c>
      <c r="BG300" s="1">
        <v>0.0</v>
      </c>
      <c r="BH300" s="1">
        <v>0.0</v>
      </c>
      <c r="BI300" s="1">
        <v>0.0</v>
      </c>
      <c r="BJ300" s="1">
        <v>0.0</v>
      </c>
      <c r="BP300" s="1">
        <v>0.273</v>
      </c>
      <c r="BQ300" s="1" t="s">
        <v>1842</v>
      </c>
      <c r="BV300" s="1">
        <v>1.1</v>
      </c>
      <c r="EQ300" s="9" t="s">
        <v>1841</v>
      </c>
      <c r="ER300" s="21">
        <v>46045.29813657407</v>
      </c>
    </row>
    <row r="301">
      <c r="A301" s="9" t="s">
        <v>1843</v>
      </c>
      <c r="B301" s="20" t="str">
        <f>IFERROR(__xludf.DUMMYFUNCTION("REGEXREPLACE(A301, ""^https?://[^/]+"", """")"),"/wp-content/plugins/wp-job-manager/assets/lib/select2/select2.min.css?ver=4.0.10")</f>
        <v>/wp-content/plugins/wp-job-manager/assets/lib/select2/select2.min.css?ver=4.0.10</v>
      </c>
      <c r="F301" s="1" t="s">
        <v>1016</v>
      </c>
      <c r="G301" s="1">
        <v>200.0</v>
      </c>
      <c r="H301" s="1" t="s">
        <v>966</v>
      </c>
      <c r="I301" s="1" t="s">
        <v>967</v>
      </c>
      <c r="L301" s="1">
        <v>0.0</v>
      </c>
      <c r="M301" s="1">
        <v>0.0</v>
      </c>
      <c r="O301" s="1">
        <v>0.0</v>
      </c>
      <c r="P301" s="1">
        <v>0.0</v>
      </c>
      <c r="R301" s="1">
        <v>0.0</v>
      </c>
      <c r="S301" s="1">
        <v>0.0</v>
      </c>
      <c r="U301" s="1">
        <v>0.0</v>
      </c>
      <c r="W301" s="1">
        <v>0.0</v>
      </c>
      <c r="Y301" s="1">
        <v>0.0</v>
      </c>
      <c r="AA301" s="1">
        <v>0.0</v>
      </c>
      <c r="AC301" s="1">
        <v>0.0</v>
      </c>
      <c r="AM301" s="1">
        <v>1998.0</v>
      </c>
      <c r="AN301" s="1">
        <v>1998.0</v>
      </c>
      <c r="AO301" s="1">
        <v>1998.0</v>
      </c>
      <c r="AP301" s="1">
        <v>0.765</v>
      </c>
      <c r="AR301" s="1">
        <v>0.0</v>
      </c>
      <c r="AW301" s="1">
        <v>0.0</v>
      </c>
      <c r="AX301" s="1">
        <v>2.0</v>
      </c>
      <c r="AY301" s="1">
        <v>6.0</v>
      </c>
      <c r="BA301" s="1">
        <v>0.0</v>
      </c>
      <c r="BB301" s="1">
        <v>0.0</v>
      </c>
      <c r="BC301" s="1">
        <v>0.0</v>
      </c>
      <c r="BD301" s="1">
        <v>0.0</v>
      </c>
      <c r="BE301" s="1">
        <v>0.0</v>
      </c>
      <c r="BF301" s="1">
        <v>0.0</v>
      </c>
      <c r="BG301" s="1">
        <v>0.0</v>
      </c>
      <c r="BH301" s="1">
        <v>0.0</v>
      </c>
      <c r="BI301" s="1">
        <v>0.0</v>
      </c>
      <c r="BJ301" s="1">
        <v>0.0</v>
      </c>
      <c r="BP301" s="1">
        <v>0.263</v>
      </c>
      <c r="BQ301" s="1" t="s">
        <v>1300</v>
      </c>
      <c r="BV301" s="1">
        <v>1.1</v>
      </c>
      <c r="EQ301" s="9" t="s">
        <v>1843</v>
      </c>
      <c r="ER301" s="21">
        <v>46045.29814814815</v>
      </c>
    </row>
    <row r="302">
      <c r="A302" s="9" t="s">
        <v>1844</v>
      </c>
      <c r="B302" s="20" t="str">
        <f>IFERROR(__xludf.DUMMYFUNCTION("REGEXREPLACE(A302, ""^https?://[^/]+"", """")"),"/job/vp-of-sales-revenue-opportunity-300k-columbus-ohio/")</f>
        <v>/job/vp-of-sales-revenue-opportunity-300k-columbus-ohio/</v>
      </c>
      <c r="F302" s="1" t="s">
        <v>965</v>
      </c>
      <c r="G302" s="1">
        <v>200.0</v>
      </c>
      <c r="H302" s="1" t="s">
        <v>966</v>
      </c>
      <c r="I302" s="1" t="s">
        <v>967</v>
      </c>
      <c r="K302" s="1" t="s">
        <v>1845</v>
      </c>
      <c r="L302" s="1">
        <v>74.0</v>
      </c>
      <c r="M302" s="1">
        <v>674.0</v>
      </c>
      <c r="O302" s="1">
        <v>0.0</v>
      </c>
      <c r="P302" s="1">
        <v>0.0</v>
      </c>
      <c r="Q302" s="1" t="s">
        <v>1846</v>
      </c>
      <c r="R302" s="1">
        <v>54.0</v>
      </c>
      <c r="S302" s="1">
        <v>351.0</v>
      </c>
      <c r="U302" s="1">
        <v>0.0</v>
      </c>
      <c r="W302" s="1">
        <v>0.0</v>
      </c>
      <c r="Y302" s="1">
        <v>0.0</v>
      </c>
      <c r="AA302" s="1">
        <v>0.0</v>
      </c>
      <c r="AC302" s="1">
        <v>0.0</v>
      </c>
      <c r="AD302" s="1" t="s">
        <v>971</v>
      </c>
      <c r="AG302" s="9" t="s">
        <v>1844</v>
      </c>
      <c r="AM302" s="1">
        <v>152582.0</v>
      </c>
      <c r="AN302" s="1">
        <v>31331.0</v>
      </c>
      <c r="AO302" s="1">
        <v>31331.0</v>
      </c>
      <c r="AP302" s="1">
        <v>12.002</v>
      </c>
      <c r="AR302" s="1">
        <v>942.0</v>
      </c>
      <c r="AS302" s="1">
        <v>144.0</v>
      </c>
      <c r="AT302" s="1">
        <v>6.542</v>
      </c>
      <c r="AU302" s="1">
        <v>63.326</v>
      </c>
      <c r="AV302" s="1" t="s">
        <v>990</v>
      </c>
      <c r="AW302" s="1">
        <v>5.363</v>
      </c>
      <c r="AX302" s="1">
        <v>2.0</v>
      </c>
      <c r="AY302" s="1">
        <v>2.0</v>
      </c>
      <c r="AZ302" s="1">
        <v>1.0</v>
      </c>
      <c r="BA302" s="1">
        <v>1.0</v>
      </c>
      <c r="BB302" s="1">
        <v>1.0</v>
      </c>
      <c r="BC302" s="1">
        <v>0.0</v>
      </c>
      <c r="BD302" s="1">
        <v>0.13</v>
      </c>
      <c r="BE302" s="1">
        <v>124.0</v>
      </c>
      <c r="BF302" s="1">
        <v>43.0</v>
      </c>
      <c r="BG302" s="1">
        <v>0.0</v>
      </c>
      <c r="BH302" s="1">
        <v>19.0</v>
      </c>
      <c r="BI302" s="1">
        <v>11.0</v>
      </c>
      <c r="BJ302" s="1">
        <v>0.0</v>
      </c>
      <c r="BO302" s="1" t="s">
        <v>1847</v>
      </c>
      <c r="BP302" s="1">
        <v>1.303</v>
      </c>
      <c r="BU302" s="1" t="s">
        <v>974</v>
      </c>
      <c r="BV302" s="1">
        <v>1.1</v>
      </c>
      <c r="BW302" s="1">
        <v>50.0</v>
      </c>
      <c r="BX302" s="1">
        <v>3751.039</v>
      </c>
      <c r="BY302" s="1">
        <v>7360.224</v>
      </c>
      <c r="BZ302" s="1">
        <v>5926.063</v>
      </c>
      <c r="CA302" s="1">
        <v>18262.414</v>
      </c>
      <c r="CB302" s="1">
        <v>545.5</v>
      </c>
      <c r="CC302" s="1">
        <v>0.001</v>
      </c>
      <c r="CD302" s="1">
        <v>668580.0</v>
      </c>
      <c r="CE302" s="1">
        <v>900.0</v>
      </c>
      <c r="CF302" s="1">
        <v>161.0</v>
      </c>
      <c r="CG302" s="1">
        <v>2277644.0</v>
      </c>
      <c r="CH302" s="1">
        <v>31732.0</v>
      </c>
      <c r="CI302" s="1">
        <v>2.0</v>
      </c>
      <c r="CJ302" s="1">
        <v>18681.0</v>
      </c>
      <c r="CK302" s="1">
        <v>18.0</v>
      </c>
      <c r="CL302" s="1">
        <v>126151.0</v>
      </c>
      <c r="CM302" s="1">
        <v>37.0</v>
      </c>
      <c r="CN302" s="1">
        <v>1748522.0</v>
      </c>
      <c r="CO302" s="1">
        <v>68.0</v>
      </c>
      <c r="CP302" s="1">
        <v>327146.0</v>
      </c>
      <c r="CQ302" s="1">
        <v>8.0</v>
      </c>
      <c r="CR302" s="1">
        <v>0.0</v>
      </c>
      <c r="CS302" s="1">
        <v>0.0</v>
      </c>
      <c r="CT302" s="1">
        <v>25412.0</v>
      </c>
      <c r="CU302" s="1">
        <v>28.0</v>
      </c>
      <c r="CV302" s="1">
        <v>1525357.0</v>
      </c>
      <c r="CW302" s="1">
        <v>67.0</v>
      </c>
      <c r="DC302" s="1">
        <v>0.0</v>
      </c>
      <c r="DD302" s="1">
        <v>5075.0</v>
      </c>
      <c r="DE302" s="1">
        <v>0.0</v>
      </c>
      <c r="DF302" s="1">
        <v>3396.0</v>
      </c>
      <c r="DG302" s="1">
        <v>300.0</v>
      </c>
      <c r="DH302" s="1">
        <v>65933.0</v>
      </c>
      <c r="DI302" s="1">
        <v>600.0</v>
      </c>
      <c r="DJ302" s="1">
        <v>594176.0</v>
      </c>
      <c r="DK302" s="1">
        <v>1738.897</v>
      </c>
      <c r="DL302" s="1" t="s">
        <v>975</v>
      </c>
      <c r="DM302" s="1">
        <v>3127.214</v>
      </c>
      <c r="DN302" s="1" t="s">
        <v>975</v>
      </c>
      <c r="DO302" s="1">
        <v>2277562.0</v>
      </c>
      <c r="DP302" s="1">
        <v>1.0</v>
      </c>
      <c r="DQ302" s="1" t="s">
        <v>976</v>
      </c>
      <c r="DR302" s="1" t="s">
        <v>1848</v>
      </c>
      <c r="DS302" s="1" t="s">
        <v>978</v>
      </c>
      <c r="DU302" s="1" t="s">
        <v>994</v>
      </c>
      <c r="DV302" s="1">
        <v>13240.0</v>
      </c>
      <c r="DX302" s="1">
        <v>4062.0</v>
      </c>
      <c r="DY302" s="1">
        <v>611598.0</v>
      </c>
      <c r="DZ302" s="1" t="s">
        <v>981</v>
      </c>
      <c r="EA302" s="1">
        <v>791.0</v>
      </c>
      <c r="EB302" s="1">
        <v>4453.0</v>
      </c>
      <c r="EC302" s="1">
        <v>50.0</v>
      </c>
      <c r="ED302" s="1">
        <v>26492.0</v>
      </c>
      <c r="EF302" s="1">
        <v>250.0</v>
      </c>
      <c r="EG302" s="1" t="s">
        <v>982</v>
      </c>
      <c r="EH302" s="1">
        <v>100.0</v>
      </c>
      <c r="EK302" s="1">
        <v>100.0</v>
      </c>
      <c r="EQ302" s="9" t="s">
        <v>1844</v>
      </c>
      <c r="ER302" s="21">
        <v>46045.29813657407</v>
      </c>
    </row>
    <row r="303">
      <c r="A303" s="9" t="s">
        <v>1849</v>
      </c>
      <c r="B303" s="20" t="str">
        <f>IFERROR(__xludf.DUMMYFUNCTION("REGEXREPLACE(A303, ""^https?://[^/]+"", """")"),"/job/vp-of-sales-revenue-opportunity-300k-kansas-city-mo/")</f>
        <v>/job/vp-of-sales-revenue-opportunity-300k-kansas-city-mo/</v>
      </c>
      <c r="F303" s="1" t="s">
        <v>965</v>
      </c>
      <c r="G303" s="1">
        <v>200.0</v>
      </c>
      <c r="H303" s="1" t="s">
        <v>966</v>
      </c>
      <c r="I303" s="1" t="s">
        <v>967</v>
      </c>
      <c r="K303" s="1" t="s">
        <v>1850</v>
      </c>
      <c r="L303" s="1">
        <v>59.0</v>
      </c>
      <c r="M303" s="1">
        <v>538.0</v>
      </c>
      <c r="O303" s="1">
        <v>0.0</v>
      </c>
      <c r="P303" s="1">
        <v>0.0</v>
      </c>
      <c r="Q303" s="1" t="s">
        <v>1851</v>
      </c>
      <c r="R303" s="1">
        <v>156.0</v>
      </c>
      <c r="S303" s="1">
        <v>949.0</v>
      </c>
      <c r="U303" s="1">
        <v>0.0</v>
      </c>
      <c r="W303" s="1">
        <v>0.0</v>
      </c>
      <c r="Y303" s="1">
        <v>0.0</v>
      </c>
      <c r="AA303" s="1">
        <v>0.0</v>
      </c>
      <c r="AC303" s="1">
        <v>0.0</v>
      </c>
      <c r="AD303" s="1" t="s">
        <v>971</v>
      </c>
      <c r="AG303" s="9" t="s">
        <v>1849</v>
      </c>
      <c r="AM303" s="1">
        <v>151220.0</v>
      </c>
      <c r="AN303" s="1">
        <v>30727.0</v>
      </c>
      <c r="AO303" s="1">
        <v>30727.0</v>
      </c>
      <c r="AP303" s="1">
        <v>11.771</v>
      </c>
      <c r="AR303" s="1">
        <v>799.0</v>
      </c>
      <c r="AS303" s="1">
        <v>131.0</v>
      </c>
      <c r="AT303" s="1">
        <v>6.099</v>
      </c>
      <c r="AU303" s="1">
        <v>60.244</v>
      </c>
      <c r="AV303" s="1" t="s">
        <v>990</v>
      </c>
      <c r="AW303" s="1">
        <v>4.854</v>
      </c>
      <c r="AX303" s="1">
        <v>2.0</v>
      </c>
      <c r="AY303" s="1">
        <v>2.0</v>
      </c>
      <c r="AZ303" s="1">
        <v>1.0</v>
      </c>
      <c r="BA303" s="1">
        <v>1.0</v>
      </c>
      <c r="BB303" s="1">
        <v>1.0</v>
      </c>
      <c r="BC303" s="1">
        <v>0.0</v>
      </c>
      <c r="BD303" s="1">
        <v>0.13</v>
      </c>
      <c r="BE303" s="1">
        <v>124.0</v>
      </c>
      <c r="BF303" s="1">
        <v>43.0</v>
      </c>
      <c r="BG303" s="1">
        <v>0.0</v>
      </c>
      <c r="BH303" s="1">
        <v>19.0</v>
      </c>
      <c r="BI303" s="1">
        <v>11.0</v>
      </c>
      <c r="BJ303" s="1">
        <v>0.0</v>
      </c>
      <c r="BO303" s="1" t="s">
        <v>1852</v>
      </c>
      <c r="BP303" s="1">
        <v>1.336</v>
      </c>
      <c r="BU303" s="1" t="s">
        <v>974</v>
      </c>
      <c r="BV303" s="1">
        <v>1.1</v>
      </c>
      <c r="BW303" s="1">
        <v>42.0</v>
      </c>
      <c r="BX303" s="1">
        <v>3001.029</v>
      </c>
      <c r="BY303" s="1">
        <v>6550.311</v>
      </c>
      <c r="BZ303" s="1">
        <v>7201.074</v>
      </c>
      <c r="CA303" s="1">
        <v>18659.723</v>
      </c>
      <c r="CB303" s="1">
        <v>1084.5</v>
      </c>
      <c r="CC303" s="1">
        <v>0.0</v>
      </c>
      <c r="CD303" s="1">
        <v>666170.0</v>
      </c>
      <c r="CE303" s="1">
        <v>1530.0</v>
      </c>
      <c r="CF303" s="1">
        <v>167.0</v>
      </c>
      <c r="CG303" s="1">
        <v>2304857.0</v>
      </c>
      <c r="CH303" s="1">
        <v>31405.0</v>
      </c>
      <c r="CI303" s="1">
        <v>2.0</v>
      </c>
      <c r="CJ303" s="1">
        <v>68112.0</v>
      </c>
      <c r="CK303" s="1">
        <v>24.0</v>
      </c>
      <c r="CL303" s="1">
        <v>127020.0</v>
      </c>
      <c r="CM303" s="1">
        <v>37.0</v>
      </c>
      <c r="CN303" s="1">
        <v>1748046.0</v>
      </c>
      <c r="CO303" s="1">
        <v>68.0</v>
      </c>
      <c r="CP303" s="1">
        <v>305198.0</v>
      </c>
      <c r="CQ303" s="1">
        <v>7.0</v>
      </c>
      <c r="CR303" s="1">
        <v>0.0</v>
      </c>
      <c r="CS303" s="1">
        <v>0.0</v>
      </c>
      <c r="CT303" s="1">
        <v>25076.0</v>
      </c>
      <c r="CU303" s="1">
        <v>29.0</v>
      </c>
      <c r="CV303" s="1">
        <v>1503438.0</v>
      </c>
      <c r="CW303" s="1">
        <v>67.0</v>
      </c>
      <c r="DC303" s="1">
        <v>0.0</v>
      </c>
      <c r="DD303" s="1">
        <v>5075.0</v>
      </c>
      <c r="DE303" s="1">
        <v>0.0</v>
      </c>
      <c r="DF303" s="1">
        <v>3396.0</v>
      </c>
      <c r="DG303" s="1">
        <v>480.0</v>
      </c>
      <c r="DH303" s="1">
        <v>65933.0</v>
      </c>
      <c r="DI303" s="1">
        <v>1050.0</v>
      </c>
      <c r="DJ303" s="1">
        <v>591766.0</v>
      </c>
      <c r="DK303" s="1">
        <v>2559.991</v>
      </c>
      <c r="DL303" s="1" t="s">
        <v>975</v>
      </c>
      <c r="DM303" s="1">
        <v>4450.532</v>
      </c>
      <c r="DN303" s="1" t="s">
        <v>975</v>
      </c>
      <c r="DO303" s="1">
        <v>2304775.0</v>
      </c>
      <c r="DP303" s="1">
        <v>1.0</v>
      </c>
      <c r="DQ303" s="1" t="s">
        <v>976</v>
      </c>
      <c r="DR303" s="1" t="s">
        <v>1142</v>
      </c>
      <c r="DS303" s="1" t="s">
        <v>978</v>
      </c>
      <c r="DU303" s="1" t="s">
        <v>994</v>
      </c>
      <c r="DV303" s="1">
        <v>12790.0</v>
      </c>
      <c r="DX303" s="1">
        <v>3462.0</v>
      </c>
      <c r="DY303" s="1">
        <v>631379.0</v>
      </c>
      <c r="DZ303" s="1" t="s">
        <v>981</v>
      </c>
      <c r="EA303" s="1">
        <v>790.0</v>
      </c>
      <c r="EB303" s="1">
        <v>31882.0</v>
      </c>
      <c r="EC303" s="1">
        <v>18.0</v>
      </c>
      <c r="ED303" s="1">
        <v>26492.0</v>
      </c>
      <c r="EF303" s="1">
        <v>235.0</v>
      </c>
      <c r="EG303" s="1" t="s">
        <v>982</v>
      </c>
      <c r="EH303" s="1">
        <v>100.0</v>
      </c>
      <c r="EK303" s="1">
        <v>100.0</v>
      </c>
      <c r="EQ303" s="9" t="s">
        <v>1849</v>
      </c>
      <c r="ER303" s="21">
        <v>46045.29813657407</v>
      </c>
    </row>
    <row r="304">
      <c r="A304" s="9" t="s">
        <v>1853</v>
      </c>
      <c r="B304" s="20" t="str">
        <f>IFERROR(__xludf.DUMMYFUNCTION("REGEXREPLACE(A304, ""^https?://[^/]+"", """")"),"/job/vice-president-of-sales-winnipeg-canada/")</f>
        <v>/job/vice-president-of-sales-winnipeg-canada/</v>
      </c>
      <c r="F304" s="1" t="s">
        <v>965</v>
      </c>
      <c r="G304" s="1">
        <v>200.0</v>
      </c>
      <c r="H304" s="1" t="s">
        <v>966</v>
      </c>
      <c r="I304" s="1" t="s">
        <v>967</v>
      </c>
      <c r="K304" s="1" t="s">
        <v>1854</v>
      </c>
      <c r="L304" s="1">
        <v>73.0</v>
      </c>
      <c r="M304" s="1">
        <v>664.0</v>
      </c>
      <c r="O304" s="1">
        <v>0.0</v>
      </c>
      <c r="P304" s="1">
        <v>0.0</v>
      </c>
      <c r="Q304" s="1" t="s">
        <v>1846</v>
      </c>
      <c r="R304" s="1">
        <v>54.0</v>
      </c>
      <c r="S304" s="1">
        <v>351.0</v>
      </c>
      <c r="U304" s="1">
        <v>0.0</v>
      </c>
      <c r="W304" s="1">
        <v>0.0</v>
      </c>
      <c r="Y304" s="1">
        <v>0.0</v>
      </c>
      <c r="AA304" s="1">
        <v>0.0</v>
      </c>
      <c r="AC304" s="1">
        <v>0.0</v>
      </c>
      <c r="AD304" s="1" t="s">
        <v>971</v>
      </c>
      <c r="AG304" s="9" t="s">
        <v>1853</v>
      </c>
      <c r="AM304" s="1">
        <v>152468.0</v>
      </c>
      <c r="AN304" s="1">
        <v>31308.0</v>
      </c>
      <c r="AO304" s="1">
        <v>31308.0</v>
      </c>
      <c r="AP304" s="1">
        <v>11.993</v>
      </c>
      <c r="AR304" s="1">
        <v>942.0</v>
      </c>
      <c r="AS304" s="1">
        <v>144.0</v>
      </c>
      <c r="AT304" s="1">
        <v>6.542</v>
      </c>
      <c r="AU304" s="1">
        <v>63.237</v>
      </c>
      <c r="AV304" s="1" t="s">
        <v>990</v>
      </c>
      <c r="AW304" s="1">
        <v>5.368</v>
      </c>
      <c r="AX304" s="1">
        <v>2.0</v>
      </c>
      <c r="AY304" s="1">
        <v>2.0</v>
      </c>
      <c r="AZ304" s="1">
        <v>1.0</v>
      </c>
      <c r="BA304" s="1">
        <v>1.0</v>
      </c>
      <c r="BB304" s="1">
        <v>1.0</v>
      </c>
      <c r="BC304" s="1">
        <v>0.0</v>
      </c>
      <c r="BD304" s="1">
        <v>0.13</v>
      </c>
      <c r="BE304" s="1">
        <v>124.0</v>
      </c>
      <c r="BF304" s="1">
        <v>43.0</v>
      </c>
      <c r="BG304" s="1">
        <v>0.0</v>
      </c>
      <c r="BH304" s="1">
        <v>19.0</v>
      </c>
      <c r="BI304" s="1">
        <v>11.0</v>
      </c>
      <c r="BJ304" s="1">
        <v>0.0</v>
      </c>
      <c r="BO304" s="1" t="s">
        <v>1855</v>
      </c>
      <c r="BP304" s="1">
        <v>1.228</v>
      </c>
      <c r="BU304" s="1" t="s">
        <v>974</v>
      </c>
      <c r="BV304" s="1">
        <v>1.1</v>
      </c>
      <c r="BW304" s="1">
        <v>47.0</v>
      </c>
      <c r="BX304" s="1">
        <v>3751.038</v>
      </c>
      <c r="BY304" s="1">
        <v>6648.271</v>
      </c>
      <c r="BZ304" s="1">
        <v>5851.061</v>
      </c>
      <c r="CA304" s="1">
        <v>17633.836</v>
      </c>
      <c r="CB304" s="1">
        <v>721.0</v>
      </c>
      <c r="CC304" s="1">
        <v>0.001</v>
      </c>
      <c r="CD304" s="1">
        <v>666702.0</v>
      </c>
      <c r="CE304" s="1">
        <v>1060.0</v>
      </c>
      <c r="CF304" s="1">
        <v>160.0</v>
      </c>
      <c r="CG304" s="1">
        <v>2256183.0</v>
      </c>
      <c r="CH304" s="1">
        <v>31693.0</v>
      </c>
      <c r="CI304" s="1">
        <v>2.0</v>
      </c>
      <c r="CJ304" s="1">
        <v>18684.0</v>
      </c>
      <c r="CK304" s="1">
        <v>18.0</v>
      </c>
      <c r="CL304" s="1">
        <v>127021.0</v>
      </c>
      <c r="CM304" s="1">
        <v>37.0</v>
      </c>
      <c r="CN304" s="1">
        <v>1748187.0</v>
      </c>
      <c r="CO304" s="1">
        <v>68.0</v>
      </c>
      <c r="CP304" s="1">
        <v>305198.0</v>
      </c>
      <c r="CQ304" s="1">
        <v>7.0</v>
      </c>
      <c r="CR304" s="1">
        <v>0.0</v>
      </c>
      <c r="CS304" s="1">
        <v>0.0</v>
      </c>
      <c r="CT304" s="1">
        <v>25400.0</v>
      </c>
      <c r="CU304" s="1">
        <v>28.0</v>
      </c>
      <c r="CV304" s="1">
        <v>1503663.0</v>
      </c>
      <c r="CW304" s="1">
        <v>66.0</v>
      </c>
      <c r="DC304" s="1">
        <v>0.0</v>
      </c>
      <c r="DD304" s="1">
        <v>5075.0</v>
      </c>
      <c r="DE304" s="1">
        <v>0.0</v>
      </c>
      <c r="DF304" s="1">
        <v>3401.0</v>
      </c>
      <c r="DG304" s="1">
        <v>460.0</v>
      </c>
      <c r="DH304" s="1">
        <v>65934.0</v>
      </c>
      <c r="DI304" s="1">
        <v>600.0</v>
      </c>
      <c r="DJ304" s="1">
        <v>592292.0</v>
      </c>
      <c r="DK304" s="1">
        <v>1966.728</v>
      </c>
      <c r="DL304" s="1" t="s">
        <v>975</v>
      </c>
      <c r="DM304" s="1">
        <v>3522.961</v>
      </c>
      <c r="DN304" s="1" t="s">
        <v>975</v>
      </c>
      <c r="DO304" s="1">
        <v>2256101.0</v>
      </c>
      <c r="DP304" s="1">
        <v>1.0</v>
      </c>
      <c r="DQ304" s="1" t="s">
        <v>976</v>
      </c>
      <c r="DR304" s="1" t="s">
        <v>1464</v>
      </c>
      <c r="DS304" s="1" t="s">
        <v>978</v>
      </c>
      <c r="DU304" s="1" t="s">
        <v>994</v>
      </c>
      <c r="DV304" s="1">
        <v>13090.0</v>
      </c>
      <c r="DX304" s="1">
        <v>4101.0</v>
      </c>
      <c r="DY304" s="1">
        <v>611601.0</v>
      </c>
      <c r="DZ304" s="1" t="s">
        <v>981</v>
      </c>
      <c r="EA304" s="1">
        <v>791.0</v>
      </c>
      <c r="EB304" s="1">
        <v>4453.0</v>
      </c>
      <c r="EC304" s="1">
        <v>32.0</v>
      </c>
      <c r="ED304" s="1">
        <v>26492.0</v>
      </c>
      <c r="EF304" s="1">
        <v>370.0</v>
      </c>
      <c r="EG304" s="1" t="s">
        <v>982</v>
      </c>
      <c r="EH304" s="1">
        <v>100.0</v>
      </c>
      <c r="EK304" s="1">
        <v>100.0</v>
      </c>
      <c r="EQ304" s="9" t="s">
        <v>1853</v>
      </c>
      <c r="ER304" s="21">
        <v>46045.29813657407</v>
      </c>
    </row>
    <row r="305">
      <c r="A305" s="9" t="s">
        <v>1856</v>
      </c>
      <c r="B305" s="20" t="str">
        <f>IFERROR(__xludf.DUMMYFUNCTION("REGEXREPLACE(A305, ""^https?://[^/]+"", """")"),"/job/vp-of-sales-revenue-opportunity-300k-detroit-mi/")</f>
        <v>/job/vp-of-sales-revenue-opportunity-300k-detroit-mi/</v>
      </c>
      <c r="F305" s="1" t="s">
        <v>965</v>
      </c>
      <c r="G305" s="1">
        <v>200.0</v>
      </c>
      <c r="H305" s="1" t="s">
        <v>966</v>
      </c>
      <c r="I305" s="1" t="s">
        <v>967</v>
      </c>
      <c r="K305" s="1" t="s">
        <v>1850</v>
      </c>
      <c r="L305" s="1">
        <v>59.0</v>
      </c>
      <c r="M305" s="1">
        <v>538.0</v>
      </c>
      <c r="O305" s="1">
        <v>0.0</v>
      </c>
      <c r="P305" s="1">
        <v>0.0</v>
      </c>
      <c r="Q305" s="1" t="s">
        <v>1846</v>
      </c>
      <c r="R305" s="1">
        <v>54.0</v>
      </c>
      <c r="S305" s="1">
        <v>351.0</v>
      </c>
      <c r="U305" s="1">
        <v>0.0</v>
      </c>
      <c r="W305" s="1">
        <v>0.0</v>
      </c>
      <c r="Y305" s="1">
        <v>0.0</v>
      </c>
      <c r="AA305" s="1">
        <v>0.0</v>
      </c>
      <c r="AC305" s="1">
        <v>0.0</v>
      </c>
      <c r="AD305" s="1" t="s">
        <v>971</v>
      </c>
      <c r="AG305" s="9" t="s">
        <v>1856</v>
      </c>
      <c r="AM305" s="1">
        <v>152869.0</v>
      </c>
      <c r="AN305" s="1">
        <v>31430.0</v>
      </c>
      <c r="AO305" s="1">
        <v>31430.0</v>
      </c>
      <c r="AP305" s="1">
        <v>12.04</v>
      </c>
      <c r="AR305" s="1">
        <v>960.0</v>
      </c>
      <c r="AS305" s="1">
        <v>148.0</v>
      </c>
      <c r="AT305" s="1">
        <v>6.486</v>
      </c>
      <c r="AU305" s="1">
        <v>63.305</v>
      </c>
      <c r="AV305" s="1" t="s">
        <v>990</v>
      </c>
      <c r="AW305" s="1">
        <v>5.43</v>
      </c>
      <c r="AX305" s="1">
        <v>2.0</v>
      </c>
      <c r="AY305" s="1">
        <v>2.0</v>
      </c>
      <c r="AZ305" s="1">
        <v>1.0</v>
      </c>
      <c r="BA305" s="1">
        <v>1.0</v>
      </c>
      <c r="BB305" s="1">
        <v>1.0</v>
      </c>
      <c r="BC305" s="1">
        <v>0.0</v>
      </c>
      <c r="BD305" s="1">
        <v>0.13</v>
      </c>
      <c r="BE305" s="1">
        <v>124.0</v>
      </c>
      <c r="BF305" s="1">
        <v>43.0</v>
      </c>
      <c r="BG305" s="1">
        <v>0.0</v>
      </c>
      <c r="BH305" s="1">
        <v>19.0</v>
      </c>
      <c r="BI305" s="1">
        <v>11.0</v>
      </c>
      <c r="BJ305" s="1">
        <v>0.0</v>
      </c>
      <c r="BO305" s="1" t="s">
        <v>1857</v>
      </c>
      <c r="BP305" s="1">
        <v>1.387</v>
      </c>
      <c r="BU305" s="1" t="s">
        <v>974</v>
      </c>
      <c r="BV305" s="1">
        <v>1.1</v>
      </c>
      <c r="BW305" s="1">
        <v>45.0</v>
      </c>
      <c r="BX305" s="1">
        <v>4201.029</v>
      </c>
      <c r="BY305" s="1">
        <v>7028.242</v>
      </c>
      <c r="BZ305" s="1">
        <v>6301.045</v>
      </c>
      <c r="CA305" s="1">
        <v>18130.275</v>
      </c>
      <c r="CB305" s="1">
        <v>296.5</v>
      </c>
      <c r="CC305" s="1">
        <v>0.228</v>
      </c>
      <c r="CD305" s="1">
        <v>665381.0</v>
      </c>
      <c r="CE305" s="1">
        <v>1050.0</v>
      </c>
      <c r="CF305" s="1">
        <v>162.0</v>
      </c>
      <c r="CG305" s="1">
        <v>2258155.0</v>
      </c>
      <c r="CH305" s="1">
        <v>31704.0</v>
      </c>
      <c r="CI305" s="1">
        <v>2.0</v>
      </c>
      <c r="CJ305" s="1">
        <v>20349.0</v>
      </c>
      <c r="CK305" s="1">
        <v>20.0</v>
      </c>
      <c r="CL305" s="1">
        <v>127019.0</v>
      </c>
      <c r="CM305" s="1">
        <v>37.0</v>
      </c>
      <c r="CN305" s="1">
        <v>1748189.0</v>
      </c>
      <c r="CO305" s="1">
        <v>68.0</v>
      </c>
      <c r="CP305" s="1">
        <v>305198.0</v>
      </c>
      <c r="CQ305" s="1">
        <v>7.0</v>
      </c>
      <c r="CR305" s="1">
        <v>0.0</v>
      </c>
      <c r="CS305" s="1">
        <v>0.0</v>
      </c>
      <c r="CT305" s="1">
        <v>25696.0</v>
      </c>
      <c r="CU305" s="1">
        <v>28.0</v>
      </c>
      <c r="CV305" s="1">
        <v>1503715.0</v>
      </c>
      <c r="CW305" s="1">
        <v>66.0</v>
      </c>
      <c r="DC305" s="1">
        <v>0.0</v>
      </c>
      <c r="DD305" s="1">
        <v>5075.0</v>
      </c>
      <c r="DE305" s="1">
        <v>0.0</v>
      </c>
      <c r="DF305" s="1">
        <v>3396.0</v>
      </c>
      <c r="DG305" s="1">
        <v>450.0</v>
      </c>
      <c r="DH305" s="1">
        <v>65934.0</v>
      </c>
      <c r="DI305" s="1">
        <v>600.0</v>
      </c>
      <c r="DJ305" s="1">
        <v>590976.0</v>
      </c>
      <c r="DK305" s="1">
        <v>1446.031</v>
      </c>
      <c r="DL305" s="1" t="s">
        <v>975</v>
      </c>
      <c r="DM305" s="1">
        <v>2498.167</v>
      </c>
      <c r="DN305" s="1" t="s">
        <v>975</v>
      </c>
      <c r="DO305" s="1">
        <v>2258073.0</v>
      </c>
      <c r="DP305" s="1">
        <v>1.0</v>
      </c>
      <c r="DQ305" s="1" t="s">
        <v>976</v>
      </c>
      <c r="DR305" s="1" t="s">
        <v>1422</v>
      </c>
      <c r="DS305" s="1" t="s">
        <v>978</v>
      </c>
      <c r="DU305" s="1" t="s">
        <v>994</v>
      </c>
      <c r="DV305" s="1">
        <v>13392.0</v>
      </c>
      <c r="DX305" s="1">
        <v>4271.0</v>
      </c>
      <c r="DY305" s="1">
        <v>611873.0</v>
      </c>
      <c r="DZ305" s="1" t="s">
        <v>981</v>
      </c>
      <c r="EA305" s="1">
        <v>791.0</v>
      </c>
      <c r="EB305" s="1">
        <v>4453.0</v>
      </c>
      <c r="EC305" s="1">
        <v>1.0</v>
      </c>
      <c r="ED305" s="1">
        <v>26492.0</v>
      </c>
      <c r="EF305" s="1">
        <v>235.0</v>
      </c>
      <c r="EG305" s="1" t="s">
        <v>982</v>
      </c>
      <c r="EH305" s="1">
        <v>100.0</v>
      </c>
      <c r="EK305" s="1">
        <v>100.0</v>
      </c>
      <c r="EQ305" s="9" t="s">
        <v>1856</v>
      </c>
      <c r="ER305" s="21">
        <v>46045.29814814815</v>
      </c>
    </row>
    <row r="306">
      <c r="A306" s="9" t="s">
        <v>1858</v>
      </c>
      <c r="B306" s="20" t="str">
        <f>IFERROR(__xludf.DUMMYFUNCTION("REGEXREPLACE(A306, ""^https?://[^/]+"", """")"),"/job/vp-of-sales-revenue-opportunity-300k-greensboro-nc/")</f>
        <v>/job/vp-of-sales-revenue-opportunity-300k-greensboro-nc/</v>
      </c>
      <c r="F306" s="1" t="s">
        <v>965</v>
      </c>
      <c r="G306" s="1">
        <v>200.0</v>
      </c>
      <c r="H306" s="1" t="s">
        <v>966</v>
      </c>
      <c r="I306" s="1" t="s">
        <v>967</v>
      </c>
      <c r="K306" s="1" t="s">
        <v>1850</v>
      </c>
      <c r="L306" s="1">
        <v>59.0</v>
      </c>
      <c r="M306" s="1">
        <v>538.0</v>
      </c>
      <c r="O306" s="1">
        <v>0.0</v>
      </c>
      <c r="P306" s="1">
        <v>0.0</v>
      </c>
      <c r="Q306" s="1" t="s">
        <v>1859</v>
      </c>
      <c r="R306" s="1">
        <v>109.0</v>
      </c>
      <c r="S306" s="1">
        <v>674.0</v>
      </c>
      <c r="U306" s="1">
        <v>0.0</v>
      </c>
      <c r="W306" s="1">
        <v>0.0</v>
      </c>
      <c r="Y306" s="1">
        <v>0.0</v>
      </c>
      <c r="AA306" s="1">
        <v>0.0</v>
      </c>
      <c r="AC306" s="1">
        <v>0.0</v>
      </c>
      <c r="AD306" s="1" t="s">
        <v>971</v>
      </c>
      <c r="AG306" s="9" t="s">
        <v>1858</v>
      </c>
      <c r="AM306" s="1">
        <v>153623.0</v>
      </c>
      <c r="AN306" s="1">
        <v>31734.0</v>
      </c>
      <c r="AO306" s="1">
        <v>31734.0</v>
      </c>
      <c r="AP306" s="1">
        <v>12.157</v>
      </c>
      <c r="AR306" s="1">
        <v>968.0</v>
      </c>
      <c r="AS306" s="1">
        <v>150.0</v>
      </c>
      <c r="AT306" s="1">
        <v>6.453</v>
      </c>
      <c r="AU306" s="1">
        <v>63.684</v>
      </c>
      <c r="AV306" s="1" t="s">
        <v>990</v>
      </c>
      <c r="AW306" s="1">
        <v>5.431</v>
      </c>
      <c r="AX306" s="1">
        <v>2.0</v>
      </c>
      <c r="AY306" s="1">
        <v>2.0</v>
      </c>
      <c r="AZ306" s="1">
        <v>1.0</v>
      </c>
      <c r="BA306" s="1">
        <v>1.0</v>
      </c>
      <c r="BB306" s="1">
        <v>1.0</v>
      </c>
      <c r="BC306" s="1">
        <v>0.0</v>
      </c>
      <c r="BD306" s="1">
        <v>0.13</v>
      </c>
      <c r="BE306" s="1">
        <v>125.0</v>
      </c>
      <c r="BF306" s="1">
        <v>43.0</v>
      </c>
      <c r="BG306" s="1">
        <v>0.0</v>
      </c>
      <c r="BH306" s="1">
        <v>19.0</v>
      </c>
      <c r="BI306" s="1">
        <v>11.0</v>
      </c>
      <c r="BJ306" s="1">
        <v>0.0</v>
      </c>
      <c r="BO306" s="1" t="s">
        <v>1860</v>
      </c>
      <c r="BP306" s="1">
        <v>1.33</v>
      </c>
      <c r="BU306" s="1" t="s">
        <v>974</v>
      </c>
      <c r="BV306" s="1">
        <v>1.1</v>
      </c>
      <c r="BW306" s="1">
        <v>57.0</v>
      </c>
      <c r="BX306" s="1">
        <v>4201.036</v>
      </c>
      <c r="BY306" s="1">
        <v>7330.755</v>
      </c>
      <c r="BZ306" s="1">
        <v>6376.057</v>
      </c>
      <c r="CA306" s="1">
        <v>18147.842</v>
      </c>
      <c r="CB306" s="1">
        <v>239.0</v>
      </c>
      <c r="CC306" s="1">
        <v>0.001</v>
      </c>
      <c r="CD306" s="1">
        <v>668017.0</v>
      </c>
      <c r="CE306" s="1">
        <v>1050.0</v>
      </c>
      <c r="CF306" s="1">
        <v>160.0</v>
      </c>
      <c r="CG306" s="1">
        <v>2255370.0</v>
      </c>
      <c r="CH306" s="1">
        <v>31924.0</v>
      </c>
      <c r="CI306" s="1">
        <v>2.0</v>
      </c>
      <c r="CJ306" s="1">
        <v>18674.0</v>
      </c>
      <c r="CK306" s="1">
        <v>18.0</v>
      </c>
      <c r="CL306" s="1">
        <v>126155.0</v>
      </c>
      <c r="CM306" s="1">
        <v>37.0</v>
      </c>
      <c r="CN306" s="1">
        <v>1748281.0</v>
      </c>
      <c r="CO306" s="1">
        <v>68.0</v>
      </c>
      <c r="CP306" s="1">
        <v>305198.0</v>
      </c>
      <c r="CQ306" s="1">
        <v>7.0</v>
      </c>
      <c r="CR306" s="1">
        <v>0.0</v>
      </c>
      <c r="CS306" s="1">
        <v>0.0</v>
      </c>
      <c r="CT306" s="1">
        <v>25138.0</v>
      </c>
      <c r="CU306" s="1">
        <v>28.0</v>
      </c>
      <c r="CV306" s="1">
        <v>1502901.0</v>
      </c>
      <c r="CW306" s="1">
        <v>66.0</v>
      </c>
      <c r="DC306" s="1">
        <v>0.0</v>
      </c>
      <c r="DD306" s="1">
        <v>5075.0</v>
      </c>
      <c r="DE306" s="1">
        <v>0.0</v>
      </c>
      <c r="DF306" s="1">
        <v>3396.0</v>
      </c>
      <c r="DG306" s="1">
        <v>450.0</v>
      </c>
      <c r="DH306" s="1">
        <v>65933.0</v>
      </c>
      <c r="DI306" s="1">
        <v>600.0</v>
      </c>
      <c r="DJ306" s="1">
        <v>593613.0</v>
      </c>
      <c r="DK306" s="1">
        <v>1287.445</v>
      </c>
      <c r="DL306" s="1" t="s">
        <v>975</v>
      </c>
      <c r="DM306" s="1">
        <v>2376.124</v>
      </c>
      <c r="DN306" s="1" t="s">
        <v>975</v>
      </c>
      <c r="DO306" s="1">
        <v>2255288.0</v>
      </c>
      <c r="DP306" s="1">
        <v>1.0</v>
      </c>
      <c r="DQ306" s="1" t="s">
        <v>976</v>
      </c>
      <c r="DR306" s="1" t="s">
        <v>1064</v>
      </c>
      <c r="DS306" s="1" t="s">
        <v>978</v>
      </c>
      <c r="DU306" s="1" t="s">
        <v>994</v>
      </c>
      <c r="DV306" s="1">
        <v>13391.0</v>
      </c>
      <c r="DX306" s="1">
        <v>4027.0</v>
      </c>
      <c r="DY306" s="1">
        <v>611601.0</v>
      </c>
      <c r="DZ306" s="1" t="s">
        <v>981</v>
      </c>
      <c r="EA306" s="1">
        <v>793.0</v>
      </c>
      <c r="EB306" s="1">
        <v>4453.0</v>
      </c>
      <c r="EC306" s="1">
        <v>2.0</v>
      </c>
      <c r="ED306" s="1">
        <v>26492.0</v>
      </c>
      <c r="EF306" s="1">
        <v>230.0</v>
      </c>
      <c r="EG306" s="1" t="s">
        <v>982</v>
      </c>
      <c r="EH306" s="1">
        <v>100.0</v>
      </c>
      <c r="EK306" s="1">
        <v>100.0</v>
      </c>
      <c r="EQ306" s="9" t="s">
        <v>1858</v>
      </c>
      <c r="ER306" s="21">
        <v>46045.29814814815</v>
      </c>
    </row>
    <row r="307">
      <c r="A307" s="9" t="s">
        <v>1861</v>
      </c>
      <c r="B307" s="20" t="str">
        <f>IFERROR(__xludf.DUMMYFUNCTION("REGEXREPLACE(A307, ""^https?://[^/]+"", """")"),"/wp-content/plugins/wp-job-manager/assets/images/company.png")</f>
        <v>/wp-content/plugins/wp-job-manager/assets/images/company.png</v>
      </c>
      <c r="F307" s="1" t="s">
        <v>1047</v>
      </c>
      <c r="G307" s="1">
        <v>200.0</v>
      </c>
      <c r="H307" s="1" t="s">
        <v>966</v>
      </c>
      <c r="I307" s="1" t="s">
        <v>967</v>
      </c>
      <c r="L307" s="1">
        <v>0.0</v>
      </c>
      <c r="M307" s="1">
        <v>0.0</v>
      </c>
      <c r="O307" s="1">
        <v>0.0</v>
      </c>
      <c r="P307" s="1">
        <v>0.0</v>
      </c>
      <c r="R307" s="1">
        <v>0.0</v>
      </c>
      <c r="S307" s="1">
        <v>0.0</v>
      </c>
      <c r="U307" s="1">
        <v>0.0</v>
      </c>
      <c r="W307" s="1">
        <v>0.0</v>
      </c>
      <c r="Y307" s="1">
        <v>0.0</v>
      </c>
      <c r="AA307" s="1">
        <v>0.0</v>
      </c>
      <c r="AC307" s="1">
        <v>0.0</v>
      </c>
      <c r="AM307" s="1">
        <v>1568.0</v>
      </c>
      <c r="AN307" s="1">
        <v>1568.0</v>
      </c>
      <c r="AO307" s="1">
        <v>1568.0</v>
      </c>
      <c r="AP307" s="1">
        <v>0.601</v>
      </c>
      <c r="AR307" s="1">
        <v>0.0</v>
      </c>
      <c r="AW307" s="1">
        <v>0.0</v>
      </c>
      <c r="AX307" s="1">
        <v>2.0</v>
      </c>
      <c r="AY307" s="1">
        <v>5.0</v>
      </c>
      <c r="BA307" s="1">
        <v>0.0</v>
      </c>
      <c r="BB307" s="1">
        <v>0.0</v>
      </c>
      <c r="BC307" s="1">
        <v>0.0</v>
      </c>
      <c r="BD307" s="1">
        <v>0.0</v>
      </c>
      <c r="BE307" s="1">
        <v>0.0</v>
      </c>
      <c r="BF307" s="1">
        <v>0.0</v>
      </c>
      <c r="BG307" s="1">
        <v>0.0</v>
      </c>
      <c r="BH307" s="1">
        <v>0.0</v>
      </c>
      <c r="BI307" s="1">
        <v>0.0</v>
      </c>
      <c r="BJ307" s="1">
        <v>0.0</v>
      </c>
      <c r="BP307" s="1">
        <v>0.252</v>
      </c>
      <c r="BQ307" s="1" t="s">
        <v>1300</v>
      </c>
      <c r="BV307" s="1">
        <v>1.1</v>
      </c>
      <c r="EQ307" s="9" t="s">
        <v>1861</v>
      </c>
      <c r="ER307" s="21">
        <v>46045.298171296294</v>
      </c>
    </row>
    <row r="308">
      <c r="A308" s="9" t="s">
        <v>1862</v>
      </c>
      <c r="B308" s="20" t="str">
        <f>IFERROR(__xludf.DUMMYFUNCTION("REGEXREPLACE(A308, ""^https?://[^/]+"", """")"),"/job/vice-president-of-sales-london-uk/")</f>
        <v>/job/vice-president-of-sales-london-uk/</v>
      </c>
      <c r="F308" s="1" t="s">
        <v>965</v>
      </c>
      <c r="G308" s="1">
        <v>200.0</v>
      </c>
      <c r="H308" s="1" t="s">
        <v>966</v>
      </c>
      <c r="I308" s="1" t="s">
        <v>967</v>
      </c>
      <c r="K308" s="1" t="s">
        <v>1863</v>
      </c>
      <c r="L308" s="1">
        <v>43.0</v>
      </c>
      <c r="M308" s="1">
        <v>378.0</v>
      </c>
      <c r="O308" s="1">
        <v>0.0</v>
      </c>
      <c r="P308" s="1">
        <v>0.0</v>
      </c>
      <c r="Q308" s="1" t="s">
        <v>1859</v>
      </c>
      <c r="R308" s="1">
        <v>109.0</v>
      </c>
      <c r="S308" s="1">
        <v>674.0</v>
      </c>
      <c r="U308" s="1">
        <v>0.0</v>
      </c>
      <c r="W308" s="1">
        <v>0.0</v>
      </c>
      <c r="Y308" s="1">
        <v>0.0</v>
      </c>
      <c r="AA308" s="1">
        <v>0.0</v>
      </c>
      <c r="AC308" s="1">
        <v>0.0</v>
      </c>
      <c r="AD308" s="1" t="s">
        <v>971</v>
      </c>
      <c r="AG308" s="9" t="s">
        <v>1862</v>
      </c>
      <c r="AM308" s="1">
        <v>152310.0</v>
      </c>
      <c r="AN308" s="1">
        <v>31257.0</v>
      </c>
      <c r="AO308" s="1">
        <v>31257.0</v>
      </c>
      <c r="AP308" s="1">
        <v>11.974</v>
      </c>
      <c r="AR308" s="1">
        <v>942.0</v>
      </c>
      <c r="AS308" s="1">
        <v>144.0</v>
      </c>
      <c r="AT308" s="1">
        <v>6.542</v>
      </c>
      <c r="AU308" s="1">
        <v>63.506</v>
      </c>
      <c r="AV308" s="1" t="s">
        <v>990</v>
      </c>
      <c r="AW308" s="1">
        <v>5.37</v>
      </c>
      <c r="AX308" s="1">
        <v>2.0</v>
      </c>
      <c r="AY308" s="1">
        <v>2.0</v>
      </c>
      <c r="AZ308" s="1">
        <v>1.0</v>
      </c>
      <c r="BA308" s="1">
        <v>1.0</v>
      </c>
      <c r="BB308" s="1">
        <v>1.0</v>
      </c>
      <c r="BC308" s="1">
        <v>0.0</v>
      </c>
      <c r="BD308" s="1">
        <v>0.13</v>
      </c>
      <c r="BE308" s="1">
        <v>123.0</v>
      </c>
      <c r="BF308" s="1">
        <v>43.0</v>
      </c>
      <c r="BG308" s="1">
        <v>0.0</v>
      </c>
      <c r="BH308" s="1">
        <v>19.0</v>
      </c>
      <c r="BI308" s="1">
        <v>11.0</v>
      </c>
      <c r="BJ308" s="1">
        <v>0.0</v>
      </c>
      <c r="BO308" s="1" t="s">
        <v>1864</v>
      </c>
      <c r="BP308" s="1">
        <v>1.51</v>
      </c>
      <c r="BU308" s="1" t="s">
        <v>974</v>
      </c>
      <c r="BV308" s="1">
        <v>1.1</v>
      </c>
      <c r="BW308" s="1">
        <v>54.0</v>
      </c>
      <c r="BX308" s="1">
        <v>4201.026</v>
      </c>
      <c r="BY308" s="1">
        <v>7111.376</v>
      </c>
      <c r="BZ308" s="1">
        <v>8401.054</v>
      </c>
      <c r="CA308" s="1">
        <v>17738.277</v>
      </c>
      <c r="CB308" s="1">
        <v>316.0</v>
      </c>
      <c r="CC308" s="1">
        <v>0.001</v>
      </c>
      <c r="CD308" s="1">
        <v>667619.0</v>
      </c>
      <c r="CE308" s="1">
        <v>1500.0</v>
      </c>
      <c r="CF308" s="1">
        <v>160.0</v>
      </c>
      <c r="CG308" s="1">
        <v>2255626.0</v>
      </c>
      <c r="CH308" s="1">
        <v>31618.0</v>
      </c>
      <c r="CI308" s="1">
        <v>2.0</v>
      </c>
      <c r="CJ308" s="1">
        <v>18682.0</v>
      </c>
      <c r="CK308" s="1">
        <v>18.0</v>
      </c>
      <c r="CL308" s="1">
        <v>127019.0</v>
      </c>
      <c r="CM308" s="1">
        <v>37.0</v>
      </c>
      <c r="CN308" s="1">
        <v>1748000.0</v>
      </c>
      <c r="CO308" s="1">
        <v>68.0</v>
      </c>
      <c r="CP308" s="1">
        <v>305199.0</v>
      </c>
      <c r="CQ308" s="1">
        <v>7.0</v>
      </c>
      <c r="CR308" s="1">
        <v>0.0</v>
      </c>
      <c r="CS308" s="1">
        <v>0.0</v>
      </c>
      <c r="CT308" s="1">
        <v>25108.0</v>
      </c>
      <c r="CU308" s="1">
        <v>28.0</v>
      </c>
      <c r="CV308" s="1">
        <v>1503513.0</v>
      </c>
      <c r="CW308" s="1">
        <v>66.0</v>
      </c>
      <c r="DC308" s="1">
        <v>0.0</v>
      </c>
      <c r="DD308" s="1">
        <v>5075.0</v>
      </c>
      <c r="DE308" s="1">
        <v>0.0</v>
      </c>
      <c r="DF308" s="1">
        <v>3396.0</v>
      </c>
      <c r="DG308" s="1">
        <v>450.0</v>
      </c>
      <c r="DH308" s="1">
        <v>65933.0</v>
      </c>
      <c r="DI308" s="1">
        <v>1050.0</v>
      </c>
      <c r="DJ308" s="1">
        <v>593215.0</v>
      </c>
      <c r="DK308" s="1">
        <v>1611.77</v>
      </c>
      <c r="DL308" s="1" t="s">
        <v>975</v>
      </c>
      <c r="DM308" s="1">
        <v>2912.992</v>
      </c>
      <c r="DN308" s="1" t="s">
        <v>975</v>
      </c>
      <c r="DO308" s="1">
        <v>2255544.0</v>
      </c>
      <c r="DP308" s="1">
        <v>1.0</v>
      </c>
      <c r="DQ308" s="1" t="s">
        <v>976</v>
      </c>
      <c r="DR308" s="1" t="s">
        <v>1848</v>
      </c>
      <c r="DS308" s="1" t="s">
        <v>978</v>
      </c>
      <c r="DU308" s="1" t="s">
        <v>994</v>
      </c>
      <c r="DV308" s="1">
        <v>13391.0</v>
      </c>
      <c r="DX308" s="1">
        <v>4381.0</v>
      </c>
      <c r="DY308" s="1">
        <v>611603.0</v>
      </c>
      <c r="DZ308" s="1" t="s">
        <v>981</v>
      </c>
      <c r="EA308" s="1">
        <v>790.0</v>
      </c>
      <c r="EB308" s="1">
        <v>4453.0</v>
      </c>
      <c r="EC308" s="1">
        <v>2.0</v>
      </c>
      <c r="ED308" s="1">
        <v>26492.0</v>
      </c>
      <c r="EF308" s="1">
        <v>245.0</v>
      </c>
      <c r="EG308" s="1" t="s">
        <v>982</v>
      </c>
      <c r="EH308" s="1">
        <v>100.0</v>
      </c>
      <c r="EK308" s="1">
        <v>100.0</v>
      </c>
      <c r="EQ308" s="9" t="s">
        <v>1862</v>
      </c>
      <c r="ER308" s="21">
        <v>46045.298159722224</v>
      </c>
    </row>
    <row r="309">
      <c r="A309" s="9" t="s">
        <v>1865</v>
      </c>
      <c r="B309" s="20" t="str">
        <f>IFERROR(__xludf.DUMMYFUNCTION("REGEXREPLACE(A309, ""^https?://[^/]+"", """")"),"/wp-content/plugins/wp-job-manager/assets/dist/css/frontend.css?ver=dfd3b8d2ce68f47df57d")</f>
        <v>/wp-content/plugins/wp-job-manager/assets/dist/css/frontend.css?ver=dfd3b8d2ce68f47df57d</v>
      </c>
      <c r="F309" s="1" t="s">
        <v>1016</v>
      </c>
      <c r="G309" s="1">
        <v>200.0</v>
      </c>
      <c r="H309" s="1" t="s">
        <v>966</v>
      </c>
      <c r="I309" s="1" t="s">
        <v>967</v>
      </c>
      <c r="L309" s="1">
        <v>0.0</v>
      </c>
      <c r="M309" s="1">
        <v>0.0</v>
      </c>
      <c r="O309" s="1">
        <v>0.0</v>
      </c>
      <c r="P309" s="1">
        <v>0.0</v>
      </c>
      <c r="R309" s="1">
        <v>0.0</v>
      </c>
      <c r="S309" s="1">
        <v>0.0</v>
      </c>
      <c r="U309" s="1">
        <v>0.0</v>
      </c>
      <c r="W309" s="1">
        <v>0.0</v>
      </c>
      <c r="Y309" s="1">
        <v>0.0</v>
      </c>
      <c r="AA309" s="1">
        <v>0.0</v>
      </c>
      <c r="AC309" s="1">
        <v>0.0</v>
      </c>
      <c r="AM309" s="1">
        <v>16205.0</v>
      </c>
      <c r="AN309" s="1">
        <v>16205.0</v>
      </c>
      <c r="AO309" s="1">
        <v>16205.0</v>
      </c>
      <c r="AP309" s="1">
        <v>6.208</v>
      </c>
      <c r="AR309" s="1">
        <v>0.0</v>
      </c>
      <c r="AW309" s="1">
        <v>0.0</v>
      </c>
      <c r="AX309" s="1">
        <v>2.0</v>
      </c>
      <c r="AY309" s="1">
        <v>6.0</v>
      </c>
      <c r="BA309" s="1">
        <v>0.0</v>
      </c>
      <c r="BB309" s="1">
        <v>0.0</v>
      </c>
      <c r="BC309" s="1">
        <v>0.0</v>
      </c>
      <c r="BD309" s="1">
        <v>0.0</v>
      </c>
      <c r="BE309" s="1">
        <v>0.0</v>
      </c>
      <c r="BF309" s="1">
        <v>0.0</v>
      </c>
      <c r="BG309" s="1">
        <v>0.0</v>
      </c>
      <c r="BH309" s="1">
        <v>0.0</v>
      </c>
      <c r="BI309" s="1">
        <v>0.0</v>
      </c>
      <c r="BJ309" s="1">
        <v>0.0</v>
      </c>
      <c r="BP309" s="1">
        <v>0.27</v>
      </c>
      <c r="BQ309" s="1" t="s">
        <v>1300</v>
      </c>
      <c r="BV309" s="1">
        <v>1.1</v>
      </c>
      <c r="EQ309" s="9" t="s">
        <v>1865</v>
      </c>
      <c r="ER309" s="21">
        <v>46045.298171296294</v>
      </c>
    </row>
    <row r="310">
      <c r="A310" s="9" t="s">
        <v>1866</v>
      </c>
      <c r="B310" s="20" t="str">
        <f>IFERROR(__xludf.DUMMYFUNCTION("REGEXREPLACE(A310, ""^https?://[^/]+"", """")"),"/wp-content/uploads/elementor/css/post-22358.css?ver=1768847635")</f>
        <v>/wp-content/uploads/elementor/css/post-22358.css?ver=1768847635</v>
      </c>
      <c r="F310" s="1" t="s">
        <v>1016</v>
      </c>
      <c r="G310" s="1">
        <v>200.0</v>
      </c>
      <c r="H310" s="1" t="s">
        <v>966</v>
      </c>
      <c r="I310" s="1" t="s">
        <v>967</v>
      </c>
      <c r="L310" s="1">
        <v>0.0</v>
      </c>
      <c r="M310" s="1">
        <v>0.0</v>
      </c>
      <c r="O310" s="1">
        <v>0.0</v>
      </c>
      <c r="P310" s="1">
        <v>0.0</v>
      </c>
      <c r="R310" s="1">
        <v>0.0</v>
      </c>
      <c r="S310" s="1">
        <v>0.0</v>
      </c>
      <c r="U310" s="1">
        <v>0.0</v>
      </c>
      <c r="W310" s="1">
        <v>0.0</v>
      </c>
      <c r="Y310" s="1">
        <v>0.0</v>
      </c>
      <c r="AA310" s="1">
        <v>0.0</v>
      </c>
      <c r="AC310" s="1">
        <v>0.0</v>
      </c>
      <c r="AM310" s="1">
        <v>1499.0</v>
      </c>
      <c r="AN310" s="1">
        <v>1499.0</v>
      </c>
      <c r="AO310" s="1">
        <v>1499.0</v>
      </c>
      <c r="AP310" s="1">
        <v>0.574</v>
      </c>
      <c r="AR310" s="1">
        <v>0.0</v>
      </c>
      <c r="AW310" s="1">
        <v>0.0</v>
      </c>
      <c r="AX310" s="1">
        <v>2.0</v>
      </c>
      <c r="AY310" s="1">
        <v>4.0</v>
      </c>
      <c r="BA310" s="1">
        <v>0.0</v>
      </c>
      <c r="BB310" s="1">
        <v>0.0</v>
      </c>
      <c r="BC310" s="1">
        <v>0.0</v>
      </c>
      <c r="BD310" s="1">
        <v>0.0</v>
      </c>
      <c r="BE310" s="1">
        <v>0.0</v>
      </c>
      <c r="BF310" s="1">
        <v>0.0</v>
      </c>
      <c r="BG310" s="1">
        <v>0.0</v>
      </c>
      <c r="BH310" s="1">
        <v>0.0</v>
      </c>
      <c r="BI310" s="1">
        <v>0.0</v>
      </c>
      <c r="BJ310" s="1">
        <v>0.0</v>
      </c>
      <c r="BP310" s="1">
        <v>0.261</v>
      </c>
      <c r="BQ310" s="1" t="s">
        <v>1867</v>
      </c>
      <c r="BV310" s="1">
        <v>1.1</v>
      </c>
      <c r="EQ310" s="9" t="s">
        <v>1866</v>
      </c>
      <c r="ER310" s="21">
        <v>46045.298171296294</v>
      </c>
    </row>
    <row r="311">
      <c r="A311" s="9" t="s">
        <v>1868</v>
      </c>
      <c r="B311" s="20" t="str">
        <f>IFERROR(__xludf.DUMMYFUNCTION("REGEXREPLACE(A311, ""^https?://[^/]+"", """")"),"/wp-content/plugins/powerpack-elements/assets/lib/tablesaw/tablesaw.jquery.js?ver=3.0.3")</f>
        <v>/wp-content/plugins/powerpack-elements/assets/lib/tablesaw/tablesaw.jquery.js?ver=3.0.3</v>
      </c>
      <c r="F311" s="1" t="s">
        <v>984</v>
      </c>
      <c r="G311" s="1">
        <v>200.0</v>
      </c>
      <c r="H311" s="1" t="s">
        <v>966</v>
      </c>
      <c r="I311" s="1" t="s">
        <v>967</v>
      </c>
      <c r="L311" s="1">
        <v>0.0</v>
      </c>
      <c r="M311" s="1">
        <v>0.0</v>
      </c>
      <c r="O311" s="1">
        <v>0.0</v>
      </c>
      <c r="P311" s="1">
        <v>0.0</v>
      </c>
      <c r="R311" s="1">
        <v>0.0</v>
      </c>
      <c r="S311" s="1">
        <v>0.0</v>
      </c>
      <c r="U311" s="1">
        <v>0.0</v>
      </c>
      <c r="W311" s="1">
        <v>0.0</v>
      </c>
      <c r="Y311" s="1">
        <v>0.0</v>
      </c>
      <c r="AA311" s="1">
        <v>0.0</v>
      </c>
      <c r="AC311" s="1">
        <v>0.0</v>
      </c>
      <c r="AM311" s="1">
        <v>14195.0</v>
      </c>
      <c r="AN311" s="1">
        <v>14195.0</v>
      </c>
      <c r="AO311" s="1">
        <v>14195.0</v>
      </c>
      <c r="AP311" s="1">
        <v>5.438</v>
      </c>
      <c r="AR311" s="1">
        <v>0.0</v>
      </c>
      <c r="AW311" s="1">
        <v>0.0</v>
      </c>
      <c r="AX311" s="1">
        <v>2.0</v>
      </c>
      <c r="AY311" s="1">
        <v>6.0</v>
      </c>
      <c r="BA311" s="1">
        <v>0.0</v>
      </c>
      <c r="BB311" s="1">
        <v>0.0</v>
      </c>
      <c r="BC311" s="1">
        <v>0.0</v>
      </c>
      <c r="BD311" s="1">
        <v>0.0</v>
      </c>
      <c r="BE311" s="1">
        <v>0.0</v>
      </c>
      <c r="BF311" s="1">
        <v>0.0</v>
      </c>
      <c r="BG311" s="1">
        <v>0.0</v>
      </c>
      <c r="BH311" s="1">
        <v>0.0</v>
      </c>
      <c r="BI311" s="1">
        <v>0.0</v>
      </c>
      <c r="BJ311" s="1">
        <v>0.0</v>
      </c>
      <c r="BP311" s="1">
        <v>0.274</v>
      </c>
      <c r="BQ311" s="1" t="s">
        <v>1193</v>
      </c>
      <c r="BV311" s="1">
        <v>1.1</v>
      </c>
      <c r="EQ311" s="9" t="s">
        <v>1868</v>
      </c>
      <c r="ER311" s="21">
        <v>46045.29818287037</v>
      </c>
    </row>
    <row r="312">
      <c r="A312" s="9" t="s">
        <v>1869</v>
      </c>
      <c r="B312" s="20" t="str">
        <f>IFERROR(__xludf.DUMMYFUNCTION("REGEXREPLACE(A312, ""^https?://[^/]+"", """")"),"/wp-content/themes/salesxceleratione/assets/css/style.css?ver=1769123320")</f>
        <v>/wp-content/themes/salesxceleratione/assets/css/style.css?ver=1769123320</v>
      </c>
      <c r="F312" s="1" t="s">
        <v>1016</v>
      </c>
      <c r="G312" s="1">
        <v>200.0</v>
      </c>
      <c r="H312" s="1" t="s">
        <v>966</v>
      </c>
      <c r="I312" s="1" t="s">
        <v>967</v>
      </c>
      <c r="L312" s="1">
        <v>0.0</v>
      </c>
      <c r="M312" s="1">
        <v>0.0</v>
      </c>
      <c r="O312" s="1">
        <v>0.0</v>
      </c>
      <c r="P312" s="1">
        <v>0.0</v>
      </c>
      <c r="R312" s="1">
        <v>0.0</v>
      </c>
      <c r="S312" s="1">
        <v>0.0</v>
      </c>
      <c r="U312" s="1">
        <v>0.0</v>
      </c>
      <c r="W312" s="1">
        <v>0.0</v>
      </c>
      <c r="Y312" s="1">
        <v>0.0</v>
      </c>
      <c r="AA312" s="1">
        <v>0.0</v>
      </c>
      <c r="AC312" s="1">
        <v>0.0</v>
      </c>
      <c r="AM312" s="1">
        <v>17704.0</v>
      </c>
      <c r="AN312" s="1">
        <v>17704.0</v>
      </c>
      <c r="AO312" s="1">
        <v>17704.0</v>
      </c>
      <c r="AP312" s="1">
        <v>6.782</v>
      </c>
      <c r="AR312" s="1">
        <v>0.0</v>
      </c>
      <c r="AW312" s="1">
        <v>0.0</v>
      </c>
      <c r="AX312" s="1">
        <v>2.0</v>
      </c>
      <c r="AY312" s="1">
        <v>5.0</v>
      </c>
      <c r="BA312" s="1">
        <v>0.0</v>
      </c>
      <c r="BB312" s="1">
        <v>0.0</v>
      </c>
      <c r="BC312" s="1">
        <v>0.0</v>
      </c>
      <c r="BD312" s="1">
        <v>0.0</v>
      </c>
      <c r="BE312" s="1">
        <v>0.0</v>
      </c>
      <c r="BF312" s="1">
        <v>0.0</v>
      </c>
      <c r="BG312" s="1">
        <v>0.0</v>
      </c>
      <c r="BH312" s="1">
        <v>0.0</v>
      </c>
      <c r="BI312" s="1">
        <v>0.0</v>
      </c>
      <c r="BJ312" s="1">
        <v>0.0</v>
      </c>
      <c r="BP312" s="1">
        <v>0.26</v>
      </c>
      <c r="BQ312" s="1" t="s">
        <v>1870</v>
      </c>
      <c r="BV312" s="1">
        <v>1.1</v>
      </c>
      <c r="EQ312" s="9" t="s">
        <v>1869</v>
      </c>
      <c r="ER312" s="21">
        <v>46045.29818287037</v>
      </c>
    </row>
    <row r="313">
      <c r="A313" s="9" t="s">
        <v>1871</v>
      </c>
      <c r="B313" s="20" t="str">
        <f>IFERROR(__xludf.DUMMYFUNCTION("REGEXREPLACE(A313, ""^https?://[^/]+"", """")"),"/wp-content/plugins/powerpack-elements/assets/js/min/frontend-table.min.js?ver=2.12.15")</f>
        <v>/wp-content/plugins/powerpack-elements/assets/js/min/frontend-table.min.js?ver=2.12.15</v>
      </c>
      <c r="F313" s="1" t="s">
        <v>984</v>
      </c>
      <c r="G313" s="1">
        <v>200.0</v>
      </c>
      <c r="H313" s="1" t="s">
        <v>966</v>
      </c>
      <c r="I313" s="1" t="s">
        <v>967</v>
      </c>
      <c r="L313" s="1">
        <v>0.0</v>
      </c>
      <c r="M313" s="1">
        <v>0.0</v>
      </c>
      <c r="O313" s="1">
        <v>0.0</v>
      </c>
      <c r="P313" s="1">
        <v>0.0</v>
      </c>
      <c r="R313" s="1">
        <v>0.0</v>
      </c>
      <c r="S313" s="1">
        <v>0.0</v>
      </c>
      <c r="U313" s="1">
        <v>0.0</v>
      </c>
      <c r="W313" s="1">
        <v>0.0</v>
      </c>
      <c r="Y313" s="1">
        <v>0.0</v>
      </c>
      <c r="AA313" s="1">
        <v>0.0</v>
      </c>
      <c r="AC313" s="1">
        <v>0.0</v>
      </c>
      <c r="AM313" s="1">
        <v>783.0</v>
      </c>
      <c r="AN313" s="1">
        <v>783.0</v>
      </c>
      <c r="AO313" s="1">
        <v>783.0</v>
      </c>
      <c r="AP313" s="1">
        <v>0.3</v>
      </c>
      <c r="AR313" s="1">
        <v>0.0</v>
      </c>
      <c r="AW313" s="1">
        <v>0.0</v>
      </c>
      <c r="AX313" s="1">
        <v>2.0</v>
      </c>
      <c r="AY313" s="1">
        <v>6.0</v>
      </c>
      <c r="BA313" s="1">
        <v>0.0</v>
      </c>
      <c r="BB313" s="1">
        <v>0.0</v>
      </c>
      <c r="BC313" s="1">
        <v>0.0</v>
      </c>
      <c r="BD313" s="1">
        <v>0.0</v>
      </c>
      <c r="BE313" s="1">
        <v>0.0</v>
      </c>
      <c r="BF313" s="1">
        <v>0.0</v>
      </c>
      <c r="BG313" s="1">
        <v>0.0</v>
      </c>
      <c r="BH313" s="1">
        <v>0.0</v>
      </c>
      <c r="BI313" s="1">
        <v>0.0</v>
      </c>
      <c r="BJ313" s="1">
        <v>0.0</v>
      </c>
      <c r="BP313" s="1">
        <v>0.249</v>
      </c>
      <c r="BQ313" s="1" t="s">
        <v>1193</v>
      </c>
      <c r="BV313" s="1">
        <v>1.1</v>
      </c>
      <c r="EQ313" s="9" t="s">
        <v>1871</v>
      </c>
      <c r="ER313" s="21">
        <v>46045.29818287037</v>
      </c>
    </row>
    <row r="314">
      <c r="A314" s="9" t="s">
        <v>1872</v>
      </c>
      <c r="B314" s="20" t="str">
        <f>IFERROR(__xludf.DUMMYFUNCTION("REGEXREPLACE(A314, ""^https?://[^/]+"", """")"),"/wp-content/plugins/elementor/assets/css/widget-tabs.min.css?ver=3.34.0")</f>
        <v>/wp-content/plugins/elementor/assets/css/widget-tabs.min.css?ver=3.34.0</v>
      </c>
      <c r="F314" s="1" t="s">
        <v>1016</v>
      </c>
      <c r="G314" s="1">
        <v>200.0</v>
      </c>
      <c r="H314" s="1" t="s">
        <v>966</v>
      </c>
      <c r="I314" s="1" t="s">
        <v>967</v>
      </c>
      <c r="L314" s="1">
        <v>0.0</v>
      </c>
      <c r="M314" s="1">
        <v>0.0</v>
      </c>
      <c r="O314" s="1">
        <v>0.0</v>
      </c>
      <c r="P314" s="1">
        <v>0.0</v>
      </c>
      <c r="R314" s="1">
        <v>0.0</v>
      </c>
      <c r="S314" s="1">
        <v>0.0</v>
      </c>
      <c r="U314" s="1">
        <v>0.0</v>
      </c>
      <c r="W314" s="1">
        <v>0.0</v>
      </c>
      <c r="Y314" s="1">
        <v>0.0</v>
      </c>
      <c r="AA314" s="1">
        <v>0.0</v>
      </c>
      <c r="AC314" s="1">
        <v>0.0</v>
      </c>
      <c r="AM314" s="1">
        <v>756.0</v>
      </c>
      <c r="AN314" s="1">
        <v>756.0</v>
      </c>
      <c r="AO314" s="1">
        <v>756.0</v>
      </c>
      <c r="AP314" s="1">
        <v>0.29</v>
      </c>
      <c r="AR314" s="1">
        <v>0.0</v>
      </c>
      <c r="AW314" s="1">
        <v>0.0</v>
      </c>
      <c r="AX314" s="1">
        <v>2.0</v>
      </c>
      <c r="AY314" s="1">
        <v>5.0</v>
      </c>
      <c r="BA314" s="1">
        <v>0.0</v>
      </c>
      <c r="BB314" s="1">
        <v>0.0</v>
      </c>
      <c r="BC314" s="1">
        <v>0.0</v>
      </c>
      <c r="BD314" s="1">
        <v>0.0</v>
      </c>
      <c r="BE314" s="1">
        <v>0.0</v>
      </c>
      <c r="BF314" s="1">
        <v>0.0</v>
      </c>
      <c r="BG314" s="1">
        <v>0.0</v>
      </c>
      <c r="BH314" s="1">
        <v>0.0</v>
      </c>
      <c r="BI314" s="1">
        <v>0.0</v>
      </c>
      <c r="BJ314" s="1">
        <v>0.0</v>
      </c>
      <c r="BP314" s="1">
        <v>0.265</v>
      </c>
      <c r="BQ314" s="1" t="s">
        <v>1017</v>
      </c>
      <c r="BV314" s="1">
        <v>1.1</v>
      </c>
      <c r="EQ314" s="9" t="s">
        <v>1872</v>
      </c>
      <c r="ER314" s="21">
        <v>46045.29818287037</v>
      </c>
    </row>
    <row r="315">
      <c r="A315" s="9" t="s">
        <v>1873</v>
      </c>
      <c r="B315" s="20" t="str">
        <f>IFERROR(__xludf.DUMMYFUNCTION("REGEXREPLACE(A315, ""^https?://[^/]+"", """")"),"/wp-content/uploads/elementor/css/post-26370.css?ver=1768847835")</f>
        <v>/wp-content/uploads/elementor/css/post-26370.css?ver=1768847835</v>
      </c>
      <c r="F315" s="1" t="s">
        <v>1016</v>
      </c>
      <c r="G315" s="1">
        <v>200.0</v>
      </c>
      <c r="H315" s="1" t="s">
        <v>966</v>
      </c>
      <c r="I315" s="1" t="s">
        <v>967</v>
      </c>
      <c r="L315" s="1">
        <v>0.0</v>
      </c>
      <c r="M315" s="1">
        <v>0.0</v>
      </c>
      <c r="O315" s="1">
        <v>0.0</v>
      </c>
      <c r="P315" s="1">
        <v>0.0</v>
      </c>
      <c r="R315" s="1">
        <v>0.0</v>
      </c>
      <c r="S315" s="1">
        <v>0.0</v>
      </c>
      <c r="U315" s="1">
        <v>0.0</v>
      </c>
      <c r="W315" s="1">
        <v>0.0</v>
      </c>
      <c r="Y315" s="1">
        <v>0.0</v>
      </c>
      <c r="AA315" s="1">
        <v>0.0</v>
      </c>
      <c r="AC315" s="1">
        <v>0.0</v>
      </c>
      <c r="AM315" s="1">
        <v>3702.0</v>
      </c>
      <c r="AN315" s="1">
        <v>3702.0</v>
      </c>
      <c r="AO315" s="1">
        <v>3702.0</v>
      </c>
      <c r="AP315" s="1">
        <v>1.418</v>
      </c>
      <c r="AR315" s="1">
        <v>0.0</v>
      </c>
      <c r="AW315" s="1">
        <v>0.0</v>
      </c>
      <c r="AX315" s="1">
        <v>2.0</v>
      </c>
      <c r="AY315" s="1">
        <v>4.0</v>
      </c>
      <c r="BA315" s="1">
        <v>0.0</v>
      </c>
      <c r="BB315" s="1">
        <v>0.0</v>
      </c>
      <c r="BC315" s="1">
        <v>0.0</v>
      </c>
      <c r="BD315" s="1">
        <v>0.0</v>
      </c>
      <c r="BE315" s="1">
        <v>0.0</v>
      </c>
      <c r="BF315" s="1">
        <v>0.0</v>
      </c>
      <c r="BG315" s="1">
        <v>0.0</v>
      </c>
      <c r="BH315" s="1">
        <v>0.0</v>
      </c>
      <c r="BI315" s="1">
        <v>0.0</v>
      </c>
      <c r="BJ315" s="1">
        <v>0.0</v>
      </c>
      <c r="BP315" s="1">
        <v>0.263</v>
      </c>
      <c r="BQ315" s="1" t="s">
        <v>1874</v>
      </c>
      <c r="BV315" s="1">
        <v>1.1</v>
      </c>
      <c r="EQ315" s="9" t="s">
        <v>1873</v>
      </c>
      <c r="ER315" s="21">
        <v>46045.29818287037</v>
      </c>
    </row>
    <row r="316">
      <c r="A316" s="9" t="s">
        <v>1875</v>
      </c>
      <c r="B316" s="20" t="str">
        <f>IFERROR(__xludf.DUMMYFUNCTION("REGEXREPLACE(A316, ""^https?://[^/]+"", """")"),"/wp-content/uploads/2025/10/AR-Guarantee_No-Logo-1-1024x1003.png")</f>
        <v>/wp-content/uploads/2025/10/AR-Guarantee_No-Logo-1-1024x1003.png</v>
      </c>
      <c r="F316" s="1" t="s">
        <v>1047</v>
      </c>
      <c r="G316" s="1">
        <v>200.0</v>
      </c>
      <c r="H316" s="1" t="s">
        <v>966</v>
      </c>
      <c r="I316" s="1" t="s">
        <v>967</v>
      </c>
      <c r="L316" s="1">
        <v>0.0</v>
      </c>
      <c r="M316" s="1">
        <v>0.0</v>
      </c>
      <c r="O316" s="1">
        <v>0.0</v>
      </c>
      <c r="P316" s="1">
        <v>0.0</v>
      </c>
      <c r="R316" s="1">
        <v>0.0</v>
      </c>
      <c r="S316" s="1">
        <v>0.0</v>
      </c>
      <c r="U316" s="1">
        <v>0.0</v>
      </c>
      <c r="W316" s="1">
        <v>0.0</v>
      </c>
      <c r="Y316" s="1">
        <v>0.0</v>
      </c>
      <c r="AA316" s="1">
        <v>0.0</v>
      </c>
      <c r="AC316" s="1">
        <v>0.0</v>
      </c>
      <c r="AM316" s="1">
        <v>88491.0</v>
      </c>
      <c r="AN316" s="1">
        <v>88491.0</v>
      </c>
      <c r="AO316" s="1">
        <v>88491.0</v>
      </c>
      <c r="AP316" s="1">
        <v>33.899</v>
      </c>
      <c r="AR316" s="1">
        <v>0.0</v>
      </c>
      <c r="AW316" s="1">
        <v>0.0</v>
      </c>
      <c r="AX316" s="1">
        <v>2.0</v>
      </c>
      <c r="AY316" s="1">
        <v>4.0</v>
      </c>
      <c r="BA316" s="1">
        <v>0.0</v>
      </c>
      <c r="BB316" s="1">
        <v>0.0</v>
      </c>
      <c r="BC316" s="1">
        <v>0.0</v>
      </c>
      <c r="BD316" s="1">
        <v>0.0</v>
      </c>
      <c r="BE316" s="1">
        <v>0.0</v>
      </c>
      <c r="BF316" s="1">
        <v>0.0</v>
      </c>
      <c r="BG316" s="1">
        <v>0.0</v>
      </c>
      <c r="BH316" s="1">
        <v>0.0</v>
      </c>
      <c r="BI316" s="1">
        <v>0.0</v>
      </c>
      <c r="BJ316" s="1">
        <v>0.0</v>
      </c>
      <c r="BP316" s="1">
        <v>0.268</v>
      </c>
      <c r="BQ316" s="1" t="s">
        <v>1876</v>
      </c>
      <c r="BV316" s="1">
        <v>1.1</v>
      </c>
      <c r="EQ316" s="9" t="s">
        <v>1875</v>
      </c>
      <c r="ER316" s="21">
        <v>46045.29818287037</v>
      </c>
    </row>
    <row r="317">
      <c r="A317" s="9" t="s">
        <v>1877</v>
      </c>
      <c r="B317" s="20" t="str">
        <f>IFERROR(__xludf.DUMMYFUNCTION("REGEXREPLACE(A317, ""^https?://[^/]+"", """")"),"/job/vice-president-of-sales-brisbane-australia/")</f>
        <v>/job/vice-president-of-sales-brisbane-australia/</v>
      </c>
      <c r="F317" s="1" t="s">
        <v>965</v>
      </c>
      <c r="G317" s="1">
        <v>200.0</v>
      </c>
      <c r="H317" s="1" t="s">
        <v>966</v>
      </c>
      <c r="I317" s="1" t="s">
        <v>967</v>
      </c>
      <c r="K317" s="1" t="s">
        <v>1863</v>
      </c>
      <c r="L317" s="1">
        <v>43.0</v>
      </c>
      <c r="M317" s="1">
        <v>378.0</v>
      </c>
      <c r="O317" s="1">
        <v>0.0</v>
      </c>
      <c r="P317" s="1">
        <v>0.0</v>
      </c>
      <c r="Q317" s="1" t="s">
        <v>1846</v>
      </c>
      <c r="R317" s="1">
        <v>54.0</v>
      </c>
      <c r="S317" s="1">
        <v>351.0</v>
      </c>
      <c r="U317" s="1">
        <v>0.0</v>
      </c>
      <c r="W317" s="1">
        <v>0.0</v>
      </c>
      <c r="Y317" s="1">
        <v>0.0</v>
      </c>
      <c r="AA317" s="1">
        <v>0.0</v>
      </c>
      <c r="AC317" s="1">
        <v>0.0</v>
      </c>
      <c r="AD317" s="1" t="s">
        <v>971</v>
      </c>
      <c r="AG317" s="9" t="s">
        <v>1877</v>
      </c>
      <c r="AM317" s="1">
        <v>153624.0</v>
      </c>
      <c r="AN317" s="1">
        <v>31757.0</v>
      </c>
      <c r="AO317" s="1">
        <v>31757.0</v>
      </c>
      <c r="AP317" s="1">
        <v>12.166</v>
      </c>
      <c r="AR317" s="1">
        <v>964.0</v>
      </c>
      <c r="AS317" s="1">
        <v>149.0</v>
      </c>
      <c r="AT317" s="1">
        <v>6.47</v>
      </c>
      <c r="AU317" s="1">
        <v>62.486</v>
      </c>
      <c r="AV317" s="1" t="s">
        <v>990</v>
      </c>
      <c r="AW317" s="1">
        <v>5.433</v>
      </c>
      <c r="AX317" s="1">
        <v>2.0</v>
      </c>
      <c r="AY317" s="1">
        <v>2.0</v>
      </c>
      <c r="AZ317" s="1">
        <v>1.0</v>
      </c>
      <c r="BA317" s="1">
        <v>1.0</v>
      </c>
      <c r="BB317" s="1">
        <v>1.0</v>
      </c>
      <c r="BC317" s="1">
        <v>0.0</v>
      </c>
      <c r="BD317" s="1">
        <v>0.13</v>
      </c>
      <c r="BE317" s="1">
        <v>125.0</v>
      </c>
      <c r="BF317" s="1">
        <v>43.0</v>
      </c>
      <c r="BG317" s="1">
        <v>0.0</v>
      </c>
      <c r="BH317" s="1">
        <v>20.0</v>
      </c>
      <c r="BI317" s="1">
        <v>12.0</v>
      </c>
      <c r="BJ317" s="1">
        <v>0.0</v>
      </c>
      <c r="BO317" s="1" t="s">
        <v>1878</v>
      </c>
      <c r="BP317" s="1">
        <v>1.295</v>
      </c>
      <c r="BU317" s="1" t="s">
        <v>974</v>
      </c>
      <c r="BV317" s="1">
        <v>1.1</v>
      </c>
      <c r="BW317" s="1">
        <v>54.0</v>
      </c>
      <c r="BX317" s="1">
        <v>4201.038</v>
      </c>
      <c r="BY317" s="1">
        <v>7504.987</v>
      </c>
      <c r="BZ317" s="1">
        <v>6076.056</v>
      </c>
      <c r="CA317" s="1">
        <v>18353.697</v>
      </c>
      <c r="CB317" s="1">
        <v>382.5</v>
      </c>
      <c r="CC317" s="1">
        <v>0.001</v>
      </c>
      <c r="CD317" s="1">
        <v>667995.0</v>
      </c>
      <c r="CE317" s="1">
        <v>900.0</v>
      </c>
      <c r="CF317" s="1">
        <v>161.0</v>
      </c>
      <c r="CG317" s="1">
        <v>2277930.0</v>
      </c>
      <c r="CH317" s="1">
        <v>31940.0</v>
      </c>
      <c r="CI317" s="1">
        <v>2.0</v>
      </c>
      <c r="CJ317" s="1">
        <v>18675.0</v>
      </c>
      <c r="CK317" s="1">
        <v>18.0</v>
      </c>
      <c r="CL317" s="1">
        <v>126153.0</v>
      </c>
      <c r="CM317" s="1">
        <v>37.0</v>
      </c>
      <c r="CN317" s="1">
        <v>1748063.0</v>
      </c>
      <c r="CO317" s="1">
        <v>68.0</v>
      </c>
      <c r="CP317" s="1">
        <v>327147.0</v>
      </c>
      <c r="CQ317" s="1">
        <v>8.0</v>
      </c>
      <c r="CR317" s="1">
        <v>0.0</v>
      </c>
      <c r="CS317" s="1">
        <v>0.0</v>
      </c>
      <c r="CT317" s="1">
        <v>25952.0</v>
      </c>
      <c r="CU317" s="1">
        <v>28.0</v>
      </c>
      <c r="CV317" s="1">
        <v>1524924.0</v>
      </c>
      <c r="CW317" s="1">
        <v>67.0</v>
      </c>
      <c r="DC317" s="1">
        <v>0.0</v>
      </c>
      <c r="DD317" s="1">
        <v>5075.0</v>
      </c>
      <c r="DE317" s="1">
        <v>0.0</v>
      </c>
      <c r="DF317" s="1">
        <v>3396.0</v>
      </c>
      <c r="DG317" s="1">
        <v>300.0</v>
      </c>
      <c r="DH317" s="1">
        <v>65933.0</v>
      </c>
      <c r="DI317" s="1">
        <v>600.0</v>
      </c>
      <c r="DJ317" s="1">
        <v>593591.0</v>
      </c>
      <c r="DK317" s="1">
        <v>1643.783</v>
      </c>
      <c r="DL317" s="1" t="s">
        <v>975</v>
      </c>
      <c r="DM317" s="1">
        <v>3040.594</v>
      </c>
      <c r="DN317" s="1" t="s">
        <v>975</v>
      </c>
      <c r="DO317" s="1">
        <v>2277848.0</v>
      </c>
      <c r="DP317" s="1">
        <v>1.0</v>
      </c>
      <c r="DQ317" s="1" t="s">
        <v>976</v>
      </c>
      <c r="DR317" s="1" t="s">
        <v>1142</v>
      </c>
      <c r="DS317" s="1" t="s">
        <v>978</v>
      </c>
      <c r="DU317" s="1" t="s">
        <v>994</v>
      </c>
      <c r="DV317" s="1">
        <v>13391.0</v>
      </c>
      <c r="DX317" s="1">
        <v>4219.0</v>
      </c>
      <c r="DY317" s="1">
        <v>611602.0</v>
      </c>
      <c r="DZ317" s="1" t="s">
        <v>981</v>
      </c>
      <c r="EA317" s="1">
        <v>796.0</v>
      </c>
      <c r="EB317" s="1">
        <v>4453.0</v>
      </c>
      <c r="EC317" s="1">
        <v>1.0</v>
      </c>
      <c r="ED317" s="1">
        <v>26492.0</v>
      </c>
      <c r="EF317" s="1">
        <v>375.0</v>
      </c>
      <c r="EG317" s="1" t="s">
        <v>982</v>
      </c>
      <c r="EH317" s="1">
        <v>100.0</v>
      </c>
      <c r="EK317" s="1">
        <v>100.0</v>
      </c>
      <c r="EQ317" s="9" t="s">
        <v>1877</v>
      </c>
      <c r="ER317" s="21">
        <v>46045.298171296294</v>
      </c>
    </row>
    <row r="318">
      <c r="A318" s="9" t="s">
        <v>1879</v>
      </c>
      <c r="B318" s="20" t="str">
        <f>IFERROR(__xludf.DUMMYFUNCTION("REGEXREPLACE(A318, ""^https?://[^/]+"", """")"),"/wp-content/plugins/powerpack-elements/assets/css/min/widget-table.min.css?ver=2.12.15")</f>
        <v>/wp-content/plugins/powerpack-elements/assets/css/min/widget-table.min.css?ver=2.12.15</v>
      </c>
      <c r="F318" s="1" t="s">
        <v>1016</v>
      </c>
      <c r="G318" s="1">
        <v>200.0</v>
      </c>
      <c r="H318" s="1" t="s">
        <v>966</v>
      </c>
      <c r="I318" s="1" t="s">
        <v>967</v>
      </c>
      <c r="L318" s="1">
        <v>0.0</v>
      </c>
      <c r="M318" s="1">
        <v>0.0</v>
      </c>
      <c r="O318" s="1">
        <v>0.0</v>
      </c>
      <c r="P318" s="1">
        <v>0.0</v>
      </c>
      <c r="R318" s="1">
        <v>0.0</v>
      </c>
      <c r="S318" s="1">
        <v>0.0</v>
      </c>
      <c r="U318" s="1">
        <v>0.0</v>
      </c>
      <c r="W318" s="1">
        <v>0.0</v>
      </c>
      <c r="Y318" s="1">
        <v>0.0</v>
      </c>
      <c r="AA318" s="1">
        <v>0.0</v>
      </c>
      <c r="AC318" s="1">
        <v>0.0</v>
      </c>
      <c r="AM318" s="1">
        <v>613.0</v>
      </c>
      <c r="AN318" s="1">
        <v>613.0</v>
      </c>
      <c r="AO318" s="1">
        <v>613.0</v>
      </c>
      <c r="AP318" s="1">
        <v>0.235</v>
      </c>
      <c r="AR318" s="1">
        <v>0.0</v>
      </c>
      <c r="AW318" s="1">
        <v>0.0</v>
      </c>
      <c r="AX318" s="1">
        <v>2.0</v>
      </c>
      <c r="AY318" s="1">
        <v>6.0</v>
      </c>
      <c r="BA318" s="1">
        <v>0.0</v>
      </c>
      <c r="BB318" s="1">
        <v>0.0</v>
      </c>
      <c r="BC318" s="1">
        <v>0.0</v>
      </c>
      <c r="BD318" s="1">
        <v>0.0</v>
      </c>
      <c r="BE318" s="1">
        <v>0.0</v>
      </c>
      <c r="BF318" s="1">
        <v>0.0</v>
      </c>
      <c r="BG318" s="1">
        <v>0.0</v>
      </c>
      <c r="BH318" s="1">
        <v>0.0</v>
      </c>
      <c r="BI318" s="1">
        <v>0.0</v>
      </c>
      <c r="BJ318" s="1">
        <v>0.0</v>
      </c>
      <c r="BP318" s="1">
        <v>0.268</v>
      </c>
      <c r="BQ318" s="1" t="s">
        <v>1193</v>
      </c>
      <c r="BV318" s="1">
        <v>1.1</v>
      </c>
      <c r="EQ318" s="9" t="s">
        <v>1879</v>
      </c>
      <c r="ER318" s="21">
        <v>46045.29818287037</v>
      </c>
    </row>
    <row r="319">
      <c r="A319" s="9" t="s">
        <v>1880</v>
      </c>
      <c r="B319" s="20" t="str">
        <f>IFERROR(__xludf.DUMMYFUNCTION("REGEXREPLACE(A319, ""^https?://[^/]+"", """")"),"/wp-content/plugins/powerpack-elements/assets/lib/tablesaw/tablesaw.css?ver=2.12.15")</f>
        <v>/wp-content/plugins/powerpack-elements/assets/lib/tablesaw/tablesaw.css?ver=2.12.15</v>
      </c>
      <c r="F319" s="1" t="s">
        <v>1016</v>
      </c>
      <c r="G319" s="1">
        <v>200.0</v>
      </c>
      <c r="H319" s="1" t="s">
        <v>966</v>
      </c>
      <c r="I319" s="1" t="s">
        <v>967</v>
      </c>
      <c r="L319" s="1">
        <v>0.0</v>
      </c>
      <c r="M319" s="1">
        <v>0.0</v>
      </c>
      <c r="O319" s="1">
        <v>0.0</v>
      </c>
      <c r="P319" s="1">
        <v>0.0</v>
      </c>
      <c r="R319" s="1">
        <v>0.0</v>
      </c>
      <c r="S319" s="1">
        <v>0.0</v>
      </c>
      <c r="U319" s="1">
        <v>0.0</v>
      </c>
      <c r="W319" s="1">
        <v>0.0</v>
      </c>
      <c r="Y319" s="1">
        <v>0.0</v>
      </c>
      <c r="AA319" s="1">
        <v>0.0</v>
      </c>
      <c r="AC319" s="1">
        <v>0.0</v>
      </c>
      <c r="AM319" s="1">
        <v>3230.0</v>
      </c>
      <c r="AN319" s="1">
        <v>3230.0</v>
      </c>
      <c r="AO319" s="1">
        <v>3230.0</v>
      </c>
      <c r="AP319" s="1">
        <v>1.237</v>
      </c>
      <c r="AR319" s="1">
        <v>0.0</v>
      </c>
      <c r="AW319" s="1">
        <v>0.0</v>
      </c>
      <c r="AX319" s="1">
        <v>2.0</v>
      </c>
      <c r="AY319" s="1">
        <v>6.0</v>
      </c>
      <c r="BA319" s="1">
        <v>0.0</v>
      </c>
      <c r="BB319" s="1">
        <v>0.0</v>
      </c>
      <c r="BC319" s="1">
        <v>0.0</v>
      </c>
      <c r="BD319" s="1">
        <v>0.0</v>
      </c>
      <c r="BE319" s="1">
        <v>0.0</v>
      </c>
      <c r="BF319" s="1">
        <v>0.0</v>
      </c>
      <c r="BG319" s="1">
        <v>0.0</v>
      </c>
      <c r="BH319" s="1">
        <v>0.0</v>
      </c>
      <c r="BI319" s="1">
        <v>0.0</v>
      </c>
      <c r="BJ319" s="1">
        <v>0.0</v>
      </c>
      <c r="BP319" s="1">
        <v>0.262</v>
      </c>
      <c r="BQ319" s="1" t="s">
        <v>1193</v>
      </c>
      <c r="BV319" s="1">
        <v>1.1</v>
      </c>
      <c r="EQ319" s="9" t="s">
        <v>1880</v>
      </c>
      <c r="ER319" s="21">
        <v>46045.29818287037</v>
      </c>
    </row>
    <row r="320">
      <c r="A320" s="9" t="s">
        <v>1881</v>
      </c>
      <c r="B320" s="20" t="str">
        <f>IFERROR(__xludf.DUMMYFUNCTION("REGEXREPLACE(A320, ""^https?://[^/]+"", """")"),"/wp-content/themes/salesxceleratione/assets/css/style.css?ver=1769123321")</f>
        <v>/wp-content/themes/salesxceleratione/assets/css/style.css?ver=1769123321</v>
      </c>
      <c r="F320" s="1" t="s">
        <v>1016</v>
      </c>
      <c r="G320" s="1">
        <v>200.0</v>
      </c>
      <c r="H320" s="1" t="s">
        <v>966</v>
      </c>
      <c r="I320" s="1" t="s">
        <v>967</v>
      </c>
      <c r="L320" s="1">
        <v>0.0</v>
      </c>
      <c r="M320" s="1">
        <v>0.0</v>
      </c>
      <c r="O320" s="1">
        <v>0.0</v>
      </c>
      <c r="P320" s="1">
        <v>0.0</v>
      </c>
      <c r="R320" s="1">
        <v>0.0</v>
      </c>
      <c r="S320" s="1">
        <v>0.0</v>
      </c>
      <c r="U320" s="1">
        <v>0.0</v>
      </c>
      <c r="W320" s="1">
        <v>0.0</v>
      </c>
      <c r="Y320" s="1">
        <v>0.0</v>
      </c>
      <c r="AA320" s="1">
        <v>0.0</v>
      </c>
      <c r="AC320" s="1">
        <v>0.0</v>
      </c>
      <c r="AM320" s="1">
        <v>17704.0</v>
      </c>
      <c r="AN320" s="1">
        <v>17704.0</v>
      </c>
      <c r="AO320" s="1">
        <v>17704.0</v>
      </c>
      <c r="AP320" s="1">
        <v>6.782</v>
      </c>
      <c r="AR320" s="1">
        <v>0.0</v>
      </c>
      <c r="AW320" s="1">
        <v>0.0</v>
      </c>
      <c r="AX320" s="1">
        <v>2.0</v>
      </c>
      <c r="AY320" s="1">
        <v>5.0</v>
      </c>
      <c r="BA320" s="1">
        <v>0.0</v>
      </c>
      <c r="BB320" s="1">
        <v>0.0</v>
      </c>
      <c r="BC320" s="1">
        <v>0.0</v>
      </c>
      <c r="BD320" s="1">
        <v>0.0</v>
      </c>
      <c r="BE320" s="1">
        <v>0.0</v>
      </c>
      <c r="BF320" s="1">
        <v>0.0</v>
      </c>
      <c r="BG320" s="1">
        <v>0.0</v>
      </c>
      <c r="BH320" s="1">
        <v>0.0</v>
      </c>
      <c r="BI320" s="1">
        <v>0.0</v>
      </c>
      <c r="BJ320" s="1">
        <v>0.0</v>
      </c>
      <c r="BP320" s="1">
        <v>0.283</v>
      </c>
      <c r="BQ320" s="1" t="s">
        <v>1882</v>
      </c>
      <c r="BV320" s="1">
        <v>1.1</v>
      </c>
      <c r="EQ320" s="9" t="s">
        <v>1881</v>
      </c>
      <c r="ER320" s="21">
        <v>46045.29818287037</v>
      </c>
    </row>
    <row r="321">
      <c r="A321" s="9" t="s">
        <v>1883</v>
      </c>
      <c r="B321" s="20" t="str">
        <f>IFERROR(__xludf.DUMMYFUNCTION("REGEXREPLACE(A321, ""^https?://[^/]+"", """")"),"/wp-content/uploads/2024/08/Schamp_Bill-225x225.jpg")</f>
        <v>/wp-content/uploads/2024/08/Schamp_Bill-225x225.jpg</v>
      </c>
      <c r="F321" s="1" t="s">
        <v>1004</v>
      </c>
      <c r="G321" s="1">
        <v>200.0</v>
      </c>
      <c r="H321" s="1" t="s">
        <v>966</v>
      </c>
      <c r="I321" s="1" t="s">
        <v>967</v>
      </c>
      <c r="L321" s="1">
        <v>0.0</v>
      </c>
      <c r="M321" s="1">
        <v>0.0</v>
      </c>
      <c r="O321" s="1">
        <v>0.0</v>
      </c>
      <c r="P321" s="1">
        <v>0.0</v>
      </c>
      <c r="R321" s="1">
        <v>0.0</v>
      </c>
      <c r="S321" s="1">
        <v>0.0</v>
      </c>
      <c r="U321" s="1">
        <v>0.0</v>
      </c>
      <c r="W321" s="1">
        <v>0.0</v>
      </c>
      <c r="Y321" s="1">
        <v>0.0</v>
      </c>
      <c r="AA321" s="1">
        <v>0.0</v>
      </c>
      <c r="AC321" s="1">
        <v>0.0</v>
      </c>
      <c r="AM321" s="1">
        <v>8172.0</v>
      </c>
      <c r="AN321" s="1">
        <v>8172.0</v>
      </c>
      <c r="AO321" s="1">
        <v>8172.0</v>
      </c>
      <c r="AP321" s="1">
        <v>3.131</v>
      </c>
      <c r="AR321" s="1">
        <v>0.0</v>
      </c>
      <c r="AW321" s="1">
        <v>0.0</v>
      </c>
      <c r="AX321" s="1">
        <v>2.0</v>
      </c>
      <c r="AY321" s="1">
        <v>4.0</v>
      </c>
      <c r="BA321" s="1">
        <v>0.0</v>
      </c>
      <c r="BB321" s="1">
        <v>0.0</v>
      </c>
      <c r="BC321" s="1">
        <v>0.0</v>
      </c>
      <c r="BD321" s="1">
        <v>0.0</v>
      </c>
      <c r="BE321" s="1">
        <v>0.0</v>
      </c>
      <c r="BF321" s="1">
        <v>0.0</v>
      </c>
      <c r="BG321" s="1">
        <v>0.0</v>
      </c>
      <c r="BH321" s="1">
        <v>0.0</v>
      </c>
      <c r="BI321" s="1">
        <v>0.0</v>
      </c>
      <c r="BJ321" s="1">
        <v>0.0</v>
      </c>
      <c r="BP321" s="1">
        <v>0.268</v>
      </c>
      <c r="BQ321" s="1" t="s">
        <v>1884</v>
      </c>
      <c r="BV321" s="1">
        <v>1.1</v>
      </c>
      <c r="EQ321" s="9" t="s">
        <v>1883</v>
      </c>
      <c r="ER321" s="21">
        <v>46045.29819444445</v>
      </c>
    </row>
    <row r="322">
      <c r="A322" s="9" t="s">
        <v>1885</v>
      </c>
      <c r="B322" s="20" t="str">
        <f>IFERROR(__xludf.DUMMYFUNCTION("REGEXREPLACE(A322, ""^https?://[^/]+"", """")"),"/job/vp-of-sales-revenue-opportunity-300k-chicago-il/")</f>
        <v>/job/vp-of-sales-revenue-opportunity-300k-chicago-il/</v>
      </c>
      <c r="F322" s="1" t="s">
        <v>965</v>
      </c>
      <c r="G322" s="1">
        <v>200.0</v>
      </c>
      <c r="H322" s="1" t="s">
        <v>966</v>
      </c>
      <c r="I322" s="1" t="s">
        <v>967</v>
      </c>
      <c r="K322" s="1" t="s">
        <v>1850</v>
      </c>
      <c r="L322" s="1">
        <v>59.0</v>
      </c>
      <c r="M322" s="1">
        <v>538.0</v>
      </c>
      <c r="O322" s="1">
        <v>0.0</v>
      </c>
      <c r="P322" s="1">
        <v>0.0</v>
      </c>
      <c r="Q322" s="1" t="s">
        <v>1846</v>
      </c>
      <c r="R322" s="1">
        <v>54.0</v>
      </c>
      <c r="S322" s="1">
        <v>351.0</v>
      </c>
      <c r="U322" s="1">
        <v>0.0</v>
      </c>
      <c r="W322" s="1">
        <v>0.0</v>
      </c>
      <c r="Y322" s="1">
        <v>0.0</v>
      </c>
      <c r="AA322" s="1">
        <v>0.0</v>
      </c>
      <c r="AC322" s="1">
        <v>0.0</v>
      </c>
      <c r="AD322" s="1" t="s">
        <v>971</v>
      </c>
      <c r="AG322" s="9" t="s">
        <v>1885</v>
      </c>
      <c r="AM322" s="1">
        <v>152489.0</v>
      </c>
      <c r="AN322" s="1">
        <v>31311.0</v>
      </c>
      <c r="AO322" s="1">
        <v>31311.0</v>
      </c>
      <c r="AP322" s="1">
        <v>11.995</v>
      </c>
      <c r="AR322" s="1">
        <v>942.0</v>
      </c>
      <c r="AS322" s="1">
        <v>144.0</v>
      </c>
      <c r="AT322" s="1">
        <v>6.542</v>
      </c>
      <c r="AU322" s="1">
        <v>63.416</v>
      </c>
      <c r="AV322" s="1" t="s">
        <v>990</v>
      </c>
      <c r="AW322" s="1">
        <v>5.364</v>
      </c>
      <c r="AX322" s="1">
        <v>2.0</v>
      </c>
      <c r="AY322" s="1">
        <v>2.0</v>
      </c>
      <c r="AZ322" s="1">
        <v>1.0</v>
      </c>
      <c r="BA322" s="1">
        <v>1.0</v>
      </c>
      <c r="BB322" s="1">
        <v>1.0</v>
      </c>
      <c r="BC322" s="1">
        <v>0.0</v>
      </c>
      <c r="BD322" s="1">
        <v>0.13</v>
      </c>
      <c r="BE322" s="1">
        <v>124.0</v>
      </c>
      <c r="BF322" s="1">
        <v>43.0</v>
      </c>
      <c r="BG322" s="1">
        <v>0.0</v>
      </c>
      <c r="BH322" s="1">
        <v>19.0</v>
      </c>
      <c r="BI322" s="1">
        <v>11.0</v>
      </c>
      <c r="BJ322" s="1">
        <v>0.0</v>
      </c>
      <c r="BO322" s="1" t="s">
        <v>1886</v>
      </c>
      <c r="BP322" s="1">
        <v>1.539</v>
      </c>
      <c r="BU322" s="1" t="s">
        <v>974</v>
      </c>
      <c r="BV322" s="1">
        <v>1.1</v>
      </c>
      <c r="BW322" s="1">
        <v>33.0</v>
      </c>
      <c r="BX322" s="1">
        <v>4201.037</v>
      </c>
      <c r="BY322" s="1">
        <v>7778.095</v>
      </c>
      <c r="BZ322" s="1">
        <v>6601.06</v>
      </c>
      <c r="CA322" s="1">
        <v>18047.34</v>
      </c>
      <c r="CB322" s="1">
        <v>645.5</v>
      </c>
      <c r="CC322" s="1">
        <v>0.235</v>
      </c>
      <c r="CD322" s="1">
        <v>668113.0</v>
      </c>
      <c r="CE322" s="1">
        <v>750.0</v>
      </c>
      <c r="CF322" s="1">
        <v>163.0</v>
      </c>
      <c r="CG322" s="1">
        <v>2258655.0</v>
      </c>
      <c r="CH322" s="1">
        <v>31584.0</v>
      </c>
      <c r="CI322" s="1">
        <v>2.0</v>
      </c>
      <c r="CJ322" s="1">
        <v>19080.0</v>
      </c>
      <c r="CK322" s="1">
        <v>20.0</v>
      </c>
      <c r="CL322" s="1">
        <v>126153.0</v>
      </c>
      <c r="CM322" s="1">
        <v>37.0</v>
      </c>
      <c r="CN322" s="1">
        <v>1751198.0</v>
      </c>
      <c r="CO322" s="1">
        <v>68.0</v>
      </c>
      <c r="CP322" s="1">
        <v>305199.0</v>
      </c>
      <c r="CQ322" s="1">
        <v>7.0</v>
      </c>
      <c r="CR322" s="1">
        <v>0.0</v>
      </c>
      <c r="CS322" s="1">
        <v>0.0</v>
      </c>
      <c r="CT322" s="1">
        <v>25441.0</v>
      </c>
      <c r="CU322" s="1">
        <v>29.0</v>
      </c>
      <c r="CV322" s="1">
        <v>1506517.0</v>
      </c>
      <c r="CW322" s="1">
        <v>69.0</v>
      </c>
      <c r="DC322" s="1">
        <v>0.0</v>
      </c>
      <c r="DD322" s="1">
        <v>5075.0</v>
      </c>
      <c r="DE322" s="1">
        <v>0.0</v>
      </c>
      <c r="DF322" s="1">
        <v>3396.0</v>
      </c>
      <c r="DG322" s="1">
        <v>450.0</v>
      </c>
      <c r="DH322" s="1">
        <v>65934.0</v>
      </c>
      <c r="DI322" s="1">
        <v>300.0</v>
      </c>
      <c r="DJ322" s="1">
        <v>593708.0</v>
      </c>
      <c r="DK322" s="1">
        <v>2028.415</v>
      </c>
      <c r="DL322" s="1" t="s">
        <v>975</v>
      </c>
      <c r="DM322" s="1">
        <v>3518.521</v>
      </c>
      <c r="DN322" s="1" t="s">
        <v>975</v>
      </c>
      <c r="DO322" s="1">
        <v>2258573.0</v>
      </c>
      <c r="DP322" s="1">
        <v>272.0</v>
      </c>
      <c r="DQ322" s="1" t="s">
        <v>976</v>
      </c>
      <c r="DR322" s="1" t="s">
        <v>1064</v>
      </c>
      <c r="DS322" s="1" t="s">
        <v>978</v>
      </c>
      <c r="DU322" s="1" t="s">
        <v>994</v>
      </c>
      <c r="DV322" s="1">
        <v>13392.0</v>
      </c>
      <c r="DX322" s="1">
        <v>4227.0</v>
      </c>
      <c r="DY322" s="1">
        <v>612010.0</v>
      </c>
      <c r="DZ322" s="1" t="s">
        <v>981</v>
      </c>
      <c r="EA322" s="1">
        <v>791.0</v>
      </c>
      <c r="EB322" s="1">
        <v>4453.0</v>
      </c>
      <c r="EC322" s="1">
        <v>1.0</v>
      </c>
      <c r="ED322" s="1">
        <v>26492.0</v>
      </c>
      <c r="EF322" s="1">
        <v>225.0</v>
      </c>
      <c r="EG322" s="1" t="s">
        <v>982</v>
      </c>
      <c r="EH322" s="1">
        <v>100.0</v>
      </c>
      <c r="EK322" s="1">
        <v>100.0</v>
      </c>
      <c r="EQ322" s="9" t="s">
        <v>1885</v>
      </c>
      <c r="ER322" s="21">
        <v>46045.298171296294</v>
      </c>
    </row>
    <row r="323">
      <c r="A323" s="9" t="s">
        <v>1887</v>
      </c>
      <c r="B323" s="20" t="str">
        <f>IFERROR(__xludf.DUMMYFUNCTION("REGEXREPLACE(A323, ""^https?://[^/]+"", """")"),"/wp-content/uploads/2024/02/Jim-Tates-225x225.jpeg")</f>
        <v>/wp-content/uploads/2024/02/Jim-Tates-225x225.jpeg</v>
      </c>
      <c r="F323" s="1" t="s">
        <v>1004</v>
      </c>
      <c r="G323" s="1">
        <v>200.0</v>
      </c>
      <c r="H323" s="1" t="s">
        <v>966</v>
      </c>
      <c r="I323" s="1" t="s">
        <v>967</v>
      </c>
      <c r="L323" s="1">
        <v>0.0</v>
      </c>
      <c r="M323" s="1">
        <v>0.0</v>
      </c>
      <c r="O323" s="1">
        <v>0.0</v>
      </c>
      <c r="P323" s="1">
        <v>0.0</v>
      </c>
      <c r="R323" s="1">
        <v>0.0</v>
      </c>
      <c r="S323" s="1">
        <v>0.0</v>
      </c>
      <c r="U323" s="1">
        <v>0.0</v>
      </c>
      <c r="W323" s="1">
        <v>0.0</v>
      </c>
      <c r="Y323" s="1">
        <v>0.0</v>
      </c>
      <c r="AA323" s="1">
        <v>0.0</v>
      </c>
      <c r="AC323" s="1">
        <v>0.0</v>
      </c>
      <c r="AM323" s="1">
        <v>10017.0</v>
      </c>
      <c r="AN323" s="1">
        <v>10017.0</v>
      </c>
      <c r="AO323" s="1">
        <v>10017.0</v>
      </c>
      <c r="AP323" s="1">
        <v>3.837</v>
      </c>
      <c r="AR323" s="1">
        <v>0.0</v>
      </c>
      <c r="AW323" s="1">
        <v>0.0</v>
      </c>
      <c r="AX323" s="1">
        <v>2.0</v>
      </c>
      <c r="AY323" s="1">
        <v>4.0</v>
      </c>
      <c r="BA323" s="1">
        <v>0.0</v>
      </c>
      <c r="BB323" s="1">
        <v>0.0</v>
      </c>
      <c r="BC323" s="1">
        <v>0.0</v>
      </c>
      <c r="BD323" s="1">
        <v>0.0</v>
      </c>
      <c r="BE323" s="1">
        <v>0.0</v>
      </c>
      <c r="BF323" s="1">
        <v>0.0</v>
      </c>
      <c r="BG323" s="1">
        <v>0.0</v>
      </c>
      <c r="BH323" s="1">
        <v>0.0</v>
      </c>
      <c r="BI323" s="1">
        <v>0.0</v>
      </c>
      <c r="BJ323" s="1">
        <v>0.0</v>
      </c>
      <c r="BP323" s="1">
        <v>0.271</v>
      </c>
      <c r="BQ323" s="1" t="s">
        <v>1888</v>
      </c>
      <c r="BV323" s="1">
        <v>1.1</v>
      </c>
      <c r="EQ323" s="9" t="s">
        <v>1887</v>
      </c>
      <c r="ER323" s="21">
        <v>46045.29819444445</v>
      </c>
    </row>
    <row r="324">
      <c r="A324" s="9" t="s">
        <v>1889</v>
      </c>
      <c r="B324" s="20" t="str">
        <f>IFERROR(__xludf.DUMMYFUNCTION("REGEXREPLACE(A324, ""^https?://[^/]+"", """")"),"/sales-recruiting/contact/")</f>
        <v>/sales-recruiting/contact/</v>
      </c>
      <c r="C324" s="1" t="s">
        <v>1890</v>
      </c>
      <c r="F324" s="1" t="s">
        <v>965</v>
      </c>
      <c r="G324" s="1">
        <v>200.0</v>
      </c>
      <c r="H324" s="1" t="s">
        <v>966</v>
      </c>
      <c r="I324" s="1" t="s">
        <v>1214</v>
      </c>
      <c r="J324" s="1" t="s">
        <v>1340</v>
      </c>
      <c r="K324" s="1" t="s">
        <v>1891</v>
      </c>
      <c r="L324" s="1">
        <v>44.0</v>
      </c>
      <c r="M324" s="1">
        <v>387.0</v>
      </c>
      <c r="O324" s="1">
        <v>0.0</v>
      </c>
      <c r="P324" s="1">
        <v>0.0</v>
      </c>
      <c r="Q324" s="1" t="s">
        <v>1892</v>
      </c>
      <c r="R324" s="1">
        <v>80.0</v>
      </c>
      <c r="S324" s="1">
        <v>485.0</v>
      </c>
      <c r="U324" s="1">
        <v>0.0</v>
      </c>
      <c r="V324" s="1" t="s">
        <v>1890</v>
      </c>
      <c r="W324" s="1">
        <v>23.0</v>
      </c>
      <c r="Y324" s="1">
        <v>0.0</v>
      </c>
      <c r="AA324" s="1">
        <v>0.0</v>
      </c>
      <c r="AC324" s="1">
        <v>0.0</v>
      </c>
      <c r="AD324" s="1" t="s">
        <v>1343</v>
      </c>
      <c r="AM324" s="1">
        <v>178350.0</v>
      </c>
      <c r="AN324" s="1">
        <v>35444.0</v>
      </c>
      <c r="AO324" s="1">
        <v>35444.0</v>
      </c>
      <c r="AP324" s="1">
        <v>13.578</v>
      </c>
      <c r="AR324" s="1">
        <v>609.0</v>
      </c>
      <c r="AS324" s="1">
        <v>110.0</v>
      </c>
      <c r="AT324" s="1">
        <v>5.536</v>
      </c>
      <c r="AU324" s="1">
        <v>63.688</v>
      </c>
      <c r="AV324" s="1" t="s">
        <v>990</v>
      </c>
      <c r="AW324" s="1">
        <v>3.427</v>
      </c>
      <c r="AX324" s="1">
        <v>2.0</v>
      </c>
      <c r="AY324" s="1">
        <v>2.0</v>
      </c>
      <c r="AZ324" s="1">
        <v>2.0</v>
      </c>
      <c r="BA324" s="1">
        <v>3.0</v>
      </c>
      <c r="BB324" s="1">
        <v>1.0</v>
      </c>
      <c r="BC324" s="1">
        <v>0.0</v>
      </c>
      <c r="BD324" s="1">
        <v>0.13</v>
      </c>
      <c r="BE324" s="1">
        <v>125.0</v>
      </c>
      <c r="BF324" s="1">
        <v>43.0</v>
      </c>
      <c r="BG324" s="1">
        <v>0.0</v>
      </c>
      <c r="BH324" s="1">
        <v>16.0</v>
      </c>
      <c r="BI324" s="1">
        <v>8.0</v>
      </c>
      <c r="BJ324" s="1">
        <v>0.0</v>
      </c>
      <c r="BO324" s="1" t="s">
        <v>1893</v>
      </c>
      <c r="BP324" s="1">
        <v>0.934</v>
      </c>
      <c r="BU324" s="1" t="s">
        <v>974</v>
      </c>
      <c r="BV324" s="1">
        <v>1.1</v>
      </c>
      <c r="BW324" s="1">
        <v>47.0</v>
      </c>
      <c r="BX324" s="1">
        <v>3151.025</v>
      </c>
      <c r="BY324" s="1">
        <v>7791.934</v>
      </c>
      <c r="BZ324" s="1">
        <v>6151.052</v>
      </c>
      <c r="CA324" s="1">
        <v>21883.463</v>
      </c>
      <c r="CB324" s="1">
        <v>717.5</v>
      </c>
      <c r="CC324" s="1">
        <v>0.0</v>
      </c>
      <c r="CD324" s="1">
        <v>1249071.0</v>
      </c>
      <c r="CE324" s="1">
        <v>1200.0</v>
      </c>
      <c r="CF324" s="1">
        <v>189.0</v>
      </c>
      <c r="CG324" s="1">
        <v>3796567.0</v>
      </c>
      <c r="CH324" s="1">
        <v>90319.0</v>
      </c>
      <c r="CI324" s="1">
        <v>4.0</v>
      </c>
      <c r="CJ324" s="1">
        <v>148155.0</v>
      </c>
      <c r="CK324" s="1">
        <v>20.0</v>
      </c>
      <c r="CL324" s="1">
        <v>223181.0</v>
      </c>
      <c r="CM324" s="1">
        <v>46.0</v>
      </c>
      <c r="CN324" s="1">
        <v>2537850.0</v>
      </c>
      <c r="CO324" s="1">
        <v>80.0</v>
      </c>
      <c r="CP324" s="1">
        <v>406319.0</v>
      </c>
      <c r="CQ324" s="1">
        <v>9.0</v>
      </c>
      <c r="CR324" s="1">
        <v>0.0</v>
      </c>
      <c r="CS324" s="1">
        <v>0.0</v>
      </c>
      <c r="CT324" s="1">
        <v>390743.0</v>
      </c>
      <c r="CU324" s="1">
        <v>30.0</v>
      </c>
      <c r="CV324" s="1">
        <v>2818715.0</v>
      </c>
      <c r="CW324" s="1">
        <v>80.0</v>
      </c>
      <c r="DC324" s="1">
        <v>0.0</v>
      </c>
      <c r="DD324" s="1">
        <v>5075.0</v>
      </c>
      <c r="DE324" s="1">
        <v>0.0</v>
      </c>
      <c r="DF324" s="1">
        <v>3396.0</v>
      </c>
      <c r="DG324" s="1">
        <v>450.0</v>
      </c>
      <c r="DH324" s="1">
        <v>62355.0</v>
      </c>
      <c r="DI324" s="1">
        <v>750.0</v>
      </c>
      <c r="DJ324" s="1">
        <v>1178245.0</v>
      </c>
      <c r="DK324" s="1">
        <v>2661.391</v>
      </c>
      <c r="DL324" s="1" t="s">
        <v>975</v>
      </c>
      <c r="DM324" s="1">
        <v>4371.222</v>
      </c>
      <c r="DN324" s="1" t="s">
        <v>975</v>
      </c>
      <c r="DO324" s="1">
        <v>3796485.0</v>
      </c>
      <c r="DP324" s="1">
        <v>1.0</v>
      </c>
      <c r="DQ324" s="1" t="s">
        <v>976</v>
      </c>
      <c r="DR324" s="1" t="s">
        <v>993</v>
      </c>
      <c r="DS324" s="1" t="s">
        <v>978</v>
      </c>
      <c r="DU324" s="1" t="s">
        <v>994</v>
      </c>
      <c r="DV324" s="1">
        <v>13697.0</v>
      </c>
      <c r="DX324" s="1">
        <v>4070.0</v>
      </c>
      <c r="DY324" s="1">
        <v>700571.0</v>
      </c>
      <c r="DZ324" s="1" t="s">
        <v>981</v>
      </c>
      <c r="EA324" s="1">
        <v>902.0</v>
      </c>
      <c r="EB324" s="1">
        <v>4453.0</v>
      </c>
      <c r="EC324" s="1">
        <v>70.0</v>
      </c>
      <c r="ED324" s="1">
        <v>26492.0</v>
      </c>
      <c r="EF324" s="1">
        <v>210.0</v>
      </c>
      <c r="EG324" s="1" t="s">
        <v>982</v>
      </c>
      <c r="EH324" s="1">
        <v>100.0</v>
      </c>
      <c r="EK324" s="1">
        <v>100.0</v>
      </c>
      <c r="EQ324" s="9" t="s">
        <v>1889</v>
      </c>
      <c r="ER324" s="21">
        <v>46045.29818287037</v>
      </c>
    </row>
    <row r="325">
      <c r="A325" s="9" t="s">
        <v>1894</v>
      </c>
      <c r="B325" s="20" t="str">
        <f>IFERROR(__xludf.DUMMYFUNCTION("REGEXREPLACE(A325, ""^https?://[^/]+"", """")"),"/wp-content/uploads/2024/12/Nwachukwu-Baker-Doris-225x225.jpg")</f>
        <v>/wp-content/uploads/2024/12/Nwachukwu-Baker-Doris-225x225.jpg</v>
      </c>
      <c r="F325" s="1" t="s">
        <v>1004</v>
      </c>
      <c r="G325" s="1">
        <v>200.0</v>
      </c>
      <c r="H325" s="1" t="s">
        <v>966</v>
      </c>
      <c r="I325" s="1" t="s">
        <v>967</v>
      </c>
      <c r="L325" s="1">
        <v>0.0</v>
      </c>
      <c r="M325" s="1">
        <v>0.0</v>
      </c>
      <c r="O325" s="1">
        <v>0.0</v>
      </c>
      <c r="P325" s="1">
        <v>0.0</v>
      </c>
      <c r="R325" s="1">
        <v>0.0</v>
      </c>
      <c r="S325" s="1">
        <v>0.0</v>
      </c>
      <c r="U325" s="1">
        <v>0.0</v>
      </c>
      <c r="W325" s="1">
        <v>0.0</v>
      </c>
      <c r="Y325" s="1">
        <v>0.0</v>
      </c>
      <c r="AA325" s="1">
        <v>0.0</v>
      </c>
      <c r="AC325" s="1">
        <v>0.0</v>
      </c>
      <c r="AM325" s="1">
        <v>9087.0</v>
      </c>
      <c r="AN325" s="1">
        <v>9087.0</v>
      </c>
      <c r="AO325" s="1">
        <v>9087.0</v>
      </c>
      <c r="AP325" s="1">
        <v>3.481</v>
      </c>
      <c r="AR325" s="1">
        <v>0.0</v>
      </c>
      <c r="AW325" s="1">
        <v>0.0</v>
      </c>
      <c r="AX325" s="1">
        <v>2.0</v>
      </c>
      <c r="AY325" s="1">
        <v>4.0</v>
      </c>
      <c r="BA325" s="1">
        <v>0.0</v>
      </c>
      <c r="BB325" s="1">
        <v>0.0</v>
      </c>
      <c r="BC325" s="1">
        <v>0.0</v>
      </c>
      <c r="BD325" s="1">
        <v>0.0</v>
      </c>
      <c r="BE325" s="1">
        <v>0.0</v>
      </c>
      <c r="BF325" s="1">
        <v>0.0</v>
      </c>
      <c r="BG325" s="1">
        <v>0.0</v>
      </c>
      <c r="BH325" s="1">
        <v>0.0</v>
      </c>
      <c r="BI325" s="1">
        <v>0.0</v>
      </c>
      <c r="BJ325" s="1">
        <v>0.0</v>
      </c>
      <c r="BP325" s="1">
        <v>0.272</v>
      </c>
      <c r="BQ325" s="1" t="s">
        <v>1895</v>
      </c>
      <c r="BV325" s="1">
        <v>1.1</v>
      </c>
      <c r="EQ325" s="9" t="s">
        <v>1894</v>
      </c>
      <c r="ER325" s="21">
        <v>46045.29819444445</v>
      </c>
    </row>
    <row r="326">
      <c r="A326" s="9" t="s">
        <v>1896</v>
      </c>
      <c r="B326" s="20" t="str">
        <f>IFERROR(__xludf.DUMMYFUNCTION("REGEXREPLACE(A326, ""^https?://[^/]+"", """")"),"/wp-content/uploads/2024/02/Boisclair_Matt-225x225.jpg")</f>
        <v>/wp-content/uploads/2024/02/Boisclair_Matt-225x225.jpg</v>
      </c>
      <c r="F326" s="1" t="s">
        <v>1004</v>
      </c>
      <c r="G326" s="1">
        <v>200.0</v>
      </c>
      <c r="H326" s="1" t="s">
        <v>966</v>
      </c>
      <c r="I326" s="1" t="s">
        <v>967</v>
      </c>
      <c r="L326" s="1">
        <v>0.0</v>
      </c>
      <c r="M326" s="1">
        <v>0.0</v>
      </c>
      <c r="O326" s="1">
        <v>0.0</v>
      </c>
      <c r="P326" s="1">
        <v>0.0</v>
      </c>
      <c r="R326" s="1">
        <v>0.0</v>
      </c>
      <c r="S326" s="1">
        <v>0.0</v>
      </c>
      <c r="U326" s="1">
        <v>0.0</v>
      </c>
      <c r="W326" s="1">
        <v>0.0</v>
      </c>
      <c r="Y326" s="1">
        <v>0.0</v>
      </c>
      <c r="AA326" s="1">
        <v>0.0</v>
      </c>
      <c r="AC326" s="1">
        <v>0.0</v>
      </c>
      <c r="AM326" s="1">
        <v>10038.0</v>
      </c>
      <c r="AN326" s="1">
        <v>10038.0</v>
      </c>
      <c r="AO326" s="1">
        <v>10038.0</v>
      </c>
      <c r="AP326" s="1">
        <v>3.845</v>
      </c>
      <c r="AR326" s="1">
        <v>0.0</v>
      </c>
      <c r="AW326" s="1">
        <v>0.0</v>
      </c>
      <c r="AX326" s="1">
        <v>2.0</v>
      </c>
      <c r="AY326" s="1">
        <v>4.0</v>
      </c>
      <c r="BA326" s="1">
        <v>0.0</v>
      </c>
      <c r="BB326" s="1">
        <v>0.0</v>
      </c>
      <c r="BC326" s="1">
        <v>0.0</v>
      </c>
      <c r="BD326" s="1">
        <v>0.0</v>
      </c>
      <c r="BE326" s="1">
        <v>0.0</v>
      </c>
      <c r="BF326" s="1">
        <v>0.0</v>
      </c>
      <c r="BG326" s="1">
        <v>0.0</v>
      </c>
      <c r="BH326" s="1">
        <v>0.0</v>
      </c>
      <c r="BI326" s="1">
        <v>0.0</v>
      </c>
      <c r="BJ326" s="1">
        <v>0.0</v>
      </c>
      <c r="BP326" s="1">
        <v>0.27</v>
      </c>
      <c r="BQ326" s="1" t="s">
        <v>1897</v>
      </c>
      <c r="BV326" s="1">
        <v>1.1</v>
      </c>
      <c r="EQ326" s="9" t="s">
        <v>1896</v>
      </c>
      <c r="ER326" s="21">
        <v>46045.29820601852</v>
      </c>
    </row>
    <row r="327">
      <c r="A327" s="9" t="s">
        <v>1898</v>
      </c>
      <c r="B327" s="20" t="str">
        <f>IFERROR(__xludf.DUMMYFUNCTION("REGEXREPLACE(A327, ""^https?://[^/]+"", """")"),"/wp-content/uploads/2022/04/Kaigh-Jim-275x275-1-225x225.jpg")</f>
        <v>/wp-content/uploads/2022/04/Kaigh-Jim-275x275-1-225x225.jpg</v>
      </c>
      <c r="F327" s="1" t="s">
        <v>1004</v>
      </c>
      <c r="G327" s="1">
        <v>200.0</v>
      </c>
      <c r="H327" s="1" t="s">
        <v>966</v>
      </c>
      <c r="I327" s="1" t="s">
        <v>967</v>
      </c>
      <c r="L327" s="1">
        <v>0.0</v>
      </c>
      <c r="M327" s="1">
        <v>0.0</v>
      </c>
      <c r="O327" s="1">
        <v>0.0</v>
      </c>
      <c r="P327" s="1">
        <v>0.0</v>
      </c>
      <c r="R327" s="1">
        <v>0.0</v>
      </c>
      <c r="S327" s="1">
        <v>0.0</v>
      </c>
      <c r="U327" s="1">
        <v>0.0</v>
      </c>
      <c r="W327" s="1">
        <v>0.0</v>
      </c>
      <c r="Y327" s="1">
        <v>0.0</v>
      </c>
      <c r="AA327" s="1">
        <v>0.0</v>
      </c>
      <c r="AC327" s="1">
        <v>0.0</v>
      </c>
      <c r="AM327" s="1">
        <v>8118.0</v>
      </c>
      <c r="AN327" s="1">
        <v>8118.0</v>
      </c>
      <c r="AO327" s="1">
        <v>8118.0</v>
      </c>
      <c r="AP327" s="1">
        <v>3.11</v>
      </c>
      <c r="AR327" s="1">
        <v>0.0</v>
      </c>
      <c r="AW327" s="1">
        <v>0.0</v>
      </c>
      <c r="AX327" s="1">
        <v>2.0</v>
      </c>
      <c r="AY327" s="1">
        <v>4.0</v>
      </c>
      <c r="BA327" s="1">
        <v>0.0</v>
      </c>
      <c r="BB327" s="1">
        <v>0.0</v>
      </c>
      <c r="BC327" s="1">
        <v>0.0</v>
      </c>
      <c r="BD327" s="1">
        <v>0.0</v>
      </c>
      <c r="BE327" s="1">
        <v>0.0</v>
      </c>
      <c r="BF327" s="1">
        <v>0.0</v>
      </c>
      <c r="BG327" s="1">
        <v>0.0</v>
      </c>
      <c r="BH327" s="1">
        <v>0.0</v>
      </c>
      <c r="BI327" s="1">
        <v>0.0</v>
      </c>
      <c r="BJ327" s="1">
        <v>0.0</v>
      </c>
      <c r="BP327" s="1">
        <v>0.268</v>
      </c>
      <c r="BQ327" s="1" t="s">
        <v>1899</v>
      </c>
      <c r="BV327" s="1">
        <v>1.1</v>
      </c>
      <c r="EQ327" s="9" t="s">
        <v>1898</v>
      </c>
      <c r="ER327" s="21">
        <v>46045.29820601852</v>
      </c>
    </row>
    <row r="328">
      <c r="A328" s="9" t="s">
        <v>1900</v>
      </c>
      <c r="B328" s="20" t="str">
        <f>IFERROR(__xludf.DUMMYFUNCTION("REGEXREPLACE(A328, ""^https?://[^/]+"", """")"),"/wp-content/uploads/2017/01/Lawson-Kevin-225x225.jpg")</f>
        <v>/wp-content/uploads/2017/01/Lawson-Kevin-225x225.jpg</v>
      </c>
      <c r="F328" s="1" t="s">
        <v>1004</v>
      </c>
      <c r="G328" s="1">
        <v>200.0</v>
      </c>
      <c r="H328" s="1" t="s">
        <v>966</v>
      </c>
      <c r="I328" s="1" t="s">
        <v>967</v>
      </c>
      <c r="L328" s="1">
        <v>0.0</v>
      </c>
      <c r="M328" s="1">
        <v>0.0</v>
      </c>
      <c r="O328" s="1">
        <v>0.0</v>
      </c>
      <c r="P328" s="1">
        <v>0.0</v>
      </c>
      <c r="R328" s="1">
        <v>0.0</v>
      </c>
      <c r="S328" s="1">
        <v>0.0</v>
      </c>
      <c r="U328" s="1">
        <v>0.0</v>
      </c>
      <c r="W328" s="1">
        <v>0.0</v>
      </c>
      <c r="Y328" s="1">
        <v>0.0</v>
      </c>
      <c r="AA328" s="1">
        <v>0.0</v>
      </c>
      <c r="AC328" s="1">
        <v>0.0</v>
      </c>
      <c r="AM328" s="1">
        <v>10126.0</v>
      </c>
      <c r="AN328" s="1">
        <v>10126.0</v>
      </c>
      <c r="AO328" s="1">
        <v>10126.0</v>
      </c>
      <c r="AP328" s="1">
        <v>3.879</v>
      </c>
      <c r="AR328" s="1">
        <v>0.0</v>
      </c>
      <c r="AW328" s="1">
        <v>0.0</v>
      </c>
      <c r="AX328" s="1">
        <v>2.0</v>
      </c>
      <c r="AY328" s="1">
        <v>4.0</v>
      </c>
      <c r="BA328" s="1">
        <v>0.0</v>
      </c>
      <c r="BB328" s="1">
        <v>0.0</v>
      </c>
      <c r="BC328" s="1">
        <v>0.0</v>
      </c>
      <c r="BD328" s="1">
        <v>0.0</v>
      </c>
      <c r="BE328" s="1">
        <v>0.0</v>
      </c>
      <c r="BF328" s="1">
        <v>0.0</v>
      </c>
      <c r="BG328" s="1">
        <v>0.0</v>
      </c>
      <c r="BH328" s="1">
        <v>0.0</v>
      </c>
      <c r="BI328" s="1">
        <v>0.0</v>
      </c>
      <c r="BJ328" s="1">
        <v>0.0</v>
      </c>
      <c r="BP328" s="1">
        <v>0.271</v>
      </c>
      <c r="BQ328" s="1" t="s">
        <v>1901</v>
      </c>
      <c r="BV328" s="1">
        <v>1.1</v>
      </c>
      <c r="EQ328" s="9" t="s">
        <v>1900</v>
      </c>
      <c r="ER328" s="21">
        <v>46045.29821759259</v>
      </c>
    </row>
    <row r="329">
      <c r="A329" s="9" t="s">
        <v>1902</v>
      </c>
      <c r="B329" s="20" t="str">
        <f>IFERROR(__xludf.DUMMYFUNCTION("REGEXREPLACE(A329, ""^https?://[^/]+"", """")"),"/wp-content/uploads/2023/04/Brock_Marck-225x225.jpg")</f>
        <v>/wp-content/uploads/2023/04/Brock_Marck-225x225.jpg</v>
      </c>
      <c r="F329" s="1" t="s">
        <v>1004</v>
      </c>
      <c r="G329" s="1">
        <v>200.0</v>
      </c>
      <c r="H329" s="1" t="s">
        <v>966</v>
      </c>
      <c r="I329" s="1" t="s">
        <v>967</v>
      </c>
      <c r="L329" s="1">
        <v>0.0</v>
      </c>
      <c r="M329" s="1">
        <v>0.0</v>
      </c>
      <c r="O329" s="1">
        <v>0.0</v>
      </c>
      <c r="P329" s="1">
        <v>0.0</v>
      </c>
      <c r="R329" s="1">
        <v>0.0</v>
      </c>
      <c r="S329" s="1">
        <v>0.0</v>
      </c>
      <c r="U329" s="1">
        <v>0.0</v>
      </c>
      <c r="W329" s="1">
        <v>0.0</v>
      </c>
      <c r="Y329" s="1">
        <v>0.0</v>
      </c>
      <c r="AA329" s="1">
        <v>0.0</v>
      </c>
      <c r="AC329" s="1">
        <v>0.0</v>
      </c>
      <c r="AM329" s="1">
        <v>9092.0</v>
      </c>
      <c r="AN329" s="1">
        <v>9092.0</v>
      </c>
      <c r="AO329" s="1">
        <v>9092.0</v>
      </c>
      <c r="AP329" s="1">
        <v>3.483</v>
      </c>
      <c r="AR329" s="1">
        <v>0.0</v>
      </c>
      <c r="AW329" s="1">
        <v>0.0</v>
      </c>
      <c r="AX329" s="1">
        <v>2.0</v>
      </c>
      <c r="AY329" s="1">
        <v>4.0</v>
      </c>
      <c r="BA329" s="1">
        <v>0.0</v>
      </c>
      <c r="BB329" s="1">
        <v>0.0</v>
      </c>
      <c r="BC329" s="1">
        <v>0.0</v>
      </c>
      <c r="BD329" s="1">
        <v>0.0</v>
      </c>
      <c r="BE329" s="1">
        <v>0.0</v>
      </c>
      <c r="BF329" s="1">
        <v>0.0</v>
      </c>
      <c r="BG329" s="1">
        <v>0.0</v>
      </c>
      <c r="BH329" s="1">
        <v>0.0</v>
      </c>
      <c r="BI329" s="1">
        <v>0.0</v>
      </c>
      <c r="BJ329" s="1">
        <v>0.0</v>
      </c>
      <c r="BP329" s="1">
        <v>0.28</v>
      </c>
      <c r="BQ329" s="1" t="s">
        <v>1903</v>
      </c>
      <c r="BV329" s="1">
        <v>1.1</v>
      </c>
      <c r="EQ329" s="9" t="s">
        <v>1902</v>
      </c>
      <c r="ER329" s="21">
        <v>46045.29822916666</v>
      </c>
    </row>
    <row r="330">
      <c r="A330" s="9" t="s">
        <v>1904</v>
      </c>
      <c r="B330" s="20" t="str">
        <f>IFERROR(__xludf.DUMMYFUNCTION("REGEXREPLACE(A330, ""^https?://[^/]+"", """")"),"/wp-content/uploads/2024/12/Wersel_Andy-225x225.jpg")</f>
        <v>/wp-content/uploads/2024/12/Wersel_Andy-225x225.jpg</v>
      </c>
      <c r="F330" s="1" t="s">
        <v>1004</v>
      </c>
      <c r="G330" s="1">
        <v>200.0</v>
      </c>
      <c r="H330" s="1" t="s">
        <v>966</v>
      </c>
      <c r="I330" s="1" t="s">
        <v>967</v>
      </c>
      <c r="L330" s="1">
        <v>0.0</v>
      </c>
      <c r="M330" s="1">
        <v>0.0</v>
      </c>
      <c r="O330" s="1">
        <v>0.0</v>
      </c>
      <c r="P330" s="1">
        <v>0.0</v>
      </c>
      <c r="R330" s="1">
        <v>0.0</v>
      </c>
      <c r="S330" s="1">
        <v>0.0</v>
      </c>
      <c r="U330" s="1">
        <v>0.0</v>
      </c>
      <c r="W330" s="1">
        <v>0.0</v>
      </c>
      <c r="Y330" s="1">
        <v>0.0</v>
      </c>
      <c r="AA330" s="1">
        <v>0.0</v>
      </c>
      <c r="AC330" s="1">
        <v>0.0</v>
      </c>
      <c r="AM330" s="1">
        <v>8985.0</v>
      </c>
      <c r="AN330" s="1">
        <v>8985.0</v>
      </c>
      <c r="AO330" s="1">
        <v>8985.0</v>
      </c>
      <c r="AP330" s="1">
        <v>3.442</v>
      </c>
      <c r="AR330" s="1">
        <v>0.0</v>
      </c>
      <c r="AW330" s="1">
        <v>0.0</v>
      </c>
      <c r="AX330" s="1">
        <v>2.0</v>
      </c>
      <c r="AY330" s="1">
        <v>4.0</v>
      </c>
      <c r="BA330" s="1">
        <v>0.0</v>
      </c>
      <c r="BB330" s="1">
        <v>0.0</v>
      </c>
      <c r="BC330" s="1">
        <v>0.0</v>
      </c>
      <c r="BD330" s="1">
        <v>0.0</v>
      </c>
      <c r="BE330" s="1">
        <v>0.0</v>
      </c>
      <c r="BF330" s="1">
        <v>0.0</v>
      </c>
      <c r="BG330" s="1">
        <v>0.0</v>
      </c>
      <c r="BH330" s="1">
        <v>0.0</v>
      </c>
      <c r="BI330" s="1">
        <v>0.0</v>
      </c>
      <c r="BJ330" s="1">
        <v>0.0</v>
      </c>
      <c r="BP330" s="1">
        <v>0.272</v>
      </c>
      <c r="BQ330" s="1" t="s">
        <v>1905</v>
      </c>
      <c r="BV330" s="1">
        <v>1.1</v>
      </c>
      <c r="EQ330" s="9" t="s">
        <v>1904</v>
      </c>
      <c r="ER330" s="21">
        <v>46045.29822916666</v>
      </c>
    </row>
    <row r="331">
      <c r="A331" s="9" t="s">
        <v>1906</v>
      </c>
      <c r="B331" s="20" t="str">
        <f>IFERROR(__xludf.DUMMYFUNCTION("REGEXREPLACE(A331, ""^https?://[^/]+"", """")"),"/wp-content/uploads/2022/04/Trotta-Vince-275x275-1-225x225.jpg")</f>
        <v>/wp-content/uploads/2022/04/Trotta-Vince-275x275-1-225x225.jpg</v>
      </c>
      <c r="F331" s="1" t="s">
        <v>1004</v>
      </c>
      <c r="G331" s="1">
        <v>200.0</v>
      </c>
      <c r="H331" s="1" t="s">
        <v>966</v>
      </c>
      <c r="I331" s="1" t="s">
        <v>967</v>
      </c>
      <c r="L331" s="1">
        <v>0.0</v>
      </c>
      <c r="M331" s="1">
        <v>0.0</v>
      </c>
      <c r="O331" s="1">
        <v>0.0</v>
      </c>
      <c r="P331" s="1">
        <v>0.0</v>
      </c>
      <c r="R331" s="1">
        <v>0.0</v>
      </c>
      <c r="S331" s="1">
        <v>0.0</v>
      </c>
      <c r="U331" s="1">
        <v>0.0</v>
      </c>
      <c r="W331" s="1">
        <v>0.0</v>
      </c>
      <c r="Y331" s="1">
        <v>0.0</v>
      </c>
      <c r="AA331" s="1">
        <v>0.0</v>
      </c>
      <c r="AC331" s="1">
        <v>0.0</v>
      </c>
      <c r="AM331" s="1">
        <v>9665.0</v>
      </c>
      <c r="AN331" s="1">
        <v>9665.0</v>
      </c>
      <c r="AO331" s="1">
        <v>9665.0</v>
      </c>
      <c r="AP331" s="1">
        <v>3.702</v>
      </c>
      <c r="AR331" s="1">
        <v>0.0</v>
      </c>
      <c r="AW331" s="1">
        <v>0.0</v>
      </c>
      <c r="AX331" s="1">
        <v>2.0</v>
      </c>
      <c r="AY331" s="1">
        <v>4.0</v>
      </c>
      <c r="BA331" s="1">
        <v>0.0</v>
      </c>
      <c r="BB331" s="1">
        <v>0.0</v>
      </c>
      <c r="BC331" s="1">
        <v>0.0</v>
      </c>
      <c r="BD331" s="1">
        <v>0.0</v>
      </c>
      <c r="BE331" s="1">
        <v>0.0</v>
      </c>
      <c r="BF331" s="1">
        <v>0.0</v>
      </c>
      <c r="BG331" s="1">
        <v>0.0</v>
      </c>
      <c r="BH331" s="1">
        <v>0.0</v>
      </c>
      <c r="BI331" s="1">
        <v>0.0</v>
      </c>
      <c r="BJ331" s="1">
        <v>0.0</v>
      </c>
      <c r="BP331" s="1">
        <v>0.272</v>
      </c>
      <c r="BQ331" s="1" t="s">
        <v>1907</v>
      </c>
      <c r="BV331" s="1">
        <v>1.1</v>
      </c>
      <c r="EQ331" s="9" t="s">
        <v>1906</v>
      </c>
      <c r="ER331" s="21">
        <v>46045.29822916666</v>
      </c>
    </row>
    <row r="332">
      <c r="A332" s="9" t="s">
        <v>1908</v>
      </c>
      <c r="B332" s="20" t="str">
        <f>IFERROR(__xludf.DUMMYFUNCTION("REGEXREPLACE(A332, ""^https?://[^/]+"", """")"),"/wp-content/uploads/2022/04/Larcade-Chris-275x275-1-225x225.jpg")</f>
        <v>/wp-content/uploads/2022/04/Larcade-Chris-275x275-1-225x225.jpg</v>
      </c>
      <c r="F332" s="1" t="s">
        <v>1004</v>
      </c>
      <c r="G332" s="1">
        <v>200.0</v>
      </c>
      <c r="H332" s="1" t="s">
        <v>966</v>
      </c>
      <c r="I332" s="1" t="s">
        <v>967</v>
      </c>
      <c r="L332" s="1">
        <v>0.0</v>
      </c>
      <c r="M332" s="1">
        <v>0.0</v>
      </c>
      <c r="O332" s="1">
        <v>0.0</v>
      </c>
      <c r="P332" s="1">
        <v>0.0</v>
      </c>
      <c r="R332" s="1">
        <v>0.0</v>
      </c>
      <c r="S332" s="1">
        <v>0.0</v>
      </c>
      <c r="U332" s="1">
        <v>0.0</v>
      </c>
      <c r="W332" s="1">
        <v>0.0</v>
      </c>
      <c r="Y332" s="1">
        <v>0.0</v>
      </c>
      <c r="AA332" s="1">
        <v>0.0</v>
      </c>
      <c r="AC332" s="1">
        <v>0.0</v>
      </c>
      <c r="AM332" s="1">
        <v>8749.0</v>
      </c>
      <c r="AN332" s="1">
        <v>8749.0</v>
      </c>
      <c r="AO332" s="1">
        <v>8749.0</v>
      </c>
      <c r="AP332" s="1">
        <v>3.352</v>
      </c>
      <c r="AR332" s="1">
        <v>0.0</v>
      </c>
      <c r="AW332" s="1">
        <v>0.0</v>
      </c>
      <c r="AX332" s="1">
        <v>2.0</v>
      </c>
      <c r="AY332" s="1">
        <v>4.0</v>
      </c>
      <c r="BA332" s="1">
        <v>0.0</v>
      </c>
      <c r="BB332" s="1">
        <v>0.0</v>
      </c>
      <c r="BC332" s="1">
        <v>0.0</v>
      </c>
      <c r="BD332" s="1">
        <v>0.0</v>
      </c>
      <c r="BE332" s="1">
        <v>0.0</v>
      </c>
      <c r="BF332" s="1">
        <v>0.0</v>
      </c>
      <c r="BG332" s="1">
        <v>0.0</v>
      </c>
      <c r="BH332" s="1">
        <v>0.0</v>
      </c>
      <c r="BI332" s="1">
        <v>0.0</v>
      </c>
      <c r="BJ332" s="1">
        <v>0.0</v>
      </c>
      <c r="BP332" s="1">
        <v>0.273</v>
      </c>
      <c r="BQ332" s="1" t="s">
        <v>1909</v>
      </c>
      <c r="BV332" s="1">
        <v>1.1</v>
      </c>
      <c r="EQ332" s="9" t="s">
        <v>1908</v>
      </c>
      <c r="ER332" s="21">
        <v>46045.29822916666</v>
      </c>
    </row>
    <row r="333">
      <c r="A333" s="9" t="s">
        <v>1910</v>
      </c>
      <c r="B333" s="20" t="str">
        <f>IFERROR(__xludf.DUMMYFUNCTION("REGEXREPLACE(A333, ""^https?://[^/]+"", """")"),"/wp-content/uploads/2024/09/Gallop_Jeff-225x225.jpg")</f>
        <v>/wp-content/uploads/2024/09/Gallop_Jeff-225x225.jpg</v>
      </c>
      <c r="F333" s="1" t="s">
        <v>1004</v>
      </c>
      <c r="G333" s="1">
        <v>200.0</v>
      </c>
      <c r="H333" s="1" t="s">
        <v>966</v>
      </c>
      <c r="I333" s="1" t="s">
        <v>967</v>
      </c>
      <c r="L333" s="1">
        <v>0.0</v>
      </c>
      <c r="M333" s="1">
        <v>0.0</v>
      </c>
      <c r="O333" s="1">
        <v>0.0</v>
      </c>
      <c r="P333" s="1">
        <v>0.0</v>
      </c>
      <c r="R333" s="1">
        <v>0.0</v>
      </c>
      <c r="S333" s="1">
        <v>0.0</v>
      </c>
      <c r="U333" s="1">
        <v>0.0</v>
      </c>
      <c r="W333" s="1">
        <v>0.0</v>
      </c>
      <c r="Y333" s="1">
        <v>0.0</v>
      </c>
      <c r="AA333" s="1">
        <v>0.0</v>
      </c>
      <c r="AC333" s="1">
        <v>0.0</v>
      </c>
      <c r="AM333" s="1">
        <v>9144.0</v>
      </c>
      <c r="AN333" s="1">
        <v>9144.0</v>
      </c>
      <c r="AO333" s="1">
        <v>9144.0</v>
      </c>
      <c r="AP333" s="1">
        <v>3.503</v>
      </c>
      <c r="AR333" s="1">
        <v>0.0</v>
      </c>
      <c r="AW333" s="1">
        <v>0.0</v>
      </c>
      <c r="AX333" s="1">
        <v>2.0</v>
      </c>
      <c r="AY333" s="1">
        <v>4.0</v>
      </c>
      <c r="BA333" s="1">
        <v>0.0</v>
      </c>
      <c r="BB333" s="1">
        <v>0.0</v>
      </c>
      <c r="BC333" s="1">
        <v>0.0</v>
      </c>
      <c r="BD333" s="1">
        <v>0.0</v>
      </c>
      <c r="BE333" s="1">
        <v>0.0</v>
      </c>
      <c r="BF333" s="1">
        <v>0.0</v>
      </c>
      <c r="BG333" s="1">
        <v>0.0</v>
      </c>
      <c r="BH333" s="1">
        <v>0.0</v>
      </c>
      <c r="BI333" s="1">
        <v>0.0</v>
      </c>
      <c r="BJ333" s="1">
        <v>0.0</v>
      </c>
      <c r="BP333" s="1">
        <v>0.277</v>
      </c>
      <c r="BQ333" s="1" t="s">
        <v>1911</v>
      </c>
      <c r="BV333" s="1">
        <v>1.1</v>
      </c>
      <c r="EQ333" s="9" t="s">
        <v>1910</v>
      </c>
      <c r="ER333" s="21">
        <v>46045.29822916666</v>
      </c>
    </row>
    <row r="334">
      <c r="A334" s="9" t="s">
        <v>1912</v>
      </c>
      <c r="B334" s="20" t="str">
        <f>IFERROR(__xludf.DUMMYFUNCTION("REGEXREPLACE(A334, ""^https?://[^/]+"", """")"),"/wp-content/uploads/2022/04/Maanum-Mike-275x275-1-225x225.jpg")</f>
        <v>/wp-content/uploads/2022/04/Maanum-Mike-275x275-1-225x225.jpg</v>
      </c>
      <c r="F334" s="1" t="s">
        <v>1004</v>
      </c>
      <c r="G334" s="1">
        <v>200.0</v>
      </c>
      <c r="H334" s="1" t="s">
        <v>966</v>
      </c>
      <c r="I334" s="1" t="s">
        <v>967</v>
      </c>
      <c r="L334" s="1">
        <v>0.0</v>
      </c>
      <c r="M334" s="1">
        <v>0.0</v>
      </c>
      <c r="O334" s="1">
        <v>0.0</v>
      </c>
      <c r="P334" s="1">
        <v>0.0</v>
      </c>
      <c r="R334" s="1">
        <v>0.0</v>
      </c>
      <c r="S334" s="1">
        <v>0.0</v>
      </c>
      <c r="U334" s="1">
        <v>0.0</v>
      </c>
      <c r="W334" s="1">
        <v>0.0</v>
      </c>
      <c r="Y334" s="1">
        <v>0.0</v>
      </c>
      <c r="AA334" s="1">
        <v>0.0</v>
      </c>
      <c r="AC334" s="1">
        <v>0.0</v>
      </c>
      <c r="AM334" s="1">
        <v>8752.0</v>
      </c>
      <c r="AN334" s="1">
        <v>8752.0</v>
      </c>
      <c r="AO334" s="1">
        <v>8752.0</v>
      </c>
      <c r="AP334" s="1">
        <v>3.353</v>
      </c>
      <c r="AR334" s="1">
        <v>0.0</v>
      </c>
      <c r="AW334" s="1">
        <v>0.0</v>
      </c>
      <c r="AX334" s="1">
        <v>2.0</v>
      </c>
      <c r="AY334" s="1">
        <v>4.0</v>
      </c>
      <c r="BA334" s="1">
        <v>0.0</v>
      </c>
      <c r="BB334" s="1">
        <v>0.0</v>
      </c>
      <c r="BC334" s="1">
        <v>0.0</v>
      </c>
      <c r="BD334" s="1">
        <v>0.0</v>
      </c>
      <c r="BE334" s="1">
        <v>0.0</v>
      </c>
      <c r="BF334" s="1">
        <v>0.0</v>
      </c>
      <c r="BG334" s="1">
        <v>0.0</v>
      </c>
      <c r="BH334" s="1">
        <v>0.0</v>
      </c>
      <c r="BI334" s="1">
        <v>0.0</v>
      </c>
      <c r="BJ334" s="1">
        <v>0.0</v>
      </c>
      <c r="BP334" s="1">
        <v>0.283</v>
      </c>
      <c r="BQ334" s="1" t="s">
        <v>1913</v>
      </c>
      <c r="BV334" s="1">
        <v>1.1</v>
      </c>
      <c r="EQ334" s="9" t="s">
        <v>1912</v>
      </c>
      <c r="ER334" s="21">
        <v>46045.29822916666</v>
      </c>
    </row>
    <row r="335">
      <c r="A335" s="9" t="s">
        <v>1914</v>
      </c>
      <c r="B335" s="20" t="str">
        <f>IFERROR(__xludf.DUMMYFUNCTION("REGEXREPLACE(A335, ""^https?://[^/]+"", """")"),"/wp-content/uploads/2025/01/Purto_Donnie-225x225.jpg")</f>
        <v>/wp-content/uploads/2025/01/Purto_Donnie-225x225.jpg</v>
      </c>
      <c r="F335" s="1" t="s">
        <v>1004</v>
      </c>
      <c r="G335" s="1">
        <v>200.0</v>
      </c>
      <c r="H335" s="1" t="s">
        <v>966</v>
      </c>
      <c r="I335" s="1" t="s">
        <v>967</v>
      </c>
      <c r="L335" s="1">
        <v>0.0</v>
      </c>
      <c r="M335" s="1">
        <v>0.0</v>
      </c>
      <c r="O335" s="1">
        <v>0.0</v>
      </c>
      <c r="P335" s="1">
        <v>0.0</v>
      </c>
      <c r="R335" s="1">
        <v>0.0</v>
      </c>
      <c r="S335" s="1">
        <v>0.0</v>
      </c>
      <c r="U335" s="1">
        <v>0.0</v>
      </c>
      <c r="W335" s="1">
        <v>0.0</v>
      </c>
      <c r="Y335" s="1">
        <v>0.0</v>
      </c>
      <c r="AA335" s="1">
        <v>0.0</v>
      </c>
      <c r="AC335" s="1">
        <v>0.0</v>
      </c>
      <c r="AM335" s="1">
        <v>9553.0</v>
      </c>
      <c r="AN335" s="1">
        <v>9553.0</v>
      </c>
      <c r="AO335" s="1">
        <v>9553.0</v>
      </c>
      <c r="AP335" s="1">
        <v>3.66</v>
      </c>
      <c r="AR335" s="1">
        <v>0.0</v>
      </c>
      <c r="AW335" s="1">
        <v>0.0</v>
      </c>
      <c r="AX335" s="1">
        <v>2.0</v>
      </c>
      <c r="AY335" s="1">
        <v>4.0</v>
      </c>
      <c r="BA335" s="1">
        <v>0.0</v>
      </c>
      <c r="BB335" s="1">
        <v>0.0</v>
      </c>
      <c r="BC335" s="1">
        <v>0.0</v>
      </c>
      <c r="BD335" s="1">
        <v>0.0</v>
      </c>
      <c r="BE335" s="1">
        <v>0.0</v>
      </c>
      <c r="BF335" s="1">
        <v>0.0</v>
      </c>
      <c r="BG335" s="1">
        <v>0.0</v>
      </c>
      <c r="BH335" s="1">
        <v>0.0</v>
      </c>
      <c r="BI335" s="1">
        <v>0.0</v>
      </c>
      <c r="BJ335" s="1">
        <v>0.0</v>
      </c>
      <c r="BP335" s="1">
        <v>0.273</v>
      </c>
      <c r="BQ335" s="1" t="s">
        <v>1915</v>
      </c>
      <c r="BV335" s="1">
        <v>1.1</v>
      </c>
      <c r="EQ335" s="9" t="s">
        <v>1914</v>
      </c>
      <c r="ER335" s="21">
        <v>46045.29822916666</v>
      </c>
    </row>
    <row r="336">
      <c r="A336" s="9" t="s">
        <v>1916</v>
      </c>
      <c r="B336" s="20" t="str">
        <f>IFERROR(__xludf.DUMMYFUNCTION("REGEXREPLACE(A336, ""^https?://[^/]+"", """")"),"/wp-content/uploads/2022/04/Harvill-Matt-275x275-1-225x225.jpg")</f>
        <v>/wp-content/uploads/2022/04/Harvill-Matt-275x275-1-225x225.jpg</v>
      </c>
      <c r="F336" s="1" t="s">
        <v>1004</v>
      </c>
      <c r="G336" s="1">
        <v>200.0</v>
      </c>
      <c r="H336" s="1" t="s">
        <v>966</v>
      </c>
      <c r="I336" s="1" t="s">
        <v>967</v>
      </c>
      <c r="L336" s="1">
        <v>0.0</v>
      </c>
      <c r="M336" s="1">
        <v>0.0</v>
      </c>
      <c r="O336" s="1">
        <v>0.0</v>
      </c>
      <c r="P336" s="1">
        <v>0.0</v>
      </c>
      <c r="R336" s="1">
        <v>0.0</v>
      </c>
      <c r="S336" s="1">
        <v>0.0</v>
      </c>
      <c r="U336" s="1">
        <v>0.0</v>
      </c>
      <c r="W336" s="1">
        <v>0.0</v>
      </c>
      <c r="Y336" s="1">
        <v>0.0</v>
      </c>
      <c r="AA336" s="1">
        <v>0.0</v>
      </c>
      <c r="AC336" s="1">
        <v>0.0</v>
      </c>
      <c r="AM336" s="1">
        <v>8740.0</v>
      </c>
      <c r="AN336" s="1">
        <v>8740.0</v>
      </c>
      <c r="AO336" s="1">
        <v>8740.0</v>
      </c>
      <c r="AP336" s="1">
        <v>3.348</v>
      </c>
      <c r="AR336" s="1">
        <v>0.0</v>
      </c>
      <c r="AW336" s="1">
        <v>0.0</v>
      </c>
      <c r="AX336" s="1">
        <v>2.0</v>
      </c>
      <c r="AY336" s="1">
        <v>4.0</v>
      </c>
      <c r="BA336" s="1">
        <v>0.0</v>
      </c>
      <c r="BB336" s="1">
        <v>0.0</v>
      </c>
      <c r="BC336" s="1">
        <v>0.0</v>
      </c>
      <c r="BD336" s="1">
        <v>0.0</v>
      </c>
      <c r="BE336" s="1">
        <v>0.0</v>
      </c>
      <c r="BF336" s="1">
        <v>0.0</v>
      </c>
      <c r="BG336" s="1">
        <v>0.0</v>
      </c>
      <c r="BH336" s="1">
        <v>0.0</v>
      </c>
      <c r="BI336" s="1">
        <v>0.0</v>
      </c>
      <c r="BJ336" s="1">
        <v>0.0</v>
      </c>
      <c r="BP336" s="1">
        <v>0.273</v>
      </c>
      <c r="BQ336" s="1" t="s">
        <v>1917</v>
      </c>
      <c r="BV336" s="1">
        <v>1.1</v>
      </c>
      <c r="EQ336" s="9" t="s">
        <v>1916</v>
      </c>
      <c r="ER336" s="21">
        <v>46045.29824074074</v>
      </c>
    </row>
    <row r="337">
      <c r="A337" s="9" t="s">
        <v>1918</v>
      </c>
      <c r="B337" s="20" t="str">
        <f>IFERROR(__xludf.DUMMYFUNCTION("REGEXREPLACE(A337, ""^https?://[^/]+"", """")"),"/wp-content/uploads/2025/06/Triggs_Evan-225x225.jpg")</f>
        <v>/wp-content/uploads/2025/06/Triggs_Evan-225x225.jpg</v>
      </c>
      <c r="F337" s="1" t="s">
        <v>1004</v>
      </c>
      <c r="G337" s="1">
        <v>200.0</v>
      </c>
      <c r="H337" s="1" t="s">
        <v>966</v>
      </c>
      <c r="I337" s="1" t="s">
        <v>967</v>
      </c>
      <c r="L337" s="1">
        <v>0.0</v>
      </c>
      <c r="M337" s="1">
        <v>0.0</v>
      </c>
      <c r="O337" s="1">
        <v>0.0</v>
      </c>
      <c r="P337" s="1">
        <v>0.0</v>
      </c>
      <c r="R337" s="1">
        <v>0.0</v>
      </c>
      <c r="S337" s="1">
        <v>0.0</v>
      </c>
      <c r="U337" s="1">
        <v>0.0</v>
      </c>
      <c r="W337" s="1">
        <v>0.0</v>
      </c>
      <c r="Y337" s="1">
        <v>0.0</v>
      </c>
      <c r="AA337" s="1">
        <v>0.0</v>
      </c>
      <c r="AC337" s="1">
        <v>0.0</v>
      </c>
      <c r="AM337" s="1">
        <v>9872.0</v>
      </c>
      <c r="AN337" s="1">
        <v>9872.0</v>
      </c>
      <c r="AO337" s="1">
        <v>9872.0</v>
      </c>
      <c r="AP337" s="1">
        <v>3.782</v>
      </c>
      <c r="AR337" s="1">
        <v>0.0</v>
      </c>
      <c r="AW337" s="1">
        <v>0.0</v>
      </c>
      <c r="AX337" s="1">
        <v>2.0</v>
      </c>
      <c r="AY337" s="1">
        <v>4.0</v>
      </c>
      <c r="BA337" s="1">
        <v>0.0</v>
      </c>
      <c r="BB337" s="1">
        <v>0.0</v>
      </c>
      <c r="BC337" s="1">
        <v>0.0</v>
      </c>
      <c r="BD337" s="1">
        <v>0.0</v>
      </c>
      <c r="BE337" s="1">
        <v>0.0</v>
      </c>
      <c r="BF337" s="1">
        <v>0.0</v>
      </c>
      <c r="BG337" s="1">
        <v>0.0</v>
      </c>
      <c r="BH337" s="1">
        <v>0.0</v>
      </c>
      <c r="BI337" s="1">
        <v>0.0</v>
      </c>
      <c r="BJ337" s="1">
        <v>0.0</v>
      </c>
      <c r="BP337" s="1">
        <v>0.276</v>
      </c>
      <c r="BQ337" s="1" t="s">
        <v>1919</v>
      </c>
      <c r="BV337" s="1">
        <v>1.1</v>
      </c>
      <c r="EQ337" s="9" t="s">
        <v>1918</v>
      </c>
      <c r="ER337" s="21">
        <v>46045.29824074074</v>
      </c>
    </row>
    <row r="338">
      <c r="A338" s="9" t="s">
        <v>1920</v>
      </c>
      <c r="B338" s="20" t="str">
        <f>IFERROR(__xludf.DUMMYFUNCTION("REGEXREPLACE(A338, ""^https?://[^/]+"", """")"),"/advisors/john-stephens/")</f>
        <v>/advisors/john-stephens/</v>
      </c>
      <c r="C338" s="1" t="s">
        <v>1921</v>
      </c>
      <c r="F338" s="1" t="s">
        <v>965</v>
      </c>
      <c r="G338" s="1">
        <v>200.0</v>
      </c>
      <c r="H338" s="1" t="s">
        <v>966</v>
      </c>
      <c r="I338" s="1" t="s">
        <v>967</v>
      </c>
      <c r="K338" s="1" t="s">
        <v>1922</v>
      </c>
      <c r="L338" s="1">
        <v>74.0</v>
      </c>
      <c r="M338" s="1">
        <v>660.0</v>
      </c>
      <c r="O338" s="1">
        <v>0.0</v>
      </c>
      <c r="P338" s="1">
        <v>0.0</v>
      </c>
      <c r="Q338" s="1" t="s">
        <v>1923</v>
      </c>
      <c r="R338" s="1">
        <v>165.0</v>
      </c>
      <c r="S338" s="1">
        <v>987.0</v>
      </c>
      <c r="U338" s="1">
        <v>0.0</v>
      </c>
      <c r="V338" s="1" t="s">
        <v>1921</v>
      </c>
      <c r="W338" s="1">
        <v>18.0</v>
      </c>
      <c r="Y338" s="1">
        <v>0.0</v>
      </c>
      <c r="AA338" s="1">
        <v>0.0</v>
      </c>
      <c r="AC338" s="1">
        <v>0.0</v>
      </c>
      <c r="AD338" s="1" t="s">
        <v>971</v>
      </c>
      <c r="AG338" s="9" t="s">
        <v>1920</v>
      </c>
      <c r="AM338" s="1">
        <v>149545.0</v>
      </c>
      <c r="AN338" s="1">
        <v>29307.0</v>
      </c>
      <c r="AO338" s="1">
        <v>29307.0</v>
      </c>
      <c r="AP338" s="1">
        <v>11.227</v>
      </c>
      <c r="AR338" s="1">
        <v>639.0</v>
      </c>
      <c r="AS338" s="1">
        <v>106.0</v>
      </c>
      <c r="AT338" s="1">
        <v>6.028</v>
      </c>
      <c r="AU338" s="1">
        <v>59.584</v>
      </c>
      <c r="AV338" s="1" t="s">
        <v>972</v>
      </c>
      <c r="AW338" s="1">
        <v>4.263</v>
      </c>
      <c r="AX338" s="1">
        <v>2.0</v>
      </c>
      <c r="AY338" s="1">
        <v>2.0</v>
      </c>
      <c r="AZ338" s="1">
        <v>1.0</v>
      </c>
      <c r="BA338" s="1">
        <v>4.0</v>
      </c>
      <c r="BB338" s="1">
        <v>3.0</v>
      </c>
      <c r="BC338" s="1">
        <v>0.0</v>
      </c>
      <c r="BD338" s="1">
        <v>0.4</v>
      </c>
      <c r="BE338" s="1">
        <v>123.0</v>
      </c>
      <c r="BF338" s="1">
        <v>43.0</v>
      </c>
      <c r="BG338" s="1">
        <v>0.0</v>
      </c>
      <c r="BH338" s="1">
        <v>16.0</v>
      </c>
      <c r="BI338" s="1">
        <v>8.0</v>
      </c>
      <c r="BJ338" s="1">
        <v>0.0</v>
      </c>
      <c r="BO338" s="1" t="s">
        <v>1924</v>
      </c>
      <c r="BP338" s="1">
        <v>0.927</v>
      </c>
      <c r="BU338" s="1" t="s">
        <v>974</v>
      </c>
      <c r="BV338" s="1">
        <v>1.1</v>
      </c>
      <c r="BW338" s="1">
        <v>56.0</v>
      </c>
      <c r="BX338" s="1">
        <v>3451.037</v>
      </c>
      <c r="BY338" s="1">
        <v>6464.679</v>
      </c>
      <c r="BZ338" s="1">
        <v>5851.065</v>
      </c>
      <c r="CA338" s="1">
        <v>17856.34</v>
      </c>
      <c r="CB338" s="1">
        <v>370.0</v>
      </c>
      <c r="CC338" s="1">
        <v>0.002</v>
      </c>
      <c r="CD338" s="1">
        <v>652683.0</v>
      </c>
      <c r="CE338" s="1">
        <v>750.0</v>
      </c>
      <c r="CF338" s="1">
        <v>167.0</v>
      </c>
      <c r="CG338" s="1">
        <v>2306955.0</v>
      </c>
      <c r="CH338" s="1">
        <v>30438.0</v>
      </c>
      <c r="CI338" s="1">
        <v>2.0</v>
      </c>
      <c r="CJ338" s="1">
        <v>126917.0</v>
      </c>
      <c r="CK338" s="1">
        <v>25.0</v>
      </c>
      <c r="CL338" s="1">
        <v>110455.0</v>
      </c>
      <c r="CM338" s="1">
        <v>38.0</v>
      </c>
      <c r="CN338" s="1">
        <v>1747886.0</v>
      </c>
      <c r="CO338" s="1">
        <v>68.0</v>
      </c>
      <c r="CP338" s="1">
        <v>266199.0</v>
      </c>
      <c r="CQ338" s="1">
        <v>6.0</v>
      </c>
      <c r="CR338" s="1">
        <v>0.0</v>
      </c>
      <c r="CS338" s="1">
        <v>0.0</v>
      </c>
      <c r="CT338" s="1">
        <v>25060.0</v>
      </c>
      <c r="CU338" s="1">
        <v>28.0</v>
      </c>
      <c r="CV338" s="1">
        <v>1524909.0</v>
      </c>
      <c r="CW338" s="1">
        <v>66.0</v>
      </c>
      <c r="DC338" s="1">
        <v>0.0</v>
      </c>
      <c r="DD338" s="1">
        <v>5075.0</v>
      </c>
      <c r="DE338" s="1">
        <v>0.0</v>
      </c>
      <c r="DF338" s="1">
        <v>3396.0</v>
      </c>
      <c r="DG338" s="1">
        <v>150.0</v>
      </c>
      <c r="DH338" s="1">
        <v>50614.0</v>
      </c>
      <c r="DI338" s="1">
        <v>600.0</v>
      </c>
      <c r="DJ338" s="1">
        <v>593598.0</v>
      </c>
      <c r="DK338" s="1">
        <v>1722.592</v>
      </c>
      <c r="DL338" s="1" t="s">
        <v>975</v>
      </c>
      <c r="DM338" s="1">
        <v>3031.591</v>
      </c>
      <c r="DN338" s="1" t="s">
        <v>975</v>
      </c>
      <c r="DO338" s="1">
        <v>2306607.0</v>
      </c>
      <c r="DP338" s="1">
        <v>1.0</v>
      </c>
      <c r="DQ338" s="1" t="s">
        <v>976</v>
      </c>
      <c r="DR338" s="1" t="s">
        <v>1151</v>
      </c>
      <c r="DS338" s="1" t="s">
        <v>978</v>
      </c>
      <c r="DT338" s="1" t="s">
        <v>979</v>
      </c>
      <c r="DU338" s="1" t="s">
        <v>980</v>
      </c>
      <c r="DV338" s="1">
        <v>12791.0</v>
      </c>
      <c r="DX338" s="1">
        <v>3812.0</v>
      </c>
      <c r="DY338" s="1">
        <v>624065.0</v>
      </c>
      <c r="DZ338" s="1" t="s">
        <v>981</v>
      </c>
      <c r="EA338" s="1">
        <v>771.0</v>
      </c>
      <c r="EB338" s="1">
        <v>31882.0</v>
      </c>
      <c r="EC338" s="1">
        <v>39.0</v>
      </c>
      <c r="ED338" s="1">
        <v>26492.0</v>
      </c>
      <c r="EF338" s="1">
        <v>235.0</v>
      </c>
      <c r="EG338" s="1" t="s">
        <v>982</v>
      </c>
      <c r="EH338" s="1">
        <v>100.0</v>
      </c>
      <c r="EK338" s="1">
        <v>100.0</v>
      </c>
      <c r="EQ338" s="9" t="s">
        <v>1920</v>
      </c>
      <c r="ER338" s="21">
        <v>46045.29822916666</v>
      </c>
    </row>
    <row r="339">
      <c r="A339" s="9" t="s">
        <v>1925</v>
      </c>
      <c r="B339" s="20" t="str">
        <f>IFERROR(__xludf.DUMMYFUNCTION("REGEXREPLACE(A339, ""^https?://[^/]+"", """")"),"/wp-content/uploads/2023/08/Twete_Todd-Updated-Headshot-225x225.jpg")</f>
        <v>/wp-content/uploads/2023/08/Twete_Todd-Updated-Headshot-225x225.jpg</v>
      </c>
      <c r="F339" s="1" t="s">
        <v>1004</v>
      </c>
      <c r="G339" s="1">
        <v>200.0</v>
      </c>
      <c r="H339" s="1" t="s">
        <v>966</v>
      </c>
      <c r="I339" s="1" t="s">
        <v>967</v>
      </c>
      <c r="L339" s="1">
        <v>0.0</v>
      </c>
      <c r="M339" s="1">
        <v>0.0</v>
      </c>
      <c r="O339" s="1">
        <v>0.0</v>
      </c>
      <c r="P339" s="1">
        <v>0.0</v>
      </c>
      <c r="R339" s="1">
        <v>0.0</v>
      </c>
      <c r="S339" s="1">
        <v>0.0</v>
      </c>
      <c r="U339" s="1">
        <v>0.0</v>
      </c>
      <c r="W339" s="1">
        <v>0.0</v>
      </c>
      <c r="Y339" s="1">
        <v>0.0</v>
      </c>
      <c r="AA339" s="1">
        <v>0.0</v>
      </c>
      <c r="AC339" s="1">
        <v>0.0</v>
      </c>
      <c r="AM339" s="1">
        <v>10842.0</v>
      </c>
      <c r="AN339" s="1">
        <v>10842.0</v>
      </c>
      <c r="AO339" s="1">
        <v>10842.0</v>
      </c>
      <c r="AP339" s="1">
        <v>4.153</v>
      </c>
      <c r="AR339" s="1">
        <v>0.0</v>
      </c>
      <c r="AW339" s="1">
        <v>0.0</v>
      </c>
      <c r="AX339" s="1">
        <v>2.0</v>
      </c>
      <c r="AY339" s="1">
        <v>4.0</v>
      </c>
      <c r="BA339" s="1">
        <v>0.0</v>
      </c>
      <c r="BB339" s="1">
        <v>0.0</v>
      </c>
      <c r="BC339" s="1">
        <v>0.0</v>
      </c>
      <c r="BD339" s="1">
        <v>0.0</v>
      </c>
      <c r="BE339" s="1">
        <v>0.0</v>
      </c>
      <c r="BF339" s="1">
        <v>0.0</v>
      </c>
      <c r="BG339" s="1">
        <v>0.0</v>
      </c>
      <c r="BH339" s="1">
        <v>0.0</v>
      </c>
      <c r="BI339" s="1">
        <v>0.0</v>
      </c>
      <c r="BJ339" s="1">
        <v>0.0</v>
      </c>
      <c r="BP339" s="1">
        <v>0.267</v>
      </c>
      <c r="BQ339" s="1" t="s">
        <v>1926</v>
      </c>
      <c r="BV339" s="1">
        <v>1.1</v>
      </c>
      <c r="EQ339" s="9" t="s">
        <v>1925</v>
      </c>
      <c r="ER339" s="21">
        <v>46045.29824074074</v>
      </c>
    </row>
    <row r="340">
      <c r="A340" s="9" t="s">
        <v>1927</v>
      </c>
      <c r="B340" s="20" t="str">
        <f>IFERROR(__xludf.DUMMYFUNCTION("REGEXREPLACE(A340, ""^https?://[^/]+"", """")"),"/wp-content/uploads/2024/10/Rohde_Kevin-225x225.jpg")</f>
        <v>/wp-content/uploads/2024/10/Rohde_Kevin-225x225.jpg</v>
      </c>
      <c r="F340" s="1" t="s">
        <v>1004</v>
      </c>
      <c r="G340" s="1">
        <v>200.0</v>
      </c>
      <c r="H340" s="1" t="s">
        <v>966</v>
      </c>
      <c r="I340" s="1" t="s">
        <v>967</v>
      </c>
      <c r="L340" s="1">
        <v>0.0</v>
      </c>
      <c r="M340" s="1">
        <v>0.0</v>
      </c>
      <c r="O340" s="1">
        <v>0.0</v>
      </c>
      <c r="P340" s="1">
        <v>0.0</v>
      </c>
      <c r="R340" s="1">
        <v>0.0</v>
      </c>
      <c r="S340" s="1">
        <v>0.0</v>
      </c>
      <c r="U340" s="1">
        <v>0.0</v>
      </c>
      <c r="W340" s="1">
        <v>0.0</v>
      </c>
      <c r="Y340" s="1">
        <v>0.0</v>
      </c>
      <c r="AA340" s="1">
        <v>0.0</v>
      </c>
      <c r="AC340" s="1">
        <v>0.0</v>
      </c>
      <c r="AM340" s="1">
        <v>8171.0</v>
      </c>
      <c r="AN340" s="1">
        <v>8171.0</v>
      </c>
      <c r="AO340" s="1">
        <v>8171.0</v>
      </c>
      <c r="AP340" s="1">
        <v>3.13</v>
      </c>
      <c r="AR340" s="1">
        <v>0.0</v>
      </c>
      <c r="AW340" s="1">
        <v>0.0</v>
      </c>
      <c r="AX340" s="1">
        <v>2.0</v>
      </c>
      <c r="AY340" s="1">
        <v>4.0</v>
      </c>
      <c r="BA340" s="1">
        <v>0.0</v>
      </c>
      <c r="BB340" s="1">
        <v>0.0</v>
      </c>
      <c r="BC340" s="1">
        <v>0.0</v>
      </c>
      <c r="BD340" s="1">
        <v>0.0</v>
      </c>
      <c r="BE340" s="1">
        <v>0.0</v>
      </c>
      <c r="BF340" s="1">
        <v>0.0</v>
      </c>
      <c r="BG340" s="1">
        <v>0.0</v>
      </c>
      <c r="BH340" s="1">
        <v>0.0</v>
      </c>
      <c r="BI340" s="1">
        <v>0.0</v>
      </c>
      <c r="BJ340" s="1">
        <v>0.0</v>
      </c>
      <c r="BP340" s="1">
        <v>0.282</v>
      </c>
      <c r="BQ340" s="1" t="s">
        <v>1928</v>
      </c>
      <c r="BV340" s="1">
        <v>1.1</v>
      </c>
      <c r="EQ340" s="9" t="s">
        <v>1927</v>
      </c>
      <c r="ER340" s="21">
        <v>46045.29825231482</v>
      </c>
    </row>
    <row r="341">
      <c r="A341" s="9" t="s">
        <v>1929</v>
      </c>
      <c r="B341" s="20" t="str">
        <f>IFERROR(__xludf.DUMMYFUNCTION("REGEXREPLACE(A341, ""^https?://[^/]+"", """")"),"/wp-content/uploads/2017/01/Jeff_Parris_9567_WEBSIZE-1-225x225.jpg")</f>
        <v>/wp-content/uploads/2017/01/Jeff_Parris_9567_WEBSIZE-1-225x225.jpg</v>
      </c>
      <c r="F341" s="1" t="s">
        <v>1004</v>
      </c>
      <c r="G341" s="1">
        <v>200.0</v>
      </c>
      <c r="H341" s="1" t="s">
        <v>966</v>
      </c>
      <c r="I341" s="1" t="s">
        <v>967</v>
      </c>
      <c r="L341" s="1">
        <v>0.0</v>
      </c>
      <c r="M341" s="1">
        <v>0.0</v>
      </c>
      <c r="O341" s="1">
        <v>0.0</v>
      </c>
      <c r="P341" s="1">
        <v>0.0</v>
      </c>
      <c r="R341" s="1">
        <v>0.0</v>
      </c>
      <c r="S341" s="1">
        <v>0.0</v>
      </c>
      <c r="U341" s="1">
        <v>0.0</v>
      </c>
      <c r="W341" s="1">
        <v>0.0</v>
      </c>
      <c r="Y341" s="1">
        <v>0.0</v>
      </c>
      <c r="AA341" s="1">
        <v>0.0</v>
      </c>
      <c r="AC341" s="1">
        <v>0.0</v>
      </c>
      <c r="AM341" s="1">
        <v>10417.0</v>
      </c>
      <c r="AN341" s="1">
        <v>10417.0</v>
      </c>
      <c r="AO341" s="1">
        <v>10417.0</v>
      </c>
      <c r="AP341" s="1">
        <v>3.991</v>
      </c>
      <c r="AR341" s="1">
        <v>0.0</v>
      </c>
      <c r="AW341" s="1">
        <v>0.0</v>
      </c>
      <c r="AX341" s="1">
        <v>2.0</v>
      </c>
      <c r="AY341" s="1">
        <v>4.0</v>
      </c>
      <c r="BA341" s="1">
        <v>0.0</v>
      </c>
      <c r="BB341" s="1">
        <v>0.0</v>
      </c>
      <c r="BC341" s="1">
        <v>0.0</v>
      </c>
      <c r="BD341" s="1">
        <v>0.0</v>
      </c>
      <c r="BE341" s="1">
        <v>0.0</v>
      </c>
      <c r="BF341" s="1">
        <v>0.0</v>
      </c>
      <c r="BG341" s="1">
        <v>0.0</v>
      </c>
      <c r="BH341" s="1">
        <v>0.0</v>
      </c>
      <c r="BI341" s="1">
        <v>0.0</v>
      </c>
      <c r="BJ341" s="1">
        <v>0.0</v>
      </c>
      <c r="BP341" s="1">
        <v>0.27</v>
      </c>
      <c r="BQ341" s="1" t="s">
        <v>1930</v>
      </c>
      <c r="BV341" s="1">
        <v>1.1</v>
      </c>
      <c r="EQ341" s="9" t="s">
        <v>1929</v>
      </c>
      <c r="ER341" s="21">
        <v>46045.29825231482</v>
      </c>
    </row>
    <row r="342">
      <c r="A342" s="9" t="s">
        <v>1931</v>
      </c>
      <c r="B342" s="20" t="str">
        <f>IFERROR(__xludf.DUMMYFUNCTION("REGEXREPLACE(A342, ""^https?://[^/]+"", """")"),"/wp-content/uploads/2023/10/David-Buonfiglio-225x225.jpg")</f>
        <v>/wp-content/uploads/2023/10/David-Buonfiglio-225x225.jpg</v>
      </c>
      <c r="F342" s="1" t="s">
        <v>1004</v>
      </c>
      <c r="G342" s="1">
        <v>200.0</v>
      </c>
      <c r="H342" s="1" t="s">
        <v>966</v>
      </c>
      <c r="I342" s="1" t="s">
        <v>967</v>
      </c>
      <c r="L342" s="1">
        <v>0.0</v>
      </c>
      <c r="M342" s="1">
        <v>0.0</v>
      </c>
      <c r="O342" s="1">
        <v>0.0</v>
      </c>
      <c r="P342" s="1">
        <v>0.0</v>
      </c>
      <c r="R342" s="1">
        <v>0.0</v>
      </c>
      <c r="S342" s="1">
        <v>0.0</v>
      </c>
      <c r="U342" s="1">
        <v>0.0</v>
      </c>
      <c r="W342" s="1">
        <v>0.0</v>
      </c>
      <c r="Y342" s="1">
        <v>0.0</v>
      </c>
      <c r="AA342" s="1">
        <v>0.0</v>
      </c>
      <c r="AC342" s="1">
        <v>0.0</v>
      </c>
      <c r="AM342" s="1">
        <v>10797.0</v>
      </c>
      <c r="AN342" s="1">
        <v>10797.0</v>
      </c>
      <c r="AO342" s="1">
        <v>10797.0</v>
      </c>
      <c r="AP342" s="1">
        <v>4.136</v>
      </c>
      <c r="AR342" s="1">
        <v>0.0</v>
      </c>
      <c r="AW342" s="1">
        <v>0.0</v>
      </c>
      <c r="AX342" s="1">
        <v>2.0</v>
      </c>
      <c r="AY342" s="1">
        <v>4.0</v>
      </c>
      <c r="BA342" s="1">
        <v>0.0</v>
      </c>
      <c r="BB342" s="1">
        <v>0.0</v>
      </c>
      <c r="BC342" s="1">
        <v>0.0</v>
      </c>
      <c r="BD342" s="1">
        <v>0.0</v>
      </c>
      <c r="BE342" s="1">
        <v>0.0</v>
      </c>
      <c r="BF342" s="1">
        <v>0.0</v>
      </c>
      <c r="BG342" s="1">
        <v>0.0</v>
      </c>
      <c r="BH342" s="1">
        <v>0.0</v>
      </c>
      <c r="BI342" s="1">
        <v>0.0</v>
      </c>
      <c r="BJ342" s="1">
        <v>0.0</v>
      </c>
      <c r="BP342" s="1">
        <v>0.275</v>
      </c>
      <c r="BQ342" s="1" t="s">
        <v>1932</v>
      </c>
      <c r="BV342" s="1">
        <v>1.1</v>
      </c>
      <c r="EQ342" s="9" t="s">
        <v>1931</v>
      </c>
      <c r="ER342" s="21">
        <v>46045.298263888886</v>
      </c>
    </row>
    <row r="343">
      <c r="A343" s="9" t="s">
        <v>1933</v>
      </c>
      <c r="B343" s="20" t="str">
        <f>IFERROR(__xludf.DUMMYFUNCTION("REGEXREPLACE(A343, ""^https?://[^/]+"", """")"),"/wp-content/uploads/2022/04/Yardemian-Raffi-275x275-1-225x225.jpg")</f>
        <v>/wp-content/uploads/2022/04/Yardemian-Raffi-275x275-1-225x225.jpg</v>
      </c>
      <c r="F343" s="1" t="s">
        <v>1004</v>
      </c>
      <c r="G343" s="1">
        <v>200.0</v>
      </c>
      <c r="H343" s="1" t="s">
        <v>966</v>
      </c>
      <c r="I343" s="1" t="s">
        <v>967</v>
      </c>
      <c r="L343" s="1">
        <v>0.0</v>
      </c>
      <c r="M343" s="1">
        <v>0.0</v>
      </c>
      <c r="O343" s="1">
        <v>0.0</v>
      </c>
      <c r="P343" s="1">
        <v>0.0</v>
      </c>
      <c r="R343" s="1">
        <v>0.0</v>
      </c>
      <c r="S343" s="1">
        <v>0.0</v>
      </c>
      <c r="U343" s="1">
        <v>0.0</v>
      </c>
      <c r="W343" s="1">
        <v>0.0</v>
      </c>
      <c r="Y343" s="1">
        <v>0.0</v>
      </c>
      <c r="AA343" s="1">
        <v>0.0</v>
      </c>
      <c r="AC343" s="1">
        <v>0.0</v>
      </c>
      <c r="AM343" s="1">
        <v>8797.0</v>
      </c>
      <c r="AN343" s="1">
        <v>8797.0</v>
      </c>
      <c r="AO343" s="1">
        <v>8797.0</v>
      </c>
      <c r="AP343" s="1">
        <v>3.37</v>
      </c>
      <c r="AR343" s="1">
        <v>0.0</v>
      </c>
      <c r="AW343" s="1">
        <v>0.0</v>
      </c>
      <c r="AX343" s="1">
        <v>2.0</v>
      </c>
      <c r="AY343" s="1">
        <v>4.0</v>
      </c>
      <c r="BA343" s="1">
        <v>0.0</v>
      </c>
      <c r="BB343" s="1">
        <v>0.0</v>
      </c>
      <c r="BC343" s="1">
        <v>0.0</v>
      </c>
      <c r="BD343" s="1">
        <v>0.0</v>
      </c>
      <c r="BE343" s="1">
        <v>0.0</v>
      </c>
      <c r="BF343" s="1">
        <v>0.0</v>
      </c>
      <c r="BG343" s="1">
        <v>0.0</v>
      </c>
      <c r="BH343" s="1">
        <v>0.0</v>
      </c>
      <c r="BI343" s="1">
        <v>0.0</v>
      </c>
      <c r="BJ343" s="1">
        <v>0.0</v>
      </c>
      <c r="BP343" s="1">
        <v>0.274</v>
      </c>
      <c r="BQ343" s="1" t="s">
        <v>1934</v>
      </c>
      <c r="BV343" s="1">
        <v>1.1</v>
      </c>
      <c r="EQ343" s="9" t="s">
        <v>1933</v>
      </c>
      <c r="ER343" s="21">
        <v>46045.298263888886</v>
      </c>
    </row>
    <row r="344">
      <c r="A344" s="9" t="s">
        <v>1935</v>
      </c>
      <c r="B344" s="20" t="str">
        <f>IFERROR(__xludf.DUMMYFUNCTION("REGEXREPLACE(A344, ""^https?://[^/]+"", """")"),"/wp-content/uploads/2024/07/Crompton_Mark-225x225.jpg")</f>
        <v>/wp-content/uploads/2024/07/Crompton_Mark-225x225.jpg</v>
      </c>
      <c r="F344" s="1" t="s">
        <v>1004</v>
      </c>
      <c r="G344" s="1">
        <v>200.0</v>
      </c>
      <c r="H344" s="1" t="s">
        <v>966</v>
      </c>
      <c r="I344" s="1" t="s">
        <v>967</v>
      </c>
      <c r="L344" s="1">
        <v>0.0</v>
      </c>
      <c r="M344" s="1">
        <v>0.0</v>
      </c>
      <c r="O344" s="1">
        <v>0.0</v>
      </c>
      <c r="P344" s="1">
        <v>0.0</v>
      </c>
      <c r="R344" s="1">
        <v>0.0</v>
      </c>
      <c r="S344" s="1">
        <v>0.0</v>
      </c>
      <c r="U344" s="1">
        <v>0.0</v>
      </c>
      <c r="W344" s="1">
        <v>0.0</v>
      </c>
      <c r="Y344" s="1">
        <v>0.0</v>
      </c>
      <c r="AA344" s="1">
        <v>0.0</v>
      </c>
      <c r="AC344" s="1">
        <v>0.0</v>
      </c>
      <c r="AM344" s="1">
        <v>7941.0</v>
      </c>
      <c r="AN344" s="1">
        <v>7941.0</v>
      </c>
      <c r="AO344" s="1">
        <v>7941.0</v>
      </c>
      <c r="AP344" s="1">
        <v>3.042</v>
      </c>
      <c r="AR344" s="1">
        <v>0.0</v>
      </c>
      <c r="AW344" s="1">
        <v>0.0</v>
      </c>
      <c r="AX344" s="1">
        <v>2.0</v>
      </c>
      <c r="AY344" s="1">
        <v>4.0</v>
      </c>
      <c r="BA344" s="1">
        <v>0.0</v>
      </c>
      <c r="BB344" s="1">
        <v>0.0</v>
      </c>
      <c r="BC344" s="1">
        <v>0.0</v>
      </c>
      <c r="BD344" s="1">
        <v>0.0</v>
      </c>
      <c r="BE344" s="1">
        <v>0.0</v>
      </c>
      <c r="BF344" s="1">
        <v>0.0</v>
      </c>
      <c r="BG344" s="1">
        <v>0.0</v>
      </c>
      <c r="BH344" s="1">
        <v>0.0</v>
      </c>
      <c r="BI344" s="1">
        <v>0.0</v>
      </c>
      <c r="BJ344" s="1">
        <v>0.0</v>
      </c>
      <c r="BP344" s="1">
        <v>0.28</v>
      </c>
      <c r="BQ344" s="1" t="s">
        <v>1936</v>
      </c>
      <c r="BV344" s="1">
        <v>1.1</v>
      </c>
      <c r="EQ344" s="9" t="s">
        <v>1935</v>
      </c>
      <c r="ER344" s="21">
        <v>46045.29827546296</v>
      </c>
    </row>
    <row r="345">
      <c r="A345" s="9" t="s">
        <v>1937</v>
      </c>
      <c r="B345" s="20" t="str">
        <f>IFERROR(__xludf.DUMMYFUNCTION("REGEXREPLACE(A345, ""^https?://[^/]+"", """")"),"/wp-content/uploads/2022/04/Campbell-Rhett-225x225.jpg")</f>
        <v>/wp-content/uploads/2022/04/Campbell-Rhett-225x225.jpg</v>
      </c>
      <c r="F345" s="1" t="s">
        <v>1004</v>
      </c>
      <c r="G345" s="1">
        <v>200.0</v>
      </c>
      <c r="H345" s="1" t="s">
        <v>966</v>
      </c>
      <c r="I345" s="1" t="s">
        <v>967</v>
      </c>
      <c r="L345" s="1">
        <v>0.0</v>
      </c>
      <c r="M345" s="1">
        <v>0.0</v>
      </c>
      <c r="O345" s="1">
        <v>0.0</v>
      </c>
      <c r="P345" s="1">
        <v>0.0</v>
      </c>
      <c r="R345" s="1">
        <v>0.0</v>
      </c>
      <c r="S345" s="1">
        <v>0.0</v>
      </c>
      <c r="U345" s="1">
        <v>0.0</v>
      </c>
      <c r="W345" s="1">
        <v>0.0</v>
      </c>
      <c r="Y345" s="1">
        <v>0.0</v>
      </c>
      <c r="AA345" s="1">
        <v>0.0</v>
      </c>
      <c r="AC345" s="1">
        <v>0.0</v>
      </c>
      <c r="AM345" s="1">
        <v>7440.0</v>
      </c>
      <c r="AN345" s="1">
        <v>7440.0</v>
      </c>
      <c r="AO345" s="1">
        <v>7440.0</v>
      </c>
      <c r="AP345" s="1">
        <v>2.85</v>
      </c>
      <c r="AR345" s="1">
        <v>0.0</v>
      </c>
      <c r="AW345" s="1">
        <v>0.0</v>
      </c>
      <c r="AX345" s="1">
        <v>2.0</v>
      </c>
      <c r="AY345" s="1">
        <v>4.0</v>
      </c>
      <c r="BA345" s="1">
        <v>0.0</v>
      </c>
      <c r="BB345" s="1">
        <v>0.0</v>
      </c>
      <c r="BC345" s="1">
        <v>0.0</v>
      </c>
      <c r="BD345" s="1">
        <v>0.0</v>
      </c>
      <c r="BE345" s="1">
        <v>0.0</v>
      </c>
      <c r="BF345" s="1">
        <v>0.0</v>
      </c>
      <c r="BG345" s="1">
        <v>0.0</v>
      </c>
      <c r="BH345" s="1">
        <v>0.0</v>
      </c>
      <c r="BI345" s="1">
        <v>0.0</v>
      </c>
      <c r="BJ345" s="1">
        <v>0.0</v>
      </c>
      <c r="BP345" s="1">
        <v>0.273</v>
      </c>
      <c r="BQ345" s="1" t="s">
        <v>1938</v>
      </c>
      <c r="BV345" s="1">
        <v>1.1</v>
      </c>
      <c r="EQ345" s="9" t="s">
        <v>1937</v>
      </c>
      <c r="ER345" s="21">
        <v>46045.29827546296</v>
      </c>
    </row>
    <row r="346">
      <c r="A346" s="9" t="s">
        <v>1939</v>
      </c>
      <c r="B346" s="20" t="str">
        <f>IFERROR(__xludf.DUMMYFUNCTION("REGEXREPLACE(A346, ""^https?://[^/]+"", """")"),"/wp-content/uploads/2022/03/Kostiuk_Greg-225x225.jpg")</f>
        <v>/wp-content/uploads/2022/03/Kostiuk_Greg-225x225.jpg</v>
      </c>
      <c r="F346" s="1" t="s">
        <v>1004</v>
      </c>
      <c r="G346" s="1">
        <v>200.0</v>
      </c>
      <c r="H346" s="1" t="s">
        <v>966</v>
      </c>
      <c r="I346" s="1" t="s">
        <v>967</v>
      </c>
      <c r="L346" s="1">
        <v>0.0</v>
      </c>
      <c r="M346" s="1">
        <v>0.0</v>
      </c>
      <c r="O346" s="1">
        <v>0.0</v>
      </c>
      <c r="P346" s="1">
        <v>0.0</v>
      </c>
      <c r="R346" s="1">
        <v>0.0</v>
      </c>
      <c r="S346" s="1">
        <v>0.0</v>
      </c>
      <c r="U346" s="1">
        <v>0.0</v>
      </c>
      <c r="W346" s="1">
        <v>0.0</v>
      </c>
      <c r="Y346" s="1">
        <v>0.0</v>
      </c>
      <c r="AA346" s="1">
        <v>0.0</v>
      </c>
      <c r="AC346" s="1">
        <v>0.0</v>
      </c>
      <c r="AM346" s="1">
        <v>8103.0</v>
      </c>
      <c r="AN346" s="1">
        <v>8103.0</v>
      </c>
      <c r="AO346" s="1">
        <v>8103.0</v>
      </c>
      <c r="AP346" s="1">
        <v>3.104</v>
      </c>
      <c r="AR346" s="1">
        <v>0.0</v>
      </c>
      <c r="AW346" s="1">
        <v>0.0</v>
      </c>
      <c r="AX346" s="1">
        <v>2.0</v>
      </c>
      <c r="AY346" s="1">
        <v>4.0</v>
      </c>
      <c r="BA346" s="1">
        <v>0.0</v>
      </c>
      <c r="BB346" s="1">
        <v>0.0</v>
      </c>
      <c r="BC346" s="1">
        <v>0.0</v>
      </c>
      <c r="BD346" s="1">
        <v>0.0</v>
      </c>
      <c r="BE346" s="1">
        <v>0.0</v>
      </c>
      <c r="BF346" s="1">
        <v>0.0</v>
      </c>
      <c r="BG346" s="1">
        <v>0.0</v>
      </c>
      <c r="BH346" s="1">
        <v>0.0</v>
      </c>
      <c r="BI346" s="1">
        <v>0.0</v>
      </c>
      <c r="BJ346" s="1">
        <v>0.0</v>
      </c>
      <c r="BP346" s="1">
        <v>0.265</v>
      </c>
      <c r="BQ346" s="1" t="s">
        <v>1940</v>
      </c>
      <c r="BV346" s="1">
        <v>1.1</v>
      </c>
      <c r="EQ346" s="9" t="s">
        <v>1939</v>
      </c>
      <c r="ER346" s="21">
        <v>46045.29827546296</v>
      </c>
    </row>
    <row r="347">
      <c r="A347" s="9" t="s">
        <v>1941</v>
      </c>
      <c r="B347" s="20" t="str">
        <f>IFERROR(__xludf.DUMMYFUNCTION("REGEXREPLACE(A347, ""^https?://[^/]+"", """")"),"/wp-content/uploads/2023/06/Meier_Michael-225x225.jpg")</f>
        <v>/wp-content/uploads/2023/06/Meier_Michael-225x225.jpg</v>
      </c>
      <c r="F347" s="1" t="s">
        <v>1004</v>
      </c>
      <c r="G347" s="1">
        <v>200.0</v>
      </c>
      <c r="H347" s="1" t="s">
        <v>966</v>
      </c>
      <c r="I347" s="1" t="s">
        <v>967</v>
      </c>
      <c r="L347" s="1">
        <v>0.0</v>
      </c>
      <c r="M347" s="1">
        <v>0.0</v>
      </c>
      <c r="O347" s="1">
        <v>0.0</v>
      </c>
      <c r="P347" s="1">
        <v>0.0</v>
      </c>
      <c r="R347" s="1">
        <v>0.0</v>
      </c>
      <c r="S347" s="1">
        <v>0.0</v>
      </c>
      <c r="U347" s="1">
        <v>0.0</v>
      </c>
      <c r="W347" s="1">
        <v>0.0</v>
      </c>
      <c r="Y347" s="1">
        <v>0.0</v>
      </c>
      <c r="AA347" s="1">
        <v>0.0</v>
      </c>
      <c r="AC347" s="1">
        <v>0.0</v>
      </c>
      <c r="AM347" s="1">
        <v>9418.0</v>
      </c>
      <c r="AN347" s="1">
        <v>9418.0</v>
      </c>
      <c r="AO347" s="1">
        <v>9418.0</v>
      </c>
      <c r="AP347" s="1">
        <v>3.608</v>
      </c>
      <c r="AR347" s="1">
        <v>0.0</v>
      </c>
      <c r="AW347" s="1">
        <v>0.0</v>
      </c>
      <c r="AX347" s="1">
        <v>2.0</v>
      </c>
      <c r="AY347" s="1">
        <v>4.0</v>
      </c>
      <c r="BA347" s="1">
        <v>0.0</v>
      </c>
      <c r="BB347" s="1">
        <v>0.0</v>
      </c>
      <c r="BC347" s="1">
        <v>0.0</v>
      </c>
      <c r="BD347" s="1">
        <v>0.0</v>
      </c>
      <c r="BE347" s="1">
        <v>0.0</v>
      </c>
      <c r="BF347" s="1">
        <v>0.0</v>
      </c>
      <c r="BG347" s="1">
        <v>0.0</v>
      </c>
      <c r="BH347" s="1">
        <v>0.0</v>
      </c>
      <c r="BI347" s="1">
        <v>0.0</v>
      </c>
      <c r="BJ347" s="1">
        <v>0.0</v>
      </c>
      <c r="BP347" s="1">
        <v>0.278</v>
      </c>
      <c r="BQ347" s="1" t="s">
        <v>1942</v>
      </c>
      <c r="BV347" s="1">
        <v>1.1</v>
      </c>
      <c r="EQ347" s="9" t="s">
        <v>1941</v>
      </c>
      <c r="ER347" s="21">
        <v>46045.29827546296</v>
      </c>
    </row>
    <row r="348">
      <c r="A348" s="9" t="s">
        <v>1943</v>
      </c>
      <c r="B348" s="20" t="str">
        <f>IFERROR(__xludf.DUMMYFUNCTION("REGEXREPLACE(A348, ""^https?://[^/]+"", """")"),"/wp-content/uploads/2022/09/KyleAncelin-225x225.jpeg")</f>
        <v>/wp-content/uploads/2022/09/KyleAncelin-225x225.jpeg</v>
      </c>
      <c r="F348" s="1" t="s">
        <v>1004</v>
      </c>
      <c r="G348" s="1">
        <v>200.0</v>
      </c>
      <c r="H348" s="1" t="s">
        <v>966</v>
      </c>
      <c r="I348" s="1" t="s">
        <v>967</v>
      </c>
      <c r="L348" s="1">
        <v>0.0</v>
      </c>
      <c r="M348" s="1">
        <v>0.0</v>
      </c>
      <c r="O348" s="1">
        <v>0.0</v>
      </c>
      <c r="P348" s="1">
        <v>0.0</v>
      </c>
      <c r="R348" s="1">
        <v>0.0</v>
      </c>
      <c r="S348" s="1">
        <v>0.0</v>
      </c>
      <c r="U348" s="1">
        <v>0.0</v>
      </c>
      <c r="W348" s="1">
        <v>0.0</v>
      </c>
      <c r="Y348" s="1">
        <v>0.0</v>
      </c>
      <c r="AA348" s="1">
        <v>0.0</v>
      </c>
      <c r="AC348" s="1">
        <v>0.0</v>
      </c>
      <c r="AM348" s="1">
        <v>8908.0</v>
      </c>
      <c r="AN348" s="1">
        <v>8908.0</v>
      </c>
      <c r="AO348" s="1">
        <v>8908.0</v>
      </c>
      <c r="AP348" s="1">
        <v>3.412</v>
      </c>
      <c r="AR348" s="1">
        <v>0.0</v>
      </c>
      <c r="AW348" s="1">
        <v>0.0</v>
      </c>
      <c r="AX348" s="1">
        <v>2.0</v>
      </c>
      <c r="AY348" s="1">
        <v>4.0</v>
      </c>
      <c r="BA348" s="1">
        <v>0.0</v>
      </c>
      <c r="BB348" s="1">
        <v>0.0</v>
      </c>
      <c r="BC348" s="1">
        <v>0.0</v>
      </c>
      <c r="BD348" s="1">
        <v>0.0</v>
      </c>
      <c r="BE348" s="1">
        <v>0.0</v>
      </c>
      <c r="BF348" s="1">
        <v>0.0</v>
      </c>
      <c r="BG348" s="1">
        <v>0.0</v>
      </c>
      <c r="BH348" s="1">
        <v>0.0</v>
      </c>
      <c r="BI348" s="1">
        <v>0.0</v>
      </c>
      <c r="BJ348" s="1">
        <v>0.0</v>
      </c>
      <c r="BP348" s="1">
        <v>0.281</v>
      </c>
      <c r="BQ348" s="1" t="s">
        <v>1944</v>
      </c>
      <c r="BV348" s="1">
        <v>1.1</v>
      </c>
      <c r="EQ348" s="9" t="s">
        <v>1943</v>
      </c>
      <c r="ER348" s="21">
        <v>46045.29827546296</v>
      </c>
    </row>
    <row r="349">
      <c r="A349" s="9" t="s">
        <v>1945</v>
      </c>
      <c r="B349" s="20" t="str">
        <f>IFERROR(__xludf.DUMMYFUNCTION("REGEXREPLACE(A349, ""^https?://[^/]+"", """")"),"/wp-content/uploads/2023/02/Wehrly_Paul-1-225x225.jpg")</f>
        <v>/wp-content/uploads/2023/02/Wehrly_Paul-1-225x225.jpg</v>
      </c>
      <c r="F349" s="1" t="s">
        <v>1004</v>
      </c>
      <c r="G349" s="1">
        <v>200.0</v>
      </c>
      <c r="H349" s="1" t="s">
        <v>966</v>
      </c>
      <c r="I349" s="1" t="s">
        <v>967</v>
      </c>
      <c r="L349" s="1">
        <v>0.0</v>
      </c>
      <c r="M349" s="1">
        <v>0.0</v>
      </c>
      <c r="O349" s="1">
        <v>0.0</v>
      </c>
      <c r="P349" s="1">
        <v>0.0</v>
      </c>
      <c r="R349" s="1">
        <v>0.0</v>
      </c>
      <c r="S349" s="1">
        <v>0.0</v>
      </c>
      <c r="U349" s="1">
        <v>0.0</v>
      </c>
      <c r="W349" s="1">
        <v>0.0</v>
      </c>
      <c r="Y349" s="1">
        <v>0.0</v>
      </c>
      <c r="AA349" s="1">
        <v>0.0</v>
      </c>
      <c r="AC349" s="1">
        <v>0.0</v>
      </c>
      <c r="AM349" s="1">
        <v>9845.0</v>
      </c>
      <c r="AN349" s="1">
        <v>9845.0</v>
      </c>
      <c r="AO349" s="1">
        <v>9845.0</v>
      </c>
      <c r="AP349" s="1">
        <v>3.771</v>
      </c>
      <c r="AR349" s="1">
        <v>0.0</v>
      </c>
      <c r="AW349" s="1">
        <v>0.0</v>
      </c>
      <c r="AX349" s="1">
        <v>2.0</v>
      </c>
      <c r="AY349" s="1">
        <v>4.0</v>
      </c>
      <c r="BA349" s="1">
        <v>0.0</v>
      </c>
      <c r="BB349" s="1">
        <v>0.0</v>
      </c>
      <c r="BC349" s="1">
        <v>0.0</v>
      </c>
      <c r="BD349" s="1">
        <v>0.0</v>
      </c>
      <c r="BE349" s="1">
        <v>0.0</v>
      </c>
      <c r="BF349" s="1">
        <v>0.0</v>
      </c>
      <c r="BG349" s="1">
        <v>0.0</v>
      </c>
      <c r="BH349" s="1">
        <v>0.0</v>
      </c>
      <c r="BI349" s="1">
        <v>0.0</v>
      </c>
      <c r="BJ349" s="1">
        <v>0.0</v>
      </c>
      <c r="BP349" s="1">
        <v>0.273</v>
      </c>
      <c r="BQ349" s="1" t="s">
        <v>1946</v>
      </c>
      <c r="BV349" s="1">
        <v>1.1</v>
      </c>
      <c r="EQ349" s="9" t="s">
        <v>1945</v>
      </c>
      <c r="ER349" s="21">
        <v>46045.29828703704</v>
      </c>
    </row>
    <row r="350">
      <c r="A350" s="9" t="s">
        <v>1947</v>
      </c>
      <c r="B350" s="20" t="str">
        <f>IFERROR(__xludf.DUMMYFUNCTION("REGEXREPLACE(A350, ""^https?://[^/]+"", """")"),"/wp-content/uploads/2017/01/Goade-Chris-1-225x225.jpg")</f>
        <v>/wp-content/uploads/2017/01/Goade-Chris-1-225x225.jpg</v>
      </c>
      <c r="F350" s="1" t="s">
        <v>1004</v>
      </c>
      <c r="G350" s="1">
        <v>200.0</v>
      </c>
      <c r="H350" s="1" t="s">
        <v>966</v>
      </c>
      <c r="I350" s="1" t="s">
        <v>967</v>
      </c>
      <c r="L350" s="1">
        <v>0.0</v>
      </c>
      <c r="M350" s="1">
        <v>0.0</v>
      </c>
      <c r="O350" s="1">
        <v>0.0</v>
      </c>
      <c r="P350" s="1">
        <v>0.0</v>
      </c>
      <c r="R350" s="1">
        <v>0.0</v>
      </c>
      <c r="S350" s="1">
        <v>0.0</v>
      </c>
      <c r="U350" s="1">
        <v>0.0</v>
      </c>
      <c r="W350" s="1">
        <v>0.0</v>
      </c>
      <c r="Y350" s="1">
        <v>0.0</v>
      </c>
      <c r="AA350" s="1">
        <v>0.0</v>
      </c>
      <c r="AC350" s="1">
        <v>0.0</v>
      </c>
      <c r="AM350" s="1">
        <v>8371.0</v>
      </c>
      <c r="AN350" s="1">
        <v>8371.0</v>
      </c>
      <c r="AO350" s="1">
        <v>8371.0</v>
      </c>
      <c r="AP350" s="1">
        <v>3.207</v>
      </c>
      <c r="AR350" s="1">
        <v>0.0</v>
      </c>
      <c r="AW350" s="1">
        <v>0.0</v>
      </c>
      <c r="AX350" s="1">
        <v>2.0</v>
      </c>
      <c r="AY350" s="1">
        <v>4.0</v>
      </c>
      <c r="BA350" s="1">
        <v>0.0</v>
      </c>
      <c r="BB350" s="1">
        <v>0.0</v>
      </c>
      <c r="BC350" s="1">
        <v>0.0</v>
      </c>
      <c r="BD350" s="1">
        <v>0.0</v>
      </c>
      <c r="BE350" s="1">
        <v>0.0</v>
      </c>
      <c r="BF350" s="1">
        <v>0.0</v>
      </c>
      <c r="BG350" s="1">
        <v>0.0</v>
      </c>
      <c r="BH350" s="1">
        <v>0.0</v>
      </c>
      <c r="BI350" s="1">
        <v>0.0</v>
      </c>
      <c r="BJ350" s="1">
        <v>0.0</v>
      </c>
      <c r="BP350" s="1">
        <v>0.262</v>
      </c>
      <c r="BQ350" s="1" t="s">
        <v>1948</v>
      </c>
      <c r="BV350" s="1">
        <v>1.1</v>
      </c>
      <c r="EQ350" s="9" t="s">
        <v>1947</v>
      </c>
      <c r="ER350" s="21">
        <v>46045.29828703704</v>
      </c>
    </row>
    <row r="351">
      <c r="A351" s="9" t="s">
        <v>1949</v>
      </c>
      <c r="B351" s="20" t="str">
        <f>IFERROR(__xludf.DUMMYFUNCTION("REGEXREPLACE(A351, ""^https?://[^/]+"", """")"),"/wp-content/uploads/2022/04/Cantrell-Susan-275x275-1-225x225.jpg")</f>
        <v>/wp-content/uploads/2022/04/Cantrell-Susan-275x275-1-225x225.jpg</v>
      </c>
      <c r="F351" s="1" t="s">
        <v>1004</v>
      </c>
      <c r="G351" s="1">
        <v>200.0</v>
      </c>
      <c r="H351" s="1" t="s">
        <v>966</v>
      </c>
      <c r="I351" s="1" t="s">
        <v>967</v>
      </c>
      <c r="L351" s="1">
        <v>0.0</v>
      </c>
      <c r="M351" s="1">
        <v>0.0</v>
      </c>
      <c r="O351" s="1">
        <v>0.0</v>
      </c>
      <c r="P351" s="1">
        <v>0.0</v>
      </c>
      <c r="R351" s="1">
        <v>0.0</v>
      </c>
      <c r="S351" s="1">
        <v>0.0</v>
      </c>
      <c r="U351" s="1">
        <v>0.0</v>
      </c>
      <c r="W351" s="1">
        <v>0.0</v>
      </c>
      <c r="Y351" s="1">
        <v>0.0</v>
      </c>
      <c r="AA351" s="1">
        <v>0.0</v>
      </c>
      <c r="AC351" s="1">
        <v>0.0</v>
      </c>
      <c r="AM351" s="1">
        <v>8152.0</v>
      </c>
      <c r="AN351" s="1">
        <v>8152.0</v>
      </c>
      <c r="AO351" s="1">
        <v>8152.0</v>
      </c>
      <c r="AP351" s="1">
        <v>3.123</v>
      </c>
      <c r="AR351" s="1">
        <v>0.0</v>
      </c>
      <c r="AW351" s="1">
        <v>0.0</v>
      </c>
      <c r="AX351" s="1">
        <v>2.0</v>
      </c>
      <c r="AY351" s="1">
        <v>4.0</v>
      </c>
      <c r="BA351" s="1">
        <v>0.0</v>
      </c>
      <c r="BB351" s="1">
        <v>0.0</v>
      </c>
      <c r="BC351" s="1">
        <v>0.0</v>
      </c>
      <c r="BD351" s="1">
        <v>0.0</v>
      </c>
      <c r="BE351" s="1">
        <v>0.0</v>
      </c>
      <c r="BF351" s="1">
        <v>0.0</v>
      </c>
      <c r="BG351" s="1">
        <v>0.0</v>
      </c>
      <c r="BH351" s="1">
        <v>0.0</v>
      </c>
      <c r="BI351" s="1">
        <v>0.0</v>
      </c>
      <c r="BJ351" s="1">
        <v>0.0</v>
      </c>
      <c r="BP351" s="1">
        <v>0.273</v>
      </c>
      <c r="BQ351" s="1" t="s">
        <v>1950</v>
      </c>
      <c r="BV351" s="1">
        <v>1.1</v>
      </c>
      <c r="EQ351" s="9" t="s">
        <v>1949</v>
      </c>
      <c r="ER351" s="21">
        <v>46045.29828703704</v>
      </c>
    </row>
    <row r="352">
      <c r="A352" s="9" t="s">
        <v>1951</v>
      </c>
      <c r="B352" s="20" t="str">
        <f>IFERROR(__xludf.DUMMYFUNCTION("REGEXREPLACE(A352, ""^https?://[^/]+"", """")"),"/wp-content/uploads/2022/04/Morgan-Tom-225x225.jpg")</f>
        <v>/wp-content/uploads/2022/04/Morgan-Tom-225x225.jpg</v>
      </c>
      <c r="F352" s="1" t="s">
        <v>1004</v>
      </c>
      <c r="G352" s="1">
        <v>200.0</v>
      </c>
      <c r="H352" s="1" t="s">
        <v>966</v>
      </c>
      <c r="I352" s="1" t="s">
        <v>967</v>
      </c>
      <c r="L352" s="1">
        <v>0.0</v>
      </c>
      <c r="M352" s="1">
        <v>0.0</v>
      </c>
      <c r="O352" s="1">
        <v>0.0</v>
      </c>
      <c r="P352" s="1">
        <v>0.0</v>
      </c>
      <c r="R352" s="1">
        <v>0.0</v>
      </c>
      <c r="S352" s="1">
        <v>0.0</v>
      </c>
      <c r="U352" s="1">
        <v>0.0</v>
      </c>
      <c r="W352" s="1">
        <v>0.0</v>
      </c>
      <c r="Y352" s="1">
        <v>0.0</v>
      </c>
      <c r="AA352" s="1">
        <v>0.0</v>
      </c>
      <c r="AC352" s="1">
        <v>0.0</v>
      </c>
      <c r="AM352" s="1">
        <v>8097.0</v>
      </c>
      <c r="AN352" s="1">
        <v>8097.0</v>
      </c>
      <c r="AO352" s="1">
        <v>8097.0</v>
      </c>
      <c r="AP352" s="1">
        <v>3.102</v>
      </c>
      <c r="AR352" s="1">
        <v>0.0</v>
      </c>
      <c r="AW352" s="1">
        <v>0.0</v>
      </c>
      <c r="AX352" s="1">
        <v>2.0</v>
      </c>
      <c r="AY352" s="1">
        <v>4.0</v>
      </c>
      <c r="BA352" s="1">
        <v>0.0</v>
      </c>
      <c r="BB352" s="1">
        <v>0.0</v>
      </c>
      <c r="BC352" s="1">
        <v>0.0</v>
      </c>
      <c r="BD352" s="1">
        <v>0.0</v>
      </c>
      <c r="BE352" s="1">
        <v>0.0</v>
      </c>
      <c r="BF352" s="1">
        <v>0.0</v>
      </c>
      <c r="BG352" s="1">
        <v>0.0</v>
      </c>
      <c r="BH352" s="1">
        <v>0.0</v>
      </c>
      <c r="BI352" s="1">
        <v>0.0</v>
      </c>
      <c r="BJ352" s="1">
        <v>0.0</v>
      </c>
      <c r="BP352" s="1">
        <v>0.281</v>
      </c>
      <c r="BQ352" s="1" t="s">
        <v>1952</v>
      </c>
      <c r="BV352" s="1">
        <v>1.1</v>
      </c>
      <c r="EQ352" s="9" t="s">
        <v>1951</v>
      </c>
      <c r="ER352" s="21">
        <v>46045.29828703704</v>
      </c>
    </row>
    <row r="353">
      <c r="A353" s="9" t="s">
        <v>1953</v>
      </c>
      <c r="B353" s="20" t="str">
        <f>IFERROR(__xludf.DUMMYFUNCTION("REGEXREPLACE(A353, ""^https?://[^/]+"", """")"),"/wp-content/uploads/2023/12/Theobald_Tom-225x225.jpg")</f>
        <v>/wp-content/uploads/2023/12/Theobald_Tom-225x225.jpg</v>
      </c>
      <c r="F353" s="1" t="s">
        <v>1004</v>
      </c>
      <c r="G353" s="1">
        <v>200.0</v>
      </c>
      <c r="H353" s="1" t="s">
        <v>966</v>
      </c>
      <c r="I353" s="1" t="s">
        <v>967</v>
      </c>
      <c r="L353" s="1">
        <v>0.0</v>
      </c>
      <c r="M353" s="1">
        <v>0.0</v>
      </c>
      <c r="O353" s="1">
        <v>0.0</v>
      </c>
      <c r="P353" s="1">
        <v>0.0</v>
      </c>
      <c r="R353" s="1">
        <v>0.0</v>
      </c>
      <c r="S353" s="1">
        <v>0.0</v>
      </c>
      <c r="U353" s="1">
        <v>0.0</v>
      </c>
      <c r="W353" s="1">
        <v>0.0</v>
      </c>
      <c r="Y353" s="1">
        <v>0.0</v>
      </c>
      <c r="AA353" s="1">
        <v>0.0</v>
      </c>
      <c r="AC353" s="1">
        <v>0.0</v>
      </c>
      <c r="AM353" s="1">
        <v>10109.0</v>
      </c>
      <c r="AN353" s="1">
        <v>10109.0</v>
      </c>
      <c r="AO353" s="1">
        <v>10109.0</v>
      </c>
      <c r="AP353" s="1">
        <v>3.873</v>
      </c>
      <c r="AR353" s="1">
        <v>0.0</v>
      </c>
      <c r="AW353" s="1">
        <v>0.0</v>
      </c>
      <c r="AX353" s="1">
        <v>2.0</v>
      </c>
      <c r="AY353" s="1">
        <v>4.0</v>
      </c>
      <c r="BA353" s="1">
        <v>0.0</v>
      </c>
      <c r="BB353" s="1">
        <v>0.0</v>
      </c>
      <c r="BC353" s="1">
        <v>0.0</v>
      </c>
      <c r="BD353" s="1">
        <v>0.0</v>
      </c>
      <c r="BE353" s="1">
        <v>0.0</v>
      </c>
      <c r="BF353" s="1">
        <v>0.0</v>
      </c>
      <c r="BG353" s="1">
        <v>0.0</v>
      </c>
      <c r="BH353" s="1">
        <v>0.0</v>
      </c>
      <c r="BI353" s="1">
        <v>0.0</v>
      </c>
      <c r="BJ353" s="1">
        <v>0.0</v>
      </c>
      <c r="BP353" s="1">
        <v>0.276</v>
      </c>
      <c r="BQ353" s="1" t="s">
        <v>1954</v>
      </c>
      <c r="BV353" s="1">
        <v>1.1</v>
      </c>
      <c r="EQ353" s="9" t="s">
        <v>1953</v>
      </c>
      <c r="ER353" s="21">
        <v>46045.29828703704</v>
      </c>
    </row>
    <row r="354">
      <c r="A354" s="9" t="s">
        <v>1955</v>
      </c>
      <c r="B354" s="20" t="str">
        <f>IFERROR(__xludf.DUMMYFUNCTION("REGEXREPLACE(A354, ""^https?://[^/]+"", """")"),"/wp-content/uploads/2025/08/Vorkapic_Nicole-225x225.jpg")</f>
        <v>/wp-content/uploads/2025/08/Vorkapic_Nicole-225x225.jpg</v>
      </c>
      <c r="F354" s="1" t="s">
        <v>1004</v>
      </c>
      <c r="G354" s="1">
        <v>200.0</v>
      </c>
      <c r="H354" s="1" t="s">
        <v>966</v>
      </c>
      <c r="I354" s="1" t="s">
        <v>967</v>
      </c>
      <c r="L354" s="1">
        <v>0.0</v>
      </c>
      <c r="M354" s="1">
        <v>0.0</v>
      </c>
      <c r="O354" s="1">
        <v>0.0</v>
      </c>
      <c r="P354" s="1">
        <v>0.0</v>
      </c>
      <c r="R354" s="1">
        <v>0.0</v>
      </c>
      <c r="S354" s="1">
        <v>0.0</v>
      </c>
      <c r="U354" s="1">
        <v>0.0</v>
      </c>
      <c r="W354" s="1">
        <v>0.0</v>
      </c>
      <c r="Y354" s="1">
        <v>0.0</v>
      </c>
      <c r="AA354" s="1">
        <v>0.0</v>
      </c>
      <c r="AC354" s="1">
        <v>0.0</v>
      </c>
      <c r="AM354" s="1">
        <v>9798.0</v>
      </c>
      <c r="AN354" s="1">
        <v>9798.0</v>
      </c>
      <c r="AO354" s="1">
        <v>9798.0</v>
      </c>
      <c r="AP354" s="1">
        <v>3.753</v>
      </c>
      <c r="AR354" s="1">
        <v>0.0</v>
      </c>
      <c r="AW354" s="1">
        <v>0.0</v>
      </c>
      <c r="AX354" s="1">
        <v>2.0</v>
      </c>
      <c r="AY354" s="1">
        <v>4.0</v>
      </c>
      <c r="BA354" s="1">
        <v>0.0</v>
      </c>
      <c r="BB354" s="1">
        <v>0.0</v>
      </c>
      <c r="BC354" s="1">
        <v>0.0</v>
      </c>
      <c r="BD354" s="1">
        <v>0.0</v>
      </c>
      <c r="BE354" s="1">
        <v>0.0</v>
      </c>
      <c r="BF354" s="1">
        <v>0.0</v>
      </c>
      <c r="BG354" s="1">
        <v>0.0</v>
      </c>
      <c r="BH354" s="1">
        <v>0.0</v>
      </c>
      <c r="BI354" s="1">
        <v>0.0</v>
      </c>
      <c r="BJ354" s="1">
        <v>0.0</v>
      </c>
      <c r="BP354" s="1">
        <v>0.271</v>
      </c>
      <c r="BQ354" s="1" t="s">
        <v>1956</v>
      </c>
      <c r="BV354" s="1">
        <v>1.1</v>
      </c>
      <c r="EQ354" s="9" t="s">
        <v>1955</v>
      </c>
      <c r="ER354" s="21">
        <v>46045.29828703704</v>
      </c>
    </row>
    <row r="355">
      <c r="A355" s="9" t="s">
        <v>1957</v>
      </c>
      <c r="B355" s="20" t="str">
        <f>IFERROR(__xludf.DUMMYFUNCTION("REGEXREPLACE(A355, ""^https?://[^/]+"", """")"),"/wp-content/uploads/2025/03/Stokes_Patrick-225x225.jpg")</f>
        <v>/wp-content/uploads/2025/03/Stokes_Patrick-225x225.jpg</v>
      </c>
      <c r="F355" s="1" t="s">
        <v>1004</v>
      </c>
      <c r="G355" s="1">
        <v>200.0</v>
      </c>
      <c r="H355" s="1" t="s">
        <v>966</v>
      </c>
      <c r="I355" s="1" t="s">
        <v>967</v>
      </c>
      <c r="L355" s="1">
        <v>0.0</v>
      </c>
      <c r="M355" s="1">
        <v>0.0</v>
      </c>
      <c r="O355" s="1">
        <v>0.0</v>
      </c>
      <c r="P355" s="1">
        <v>0.0</v>
      </c>
      <c r="R355" s="1">
        <v>0.0</v>
      </c>
      <c r="S355" s="1">
        <v>0.0</v>
      </c>
      <c r="U355" s="1">
        <v>0.0</v>
      </c>
      <c r="W355" s="1">
        <v>0.0</v>
      </c>
      <c r="Y355" s="1">
        <v>0.0</v>
      </c>
      <c r="AA355" s="1">
        <v>0.0</v>
      </c>
      <c r="AC355" s="1">
        <v>0.0</v>
      </c>
      <c r="AM355" s="1">
        <v>7612.0</v>
      </c>
      <c r="AN355" s="1">
        <v>7612.0</v>
      </c>
      <c r="AO355" s="1">
        <v>7612.0</v>
      </c>
      <c r="AP355" s="1">
        <v>2.916</v>
      </c>
      <c r="AR355" s="1">
        <v>0.0</v>
      </c>
      <c r="AW355" s="1">
        <v>0.0</v>
      </c>
      <c r="AX355" s="1">
        <v>2.0</v>
      </c>
      <c r="AY355" s="1">
        <v>4.0</v>
      </c>
      <c r="BA355" s="1">
        <v>0.0</v>
      </c>
      <c r="BB355" s="1">
        <v>0.0</v>
      </c>
      <c r="BC355" s="1">
        <v>0.0</v>
      </c>
      <c r="BD355" s="1">
        <v>0.0</v>
      </c>
      <c r="BE355" s="1">
        <v>0.0</v>
      </c>
      <c r="BF355" s="1">
        <v>0.0</v>
      </c>
      <c r="BG355" s="1">
        <v>0.0</v>
      </c>
      <c r="BH355" s="1">
        <v>0.0</v>
      </c>
      <c r="BI355" s="1">
        <v>0.0</v>
      </c>
      <c r="BJ355" s="1">
        <v>0.0</v>
      </c>
      <c r="BP355" s="1">
        <v>0.272</v>
      </c>
      <c r="BQ355" s="1" t="s">
        <v>1958</v>
      </c>
      <c r="BV355" s="1">
        <v>1.1</v>
      </c>
      <c r="EQ355" s="9" t="s">
        <v>1957</v>
      </c>
      <c r="ER355" s="21">
        <v>46045.29829861111</v>
      </c>
    </row>
    <row r="356">
      <c r="A356" s="9" t="s">
        <v>1959</v>
      </c>
      <c r="B356" s="20" t="str">
        <f>IFERROR(__xludf.DUMMYFUNCTION("REGEXREPLACE(A356, ""^https?://[^/]+"", """")"),"/wp-content/uploads/2022/04/Dwyer-Terry-225x225.jpg")</f>
        <v>/wp-content/uploads/2022/04/Dwyer-Terry-225x225.jpg</v>
      </c>
      <c r="F356" s="1" t="s">
        <v>1004</v>
      </c>
      <c r="G356" s="1">
        <v>200.0</v>
      </c>
      <c r="H356" s="1" t="s">
        <v>966</v>
      </c>
      <c r="I356" s="1" t="s">
        <v>967</v>
      </c>
      <c r="L356" s="1">
        <v>0.0</v>
      </c>
      <c r="M356" s="1">
        <v>0.0</v>
      </c>
      <c r="O356" s="1">
        <v>0.0</v>
      </c>
      <c r="P356" s="1">
        <v>0.0</v>
      </c>
      <c r="R356" s="1">
        <v>0.0</v>
      </c>
      <c r="S356" s="1">
        <v>0.0</v>
      </c>
      <c r="U356" s="1">
        <v>0.0</v>
      </c>
      <c r="W356" s="1">
        <v>0.0</v>
      </c>
      <c r="Y356" s="1">
        <v>0.0</v>
      </c>
      <c r="AA356" s="1">
        <v>0.0</v>
      </c>
      <c r="AC356" s="1">
        <v>0.0</v>
      </c>
      <c r="AM356" s="1">
        <v>8550.0</v>
      </c>
      <c r="AN356" s="1">
        <v>8550.0</v>
      </c>
      <c r="AO356" s="1">
        <v>8550.0</v>
      </c>
      <c r="AP356" s="1">
        <v>3.275</v>
      </c>
      <c r="AR356" s="1">
        <v>0.0</v>
      </c>
      <c r="AW356" s="1">
        <v>0.0</v>
      </c>
      <c r="AX356" s="1">
        <v>2.0</v>
      </c>
      <c r="AY356" s="1">
        <v>4.0</v>
      </c>
      <c r="BA356" s="1">
        <v>0.0</v>
      </c>
      <c r="BB356" s="1">
        <v>0.0</v>
      </c>
      <c r="BC356" s="1">
        <v>0.0</v>
      </c>
      <c r="BD356" s="1">
        <v>0.0</v>
      </c>
      <c r="BE356" s="1">
        <v>0.0</v>
      </c>
      <c r="BF356" s="1">
        <v>0.0</v>
      </c>
      <c r="BG356" s="1">
        <v>0.0</v>
      </c>
      <c r="BH356" s="1">
        <v>0.0</v>
      </c>
      <c r="BI356" s="1">
        <v>0.0</v>
      </c>
      <c r="BJ356" s="1">
        <v>0.0</v>
      </c>
      <c r="BP356" s="1">
        <v>0.331</v>
      </c>
      <c r="BQ356" s="1" t="s">
        <v>1960</v>
      </c>
      <c r="BV356" s="1">
        <v>1.1</v>
      </c>
      <c r="EQ356" s="9" t="s">
        <v>1959</v>
      </c>
      <c r="ER356" s="21">
        <v>46045.29829861111</v>
      </c>
    </row>
    <row r="357">
      <c r="A357" s="9" t="s">
        <v>1961</v>
      </c>
      <c r="B357" s="20" t="str">
        <f>IFERROR(__xludf.DUMMYFUNCTION("REGEXREPLACE(A357, ""^https?://[^/]+"", """")"),"/wp-content/uploads/2022/04/Boyle-Dennis-225x225.jpg")</f>
        <v>/wp-content/uploads/2022/04/Boyle-Dennis-225x225.jpg</v>
      </c>
      <c r="F357" s="1" t="s">
        <v>1004</v>
      </c>
      <c r="G357" s="1">
        <v>200.0</v>
      </c>
      <c r="H357" s="1" t="s">
        <v>966</v>
      </c>
      <c r="I357" s="1" t="s">
        <v>967</v>
      </c>
      <c r="L357" s="1">
        <v>0.0</v>
      </c>
      <c r="M357" s="1">
        <v>0.0</v>
      </c>
      <c r="O357" s="1">
        <v>0.0</v>
      </c>
      <c r="P357" s="1">
        <v>0.0</v>
      </c>
      <c r="R357" s="1">
        <v>0.0</v>
      </c>
      <c r="S357" s="1">
        <v>0.0</v>
      </c>
      <c r="U357" s="1">
        <v>0.0</v>
      </c>
      <c r="W357" s="1">
        <v>0.0</v>
      </c>
      <c r="Y357" s="1">
        <v>0.0</v>
      </c>
      <c r="AA357" s="1">
        <v>0.0</v>
      </c>
      <c r="AC357" s="1">
        <v>0.0</v>
      </c>
      <c r="AM357" s="1">
        <v>6960.0</v>
      </c>
      <c r="AN357" s="1">
        <v>6960.0</v>
      </c>
      <c r="AO357" s="1">
        <v>6960.0</v>
      </c>
      <c r="AP357" s="1">
        <v>2.666</v>
      </c>
      <c r="AR357" s="1">
        <v>0.0</v>
      </c>
      <c r="AW357" s="1">
        <v>0.0</v>
      </c>
      <c r="AX357" s="1">
        <v>2.0</v>
      </c>
      <c r="AY357" s="1">
        <v>4.0</v>
      </c>
      <c r="BA357" s="1">
        <v>0.0</v>
      </c>
      <c r="BB357" s="1">
        <v>0.0</v>
      </c>
      <c r="BC357" s="1">
        <v>0.0</v>
      </c>
      <c r="BD357" s="1">
        <v>0.0</v>
      </c>
      <c r="BE357" s="1">
        <v>0.0</v>
      </c>
      <c r="BF357" s="1">
        <v>0.0</v>
      </c>
      <c r="BG357" s="1">
        <v>0.0</v>
      </c>
      <c r="BH357" s="1">
        <v>0.0</v>
      </c>
      <c r="BI357" s="1">
        <v>0.0</v>
      </c>
      <c r="BJ357" s="1">
        <v>0.0</v>
      </c>
      <c r="BP357" s="1">
        <v>0.269</v>
      </c>
      <c r="BQ357" s="1" t="s">
        <v>1962</v>
      </c>
      <c r="BV357" s="1">
        <v>1.1</v>
      </c>
      <c r="EQ357" s="9" t="s">
        <v>1961</v>
      </c>
      <c r="ER357" s="21">
        <v>46045.29829861111</v>
      </c>
    </row>
    <row r="358">
      <c r="A358" s="9" t="s">
        <v>1963</v>
      </c>
      <c r="B358" s="20" t="str">
        <f>IFERROR(__xludf.DUMMYFUNCTION("REGEXREPLACE(A358, ""^https?://[^/]+"", """")"),"/wp-content/uploads/2022/04/Byrd-Caprice-275x275-1-225x225.jpg")</f>
        <v>/wp-content/uploads/2022/04/Byrd-Caprice-275x275-1-225x225.jpg</v>
      </c>
      <c r="F358" s="1" t="s">
        <v>1004</v>
      </c>
      <c r="G358" s="1">
        <v>200.0</v>
      </c>
      <c r="H358" s="1" t="s">
        <v>966</v>
      </c>
      <c r="I358" s="1" t="s">
        <v>967</v>
      </c>
      <c r="L358" s="1">
        <v>0.0</v>
      </c>
      <c r="M358" s="1">
        <v>0.0</v>
      </c>
      <c r="O358" s="1">
        <v>0.0</v>
      </c>
      <c r="P358" s="1">
        <v>0.0</v>
      </c>
      <c r="R358" s="1">
        <v>0.0</v>
      </c>
      <c r="S358" s="1">
        <v>0.0</v>
      </c>
      <c r="U358" s="1">
        <v>0.0</v>
      </c>
      <c r="W358" s="1">
        <v>0.0</v>
      </c>
      <c r="Y358" s="1">
        <v>0.0</v>
      </c>
      <c r="AA358" s="1">
        <v>0.0</v>
      </c>
      <c r="AC358" s="1">
        <v>0.0</v>
      </c>
      <c r="AM358" s="1">
        <v>9604.0</v>
      </c>
      <c r="AN358" s="1">
        <v>9604.0</v>
      </c>
      <c r="AO358" s="1">
        <v>9604.0</v>
      </c>
      <c r="AP358" s="1">
        <v>3.679</v>
      </c>
      <c r="AR358" s="1">
        <v>0.0</v>
      </c>
      <c r="AW358" s="1">
        <v>0.0</v>
      </c>
      <c r="AX358" s="1">
        <v>2.0</v>
      </c>
      <c r="AY358" s="1">
        <v>4.0</v>
      </c>
      <c r="BA358" s="1">
        <v>0.0</v>
      </c>
      <c r="BB358" s="1">
        <v>0.0</v>
      </c>
      <c r="BC358" s="1">
        <v>0.0</v>
      </c>
      <c r="BD358" s="1">
        <v>0.0</v>
      </c>
      <c r="BE358" s="1">
        <v>0.0</v>
      </c>
      <c r="BF358" s="1">
        <v>0.0</v>
      </c>
      <c r="BG358" s="1">
        <v>0.0</v>
      </c>
      <c r="BH358" s="1">
        <v>0.0</v>
      </c>
      <c r="BI358" s="1">
        <v>0.0</v>
      </c>
      <c r="BJ358" s="1">
        <v>0.0</v>
      </c>
      <c r="BP358" s="1">
        <v>0.262</v>
      </c>
      <c r="BQ358" s="1" t="s">
        <v>1964</v>
      </c>
      <c r="BV358" s="1">
        <v>1.1</v>
      </c>
      <c r="EQ358" s="9" t="s">
        <v>1963</v>
      </c>
      <c r="ER358" s="21">
        <v>46045.298310185186</v>
      </c>
    </row>
    <row r="359">
      <c r="A359" s="9" t="s">
        <v>1965</v>
      </c>
      <c r="B359" s="20" t="str">
        <f>IFERROR(__xludf.DUMMYFUNCTION("REGEXREPLACE(A359, ""^https?://[^/]+"", """")"),"/wp-content/uploads/2025/12/Buckner_John-225x225.jpeg")</f>
        <v>/wp-content/uploads/2025/12/Buckner_John-225x225.jpeg</v>
      </c>
      <c r="F359" s="1" t="s">
        <v>1004</v>
      </c>
      <c r="G359" s="1">
        <v>200.0</v>
      </c>
      <c r="H359" s="1" t="s">
        <v>966</v>
      </c>
      <c r="I359" s="1" t="s">
        <v>967</v>
      </c>
      <c r="L359" s="1">
        <v>0.0</v>
      </c>
      <c r="M359" s="1">
        <v>0.0</v>
      </c>
      <c r="O359" s="1">
        <v>0.0</v>
      </c>
      <c r="P359" s="1">
        <v>0.0</v>
      </c>
      <c r="R359" s="1">
        <v>0.0</v>
      </c>
      <c r="S359" s="1">
        <v>0.0</v>
      </c>
      <c r="U359" s="1">
        <v>0.0</v>
      </c>
      <c r="W359" s="1">
        <v>0.0</v>
      </c>
      <c r="Y359" s="1">
        <v>0.0</v>
      </c>
      <c r="AA359" s="1">
        <v>0.0</v>
      </c>
      <c r="AC359" s="1">
        <v>0.0</v>
      </c>
      <c r="AM359" s="1">
        <v>9849.0</v>
      </c>
      <c r="AN359" s="1">
        <v>9849.0</v>
      </c>
      <c r="AO359" s="1">
        <v>9849.0</v>
      </c>
      <c r="AP359" s="1">
        <v>3.773</v>
      </c>
      <c r="AR359" s="1">
        <v>0.0</v>
      </c>
      <c r="AW359" s="1">
        <v>0.0</v>
      </c>
      <c r="AX359" s="1">
        <v>2.0</v>
      </c>
      <c r="AY359" s="1">
        <v>4.0</v>
      </c>
      <c r="BA359" s="1">
        <v>0.0</v>
      </c>
      <c r="BB359" s="1">
        <v>0.0</v>
      </c>
      <c r="BC359" s="1">
        <v>0.0</v>
      </c>
      <c r="BD359" s="1">
        <v>0.0</v>
      </c>
      <c r="BE359" s="1">
        <v>0.0</v>
      </c>
      <c r="BF359" s="1">
        <v>0.0</v>
      </c>
      <c r="BG359" s="1">
        <v>0.0</v>
      </c>
      <c r="BH359" s="1">
        <v>0.0</v>
      </c>
      <c r="BI359" s="1">
        <v>0.0</v>
      </c>
      <c r="BJ359" s="1">
        <v>0.0</v>
      </c>
      <c r="BP359" s="1">
        <v>0.272</v>
      </c>
      <c r="BQ359" s="1" t="s">
        <v>1966</v>
      </c>
      <c r="BV359" s="1">
        <v>1.1</v>
      </c>
      <c r="EQ359" s="9" t="s">
        <v>1965</v>
      </c>
      <c r="ER359" s="21">
        <v>46045.298310185186</v>
      </c>
    </row>
    <row r="360">
      <c r="A360" s="9" t="s">
        <v>1967</v>
      </c>
      <c r="B360" s="20" t="str">
        <f>IFERROR(__xludf.DUMMYFUNCTION("REGEXREPLACE(A360, ""^https?://[^/]+"", """")"),"/wp-content/uploads/2022/07/Bernstein_Gary-225x225.jpg")</f>
        <v>/wp-content/uploads/2022/07/Bernstein_Gary-225x225.jpg</v>
      </c>
      <c r="F360" s="1" t="s">
        <v>1004</v>
      </c>
      <c r="G360" s="1">
        <v>200.0</v>
      </c>
      <c r="H360" s="1" t="s">
        <v>966</v>
      </c>
      <c r="I360" s="1" t="s">
        <v>967</v>
      </c>
      <c r="L360" s="1">
        <v>0.0</v>
      </c>
      <c r="M360" s="1">
        <v>0.0</v>
      </c>
      <c r="O360" s="1">
        <v>0.0</v>
      </c>
      <c r="P360" s="1">
        <v>0.0</v>
      </c>
      <c r="R360" s="1">
        <v>0.0</v>
      </c>
      <c r="S360" s="1">
        <v>0.0</v>
      </c>
      <c r="U360" s="1">
        <v>0.0</v>
      </c>
      <c r="W360" s="1">
        <v>0.0</v>
      </c>
      <c r="Y360" s="1">
        <v>0.0</v>
      </c>
      <c r="AA360" s="1">
        <v>0.0</v>
      </c>
      <c r="AC360" s="1">
        <v>0.0</v>
      </c>
      <c r="AM360" s="1">
        <v>8178.0</v>
      </c>
      <c r="AN360" s="1">
        <v>8178.0</v>
      </c>
      <c r="AO360" s="1">
        <v>8178.0</v>
      </c>
      <c r="AP360" s="1">
        <v>3.133</v>
      </c>
      <c r="AR360" s="1">
        <v>0.0</v>
      </c>
      <c r="AW360" s="1">
        <v>0.0</v>
      </c>
      <c r="AX360" s="1">
        <v>2.0</v>
      </c>
      <c r="AY360" s="1">
        <v>4.0</v>
      </c>
      <c r="BA360" s="1">
        <v>0.0</v>
      </c>
      <c r="BB360" s="1">
        <v>0.0</v>
      </c>
      <c r="BC360" s="1">
        <v>0.0</v>
      </c>
      <c r="BD360" s="1">
        <v>0.0</v>
      </c>
      <c r="BE360" s="1">
        <v>0.0</v>
      </c>
      <c r="BF360" s="1">
        <v>0.0</v>
      </c>
      <c r="BG360" s="1">
        <v>0.0</v>
      </c>
      <c r="BH360" s="1">
        <v>0.0</v>
      </c>
      <c r="BI360" s="1">
        <v>0.0</v>
      </c>
      <c r="BJ360" s="1">
        <v>0.0</v>
      </c>
      <c r="BP360" s="1">
        <v>0.267</v>
      </c>
      <c r="BQ360" s="1" t="s">
        <v>1968</v>
      </c>
      <c r="BV360" s="1">
        <v>1.1</v>
      </c>
      <c r="EQ360" s="9" t="s">
        <v>1967</v>
      </c>
      <c r="ER360" s="21">
        <v>46045.298310185186</v>
      </c>
    </row>
    <row r="361">
      <c r="A361" s="9" t="s">
        <v>1969</v>
      </c>
      <c r="B361" s="20" t="str">
        <f>IFERROR(__xludf.DUMMYFUNCTION("REGEXREPLACE(A361, ""^https?://[^/]+"", """")"),"/wp-content/uploads/2024/04/Schulert_Mark-Updated-Headshot-225x225.jpg")</f>
        <v>/wp-content/uploads/2024/04/Schulert_Mark-Updated-Headshot-225x225.jpg</v>
      </c>
      <c r="F361" s="1" t="s">
        <v>1004</v>
      </c>
      <c r="G361" s="1">
        <v>200.0</v>
      </c>
      <c r="H361" s="1" t="s">
        <v>966</v>
      </c>
      <c r="I361" s="1" t="s">
        <v>967</v>
      </c>
      <c r="L361" s="1">
        <v>0.0</v>
      </c>
      <c r="M361" s="1">
        <v>0.0</v>
      </c>
      <c r="O361" s="1">
        <v>0.0</v>
      </c>
      <c r="P361" s="1">
        <v>0.0</v>
      </c>
      <c r="R361" s="1">
        <v>0.0</v>
      </c>
      <c r="S361" s="1">
        <v>0.0</v>
      </c>
      <c r="U361" s="1">
        <v>0.0</v>
      </c>
      <c r="W361" s="1">
        <v>0.0</v>
      </c>
      <c r="Y361" s="1">
        <v>0.0</v>
      </c>
      <c r="AA361" s="1">
        <v>0.0</v>
      </c>
      <c r="AC361" s="1">
        <v>0.0</v>
      </c>
      <c r="AM361" s="1">
        <v>8944.0</v>
      </c>
      <c r="AN361" s="1">
        <v>8944.0</v>
      </c>
      <c r="AO361" s="1">
        <v>8944.0</v>
      </c>
      <c r="AP361" s="1">
        <v>3.426</v>
      </c>
      <c r="AR361" s="1">
        <v>0.0</v>
      </c>
      <c r="AW361" s="1">
        <v>0.0</v>
      </c>
      <c r="AX361" s="1">
        <v>2.0</v>
      </c>
      <c r="AY361" s="1">
        <v>4.0</v>
      </c>
      <c r="BA361" s="1">
        <v>0.0</v>
      </c>
      <c r="BB361" s="1">
        <v>0.0</v>
      </c>
      <c r="BC361" s="1">
        <v>0.0</v>
      </c>
      <c r="BD361" s="1">
        <v>0.0</v>
      </c>
      <c r="BE361" s="1">
        <v>0.0</v>
      </c>
      <c r="BF361" s="1">
        <v>0.0</v>
      </c>
      <c r="BG361" s="1">
        <v>0.0</v>
      </c>
      <c r="BH361" s="1">
        <v>0.0</v>
      </c>
      <c r="BI361" s="1">
        <v>0.0</v>
      </c>
      <c r="BJ361" s="1">
        <v>0.0</v>
      </c>
      <c r="BP361" s="1">
        <v>0.275</v>
      </c>
      <c r="BQ361" s="1" t="s">
        <v>1970</v>
      </c>
      <c r="BV361" s="1">
        <v>1.1</v>
      </c>
      <c r="EQ361" s="9" t="s">
        <v>1969</v>
      </c>
      <c r="ER361" s="21">
        <v>46045.298310185186</v>
      </c>
    </row>
    <row r="362">
      <c r="A362" s="9" t="s">
        <v>1971</v>
      </c>
      <c r="B362" s="20" t="str">
        <f>IFERROR(__xludf.DUMMYFUNCTION("REGEXREPLACE(A362, ""^https?://[^/]+"", """")"),"/wp-content/uploads/2022/04/Noonan-John-275x275-1-225x225.jpg")</f>
        <v>/wp-content/uploads/2022/04/Noonan-John-275x275-1-225x225.jpg</v>
      </c>
      <c r="F362" s="1" t="s">
        <v>1004</v>
      </c>
      <c r="G362" s="1">
        <v>200.0</v>
      </c>
      <c r="H362" s="1" t="s">
        <v>966</v>
      </c>
      <c r="I362" s="1" t="s">
        <v>967</v>
      </c>
      <c r="L362" s="1">
        <v>0.0</v>
      </c>
      <c r="M362" s="1">
        <v>0.0</v>
      </c>
      <c r="O362" s="1">
        <v>0.0</v>
      </c>
      <c r="P362" s="1">
        <v>0.0</v>
      </c>
      <c r="R362" s="1">
        <v>0.0</v>
      </c>
      <c r="S362" s="1">
        <v>0.0</v>
      </c>
      <c r="U362" s="1">
        <v>0.0</v>
      </c>
      <c r="W362" s="1">
        <v>0.0</v>
      </c>
      <c r="Y362" s="1">
        <v>0.0</v>
      </c>
      <c r="AA362" s="1">
        <v>0.0</v>
      </c>
      <c r="AC362" s="1">
        <v>0.0</v>
      </c>
      <c r="AM362" s="1">
        <v>8488.0</v>
      </c>
      <c r="AN362" s="1">
        <v>8488.0</v>
      </c>
      <c r="AO362" s="1">
        <v>8488.0</v>
      </c>
      <c r="AP362" s="1">
        <v>3.252</v>
      </c>
      <c r="AR362" s="1">
        <v>0.0</v>
      </c>
      <c r="AW362" s="1">
        <v>0.0</v>
      </c>
      <c r="AX362" s="1">
        <v>2.0</v>
      </c>
      <c r="AY362" s="1">
        <v>4.0</v>
      </c>
      <c r="BA362" s="1">
        <v>0.0</v>
      </c>
      <c r="BB362" s="1">
        <v>0.0</v>
      </c>
      <c r="BC362" s="1">
        <v>0.0</v>
      </c>
      <c r="BD362" s="1">
        <v>0.0</v>
      </c>
      <c r="BE362" s="1">
        <v>0.0</v>
      </c>
      <c r="BF362" s="1">
        <v>0.0</v>
      </c>
      <c r="BG362" s="1">
        <v>0.0</v>
      </c>
      <c r="BH362" s="1">
        <v>0.0</v>
      </c>
      <c r="BI362" s="1">
        <v>0.0</v>
      </c>
      <c r="BJ362" s="1">
        <v>0.0</v>
      </c>
      <c r="BP362" s="1">
        <v>0.27</v>
      </c>
      <c r="BQ362" s="1" t="s">
        <v>1972</v>
      </c>
      <c r="BV362" s="1">
        <v>1.1</v>
      </c>
      <c r="EQ362" s="9" t="s">
        <v>1971</v>
      </c>
      <c r="ER362" s="21">
        <v>46045.29832175926</v>
      </c>
    </row>
    <row r="363">
      <c r="A363" s="9" t="s">
        <v>1973</v>
      </c>
      <c r="B363" s="20" t="str">
        <f>IFERROR(__xludf.DUMMYFUNCTION("REGEXREPLACE(A363, ""^https?://[^/]+"", """")"),"/wp-content/uploads/2022/04/Nolan-Michael-225x225.jpg")</f>
        <v>/wp-content/uploads/2022/04/Nolan-Michael-225x225.jpg</v>
      </c>
      <c r="F363" s="1" t="s">
        <v>1004</v>
      </c>
      <c r="G363" s="1">
        <v>200.0</v>
      </c>
      <c r="H363" s="1" t="s">
        <v>966</v>
      </c>
      <c r="I363" s="1" t="s">
        <v>967</v>
      </c>
      <c r="L363" s="1">
        <v>0.0</v>
      </c>
      <c r="M363" s="1">
        <v>0.0</v>
      </c>
      <c r="O363" s="1">
        <v>0.0</v>
      </c>
      <c r="P363" s="1">
        <v>0.0</v>
      </c>
      <c r="R363" s="1">
        <v>0.0</v>
      </c>
      <c r="S363" s="1">
        <v>0.0</v>
      </c>
      <c r="U363" s="1">
        <v>0.0</v>
      </c>
      <c r="W363" s="1">
        <v>0.0</v>
      </c>
      <c r="Y363" s="1">
        <v>0.0</v>
      </c>
      <c r="AA363" s="1">
        <v>0.0</v>
      </c>
      <c r="AC363" s="1">
        <v>0.0</v>
      </c>
      <c r="AM363" s="1">
        <v>6901.0</v>
      </c>
      <c r="AN363" s="1">
        <v>6901.0</v>
      </c>
      <c r="AO363" s="1">
        <v>6901.0</v>
      </c>
      <c r="AP363" s="1">
        <v>2.644</v>
      </c>
      <c r="AR363" s="1">
        <v>0.0</v>
      </c>
      <c r="AW363" s="1">
        <v>0.0</v>
      </c>
      <c r="AX363" s="1">
        <v>2.0</v>
      </c>
      <c r="AY363" s="1">
        <v>4.0</v>
      </c>
      <c r="BA363" s="1">
        <v>0.0</v>
      </c>
      <c r="BB363" s="1">
        <v>0.0</v>
      </c>
      <c r="BC363" s="1">
        <v>0.0</v>
      </c>
      <c r="BD363" s="1">
        <v>0.0</v>
      </c>
      <c r="BE363" s="1">
        <v>0.0</v>
      </c>
      <c r="BF363" s="1">
        <v>0.0</v>
      </c>
      <c r="BG363" s="1">
        <v>0.0</v>
      </c>
      <c r="BH363" s="1">
        <v>0.0</v>
      </c>
      <c r="BI363" s="1">
        <v>0.0</v>
      </c>
      <c r="BJ363" s="1">
        <v>0.0</v>
      </c>
      <c r="BP363" s="1">
        <v>0.28</v>
      </c>
      <c r="BQ363" s="1" t="s">
        <v>1974</v>
      </c>
      <c r="BV363" s="1">
        <v>1.1</v>
      </c>
      <c r="EQ363" s="9" t="s">
        <v>1973</v>
      </c>
      <c r="ER363" s="21">
        <v>46045.29832175926</v>
      </c>
    </row>
    <row r="364">
      <c r="A364" s="9" t="s">
        <v>1975</v>
      </c>
      <c r="B364" s="20" t="str">
        <f>IFERROR(__xludf.DUMMYFUNCTION("REGEXREPLACE(A364, ""^https?://[^/]+"", """")"),"/wp-content/uploads/2017/01/1732070552083-225x225.jpg")</f>
        <v>/wp-content/uploads/2017/01/1732070552083-225x225.jpg</v>
      </c>
      <c r="F364" s="1" t="s">
        <v>1004</v>
      </c>
      <c r="G364" s="1">
        <v>200.0</v>
      </c>
      <c r="H364" s="1" t="s">
        <v>966</v>
      </c>
      <c r="I364" s="1" t="s">
        <v>967</v>
      </c>
      <c r="L364" s="1">
        <v>0.0</v>
      </c>
      <c r="M364" s="1">
        <v>0.0</v>
      </c>
      <c r="O364" s="1">
        <v>0.0</v>
      </c>
      <c r="P364" s="1">
        <v>0.0</v>
      </c>
      <c r="R364" s="1">
        <v>0.0</v>
      </c>
      <c r="S364" s="1">
        <v>0.0</v>
      </c>
      <c r="U364" s="1">
        <v>0.0</v>
      </c>
      <c r="W364" s="1">
        <v>0.0</v>
      </c>
      <c r="Y364" s="1">
        <v>0.0</v>
      </c>
      <c r="AA364" s="1">
        <v>0.0</v>
      </c>
      <c r="AC364" s="1">
        <v>0.0</v>
      </c>
      <c r="AM364" s="1">
        <v>7298.0</v>
      </c>
      <c r="AN364" s="1">
        <v>7298.0</v>
      </c>
      <c r="AO364" s="1">
        <v>7298.0</v>
      </c>
      <c r="AP364" s="1">
        <v>2.796</v>
      </c>
      <c r="AR364" s="1">
        <v>0.0</v>
      </c>
      <c r="AW364" s="1">
        <v>0.0</v>
      </c>
      <c r="AX364" s="1">
        <v>2.0</v>
      </c>
      <c r="AY364" s="1">
        <v>4.0</v>
      </c>
      <c r="BA364" s="1">
        <v>0.0</v>
      </c>
      <c r="BB364" s="1">
        <v>0.0</v>
      </c>
      <c r="BC364" s="1">
        <v>0.0</v>
      </c>
      <c r="BD364" s="1">
        <v>0.0</v>
      </c>
      <c r="BE364" s="1">
        <v>0.0</v>
      </c>
      <c r="BF364" s="1">
        <v>0.0</v>
      </c>
      <c r="BG364" s="1">
        <v>0.0</v>
      </c>
      <c r="BH364" s="1">
        <v>0.0</v>
      </c>
      <c r="BI364" s="1">
        <v>0.0</v>
      </c>
      <c r="BJ364" s="1">
        <v>0.0</v>
      </c>
      <c r="BP364" s="1">
        <v>0.274</v>
      </c>
      <c r="BQ364" s="1" t="s">
        <v>1976</v>
      </c>
      <c r="BV364" s="1">
        <v>1.1</v>
      </c>
      <c r="EQ364" s="9" t="s">
        <v>1975</v>
      </c>
      <c r="ER364" s="21">
        <v>46045.29832175926</v>
      </c>
    </row>
    <row r="365">
      <c r="A365" s="9" t="s">
        <v>1977</v>
      </c>
      <c r="B365" s="20" t="str">
        <f>IFERROR(__xludf.DUMMYFUNCTION("REGEXREPLACE(A365, ""^https?://[^/]+"", """")"),"/wp-content/uploads/2025/08/Hindman_Daniel-225x225.jpg")</f>
        <v>/wp-content/uploads/2025/08/Hindman_Daniel-225x225.jpg</v>
      </c>
      <c r="F365" s="1" t="s">
        <v>1004</v>
      </c>
      <c r="G365" s="1">
        <v>200.0</v>
      </c>
      <c r="H365" s="1" t="s">
        <v>966</v>
      </c>
      <c r="I365" s="1" t="s">
        <v>967</v>
      </c>
      <c r="L365" s="1">
        <v>0.0</v>
      </c>
      <c r="M365" s="1">
        <v>0.0</v>
      </c>
      <c r="O365" s="1">
        <v>0.0</v>
      </c>
      <c r="P365" s="1">
        <v>0.0</v>
      </c>
      <c r="R365" s="1">
        <v>0.0</v>
      </c>
      <c r="S365" s="1">
        <v>0.0</v>
      </c>
      <c r="U365" s="1">
        <v>0.0</v>
      </c>
      <c r="W365" s="1">
        <v>0.0</v>
      </c>
      <c r="Y365" s="1">
        <v>0.0</v>
      </c>
      <c r="AA365" s="1">
        <v>0.0</v>
      </c>
      <c r="AC365" s="1">
        <v>0.0</v>
      </c>
      <c r="AM365" s="1">
        <v>8143.0</v>
      </c>
      <c r="AN365" s="1">
        <v>8143.0</v>
      </c>
      <c r="AO365" s="1">
        <v>8143.0</v>
      </c>
      <c r="AP365" s="1">
        <v>3.119</v>
      </c>
      <c r="AR365" s="1">
        <v>0.0</v>
      </c>
      <c r="AW365" s="1">
        <v>0.0</v>
      </c>
      <c r="AX365" s="1">
        <v>2.0</v>
      </c>
      <c r="AY365" s="1">
        <v>4.0</v>
      </c>
      <c r="BA365" s="1">
        <v>0.0</v>
      </c>
      <c r="BB365" s="1">
        <v>0.0</v>
      </c>
      <c r="BC365" s="1">
        <v>0.0</v>
      </c>
      <c r="BD365" s="1">
        <v>0.0</v>
      </c>
      <c r="BE365" s="1">
        <v>0.0</v>
      </c>
      <c r="BF365" s="1">
        <v>0.0</v>
      </c>
      <c r="BG365" s="1">
        <v>0.0</v>
      </c>
      <c r="BH365" s="1">
        <v>0.0</v>
      </c>
      <c r="BI365" s="1">
        <v>0.0</v>
      </c>
      <c r="BJ365" s="1">
        <v>0.0</v>
      </c>
      <c r="BP365" s="1">
        <v>0.274</v>
      </c>
      <c r="BQ365" s="1" t="s">
        <v>1978</v>
      </c>
      <c r="BV365" s="1">
        <v>1.1</v>
      </c>
      <c r="EQ365" s="9" t="s">
        <v>1977</v>
      </c>
      <c r="ER365" s="21">
        <v>46045.29832175926</v>
      </c>
    </row>
    <row r="366">
      <c r="A366" s="9" t="s">
        <v>1979</v>
      </c>
      <c r="B366" s="20" t="str">
        <f>IFERROR(__xludf.DUMMYFUNCTION("REGEXREPLACE(A366, ""^https?://[^/]+"", """")"),"/wp-content/uploads/2025/04/LaGanke_Ryan-225x225.jpg")</f>
        <v>/wp-content/uploads/2025/04/LaGanke_Ryan-225x225.jpg</v>
      </c>
      <c r="F366" s="1" t="s">
        <v>1004</v>
      </c>
      <c r="G366" s="1">
        <v>200.0</v>
      </c>
      <c r="H366" s="1" t="s">
        <v>966</v>
      </c>
      <c r="I366" s="1" t="s">
        <v>967</v>
      </c>
      <c r="L366" s="1">
        <v>0.0</v>
      </c>
      <c r="M366" s="1">
        <v>0.0</v>
      </c>
      <c r="O366" s="1">
        <v>0.0</v>
      </c>
      <c r="P366" s="1">
        <v>0.0</v>
      </c>
      <c r="R366" s="1">
        <v>0.0</v>
      </c>
      <c r="S366" s="1">
        <v>0.0</v>
      </c>
      <c r="U366" s="1">
        <v>0.0</v>
      </c>
      <c r="W366" s="1">
        <v>0.0</v>
      </c>
      <c r="Y366" s="1">
        <v>0.0</v>
      </c>
      <c r="AA366" s="1">
        <v>0.0</v>
      </c>
      <c r="AC366" s="1">
        <v>0.0</v>
      </c>
      <c r="AM366" s="1">
        <v>8525.0</v>
      </c>
      <c r="AN366" s="1">
        <v>8525.0</v>
      </c>
      <c r="AO366" s="1">
        <v>8525.0</v>
      </c>
      <c r="AP366" s="1">
        <v>3.266</v>
      </c>
      <c r="AR366" s="1">
        <v>0.0</v>
      </c>
      <c r="AW366" s="1">
        <v>0.0</v>
      </c>
      <c r="AX366" s="1">
        <v>2.0</v>
      </c>
      <c r="AY366" s="1">
        <v>4.0</v>
      </c>
      <c r="BA366" s="1">
        <v>0.0</v>
      </c>
      <c r="BB366" s="1">
        <v>0.0</v>
      </c>
      <c r="BC366" s="1">
        <v>0.0</v>
      </c>
      <c r="BD366" s="1">
        <v>0.0</v>
      </c>
      <c r="BE366" s="1">
        <v>0.0</v>
      </c>
      <c r="BF366" s="1">
        <v>0.0</v>
      </c>
      <c r="BG366" s="1">
        <v>0.0</v>
      </c>
      <c r="BH366" s="1">
        <v>0.0</v>
      </c>
      <c r="BI366" s="1">
        <v>0.0</v>
      </c>
      <c r="BJ366" s="1">
        <v>0.0</v>
      </c>
      <c r="BP366" s="1">
        <v>0.268</v>
      </c>
      <c r="BQ366" s="1" t="s">
        <v>1980</v>
      </c>
      <c r="BV366" s="1">
        <v>1.1</v>
      </c>
      <c r="EQ366" s="9" t="s">
        <v>1979</v>
      </c>
      <c r="ER366" s="21">
        <v>46045.29832175926</v>
      </c>
    </row>
    <row r="367">
      <c r="A367" s="9" t="s">
        <v>1981</v>
      </c>
      <c r="B367" s="20" t="str">
        <f>IFERROR(__xludf.DUMMYFUNCTION("REGEXREPLACE(A367, ""^https?://[^/]+"", """")"),"/wp-content/uploads/2022/04/Pila-Jay-225x225.jpg")</f>
        <v>/wp-content/uploads/2022/04/Pila-Jay-225x225.jpg</v>
      </c>
      <c r="F367" s="1" t="s">
        <v>1004</v>
      </c>
      <c r="G367" s="1">
        <v>200.0</v>
      </c>
      <c r="H367" s="1" t="s">
        <v>966</v>
      </c>
      <c r="I367" s="1" t="s">
        <v>967</v>
      </c>
      <c r="L367" s="1">
        <v>0.0</v>
      </c>
      <c r="M367" s="1">
        <v>0.0</v>
      </c>
      <c r="O367" s="1">
        <v>0.0</v>
      </c>
      <c r="P367" s="1">
        <v>0.0</v>
      </c>
      <c r="R367" s="1">
        <v>0.0</v>
      </c>
      <c r="S367" s="1">
        <v>0.0</v>
      </c>
      <c r="U367" s="1">
        <v>0.0</v>
      </c>
      <c r="W367" s="1">
        <v>0.0</v>
      </c>
      <c r="Y367" s="1">
        <v>0.0</v>
      </c>
      <c r="AA367" s="1">
        <v>0.0</v>
      </c>
      <c r="AC367" s="1">
        <v>0.0</v>
      </c>
      <c r="AM367" s="1">
        <v>10640.0</v>
      </c>
      <c r="AN367" s="1">
        <v>10640.0</v>
      </c>
      <c r="AO367" s="1">
        <v>10640.0</v>
      </c>
      <c r="AP367" s="1">
        <v>4.076</v>
      </c>
      <c r="AR367" s="1">
        <v>0.0</v>
      </c>
      <c r="AW367" s="1">
        <v>0.0</v>
      </c>
      <c r="AX367" s="1">
        <v>2.0</v>
      </c>
      <c r="AY367" s="1">
        <v>4.0</v>
      </c>
      <c r="BA367" s="1">
        <v>0.0</v>
      </c>
      <c r="BB367" s="1">
        <v>0.0</v>
      </c>
      <c r="BC367" s="1">
        <v>0.0</v>
      </c>
      <c r="BD367" s="1">
        <v>0.0</v>
      </c>
      <c r="BE367" s="1">
        <v>0.0</v>
      </c>
      <c r="BF367" s="1">
        <v>0.0</v>
      </c>
      <c r="BG367" s="1">
        <v>0.0</v>
      </c>
      <c r="BH367" s="1">
        <v>0.0</v>
      </c>
      <c r="BI367" s="1">
        <v>0.0</v>
      </c>
      <c r="BJ367" s="1">
        <v>0.0</v>
      </c>
      <c r="BP367" s="1">
        <v>0.272</v>
      </c>
      <c r="BQ367" s="1" t="s">
        <v>1982</v>
      </c>
      <c r="BV367" s="1">
        <v>1.1</v>
      </c>
      <c r="EQ367" s="9" t="s">
        <v>1981</v>
      </c>
      <c r="ER367" s="21">
        <v>46045.29833333333</v>
      </c>
    </row>
    <row r="368">
      <c r="A368" s="9" t="s">
        <v>1983</v>
      </c>
      <c r="B368" s="20" t="str">
        <f>IFERROR(__xludf.DUMMYFUNCTION("REGEXREPLACE(A368, ""^https?://[^/]+"", """")"),"/wp-content/uploads/2022/04/Donovan-Kevin-275x275-1-225x225.jpg")</f>
        <v>/wp-content/uploads/2022/04/Donovan-Kevin-275x275-1-225x225.jpg</v>
      </c>
      <c r="F368" s="1" t="s">
        <v>1004</v>
      </c>
      <c r="G368" s="1">
        <v>200.0</v>
      </c>
      <c r="H368" s="1" t="s">
        <v>966</v>
      </c>
      <c r="I368" s="1" t="s">
        <v>967</v>
      </c>
      <c r="L368" s="1">
        <v>0.0</v>
      </c>
      <c r="M368" s="1">
        <v>0.0</v>
      </c>
      <c r="O368" s="1">
        <v>0.0</v>
      </c>
      <c r="P368" s="1">
        <v>0.0</v>
      </c>
      <c r="R368" s="1">
        <v>0.0</v>
      </c>
      <c r="S368" s="1">
        <v>0.0</v>
      </c>
      <c r="U368" s="1">
        <v>0.0</v>
      </c>
      <c r="W368" s="1">
        <v>0.0</v>
      </c>
      <c r="Y368" s="1">
        <v>0.0</v>
      </c>
      <c r="AA368" s="1">
        <v>0.0</v>
      </c>
      <c r="AC368" s="1">
        <v>0.0</v>
      </c>
      <c r="AM368" s="1">
        <v>9046.0</v>
      </c>
      <c r="AN368" s="1">
        <v>9046.0</v>
      </c>
      <c r="AO368" s="1">
        <v>9046.0</v>
      </c>
      <c r="AP368" s="1">
        <v>3.465</v>
      </c>
      <c r="AR368" s="1">
        <v>0.0</v>
      </c>
      <c r="AW368" s="1">
        <v>0.0</v>
      </c>
      <c r="AX368" s="1">
        <v>2.0</v>
      </c>
      <c r="AY368" s="1">
        <v>4.0</v>
      </c>
      <c r="BA368" s="1">
        <v>0.0</v>
      </c>
      <c r="BB368" s="1">
        <v>0.0</v>
      </c>
      <c r="BC368" s="1">
        <v>0.0</v>
      </c>
      <c r="BD368" s="1">
        <v>0.0</v>
      </c>
      <c r="BE368" s="1">
        <v>0.0</v>
      </c>
      <c r="BF368" s="1">
        <v>0.0</v>
      </c>
      <c r="BG368" s="1">
        <v>0.0</v>
      </c>
      <c r="BH368" s="1">
        <v>0.0</v>
      </c>
      <c r="BI368" s="1">
        <v>0.0</v>
      </c>
      <c r="BJ368" s="1">
        <v>0.0</v>
      </c>
      <c r="BP368" s="1">
        <v>0.27</v>
      </c>
      <c r="BQ368" s="1" t="s">
        <v>1984</v>
      </c>
      <c r="BV368" s="1">
        <v>1.1</v>
      </c>
      <c r="EQ368" s="9" t="s">
        <v>1983</v>
      </c>
      <c r="ER368" s="21">
        <v>46045.29833333333</v>
      </c>
    </row>
    <row r="369">
      <c r="A369" s="9" t="s">
        <v>1985</v>
      </c>
      <c r="B369" s="20" t="str">
        <f>IFERROR(__xludf.DUMMYFUNCTION("REGEXREPLACE(A369, ""^https?://[^/]+"", """")"),"/wp-content/uploads/2022/04/Schottenfeld-Harry-225x225.jpg")</f>
        <v>/wp-content/uploads/2022/04/Schottenfeld-Harry-225x225.jpg</v>
      </c>
      <c r="F369" s="1" t="s">
        <v>1004</v>
      </c>
      <c r="G369" s="1">
        <v>200.0</v>
      </c>
      <c r="H369" s="1" t="s">
        <v>966</v>
      </c>
      <c r="I369" s="1" t="s">
        <v>967</v>
      </c>
      <c r="L369" s="1">
        <v>0.0</v>
      </c>
      <c r="M369" s="1">
        <v>0.0</v>
      </c>
      <c r="O369" s="1">
        <v>0.0</v>
      </c>
      <c r="P369" s="1">
        <v>0.0</v>
      </c>
      <c r="R369" s="1">
        <v>0.0</v>
      </c>
      <c r="S369" s="1">
        <v>0.0</v>
      </c>
      <c r="U369" s="1">
        <v>0.0</v>
      </c>
      <c r="W369" s="1">
        <v>0.0</v>
      </c>
      <c r="Y369" s="1">
        <v>0.0</v>
      </c>
      <c r="AA369" s="1">
        <v>0.0</v>
      </c>
      <c r="AC369" s="1">
        <v>0.0</v>
      </c>
      <c r="AM369" s="1">
        <v>7681.0</v>
      </c>
      <c r="AN369" s="1">
        <v>7681.0</v>
      </c>
      <c r="AO369" s="1">
        <v>7681.0</v>
      </c>
      <c r="AP369" s="1">
        <v>2.942</v>
      </c>
      <c r="AR369" s="1">
        <v>0.0</v>
      </c>
      <c r="AW369" s="1">
        <v>0.0</v>
      </c>
      <c r="AX369" s="1">
        <v>2.0</v>
      </c>
      <c r="AY369" s="1">
        <v>4.0</v>
      </c>
      <c r="BA369" s="1">
        <v>0.0</v>
      </c>
      <c r="BB369" s="1">
        <v>0.0</v>
      </c>
      <c r="BC369" s="1">
        <v>0.0</v>
      </c>
      <c r="BD369" s="1">
        <v>0.0</v>
      </c>
      <c r="BE369" s="1">
        <v>0.0</v>
      </c>
      <c r="BF369" s="1">
        <v>0.0</v>
      </c>
      <c r="BG369" s="1">
        <v>0.0</v>
      </c>
      <c r="BH369" s="1">
        <v>0.0</v>
      </c>
      <c r="BI369" s="1">
        <v>0.0</v>
      </c>
      <c r="BJ369" s="1">
        <v>0.0</v>
      </c>
      <c r="BP369" s="1">
        <v>0.266</v>
      </c>
      <c r="BQ369" s="1" t="s">
        <v>1986</v>
      </c>
      <c r="BV369" s="1">
        <v>1.1</v>
      </c>
      <c r="EQ369" s="9" t="s">
        <v>1985</v>
      </c>
      <c r="ER369" s="21">
        <v>46045.29833333333</v>
      </c>
    </row>
    <row r="370">
      <c r="A370" s="9" t="s">
        <v>1987</v>
      </c>
      <c r="B370" s="20" t="str">
        <f>IFERROR(__xludf.DUMMYFUNCTION("REGEXREPLACE(A370, ""^https?://[^/]+"", """")"),"/wp-content/uploads/2024/06/Zuckman_Bobby-225x225.jpg")</f>
        <v>/wp-content/uploads/2024/06/Zuckman_Bobby-225x225.jpg</v>
      </c>
      <c r="F370" s="1" t="s">
        <v>1004</v>
      </c>
      <c r="G370" s="1">
        <v>200.0</v>
      </c>
      <c r="H370" s="1" t="s">
        <v>966</v>
      </c>
      <c r="I370" s="1" t="s">
        <v>967</v>
      </c>
      <c r="L370" s="1">
        <v>0.0</v>
      </c>
      <c r="M370" s="1">
        <v>0.0</v>
      </c>
      <c r="O370" s="1">
        <v>0.0</v>
      </c>
      <c r="P370" s="1">
        <v>0.0</v>
      </c>
      <c r="R370" s="1">
        <v>0.0</v>
      </c>
      <c r="S370" s="1">
        <v>0.0</v>
      </c>
      <c r="U370" s="1">
        <v>0.0</v>
      </c>
      <c r="W370" s="1">
        <v>0.0</v>
      </c>
      <c r="Y370" s="1">
        <v>0.0</v>
      </c>
      <c r="AA370" s="1">
        <v>0.0</v>
      </c>
      <c r="AC370" s="1">
        <v>0.0</v>
      </c>
      <c r="AM370" s="1">
        <v>8962.0</v>
      </c>
      <c r="AN370" s="1">
        <v>8962.0</v>
      </c>
      <c r="AO370" s="1">
        <v>8962.0</v>
      </c>
      <c r="AP370" s="1">
        <v>3.433</v>
      </c>
      <c r="AR370" s="1">
        <v>0.0</v>
      </c>
      <c r="AW370" s="1">
        <v>0.0</v>
      </c>
      <c r="AX370" s="1">
        <v>2.0</v>
      </c>
      <c r="AY370" s="1">
        <v>4.0</v>
      </c>
      <c r="BA370" s="1">
        <v>0.0</v>
      </c>
      <c r="BB370" s="1">
        <v>0.0</v>
      </c>
      <c r="BC370" s="1">
        <v>0.0</v>
      </c>
      <c r="BD370" s="1">
        <v>0.0</v>
      </c>
      <c r="BE370" s="1">
        <v>0.0</v>
      </c>
      <c r="BF370" s="1">
        <v>0.0</v>
      </c>
      <c r="BG370" s="1">
        <v>0.0</v>
      </c>
      <c r="BH370" s="1">
        <v>0.0</v>
      </c>
      <c r="BI370" s="1">
        <v>0.0</v>
      </c>
      <c r="BJ370" s="1">
        <v>0.0</v>
      </c>
      <c r="BP370" s="1">
        <v>0.276</v>
      </c>
      <c r="BQ370" s="1" t="s">
        <v>1988</v>
      </c>
      <c r="BV370" s="1">
        <v>1.1</v>
      </c>
      <c r="EQ370" s="9" t="s">
        <v>1987</v>
      </c>
      <c r="ER370" s="21">
        <v>46045.29833333333</v>
      </c>
    </row>
    <row r="371">
      <c r="A371" s="9" t="s">
        <v>1989</v>
      </c>
      <c r="B371" s="20" t="str">
        <f>IFERROR(__xludf.DUMMYFUNCTION("REGEXREPLACE(A371, ""^https?://[^/]+"", """")"),"/wp-content/uploads/2022/04/Halasz-Susie-275x275-1-225x225.jpg")</f>
        <v>/wp-content/uploads/2022/04/Halasz-Susie-275x275-1-225x225.jpg</v>
      </c>
      <c r="F371" s="1" t="s">
        <v>1004</v>
      </c>
      <c r="G371" s="1">
        <v>200.0</v>
      </c>
      <c r="H371" s="1" t="s">
        <v>966</v>
      </c>
      <c r="I371" s="1" t="s">
        <v>967</v>
      </c>
      <c r="L371" s="1">
        <v>0.0</v>
      </c>
      <c r="M371" s="1">
        <v>0.0</v>
      </c>
      <c r="O371" s="1">
        <v>0.0</v>
      </c>
      <c r="P371" s="1">
        <v>0.0</v>
      </c>
      <c r="R371" s="1">
        <v>0.0</v>
      </c>
      <c r="S371" s="1">
        <v>0.0</v>
      </c>
      <c r="U371" s="1">
        <v>0.0</v>
      </c>
      <c r="W371" s="1">
        <v>0.0</v>
      </c>
      <c r="Y371" s="1">
        <v>0.0</v>
      </c>
      <c r="AA371" s="1">
        <v>0.0</v>
      </c>
      <c r="AC371" s="1">
        <v>0.0</v>
      </c>
      <c r="AM371" s="1">
        <v>10750.0</v>
      </c>
      <c r="AN371" s="1">
        <v>10750.0</v>
      </c>
      <c r="AO371" s="1">
        <v>10750.0</v>
      </c>
      <c r="AP371" s="1">
        <v>4.118</v>
      </c>
      <c r="AR371" s="1">
        <v>0.0</v>
      </c>
      <c r="AW371" s="1">
        <v>0.0</v>
      </c>
      <c r="AX371" s="1">
        <v>2.0</v>
      </c>
      <c r="AY371" s="1">
        <v>4.0</v>
      </c>
      <c r="BA371" s="1">
        <v>0.0</v>
      </c>
      <c r="BB371" s="1">
        <v>0.0</v>
      </c>
      <c r="BC371" s="1">
        <v>0.0</v>
      </c>
      <c r="BD371" s="1">
        <v>0.0</v>
      </c>
      <c r="BE371" s="1">
        <v>0.0</v>
      </c>
      <c r="BF371" s="1">
        <v>0.0</v>
      </c>
      <c r="BG371" s="1">
        <v>0.0</v>
      </c>
      <c r="BH371" s="1">
        <v>0.0</v>
      </c>
      <c r="BI371" s="1">
        <v>0.0</v>
      </c>
      <c r="BJ371" s="1">
        <v>0.0</v>
      </c>
      <c r="BP371" s="1">
        <v>0.28</v>
      </c>
      <c r="BQ371" s="1" t="s">
        <v>1990</v>
      </c>
      <c r="BV371" s="1">
        <v>1.1</v>
      </c>
      <c r="EQ371" s="9" t="s">
        <v>1989</v>
      </c>
      <c r="ER371" s="21">
        <v>46045.29833333333</v>
      </c>
    </row>
    <row r="372">
      <c r="A372" s="9" t="s">
        <v>1991</v>
      </c>
      <c r="B372" s="20" t="str">
        <f>IFERROR(__xludf.DUMMYFUNCTION("REGEXREPLACE(A372, ""^https?://[^/]+"", """")"),"/wp-content/uploads/2024/10/Gill_John-225x225.jpg")</f>
        <v>/wp-content/uploads/2024/10/Gill_John-225x225.jpg</v>
      </c>
      <c r="F372" s="1" t="s">
        <v>1004</v>
      </c>
      <c r="G372" s="1">
        <v>200.0</v>
      </c>
      <c r="H372" s="1" t="s">
        <v>966</v>
      </c>
      <c r="I372" s="1" t="s">
        <v>967</v>
      </c>
      <c r="L372" s="1">
        <v>0.0</v>
      </c>
      <c r="M372" s="1">
        <v>0.0</v>
      </c>
      <c r="O372" s="1">
        <v>0.0</v>
      </c>
      <c r="P372" s="1">
        <v>0.0</v>
      </c>
      <c r="R372" s="1">
        <v>0.0</v>
      </c>
      <c r="S372" s="1">
        <v>0.0</v>
      </c>
      <c r="U372" s="1">
        <v>0.0</v>
      </c>
      <c r="W372" s="1">
        <v>0.0</v>
      </c>
      <c r="Y372" s="1">
        <v>0.0</v>
      </c>
      <c r="AA372" s="1">
        <v>0.0</v>
      </c>
      <c r="AC372" s="1">
        <v>0.0</v>
      </c>
      <c r="AM372" s="1">
        <v>8876.0</v>
      </c>
      <c r="AN372" s="1">
        <v>8876.0</v>
      </c>
      <c r="AO372" s="1">
        <v>8876.0</v>
      </c>
      <c r="AP372" s="1">
        <v>3.4</v>
      </c>
      <c r="AR372" s="1">
        <v>0.0</v>
      </c>
      <c r="AW372" s="1">
        <v>0.0</v>
      </c>
      <c r="AX372" s="1">
        <v>2.0</v>
      </c>
      <c r="AY372" s="1">
        <v>4.0</v>
      </c>
      <c r="BA372" s="1">
        <v>0.0</v>
      </c>
      <c r="BB372" s="1">
        <v>0.0</v>
      </c>
      <c r="BC372" s="1">
        <v>0.0</v>
      </c>
      <c r="BD372" s="1">
        <v>0.0</v>
      </c>
      <c r="BE372" s="1">
        <v>0.0</v>
      </c>
      <c r="BF372" s="1">
        <v>0.0</v>
      </c>
      <c r="BG372" s="1">
        <v>0.0</v>
      </c>
      <c r="BH372" s="1">
        <v>0.0</v>
      </c>
      <c r="BI372" s="1">
        <v>0.0</v>
      </c>
      <c r="BJ372" s="1">
        <v>0.0</v>
      </c>
      <c r="BP372" s="1">
        <v>0.283</v>
      </c>
      <c r="BQ372" s="1" t="s">
        <v>1992</v>
      </c>
      <c r="BV372" s="1">
        <v>1.1</v>
      </c>
      <c r="EQ372" s="9" t="s">
        <v>1991</v>
      </c>
      <c r="ER372" s="21">
        <v>46045.29833333333</v>
      </c>
    </row>
    <row r="373">
      <c r="A373" s="9" t="s">
        <v>1993</v>
      </c>
      <c r="B373" s="20" t="str">
        <f>IFERROR(__xludf.DUMMYFUNCTION("REGEXREPLACE(A373, ""^https?://[^/]+"", """")"),"/wp-content/uploads/2024/02/Lopes-Chris-225x225.jpg")</f>
        <v>/wp-content/uploads/2024/02/Lopes-Chris-225x225.jpg</v>
      </c>
      <c r="F373" s="1" t="s">
        <v>1004</v>
      </c>
      <c r="G373" s="1">
        <v>200.0</v>
      </c>
      <c r="H373" s="1" t="s">
        <v>966</v>
      </c>
      <c r="I373" s="1" t="s">
        <v>967</v>
      </c>
      <c r="L373" s="1">
        <v>0.0</v>
      </c>
      <c r="M373" s="1">
        <v>0.0</v>
      </c>
      <c r="O373" s="1">
        <v>0.0</v>
      </c>
      <c r="P373" s="1">
        <v>0.0</v>
      </c>
      <c r="R373" s="1">
        <v>0.0</v>
      </c>
      <c r="S373" s="1">
        <v>0.0</v>
      </c>
      <c r="U373" s="1">
        <v>0.0</v>
      </c>
      <c r="W373" s="1">
        <v>0.0</v>
      </c>
      <c r="Y373" s="1">
        <v>0.0</v>
      </c>
      <c r="AA373" s="1">
        <v>0.0</v>
      </c>
      <c r="AC373" s="1">
        <v>0.0</v>
      </c>
      <c r="AM373" s="1">
        <v>8404.0</v>
      </c>
      <c r="AN373" s="1">
        <v>8404.0</v>
      </c>
      <c r="AO373" s="1">
        <v>8404.0</v>
      </c>
      <c r="AP373" s="1">
        <v>3.219</v>
      </c>
      <c r="AR373" s="1">
        <v>0.0</v>
      </c>
      <c r="AW373" s="1">
        <v>0.0</v>
      </c>
      <c r="AX373" s="1">
        <v>2.0</v>
      </c>
      <c r="AY373" s="1">
        <v>4.0</v>
      </c>
      <c r="BA373" s="1">
        <v>0.0</v>
      </c>
      <c r="BB373" s="1">
        <v>0.0</v>
      </c>
      <c r="BC373" s="1">
        <v>0.0</v>
      </c>
      <c r="BD373" s="1">
        <v>0.0</v>
      </c>
      <c r="BE373" s="1">
        <v>0.0</v>
      </c>
      <c r="BF373" s="1">
        <v>0.0</v>
      </c>
      <c r="BG373" s="1">
        <v>0.0</v>
      </c>
      <c r="BH373" s="1">
        <v>0.0</v>
      </c>
      <c r="BI373" s="1">
        <v>0.0</v>
      </c>
      <c r="BJ373" s="1">
        <v>0.0</v>
      </c>
      <c r="BP373" s="1">
        <v>0.267</v>
      </c>
      <c r="BQ373" s="1" t="s">
        <v>1994</v>
      </c>
      <c r="BV373" s="1">
        <v>1.1</v>
      </c>
      <c r="EQ373" s="9" t="s">
        <v>1993</v>
      </c>
      <c r="ER373" s="21">
        <v>46045.29833333333</v>
      </c>
    </row>
    <row r="374">
      <c r="A374" s="9" t="s">
        <v>1995</v>
      </c>
      <c r="B374" s="20" t="str">
        <f>IFERROR(__xludf.DUMMYFUNCTION("REGEXREPLACE(A374, ""^https?://[^/]+"", """")"),"/wp-content/uploads/2017/01/Joe-Jackson-1-225x225.jpg")</f>
        <v>/wp-content/uploads/2017/01/Joe-Jackson-1-225x225.jpg</v>
      </c>
      <c r="F374" s="1" t="s">
        <v>1004</v>
      </c>
      <c r="G374" s="1">
        <v>200.0</v>
      </c>
      <c r="H374" s="1" t="s">
        <v>966</v>
      </c>
      <c r="I374" s="1" t="s">
        <v>967</v>
      </c>
      <c r="L374" s="1">
        <v>0.0</v>
      </c>
      <c r="M374" s="1">
        <v>0.0</v>
      </c>
      <c r="O374" s="1">
        <v>0.0</v>
      </c>
      <c r="P374" s="1">
        <v>0.0</v>
      </c>
      <c r="R374" s="1">
        <v>0.0</v>
      </c>
      <c r="S374" s="1">
        <v>0.0</v>
      </c>
      <c r="U374" s="1">
        <v>0.0</v>
      </c>
      <c r="W374" s="1">
        <v>0.0</v>
      </c>
      <c r="Y374" s="1">
        <v>0.0</v>
      </c>
      <c r="AA374" s="1">
        <v>0.0</v>
      </c>
      <c r="AC374" s="1">
        <v>0.0</v>
      </c>
      <c r="AM374" s="1">
        <v>7724.0</v>
      </c>
      <c r="AN374" s="1">
        <v>7724.0</v>
      </c>
      <c r="AO374" s="1">
        <v>7724.0</v>
      </c>
      <c r="AP374" s="1">
        <v>2.959</v>
      </c>
      <c r="AR374" s="1">
        <v>0.0</v>
      </c>
      <c r="AW374" s="1">
        <v>0.0</v>
      </c>
      <c r="AX374" s="1">
        <v>2.0</v>
      </c>
      <c r="AY374" s="1">
        <v>4.0</v>
      </c>
      <c r="BA374" s="1">
        <v>0.0</v>
      </c>
      <c r="BB374" s="1">
        <v>0.0</v>
      </c>
      <c r="BC374" s="1">
        <v>0.0</v>
      </c>
      <c r="BD374" s="1">
        <v>0.0</v>
      </c>
      <c r="BE374" s="1">
        <v>0.0</v>
      </c>
      <c r="BF374" s="1">
        <v>0.0</v>
      </c>
      <c r="BG374" s="1">
        <v>0.0</v>
      </c>
      <c r="BH374" s="1">
        <v>0.0</v>
      </c>
      <c r="BI374" s="1">
        <v>0.0</v>
      </c>
      <c r="BJ374" s="1">
        <v>0.0</v>
      </c>
      <c r="BP374" s="1">
        <v>0.265</v>
      </c>
      <c r="BQ374" s="1" t="s">
        <v>1996</v>
      </c>
      <c r="BV374" s="1">
        <v>1.1</v>
      </c>
      <c r="EQ374" s="9" t="s">
        <v>1995</v>
      </c>
      <c r="ER374" s="21">
        <v>46045.29833333333</v>
      </c>
    </row>
    <row r="375">
      <c r="A375" s="9" t="s">
        <v>1997</v>
      </c>
      <c r="B375" s="20" t="str">
        <f>IFERROR(__xludf.DUMMYFUNCTION("REGEXREPLACE(A375, ""^https?://[^/]+"", """")"),"/wp-content/uploads/2025/03/Gagnon-Gary-225x225.jpg")</f>
        <v>/wp-content/uploads/2025/03/Gagnon-Gary-225x225.jpg</v>
      </c>
      <c r="F375" s="1" t="s">
        <v>1004</v>
      </c>
      <c r="G375" s="1">
        <v>200.0</v>
      </c>
      <c r="H375" s="1" t="s">
        <v>966</v>
      </c>
      <c r="I375" s="1" t="s">
        <v>967</v>
      </c>
      <c r="L375" s="1">
        <v>0.0</v>
      </c>
      <c r="M375" s="1">
        <v>0.0</v>
      </c>
      <c r="O375" s="1">
        <v>0.0</v>
      </c>
      <c r="P375" s="1">
        <v>0.0</v>
      </c>
      <c r="R375" s="1">
        <v>0.0</v>
      </c>
      <c r="S375" s="1">
        <v>0.0</v>
      </c>
      <c r="U375" s="1">
        <v>0.0</v>
      </c>
      <c r="W375" s="1">
        <v>0.0</v>
      </c>
      <c r="Y375" s="1">
        <v>0.0</v>
      </c>
      <c r="AA375" s="1">
        <v>0.0</v>
      </c>
      <c r="AC375" s="1">
        <v>0.0</v>
      </c>
      <c r="AM375" s="1">
        <v>9622.0</v>
      </c>
      <c r="AN375" s="1">
        <v>9622.0</v>
      </c>
      <c r="AO375" s="1">
        <v>9622.0</v>
      </c>
      <c r="AP375" s="1">
        <v>3.686</v>
      </c>
      <c r="AR375" s="1">
        <v>0.0</v>
      </c>
      <c r="AW375" s="1">
        <v>0.0</v>
      </c>
      <c r="AX375" s="1">
        <v>2.0</v>
      </c>
      <c r="AY375" s="1">
        <v>4.0</v>
      </c>
      <c r="BA375" s="1">
        <v>0.0</v>
      </c>
      <c r="BB375" s="1">
        <v>0.0</v>
      </c>
      <c r="BC375" s="1">
        <v>0.0</v>
      </c>
      <c r="BD375" s="1">
        <v>0.0</v>
      </c>
      <c r="BE375" s="1">
        <v>0.0</v>
      </c>
      <c r="BF375" s="1">
        <v>0.0</v>
      </c>
      <c r="BG375" s="1">
        <v>0.0</v>
      </c>
      <c r="BH375" s="1">
        <v>0.0</v>
      </c>
      <c r="BI375" s="1">
        <v>0.0</v>
      </c>
      <c r="BJ375" s="1">
        <v>0.0</v>
      </c>
      <c r="BP375" s="1">
        <v>0.271</v>
      </c>
      <c r="BQ375" s="1" t="s">
        <v>1998</v>
      </c>
      <c r="BV375" s="1">
        <v>1.1</v>
      </c>
      <c r="EQ375" s="9" t="s">
        <v>1997</v>
      </c>
      <c r="ER375" s="21">
        <v>46045.29833333333</v>
      </c>
    </row>
    <row r="376">
      <c r="A376" s="9" t="s">
        <v>1999</v>
      </c>
      <c r="B376" s="20" t="str">
        <f>IFERROR(__xludf.DUMMYFUNCTION("REGEXREPLACE(A376, ""^https?://[^/]+"", """")"),"/wp-content/uploads/2025/06/Richie_Bryant-225x225.jpg")</f>
        <v>/wp-content/uploads/2025/06/Richie_Bryant-225x225.jpg</v>
      </c>
      <c r="F376" s="1" t="s">
        <v>1004</v>
      </c>
      <c r="G376" s="1">
        <v>200.0</v>
      </c>
      <c r="H376" s="1" t="s">
        <v>966</v>
      </c>
      <c r="I376" s="1" t="s">
        <v>967</v>
      </c>
      <c r="L376" s="1">
        <v>0.0</v>
      </c>
      <c r="M376" s="1">
        <v>0.0</v>
      </c>
      <c r="O376" s="1">
        <v>0.0</v>
      </c>
      <c r="P376" s="1">
        <v>0.0</v>
      </c>
      <c r="R376" s="1">
        <v>0.0</v>
      </c>
      <c r="S376" s="1">
        <v>0.0</v>
      </c>
      <c r="U376" s="1">
        <v>0.0</v>
      </c>
      <c r="W376" s="1">
        <v>0.0</v>
      </c>
      <c r="Y376" s="1">
        <v>0.0</v>
      </c>
      <c r="AA376" s="1">
        <v>0.0</v>
      </c>
      <c r="AC376" s="1">
        <v>0.0</v>
      </c>
      <c r="AM376" s="1">
        <v>8644.0</v>
      </c>
      <c r="AN376" s="1">
        <v>8644.0</v>
      </c>
      <c r="AO376" s="1">
        <v>8644.0</v>
      </c>
      <c r="AP376" s="1">
        <v>3.311</v>
      </c>
      <c r="AR376" s="1">
        <v>0.0</v>
      </c>
      <c r="AW376" s="1">
        <v>0.0</v>
      </c>
      <c r="AX376" s="1">
        <v>2.0</v>
      </c>
      <c r="AY376" s="1">
        <v>4.0</v>
      </c>
      <c r="BA376" s="1">
        <v>0.0</v>
      </c>
      <c r="BB376" s="1">
        <v>0.0</v>
      </c>
      <c r="BC376" s="1">
        <v>0.0</v>
      </c>
      <c r="BD376" s="1">
        <v>0.0</v>
      </c>
      <c r="BE376" s="1">
        <v>0.0</v>
      </c>
      <c r="BF376" s="1">
        <v>0.0</v>
      </c>
      <c r="BG376" s="1">
        <v>0.0</v>
      </c>
      <c r="BH376" s="1">
        <v>0.0</v>
      </c>
      <c r="BI376" s="1">
        <v>0.0</v>
      </c>
      <c r="BJ376" s="1">
        <v>0.0</v>
      </c>
      <c r="BP376" s="1">
        <v>0.269</v>
      </c>
      <c r="BQ376" s="1" t="s">
        <v>2000</v>
      </c>
      <c r="BV376" s="1">
        <v>1.1</v>
      </c>
      <c r="EQ376" s="9" t="s">
        <v>1999</v>
      </c>
      <c r="ER376" s="21">
        <v>46045.29833333333</v>
      </c>
    </row>
    <row r="377">
      <c r="A377" s="9" t="s">
        <v>2001</v>
      </c>
      <c r="B377" s="20" t="str">
        <f>IFERROR(__xludf.DUMMYFUNCTION("REGEXREPLACE(A377, ""^https?://[^/]+"", """")"),"/wp-content/uploads/2025/10/Uberoy_Vikas-225x225.jpg")</f>
        <v>/wp-content/uploads/2025/10/Uberoy_Vikas-225x225.jpg</v>
      </c>
      <c r="F377" s="1" t="s">
        <v>1004</v>
      </c>
      <c r="G377" s="1">
        <v>200.0</v>
      </c>
      <c r="H377" s="1" t="s">
        <v>966</v>
      </c>
      <c r="I377" s="1" t="s">
        <v>967</v>
      </c>
      <c r="L377" s="1">
        <v>0.0</v>
      </c>
      <c r="M377" s="1">
        <v>0.0</v>
      </c>
      <c r="O377" s="1">
        <v>0.0</v>
      </c>
      <c r="P377" s="1">
        <v>0.0</v>
      </c>
      <c r="R377" s="1">
        <v>0.0</v>
      </c>
      <c r="S377" s="1">
        <v>0.0</v>
      </c>
      <c r="U377" s="1">
        <v>0.0</v>
      </c>
      <c r="W377" s="1">
        <v>0.0</v>
      </c>
      <c r="Y377" s="1">
        <v>0.0</v>
      </c>
      <c r="AA377" s="1">
        <v>0.0</v>
      </c>
      <c r="AC377" s="1">
        <v>0.0</v>
      </c>
      <c r="AM377" s="1">
        <v>10038.0</v>
      </c>
      <c r="AN377" s="1">
        <v>10038.0</v>
      </c>
      <c r="AO377" s="1">
        <v>10038.0</v>
      </c>
      <c r="AP377" s="1">
        <v>3.845</v>
      </c>
      <c r="AR377" s="1">
        <v>0.0</v>
      </c>
      <c r="AW377" s="1">
        <v>0.0</v>
      </c>
      <c r="AX377" s="1">
        <v>2.0</v>
      </c>
      <c r="AY377" s="1">
        <v>4.0</v>
      </c>
      <c r="BA377" s="1">
        <v>0.0</v>
      </c>
      <c r="BB377" s="1">
        <v>0.0</v>
      </c>
      <c r="BC377" s="1">
        <v>0.0</v>
      </c>
      <c r="BD377" s="1">
        <v>0.0</v>
      </c>
      <c r="BE377" s="1">
        <v>0.0</v>
      </c>
      <c r="BF377" s="1">
        <v>0.0</v>
      </c>
      <c r="BG377" s="1">
        <v>0.0</v>
      </c>
      <c r="BH377" s="1">
        <v>0.0</v>
      </c>
      <c r="BI377" s="1">
        <v>0.0</v>
      </c>
      <c r="BJ377" s="1">
        <v>0.0</v>
      </c>
      <c r="BP377" s="1">
        <v>0.264</v>
      </c>
      <c r="BQ377" s="1" t="s">
        <v>2002</v>
      </c>
      <c r="BV377" s="1">
        <v>1.1</v>
      </c>
      <c r="EQ377" s="9" t="s">
        <v>2001</v>
      </c>
      <c r="ER377" s="21">
        <v>46045.29834490741</v>
      </c>
    </row>
    <row r="378">
      <c r="A378" s="9" t="s">
        <v>2003</v>
      </c>
      <c r="B378" s="20" t="str">
        <f>IFERROR(__xludf.DUMMYFUNCTION("REGEXREPLACE(A378, ""^https?://[^/]+"", """")"),"/wp-content/uploads/2022/04/Callen-Todd-275x275-1-225x225.jpg")</f>
        <v>/wp-content/uploads/2022/04/Callen-Todd-275x275-1-225x225.jpg</v>
      </c>
      <c r="F378" s="1" t="s">
        <v>1004</v>
      </c>
      <c r="G378" s="1">
        <v>200.0</v>
      </c>
      <c r="H378" s="1" t="s">
        <v>966</v>
      </c>
      <c r="I378" s="1" t="s">
        <v>967</v>
      </c>
      <c r="L378" s="1">
        <v>0.0</v>
      </c>
      <c r="M378" s="1">
        <v>0.0</v>
      </c>
      <c r="O378" s="1">
        <v>0.0</v>
      </c>
      <c r="P378" s="1">
        <v>0.0</v>
      </c>
      <c r="R378" s="1">
        <v>0.0</v>
      </c>
      <c r="S378" s="1">
        <v>0.0</v>
      </c>
      <c r="U378" s="1">
        <v>0.0</v>
      </c>
      <c r="W378" s="1">
        <v>0.0</v>
      </c>
      <c r="Y378" s="1">
        <v>0.0</v>
      </c>
      <c r="AA378" s="1">
        <v>0.0</v>
      </c>
      <c r="AC378" s="1">
        <v>0.0</v>
      </c>
      <c r="AM378" s="1">
        <v>8616.0</v>
      </c>
      <c r="AN378" s="1">
        <v>8616.0</v>
      </c>
      <c r="AO378" s="1">
        <v>8616.0</v>
      </c>
      <c r="AP378" s="1">
        <v>3.301</v>
      </c>
      <c r="AR378" s="1">
        <v>0.0</v>
      </c>
      <c r="AW378" s="1">
        <v>0.0</v>
      </c>
      <c r="AX378" s="1">
        <v>2.0</v>
      </c>
      <c r="AY378" s="1">
        <v>4.0</v>
      </c>
      <c r="BA378" s="1">
        <v>0.0</v>
      </c>
      <c r="BB378" s="1">
        <v>0.0</v>
      </c>
      <c r="BC378" s="1">
        <v>0.0</v>
      </c>
      <c r="BD378" s="1">
        <v>0.0</v>
      </c>
      <c r="BE378" s="1">
        <v>0.0</v>
      </c>
      <c r="BF378" s="1">
        <v>0.0</v>
      </c>
      <c r="BG378" s="1">
        <v>0.0</v>
      </c>
      <c r="BH378" s="1">
        <v>0.0</v>
      </c>
      <c r="BI378" s="1">
        <v>0.0</v>
      </c>
      <c r="BJ378" s="1">
        <v>0.0</v>
      </c>
      <c r="BP378" s="1">
        <v>0.277</v>
      </c>
      <c r="BQ378" s="1" t="s">
        <v>2004</v>
      </c>
      <c r="BV378" s="1">
        <v>1.1</v>
      </c>
      <c r="EQ378" s="9" t="s">
        <v>2003</v>
      </c>
      <c r="ER378" s="21">
        <v>46045.29834490741</v>
      </c>
    </row>
    <row r="379">
      <c r="A379" s="9" t="s">
        <v>2005</v>
      </c>
      <c r="B379" s="20" t="str">
        <f>IFERROR(__xludf.DUMMYFUNCTION("REGEXREPLACE(A379, ""^https?://[^/]+"", """")"),"/wp-content/uploads/2022/04/Jaques-225x225.jpg")</f>
        <v>/wp-content/uploads/2022/04/Jaques-225x225.jpg</v>
      </c>
      <c r="F379" s="1" t="s">
        <v>1004</v>
      </c>
      <c r="G379" s="1">
        <v>200.0</v>
      </c>
      <c r="H379" s="1" t="s">
        <v>966</v>
      </c>
      <c r="I379" s="1" t="s">
        <v>967</v>
      </c>
      <c r="L379" s="1">
        <v>0.0</v>
      </c>
      <c r="M379" s="1">
        <v>0.0</v>
      </c>
      <c r="O379" s="1">
        <v>0.0</v>
      </c>
      <c r="P379" s="1">
        <v>0.0</v>
      </c>
      <c r="R379" s="1">
        <v>0.0</v>
      </c>
      <c r="S379" s="1">
        <v>0.0</v>
      </c>
      <c r="U379" s="1">
        <v>0.0</v>
      </c>
      <c r="W379" s="1">
        <v>0.0</v>
      </c>
      <c r="Y379" s="1">
        <v>0.0</v>
      </c>
      <c r="AA379" s="1">
        <v>0.0</v>
      </c>
      <c r="AC379" s="1">
        <v>0.0</v>
      </c>
      <c r="AM379" s="1">
        <v>9248.0</v>
      </c>
      <c r="AN379" s="1">
        <v>9248.0</v>
      </c>
      <c r="AO379" s="1">
        <v>9248.0</v>
      </c>
      <c r="AP379" s="1">
        <v>3.543</v>
      </c>
      <c r="AR379" s="1">
        <v>0.0</v>
      </c>
      <c r="AW379" s="1">
        <v>0.0</v>
      </c>
      <c r="AX379" s="1">
        <v>2.0</v>
      </c>
      <c r="AY379" s="1">
        <v>4.0</v>
      </c>
      <c r="BA379" s="1">
        <v>0.0</v>
      </c>
      <c r="BB379" s="1">
        <v>0.0</v>
      </c>
      <c r="BC379" s="1">
        <v>0.0</v>
      </c>
      <c r="BD379" s="1">
        <v>0.0</v>
      </c>
      <c r="BE379" s="1">
        <v>0.0</v>
      </c>
      <c r="BF379" s="1">
        <v>0.0</v>
      </c>
      <c r="BG379" s="1">
        <v>0.0</v>
      </c>
      <c r="BH379" s="1">
        <v>0.0</v>
      </c>
      <c r="BI379" s="1">
        <v>0.0</v>
      </c>
      <c r="BJ379" s="1">
        <v>0.0</v>
      </c>
      <c r="BP379" s="1">
        <v>0.268</v>
      </c>
      <c r="BQ379" s="1" t="s">
        <v>2006</v>
      </c>
      <c r="BV379" s="1">
        <v>1.1</v>
      </c>
      <c r="EQ379" s="9" t="s">
        <v>2005</v>
      </c>
      <c r="ER379" s="21">
        <v>46045.29834490741</v>
      </c>
    </row>
    <row r="380">
      <c r="A380" s="9" t="s">
        <v>2007</v>
      </c>
      <c r="B380" s="20" t="str">
        <f>IFERROR(__xludf.DUMMYFUNCTION("REGEXREPLACE(A380, ""^https?://[^/]+"", """")"),"/wp-content/uploads/2024/08/Murphy_Chris-225x225.jpg")</f>
        <v>/wp-content/uploads/2024/08/Murphy_Chris-225x225.jpg</v>
      </c>
      <c r="F380" s="1" t="s">
        <v>1004</v>
      </c>
      <c r="G380" s="1">
        <v>200.0</v>
      </c>
      <c r="H380" s="1" t="s">
        <v>966</v>
      </c>
      <c r="I380" s="1" t="s">
        <v>967</v>
      </c>
      <c r="L380" s="1">
        <v>0.0</v>
      </c>
      <c r="M380" s="1">
        <v>0.0</v>
      </c>
      <c r="O380" s="1">
        <v>0.0</v>
      </c>
      <c r="P380" s="1">
        <v>0.0</v>
      </c>
      <c r="R380" s="1">
        <v>0.0</v>
      </c>
      <c r="S380" s="1">
        <v>0.0</v>
      </c>
      <c r="U380" s="1">
        <v>0.0</v>
      </c>
      <c r="W380" s="1">
        <v>0.0</v>
      </c>
      <c r="Y380" s="1">
        <v>0.0</v>
      </c>
      <c r="AA380" s="1">
        <v>0.0</v>
      </c>
      <c r="AC380" s="1">
        <v>0.0</v>
      </c>
      <c r="AM380" s="1">
        <v>9212.0</v>
      </c>
      <c r="AN380" s="1">
        <v>9212.0</v>
      </c>
      <c r="AO380" s="1">
        <v>9212.0</v>
      </c>
      <c r="AP380" s="1">
        <v>3.529</v>
      </c>
      <c r="AR380" s="1">
        <v>0.0</v>
      </c>
      <c r="AW380" s="1">
        <v>0.0</v>
      </c>
      <c r="AX380" s="1">
        <v>2.0</v>
      </c>
      <c r="AY380" s="1">
        <v>4.0</v>
      </c>
      <c r="BA380" s="1">
        <v>0.0</v>
      </c>
      <c r="BB380" s="1">
        <v>0.0</v>
      </c>
      <c r="BC380" s="1">
        <v>0.0</v>
      </c>
      <c r="BD380" s="1">
        <v>0.0</v>
      </c>
      <c r="BE380" s="1">
        <v>0.0</v>
      </c>
      <c r="BF380" s="1">
        <v>0.0</v>
      </c>
      <c r="BG380" s="1">
        <v>0.0</v>
      </c>
      <c r="BH380" s="1">
        <v>0.0</v>
      </c>
      <c r="BI380" s="1">
        <v>0.0</v>
      </c>
      <c r="BJ380" s="1">
        <v>0.0</v>
      </c>
      <c r="BP380" s="1">
        <v>0.274</v>
      </c>
      <c r="BQ380" s="1" t="s">
        <v>2008</v>
      </c>
      <c r="BV380" s="1">
        <v>1.1</v>
      </c>
      <c r="EQ380" s="9" t="s">
        <v>2007</v>
      </c>
      <c r="ER380" s="21">
        <v>46045.29834490741</v>
      </c>
    </row>
    <row r="381">
      <c r="A381" s="9" t="s">
        <v>2009</v>
      </c>
      <c r="B381" s="20" t="str">
        <f>IFERROR(__xludf.DUMMYFUNCTION("REGEXREPLACE(A381, ""^https?://[^/]+"", """")"),"/wp-content/uploads/2022/04/Green-Peter-275x275-1-225x225.jpg")</f>
        <v>/wp-content/uploads/2022/04/Green-Peter-275x275-1-225x225.jpg</v>
      </c>
      <c r="F381" s="1" t="s">
        <v>1004</v>
      </c>
      <c r="G381" s="1">
        <v>200.0</v>
      </c>
      <c r="H381" s="1" t="s">
        <v>966</v>
      </c>
      <c r="I381" s="1" t="s">
        <v>967</v>
      </c>
      <c r="L381" s="1">
        <v>0.0</v>
      </c>
      <c r="M381" s="1">
        <v>0.0</v>
      </c>
      <c r="O381" s="1">
        <v>0.0</v>
      </c>
      <c r="P381" s="1">
        <v>0.0</v>
      </c>
      <c r="R381" s="1">
        <v>0.0</v>
      </c>
      <c r="S381" s="1">
        <v>0.0</v>
      </c>
      <c r="U381" s="1">
        <v>0.0</v>
      </c>
      <c r="W381" s="1">
        <v>0.0</v>
      </c>
      <c r="Y381" s="1">
        <v>0.0</v>
      </c>
      <c r="AA381" s="1">
        <v>0.0</v>
      </c>
      <c r="AC381" s="1">
        <v>0.0</v>
      </c>
      <c r="AM381" s="1">
        <v>7704.0</v>
      </c>
      <c r="AN381" s="1">
        <v>7704.0</v>
      </c>
      <c r="AO381" s="1">
        <v>7704.0</v>
      </c>
      <c r="AP381" s="1">
        <v>2.951</v>
      </c>
      <c r="AR381" s="1">
        <v>0.0</v>
      </c>
      <c r="AW381" s="1">
        <v>0.0</v>
      </c>
      <c r="AX381" s="1">
        <v>2.0</v>
      </c>
      <c r="AY381" s="1">
        <v>4.0</v>
      </c>
      <c r="BA381" s="1">
        <v>0.0</v>
      </c>
      <c r="BB381" s="1">
        <v>0.0</v>
      </c>
      <c r="BC381" s="1">
        <v>0.0</v>
      </c>
      <c r="BD381" s="1">
        <v>0.0</v>
      </c>
      <c r="BE381" s="1">
        <v>0.0</v>
      </c>
      <c r="BF381" s="1">
        <v>0.0</v>
      </c>
      <c r="BG381" s="1">
        <v>0.0</v>
      </c>
      <c r="BH381" s="1">
        <v>0.0</v>
      </c>
      <c r="BI381" s="1">
        <v>0.0</v>
      </c>
      <c r="BJ381" s="1">
        <v>0.0</v>
      </c>
      <c r="BP381" s="1">
        <v>0.282</v>
      </c>
      <c r="BQ381" s="1" t="s">
        <v>2010</v>
      </c>
      <c r="BV381" s="1">
        <v>1.1</v>
      </c>
      <c r="EQ381" s="9" t="s">
        <v>2009</v>
      </c>
      <c r="ER381" s="21">
        <v>46045.29834490741</v>
      </c>
    </row>
    <row r="382">
      <c r="A382" s="9" t="s">
        <v>2011</v>
      </c>
      <c r="B382" s="20" t="str">
        <f>IFERROR(__xludf.DUMMYFUNCTION("REGEXREPLACE(A382, ""^https?://[^/]+"", """")"),"/wp-content/uploads/2025/05/Gerard_Phil-225x225.jpg")</f>
        <v>/wp-content/uploads/2025/05/Gerard_Phil-225x225.jpg</v>
      </c>
      <c r="F382" s="1" t="s">
        <v>1004</v>
      </c>
      <c r="G382" s="1">
        <v>200.0</v>
      </c>
      <c r="H382" s="1" t="s">
        <v>966</v>
      </c>
      <c r="I382" s="1" t="s">
        <v>967</v>
      </c>
      <c r="L382" s="1">
        <v>0.0</v>
      </c>
      <c r="M382" s="1">
        <v>0.0</v>
      </c>
      <c r="O382" s="1">
        <v>0.0</v>
      </c>
      <c r="P382" s="1">
        <v>0.0</v>
      </c>
      <c r="R382" s="1">
        <v>0.0</v>
      </c>
      <c r="S382" s="1">
        <v>0.0</v>
      </c>
      <c r="U382" s="1">
        <v>0.0</v>
      </c>
      <c r="W382" s="1">
        <v>0.0</v>
      </c>
      <c r="Y382" s="1">
        <v>0.0</v>
      </c>
      <c r="AA382" s="1">
        <v>0.0</v>
      </c>
      <c r="AC382" s="1">
        <v>0.0</v>
      </c>
      <c r="AM382" s="1">
        <v>7958.0</v>
      </c>
      <c r="AN382" s="1">
        <v>7958.0</v>
      </c>
      <c r="AO382" s="1">
        <v>7958.0</v>
      </c>
      <c r="AP382" s="1">
        <v>3.049</v>
      </c>
      <c r="AR382" s="1">
        <v>0.0</v>
      </c>
      <c r="AW382" s="1">
        <v>0.0</v>
      </c>
      <c r="AX382" s="1">
        <v>2.0</v>
      </c>
      <c r="AY382" s="1">
        <v>4.0</v>
      </c>
      <c r="BA382" s="1">
        <v>0.0</v>
      </c>
      <c r="BB382" s="1">
        <v>0.0</v>
      </c>
      <c r="BC382" s="1">
        <v>0.0</v>
      </c>
      <c r="BD382" s="1">
        <v>0.0</v>
      </c>
      <c r="BE382" s="1">
        <v>0.0</v>
      </c>
      <c r="BF382" s="1">
        <v>0.0</v>
      </c>
      <c r="BG382" s="1">
        <v>0.0</v>
      </c>
      <c r="BH382" s="1">
        <v>0.0</v>
      </c>
      <c r="BI382" s="1">
        <v>0.0</v>
      </c>
      <c r="BJ382" s="1">
        <v>0.0</v>
      </c>
      <c r="BP382" s="1">
        <v>0.268</v>
      </c>
      <c r="BQ382" s="1" t="s">
        <v>2012</v>
      </c>
      <c r="BV382" s="1">
        <v>1.1</v>
      </c>
      <c r="EQ382" s="9" t="s">
        <v>2011</v>
      </c>
      <c r="ER382" s="21">
        <v>46045.29834490741</v>
      </c>
    </row>
    <row r="383">
      <c r="A383" s="9" t="s">
        <v>2013</v>
      </c>
      <c r="B383" s="20" t="str">
        <f>IFERROR(__xludf.DUMMYFUNCTION("REGEXREPLACE(A383, ""^https?://[^/]+"", """")"),"/wp-content/uploads/2024/10/Klodnicki_John_Color-1-225x225.jpg")</f>
        <v>/wp-content/uploads/2024/10/Klodnicki_John_Color-1-225x225.jpg</v>
      </c>
      <c r="F383" s="1" t="s">
        <v>1004</v>
      </c>
      <c r="G383" s="1">
        <v>200.0</v>
      </c>
      <c r="H383" s="1" t="s">
        <v>966</v>
      </c>
      <c r="I383" s="1" t="s">
        <v>967</v>
      </c>
      <c r="L383" s="1">
        <v>0.0</v>
      </c>
      <c r="M383" s="1">
        <v>0.0</v>
      </c>
      <c r="O383" s="1">
        <v>0.0</v>
      </c>
      <c r="P383" s="1">
        <v>0.0</v>
      </c>
      <c r="R383" s="1">
        <v>0.0</v>
      </c>
      <c r="S383" s="1">
        <v>0.0</v>
      </c>
      <c r="U383" s="1">
        <v>0.0</v>
      </c>
      <c r="W383" s="1">
        <v>0.0</v>
      </c>
      <c r="Y383" s="1">
        <v>0.0</v>
      </c>
      <c r="AA383" s="1">
        <v>0.0</v>
      </c>
      <c r="AC383" s="1">
        <v>0.0</v>
      </c>
      <c r="AM383" s="1">
        <v>8228.0</v>
      </c>
      <c r="AN383" s="1">
        <v>8228.0</v>
      </c>
      <c r="AO383" s="1">
        <v>8228.0</v>
      </c>
      <c r="AP383" s="1">
        <v>3.152</v>
      </c>
      <c r="AR383" s="1">
        <v>0.0</v>
      </c>
      <c r="AW383" s="1">
        <v>0.0</v>
      </c>
      <c r="AX383" s="1">
        <v>2.0</v>
      </c>
      <c r="AY383" s="1">
        <v>4.0</v>
      </c>
      <c r="BA383" s="1">
        <v>0.0</v>
      </c>
      <c r="BB383" s="1">
        <v>0.0</v>
      </c>
      <c r="BC383" s="1">
        <v>0.0</v>
      </c>
      <c r="BD383" s="1">
        <v>0.0</v>
      </c>
      <c r="BE383" s="1">
        <v>0.0</v>
      </c>
      <c r="BF383" s="1">
        <v>0.0</v>
      </c>
      <c r="BG383" s="1">
        <v>0.0</v>
      </c>
      <c r="BH383" s="1">
        <v>0.0</v>
      </c>
      <c r="BI383" s="1">
        <v>0.0</v>
      </c>
      <c r="BJ383" s="1">
        <v>0.0</v>
      </c>
      <c r="BP383" s="1">
        <v>0.273</v>
      </c>
      <c r="BQ383" s="1" t="s">
        <v>2014</v>
      </c>
      <c r="BV383" s="1">
        <v>1.1</v>
      </c>
      <c r="EQ383" s="9" t="s">
        <v>2013</v>
      </c>
      <c r="ER383" s="21">
        <v>46045.29834490741</v>
      </c>
    </row>
    <row r="384">
      <c r="A384" s="9" t="s">
        <v>2015</v>
      </c>
      <c r="B384" s="20" t="str">
        <f>IFERROR(__xludf.DUMMYFUNCTION("REGEXREPLACE(A384, ""^https?://[^/]+"", """")"),"/wp-content/uploads/2025/10/Mulyk_Lisa-225x225.jpg")</f>
        <v>/wp-content/uploads/2025/10/Mulyk_Lisa-225x225.jpg</v>
      </c>
      <c r="F384" s="1" t="s">
        <v>1004</v>
      </c>
      <c r="G384" s="1">
        <v>200.0</v>
      </c>
      <c r="H384" s="1" t="s">
        <v>966</v>
      </c>
      <c r="I384" s="1" t="s">
        <v>967</v>
      </c>
      <c r="L384" s="1">
        <v>0.0</v>
      </c>
      <c r="M384" s="1">
        <v>0.0</v>
      </c>
      <c r="O384" s="1">
        <v>0.0</v>
      </c>
      <c r="P384" s="1">
        <v>0.0</v>
      </c>
      <c r="R384" s="1">
        <v>0.0</v>
      </c>
      <c r="S384" s="1">
        <v>0.0</v>
      </c>
      <c r="U384" s="1">
        <v>0.0</v>
      </c>
      <c r="W384" s="1">
        <v>0.0</v>
      </c>
      <c r="Y384" s="1">
        <v>0.0</v>
      </c>
      <c r="AA384" s="1">
        <v>0.0</v>
      </c>
      <c r="AC384" s="1">
        <v>0.0</v>
      </c>
      <c r="AM384" s="1">
        <v>9951.0</v>
      </c>
      <c r="AN384" s="1">
        <v>9951.0</v>
      </c>
      <c r="AO384" s="1">
        <v>9951.0</v>
      </c>
      <c r="AP384" s="1">
        <v>3.812</v>
      </c>
      <c r="AR384" s="1">
        <v>0.0</v>
      </c>
      <c r="AW384" s="1">
        <v>0.0</v>
      </c>
      <c r="AX384" s="1">
        <v>2.0</v>
      </c>
      <c r="AY384" s="1">
        <v>4.0</v>
      </c>
      <c r="BA384" s="1">
        <v>0.0</v>
      </c>
      <c r="BB384" s="1">
        <v>0.0</v>
      </c>
      <c r="BC384" s="1">
        <v>0.0</v>
      </c>
      <c r="BD384" s="1">
        <v>0.0</v>
      </c>
      <c r="BE384" s="1">
        <v>0.0</v>
      </c>
      <c r="BF384" s="1">
        <v>0.0</v>
      </c>
      <c r="BG384" s="1">
        <v>0.0</v>
      </c>
      <c r="BH384" s="1">
        <v>0.0</v>
      </c>
      <c r="BI384" s="1">
        <v>0.0</v>
      </c>
      <c r="BJ384" s="1">
        <v>0.0</v>
      </c>
      <c r="BP384" s="1">
        <v>0.273</v>
      </c>
      <c r="BQ384" s="1" t="s">
        <v>2016</v>
      </c>
      <c r="BV384" s="1">
        <v>1.1</v>
      </c>
      <c r="EQ384" s="9" t="s">
        <v>2015</v>
      </c>
      <c r="ER384" s="21">
        <v>46045.29835648148</v>
      </c>
    </row>
    <row r="385">
      <c r="A385" s="9" t="s">
        <v>2017</v>
      </c>
      <c r="B385" s="20" t="str">
        <f>IFERROR(__xludf.DUMMYFUNCTION("REGEXREPLACE(A385, ""^https?://[^/]+"", """")"),"/wp-content/uploads/2022/04/Dickinson-TM-275x275-1-225x225.jpg")</f>
        <v>/wp-content/uploads/2022/04/Dickinson-TM-275x275-1-225x225.jpg</v>
      </c>
      <c r="F385" s="1" t="s">
        <v>1004</v>
      </c>
      <c r="G385" s="1">
        <v>200.0</v>
      </c>
      <c r="H385" s="1" t="s">
        <v>966</v>
      </c>
      <c r="I385" s="1" t="s">
        <v>967</v>
      </c>
      <c r="L385" s="1">
        <v>0.0</v>
      </c>
      <c r="M385" s="1">
        <v>0.0</v>
      </c>
      <c r="O385" s="1">
        <v>0.0</v>
      </c>
      <c r="P385" s="1">
        <v>0.0</v>
      </c>
      <c r="R385" s="1">
        <v>0.0</v>
      </c>
      <c r="S385" s="1">
        <v>0.0</v>
      </c>
      <c r="U385" s="1">
        <v>0.0</v>
      </c>
      <c r="W385" s="1">
        <v>0.0</v>
      </c>
      <c r="Y385" s="1">
        <v>0.0</v>
      </c>
      <c r="AA385" s="1">
        <v>0.0</v>
      </c>
      <c r="AC385" s="1">
        <v>0.0</v>
      </c>
      <c r="AM385" s="1">
        <v>9840.0</v>
      </c>
      <c r="AN385" s="1">
        <v>9840.0</v>
      </c>
      <c r="AO385" s="1">
        <v>9840.0</v>
      </c>
      <c r="AP385" s="1">
        <v>3.77</v>
      </c>
      <c r="AR385" s="1">
        <v>0.0</v>
      </c>
      <c r="AW385" s="1">
        <v>0.0</v>
      </c>
      <c r="AX385" s="1">
        <v>2.0</v>
      </c>
      <c r="AY385" s="1">
        <v>4.0</v>
      </c>
      <c r="BA385" s="1">
        <v>0.0</v>
      </c>
      <c r="BB385" s="1">
        <v>0.0</v>
      </c>
      <c r="BC385" s="1">
        <v>0.0</v>
      </c>
      <c r="BD385" s="1">
        <v>0.0</v>
      </c>
      <c r="BE385" s="1">
        <v>0.0</v>
      </c>
      <c r="BF385" s="1">
        <v>0.0</v>
      </c>
      <c r="BG385" s="1">
        <v>0.0</v>
      </c>
      <c r="BH385" s="1">
        <v>0.0</v>
      </c>
      <c r="BI385" s="1">
        <v>0.0</v>
      </c>
      <c r="BJ385" s="1">
        <v>0.0</v>
      </c>
      <c r="BP385" s="1">
        <v>0.265</v>
      </c>
      <c r="BQ385" s="1" t="s">
        <v>2018</v>
      </c>
      <c r="BV385" s="1">
        <v>1.1</v>
      </c>
      <c r="EQ385" s="9" t="s">
        <v>2017</v>
      </c>
      <c r="ER385" s="21">
        <v>46045.29835648148</v>
      </c>
    </row>
    <row r="386">
      <c r="A386" s="9" t="s">
        <v>2019</v>
      </c>
      <c r="B386" s="20" t="str">
        <f>IFERROR(__xludf.DUMMYFUNCTION("REGEXREPLACE(A386, ""^https?://[^/]+"", """")"),"/wp-content/uploads/2024/12/Johnson_John-1-225x225.jpg")</f>
        <v>/wp-content/uploads/2024/12/Johnson_John-1-225x225.jpg</v>
      </c>
      <c r="F386" s="1" t="s">
        <v>1004</v>
      </c>
      <c r="G386" s="1">
        <v>200.0</v>
      </c>
      <c r="H386" s="1" t="s">
        <v>966</v>
      </c>
      <c r="I386" s="1" t="s">
        <v>967</v>
      </c>
      <c r="L386" s="1">
        <v>0.0</v>
      </c>
      <c r="M386" s="1">
        <v>0.0</v>
      </c>
      <c r="O386" s="1">
        <v>0.0</v>
      </c>
      <c r="P386" s="1">
        <v>0.0</v>
      </c>
      <c r="R386" s="1">
        <v>0.0</v>
      </c>
      <c r="S386" s="1">
        <v>0.0</v>
      </c>
      <c r="U386" s="1">
        <v>0.0</v>
      </c>
      <c r="W386" s="1">
        <v>0.0</v>
      </c>
      <c r="Y386" s="1">
        <v>0.0</v>
      </c>
      <c r="AA386" s="1">
        <v>0.0</v>
      </c>
      <c r="AC386" s="1">
        <v>0.0</v>
      </c>
      <c r="AM386" s="1">
        <v>9460.0</v>
      </c>
      <c r="AN386" s="1">
        <v>9460.0</v>
      </c>
      <c r="AO386" s="1">
        <v>9460.0</v>
      </c>
      <c r="AP386" s="1">
        <v>3.624</v>
      </c>
      <c r="AR386" s="1">
        <v>0.0</v>
      </c>
      <c r="AW386" s="1">
        <v>0.0</v>
      </c>
      <c r="AX386" s="1">
        <v>2.0</v>
      </c>
      <c r="AY386" s="1">
        <v>4.0</v>
      </c>
      <c r="BA386" s="1">
        <v>0.0</v>
      </c>
      <c r="BB386" s="1">
        <v>0.0</v>
      </c>
      <c r="BC386" s="1">
        <v>0.0</v>
      </c>
      <c r="BD386" s="1">
        <v>0.0</v>
      </c>
      <c r="BE386" s="1">
        <v>0.0</v>
      </c>
      <c r="BF386" s="1">
        <v>0.0</v>
      </c>
      <c r="BG386" s="1">
        <v>0.0</v>
      </c>
      <c r="BH386" s="1">
        <v>0.0</v>
      </c>
      <c r="BI386" s="1">
        <v>0.0</v>
      </c>
      <c r="BJ386" s="1">
        <v>0.0</v>
      </c>
      <c r="BP386" s="1">
        <v>0.272</v>
      </c>
      <c r="BQ386" s="1" t="s">
        <v>2020</v>
      </c>
      <c r="BV386" s="1">
        <v>1.1</v>
      </c>
      <c r="EQ386" s="9" t="s">
        <v>2019</v>
      </c>
      <c r="ER386" s="21">
        <v>46045.29835648148</v>
      </c>
    </row>
    <row r="387">
      <c r="A387" s="9" t="s">
        <v>2021</v>
      </c>
      <c r="B387" s="20" t="str">
        <f>IFERROR(__xludf.DUMMYFUNCTION("REGEXREPLACE(A387, ""^https?://[^/]+"", """")"),"/wp-content/uploads/2023/02/Burkhalter_Bill-225x225.jpg")</f>
        <v>/wp-content/uploads/2023/02/Burkhalter_Bill-225x225.jpg</v>
      </c>
      <c r="F387" s="1" t="s">
        <v>1004</v>
      </c>
      <c r="G387" s="1">
        <v>200.0</v>
      </c>
      <c r="H387" s="1" t="s">
        <v>966</v>
      </c>
      <c r="I387" s="1" t="s">
        <v>967</v>
      </c>
      <c r="L387" s="1">
        <v>0.0</v>
      </c>
      <c r="M387" s="1">
        <v>0.0</v>
      </c>
      <c r="O387" s="1">
        <v>0.0</v>
      </c>
      <c r="P387" s="1">
        <v>0.0</v>
      </c>
      <c r="R387" s="1">
        <v>0.0</v>
      </c>
      <c r="S387" s="1">
        <v>0.0</v>
      </c>
      <c r="U387" s="1">
        <v>0.0</v>
      </c>
      <c r="W387" s="1">
        <v>0.0</v>
      </c>
      <c r="Y387" s="1">
        <v>0.0</v>
      </c>
      <c r="AA387" s="1">
        <v>0.0</v>
      </c>
      <c r="AC387" s="1">
        <v>0.0</v>
      </c>
      <c r="AM387" s="1">
        <v>9233.0</v>
      </c>
      <c r="AN387" s="1">
        <v>9233.0</v>
      </c>
      <c r="AO387" s="1">
        <v>9233.0</v>
      </c>
      <c r="AP387" s="1">
        <v>3.537</v>
      </c>
      <c r="AR387" s="1">
        <v>0.0</v>
      </c>
      <c r="AW387" s="1">
        <v>0.0</v>
      </c>
      <c r="AX387" s="1">
        <v>2.0</v>
      </c>
      <c r="AY387" s="1">
        <v>4.0</v>
      </c>
      <c r="BA387" s="1">
        <v>0.0</v>
      </c>
      <c r="BB387" s="1">
        <v>0.0</v>
      </c>
      <c r="BC387" s="1">
        <v>0.0</v>
      </c>
      <c r="BD387" s="1">
        <v>0.0</v>
      </c>
      <c r="BE387" s="1">
        <v>0.0</v>
      </c>
      <c r="BF387" s="1">
        <v>0.0</v>
      </c>
      <c r="BG387" s="1">
        <v>0.0</v>
      </c>
      <c r="BH387" s="1">
        <v>0.0</v>
      </c>
      <c r="BI387" s="1">
        <v>0.0</v>
      </c>
      <c r="BJ387" s="1">
        <v>0.0</v>
      </c>
      <c r="BP387" s="1">
        <v>0.287</v>
      </c>
      <c r="BQ387" s="1" t="s">
        <v>2022</v>
      </c>
      <c r="BV387" s="1">
        <v>1.1</v>
      </c>
      <c r="EQ387" s="9" t="s">
        <v>2021</v>
      </c>
      <c r="ER387" s="21">
        <v>46045.298368055555</v>
      </c>
    </row>
    <row r="388">
      <c r="A388" s="9" t="s">
        <v>2023</v>
      </c>
      <c r="B388" s="20" t="str">
        <f>IFERROR(__xludf.DUMMYFUNCTION("REGEXREPLACE(A388, ""^https?://[^/]+"", """")"),"/wp-content/uploads/2022/04/Dowhan-Mike-275x275-1-225x225.jpg")</f>
        <v>/wp-content/uploads/2022/04/Dowhan-Mike-275x275-1-225x225.jpg</v>
      </c>
      <c r="F388" s="1" t="s">
        <v>1004</v>
      </c>
      <c r="G388" s="1">
        <v>200.0</v>
      </c>
      <c r="H388" s="1" t="s">
        <v>966</v>
      </c>
      <c r="I388" s="1" t="s">
        <v>967</v>
      </c>
      <c r="L388" s="1">
        <v>0.0</v>
      </c>
      <c r="M388" s="1">
        <v>0.0</v>
      </c>
      <c r="O388" s="1">
        <v>0.0</v>
      </c>
      <c r="P388" s="1">
        <v>0.0</v>
      </c>
      <c r="R388" s="1">
        <v>0.0</v>
      </c>
      <c r="S388" s="1">
        <v>0.0</v>
      </c>
      <c r="U388" s="1">
        <v>0.0</v>
      </c>
      <c r="W388" s="1">
        <v>0.0</v>
      </c>
      <c r="Y388" s="1">
        <v>0.0</v>
      </c>
      <c r="AA388" s="1">
        <v>0.0</v>
      </c>
      <c r="AC388" s="1">
        <v>0.0</v>
      </c>
      <c r="AM388" s="1">
        <v>7533.0</v>
      </c>
      <c r="AN388" s="1">
        <v>7533.0</v>
      </c>
      <c r="AO388" s="1">
        <v>7533.0</v>
      </c>
      <c r="AP388" s="1">
        <v>2.886</v>
      </c>
      <c r="AR388" s="1">
        <v>0.0</v>
      </c>
      <c r="AW388" s="1">
        <v>0.0</v>
      </c>
      <c r="AX388" s="1">
        <v>2.0</v>
      </c>
      <c r="AY388" s="1">
        <v>4.0</v>
      </c>
      <c r="BA388" s="1">
        <v>0.0</v>
      </c>
      <c r="BB388" s="1">
        <v>0.0</v>
      </c>
      <c r="BC388" s="1">
        <v>0.0</v>
      </c>
      <c r="BD388" s="1">
        <v>0.0</v>
      </c>
      <c r="BE388" s="1">
        <v>0.0</v>
      </c>
      <c r="BF388" s="1">
        <v>0.0</v>
      </c>
      <c r="BG388" s="1">
        <v>0.0</v>
      </c>
      <c r="BH388" s="1">
        <v>0.0</v>
      </c>
      <c r="BI388" s="1">
        <v>0.0</v>
      </c>
      <c r="BJ388" s="1">
        <v>0.0</v>
      </c>
      <c r="BP388" s="1">
        <v>0.26</v>
      </c>
      <c r="BQ388" s="1" t="s">
        <v>2024</v>
      </c>
      <c r="BV388" s="1">
        <v>1.1</v>
      </c>
      <c r="EQ388" s="9" t="s">
        <v>2023</v>
      </c>
      <c r="ER388" s="21">
        <v>46045.298368055555</v>
      </c>
    </row>
    <row r="389">
      <c r="A389" s="9" t="s">
        <v>2025</v>
      </c>
      <c r="B389" s="20" t="str">
        <f>IFERROR(__xludf.DUMMYFUNCTION("REGEXREPLACE(A389, ""^https?://[^/]+"", """")"),"/wp-content/uploads/2023/06/Openshaw_Rob-225x225.jpg")</f>
        <v>/wp-content/uploads/2023/06/Openshaw_Rob-225x225.jpg</v>
      </c>
      <c r="F389" s="1" t="s">
        <v>1004</v>
      </c>
      <c r="G389" s="1">
        <v>200.0</v>
      </c>
      <c r="H389" s="1" t="s">
        <v>966</v>
      </c>
      <c r="I389" s="1" t="s">
        <v>967</v>
      </c>
      <c r="L389" s="1">
        <v>0.0</v>
      </c>
      <c r="M389" s="1">
        <v>0.0</v>
      </c>
      <c r="O389" s="1">
        <v>0.0</v>
      </c>
      <c r="P389" s="1">
        <v>0.0</v>
      </c>
      <c r="R389" s="1">
        <v>0.0</v>
      </c>
      <c r="S389" s="1">
        <v>0.0</v>
      </c>
      <c r="U389" s="1">
        <v>0.0</v>
      </c>
      <c r="W389" s="1">
        <v>0.0</v>
      </c>
      <c r="Y389" s="1">
        <v>0.0</v>
      </c>
      <c r="AA389" s="1">
        <v>0.0</v>
      </c>
      <c r="AC389" s="1">
        <v>0.0</v>
      </c>
      <c r="AM389" s="1">
        <v>7971.0</v>
      </c>
      <c r="AN389" s="1">
        <v>7971.0</v>
      </c>
      <c r="AO389" s="1">
        <v>7971.0</v>
      </c>
      <c r="AP389" s="1">
        <v>3.054</v>
      </c>
      <c r="AR389" s="1">
        <v>0.0</v>
      </c>
      <c r="AW389" s="1">
        <v>0.0</v>
      </c>
      <c r="AX389" s="1">
        <v>2.0</v>
      </c>
      <c r="AY389" s="1">
        <v>4.0</v>
      </c>
      <c r="BA389" s="1">
        <v>0.0</v>
      </c>
      <c r="BB389" s="1">
        <v>0.0</v>
      </c>
      <c r="BC389" s="1">
        <v>0.0</v>
      </c>
      <c r="BD389" s="1">
        <v>0.0</v>
      </c>
      <c r="BE389" s="1">
        <v>0.0</v>
      </c>
      <c r="BF389" s="1">
        <v>0.0</v>
      </c>
      <c r="BG389" s="1">
        <v>0.0</v>
      </c>
      <c r="BH389" s="1">
        <v>0.0</v>
      </c>
      <c r="BI389" s="1">
        <v>0.0</v>
      </c>
      <c r="BJ389" s="1">
        <v>0.0</v>
      </c>
      <c r="BP389" s="1">
        <v>0.285</v>
      </c>
      <c r="BQ389" s="1" t="s">
        <v>2026</v>
      </c>
      <c r="BV389" s="1">
        <v>1.1</v>
      </c>
      <c r="EQ389" s="9" t="s">
        <v>2025</v>
      </c>
      <c r="ER389" s="21">
        <v>46045.298368055555</v>
      </c>
    </row>
    <row r="390">
      <c r="A390" s="9" t="s">
        <v>2027</v>
      </c>
      <c r="B390" s="20" t="str">
        <f>IFERROR(__xludf.DUMMYFUNCTION("REGEXREPLACE(A390, ""^https?://[^/]+"", """")"),"/wp-content/uploads/2025/12/Winings_Tim-225x225.jpeg")</f>
        <v>/wp-content/uploads/2025/12/Winings_Tim-225x225.jpeg</v>
      </c>
      <c r="F390" s="1" t="s">
        <v>1004</v>
      </c>
      <c r="G390" s="1">
        <v>200.0</v>
      </c>
      <c r="H390" s="1" t="s">
        <v>966</v>
      </c>
      <c r="I390" s="1" t="s">
        <v>967</v>
      </c>
      <c r="L390" s="1">
        <v>0.0</v>
      </c>
      <c r="M390" s="1">
        <v>0.0</v>
      </c>
      <c r="O390" s="1">
        <v>0.0</v>
      </c>
      <c r="P390" s="1">
        <v>0.0</v>
      </c>
      <c r="R390" s="1">
        <v>0.0</v>
      </c>
      <c r="S390" s="1">
        <v>0.0</v>
      </c>
      <c r="U390" s="1">
        <v>0.0</v>
      </c>
      <c r="W390" s="1">
        <v>0.0</v>
      </c>
      <c r="Y390" s="1">
        <v>0.0</v>
      </c>
      <c r="AA390" s="1">
        <v>0.0</v>
      </c>
      <c r="AC390" s="1">
        <v>0.0</v>
      </c>
      <c r="AM390" s="1">
        <v>9432.0</v>
      </c>
      <c r="AN390" s="1">
        <v>9432.0</v>
      </c>
      <c r="AO390" s="1">
        <v>9432.0</v>
      </c>
      <c r="AP390" s="1">
        <v>3.613</v>
      </c>
      <c r="AR390" s="1">
        <v>0.0</v>
      </c>
      <c r="AW390" s="1">
        <v>0.0</v>
      </c>
      <c r="AX390" s="1">
        <v>2.0</v>
      </c>
      <c r="AY390" s="1">
        <v>4.0</v>
      </c>
      <c r="BA390" s="1">
        <v>0.0</v>
      </c>
      <c r="BB390" s="1">
        <v>0.0</v>
      </c>
      <c r="BC390" s="1">
        <v>0.0</v>
      </c>
      <c r="BD390" s="1">
        <v>0.0</v>
      </c>
      <c r="BE390" s="1">
        <v>0.0</v>
      </c>
      <c r="BF390" s="1">
        <v>0.0</v>
      </c>
      <c r="BG390" s="1">
        <v>0.0</v>
      </c>
      <c r="BH390" s="1">
        <v>0.0</v>
      </c>
      <c r="BI390" s="1">
        <v>0.0</v>
      </c>
      <c r="BJ390" s="1">
        <v>0.0</v>
      </c>
      <c r="BP390" s="1">
        <v>0.286</v>
      </c>
      <c r="BQ390" s="1" t="s">
        <v>2028</v>
      </c>
      <c r="BV390" s="1">
        <v>1.1</v>
      </c>
      <c r="EQ390" s="9" t="s">
        <v>2027</v>
      </c>
      <c r="ER390" s="21">
        <v>46045.298368055555</v>
      </c>
    </row>
    <row r="391">
      <c r="A391" s="9" t="s">
        <v>2029</v>
      </c>
      <c r="B391" s="20" t="str">
        <f>IFERROR(__xludf.DUMMYFUNCTION("REGEXREPLACE(A391, ""^https?://[^/]+"", """")"),"/wp-content/uploads/2022/03/prive_michael-225x225.jpg")</f>
        <v>/wp-content/uploads/2022/03/prive_michael-225x225.jpg</v>
      </c>
      <c r="F391" s="1" t="s">
        <v>1004</v>
      </c>
      <c r="G391" s="1">
        <v>200.0</v>
      </c>
      <c r="H391" s="1" t="s">
        <v>966</v>
      </c>
      <c r="I391" s="1" t="s">
        <v>967</v>
      </c>
      <c r="L391" s="1">
        <v>0.0</v>
      </c>
      <c r="M391" s="1">
        <v>0.0</v>
      </c>
      <c r="O391" s="1">
        <v>0.0</v>
      </c>
      <c r="P391" s="1">
        <v>0.0</v>
      </c>
      <c r="R391" s="1">
        <v>0.0</v>
      </c>
      <c r="S391" s="1">
        <v>0.0</v>
      </c>
      <c r="U391" s="1">
        <v>0.0</v>
      </c>
      <c r="W391" s="1">
        <v>0.0</v>
      </c>
      <c r="Y391" s="1">
        <v>0.0</v>
      </c>
      <c r="AA391" s="1">
        <v>0.0</v>
      </c>
      <c r="AC391" s="1">
        <v>0.0</v>
      </c>
      <c r="AM391" s="1">
        <v>9356.0</v>
      </c>
      <c r="AN391" s="1">
        <v>9356.0</v>
      </c>
      <c r="AO391" s="1">
        <v>9356.0</v>
      </c>
      <c r="AP391" s="1">
        <v>3.584</v>
      </c>
      <c r="AR391" s="1">
        <v>0.0</v>
      </c>
      <c r="AW391" s="1">
        <v>0.0</v>
      </c>
      <c r="AX391" s="1">
        <v>2.0</v>
      </c>
      <c r="AY391" s="1">
        <v>4.0</v>
      </c>
      <c r="BA391" s="1">
        <v>0.0</v>
      </c>
      <c r="BB391" s="1">
        <v>0.0</v>
      </c>
      <c r="BC391" s="1">
        <v>0.0</v>
      </c>
      <c r="BD391" s="1">
        <v>0.0</v>
      </c>
      <c r="BE391" s="1">
        <v>0.0</v>
      </c>
      <c r="BF391" s="1">
        <v>0.0</v>
      </c>
      <c r="BG391" s="1">
        <v>0.0</v>
      </c>
      <c r="BH391" s="1">
        <v>0.0</v>
      </c>
      <c r="BI391" s="1">
        <v>0.0</v>
      </c>
      <c r="BJ391" s="1">
        <v>0.0</v>
      </c>
      <c r="BP391" s="1">
        <v>0.267</v>
      </c>
      <c r="BQ391" s="1" t="s">
        <v>2030</v>
      </c>
      <c r="BV391" s="1">
        <v>1.1</v>
      </c>
      <c r="EQ391" s="9" t="s">
        <v>2029</v>
      </c>
      <c r="ER391" s="21">
        <v>46045.298368055555</v>
      </c>
    </row>
    <row r="392">
      <c r="A392" s="9" t="s">
        <v>2031</v>
      </c>
      <c r="B392" s="20" t="str">
        <f>IFERROR(__xludf.DUMMYFUNCTION("REGEXREPLACE(A392, ""^https?://[^/]+"", """")"),"/wp-content/uploads/2024/12/ORourke_Megan-225x225.jpg")</f>
        <v>/wp-content/uploads/2024/12/ORourke_Megan-225x225.jpg</v>
      </c>
      <c r="F392" s="1" t="s">
        <v>1004</v>
      </c>
      <c r="G392" s="1">
        <v>200.0</v>
      </c>
      <c r="H392" s="1" t="s">
        <v>966</v>
      </c>
      <c r="I392" s="1" t="s">
        <v>967</v>
      </c>
      <c r="L392" s="1">
        <v>0.0</v>
      </c>
      <c r="M392" s="1">
        <v>0.0</v>
      </c>
      <c r="O392" s="1">
        <v>0.0</v>
      </c>
      <c r="P392" s="1">
        <v>0.0</v>
      </c>
      <c r="R392" s="1">
        <v>0.0</v>
      </c>
      <c r="S392" s="1">
        <v>0.0</v>
      </c>
      <c r="U392" s="1">
        <v>0.0</v>
      </c>
      <c r="W392" s="1">
        <v>0.0</v>
      </c>
      <c r="Y392" s="1">
        <v>0.0</v>
      </c>
      <c r="AA392" s="1">
        <v>0.0</v>
      </c>
      <c r="AC392" s="1">
        <v>0.0</v>
      </c>
      <c r="AM392" s="1">
        <v>8356.0</v>
      </c>
      <c r="AN392" s="1">
        <v>8356.0</v>
      </c>
      <c r="AO392" s="1">
        <v>8356.0</v>
      </c>
      <c r="AP392" s="1">
        <v>3.201</v>
      </c>
      <c r="AR392" s="1">
        <v>0.0</v>
      </c>
      <c r="AW392" s="1">
        <v>0.0</v>
      </c>
      <c r="AX392" s="1">
        <v>2.0</v>
      </c>
      <c r="AY392" s="1">
        <v>4.0</v>
      </c>
      <c r="BA392" s="1">
        <v>0.0</v>
      </c>
      <c r="BB392" s="1">
        <v>0.0</v>
      </c>
      <c r="BC392" s="1">
        <v>0.0</v>
      </c>
      <c r="BD392" s="1">
        <v>0.0</v>
      </c>
      <c r="BE392" s="1">
        <v>0.0</v>
      </c>
      <c r="BF392" s="1">
        <v>0.0</v>
      </c>
      <c r="BG392" s="1">
        <v>0.0</v>
      </c>
      <c r="BH392" s="1">
        <v>0.0</v>
      </c>
      <c r="BI392" s="1">
        <v>0.0</v>
      </c>
      <c r="BJ392" s="1">
        <v>0.0</v>
      </c>
      <c r="BP392" s="1">
        <v>0.275</v>
      </c>
      <c r="BQ392" s="1" t="s">
        <v>2032</v>
      </c>
      <c r="BV392" s="1">
        <v>1.1</v>
      </c>
      <c r="EQ392" s="9" t="s">
        <v>2031</v>
      </c>
      <c r="ER392" s="21">
        <v>46045.298368055555</v>
      </c>
    </row>
    <row r="393">
      <c r="A393" s="9" t="s">
        <v>2033</v>
      </c>
      <c r="B393" s="20" t="str">
        <f>IFERROR(__xludf.DUMMYFUNCTION("REGEXREPLACE(A393, ""^https?://[^/]+"", """")"),"/wp-content/uploads/2022/04/Harper-Dan-225x225.jpg")</f>
        <v>/wp-content/uploads/2022/04/Harper-Dan-225x225.jpg</v>
      </c>
      <c r="F393" s="1" t="s">
        <v>1004</v>
      </c>
      <c r="G393" s="1">
        <v>200.0</v>
      </c>
      <c r="H393" s="1" t="s">
        <v>966</v>
      </c>
      <c r="I393" s="1" t="s">
        <v>967</v>
      </c>
      <c r="L393" s="1">
        <v>0.0</v>
      </c>
      <c r="M393" s="1">
        <v>0.0</v>
      </c>
      <c r="O393" s="1">
        <v>0.0</v>
      </c>
      <c r="P393" s="1">
        <v>0.0</v>
      </c>
      <c r="R393" s="1">
        <v>0.0</v>
      </c>
      <c r="S393" s="1">
        <v>0.0</v>
      </c>
      <c r="U393" s="1">
        <v>0.0</v>
      </c>
      <c r="W393" s="1">
        <v>0.0</v>
      </c>
      <c r="Y393" s="1">
        <v>0.0</v>
      </c>
      <c r="AA393" s="1">
        <v>0.0</v>
      </c>
      <c r="AC393" s="1">
        <v>0.0</v>
      </c>
      <c r="AM393" s="1">
        <v>8036.0</v>
      </c>
      <c r="AN393" s="1">
        <v>8036.0</v>
      </c>
      <c r="AO393" s="1">
        <v>8036.0</v>
      </c>
      <c r="AP393" s="1">
        <v>3.078</v>
      </c>
      <c r="AR393" s="1">
        <v>0.0</v>
      </c>
      <c r="AW393" s="1">
        <v>0.0</v>
      </c>
      <c r="AX393" s="1">
        <v>2.0</v>
      </c>
      <c r="AY393" s="1">
        <v>4.0</v>
      </c>
      <c r="BA393" s="1">
        <v>0.0</v>
      </c>
      <c r="BB393" s="1">
        <v>0.0</v>
      </c>
      <c r="BC393" s="1">
        <v>0.0</v>
      </c>
      <c r="BD393" s="1">
        <v>0.0</v>
      </c>
      <c r="BE393" s="1">
        <v>0.0</v>
      </c>
      <c r="BF393" s="1">
        <v>0.0</v>
      </c>
      <c r="BG393" s="1">
        <v>0.0</v>
      </c>
      <c r="BH393" s="1">
        <v>0.0</v>
      </c>
      <c r="BI393" s="1">
        <v>0.0</v>
      </c>
      <c r="BJ393" s="1">
        <v>0.0</v>
      </c>
      <c r="BP393" s="1">
        <v>0.274</v>
      </c>
      <c r="BQ393" s="1" t="s">
        <v>2034</v>
      </c>
      <c r="BV393" s="1">
        <v>1.1</v>
      </c>
      <c r="EQ393" s="9" t="s">
        <v>2033</v>
      </c>
      <c r="ER393" s="21">
        <v>46045.298368055555</v>
      </c>
    </row>
    <row r="394">
      <c r="A394" s="9" t="s">
        <v>2035</v>
      </c>
      <c r="B394" s="20" t="str">
        <f>IFERROR(__xludf.DUMMYFUNCTION("REGEXREPLACE(A394, ""^https?://[^/]+"", """")"),"/wp-content/uploads/2025/08/Wiemeyer_Susan-225x225.jpg")</f>
        <v>/wp-content/uploads/2025/08/Wiemeyer_Susan-225x225.jpg</v>
      </c>
      <c r="F394" s="1" t="s">
        <v>1004</v>
      </c>
      <c r="G394" s="1">
        <v>200.0</v>
      </c>
      <c r="H394" s="1" t="s">
        <v>966</v>
      </c>
      <c r="I394" s="1" t="s">
        <v>967</v>
      </c>
      <c r="L394" s="1">
        <v>0.0</v>
      </c>
      <c r="M394" s="1">
        <v>0.0</v>
      </c>
      <c r="O394" s="1">
        <v>0.0</v>
      </c>
      <c r="P394" s="1">
        <v>0.0</v>
      </c>
      <c r="R394" s="1">
        <v>0.0</v>
      </c>
      <c r="S394" s="1">
        <v>0.0</v>
      </c>
      <c r="U394" s="1">
        <v>0.0</v>
      </c>
      <c r="W394" s="1">
        <v>0.0</v>
      </c>
      <c r="Y394" s="1">
        <v>0.0</v>
      </c>
      <c r="AA394" s="1">
        <v>0.0</v>
      </c>
      <c r="AC394" s="1">
        <v>0.0</v>
      </c>
      <c r="AM394" s="1">
        <v>9561.0</v>
      </c>
      <c r="AN394" s="1">
        <v>9561.0</v>
      </c>
      <c r="AO394" s="1">
        <v>9561.0</v>
      </c>
      <c r="AP394" s="1">
        <v>3.663</v>
      </c>
      <c r="AR394" s="1">
        <v>0.0</v>
      </c>
      <c r="AW394" s="1">
        <v>0.0</v>
      </c>
      <c r="AX394" s="1">
        <v>2.0</v>
      </c>
      <c r="AY394" s="1">
        <v>4.0</v>
      </c>
      <c r="BA394" s="1">
        <v>0.0</v>
      </c>
      <c r="BB394" s="1">
        <v>0.0</v>
      </c>
      <c r="BC394" s="1">
        <v>0.0</v>
      </c>
      <c r="BD394" s="1">
        <v>0.0</v>
      </c>
      <c r="BE394" s="1">
        <v>0.0</v>
      </c>
      <c r="BF394" s="1">
        <v>0.0</v>
      </c>
      <c r="BG394" s="1">
        <v>0.0</v>
      </c>
      <c r="BH394" s="1">
        <v>0.0</v>
      </c>
      <c r="BI394" s="1">
        <v>0.0</v>
      </c>
      <c r="BJ394" s="1">
        <v>0.0</v>
      </c>
      <c r="BP394" s="1">
        <v>0.268</v>
      </c>
      <c r="BQ394" s="1" t="s">
        <v>2036</v>
      </c>
      <c r="BV394" s="1">
        <v>1.1</v>
      </c>
      <c r="EQ394" s="9" t="s">
        <v>2035</v>
      </c>
      <c r="ER394" s="21">
        <v>46045.29837962963</v>
      </c>
    </row>
    <row r="395">
      <c r="A395" s="9" t="s">
        <v>2037</v>
      </c>
      <c r="B395" s="20" t="str">
        <f>IFERROR(__xludf.DUMMYFUNCTION("REGEXREPLACE(A395, ""^https?://[^/]+"", """")"),"/wp-content/uploads/2022/04/Y-John-275x275-1-225x225.jpg")</f>
        <v>/wp-content/uploads/2022/04/Y-John-275x275-1-225x225.jpg</v>
      </c>
      <c r="F395" s="1" t="s">
        <v>1004</v>
      </c>
      <c r="G395" s="1">
        <v>200.0</v>
      </c>
      <c r="H395" s="1" t="s">
        <v>966</v>
      </c>
      <c r="I395" s="1" t="s">
        <v>967</v>
      </c>
      <c r="L395" s="1">
        <v>0.0</v>
      </c>
      <c r="M395" s="1">
        <v>0.0</v>
      </c>
      <c r="O395" s="1">
        <v>0.0</v>
      </c>
      <c r="P395" s="1">
        <v>0.0</v>
      </c>
      <c r="R395" s="1">
        <v>0.0</v>
      </c>
      <c r="S395" s="1">
        <v>0.0</v>
      </c>
      <c r="U395" s="1">
        <v>0.0</v>
      </c>
      <c r="W395" s="1">
        <v>0.0</v>
      </c>
      <c r="Y395" s="1">
        <v>0.0</v>
      </c>
      <c r="AA395" s="1">
        <v>0.0</v>
      </c>
      <c r="AC395" s="1">
        <v>0.0</v>
      </c>
      <c r="AM395" s="1">
        <v>9823.0</v>
      </c>
      <c r="AN395" s="1">
        <v>9823.0</v>
      </c>
      <c r="AO395" s="1">
        <v>9823.0</v>
      </c>
      <c r="AP395" s="1">
        <v>3.763</v>
      </c>
      <c r="AR395" s="1">
        <v>0.0</v>
      </c>
      <c r="AW395" s="1">
        <v>0.0</v>
      </c>
      <c r="AX395" s="1">
        <v>2.0</v>
      </c>
      <c r="AY395" s="1">
        <v>4.0</v>
      </c>
      <c r="BA395" s="1">
        <v>0.0</v>
      </c>
      <c r="BB395" s="1">
        <v>0.0</v>
      </c>
      <c r="BC395" s="1">
        <v>0.0</v>
      </c>
      <c r="BD395" s="1">
        <v>0.0</v>
      </c>
      <c r="BE395" s="1">
        <v>0.0</v>
      </c>
      <c r="BF395" s="1">
        <v>0.0</v>
      </c>
      <c r="BG395" s="1">
        <v>0.0</v>
      </c>
      <c r="BH395" s="1">
        <v>0.0</v>
      </c>
      <c r="BI395" s="1">
        <v>0.0</v>
      </c>
      <c r="BJ395" s="1">
        <v>0.0</v>
      </c>
      <c r="BP395" s="1">
        <v>0.276</v>
      </c>
      <c r="BQ395" s="1" t="s">
        <v>2038</v>
      </c>
      <c r="BV395" s="1">
        <v>1.1</v>
      </c>
      <c r="EQ395" s="9" t="s">
        <v>2037</v>
      </c>
      <c r="ER395" s="21">
        <v>46045.29837962963</v>
      </c>
    </row>
    <row r="396">
      <c r="A396" s="9" t="s">
        <v>2039</v>
      </c>
      <c r="B396" s="20" t="str">
        <f>IFERROR(__xludf.DUMMYFUNCTION("REGEXREPLACE(A396, ""^https?://[^/]+"", """")"),"/wp-content/uploads/2024/04/Parodi-Eduardo-225x225.jpg")</f>
        <v>/wp-content/uploads/2024/04/Parodi-Eduardo-225x225.jpg</v>
      </c>
      <c r="F396" s="1" t="s">
        <v>1004</v>
      </c>
      <c r="G396" s="1">
        <v>200.0</v>
      </c>
      <c r="H396" s="1" t="s">
        <v>966</v>
      </c>
      <c r="I396" s="1" t="s">
        <v>967</v>
      </c>
      <c r="L396" s="1">
        <v>0.0</v>
      </c>
      <c r="M396" s="1">
        <v>0.0</v>
      </c>
      <c r="O396" s="1">
        <v>0.0</v>
      </c>
      <c r="P396" s="1">
        <v>0.0</v>
      </c>
      <c r="R396" s="1">
        <v>0.0</v>
      </c>
      <c r="S396" s="1">
        <v>0.0</v>
      </c>
      <c r="U396" s="1">
        <v>0.0</v>
      </c>
      <c r="W396" s="1">
        <v>0.0</v>
      </c>
      <c r="Y396" s="1">
        <v>0.0</v>
      </c>
      <c r="AA396" s="1">
        <v>0.0</v>
      </c>
      <c r="AC396" s="1">
        <v>0.0</v>
      </c>
      <c r="AM396" s="1">
        <v>8515.0</v>
      </c>
      <c r="AN396" s="1">
        <v>8515.0</v>
      </c>
      <c r="AO396" s="1">
        <v>8515.0</v>
      </c>
      <c r="AP396" s="1">
        <v>3.262</v>
      </c>
      <c r="AR396" s="1">
        <v>0.0</v>
      </c>
      <c r="AW396" s="1">
        <v>0.0</v>
      </c>
      <c r="AX396" s="1">
        <v>2.0</v>
      </c>
      <c r="AY396" s="1">
        <v>4.0</v>
      </c>
      <c r="BA396" s="1">
        <v>0.0</v>
      </c>
      <c r="BB396" s="1">
        <v>0.0</v>
      </c>
      <c r="BC396" s="1">
        <v>0.0</v>
      </c>
      <c r="BD396" s="1">
        <v>0.0</v>
      </c>
      <c r="BE396" s="1">
        <v>0.0</v>
      </c>
      <c r="BF396" s="1">
        <v>0.0</v>
      </c>
      <c r="BG396" s="1">
        <v>0.0</v>
      </c>
      <c r="BH396" s="1">
        <v>0.0</v>
      </c>
      <c r="BI396" s="1">
        <v>0.0</v>
      </c>
      <c r="BJ396" s="1">
        <v>0.0</v>
      </c>
      <c r="BP396" s="1">
        <v>0.268</v>
      </c>
      <c r="BQ396" s="1" t="s">
        <v>2040</v>
      </c>
      <c r="BV396" s="1">
        <v>1.1</v>
      </c>
      <c r="EQ396" s="9" t="s">
        <v>2039</v>
      </c>
      <c r="ER396" s="21">
        <v>46045.29837962963</v>
      </c>
    </row>
    <row r="397">
      <c r="A397" s="9" t="s">
        <v>2041</v>
      </c>
      <c r="B397" s="20" t="str">
        <f>IFERROR(__xludf.DUMMYFUNCTION("REGEXREPLACE(A397, ""^https?://[^/]+"", """")"),"/wp-content/uploads/2017/01/Kurtz-Glenn-225x225.jpg")</f>
        <v>/wp-content/uploads/2017/01/Kurtz-Glenn-225x225.jpg</v>
      </c>
      <c r="F397" s="1" t="s">
        <v>1004</v>
      </c>
      <c r="G397" s="1">
        <v>200.0</v>
      </c>
      <c r="H397" s="1" t="s">
        <v>966</v>
      </c>
      <c r="I397" s="1" t="s">
        <v>967</v>
      </c>
      <c r="L397" s="1">
        <v>0.0</v>
      </c>
      <c r="M397" s="1">
        <v>0.0</v>
      </c>
      <c r="O397" s="1">
        <v>0.0</v>
      </c>
      <c r="P397" s="1">
        <v>0.0</v>
      </c>
      <c r="R397" s="1">
        <v>0.0</v>
      </c>
      <c r="S397" s="1">
        <v>0.0</v>
      </c>
      <c r="U397" s="1">
        <v>0.0</v>
      </c>
      <c r="W397" s="1">
        <v>0.0</v>
      </c>
      <c r="Y397" s="1">
        <v>0.0</v>
      </c>
      <c r="AA397" s="1">
        <v>0.0</v>
      </c>
      <c r="AC397" s="1">
        <v>0.0</v>
      </c>
      <c r="AM397" s="1">
        <v>7540.0</v>
      </c>
      <c r="AN397" s="1">
        <v>7540.0</v>
      </c>
      <c r="AO397" s="1">
        <v>7540.0</v>
      </c>
      <c r="AP397" s="1">
        <v>2.888</v>
      </c>
      <c r="AR397" s="1">
        <v>0.0</v>
      </c>
      <c r="AW397" s="1">
        <v>0.0</v>
      </c>
      <c r="AX397" s="1">
        <v>2.0</v>
      </c>
      <c r="AY397" s="1">
        <v>4.0</v>
      </c>
      <c r="BA397" s="1">
        <v>0.0</v>
      </c>
      <c r="BB397" s="1">
        <v>0.0</v>
      </c>
      <c r="BC397" s="1">
        <v>0.0</v>
      </c>
      <c r="BD397" s="1">
        <v>0.0</v>
      </c>
      <c r="BE397" s="1">
        <v>0.0</v>
      </c>
      <c r="BF397" s="1">
        <v>0.0</v>
      </c>
      <c r="BG397" s="1">
        <v>0.0</v>
      </c>
      <c r="BH397" s="1">
        <v>0.0</v>
      </c>
      <c r="BI397" s="1">
        <v>0.0</v>
      </c>
      <c r="BJ397" s="1">
        <v>0.0</v>
      </c>
      <c r="BP397" s="1">
        <v>0.279</v>
      </c>
      <c r="BQ397" s="1" t="s">
        <v>2042</v>
      </c>
      <c r="BV397" s="1">
        <v>1.1</v>
      </c>
      <c r="EQ397" s="9" t="s">
        <v>2041</v>
      </c>
      <c r="ER397" s="21">
        <v>46045.29837962963</v>
      </c>
    </row>
    <row r="398">
      <c r="A398" s="9" t="s">
        <v>2043</v>
      </c>
      <c r="B398" s="20" t="str">
        <f>IFERROR(__xludf.DUMMYFUNCTION("REGEXREPLACE(A398, ""^https?://[^/]+"", """")"),"/wp-content/uploads/2022/06/Pilay_Jorge-225x225.jpg")</f>
        <v>/wp-content/uploads/2022/06/Pilay_Jorge-225x225.jpg</v>
      </c>
      <c r="F398" s="1" t="s">
        <v>1004</v>
      </c>
      <c r="G398" s="1">
        <v>200.0</v>
      </c>
      <c r="H398" s="1" t="s">
        <v>966</v>
      </c>
      <c r="I398" s="1" t="s">
        <v>967</v>
      </c>
      <c r="L398" s="1">
        <v>0.0</v>
      </c>
      <c r="M398" s="1">
        <v>0.0</v>
      </c>
      <c r="O398" s="1">
        <v>0.0</v>
      </c>
      <c r="P398" s="1">
        <v>0.0</v>
      </c>
      <c r="R398" s="1">
        <v>0.0</v>
      </c>
      <c r="S398" s="1">
        <v>0.0</v>
      </c>
      <c r="U398" s="1">
        <v>0.0</v>
      </c>
      <c r="W398" s="1">
        <v>0.0</v>
      </c>
      <c r="Y398" s="1">
        <v>0.0</v>
      </c>
      <c r="AA398" s="1">
        <v>0.0</v>
      </c>
      <c r="AC398" s="1">
        <v>0.0</v>
      </c>
      <c r="AM398" s="1">
        <v>8491.0</v>
      </c>
      <c r="AN398" s="1">
        <v>8491.0</v>
      </c>
      <c r="AO398" s="1">
        <v>8491.0</v>
      </c>
      <c r="AP398" s="1">
        <v>3.253</v>
      </c>
      <c r="AR398" s="1">
        <v>0.0</v>
      </c>
      <c r="AW398" s="1">
        <v>0.0</v>
      </c>
      <c r="AX398" s="1">
        <v>2.0</v>
      </c>
      <c r="AY398" s="1">
        <v>4.0</v>
      </c>
      <c r="BA398" s="1">
        <v>0.0</v>
      </c>
      <c r="BB398" s="1">
        <v>0.0</v>
      </c>
      <c r="BC398" s="1">
        <v>0.0</v>
      </c>
      <c r="BD398" s="1">
        <v>0.0</v>
      </c>
      <c r="BE398" s="1">
        <v>0.0</v>
      </c>
      <c r="BF398" s="1">
        <v>0.0</v>
      </c>
      <c r="BG398" s="1">
        <v>0.0</v>
      </c>
      <c r="BH398" s="1">
        <v>0.0</v>
      </c>
      <c r="BI398" s="1">
        <v>0.0</v>
      </c>
      <c r="BJ398" s="1">
        <v>0.0</v>
      </c>
      <c r="BP398" s="1">
        <v>0.266</v>
      </c>
      <c r="BQ398" s="1" t="s">
        <v>2044</v>
      </c>
      <c r="BV398" s="1">
        <v>1.1</v>
      </c>
      <c r="EQ398" s="9" t="s">
        <v>2043</v>
      </c>
      <c r="ER398" s="21">
        <v>46045.29837962963</v>
      </c>
    </row>
    <row r="399">
      <c r="A399" s="9" t="s">
        <v>2045</v>
      </c>
      <c r="B399" s="20" t="str">
        <f>IFERROR(__xludf.DUMMYFUNCTION("REGEXREPLACE(A399, ""^https?://[^/]+"", """")"),"/wp-content/uploads/2022/04/OShaughnessey-Sean-275x275-1-225x225.jpg")</f>
        <v>/wp-content/uploads/2022/04/OShaughnessey-Sean-275x275-1-225x225.jpg</v>
      </c>
      <c r="F399" s="1" t="s">
        <v>1004</v>
      </c>
      <c r="G399" s="1">
        <v>200.0</v>
      </c>
      <c r="H399" s="1" t="s">
        <v>966</v>
      </c>
      <c r="I399" s="1" t="s">
        <v>967</v>
      </c>
      <c r="L399" s="1">
        <v>0.0</v>
      </c>
      <c r="M399" s="1">
        <v>0.0</v>
      </c>
      <c r="O399" s="1">
        <v>0.0</v>
      </c>
      <c r="P399" s="1">
        <v>0.0</v>
      </c>
      <c r="R399" s="1">
        <v>0.0</v>
      </c>
      <c r="S399" s="1">
        <v>0.0</v>
      </c>
      <c r="U399" s="1">
        <v>0.0</v>
      </c>
      <c r="W399" s="1">
        <v>0.0</v>
      </c>
      <c r="Y399" s="1">
        <v>0.0</v>
      </c>
      <c r="AA399" s="1">
        <v>0.0</v>
      </c>
      <c r="AC399" s="1">
        <v>0.0</v>
      </c>
      <c r="AM399" s="1">
        <v>8094.0</v>
      </c>
      <c r="AN399" s="1">
        <v>8094.0</v>
      </c>
      <c r="AO399" s="1">
        <v>8094.0</v>
      </c>
      <c r="AP399" s="1">
        <v>3.101</v>
      </c>
      <c r="AR399" s="1">
        <v>0.0</v>
      </c>
      <c r="AW399" s="1">
        <v>0.0</v>
      </c>
      <c r="AX399" s="1">
        <v>2.0</v>
      </c>
      <c r="AY399" s="1">
        <v>4.0</v>
      </c>
      <c r="BA399" s="1">
        <v>0.0</v>
      </c>
      <c r="BB399" s="1">
        <v>0.0</v>
      </c>
      <c r="BC399" s="1">
        <v>0.0</v>
      </c>
      <c r="BD399" s="1">
        <v>0.0</v>
      </c>
      <c r="BE399" s="1">
        <v>0.0</v>
      </c>
      <c r="BF399" s="1">
        <v>0.0</v>
      </c>
      <c r="BG399" s="1">
        <v>0.0</v>
      </c>
      <c r="BH399" s="1">
        <v>0.0</v>
      </c>
      <c r="BI399" s="1">
        <v>0.0</v>
      </c>
      <c r="BJ399" s="1">
        <v>0.0</v>
      </c>
      <c r="BP399" s="1">
        <v>0.28</v>
      </c>
      <c r="BQ399" s="1" t="s">
        <v>2046</v>
      </c>
      <c r="BV399" s="1">
        <v>1.1</v>
      </c>
      <c r="EQ399" s="9" t="s">
        <v>2045</v>
      </c>
      <c r="ER399" s="21">
        <v>46045.29837962963</v>
      </c>
    </row>
    <row r="400">
      <c r="A400" s="9" t="s">
        <v>2047</v>
      </c>
      <c r="B400" s="20" t="str">
        <f>IFERROR(__xludf.DUMMYFUNCTION("REGEXREPLACE(A400, ""^https?://[^/]+"", """")"),"/wp-content/uploads/2025/09/Casey_Bill-225x225.jpg")</f>
        <v>/wp-content/uploads/2025/09/Casey_Bill-225x225.jpg</v>
      </c>
      <c r="F400" s="1" t="s">
        <v>1004</v>
      </c>
      <c r="G400" s="1">
        <v>200.0</v>
      </c>
      <c r="H400" s="1" t="s">
        <v>966</v>
      </c>
      <c r="I400" s="1" t="s">
        <v>967</v>
      </c>
      <c r="L400" s="1">
        <v>0.0</v>
      </c>
      <c r="M400" s="1">
        <v>0.0</v>
      </c>
      <c r="O400" s="1">
        <v>0.0</v>
      </c>
      <c r="P400" s="1">
        <v>0.0</v>
      </c>
      <c r="R400" s="1">
        <v>0.0</v>
      </c>
      <c r="S400" s="1">
        <v>0.0</v>
      </c>
      <c r="U400" s="1">
        <v>0.0</v>
      </c>
      <c r="W400" s="1">
        <v>0.0</v>
      </c>
      <c r="Y400" s="1">
        <v>0.0</v>
      </c>
      <c r="AA400" s="1">
        <v>0.0</v>
      </c>
      <c r="AC400" s="1">
        <v>0.0</v>
      </c>
      <c r="AM400" s="1">
        <v>8993.0</v>
      </c>
      <c r="AN400" s="1">
        <v>8993.0</v>
      </c>
      <c r="AO400" s="1">
        <v>8993.0</v>
      </c>
      <c r="AP400" s="1">
        <v>3.445</v>
      </c>
      <c r="AR400" s="1">
        <v>0.0</v>
      </c>
      <c r="AW400" s="1">
        <v>0.0</v>
      </c>
      <c r="AX400" s="1">
        <v>2.0</v>
      </c>
      <c r="AY400" s="1">
        <v>4.0</v>
      </c>
      <c r="BA400" s="1">
        <v>0.0</v>
      </c>
      <c r="BB400" s="1">
        <v>0.0</v>
      </c>
      <c r="BC400" s="1">
        <v>0.0</v>
      </c>
      <c r="BD400" s="1">
        <v>0.0</v>
      </c>
      <c r="BE400" s="1">
        <v>0.0</v>
      </c>
      <c r="BF400" s="1">
        <v>0.0</v>
      </c>
      <c r="BG400" s="1">
        <v>0.0</v>
      </c>
      <c r="BH400" s="1">
        <v>0.0</v>
      </c>
      <c r="BI400" s="1">
        <v>0.0</v>
      </c>
      <c r="BJ400" s="1">
        <v>0.0</v>
      </c>
      <c r="BP400" s="1">
        <v>0.27</v>
      </c>
      <c r="BQ400" s="1" t="s">
        <v>2048</v>
      </c>
      <c r="BV400" s="1">
        <v>1.1</v>
      </c>
      <c r="EQ400" s="9" t="s">
        <v>2047</v>
      </c>
      <c r="ER400" s="21">
        <v>46045.2983912037</v>
      </c>
    </row>
    <row r="401">
      <c r="A401" s="9" t="s">
        <v>2049</v>
      </c>
      <c r="B401" s="20" t="str">
        <f>IFERROR(__xludf.DUMMYFUNCTION("REGEXREPLACE(A401, ""^https?://[^/]+"", """")"),"/wp-content/uploads/2022/03/griffith_steve-225x225.jpg")</f>
        <v>/wp-content/uploads/2022/03/griffith_steve-225x225.jpg</v>
      </c>
      <c r="F401" s="1" t="s">
        <v>1004</v>
      </c>
      <c r="G401" s="1">
        <v>200.0</v>
      </c>
      <c r="H401" s="1" t="s">
        <v>966</v>
      </c>
      <c r="I401" s="1" t="s">
        <v>967</v>
      </c>
      <c r="L401" s="1">
        <v>0.0</v>
      </c>
      <c r="M401" s="1">
        <v>0.0</v>
      </c>
      <c r="O401" s="1">
        <v>0.0</v>
      </c>
      <c r="P401" s="1">
        <v>0.0</v>
      </c>
      <c r="R401" s="1">
        <v>0.0</v>
      </c>
      <c r="S401" s="1">
        <v>0.0</v>
      </c>
      <c r="U401" s="1">
        <v>0.0</v>
      </c>
      <c r="W401" s="1">
        <v>0.0</v>
      </c>
      <c r="Y401" s="1">
        <v>0.0</v>
      </c>
      <c r="AA401" s="1">
        <v>0.0</v>
      </c>
      <c r="AC401" s="1">
        <v>0.0</v>
      </c>
      <c r="AM401" s="1">
        <v>9240.0</v>
      </c>
      <c r="AN401" s="1">
        <v>9240.0</v>
      </c>
      <c r="AO401" s="1">
        <v>9240.0</v>
      </c>
      <c r="AP401" s="1">
        <v>3.54</v>
      </c>
      <c r="AR401" s="1">
        <v>0.0</v>
      </c>
      <c r="AW401" s="1">
        <v>0.0</v>
      </c>
      <c r="AX401" s="1">
        <v>2.0</v>
      </c>
      <c r="AY401" s="1">
        <v>4.0</v>
      </c>
      <c r="BA401" s="1">
        <v>0.0</v>
      </c>
      <c r="BB401" s="1">
        <v>0.0</v>
      </c>
      <c r="BC401" s="1">
        <v>0.0</v>
      </c>
      <c r="BD401" s="1">
        <v>0.0</v>
      </c>
      <c r="BE401" s="1">
        <v>0.0</v>
      </c>
      <c r="BF401" s="1">
        <v>0.0</v>
      </c>
      <c r="BG401" s="1">
        <v>0.0</v>
      </c>
      <c r="BH401" s="1">
        <v>0.0</v>
      </c>
      <c r="BI401" s="1">
        <v>0.0</v>
      </c>
      <c r="BJ401" s="1">
        <v>0.0</v>
      </c>
      <c r="BP401" s="1">
        <v>0.274</v>
      </c>
      <c r="BQ401" s="1" t="s">
        <v>2050</v>
      </c>
      <c r="BV401" s="1">
        <v>1.1</v>
      </c>
      <c r="EQ401" s="9" t="s">
        <v>2049</v>
      </c>
      <c r="ER401" s="21">
        <v>46045.2983912037</v>
      </c>
    </row>
    <row r="402">
      <c r="A402" s="9" t="s">
        <v>2051</v>
      </c>
      <c r="B402" s="20" t="str">
        <f>IFERROR(__xludf.DUMMYFUNCTION("REGEXREPLACE(A402, ""^https?://[^/]+"", """")"),"/wp-content/uploads/2024/08/Legault_Darren-225x225.jpg")</f>
        <v>/wp-content/uploads/2024/08/Legault_Darren-225x225.jpg</v>
      </c>
      <c r="F402" s="1" t="s">
        <v>1004</v>
      </c>
      <c r="G402" s="1">
        <v>200.0</v>
      </c>
      <c r="H402" s="1" t="s">
        <v>966</v>
      </c>
      <c r="I402" s="1" t="s">
        <v>967</v>
      </c>
      <c r="L402" s="1">
        <v>0.0</v>
      </c>
      <c r="M402" s="1">
        <v>0.0</v>
      </c>
      <c r="O402" s="1">
        <v>0.0</v>
      </c>
      <c r="P402" s="1">
        <v>0.0</v>
      </c>
      <c r="R402" s="1">
        <v>0.0</v>
      </c>
      <c r="S402" s="1">
        <v>0.0</v>
      </c>
      <c r="U402" s="1">
        <v>0.0</v>
      </c>
      <c r="W402" s="1">
        <v>0.0</v>
      </c>
      <c r="Y402" s="1">
        <v>0.0</v>
      </c>
      <c r="AA402" s="1">
        <v>0.0</v>
      </c>
      <c r="AC402" s="1">
        <v>0.0</v>
      </c>
      <c r="AM402" s="1">
        <v>8209.0</v>
      </c>
      <c r="AN402" s="1">
        <v>8209.0</v>
      </c>
      <c r="AO402" s="1">
        <v>8209.0</v>
      </c>
      <c r="AP402" s="1">
        <v>3.145</v>
      </c>
      <c r="AR402" s="1">
        <v>0.0</v>
      </c>
      <c r="AW402" s="1">
        <v>0.0</v>
      </c>
      <c r="AX402" s="1">
        <v>2.0</v>
      </c>
      <c r="AY402" s="1">
        <v>4.0</v>
      </c>
      <c r="BA402" s="1">
        <v>0.0</v>
      </c>
      <c r="BB402" s="1">
        <v>0.0</v>
      </c>
      <c r="BC402" s="1">
        <v>0.0</v>
      </c>
      <c r="BD402" s="1">
        <v>0.0</v>
      </c>
      <c r="BE402" s="1">
        <v>0.0</v>
      </c>
      <c r="BF402" s="1">
        <v>0.0</v>
      </c>
      <c r="BG402" s="1">
        <v>0.0</v>
      </c>
      <c r="BH402" s="1">
        <v>0.0</v>
      </c>
      <c r="BI402" s="1">
        <v>0.0</v>
      </c>
      <c r="BJ402" s="1">
        <v>0.0</v>
      </c>
      <c r="BP402" s="1">
        <v>0.302</v>
      </c>
      <c r="BQ402" s="1" t="s">
        <v>2052</v>
      </c>
      <c r="BV402" s="1">
        <v>1.1</v>
      </c>
      <c r="EQ402" s="9" t="s">
        <v>2051</v>
      </c>
      <c r="ER402" s="21">
        <v>46045.2983912037</v>
      </c>
    </row>
    <row r="403">
      <c r="A403" s="9" t="s">
        <v>2053</v>
      </c>
      <c r="B403" s="20" t="str">
        <f>IFERROR(__xludf.DUMMYFUNCTION("REGEXREPLACE(A403, ""^https?://[^/]+"", """")"),"/wp-content/uploads/2022/04/Hoelderle-Tom-275x275-1-225x225.jpg")</f>
        <v>/wp-content/uploads/2022/04/Hoelderle-Tom-275x275-1-225x225.jpg</v>
      </c>
      <c r="F403" s="1" t="s">
        <v>1004</v>
      </c>
      <c r="G403" s="1">
        <v>200.0</v>
      </c>
      <c r="H403" s="1" t="s">
        <v>966</v>
      </c>
      <c r="I403" s="1" t="s">
        <v>967</v>
      </c>
      <c r="L403" s="1">
        <v>0.0</v>
      </c>
      <c r="M403" s="1">
        <v>0.0</v>
      </c>
      <c r="O403" s="1">
        <v>0.0</v>
      </c>
      <c r="P403" s="1">
        <v>0.0</v>
      </c>
      <c r="R403" s="1">
        <v>0.0</v>
      </c>
      <c r="S403" s="1">
        <v>0.0</v>
      </c>
      <c r="U403" s="1">
        <v>0.0</v>
      </c>
      <c r="W403" s="1">
        <v>0.0</v>
      </c>
      <c r="Y403" s="1">
        <v>0.0</v>
      </c>
      <c r="AA403" s="1">
        <v>0.0</v>
      </c>
      <c r="AC403" s="1">
        <v>0.0</v>
      </c>
      <c r="AM403" s="1">
        <v>8297.0</v>
      </c>
      <c r="AN403" s="1">
        <v>8297.0</v>
      </c>
      <c r="AO403" s="1">
        <v>8297.0</v>
      </c>
      <c r="AP403" s="1">
        <v>3.178</v>
      </c>
      <c r="AR403" s="1">
        <v>0.0</v>
      </c>
      <c r="AW403" s="1">
        <v>0.0</v>
      </c>
      <c r="AX403" s="1">
        <v>2.0</v>
      </c>
      <c r="AY403" s="1">
        <v>4.0</v>
      </c>
      <c r="BA403" s="1">
        <v>0.0</v>
      </c>
      <c r="BB403" s="1">
        <v>0.0</v>
      </c>
      <c r="BC403" s="1">
        <v>0.0</v>
      </c>
      <c r="BD403" s="1">
        <v>0.0</v>
      </c>
      <c r="BE403" s="1">
        <v>0.0</v>
      </c>
      <c r="BF403" s="1">
        <v>0.0</v>
      </c>
      <c r="BG403" s="1">
        <v>0.0</v>
      </c>
      <c r="BH403" s="1">
        <v>0.0</v>
      </c>
      <c r="BI403" s="1">
        <v>0.0</v>
      </c>
      <c r="BJ403" s="1">
        <v>0.0</v>
      </c>
      <c r="BP403" s="1">
        <v>0.268</v>
      </c>
      <c r="BQ403" s="1" t="s">
        <v>2054</v>
      </c>
      <c r="BV403" s="1">
        <v>1.1</v>
      </c>
      <c r="EQ403" s="9" t="s">
        <v>2053</v>
      </c>
      <c r="ER403" s="21">
        <v>46045.2983912037</v>
      </c>
    </row>
    <row r="404">
      <c r="A404" s="9" t="s">
        <v>2055</v>
      </c>
      <c r="B404" s="20" t="str">
        <f>IFERROR(__xludf.DUMMYFUNCTION("REGEXREPLACE(A404, ""^https?://[^/]+"", """")"),"/wp-content/uploads/2024/03/Yahnite_Jill-225x225.jpg")</f>
        <v>/wp-content/uploads/2024/03/Yahnite_Jill-225x225.jpg</v>
      </c>
      <c r="F404" s="1" t="s">
        <v>1004</v>
      </c>
      <c r="G404" s="1">
        <v>200.0</v>
      </c>
      <c r="H404" s="1" t="s">
        <v>966</v>
      </c>
      <c r="I404" s="1" t="s">
        <v>967</v>
      </c>
      <c r="L404" s="1">
        <v>0.0</v>
      </c>
      <c r="M404" s="1">
        <v>0.0</v>
      </c>
      <c r="O404" s="1">
        <v>0.0</v>
      </c>
      <c r="P404" s="1">
        <v>0.0</v>
      </c>
      <c r="R404" s="1">
        <v>0.0</v>
      </c>
      <c r="S404" s="1">
        <v>0.0</v>
      </c>
      <c r="U404" s="1">
        <v>0.0</v>
      </c>
      <c r="W404" s="1">
        <v>0.0</v>
      </c>
      <c r="Y404" s="1">
        <v>0.0</v>
      </c>
      <c r="AA404" s="1">
        <v>0.0</v>
      </c>
      <c r="AC404" s="1">
        <v>0.0</v>
      </c>
      <c r="AM404" s="1">
        <v>12767.0</v>
      </c>
      <c r="AN404" s="1">
        <v>12767.0</v>
      </c>
      <c r="AO404" s="1">
        <v>12767.0</v>
      </c>
      <c r="AP404" s="1">
        <v>4.891</v>
      </c>
      <c r="AR404" s="1">
        <v>0.0</v>
      </c>
      <c r="AW404" s="1">
        <v>0.0</v>
      </c>
      <c r="AX404" s="1">
        <v>2.0</v>
      </c>
      <c r="AY404" s="1">
        <v>4.0</v>
      </c>
      <c r="BA404" s="1">
        <v>0.0</v>
      </c>
      <c r="BB404" s="1">
        <v>0.0</v>
      </c>
      <c r="BC404" s="1">
        <v>0.0</v>
      </c>
      <c r="BD404" s="1">
        <v>0.0</v>
      </c>
      <c r="BE404" s="1">
        <v>0.0</v>
      </c>
      <c r="BF404" s="1">
        <v>0.0</v>
      </c>
      <c r="BG404" s="1">
        <v>0.0</v>
      </c>
      <c r="BH404" s="1">
        <v>0.0</v>
      </c>
      <c r="BI404" s="1">
        <v>0.0</v>
      </c>
      <c r="BJ404" s="1">
        <v>0.0</v>
      </c>
      <c r="BP404" s="1">
        <v>0.26</v>
      </c>
      <c r="BQ404" s="1" t="s">
        <v>2056</v>
      </c>
      <c r="BV404" s="1">
        <v>1.1</v>
      </c>
      <c r="EQ404" s="9" t="s">
        <v>2055</v>
      </c>
      <c r="ER404" s="21">
        <v>46045.2983912037</v>
      </c>
    </row>
    <row r="405">
      <c r="A405" s="9" t="s">
        <v>2057</v>
      </c>
      <c r="B405" s="20" t="str">
        <f>IFERROR(__xludf.DUMMYFUNCTION("REGEXREPLACE(A405, ""^https?://[^/]+"", """")"),"/wp-content/uploads/2022/04/Ryder-Harrison-275x275-1-225x225.jpg")</f>
        <v>/wp-content/uploads/2022/04/Ryder-Harrison-275x275-1-225x225.jpg</v>
      </c>
      <c r="F405" s="1" t="s">
        <v>1004</v>
      </c>
      <c r="G405" s="1">
        <v>200.0</v>
      </c>
      <c r="H405" s="1" t="s">
        <v>966</v>
      </c>
      <c r="I405" s="1" t="s">
        <v>967</v>
      </c>
      <c r="L405" s="1">
        <v>0.0</v>
      </c>
      <c r="M405" s="1">
        <v>0.0</v>
      </c>
      <c r="O405" s="1">
        <v>0.0</v>
      </c>
      <c r="P405" s="1">
        <v>0.0</v>
      </c>
      <c r="R405" s="1">
        <v>0.0</v>
      </c>
      <c r="S405" s="1">
        <v>0.0</v>
      </c>
      <c r="U405" s="1">
        <v>0.0</v>
      </c>
      <c r="W405" s="1">
        <v>0.0</v>
      </c>
      <c r="Y405" s="1">
        <v>0.0</v>
      </c>
      <c r="AA405" s="1">
        <v>0.0</v>
      </c>
      <c r="AC405" s="1">
        <v>0.0</v>
      </c>
      <c r="AM405" s="1">
        <v>9568.0</v>
      </c>
      <c r="AN405" s="1">
        <v>9568.0</v>
      </c>
      <c r="AO405" s="1">
        <v>9568.0</v>
      </c>
      <c r="AP405" s="1">
        <v>3.665</v>
      </c>
      <c r="AR405" s="1">
        <v>0.0</v>
      </c>
      <c r="AW405" s="1">
        <v>0.0</v>
      </c>
      <c r="AX405" s="1">
        <v>2.0</v>
      </c>
      <c r="AY405" s="1">
        <v>4.0</v>
      </c>
      <c r="BA405" s="1">
        <v>0.0</v>
      </c>
      <c r="BB405" s="1">
        <v>0.0</v>
      </c>
      <c r="BC405" s="1">
        <v>0.0</v>
      </c>
      <c r="BD405" s="1">
        <v>0.0</v>
      </c>
      <c r="BE405" s="1">
        <v>0.0</v>
      </c>
      <c r="BF405" s="1">
        <v>0.0</v>
      </c>
      <c r="BG405" s="1">
        <v>0.0</v>
      </c>
      <c r="BH405" s="1">
        <v>0.0</v>
      </c>
      <c r="BI405" s="1">
        <v>0.0</v>
      </c>
      <c r="BJ405" s="1">
        <v>0.0</v>
      </c>
      <c r="BP405" s="1">
        <v>0.275</v>
      </c>
      <c r="BQ405" s="1" t="s">
        <v>2058</v>
      </c>
      <c r="BV405" s="1">
        <v>1.1</v>
      </c>
      <c r="EQ405" s="9" t="s">
        <v>2057</v>
      </c>
      <c r="ER405" s="21">
        <v>46045.29840277778</v>
      </c>
    </row>
    <row r="406">
      <c r="A406" s="9" t="s">
        <v>2059</v>
      </c>
      <c r="B406" s="20" t="str">
        <f>IFERROR(__xludf.DUMMYFUNCTION("REGEXREPLACE(A406, ""^https?://[^/]+"", """")"),"/wp-content/uploads/2024/08/Thompson_Daniel-225x225.jpg")</f>
        <v>/wp-content/uploads/2024/08/Thompson_Daniel-225x225.jpg</v>
      </c>
      <c r="F406" s="1" t="s">
        <v>1004</v>
      </c>
      <c r="G406" s="1">
        <v>200.0</v>
      </c>
      <c r="H406" s="1" t="s">
        <v>966</v>
      </c>
      <c r="I406" s="1" t="s">
        <v>967</v>
      </c>
      <c r="L406" s="1">
        <v>0.0</v>
      </c>
      <c r="M406" s="1">
        <v>0.0</v>
      </c>
      <c r="O406" s="1">
        <v>0.0</v>
      </c>
      <c r="P406" s="1">
        <v>0.0</v>
      </c>
      <c r="R406" s="1">
        <v>0.0</v>
      </c>
      <c r="S406" s="1">
        <v>0.0</v>
      </c>
      <c r="U406" s="1">
        <v>0.0</v>
      </c>
      <c r="W406" s="1">
        <v>0.0</v>
      </c>
      <c r="Y406" s="1">
        <v>0.0</v>
      </c>
      <c r="AA406" s="1">
        <v>0.0</v>
      </c>
      <c r="AC406" s="1">
        <v>0.0</v>
      </c>
      <c r="AM406" s="1">
        <v>7996.0</v>
      </c>
      <c r="AN406" s="1">
        <v>7996.0</v>
      </c>
      <c r="AO406" s="1">
        <v>7996.0</v>
      </c>
      <c r="AP406" s="1">
        <v>3.063</v>
      </c>
      <c r="AR406" s="1">
        <v>0.0</v>
      </c>
      <c r="AW406" s="1">
        <v>0.0</v>
      </c>
      <c r="AX406" s="1">
        <v>2.0</v>
      </c>
      <c r="AY406" s="1">
        <v>4.0</v>
      </c>
      <c r="BA406" s="1">
        <v>0.0</v>
      </c>
      <c r="BB406" s="1">
        <v>0.0</v>
      </c>
      <c r="BC406" s="1">
        <v>0.0</v>
      </c>
      <c r="BD406" s="1">
        <v>0.0</v>
      </c>
      <c r="BE406" s="1">
        <v>0.0</v>
      </c>
      <c r="BF406" s="1">
        <v>0.0</v>
      </c>
      <c r="BG406" s="1">
        <v>0.0</v>
      </c>
      <c r="BH406" s="1">
        <v>0.0</v>
      </c>
      <c r="BI406" s="1">
        <v>0.0</v>
      </c>
      <c r="BJ406" s="1">
        <v>0.0</v>
      </c>
      <c r="BP406" s="1">
        <v>0.267</v>
      </c>
      <c r="BQ406" s="1" t="s">
        <v>2060</v>
      </c>
      <c r="BV406" s="1">
        <v>1.1</v>
      </c>
      <c r="EQ406" s="9" t="s">
        <v>2059</v>
      </c>
      <c r="ER406" s="21">
        <v>46045.29840277778</v>
      </c>
    </row>
    <row r="407">
      <c r="A407" s="9" t="s">
        <v>2061</v>
      </c>
      <c r="B407" s="20" t="str">
        <f>IFERROR(__xludf.DUMMYFUNCTION("REGEXREPLACE(A407, ""^https?://[^/]+"", """")"),"/wp-content/uploads/2025/04/Parsonson_Dominic-225x225.jpg")</f>
        <v>/wp-content/uploads/2025/04/Parsonson_Dominic-225x225.jpg</v>
      </c>
      <c r="F407" s="1" t="s">
        <v>1004</v>
      </c>
      <c r="G407" s="1">
        <v>200.0</v>
      </c>
      <c r="H407" s="1" t="s">
        <v>966</v>
      </c>
      <c r="I407" s="1" t="s">
        <v>967</v>
      </c>
      <c r="L407" s="1">
        <v>0.0</v>
      </c>
      <c r="M407" s="1">
        <v>0.0</v>
      </c>
      <c r="O407" s="1">
        <v>0.0</v>
      </c>
      <c r="P407" s="1">
        <v>0.0</v>
      </c>
      <c r="R407" s="1">
        <v>0.0</v>
      </c>
      <c r="S407" s="1">
        <v>0.0</v>
      </c>
      <c r="U407" s="1">
        <v>0.0</v>
      </c>
      <c r="W407" s="1">
        <v>0.0</v>
      </c>
      <c r="Y407" s="1">
        <v>0.0</v>
      </c>
      <c r="AA407" s="1">
        <v>0.0</v>
      </c>
      <c r="AC407" s="1">
        <v>0.0</v>
      </c>
      <c r="AM407" s="1">
        <v>9465.0</v>
      </c>
      <c r="AN407" s="1">
        <v>9465.0</v>
      </c>
      <c r="AO407" s="1">
        <v>9465.0</v>
      </c>
      <c r="AP407" s="1">
        <v>3.626</v>
      </c>
      <c r="AR407" s="1">
        <v>0.0</v>
      </c>
      <c r="AW407" s="1">
        <v>0.0</v>
      </c>
      <c r="AX407" s="1">
        <v>2.0</v>
      </c>
      <c r="AY407" s="1">
        <v>4.0</v>
      </c>
      <c r="BA407" s="1">
        <v>0.0</v>
      </c>
      <c r="BB407" s="1">
        <v>0.0</v>
      </c>
      <c r="BC407" s="1">
        <v>0.0</v>
      </c>
      <c r="BD407" s="1">
        <v>0.0</v>
      </c>
      <c r="BE407" s="1">
        <v>0.0</v>
      </c>
      <c r="BF407" s="1">
        <v>0.0</v>
      </c>
      <c r="BG407" s="1">
        <v>0.0</v>
      </c>
      <c r="BH407" s="1">
        <v>0.0</v>
      </c>
      <c r="BI407" s="1">
        <v>0.0</v>
      </c>
      <c r="BJ407" s="1">
        <v>0.0</v>
      </c>
      <c r="BP407" s="1">
        <v>0.271</v>
      </c>
      <c r="BQ407" s="1" t="s">
        <v>2062</v>
      </c>
      <c r="BV407" s="1">
        <v>1.1</v>
      </c>
      <c r="EQ407" s="9" t="s">
        <v>2061</v>
      </c>
      <c r="ER407" s="21">
        <v>46045.29840277778</v>
      </c>
    </row>
    <row r="408">
      <c r="A408" s="9" t="s">
        <v>2063</v>
      </c>
      <c r="B408" s="20" t="str">
        <f>IFERROR(__xludf.DUMMYFUNCTION("REGEXREPLACE(A408, ""^https?://[^/]+"", """")"),"/wp-content/uploads/2022/04/Wilson-Scott-275x275-1-225x225.jpg")</f>
        <v>/wp-content/uploads/2022/04/Wilson-Scott-275x275-1-225x225.jpg</v>
      </c>
      <c r="F408" s="1" t="s">
        <v>1004</v>
      </c>
      <c r="G408" s="1">
        <v>200.0</v>
      </c>
      <c r="H408" s="1" t="s">
        <v>966</v>
      </c>
      <c r="I408" s="1" t="s">
        <v>967</v>
      </c>
      <c r="L408" s="1">
        <v>0.0</v>
      </c>
      <c r="M408" s="1">
        <v>0.0</v>
      </c>
      <c r="O408" s="1">
        <v>0.0</v>
      </c>
      <c r="P408" s="1">
        <v>0.0</v>
      </c>
      <c r="R408" s="1">
        <v>0.0</v>
      </c>
      <c r="S408" s="1">
        <v>0.0</v>
      </c>
      <c r="U408" s="1">
        <v>0.0</v>
      </c>
      <c r="W408" s="1">
        <v>0.0</v>
      </c>
      <c r="Y408" s="1">
        <v>0.0</v>
      </c>
      <c r="AA408" s="1">
        <v>0.0</v>
      </c>
      <c r="AC408" s="1">
        <v>0.0</v>
      </c>
      <c r="AM408" s="1">
        <v>9212.0</v>
      </c>
      <c r="AN408" s="1">
        <v>9212.0</v>
      </c>
      <c r="AO408" s="1">
        <v>9212.0</v>
      </c>
      <c r="AP408" s="1">
        <v>3.529</v>
      </c>
      <c r="AR408" s="1">
        <v>0.0</v>
      </c>
      <c r="AW408" s="1">
        <v>0.0</v>
      </c>
      <c r="AX408" s="1">
        <v>2.0</v>
      </c>
      <c r="AY408" s="1">
        <v>4.0</v>
      </c>
      <c r="BA408" s="1">
        <v>0.0</v>
      </c>
      <c r="BB408" s="1">
        <v>0.0</v>
      </c>
      <c r="BC408" s="1">
        <v>0.0</v>
      </c>
      <c r="BD408" s="1">
        <v>0.0</v>
      </c>
      <c r="BE408" s="1">
        <v>0.0</v>
      </c>
      <c r="BF408" s="1">
        <v>0.0</v>
      </c>
      <c r="BG408" s="1">
        <v>0.0</v>
      </c>
      <c r="BH408" s="1">
        <v>0.0</v>
      </c>
      <c r="BI408" s="1">
        <v>0.0</v>
      </c>
      <c r="BJ408" s="1">
        <v>0.0</v>
      </c>
      <c r="BP408" s="1">
        <v>0.273</v>
      </c>
      <c r="BQ408" s="1" t="s">
        <v>2064</v>
      </c>
      <c r="BV408" s="1">
        <v>1.1</v>
      </c>
      <c r="EQ408" s="9" t="s">
        <v>2063</v>
      </c>
      <c r="ER408" s="21">
        <v>46045.29840277778</v>
      </c>
    </row>
    <row r="409">
      <c r="A409" s="9" t="s">
        <v>2065</v>
      </c>
      <c r="B409" s="20" t="str">
        <f>IFERROR(__xludf.DUMMYFUNCTION("REGEXREPLACE(A409, ""^https?://[^/]+"", """")"),"/cdn-cgi/l/email-protection")</f>
        <v>/cdn-cgi/l/email-protection</v>
      </c>
      <c r="F409" s="1" t="s">
        <v>2066</v>
      </c>
      <c r="G409" s="1">
        <v>404.0</v>
      </c>
      <c r="H409" s="1" t="s">
        <v>2067</v>
      </c>
      <c r="I409" s="1" t="s">
        <v>1214</v>
      </c>
      <c r="J409" s="1" t="s">
        <v>2068</v>
      </c>
      <c r="L409" s="1">
        <v>0.0</v>
      </c>
      <c r="M409" s="1">
        <v>0.0</v>
      </c>
      <c r="O409" s="1">
        <v>0.0</v>
      </c>
      <c r="P409" s="1">
        <v>0.0</v>
      </c>
      <c r="R409" s="1">
        <v>0.0</v>
      </c>
      <c r="S409" s="1">
        <v>0.0</v>
      </c>
      <c r="U409" s="1">
        <v>0.0</v>
      </c>
      <c r="W409" s="1">
        <v>0.0</v>
      </c>
      <c r="Y409" s="1">
        <v>0.0</v>
      </c>
      <c r="AA409" s="1">
        <v>0.0</v>
      </c>
      <c r="AC409" s="1">
        <v>0.0</v>
      </c>
      <c r="AM409" s="1">
        <v>0.0</v>
      </c>
      <c r="AN409" s="1">
        <v>0.0</v>
      </c>
      <c r="AO409" s="1">
        <v>0.0</v>
      </c>
      <c r="AP409" s="1">
        <v>0.0</v>
      </c>
      <c r="AR409" s="1">
        <v>0.0</v>
      </c>
      <c r="AW409" s="1">
        <v>0.0</v>
      </c>
      <c r="AX409" s="1">
        <v>2.0</v>
      </c>
      <c r="AY409" s="1">
        <v>2.0</v>
      </c>
      <c r="AZ409" s="1">
        <v>9.0</v>
      </c>
      <c r="BA409" s="1">
        <v>367.0</v>
      </c>
      <c r="BB409" s="1">
        <v>147.0</v>
      </c>
      <c r="BC409" s="1">
        <v>0.0</v>
      </c>
      <c r="BD409" s="1">
        <v>19.5</v>
      </c>
      <c r="BE409" s="1">
        <v>0.0</v>
      </c>
      <c r="BF409" s="1">
        <v>0.0</v>
      </c>
      <c r="BG409" s="1">
        <v>0.0</v>
      </c>
      <c r="BH409" s="1">
        <v>0.0</v>
      </c>
      <c r="BI409" s="1">
        <v>0.0</v>
      </c>
      <c r="BJ409" s="1">
        <v>0.0</v>
      </c>
      <c r="BP409" s="1">
        <v>0.031</v>
      </c>
      <c r="BV409" s="1">
        <v>1.1</v>
      </c>
      <c r="EQ409" s="9" t="s">
        <v>2065</v>
      </c>
      <c r="ER409" s="21">
        <v>46045.29840277778</v>
      </c>
    </row>
    <row r="410">
      <c r="A410" s="9" t="s">
        <v>2069</v>
      </c>
      <c r="B410" s="20" t="str">
        <f>IFERROR(__xludf.DUMMYFUNCTION("REGEXREPLACE(A410, ""^https?://[^/]+"", """")"),"/wp-content/uploads/2022/04/McIntyre-Pat-275x275-1-225x225.jpg")</f>
        <v>/wp-content/uploads/2022/04/McIntyre-Pat-275x275-1-225x225.jpg</v>
      </c>
      <c r="F410" s="1" t="s">
        <v>1004</v>
      </c>
      <c r="G410" s="1">
        <v>200.0</v>
      </c>
      <c r="H410" s="1" t="s">
        <v>966</v>
      </c>
      <c r="I410" s="1" t="s">
        <v>967</v>
      </c>
      <c r="L410" s="1">
        <v>0.0</v>
      </c>
      <c r="M410" s="1">
        <v>0.0</v>
      </c>
      <c r="O410" s="1">
        <v>0.0</v>
      </c>
      <c r="P410" s="1">
        <v>0.0</v>
      </c>
      <c r="R410" s="1">
        <v>0.0</v>
      </c>
      <c r="S410" s="1">
        <v>0.0</v>
      </c>
      <c r="U410" s="1">
        <v>0.0</v>
      </c>
      <c r="W410" s="1">
        <v>0.0</v>
      </c>
      <c r="Y410" s="1">
        <v>0.0</v>
      </c>
      <c r="AA410" s="1">
        <v>0.0</v>
      </c>
      <c r="AC410" s="1">
        <v>0.0</v>
      </c>
      <c r="AM410" s="1">
        <v>8607.0</v>
      </c>
      <c r="AN410" s="1">
        <v>8607.0</v>
      </c>
      <c r="AO410" s="1">
        <v>8607.0</v>
      </c>
      <c r="AP410" s="1">
        <v>3.297</v>
      </c>
      <c r="AR410" s="1">
        <v>0.0</v>
      </c>
      <c r="AW410" s="1">
        <v>0.0</v>
      </c>
      <c r="AX410" s="1">
        <v>2.0</v>
      </c>
      <c r="AY410" s="1">
        <v>4.0</v>
      </c>
      <c r="BA410" s="1">
        <v>0.0</v>
      </c>
      <c r="BB410" s="1">
        <v>0.0</v>
      </c>
      <c r="BC410" s="1">
        <v>0.0</v>
      </c>
      <c r="BD410" s="1">
        <v>0.0</v>
      </c>
      <c r="BE410" s="1">
        <v>0.0</v>
      </c>
      <c r="BF410" s="1">
        <v>0.0</v>
      </c>
      <c r="BG410" s="1">
        <v>0.0</v>
      </c>
      <c r="BH410" s="1">
        <v>0.0</v>
      </c>
      <c r="BI410" s="1">
        <v>0.0</v>
      </c>
      <c r="BJ410" s="1">
        <v>0.0</v>
      </c>
      <c r="BP410" s="1">
        <v>0.262</v>
      </c>
      <c r="BQ410" s="1" t="s">
        <v>2070</v>
      </c>
      <c r="BV410" s="1">
        <v>1.1</v>
      </c>
      <c r="EQ410" s="9" t="s">
        <v>2069</v>
      </c>
      <c r="ER410" s="21">
        <v>46045.29840277778</v>
      </c>
    </row>
    <row r="411">
      <c r="A411" s="9" t="s">
        <v>2071</v>
      </c>
      <c r="B411" s="20" t="str">
        <f>IFERROR(__xludf.DUMMYFUNCTION("REGEXREPLACE(A411, ""^https?://[^/]+"", """")"),"/wp-content/uploads/2025/08/Delahoz_Luis-225x225.jpg")</f>
        <v>/wp-content/uploads/2025/08/Delahoz_Luis-225x225.jpg</v>
      </c>
      <c r="F411" s="1" t="s">
        <v>1004</v>
      </c>
      <c r="G411" s="1">
        <v>200.0</v>
      </c>
      <c r="H411" s="1" t="s">
        <v>966</v>
      </c>
      <c r="I411" s="1" t="s">
        <v>967</v>
      </c>
      <c r="L411" s="1">
        <v>0.0</v>
      </c>
      <c r="M411" s="1">
        <v>0.0</v>
      </c>
      <c r="O411" s="1">
        <v>0.0</v>
      </c>
      <c r="P411" s="1">
        <v>0.0</v>
      </c>
      <c r="R411" s="1">
        <v>0.0</v>
      </c>
      <c r="S411" s="1">
        <v>0.0</v>
      </c>
      <c r="U411" s="1">
        <v>0.0</v>
      </c>
      <c r="W411" s="1">
        <v>0.0</v>
      </c>
      <c r="Y411" s="1">
        <v>0.0</v>
      </c>
      <c r="AA411" s="1">
        <v>0.0</v>
      </c>
      <c r="AC411" s="1">
        <v>0.0</v>
      </c>
      <c r="AM411" s="1">
        <v>8734.0</v>
      </c>
      <c r="AN411" s="1">
        <v>8734.0</v>
      </c>
      <c r="AO411" s="1">
        <v>8734.0</v>
      </c>
      <c r="AP411" s="1">
        <v>3.346</v>
      </c>
      <c r="AR411" s="1">
        <v>0.0</v>
      </c>
      <c r="AW411" s="1">
        <v>0.0</v>
      </c>
      <c r="AX411" s="1">
        <v>2.0</v>
      </c>
      <c r="AY411" s="1">
        <v>4.0</v>
      </c>
      <c r="BA411" s="1">
        <v>0.0</v>
      </c>
      <c r="BB411" s="1">
        <v>0.0</v>
      </c>
      <c r="BC411" s="1">
        <v>0.0</v>
      </c>
      <c r="BD411" s="1">
        <v>0.0</v>
      </c>
      <c r="BE411" s="1">
        <v>0.0</v>
      </c>
      <c r="BF411" s="1">
        <v>0.0</v>
      </c>
      <c r="BG411" s="1">
        <v>0.0</v>
      </c>
      <c r="BH411" s="1">
        <v>0.0</v>
      </c>
      <c r="BI411" s="1">
        <v>0.0</v>
      </c>
      <c r="BJ411" s="1">
        <v>0.0</v>
      </c>
      <c r="BP411" s="1">
        <v>0.271</v>
      </c>
      <c r="BQ411" s="1" t="s">
        <v>2072</v>
      </c>
      <c r="BV411" s="1">
        <v>1.1</v>
      </c>
      <c r="EQ411" s="9" t="s">
        <v>2071</v>
      </c>
      <c r="ER411" s="21">
        <v>46045.29840277778</v>
      </c>
    </row>
    <row r="412">
      <c r="A412" s="9" t="s">
        <v>2073</v>
      </c>
      <c r="B412" s="20" t="str">
        <f>IFERROR(__xludf.DUMMYFUNCTION("REGEXREPLACE(A412, ""^https?://[^/]+"", """")"),"/wp-content/uploads/2024/04/Harvey_Bob-225x225.jpg")</f>
        <v>/wp-content/uploads/2024/04/Harvey_Bob-225x225.jpg</v>
      </c>
      <c r="F412" s="1" t="s">
        <v>1004</v>
      </c>
      <c r="G412" s="1">
        <v>200.0</v>
      </c>
      <c r="H412" s="1" t="s">
        <v>966</v>
      </c>
      <c r="I412" s="1" t="s">
        <v>967</v>
      </c>
      <c r="L412" s="1">
        <v>0.0</v>
      </c>
      <c r="M412" s="1">
        <v>0.0</v>
      </c>
      <c r="O412" s="1">
        <v>0.0</v>
      </c>
      <c r="P412" s="1">
        <v>0.0</v>
      </c>
      <c r="R412" s="1">
        <v>0.0</v>
      </c>
      <c r="S412" s="1">
        <v>0.0</v>
      </c>
      <c r="U412" s="1">
        <v>0.0</v>
      </c>
      <c r="W412" s="1">
        <v>0.0</v>
      </c>
      <c r="Y412" s="1">
        <v>0.0</v>
      </c>
      <c r="AA412" s="1">
        <v>0.0</v>
      </c>
      <c r="AC412" s="1">
        <v>0.0</v>
      </c>
      <c r="AM412" s="1">
        <v>9515.0</v>
      </c>
      <c r="AN412" s="1">
        <v>9515.0</v>
      </c>
      <c r="AO412" s="1">
        <v>9515.0</v>
      </c>
      <c r="AP412" s="1">
        <v>3.645</v>
      </c>
      <c r="AR412" s="1">
        <v>0.0</v>
      </c>
      <c r="AW412" s="1">
        <v>0.0</v>
      </c>
      <c r="AX412" s="1">
        <v>2.0</v>
      </c>
      <c r="AY412" s="1">
        <v>4.0</v>
      </c>
      <c r="BA412" s="1">
        <v>0.0</v>
      </c>
      <c r="BB412" s="1">
        <v>0.0</v>
      </c>
      <c r="BC412" s="1">
        <v>0.0</v>
      </c>
      <c r="BD412" s="1">
        <v>0.0</v>
      </c>
      <c r="BE412" s="1">
        <v>0.0</v>
      </c>
      <c r="BF412" s="1">
        <v>0.0</v>
      </c>
      <c r="BG412" s="1">
        <v>0.0</v>
      </c>
      <c r="BH412" s="1">
        <v>0.0</v>
      </c>
      <c r="BI412" s="1">
        <v>0.0</v>
      </c>
      <c r="BJ412" s="1">
        <v>0.0</v>
      </c>
      <c r="BP412" s="1">
        <v>0.271</v>
      </c>
      <c r="BQ412" s="1" t="s">
        <v>2074</v>
      </c>
      <c r="BV412" s="1">
        <v>1.1</v>
      </c>
      <c r="EQ412" s="9" t="s">
        <v>2073</v>
      </c>
      <c r="ER412" s="21">
        <v>46045.29840277778</v>
      </c>
    </row>
    <row r="413">
      <c r="A413" s="9" t="s">
        <v>2075</v>
      </c>
      <c r="B413" s="20" t="str">
        <f>IFERROR(__xludf.DUMMYFUNCTION("REGEXREPLACE(A413, ""^https?://[^/]+"", """")"),"/wp-content/uploads/2024/08/Lubic_Dan-225x225.jpg")</f>
        <v>/wp-content/uploads/2024/08/Lubic_Dan-225x225.jpg</v>
      </c>
      <c r="F413" s="1" t="s">
        <v>1004</v>
      </c>
      <c r="G413" s="1">
        <v>200.0</v>
      </c>
      <c r="H413" s="1" t="s">
        <v>966</v>
      </c>
      <c r="I413" s="1" t="s">
        <v>967</v>
      </c>
      <c r="L413" s="1">
        <v>0.0</v>
      </c>
      <c r="M413" s="1">
        <v>0.0</v>
      </c>
      <c r="O413" s="1">
        <v>0.0</v>
      </c>
      <c r="P413" s="1">
        <v>0.0</v>
      </c>
      <c r="R413" s="1">
        <v>0.0</v>
      </c>
      <c r="S413" s="1">
        <v>0.0</v>
      </c>
      <c r="U413" s="1">
        <v>0.0</v>
      </c>
      <c r="W413" s="1">
        <v>0.0</v>
      </c>
      <c r="Y413" s="1">
        <v>0.0</v>
      </c>
      <c r="AA413" s="1">
        <v>0.0</v>
      </c>
      <c r="AC413" s="1">
        <v>0.0</v>
      </c>
      <c r="AM413" s="1">
        <v>9061.0</v>
      </c>
      <c r="AN413" s="1">
        <v>9061.0</v>
      </c>
      <c r="AO413" s="1">
        <v>9061.0</v>
      </c>
      <c r="AP413" s="1">
        <v>3.471</v>
      </c>
      <c r="AR413" s="1">
        <v>0.0</v>
      </c>
      <c r="AW413" s="1">
        <v>0.0</v>
      </c>
      <c r="AX413" s="1">
        <v>2.0</v>
      </c>
      <c r="AY413" s="1">
        <v>4.0</v>
      </c>
      <c r="BA413" s="1">
        <v>0.0</v>
      </c>
      <c r="BB413" s="1">
        <v>0.0</v>
      </c>
      <c r="BC413" s="1">
        <v>0.0</v>
      </c>
      <c r="BD413" s="1">
        <v>0.0</v>
      </c>
      <c r="BE413" s="1">
        <v>0.0</v>
      </c>
      <c r="BF413" s="1">
        <v>0.0</v>
      </c>
      <c r="BG413" s="1">
        <v>0.0</v>
      </c>
      <c r="BH413" s="1">
        <v>0.0</v>
      </c>
      <c r="BI413" s="1">
        <v>0.0</v>
      </c>
      <c r="BJ413" s="1">
        <v>0.0</v>
      </c>
      <c r="BP413" s="1">
        <v>0.266</v>
      </c>
      <c r="BQ413" s="1" t="s">
        <v>2076</v>
      </c>
      <c r="BV413" s="1">
        <v>1.1</v>
      </c>
      <c r="EQ413" s="9" t="s">
        <v>2075</v>
      </c>
      <c r="ER413" s="21">
        <v>46045.29840277778</v>
      </c>
    </row>
    <row r="414">
      <c r="A414" s="9" t="s">
        <v>2077</v>
      </c>
      <c r="B414" s="20" t="str">
        <f>IFERROR(__xludf.DUMMYFUNCTION("REGEXREPLACE(A414, ""^https?://[^/]+"", """")"),"/wp-content/uploads/2022/04/Brumbaugh-Lee-225x225.jpg")</f>
        <v>/wp-content/uploads/2022/04/Brumbaugh-Lee-225x225.jpg</v>
      </c>
      <c r="F414" s="1" t="s">
        <v>1004</v>
      </c>
      <c r="G414" s="1">
        <v>200.0</v>
      </c>
      <c r="H414" s="1" t="s">
        <v>966</v>
      </c>
      <c r="I414" s="1" t="s">
        <v>967</v>
      </c>
      <c r="L414" s="1">
        <v>0.0</v>
      </c>
      <c r="M414" s="1">
        <v>0.0</v>
      </c>
      <c r="O414" s="1">
        <v>0.0</v>
      </c>
      <c r="P414" s="1">
        <v>0.0</v>
      </c>
      <c r="R414" s="1">
        <v>0.0</v>
      </c>
      <c r="S414" s="1">
        <v>0.0</v>
      </c>
      <c r="U414" s="1">
        <v>0.0</v>
      </c>
      <c r="W414" s="1">
        <v>0.0</v>
      </c>
      <c r="Y414" s="1">
        <v>0.0</v>
      </c>
      <c r="AA414" s="1">
        <v>0.0</v>
      </c>
      <c r="AC414" s="1">
        <v>0.0</v>
      </c>
      <c r="AM414" s="1">
        <v>7759.0</v>
      </c>
      <c r="AN414" s="1">
        <v>7759.0</v>
      </c>
      <c r="AO414" s="1">
        <v>7759.0</v>
      </c>
      <c r="AP414" s="1">
        <v>2.972</v>
      </c>
      <c r="AR414" s="1">
        <v>0.0</v>
      </c>
      <c r="AW414" s="1">
        <v>0.0</v>
      </c>
      <c r="AX414" s="1">
        <v>2.0</v>
      </c>
      <c r="AY414" s="1">
        <v>4.0</v>
      </c>
      <c r="BA414" s="1">
        <v>0.0</v>
      </c>
      <c r="BB414" s="1">
        <v>0.0</v>
      </c>
      <c r="BC414" s="1">
        <v>0.0</v>
      </c>
      <c r="BD414" s="1">
        <v>0.0</v>
      </c>
      <c r="BE414" s="1">
        <v>0.0</v>
      </c>
      <c r="BF414" s="1">
        <v>0.0</v>
      </c>
      <c r="BG414" s="1">
        <v>0.0</v>
      </c>
      <c r="BH414" s="1">
        <v>0.0</v>
      </c>
      <c r="BI414" s="1">
        <v>0.0</v>
      </c>
      <c r="BJ414" s="1">
        <v>0.0</v>
      </c>
      <c r="BP414" s="1">
        <v>0.283</v>
      </c>
      <c r="BQ414" s="1" t="s">
        <v>2078</v>
      </c>
      <c r="BV414" s="1">
        <v>1.1</v>
      </c>
      <c r="EQ414" s="9" t="s">
        <v>2077</v>
      </c>
      <c r="ER414" s="21">
        <v>46045.29840277778</v>
      </c>
    </row>
    <row r="415">
      <c r="A415" s="9" t="s">
        <v>2079</v>
      </c>
      <c r="B415" s="20" t="str">
        <f>IFERROR(__xludf.DUMMYFUNCTION("REGEXREPLACE(A415, ""^https?://[^/]+"", """")"),"/wp-content/uploads/2022/04/Cariglia-Bob-275x275-1-225x225.jpg")</f>
        <v>/wp-content/uploads/2022/04/Cariglia-Bob-275x275-1-225x225.jpg</v>
      </c>
      <c r="F415" s="1" t="s">
        <v>1004</v>
      </c>
      <c r="G415" s="1">
        <v>200.0</v>
      </c>
      <c r="H415" s="1" t="s">
        <v>966</v>
      </c>
      <c r="I415" s="1" t="s">
        <v>967</v>
      </c>
      <c r="L415" s="1">
        <v>0.0</v>
      </c>
      <c r="M415" s="1">
        <v>0.0</v>
      </c>
      <c r="O415" s="1">
        <v>0.0</v>
      </c>
      <c r="P415" s="1">
        <v>0.0</v>
      </c>
      <c r="R415" s="1">
        <v>0.0</v>
      </c>
      <c r="S415" s="1">
        <v>0.0</v>
      </c>
      <c r="U415" s="1">
        <v>0.0</v>
      </c>
      <c r="W415" s="1">
        <v>0.0</v>
      </c>
      <c r="Y415" s="1">
        <v>0.0</v>
      </c>
      <c r="AA415" s="1">
        <v>0.0</v>
      </c>
      <c r="AC415" s="1">
        <v>0.0</v>
      </c>
      <c r="AM415" s="1">
        <v>8476.0</v>
      </c>
      <c r="AN415" s="1">
        <v>8476.0</v>
      </c>
      <c r="AO415" s="1">
        <v>8476.0</v>
      </c>
      <c r="AP415" s="1">
        <v>3.247</v>
      </c>
      <c r="AR415" s="1">
        <v>0.0</v>
      </c>
      <c r="AW415" s="1">
        <v>0.0</v>
      </c>
      <c r="AX415" s="1">
        <v>2.0</v>
      </c>
      <c r="AY415" s="1">
        <v>4.0</v>
      </c>
      <c r="BA415" s="1">
        <v>0.0</v>
      </c>
      <c r="BB415" s="1">
        <v>0.0</v>
      </c>
      <c r="BC415" s="1">
        <v>0.0</v>
      </c>
      <c r="BD415" s="1">
        <v>0.0</v>
      </c>
      <c r="BE415" s="1">
        <v>0.0</v>
      </c>
      <c r="BF415" s="1">
        <v>0.0</v>
      </c>
      <c r="BG415" s="1">
        <v>0.0</v>
      </c>
      <c r="BH415" s="1">
        <v>0.0</v>
      </c>
      <c r="BI415" s="1">
        <v>0.0</v>
      </c>
      <c r="BJ415" s="1">
        <v>0.0</v>
      </c>
      <c r="BP415" s="1">
        <v>0.272</v>
      </c>
      <c r="BQ415" s="1" t="s">
        <v>2080</v>
      </c>
      <c r="BV415" s="1">
        <v>1.1</v>
      </c>
      <c r="EQ415" s="9" t="s">
        <v>2079</v>
      </c>
      <c r="ER415" s="21">
        <v>46045.29840277778</v>
      </c>
    </row>
    <row r="416">
      <c r="A416" s="9" t="s">
        <v>2081</v>
      </c>
      <c r="B416" s="20" t="str">
        <f>IFERROR(__xludf.DUMMYFUNCTION("REGEXREPLACE(A416, ""^https?://[^/]+"", """")"),"/wp-content/uploads/2022/04/LaBudde-Dave-225x225.jpg")</f>
        <v>/wp-content/uploads/2022/04/LaBudde-Dave-225x225.jpg</v>
      </c>
      <c r="F416" s="1" t="s">
        <v>1004</v>
      </c>
      <c r="G416" s="1">
        <v>200.0</v>
      </c>
      <c r="H416" s="1" t="s">
        <v>966</v>
      </c>
      <c r="I416" s="1" t="s">
        <v>967</v>
      </c>
      <c r="L416" s="1">
        <v>0.0</v>
      </c>
      <c r="M416" s="1">
        <v>0.0</v>
      </c>
      <c r="O416" s="1">
        <v>0.0</v>
      </c>
      <c r="P416" s="1">
        <v>0.0</v>
      </c>
      <c r="R416" s="1">
        <v>0.0</v>
      </c>
      <c r="S416" s="1">
        <v>0.0</v>
      </c>
      <c r="U416" s="1">
        <v>0.0</v>
      </c>
      <c r="W416" s="1">
        <v>0.0</v>
      </c>
      <c r="Y416" s="1">
        <v>0.0</v>
      </c>
      <c r="AA416" s="1">
        <v>0.0</v>
      </c>
      <c r="AC416" s="1">
        <v>0.0</v>
      </c>
      <c r="AM416" s="1">
        <v>7616.0</v>
      </c>
      <c r="AN416" s="1">
        <v>7616.0</v>
      </c>
      <c r="AO416" s="1">
        <v>7616.0</v>
      </c>
      <c r="AP416" s="1">
        <v>2.918</v>
      </c>
      <c r="AR416" s="1">
        <v>0.0</v>
      </c>
      <c r="AW416" s="1">
        <v>0.0</v>
      </c>
      <c r="AX416" s="1">
        <v>2.0</v>
      </c>
      <c r="AY416" s="1">
        <v>4.0</v>
      </c>
      <c r="BA416" s="1">
        <v>0.0</v>
      </c>
      <c r="BB416" s="1">
        <v>0.0</v>
      </c>
      <c r="BC416" s="1">
        <v>0.0</v>
      </c>
      <c r="BD416" s="1">
        <v>0.0</v>
      </c>
      <c r="BE416" s="1">
        <v>0.0</v>
      </c>
      <c r="BF416" s="1">
        <v>0.0</v>
      </c>
      <c r="BG416" s="1">
        <v>0.0</v>
      </c>
      <c r="BH416" s="1">
        <v>0.0</v>
      </c>
      <c r="BI416" s="1">
        <v>0.0</v>
      </c>
      <c r="BJ416" s="1">
        <v>0.0</v>
      </c>
      <c r="BP416" s="1">
        <v>0.288</v>
      </c>
      <c r="BQ416" s="1" t="s">
        <v>2082</v>
      </c>
      <c r="BV416" s="1">
        <v>1.1</v>
      </c>
      <c r="EQ416" s="9" t="s">
        <v>2081</v>
      </c>
      <c r="ER416" s="21">
        <v>46045.298414351855</v>
      </c>
    </row>
    <row r="417">
      <c r="A417" s="9" t="s">
        <v>2083</v>
      </c>
      <c r="B417" s="20" t="str">
        <f>IFERROR(__xludf.DUMMYFUNCTION("REGEXREPLACE(A417, ""^https?://[^/]+"", """")"),"/wp-content/uploads/2017/01/Gardner_Tom2-225x225.jpg")</f>
        <v>/wp-content/uploads/2017/01/Gardner_Tom2-225x225.jpg</v>
      </c>
      <c r="F417" s="1" t="s">
        <v>1004</v>
      </c>
      <c r="G417" s="1">
        <v>200.0</v>
      </c>
      <c r="H417" s="1" t="s">
        <v>966</v>
      </c>
      <c r="I417" s="1" t="s">
        <v>967</v>
      </c>
      <c r="L417" s="1">
        <v>0.0</v>
      </c>
      <c r="M417" s="1">
        <v>0.0</v>
      </c>
      <c r="O417" s="1">
        <v>0.0</v>
      </c>
      <c r="P417" s="1">
        <v>0.0</v>
      </c>
      <c r="R417" s="1">
        <v>0.0</v>
      </c>
      <c r="S417" s="1">
        <v>0.0</v>
      </c>
      <c r="U417" s="1">
        <v>0.0</v>
      </c>
      <c r="W417" s="1">
        <v>0.0</v>
      </c>
      <c r="Y417" s="1">
        <v>0.0</v>
      </c>
      <c r="AA417" s="1">
        <v>0.0</v>
      </c>
      <c r="AC417" s="1">
        <v>0.0</v>
      </c>
      <c r="AM417" s="1">
        <v>8628.0</v>
      </c>
      <c r="AN417" s="1">
        <v>8628.0</v>
      </c>
      <c r="AO417" s="1">
        <v>8628.0</v>
      </c>
      <c r="AP417" s="1">
        <v>3.305</v>
      </c>
      <c r="AR417" s="1">
        <v>0.0</v>
      </c>
      <c r="AW417" s="1">
        <v>0.0</v>
      </c>
      <c r="AX417" s="1">
        <v>2.0</v>
      </c>
      <c r="AY417" s="1">
        <v>4.0</v>
      </c>
      <c r="BA417" s="1">
        <v>0.0</v>
      </c>
      <c r="BB417" s="1">
        <v>0.0</v>
      </c>
      <c r="BC417" s="1">
        <v>0.0</v>
      </c>
      <c r="BD417" s="1">
        <v>0.0</v>
      </c>
      <c r="BE417" s="1">
        <v>0.0</v>
      </c>
      <c r="BF417" s="1">
        <v>0.0</v>
      </c>
      <c r="BG417" s="1">
        <v>0.0</v>
      </c>
      <c r="BH417" s="1">
        <v>0.0</v>
      </c>
      <c r="BI417" s="1">
        <v>0.0</v>
      </c>
      <c r="BJ417" s="1">
        <v>0.0</v>
      </c>
      <c r="BP417" s="1">
        <v>0.283</v>
      </c>
      <c r="BQ417" s="1" t="s">
        <v>2084</v>
      </c>
      <c r="BV417" s="1">
        <v>1.1</v>
      </c>
      <c r="EQ417" s="9" t="s">
        <v>2083</v>
      </c>
      <c r="ER417" s="21">
        <v>46045.298414351855</v>
      </c>
    </row>
    <row r="418">
      <c r="A418" s="9" t="s">
        <v>2085</v>
      </c>
      <c r="B418" s="20" t="str">
        <f>IFERROR(__xludf.DUMMYFUNCTION("REGEXREPLACE(A418, ""^https?://[^/]+"", """")"),"/wp-content/uploads/2024/12/Besse_Bob-225x225.jpg")</f>
        <v>/wp-content/uploads/2024/12/Besse_Bob-225x225.jpg</v>
      </c>
      <c r="F418" s="1" t="s">
        <v>1004</v>
      </c>
      <c r="G418" s="1">
        <v>200.0</v>
      </c>
      <c r="H418" s="1" t="s">
        <v>966</v>
      </c>
      <c r="I418" s="1" t="s">
        <v>967</v>
      </c>
      <c r="L418" s="1">
        <v>0.0</v>
      </c>
      <c r="M418" s="1">
        <v>0.0</v>
      </c>
      <c r="O418" s="1">
        <v>0.0</v>
      </c>
      <c r="P418" s="1">
        <v>0.0</v>
      </c>
      <c r="R418" s="1">
        <v>0.0</v>
      </c>
      <c r="S418" s="1">
        <v>0.0</v>
      </c>
      <c r="U418" s="1">
        <v>0.0</v>
      </c>
      <c r="W418" s="1">
        <v>0.0</v>
      </c>
      <c r="Y418" s="1">
        <v>0.0</v>
      </c>
      <c r="AA418" s="1">
        <v>0.0</v>
      </c>
      <c r="AC418" s="1">
        <v>0.0</v>
      </c>
      <c r="AM418" s="1">
        <v>9957.0</v>
      </c>
      <c r="AN418" s="1">
        <v>9957.0</v>
      </c>
      <c r="AO418" s="1">
        <v>9957.0</v>
      </c>
      <c r="AP418" s="1">
        <v>3.814</v>
      </c>
      <c r="AR418" s="1">
        <v>0.0</v>
      </c>
      <c r="AW418" s="1">
        <v>0.0</v>
      </c>
      <c r="AX418" s="1">
        <v>2.0</v>
      </c>
      <c r="AY418" s="1">
        <v>4.0</v>
      </c>
      <c r="BA418" s="1">
        <v>0.0</v>
      </c>
      <c r="BB418" s="1">
        <v>0.0</v>
      </c>
      <c r="BC418" s="1">
        <v>0.0</v>
      </c>
      <c r="BD418" s="1">
        <v>0.0</v>
      </c>
      <c r="BE418" s="1">
        <v>0.0</v>
      </c>
      <c r="BF418" s="1">
        <v>0.0</v>
      </c>
      <c r="BG418" s="1">
        <v>0.0</v>
      </c>
      <c r="BH418" s="1">
        <v>0.0</v>
      </c>
      <c r="BI418" s="1">
        <v>0.0</v>
      </c>
      <c r="BJ418" s="1">
        <v>0.0</v>
      </c>
      <c r="BP418" s="1">
        <v>0.271</v>
      </c>
      <c r="BQ418" s="1" t="s">
        <v>2086</v>
      </c>
      <c r="BV418" s="1">
        <v>1.1</v>
      </c>
      <c r="EQ418" s="9" t="s">
        <v>2085</v>
      </c>
      <c r="ER418" s="21">
        <v>46045.298414351855</v>
      </c>
    </row>
    <row r="419">
      <c r="A419" s="9" t="s">
        <v>2087</v>
      </c>
      <c r="B419" s="20" t="str">
        <f>IFERROR(__xludf.DUMMYFUNCTION("REGEXREPLACE(A419, ""^https?://[^/]+"", """")"),"/wp-content/uploads/2022/04/Clair-Jeff-275x275-1-225x225.jpg")</f>
        <v>/wp-content/uploads/2022/04/Clair-Jeff-275x275-1-225x225.jpg</v>
      </c>
      <c r="F419" s="1" t="s">
        <v>1004</v>
      </c>
      <c r="G419" s="1">
        <v>200.0</v>
      </c>
      <c r="H419" s="1" t="s">
        <v>966</v>
      </c>
      <c r="I419" s="1" t="s">
        <v>967</v>
      </c>
      <c r="L419" s="1">
        <v>0.0</v>
      </c>
      <c r="M419" s="1">
        <v>0.0</v>
      </c>
      <c r="O419" s="1">
        <v>0.0</v>
      </c>
      <c r="P419" s="1">
        <v>0.0</v>
      </c>
      <c r="R419" s="1">
        <v>0.0</v>
      </c>
      <c r="S419" s="1">
        <v>0.0</v>
      </c>
      <c r="U419" s="1">
        <v>0.0</v>
      </c>
      <c r="W419" s="1">
        <v>0.0</v>
      </c>
      <c r="Y419" s="1">
        <v>0.0</v>
      </c>
      <c r="AA419" s="1">
        <v>0.0</v>
      </c>
      <c r="AC419" s="1">
        <v>0.0</v>
      </c>
      <c r="AM419" s="1">
        <v>8587.0</v>
      </c>
      <c r="AN419" s="1">
        <v>8587.0</v>
      </c>
      <c r="AO419" s="1">
        <v>8587.0</v>
      </c>
      <c r="AP419" s="1">
        <v>3.29</v>
      </c>
      <c r="AR419" s="1">
        <v>0.0</v>
      </c>
      <c r="AW419" s="1">
        <v>0.0</v>
      </c>
      <c r="AX419" s="1">
        <v>2.0</v>
      </c>
      <c r="AY419" s="1">
        <v>4.0</v>
      </c>
      <c r="BA419" s="1">
        <v>0.0</v>
      </c>
      <c r="BB419" s="1">
        <v>0.0</v>
      </c>
      <c r="BC419" s="1">
        <v>0.0</v>
      </c>
      <c r="BD419" s="1">
        <v>0.0</v>
      </c>
      <c r="BE419" s="1">
        <v>0.0</v>
      </c>
      <c r="BF419" s="1">
        <v>0.0</v>
      </c>
      <c r="BG419" s="1">
        <v>0.0</v>
      </c>
      <c r="BH419" s="1">
        <v>0.0</v>
      </c>
      <c r="BI419" s="1">
        <v>0.0</v>
      </c>
      <c r="BJ419" s="1">
        <v>0.0</v>
      </c>
      <c r="BP419" s="1">
        <v>0.274</v>
      </c>
      <c r="BQ419" s="1" t="s">
        <v>2088</v>
      </c>
      <c r="BV419" s="1">
        <v>1.1</v>
      </c>
      <c r="EQ419" s="9" t="s">
        <v>2087</v>
      </c>
      <c r="ER419" s="21">
        <v>46045.298414351855</v>
      </c>
    </row>
    <row r="420">
      <c r="A420" s="9" t="s">
        <v>2089</v>
      </c>
      <c r="B420" s="20" t="str">
        <f>IFERROR(__xludf.DUMMYFUNCTION("REGEXREPLACE(A420, ""^https?://[^/]+"", """")"),"/wp-content/uploads/2022/04/LaHonta-Keith-275x275-1-225x225.jpg")</f>
        <v>/wp-content/uploads/2022/04/LaHonta-Keith-275x275-1-225x225.jpg</v>
      </c>
      <c r="F420" s="1" t="s">
        <v>1004</v>
      </c>
      <c r="G420" s="1">
        <v>200.0</v>
      </c>
      <c r="H420" s="1" t="s">
        <v>966</v>
      </c>
      <c r="I420" s="1" t="s">
        <v>967</v>
      </c>
      <c r="L420" s="1">
        <v>0.0</v>
      </c>
      <c r="M420" s="1">
        <v>0.0</v>
      </c>
      <c r="O420" s="1">
        <v>0.0</v>
      </c>
      <c r="P420" s="1">
        <v>0.0</v>
      </c>
      <c r="R420" s="1">
        <v>0.0</v>
      </c>
      <c r="S420" s="1">
        <v>0.0</v>
      </c>
      <c r="U420" s="1">
        <v>0.0</v>
      </c>
      <c r="W420" s="1">
        <v>0.0</v>
      </c>
      <c r="Y420" s="1">
        <v>0.0</v>
      </c>
      <c r="AA420" s="1">
        <v>0.0</v>
      </c>
      <c r="AC420" s="1">
        <v>0.0</v>
      </c>
      <c r="AM420" s="1">
        <v>8134.0</v>
      </c>
      <c r="AN420" s="1">
        <v>8134.0</v>
      </c>
      <c r="AO420" s="1">
        <v>8134.0</v>
      </c>
      <c r="AP420" s="1">
        <v>3.116</v>
      </c>
      <c r="AR420" s="1">
        <v>0.0</v>
      </c>
      <c r="AW420" s="1">
        <v>0.0</v>
      </c>
      <c r="AX420" s="1">
        <v>2.0</v>
      </c>
      <c r="AY420" s="1">
        <v>4.0</v>
      </c>
      <c r="BA420" s="1">
        <v>0.0</v>
      </c>
      <c r="BB420" s="1">
        <v>0.0</v>
      </c>
      <c r="BC420" s="1">
        <v>0.0</v>
      </c>
      <c r="BD420" s="1">
        <v>0.0</v>
      </c>
      <c r="BE420" s="1">
        <v>0.0</v>
      </c>
      <c r="BF420" s="1">
        <v>0.0</v>
      </c>
      <c r="BG420" s="1">
        <v>0.0</v>
      </c>
      <c r="BH420" s="1">
        <v>0.0</v>
      </c>
      <c r="BI420" s="1">
        <v>0.0</v>
      </c>
      <c r="BJ420" s="1">
        <v>0.0</v>
      </c>
      <c r="BP420" s="1">
        <v>0.262</v>
      </c>
      <c r="BQ420" s="1" t="s">
        <v>2090</v>
      </c>
      <c r="BV420" s="1">
        <v>1.1</v>
      </c>
      <c r="EQ420" s="9" t="s">
        <v>2089</v>
      </c>
      <c r="ER420" s="21">
        <v>46045.298414351855</v>
      </c>
    </row>
    <row r="421">
      <c r="A421" s="9" t="s">
        <v>2091</v>
      </c>
      <c r="B421" s="20" t="str">
        <f>IFERROR(__xludf.DUMMYFUNCTION("REGEXREPLACE(A421, ""^https?://[^/]+"", """")"),"/wp-content/uploads/2022/04/West-Gary-275x275-1-225x225.jpg")</f>
        <v>/wp-content/uploads/2022/04/West-Gary-275x275-1-225x225.jpg</v>
      </c>
      <c r="F421" s="1" t="s">
        <v>1004</v>
      </c>
      <c r="G421" s="1">
        <v>200.0</v>
      </c>
      <c r="H421" s="1" t="s">
        <v>966</v>
      </c>
      <c r="I421" s="1" t="s">
        <v>967</v>
      </c>
      <c r="L421" s="1">
        <v>0.0</v>
      </c>
      <c r="M421" s="1">
        <v>0.0</v>
      </c>
      <c r="O421" s="1">
        <v>0.0</v>
      </c>
      <c r="P421" s="1">
        <v>0.0</v>
      </c>
      <c r="R421" s="1">
        <v>0.0</v>
      </c>
      <c r="S421" s="1">
        <v>0.0</v>
      </c>
      <c r="U421" s="1">
        <v>0.0</v>
      </c>
      <c r="W421" s="1">
        <v>0.0</v>
      </c>
      <c r="Y421" s="1">
        <v>0.0</v>
      </c>
      <c r="AA421" s="1">
        <v>0.0</v>
      </c>
      <c r="AC421" s="1">
        <v>0.0</v>
      </c>
      <c r="AM421" s="1">
        <v>8152.0</v>
      </c>
      <c r="AN421" s="1">
        <v>8152.0</v>
      </c>
      <c r="AO421" s="1">
        <v>8152.0</v>
      </c>
      <c r="AP421" s="1">
        <v>3.123</v>
      </c>
      <c r="AR421" s="1">
        <v>0.0</v>
      </c>
      <c r="AW421" s="1">
        <v>0.0</v>
      </c>
      <c r="AX421" s="1">
        <v>2.0</v>
      </c>
      <c r="AY421" s="1">
        <v>4.0</v>
      </c>
      <c r="BA421" s="1">
        <v>0.0</v>
      </c>
      <c r="BB421" s="1">
        <v>0.0</v>
      </c>
      <c r="BC421" s="1">
        <v>0.0</v>
      </c>
      <c r="BD421" s="1">
        <v>0.0</v>
      </c>
      <c r="BE421" s="1">
        <v>0.0</v>
      </c>
      <c r="BF421" s="1">
        <v>0.0</v>
      </c>
      <c r="BG421" s="1">
        <v>0.0</v>
      </c>
      <c r="BH421" s="1">
        <v>0.0</v>
      </c>
      <c r="BI421" s="1">
        <v>0.0</v>
      </c>
      <c r="BJ421" s="1">
        <v>0.0</v>
      </c>
      <c r="BP421" s="1">
        <v>0.266</v>
      </c>
      <c r="BQ421" s="1" t="s">
        <v>2092</v>
      </c>
      <c r="BV421" s="1">
        <v>1.1</v>
      </c>
      <c r="EQ421" s="9" t="s">
        <v>2091</v>
      </c>
      <c r="ER421" s="21">
        <v>46045.298414351855</v>
      </c>
    </row>
    <row r="422">
      <c r="A422" s="9" t="s">
        <v>2093</v>
      </c>
      <c r="B422" s="20" t="str">
        <f>IFERROR(__xludf.DUMMYFUNCTION("REGEXREPLACE(A422, ""^https?://[^/]+"", """")"),"/wp-content/uploads/2024/10/Westbrooke_Steve-225x225.jpg")</f>
        <v>/wp-content/uploads/2024/10/Westbrooke_Steve-225x225.jpg</v>
      </c>
      <c r="F422" s="1" t="s">
        <v>1004</v>
      </c>
      <c r="G422" s="1">
        <v>200.0</v>
      </c>
      <c r="H422" s="1" t="s">
        <v>966</v>
      </c>
      <c r="I422" s="1" t="s">
        <v>967</v>
      </c>
      <c r="L422" s="1">
        <v>0.0</v>
      </c>
      <c r="M422" s="1">
        <v>0.0</v>
      </c>
      <c r="O422" s="1">
        <v>0.0</v>
      </c>
      <c r="P422" s="1">
        <v>0.0</v>
      </c>
      <c r="R422" s="1">
        <v>0.0</v>
      </c>
      <c r="S422" s="1">
        <v>0.0</v>
      </c>
      <c r="U422" s="1">
        <v>0.0</v>
      </c>
      <c r="W422" s="1">
        <v>0.0</v>
      </c>
      <c r="Y422" s="1">
        <v>0.0</v>
      </c>
      <c r="AA422" s="1">
        <v>0.0</v>
      </c>
      <c r="AC422" s="1">
        <v>0.0</v>
      </c>
      <c r="AM422" s="1">
        <v>8148.0</v>
      </c>
      <c r="AN422" s="1">
        <v>8148.0</v>
      </c>
      <c r="AO422" s="1">
        <v>8148.0</v>
      </c>
      <c r="AP422" s="1">
        <v>3.121</v>
      </c>
      <c r="AR422" s="1">
        <v>0.0</v>
      </c>
      <c r="AW422" s="1">
        <v>0.0</v>
      </c>
      <c r="AX422" s="1">
        <v>2.0</v>
      </c>
      <c r="AY422" s="1">
        <v>4.0</v>
      </c>
      <c r="BA422" s="1">
        <v>0.0</v>
      </c>
      <c r="BB422" s="1">
        <v>0.0</v>
      </c>
      <c r="BC422" s="1">
        <v>0.0</v>
      </c>
      <c r="BD422" s="1">
        <v>0.0</v>
      </c>
      <c r="BE422" s="1">
        <v>0.0</v>
      </c>
      <c r="BF422" s="1">
        <v>0.0</v>
      </c>
      <c r="BG422" s="1">
        <v>0.0</v>
      </c>
      <c r="BH422" s="1">
        <v>0.0</v>
      </c>
      <c r="BI422" s="1">
        <v>0.0</v>
      </c>
      <c r="BJ422" s="1">
        <v>0.0</v>
      </c>
      <c r="BP422" s="1">
        <v>0.269</v>
      </c>
      <c r="BQ422" s="1" t="s">
        <v>2094</v>
      </c>
      <c r="BV422" s="1">
        <v>1.1</v>
      </c>
      <c r="EQ422" s="9" t="s">
        <v>2093</v>
      </c>
      <c r="ER422" s="21">
        <v>46045.298425925925</v>
      </c>
    </row>
    <row r="423">
      <c r="A423" s="9" t="s">
        <v>2095</v>
      </c>
      <c r="B423" s="20" t="str">
        <f>IFERROR(__xludf.DUMMYFUNCTION("REGEXREPLACE(A423, ""^https?://[^/]+"", """")"),"/wp-content/uploads/2023/09/Neilan_Tim-225x225.jpg")</f>
        <v>/wp-content/uploads/2023/09/Neilan_Tim-225x225.jpg</v>
      </c>
      <c r="F423" s="1" t="s">
        <v>1004</v>
      </c>
      <c r="G423" s="1">
        <v>200.0</v>
      </c>
      <c r="H423" s="1" t="s">
        <v>966</v>
      </c>
      <c r="I423" s="1" t="s">
        <v>967</v>
      </c>
      <c r="L423" s="1">
        <v>0.0</v>
      </c>
      <c r="M423" s="1">
        <v>0.0</v>
      </c>
      <c r="O423" s="1">
        <v>0.0</v>
      </c>
      <c r="P423" s="1">
        <v>0.0</v>
      </c>
      <c r="R423" s="1">
        <v>0.0</v>
      </c>
      <c r="S423" s="1">
        <v>0.0</v>
      </c>
      <c r="U423" s="1">
        <v>0.0</v>
      </c>
      <c r="W423" s="1">
        <v>0.0</v>
      </c>
      <c r="Y423" s="1">
        <v>0.0</v>
      </c>
      <c r="AA423" s="1">
        <v>0.0</v>
      </c>
      <c r="AC423" s="1">
        <v>0.0</v>
      </c>
      <c r="AM423" s="1">
        <v>8978.0</v>
      </c>
      <c r="AN423" s="1">
        <v>8978.0</v>
      </c>
      <c r="AO423" s="1">
        <v>8978.0</v>
      </c>
      <c r="AP423" s="1">
        <v>3.439</v>
      </c>
      <c r="AR423" s="1">
        <v>0.0</v>
      </c>
      <c r="AW423" s="1">
        <v>0.0</v>
      </c>
      <c r="AX423" s="1">
        <v>2.0</v>
      </c>
      <c r="AY423" s="1">
        <v>4.0</v>
      </c>
      <c r="BA423" s="1">
        <v>0.0</v>
      </c>
      <c r="BB423" s="1">
        <v>0.0</v>
      </c>
      <c r="BC423" s="1">
        <v>0.0</v>
      </c>
      <c r="BD423" s="1">
        <v>0.0</v>
      </c>
      <c r="BE423" s="1">
        <v>0.0</v>
      </c>
      <c r="BF423" s="1">
        <v>0.0</v>
      </c>
      <c r="BG423" s="1">
        <v>0.0</v>
      </c>
      <c r="BH423" s="1">
        <v>0.0</v>
      </c>
      <c r="BI423" s="1">
        <v>0.0</v>
      </c>
      <c r="BJ423" s="1">
        <v>0.0</v>
      </c>
      <c r="BP423" s="1">
        <v>0.266</v>
      </c>
      <c r="BQ423" s="1" t="s">
        <v>2096</v>
      </c>
      <c r="BV423" s="1">
        <v>1.1</v>
      </c>
      <c r="EQ423" s="9" t="s">
        <v>2095</v>
      </c>
      <c r="ER423" s="21">
        <v>46045.298425925925</v>
      </c>
    </row>
    <row r="424">
      <c r="A424" s="9" t="s">
        <v>2097</v>
      </c>
      <c r="B424" s="20" t="str">
        <f>IFERROR(__xludf.DUMMYFUNCTION("REGEXREPLACE(A424, ""^https?://[^/]+"", """")"),"/wp-content/uploads/2022/04/Skerlos-Dino-275x275-1-225x225.jpg")</f>
        <v>/wp-content/uploads/2022/04/Skerlos-Dino-275x275-1-225x225.jpg</v>
      </c>
      <c r="F424" s="1" t="s">
        <v>1004</v>
      </c>
      <c r="G424" s="1">
        <v>200.0</v>
      </c>
      <c r="H424" s="1" t="s">
        <v>966</v>
      </c>
      <c r="I424" s="1" t="s">
        <v>967</v>
      </c>
      <c r="L424" s="1">
        <v>0.0</v>
      </c>
      <c r="M424" s="1">
        <v>0.0</v>
      </c>
      <c r="O424" s="1">
        <v>0.0</v>
      </c>
      <c r="P424" s="1">
        <v>0.0</v>
      </c>
      <c r="R424" s="1">
        <v>0.0</v>
      </c>
      <c r="S424" s="1">
        <v>0.0</v>
      </c>
      <c r="U424" s="1">
        <v>0.0</v>
      </c>
      <c r="W424" s="1">
        <v>0.0</v>
      </c>
      <c r="Y424" s="1">
        <v>0.0</v>
      </c>
      <c r="AA424" s="1">
        <v>0.0</v>
      </c>
      <c r="AC424" s="1">
        <v>0.0</v>
      </c>
      <c r="AM424" s="1">
        <v>8201.0</v>
      </c>
      <c r="AN424" s="1">
        <v>8201.0</v>
      </c>
      <c r="AO424" s="1">
        <v>8201.0</v>
      </c>
      <c r="AP424" s="1">
        <v>3.142</v>
      </c>
      <c r="AR424" s="1">
        <v>0.0</v>
      </c>
      <c r="AW424" s="1">
        <v>0.0</v>
      </c>
      <c r="AX424" s="1">
        <v>2.0</v>
      </c>
      <c r="AY424" s="1">
        <v>4.0</v>
      </c>
      <c r="BA424" s="1">
        <v>0.0</v>
      </c>
      <c r="BB424" s="1">
        <v>0.0</v>
      </c>
      <c r="BC424" s="1">
        <v>0.0</v>
      </c>
      <c r="BD424" s="1">
        <v>0.0</v>
      </c>
      <c r="BE424" s="1">
        <v>0.0</v>
      </c>
      <c r="BF424" s="1">
        <v>0.0</v>
      </c>
      <c r="BG424" s="1">
        <v>0.0</v>
      </c>
      <c r="BH424" s="1">
        <v>0.0</v>
      </c>
      <c r="BI424" s="1">
        <v>0.0</v>
      </c>
      <c r="BJ424" s="1">
        <v>0.0</v>
      </c>
      <c r="BP424" s="1">
        <v>0.269</v>
      </c>
      <c r="BQ424" s="1" t="s">
        <v>2098</v>
      </c>
      <c r="BV424" s="1">
        <v>1.1</v>
      </c>
      <c r="EQ424" s="9" t="s">
        <v>2097</v>
      </c>
      <c r="ER424" s="21">
        <v>46045.298425925925</v>
      </c>
    </row>
    <row r="425">
      <c r="A425" s="9" t="s">
        <v>2099</v>
      </c>
      <c r="B425" s="20" t="str">
        <f>IFERROR(__xludf.DUMMYFUNCTION("REGEXREPLACE(A425, ""^https?://[^/]+"", """")"),"/wp-content/uploads/2024/08/Bidwell_Dan-225x225.jpg")</f>
        <v>/wp-content/uploads/2024/08/Bidwell_Dan-225x225.jpg</v>
      </c>
      <c r="F425" s="1" t="s">
        <v>1004</v>
      </c>
      <c r="G425" s="1">
        <v>200.0</v>
      </c>
      <c r="H425" s="1" t="s">
        <v>966</v>
      </c>
      <c r="I425" s="1" t="s">
        <v>967</v>
      </c>
      <c r="L425" s="1">
        <v>0.0</v>
      </c>
      <c r="M425" s="1">
        <v>0.0</v>
      </c>
      <c r="O425" s="1">
        <v>0.0</v>
      </c>
      <c r="P425" s="1">
        <v>0.0</v>
      </c>
      <c r="R425" s="1">
        <v>0.0</v>
      </c>
      <c r="S425" s="1">
        <v>0.0</v>
      </c>
      <c r="U425" s="1">
        <v>0.0</v>
      </c>
      <c r="W425" s="1">
        <v>0.0</v>
      </c>
      <c r="Y425" s="1">
        <v>0.0</v>
      </c>
      <c r="AA425" s="1">
        <v>0.0</v>
      </c>
      <c r="AC425" s="1">
        <v>0.0</v>
      </c>
      <c r="AM425" s="1">
        <v>9949.0</v>
      </c>
      <c r="AN425" s="1">
        <v>9949.0</v>
      </c>
      <c r="AO425" s="1">
        <v>9949.0</v>
      </c>
      <c r="AP425" s="1">
        <v>3.811</v>
      </c>
      <c r="AR425" s="1">
        <v>0.0</v>
      </c>
      <c r="AW425" s="1">
        <v>0.0</v>
      </c>
      <c r="AX425" s="1">
        <v>2.0</v>
      </c>
      <c r="AY425" s="1">
        <v>4.0</v>
      </c>
      <c r="BA425" s="1">
        <v>0.0</v>
      </c>
      <c r="BB425" s="1">
        <v>0.0</v>
      </c>
      <c r="BC425" s="1">
        <v>0.0</v>
      </c>
      <c r="BD425" s="1">
        <v>0.0</v>
      </c>
      <c r="BE425" s="1">
        <v>0.0</v>
      </c>
      <c r="BF425" s="1">
        <v>0.0</v>
      </c>
      <c r="BG425" s="1">
        <v>0.0</v>
      </c>
      <c r="BH425" s="1">
        <v>0.0</v>
      </c>
      <c r="BI425" s="1">
        <v>0.0</v>
      </c>
      <c r="BJ425" s="1">
        <v>0.0</v>
      </c>
      <c r="BP425" s="1">
        <v>0.264</v>
      </c>
      <c r="BQ425" s="1" t="s">
        <v>2100</v>
      </c>
      <c r="BV425" s="1">
        <v>1.1</v>
      </c>
      <c r="EQ425" s="9" t="s">
        <v>2099</v>
      </c>
      <c r="ER425" s="21">
        <v>46045.298425925925</v>
      </c>
    </row>
    <row r="426">
      <c r="A426" s="9" t="s">
        <v>2101</v>
      </c>
      <c r="B426" s="20" t="str">
        <f>IFERROR(__xludf.DUMMYFUNCTION("REGEXREPLACE(A426, ""^https?://[^/]+"", """")"),"/wp-content/uploads/2023/12/Knotts_Joe-225x225.jpg")</f>
        <v>/wp-content/uploads/2023/12/Knotts_Joe-225x225.jpg</v>
      </c>
      <c r="F426" s="1" t="s">
        <v>1004</v>
      </c>
      <c r="G426" s="1">
        <v>200.0</v>
      </c>
      <c r="H426" s="1" t="s">
        <v>966</v>
      </c>
      <c r="I426" s="1" t="s">
        <v>967</v>
      </c>
      <c r="L426" s="1">
        <v>0.0</v>
      </c>
      <c r="M426" s="1">
        <v>0.0</v>
      </c>
      <c r="O426" s="1">
        <v>0.0</v>
      </c>
      <c r="P426" s="1">
        <v>0.0</v>
      </c>
      <c r="R426" s="1">
        <v>0.0</v>
      </c>
      <c r="S426" s="1">
        <v>0.0</v>
      </c>
      <c r="U426" s="1">
        <v>0.0</v>
      </c>
      <c r="W426" s="1">
        <v>0.0</v>
      </c>
      <c r="Y426" s="1">
        <v>0.0</v>
      </c>
      <c r="AA426" s="1">
        <v>0.0</v>
      </c>
      <c r="AC426" s="1">
        <v>0.0</v>
      </c>
      <c r="AM426" s="1">
        <v>8756.0</v>
      </c>
      <c r="AN426" s="1">
        <v>8756.0</v>
      </c>
      <c r="AO426" s="1">
        <v>8756.0</v>
      </c>
      <c r="AP426" s="1">
        <v>3.354</v>
      </c>
      <c r="AR426" s="1">
        <v>0.0</v>
      </c>
      <c r="AW426" s="1">
        <v>0.0</v>
      </c>
      <c r="AX426" s="1">
        <v>2.0</v>
      </c>
      <c r="AY426" s="1">
        <v>4.0</v>
      </c>
      <c r="BA426" s="1">
        <v>0.0</v>
      </c>
      <c r="BB426" s="1">
        <v>0.0</v>
      </c>
      <c r="BC426" s="1">
        <v>0.0</v>
      </c>
      <c r="BD426" s="1">
        <v>0.0</v>
      </c>
      <c r="BE426" s="1">
        <v>0.0</v>
      </c>
      <c r="BF426" s="1">
        <v>0.0</v>
      </c>
      <c r="BG426" s="1">
        <v>0.0</v>
      </c>
      <c r="BH426" s="1">
        <v>0.0</v>
      </c>
      <c r="BI426" s="1">
        <v>0.0</v>
      </c>
      <c r="BJ426" s="1">
        <v>0.0</v>
      </c>
      <c r="BP426" s="1">
        <v>0.279</v>
      </c>
      <c r="BQ426" s="1" t="s">
        <v>2102</v>
      </c>
      <c r="BV426" s="1">
        <v>1.1</v>
      </c>
      <c r="EQ426" s="9" t="s">
        <v>2101</v>
      </c>
      <c r="ER426" s="21">
        <v>46045.298425925925</v>
      </c>
    </row>
    <row r="427">
      <c r="A427" s="9" t="s">
        <v>2103</v>
      </c>
      <c r="B427" s="20" t="str">
        <f>IFERROR(__xludf.DUMMYFUNCTION("REGEXREPLACE(A427, ""^https?://[^/]+"", """")"),"/wp-content/uploads/2025/08/Quinque_Ernie-225x225.jpg")</f>
        <v>/wp-content/uploads/2025/08/Quinque_Ernie-225x225.jpg</v>
      </c>
      <c r="F427" s="1" t="s">
        <v>1004</v>
      </c>
      <c r="G427" s="1">
        <v>200.0</v>
      </c>
      <c r="H427" s="1" t="s">
        <v>966</v>
      </c>
      <c r="I427" s="1" t="s">
        <v>967</v>
      </c>
      <c r="L427" s="1">
        <v>0.0</v>
      </c>
      <c r="M427" s="1">
        <v>0.0</v>
      </c>
      <c r="O427" s="1">
        <v>0.0</v>
      </c>
      <c r="P427" s="1">
        <v>0.0</v>
      </c>
      <c r="R427" s="1">
        <v>0.0</v>
      </c>
      <c r="S427" s="1">
        <v>0.0</v>
      </c>
      <c r="U427" s="1">
        <v>0.0</v>
      </c>
      <c r="W427" s="1">
        <v>0.0</v>
      </c>
      <c r="Y427" s="1">
        <v>0.0</v>
      </c>
      <c r="AA427" s="1">
        <v>0.0</v>
      </c>
      <c r="AC427" s="1">
        <v>0.0</v>
      </c>
      <c r="AM427" s="1">
        <v>8364.0</v>
      </c>
      <c r="AN427" s="1">
        <v>8364.0</v>
      </c>
      <c r="AO427" s="1">
        <v>8364.0</v>
      </c>
      <c r="AP427" s="1">
        <v>3.204</v>
      </c>
      <c r="AR427" s="1">
        <v>0.0</v>
      </c>
      <c r="AW427" s="1">
        <v>0.0</v>
      </c>
      <c r="AX427" s="1">
        <v>2.0</v>
      </c>
      <c r="AY427" s="1">
        <v>4.0</v>
      </c>
      <c r="BA427" s="1">
        <v>0.0</v>
      </c>
      <c r="BB427" s="1">
        <v>0.0</v>
      </c>
      <c r="BC427" s="1">
        <v>0.0</v>
      </c>
      <c r="BD427" s="1">
        <v>0.0</v>
      </c>
      <c r="BE427" s="1">
        <v>0.0</v>
      </c>
      <c r="BF427" s="1">
        <v>0.0</v>
      </c>
      <c r="BG427" s="1">
        <v>0.0</v>
      </c>
      <c r="BH427" s="1">
        <v>0.0</v>
      </c>
      <c r="BI427" s="1">
        <v>0.0</v>
      </c>
      <c r="BJ427" s="1">
        <v>0.0</v>
      </c>
      <c r="BP427" s="1">
        <v>0.269</v>
      </c>
      <c r="BQ427" s="1" t="s">
        <v>2104</v>
      </c>
      <c r="BV427" s="1">
        <v>1.1</v>
      </c>
      <c r="EQ427" s="9" t="s">
        <v>2103</v>
      </c>
      <c r="ER427" s="21">
        <v>46045.2984375</v>
      </c>
    </row>
    <row r="428">
      <c r="A428" s="9" t="s">
        <v>2105</v>
      </c>
      <c r="B428" s="20" t="str">
        <f>IFERROR(__xludf.DUMMYFUNCTION("REGEXREPLACE(A428, ""^https?://[^/]+"", """")"),"/wp-content/uploads/2023/06/Fisher_Howard-225x225.jpg")</f>
        <v>/wp-content/uploads/2023/06/Fisher_Howard-225x225.jpg</v>
      </c>
      <c r="F428" s="1" t="s">
        <v>1004</v>
      </c>
      <c r="G428" s="1">
        <v>200.0</v>
      </c>
      <c r="H428" s="1" t="s">
        <v>966</v>
      </c>
      <c r="I428" s="1" t="s">
        <v>967</v>
      </c>
      <c r="L428" s="1">
        <v>0.0</v>
      </c>
      <c r="M428" s="1">
        <v>0.0</v>
      </c>
      <c r="O428" s="1">
        <v>0.0</v>
      </c>
      <c r="P428" s="1">
        <v>0.0</v>
      </c>
      <c r="R428" s="1">
        <v>0.0</v>
      </c>
      <c r="S428" s="1">
        <v>0.0</v>
      </c>
      <c r="U428" s="1">
        <v>0.0</v>
      </c>
      <c r="W428" s="1">
        <v>0.0</v>
      </c>
      <c r="Y428" s="1">
        <v>0.0</v>
      </c>
      <c r="AA428" s="1">
        <v>0.0</v>
      </c>
      <c r="AC428" s="1">
        <v>0.0</v>
      </c>
      <c r="AM428" s="1">
        <v>9333.0</v>
      </c>
      <c r="AN428" s="1">
        <v>9333.0</v>
      </c>
      <c r="AO428" s="1">
        <v>9333.0</v>
      </c>
      <c r="AP428" s="1">
        <v>3.575</v>
      </c>
      <c r="AR428" s="1">
        <v>0.0</v>
      </c>
      <c r="AW428" s="1">
        <v>0.0</v>
      </c>
      <c r="AX428" s="1">
        <v>2.0</v>
      </c>
      <c r="AY428" s="1">
        <v>4.0</v>
      </c>
      <c r="BA428" s="1">
        <v>0.0</v>
      </c>
      <c r="BB428" s="1">
        <v>0.0</v>
      </c>
      <c r="BC428" s="1">
        <v>0.0</v>
      </c>
      <c r="BD428" s="1">
        <v>0.0</v>
      </c>
      <c r="BE428" s="1">
        <v>0.0</v>
      </c>
      <c r="BF428" s="1">
        <v>0.0</v>
      </c>
      <c r="BG428" s="1">
        <v>0.0</v>
      </c>
      <c r="BH428" s="1">
        <v>0.0</v>
      </c>
      <c r="BI428" s="1">
        <v>0.0</v>
      </c>
      <c r="BJ428" s="1">
        <v>0.0</v>
      </c>
      <c r="BP428" s="1">
        <v>0.272</v>
      </c>
      <c r="BQ428" s="1" t="s">
        <v>2106</v>
      </c>
      <c r="BV428" s="1">
        <v>1.1</v>
      </c>
      <c r="EQ428" s="9" t="s">
        <v>2105</v>
      </c>
      <c r="ER428" s="21">
        <v>46045.2984375</v>
      </c>
    </row>
    <row r="429">
      <c r="A429" s="9" t="s">
        <v>2107</v>
      </c>
      <c r="B429" s="20" t="str">
        <f>IFERROR(__xludf.DUMMYFUNCTION("REGEXREPLACE(A429, ""^https?://[^/]+"", """")"),"/wp-content/uploads/2017/01/Rafferty-Paul-275x275-1-225x225.jpg")</f>
        <v>/wp-content/uploads/2017/01/Rafferty-Paul-275x275-1-225x225.jpg</v>
      </c>
      <c r="F429" s="1" t="s">
        <v>1004</v>
      </c>
      <c r="G429" s="1">
        <v>200.0</v>
      </c>
      <c r="H429" s="1" t="s">
        <v>966</v>
      </c>
      <c r="I429" s="1" t="s">
        <v>967</v>
      </c>
      <c r="L429" s="1">
        <v>0.0</v>
      </c>
      <c r="M429" s="1">
        <v>0.0</v>
      </c>
      <c r="O429" s="1">
        <v>0.0</v>
      </c>
      <c r="P429" s="1">
        <v>0.0</v>
      </c>
      <c r="R429" s="1">
        <v>0.0</v>
      </c>
      <c r="S429" s="1">
        <v>0.0</v>
      </c>
      <c r="U429" s="1">
        <v>0.0</v>
      </c>
      <c r="W429" s="1">
        <v>0.0</v>
      </c>
      <c r="Y429" s="1">
        <v>0.0</v>
      </c>
      <c r="AA429" s="1">
        <v>0.0</v>
      </c>
      <c r="AC429" s="1">
        <v>0.0</v>
      </c>
      <c r="AM429" s="1">
        <v>9542.0</v>
      </c>
      <c r="AN429" s="1">
        <v>9542.0</v>
      </c>
      <c r="AO429" s="1">
        <v>9542.0</v>
      </c>
      <c r="AP429" s="1">
        <v>3.655</v>
      </c>
      <c r="AR429" s="1">
        <v>0.0</v>
      </c>
      <c r="AW429" s="1">
        <v>0.0</v>
      </c>
      <c r="AX429" s="1">
        <v>2.0</v>
      </c>
      <c r="AY429" s="1">
        <v>4.0</v>
      </c>
      <c r="BA429" s="1">
        <v>0.0</v>
      </c>
      <c r="BB429" s="1">
        <v>0.0</v>
      </c>
      <c r="BC429" s="1">
        <v>0.0</v>
      </c>
      <c r="BD429" s="1">
        <v>0.0</v>
      </c>
      <c r="BE429" s="1">
        <v>0.0</v>
      </c>
      <c r="BF429" s="1">
        <v>0.0</v>
      </c>
      <c r="BG429" s="1">
        <v>0.0</v>
      </c>
      <c r="BH429" s="1">
        <v>0.0</v>
      </c>
      <c r="BI429" s="1">
        <v>0.0</v>
      </c>
      <c r="BJ429" s="1">
        <v>0.0</v>
      </c>
      <c r="BP429" s="1">
        <v>0.291</v>
      </c>
      <c r="BQ429" s="1" t="s">
        <v>2108</v>
      </c>
      <c r="BV429" s="1">
        <v>1.1</v>
      </c>
      <c r="EQ429" s="9" t="s">
        <v>2107</v>
      </c>
      <c r="ER429" s="21">
        <v>46045.29844907407</v>
      </c>
    </row>
    <row r="430">
      <c r="A430" s="9" t="s">
        <v>2109</v>
      </c>
      <c r="B430" s="20" t="str">
        <f>IFERROR(__xludf.DUMMYFUNCTION("REGEXREPLACE(A430, ""^https?://[^/]+"", """")"),"/wp-content/uploads/2025/02/Ted-Caulkins-225x225.jpg")</f>
        <v>/wp-content/uploads/2025/02/Ted-Caulkins-225x225.jpg</v>
      </c>
      <c r="F430" s="1" t="s">
        <v>1004</v>
      </c>
      <c r="G430" s="1">
        <v>200.0</v>
      </c>
      <c r="H430" s="1" t="s">
        <v>966</v>
      </c>
      <c r="I430" s="1" t="s">
        <v>967</v>
      </c>
      <c r="L430" s="1">
        <v>0.0</v>
      </c>
      <c r="M430" s="1">
        <v>0.0</v>
      </c>
      <c r="O430" s="1">
        <v>0.0</v>
      </c>
      <c r="P430" s="1">
        <v>0.0</v>
      </c>
      <c r="R430" s="1">
        <v>0.0</v>
      </c>
      <c r="S430" s="1">
        <v>0.0</v>
      </c>
      <c r="U430" s="1">
        <v>0.0</v>
      </c>
      <c r="W430" s="1">
        <v>0.0</v>
      </c>
      <c r="Y430" s="1">
        <v>0.0</v>
      </c>
      <c r="AA430" s="1">
        <v>0.0</v>
      </c>
      <c r="AC430" s="1">
        <v>0.0</v>
      </c>
      <c r="AM430" s="1">
        <v>8348.0</v>
      </c>
      <c r="AN430" s="1">
        <v>8348.0</v>
      </c>
      <c r="AO430" s="1">
        <v>8348.0</v>
      </c>
      <c r="AP430" s="1">
        <v>3.198</v>
      </c>
      <c r="AR430" s="1">
        <v>0.0</v>
      </c>
      <c r="AW430" s="1">
        <v>0.0</v>
      </c>
      <c r="AX430" s="1">
        <v>2.0</v>
      </c>
      <c r="AY430" s="1">
        <v>4.0</v>
      </c>
      <c r="BA430" s="1">
        <v>0.0</v>
      </c>
      <c r="BB430" s="1">
        <v>0.0</v>
      </c>
      <c r="BC430" s="1">
        <v>0.0</v>
      </c>
      <c r="BD430" s="1">
        <v>0.0</v>
      </c>
      <c r="BE430" s="1">
        <v>0.0</v>
      </c>
      <c r="BF430" s="1">
        <v>0.0</v>
      </c>
      <c r="BG430" s="1">
        <v>0.0</v>
      </c>
      <c r="BH430" s="1">
        <v>0.0</v>
      </c>
      <c r="BI430" s="1">
        <v>0.0</v>
      </c>
      <c r="BJ430" s="1">
        <v>0.0</v>
      </c>
      <c r="BP430" s="1">
        <v>0.264</v>
      </c>
      <c r="BQ430" s="1" t="s">
        <v>2110</v>
      </c>
      <c r="BV430" s="1">
        <v>1.1</v>
      </c>
      <c r="EQ430" s="9" t="s">
        <v>2109</v>
      </c>
      <c r="ER430" s="21">
        <v>46045.29844907407</v>
      </c>
    </row>
    <row r="431">
      <c r="A431" s="9" t="s">
        <v>2111</v>
      </c>
      <c r="B431" s="20" t="str">
        <f>IFERROR(__xludf.DUMMYFUNCTION("REGEXREPLACE(A431, ""^https?://[^/]+"", """")"),"/wp-content/uploads/2024/03/Rosser_Troy-225x225.jpg")</f>
        <v>/wp-content/uploads/2024/03/Rosser_Troy-225x225.jpg</v>
      </c>
      <c r="F431" s="1" t="s">
        <v>1004</v>
      </c>
      <c r="G431" s="1">
        <v>200.0</v>
      </c>
      <c r="H431" s="1" t="s">
        <v>966</v>
      </c>
      <c r="I431" s="1" t="s">
        <v>967</v>
      </c>
      <c r="L431" s="1">
        <v>0.0</v>
      </c>
      <c r="M431" s="1">
        <v>0.0</v>
      </c>
      <c r="O431" s="1">
        <v>0.0</v>
      </c>
      <c r="P431" s="1">
        <v>0.0</v>
      </c>
      <c r="R431" s="1">
        <v>0.0</v>
      </c>
      <c r="S431" s="1">
        <v>0.0</v>
      </c>
      <c r="U431" s="1">
        <v>0.0</v>
      </c>
      <c r="W431" s="1">
        <v>0.0</v>
      </c>
      <c r="Y431" s="1">
        <v>0.0</v>
      </c>
      <c r="AA431" s="1">
        <v>0.0</v>
      </c>
      <c r="AC431" s="1">
        <v>0.0</v>
      </c>
      <c r="AM431" s="1">
        <v>8444.0</v>
      </c>
      <c r="AN431" s="1">
        <v>8444.0</v>
      </c>
      <c r="AO431" s="1">
        <v>8444.0</v>
      </c>
      <c r="AP431" s="1">
        <v>3.235</v>
      </c>
      <c r="AR431" s="1">
        <v>0.0</v>
      </c>
      <c r="AW431" s="1">
        <v>0.0</v>
      </c>
      <c r="AX431" s="1">
        <v>2.0</v>
      </c>
      <c r="AY431" s="1">
        <v>4.0</v>
      </c>
      <c r="BA431" s="1">
        <v>0.0</v>
      </c>
      <c r="BB431" s="1">
        <v>0.0</v>
      </c>
      <c r="BC431" s="1">
        <v>0.0</v>
      </c>
      <c r="BD431" s="1">
        <v>0.0</v>
      </c>
      <c r="BE431" s="1">
        <v>0.0</v>
      </c>
      <c r="BF431" s="1">
        <v>0.0</v>
      </c>
      <c r="BG431" s="1">
        <v>0.0</v>
      </c>
      <c r="BH431" s="1">
        <v>0.0</v>
      </c>
      <c r="BI431" s="1">
        <v>0.0</v>
      </c>
      <c r="BJ431" s="1">
        <v>0.0</v>
      </c>
      <c r="BP431" s="1">
        <v>0.273</v>
      </c>
      <c r="BQ431" s="1" t="s">
        <v>2112</v>
      </c>
      <c r="BV431" s="1">
        <v>1.1</v>
      </c>
      <c r="EQ431" s="9" t="s">
        <v>2111</v>
      </c>
      <c r="ER431" s="21">
        <v>46045.29844907407</v>
      </c>
    </row>
    <row r="432">
      <c r="A432" s="9" t="s">
        <v>2113</v>
      </c>
      <c r="B432" s="20" t="str">
        <f>IFERROR(__xludf.DUMMYFUNCTION("REGEXREPLACE(A432, ""^https?://[^/]+"", """")"),"/wp-content/uploads/2022/04/Marchetti-Jerry-275x275-1-225x225.jpg")</f>
        <v>/wp-content/uploads/2022/04/Marchetti-Jerry-275x275-1-225x225.jpg</v>
      </c>
      <c r="F432" s="1" t="s">
        <v>1004</v>
      </c>
      <c r="G432" s="1">
        <v>200.0</v>
      </c>
      <c r="H432" s="1" t="s">
        <v>966</v>
      </c>
      <c r="I432" s="1" t="s">
        <v>967</v>
      </c>
      <c r="L432" s="1">
        <v>0.0</v>
      </c>
      <c r="M432" s="1">
        <v>0.0</v>
      </c>
      <c r="O432" s="1">
        <v>0.0</v>
      </c>
      <c r="P432" s="1">
        <v>0.0</v>
      </c>
      <c r="R432" s="1">
        <v>0.0</v>
      </c>
      <c r="S432" s="1">
        <v>0.0</v>
      </c>
      <c r="U432" s="1">
        <v>0.0</v>
      </c>
      <c r="W432" s="1">
        <v>0.0</v>
      </c>
      <c r="Y432" s="1">
        <v>0.0</v>
      </c>
      <c r="AA432" s="1">
        <v>0.0</v>
      </c>
      <c r="AC432" s="1">
        <v>0.0</v>
      </c>
      <c r="AM432" s="1">
        <v>9330.0</v>
      </c>
      <c r="AN432" s="1">
        <v>9330.0</v>
      </c>
      <c r="AO432" s="1">
        <v>9330.0</v>
      </c>
      <c r="AP432" s="1">
        <v>3.574</v>
      </c>
      <c r="AR432" s="1">
        <v>0.0</v>
      </c>
      <c r="AW432" s="1">
        <v>0.0</v>
      </c>
      <c r="AX432" s="1">
        <v>2.0</v>
      </c>
      <c r="AY432" s="1">
        <v>4.0</v>
      </c>
      <c r="BA432" s="1">
        <v>0.0</v>
      </c>
      <c r="BB432" s="1">
        <v>0.0</v>
      </c>
      <c r="BC432" s="1">
        <v>0.0</v>
      </c>
      <c r="BD432" s="1">
        <v>0.0</v>
      </c>
      <c r="BE432" s="1">
        <v>0.0</v>
      </c>
      <c r="BF432" s="1">
        <v>0.0</v>
      </c>
      <c r="BG432" s="1">
        <v>0.0</v>
      </c>
      <c r="BH432" s="1">
        <v>0.0</v>
      </c>
      <c r="BI432" s="1">
        <v>0.0</v>
      </c>
      <c r="BJ432" s="1">
        <v>0.0</v>
      </c>
      <c r="BP432" s="1">
        <v>0.281</v>
      </c>
      <c r="BQ432" s="1" t="s">
        <v>2114</v>
      </c>
      <c r="BV432" s="1">
        <v>1.1</v>
      </c>
      <c r="EQ432" s="9" t="s">
        <v>2113</v>
      </c>
      <c r="ER432" s="21">
        <v>46045.29844907407</v>
      </c>
    </row>
    <row r="433">
      <c r="A433" s="9" t="s">
        <v>2115</v>
      </c>
      <c r="B433" s="20" t="str">
        <f>IFERROR(__xludf.DUMMYFUNCTION("REGEXREPLACE(A433, ""^https?://[^/]+"", """")"),"/wp-content/uploads/2024/04/Maloof-Nick-225x225.jpg")</f>
        <v>/wp-content/uploads/2024/04/Maloof-Nick-225x225.jpg</v>
      </c>
      <c r="F433" s="1" t="s">
        <v>1004</v>
      </c>
      <c r="G433" s="1">
        <v>200.0</v>
      </c>
      <c r="H433" s="1" t="s">
        <v>966</v>
      </c>
      <c r="I433" s="1" t="s">
        <v>967</v>
      </c>
      <c r="L433" s="1">
        <v>0.0</v>
      </c>
      <c r="M433" s="1">
        <v>0.0</v>
      </c>
      <c r="O433" s="1">
        <v>0.0</v>
      </c>
      <c r="P433" s="1">
        <v>0.0</v>
      </c>
      <c r="R433" s="1">
        <v>0.0</v>
      </c>
      <c r="S433" s="1">
        <v>0.0</v>
      </c>
      <c r="U433" s="1">
        <v>0.0</v>
      </c>
      <c r="W433" s="1">
        <v>0.0</v>
      </c>
      <c r="Y433" s="1">
        <v>0.0</v>
      </c>
      <c r="AA433" s="1">
        <v>0.0</v>
      </c>
      <c r="AC433" s="1">
        <v>0.0</v>
      </c>
      <c r="AM433" s="1">
        <v>8699.0</v>
      </c>
      <c r="AN433" s="1">
        <v>8699.0</v>
      </c>
      <c r="AO433" s="1">
        <v>8699.0</v>
      </c>
      <c r="AP433" s="1">
        <v>3.332</v>
      </c>
      <c r="AR433" s="1">
        <v>0.0</v>
      </c>
      <c r="AW433" s="1">
        <v>0.0</v>
      </c>
      <c r="AX433" s="1">
        <v>2.0</v>
      </c>
      <c r="AY433" s="1">
        <v>4.0</v>
      </c>
      <c r="BA433" s="1">
        <v>0.0</v>
      </c>
      <c r="BB433" s="1">
        <v>0.0</v>
      </c>
      <c r="BC433" s="1">
        <v>0.0</v>
      </c>
      <c r="BD433" s="1">
        <v>0.0</v>
      </c>
      <c r="BE433" s="1">
        <v>0.0</v>
      </c>
      <c r="BF433" s="1">
        <v>0.0</v>
      </c>
      <c r="BG433" s="1">
        <v>0.0</v>
      </c>
      <c r="BH433" s="1">
        <v>0.0</v>
      </c>
      <c r="BI433" s="1">
        <v>0.0</v>
      </c>
      <c r="BJ433" s="1">
        <v>0.0</v>
      </c>
      <c r="BP433" s="1">
        <v>0.271</v>
      </c>
      <c r="BQ433" s="1" t="s">
        <v>2116</v>
      </c>
      <c r="BV433" s="1">
        <v>1.1</v>
      </c>
      <c r="EQ433" s="9" t="s">
        <v>2115</v>
      </c>
      <c r="ER433" s="21">
        <v>46045.29846064815</v>
      </c>
    </row>
    <row r="434">
      <c r="A434" s="9" t="s">
        <v>2117</v>
      </c>
      <c r="B434" s="20" t="str">
        <f>IFERROR(__xludf.DUMMYFUNCTION("REGEXREPLACE(A434, ""^https?://[^/]+"", """")"),"/wp-content/uploads/2025/04/Buel_Rudy-225x225.jpg")</f>
        <v>/wp-content/uploads/2025/04/Buel_Rudy-225x225.jpg</v>
      </c>
      <c r="F434" s="1" t="s">
        <v>1004</v>
      </c>
      <c r="G434" s="1">
        <v>200.0</v>
      </c>
      <c r="H434" s="1" t="s">
        <v>966</v>
      </c>
      <c r="I434" s="1" t="s">
        <v>967</v>
      </c>
      <c r="L434" s="1">
        <v>0.0</v>
      </c>
      <c r="M434" s="1">
        <v>0.0</v>
      </c>
      <c r="O434" s="1">
        <v>0.0</v>
      </c>
      <c r="P434" s="1">
        <v>0.0</v>
      </c>
      <c r="R434" s="1">
        <v>0.0</v>
      </c>
      <c r="S434" s="1">
        <v>0.0</v>
      </c>
      <c r="U434" s="1">
        <v>0.0</v>
      </c>
      <c r="W434" s="1">
        <v>0.0</v>
      </c>
      <c r="Y434" s="1">
        <v>0.0</v>
      </c>
      <c r="AA434" s="1">
        <v>0.0</v>
      </c>
      <c r="AC434" s="1">
        <v>0.0</v>
      </c>
      <c r="AM434" s="1">
        <v>8877.0</v>
      </c>
      <c r="AN434" s="1">
        <v>8877.0</v>
      </c>
      <c r="AO434" s="1">
        <v>8877.0</v>
      </c>
      <c r="AP434" s="1">
        <v>3.401</v>
      </c>
      <c r="AR434" s="1">
        <v>0.0</v>
      </c>
      <c r="AW434" s="1">
        <v>0.0</v>
      </c>
      <c r="AX434" s="1">
        <v>2.0</v>
      </c>
      <c r="AY434" s="1">
        <v>4.0</v>
      </c>
      <c r="BA434" s="1">
        <v>0.0</v>
      </c>
      <c r="BB434" s="1">
        <v>0.0</v>
      </c>
      <c r="BC434" s="1">
        <v>0.0</v>
      </c>
      <c r="BD434" s="1">
        <v>0.0</v>
      </c>
      <c r="BE434" s="1">
        <v>0.0</v>
      </c>
      <c r="BF434" s="1">
        <v>0.0</v>
      </c>
      <c r="BG434" s="1">
        <v>0.0</v>
      </c>
      <c r="BH434" s="1">
        <v>0.0</v>
      </c>
      <c r="BI434" s="1">
        <v>0.0</v>
      </c>
      <c r="BJ434" s="1">
        <v>0.0</v>
      </c>
      <c r="BP434" s="1">
        <v>0.275</v>
      </c>
      <c r="BQ434" s="1" t="s">
        <v>2118</v>
      </c>
      <c r="BV434" s="1">
        <v>1.1</v>
      </c>
      <c r="EQ434" s="9" t="s">
        <v>2117</v>
      </c>
      <c r="ER434" s="21">
        <v>46045.29846064815</v>
      </c>
    </row>
    <row r="435">
      <c r="A435" s="9" t="s">
        <v>2119</v>
      </c>
      <c r="B435" s="20" t="str">
        <f>IFERROR(__xludf.DUMMYFUNCTION("REGEXREPLACE(A435, ""^https?://[^/]+"", """")"),"/wp-content/uploads/2022/04/McMahan-Don-225x225.jpg")</f>
        <v>/wp-content/uploads/2022/04/McMahan-Don-225x225.jpg</v>
      </c>
      <c r="F435" s="1" t="s">
        <v>1004</v>
      </c>
      <c r="G435" s="1">
        <v>200.0</v>
      </c>
      <c r="H435" s="1" t="s">
        <v>966</v>
      </c>
      <c r="I435" s="1" t="s">
        <v>967</v>
      </c>
      <c r="L435" s="1">
        <v>0.0</v>
      </c>
      <c r="M435" s="1">
        <v>0.0</v>
      </c>
      <c r="O435" s="1">
        <v>0.0</v>
      </c>
      <c r="P435" s="1">
        <v>0.0</v>
      </c>
      <c r="R435" s="1">
        <v>0.0</v>
      </c>
      <c r="S435" s="1">
        <v>0.0</v>
      </c>
      <c r="U435" s="1">
        <v>0.0</v>
      </c>
      <c r="W435" s="1">
        <v>0.0</v>
      </c>
      <c r="Y435" s="1">
        <v>0.0</v>
      </c>
      <c r="AA435" s="1">
        <v>0.0</v>
      </c>
      <c r="AC435" s="1">
        <v>0.0</v>
      </c>
      <c r="AM435" s="1">
        <v>8863.0</v>
      </c>
      <c r="AN435" s="1">
        <v>8863.0</v>
      </c>
      <c r="AO435" s="1">
        <v>8863.0</v>
      </c>
      <c r="AP435" s="1">
        <v>3.395</v>
      </c>
      <c r="AR435" s="1">
        <v>0.0</v>
      </c>
      <c r="AW435" s="1">
        <v>0.0</v>
      </c>
      <c r="AX435" s="1">
        <v>2.0</v>
      </c>
      <c r="AY435" s="1">
        <v>4.0</v>
      </c>
      <c r="BA435" s="1">
        <v>0.0</v>
      </c>
      <c r="BB435" s="1">
        <v>0.0</v>
      </c>
      <c r="BC435" s="1">
        <v>0.0</v>
      </c>
      <c r="BD435" s="1">
        <v>0.0</v>
      </c>
      <c r="BE435" s="1">
        <v>0.0</v>
      </c>
      <c r="BF435" s="1">
        <v>0.0</v>
      </c>
      <c r="BG435" s="1">
        <v>0.0</v>
      </c>
      <c r="BH435" s="1">
        <v>0.0</v>
      </c>
      <c r="BI435" s="1">
        <v>0.0</v>
      </c>
      <c r="BJ435" s="1">
        <v>0.0</v>
      </c>
      <c r="BP435" s="1">
        <v>0.272</v>
      </c>
      <c r="BQ435" s="1" t="s">
        <v>2120</v>
      </c>
      <c r="BV435" s="1">
        <v>1.1</v>
      </c>
      <c r="EQ435" s="9" t="s">
        <v>2119</v>
      </c>
      <c r="ER435" s="21">
        <v>46045.29846064815</v>
      </c>
    </row>
    <row r="436">
      <c r="A436" s="9" t="s">
        <v>2121</v>
      </c>
      <c r="B436" s="20" t="str">
        <f>IFERROR(__xludf.DUMMYFUNCTION("REGEXREPLACE(A436, ""^https?://[^/]+"", """")"),"/wp-content/uploads/2024/08/Schaal_Steve-225x225.jpg")</f>
        <v>/wp-content/uploads/2024/08/Schaal_Steve-225x225.jpg</v>
      </c>
      <c r="F436" s="1" t="s">
        <v>1004</v>
      </c>
      <c r="G436" s="1">
        <v>200.0</v>
      </c>
      <c r="H436" s="1" t="s">
        <v>966</v>
      </c>
      <c r="I436" s="1" t="s">
        <v>967</v>
      </c>
      <c r="L436" s="1">
        <v>0.0</v>
      </c>
      <c r="M436" s="1">
        <v>0.0</v>
      </c>
      <c r="O436" s="1">
        <v>0.0</v>
      </c>
      <c r="P436" s="1">
        <v>0.0</v>
      </c>
      <c r="R436" s="1">
        <v>0.0</v>
      </c>
      <c r="S436" s="1">
        <v>0.0</v>
      </c>
      <c r="U436" s="1">
        <v>0.0</v>
      </c>
      <c r="W436" s="1">
        <v>0.0</v>
      </c>
      <c r="Y436" s="1">
        <v>0.0</v>
      </c>
      <c r="AA436" s="1">
        <v>0.0</v>
      </c>
      <c r="AC436" s="1">
        <v>0.0</v>
      </c>
      <c r="AM436" s="1">
        <v>9683.0</v>
      </c>
      <c r="AN436" s="1">
        <v>9683.0</v>
      </c>
      <c r="AO436" s="1">
        <v>9683.0</v>
      </c>
      <c r="AP436" s="1">
        <v>3.709</v>
      </c>
      <c r="AR436" s="1">
        <v>0.0</v>
      </c>
      <c r="AW436" s="1">
        <v>0.0</v>
      </c>
      <c r="AX436" s="1">
        <v>2.0</v>
      </c>
      <c r="AY436" s="1">
        <v>4.0</v>
      </c>
      <c r="BA436" s="1">
        <v>0.0</v>
      </c>
      <c r="BB436" s="1">
        <v>0.0</v>
      </c>
      <c r="BC436" s="1">
        <v>0.0</v>
      </c>
      <c r="BD436" s="1">
        <v>0.0</v>
      </c>
      <c r="BE436" s="1">
        <v>0.0</v>
      </c>
      <c r="BF436" s="1">
        <v>0.0</v>
      </c>
      <c r="BG436" s="1">
        <v>0.0</v>
      </c>
      <c r="BH436" s="1">
        <v>0.0</v>
      </c>
      <c r="BI436" s="1">
        <v>0.0</v>
      </c>
      <c r="BJ436" s="1">
        <v>0.0</v>
      </c>
      <c r="BP436" s="1">
        <v>0.268</v>
      </c>
      <c r="BQ436" s="1" t="s">
        <v>2122</v>
      </c>
      <c r="BV436" s="1">
        <v>1.1</v>
      </c>
      <c r="EQ436" s="9" t="s">
        <v>2121</v>
      </c>
      <c r="ER436" s="21">
        <v>46045.29846064815</v>
      </c>
    </row>
    <row r="437">
      <c r="A437" s="9" t="s">
        <v>2123</v>
      </c>
      <c r="B437" s="20" t="str">
        <f>IFERROR(__xludf.DUMMYFUNCTION("REGEXREPLACE(A437, ""^https?://[^/]+"", """")"),"/wp-content/uploads/2022/07/Porro_Michael-2-225x225.jpg")</f>
        <v>/wp-content/uploads/2022/07/Porro_Michael-2-225x225.jpg</v>
      </c>
      <c r="F437" s="1" t="s">
        <v>1004</v>
      </c>
      <c r="G437" s="1">
        <v>200.0</v>
      </c>
      <c r="H437" s="1" t="s">
        <v>966</v>
      </c>
      <c r="I437" s="1" t="s">
        <v>967</v>
      </c>
      <c r="L437" s="1">
        <v>0.0</v>
      </c>
      <c r="M437" s="1">
        <v>0.0</v>
      </c>
      <c r="O437" s="1">
        <v>0.0</v>
      </c>
      <c r="P437" s="1">
        <v>0.0</v>
      </c>
      <c r="R437" s="1">
        <v>0.0</v>
      </c>
      <c r="S437" s="1">
        <v>0.0</v>
      </c>
      <c r="U437" s="1">
        <v>0.0</v>
      </c>
      <c r="W437" s="1">
        <v>0.0</v>
      </c>
      <c r="Y437" s="1">
        <v>0.0</v>
      </c>
      <c r="AA437" s="1">
        <v>0.0</v>
      </c>
      <c r="AC437" s="1">
        <v>0.0</v>
      </c>
      <c r="AM437" s="1">
        <v>8520.0</v>
      </c>
      <c r="AN437" s="1">
        <v>8520.0</v>
      </c>
      <c r="AO437" s="1">
        <v>8520.0</v>
      </c>
      <c r="AP437" s="1">
        <v>3.264</v>
      </c>
      <c r="AR437" s="1">
        <v>0.0</v>
      </c>
      <c r="AW437" s="1">
        <v>0.0</v>
      </c>
      <c r="AX437" s="1">
        <v>2.0</v>
      </c>
      <c r="AY437" s="1">
        <v>4.0</v>
      </c>
      <c r="BA437" s="1">
        <v>0.0</v>
      </c>
      <c r="BB437" s="1">
        <v>0.0</v>
      </c>
      <c r="BC437" s="1">
        <v>0.0</v>
      </c>
      <c r="BD437" s="1">
        <v>0.0</v>
      </c>
      <c r="BE437" s="1">
        <v>0.0</v>
      </c>
      <c r="BF437" s="1">
        <v>0.0</v>
      </c>
      <c r="BG437" s="1">
        <v>0.0</v>
      </c>
      <c r="BH437" s="1">
        <v>0.0</v>
      </c>
      <c r="BI437" s="1">
        <v>0.0</v>
      </c>
      <c r="BJ437" s="1">
        <v>0.0</v>
      </c>
      <c r="BP437" s="1">
        <v>0.266</v>
      </c>
      <c r="BQ437" s="1" t="s">
        <v>2124</v>
      </c>
      <c r="BV437" s="1">
        <v>1.1</v>
      </c>
      <c r="EQ437" s="9" t="s">
        <v>2123</v>
      </c>
      <c r="ER437" s="21">
        <v>46045.29846064815</v>
      </c>
    </row>
    <row r="438">
      <c r="A438" s="9" t="s">
        <v>2125</v>
      </c>
      <c r="B438" s="20" t="str">
        <f>IFERROR(__xludf.DUMMYFUNCTION("REGEXREPLACE(A438, ""^https?://[^/]+"", """")"),"/wp-content/uploads/2023/04/Jeane-225x225.jpg")</f>
        <v>/wp-content/uploads/2023/04/Jeane-225x225.jpg</v>
      </c>
      <c r="F438" s="1" t="s">
        <v>1004</v>
      </c>
      <c r="G438" s="1">
        <v>200.0</v>
      </c>
      <c r="H438" s="1" t="s">
        <v>966</v>
      </c>
      <c r="I438" s="1" t="s">
        <v>967</v>
      </c>
      <c r="L438" s="1">
        <v>0.0</v>
      </c>
      <c r="M438" s="1">
        <v>0.0</v>
      </c>
      <c r="O438" s="1">
        <v>0.0</v>
      </c>
      <c r="P438" s="1">
        <v>0.0</v>
      </c>
      <c r="R438" s="1">
        <v>0.0</v>
      </c>
      <c r="S438" s="1">
        <v>0.0</v>
      </c>
      <c r="U438" s="1">
        <v>0.0</v>
      </c>
      <c r="W438" s="1">
        <v>0.0</v>
      </c>
      <c r="Y438" s="1">
        <v>0.0</v>
      </c>
      <c r="AA438" s="1">
        <v>0.0</v>
      </c>
      <c r="AC438" s="1">
        <v>0.0</v>
      </c>
      <c r="AM438" s="1">
        <v>8407.0</v>
      </c>
      <c r="AN438" s="1">
        <v>8407.0</v>
      </c>
      <c r="AO438" s="1">
        <v>8407.0</v>
      </c>
      <c r="AP438" s="1">
        <v>3.221</v>
      </c>
      <c r="AR438" s="1">
        <v>0.0</v>
      </c>
      <c r="AW438" s="1">
        <v>0.0</v>
      </c>
      <c r="AX438" s="1">
        <v>2.0</v>
      </c>
      <c r="AY438" s="1">
        <v>4.0</v>
      </c>
      <c r="BA438" s="1">
        <v>0.0</v>
      </c>
      <c r="BB438" s="1">
        <v>0.0</v>
      </c>
      <c r="BC438" s="1">
        <v>0.0</v>
      </c>
      <c r="BD438" s="1">
        <v>0.0</v>
      </c>
      <c r="BE438" s="1">
        <v>0.0</v>
      </c>
      <c r="BF438" s="1">
        <v>0.0</v>
      </c>
      <c r="BG438" s="1">
        <v>0.0</v>
      </c>
      <c r="BH438" s="1">
        <v>0.0</v>
      </c>
      <c r="BI438" s="1">
        <v>0.0</v>
      </c>
      <c r="BJ438" s="1">
        <v>0.0</v>
      </c>
      <c r="BP438" s="1">
        <v>0.288</v>
      </c>
      <c r="BQ438" s="1" t="s">
        <v>2126</v>
      </c>
      <c r="BV438" s="1">
        <v>1.1</v>
      </c>
      <c r="EQ438" s="9" t="s">
        <v>2125</v>
      </c>
      <c r="ER438" s="21">
        <v>46045.29846064815</v>
      </c>
    </row>
    <row r="439">
      <c r="A439" s="9" t="s">
        <v>2127</v>
      </c>
      <c r="B439" s="20" t="str">
        <f>IFERROR(__xludf.DUMMYFUNCTION("REGEXREPLACE(A439, ""^https?://[^/]+"", """")"),"/wp-content/uploads/2023/10/jaclyn-beatty-225x225.jpg")</f>
        <v>/wp-content/uploads/2023/10/jaclyn-beatty-225x225.jpg</v>
      </c>
      <c r="F439" s="1" t="s">
        <v>1004</v>
      </c>
      <c r="G439" s="1">
        <v>200.0</v>
      </c>
      <c r="H439" s="1" t="s">
        <v>966</v>
      </c>
      <c r="I439" s="1" t="s">
        <v>967</v>
      </c>
      <c r="L439" s="1">
        <v>0.0</v>
      </c>
      <c r="M439" s="1">
        <v>0.0</v>
      </c>
      <c r="O439" s="1">
        <v>0.0</v>
      </c>
      <c r="P439" s="1">
        <v>0.0</v>
      </c>
      <c r="R439" s="1">
        <v>0.0</v>
      </c>
      <c r="S439" s="1">
        <v>0.0</v>
      </c>
      <c r="U439" s="1">
        <v>0.0</v>
      </c>
      <c r="W439" s="1">
        <v>0.0</v>
      </c>
      <c r="Y439" s="1">
        <v>0.0</v>
      </c>
      <c r="AA439" s="1">
        <v>0.0</v>
      </c>
      <c r="AC439" s="1">
        <v>0.0</v>
      </c>
      <c r="AM439" s="1">
        <v>9586.0</v>
      </c>
      <c r="AN439" s="1">
        <v>9586.0</v>
      </c>
      <c r="AO439" s="1">
        <v>9586.0</v>
      </c>
      <c r="AP439" s="1">
        <v>3.672</v>
      </c>
      <c r="AR439" s="1">
        <v>0.0</v>
      </c>
      <c r="AW439" s="1">
        <v>0.0</v>
      </c>
      <c r="AX439" s="1">
        <v>2.0</v>
      </c>
      <c r="AY439" s="1">
        <v>4.0</v>
      </c>
      <c r="BA439" s="1">
        <v>0.0</v>
      </c>
      <c r="BB439" s="1">
        <v>0.0</v>
      </c>
      <c r="BC439" s="1">
        <v>0.0</v>
      </c>
      <c r="BD439" s="1">
        <v>0.0</v>
      </c>
      <c r="BE439" s="1">
        <v>0.0</v>
      </c>
      <c r="BF439" s="1">
        <v>0.0</v>
      </c>
      <c r="BG439" s="1">
        <v>0.0</v>
      </c>
      <c r="BH439" s="1">
        <v>0.0</v>
      </c>
      <c r="BI439" s="1">
        <v>0.0</v>
      </c>
      <c r="BJ439" s="1">
        <v>0.0</v>
      </c>
      <c r="BP439" s="1">
        <v>0.267</v>
      </c>
      <c r="BQ439" s="1" t="s">
        <v>2128</v>
      </c>
      <c r="BV439" s="1">
        <v>1.1</v>
      </c>
      <c r="EQ439" s="9" t="s">
        <v>2127</v>
      </c>
      <c r="ER439" s="21">
        <v>46045.29846064815</v>
      </c>
    </row>
    <row r="440">
      <c r="A440" s="9" t="s">
        <v>2129</v>
      </c>
      <c r="B440" s="20" t="str">
        <f>IFERROR(__xludf.DUMMYFUNCTION("REGEXREPLACE(A440, ""^https?://[^/]+"", """")"),"/wp-content/uploads/2022/04/Rakis-Angela-225x225.jpg")</f>
        <v>/wp-content/uploads/2022/04/Rakis-Angela-225x225.jpg</v>
      </c>
      <c r="F440" s="1" t="s">
        <v>1004</v>
      </c>
      <c r="G440" s="1">
        <v>200.0</v>
      </c>
      <c r="H440" s="1" t="s">
        <v>966</v>
      </c>
      <c r="I440" s="1" t="s">
        <v>967</v>
      </c>
      <c r="L440" s="1">
        <v>0.0</v>
      </c>
      <c r="M440" s="1">
        <v>0.0</v>
      </c>
      <c r="O440" s="1">
        <v>0.0</v>
      </c>
      <c r="P440" s="1">
        <v>0.0</v>
      </c>
      <c r="R440" s="1">
        <v>0.0</v>
      </c>
      <c r="S440" s="1">
        <v>0.0</v>
      </c>
      <c r="U440" s="1">
        <v>0.0</v>
      </c>
      <c r="W440" s="1">
        <v>0.0</v>
      </c>
      <c r="Y440" s="1">
        <v>0.0</v>
      </c>
      <c r="AA440" s="1">
        <v>0.0</v>
      </c>
      <c r="AC440" s="1">
        <v>0.0</v>
      </c>
      <c r="AM440" s="1">
        <v>8908.0</v>
      </c>
      <c r="AN440" s="1">
        <v>8908.0</v>
      </c>
      <c r="AO440" s="1">
        <v>8908.0</v>
      </c>
      <c r="AP440" s="1">
        <v>3.412</v>
      </c>
      <c r="AR440" s="1">
        <v>0.0</v>
      </c>
      <c r="AW440" s="1">
        <v>0.0</v>
      </c>
      <c r="AX440" s="1">
        <v>2.0</v>
      </c>
      <c r="AY440" s="1">
        <v>4.0</v>
      </c>
      <c r="BA440" s="1">
        <v>0.0</v>
      </c>
      <c r="BB440" s="1">
        <v>0.0</v>
      </c>
      <c r="BC440" s="1">
        <v>0.0</v>
      </c>
      <c r="BD440" s="1">
        <v>0.0</v>
      </c>
      <c r="BE440" s="1">
        <v>0.0</v>
      </c>
      <c r="BF440" s="1">
        <v>0.0</v>
      </c>
      <c r="BG440" s="1">
        <v>0.0</v>
      </c>
      <c r="BH440" s="1">
        <v>0.0</v>
      </c>
      <c r="BI440" s="1">
        <v>0.0</v>
      </c>
      <c r="BJ440" s="1">
        <v>0.0</v>
      </c>
      <c r="BP440" s="1">
        <v>0.277</v>
      </c>
      <c r="BQ440" s="1" t="s">
        <v>2130</v>
      </c>
      <c r="BV440" s="1">
        <v>1.1</v>
      </c>
      <c r="EQ440" s="9" t="s">
        <v>2129</v>
      </c>
      <c r="ER440" s="21">
        <v>46045.29846064815</v>
      </c>
    </row>
    <row r="441">
      <c r="A441" s="9" t="s">
        <v>2131</v>
      </c>
      <c r="B441" s="20" t="str">
        <f>IFERROR(__xludf.DUMMYFUNCTION("REGEXREPLACE(A441, ""^https?://[^/]+"", """")"),"/wp-content/uploads/2022/04/McKnight-Matt-225x225.jpg")</f>
        <v>/wp-content/uploads/2022/04/McKnight-Matt-225x225.jpg</v>
      </c>
      <c r="F441" s="1" t="s">
        <v>1004</v>
      </c>
      <c r="G441" s="1">
        <v>200.0</v>
      </c>
      <c r="H441" s="1" t="s">
        <v>966</v>
      </c>
      <c r="I441" s="1" t="s">
        <v>967</v>
      </c>
      <c r="L441" s="1">
        <v>0.0</v>
      </c>
      <c r="M441" s="1">
        <v>0.0</v>
      </c>
      <c r="O441" s="1">
        <v>0.0</v>
      </c>
      <c r="P441" s="1">
        <v>0.0</v>
      </c>
      <c r="R441" s="1">
        <v>0.0</v>
      </c>
      <c r="S441" s="1">
        <v>0.0</v>
      </c>
      <c r="U441" s="1">
        <v>0.0</v>
      </c>
      <c r="W441" s="1">
        <v>0.0</v>
      </c>
      <c r="Y441" s="1">
        <v>0.0</v>
      </c>
      <c r="AA441" s="1">
        <v>0.0</v>
      </c>
      <c r="AC441" s="1">
        <v>0.0</v>
      </c>
      <c r="AM441" s="1">
        <v>8178.0</v>
      </c>
      <c r="AN441" s="1">
        <v>8178.0</v>
      </c>
      <c r="AO441" s="1">
        <v>8178.0</v>
      </c>
      <c r="AP441" s="1">
        <v>3.133</v>
      </c>
      <c r="AR441" s="1">
        <v>0.0</v>
      </c>
      <c r="AW441" s="1">
        <v>0.0</v>
      </c>
      <c r="AX441" s="1">
        <v>2.0</v>
      </c>
      <c r="AY441" s="1">
        <v>4.0</v>
      </c>
      <c r="BA441" s="1">
        <v>0.0</v>
      </c>
      <c r="BB441" s="1">
        <v>0.0</v>
      </c>
      <c r="BC441" s="1">
        <v>0.0</v>
      </c>
      <c r="BD441" s="1">
        <v>0.0</v>
      </c>
      <c r="BE441" s="1">
        <v>0.0</v>
      </c>
      <c r="BF441" s="1">
        <v>0.0</v>
      </c>
      <c r="BG441" s="1">
        <v>0.0</v>
      </c>
      <c r="BH441" s="1">
        <v>0.0</v>
      </c>
      <c r="BI441" s="1">
        <v>0.0</v>
      </c>
      <c r="BJ441" s="1">
        <v>0.0</v>
      </c>
      <c r="BP441" s="1">
        <v>0.279</v>
      </c>
      <c r="BQ441" s="1" t="s">
        <v>2132</v>
      </c>
      <c r="BV441" s="1">
        <v>1.1</v>
      </c>
      <c r="EQ441" s="9" t="s">
        <v>2131</v>
      </c>
      <c r="ER441" s="21">
        <v>46045.29846064815</v>
      </c>
    </row>
    <row r="442">
      <c r="A442" s="9" t="s">
        <v>2133</v>
      </c>
      <c r="B442" s="20" t="str">
        <f>IFERROR(__xludf.DUMMYFUNCTION("REGEXREPLACE(A442, ""^https?://[^/]+"", """")"),"/wp-content/uploads/2025/10/Gumbiner_Ken-225x225.jpg")</f>
        <v>/wp-content/uploads/2025/10/Gumbiner_Ken-225x225.jpg</v>
      </c>
      <c r="F442" s="1" t="s">
        <v>1004</v>
      </c>
      <c r="G442" s="1">
        <v>200.0</v>
      </c>
      <c r="H442" s="1" t="s">
        <v>966</v>
      </c>
      <c r="I442" s="1" t="s">
        <v>967</v>
      </c>
      <c r="L442" s="1">
        <v>0.0</v>
      </c>
      <c r="M442" s="1">
        <v>0.0</v>
      </c>
      <c r="O442" s="1">
        <v>0.0</v>
      </c>
      <c r="P442" s="1">
        <v>0.0</v>
      </c>
      <c r="R442" s="1">
        <v>0.0</v>
      </c>
      <c r="S442" s="1">
        <v>0.0</v>
      </c>
      <c r="U442" s="1">
        <v>0.0</v>
      </c>
      <c r="W442" s="1">
        <v>0.0</v>
      </c>
      <c r="Y442" s="1">
        <v>0.0</v>
      </c>
      <c r="AA442" s="1">
        <v>0.0</v>
      </c>
      <c r="AC442" s="1">
        <v>0.0</v>
      </c>
      <c r="AM442" s="1">
        <v>9323.0</v>
      </c>
      <c r="AN442" s="1">
        <v>9323.0</v>
      </c>
      <c r="AO442" s="1">
        <v>9323.0</v>
      </c>
      <c r="AP442" s="1">
        <v>3.571</v>
      </c>
      <c r="AR442" s="1">
        <v>0.0</v>
      </c>
      <c r="AW442" s="1">
        <v>0.0</v>
      </c>
      <c r="AX442" s="1">
        <v>2.0</v>
      </c>
      <c r="AY442" s="1">
        <v>4.0</v>
      </c>
      <c r="BA442" s="1">
        <v>0.0</v>
      </c>
      <c r="BB442" s="1">
        <v>0.0</v>
      </c>
      <c r="BC442" s="1">
        <v>0.0</v>
      </c>
      <c r="BD442" s="1">
        <v>0.0</v>
      </c>
      <c r="BE442" s="1">
        <v>0.0</v>
      </c>
      <c r="BF442" s="1">
        <v>0.0</v>
      </c>
      <c r="BG442" s="1">
        <v>0.0</v>
      </c>
      <c r="BH442" s="1">
        <v>0.0</v>
      </c>
      <c r="BI442" s="1">
        <v>0.0</v>
      </c>
      <c r="BJ442" s="1">
        <v>0.0</v>
      </c>
      <c r="BP442" s="1">
        <v>0.27</v>
      </c>
      <c r="BQ442" s="1" t="s">
        <v>2134</v>
      </c>
      <c r="BV442" s="1">
        <v>1.1</v>
      </c>
      <c r="EQ442" s="9" t="s">
        <v>2133</v>
      </c>
      <c r="ER442" s="21">
        <v>46045.298472222225</v>
      </c>
    </row>
    <row r="443">
      <c r="A443" s="9" t="s">
        <v>2135</v>
      </c>
      <c r="B443" s="20" t="str">
        <f>IFERROR(__xludf.DUMMYFUNCTION("REGEXREPLACE(A443, ""^https?://[^/]+"", """")"),"/wp-content/uploads/2022/04/English-Joe-275x275-1-225x225.jpg")</f>
        <v>/wp-content/uploads/2022/04/English-Joe-275x275-1-225x225.jpg</v>
      </c>
      <c r="F443" s="1" t="s">
        <v>1004</v>
      </c>
      <c r="G443" s="1">
        <v>200.0</v>
      </c>
      <c r="H443" s="1" t="s">
        <v>966</v>
      </c>
      <c r="I443" s="1" t="s">
        <v>967</v>
      </c>
      <c r="L443" s="1">
        <v>0.0</v>
      </c>
      <c r="M443" s="1">
        <v>0.0</v>
      </c>
      <c r="O443" s="1">
        <v>0.0</v>
      </c>
      <c r="P443" s="1">
        <v>0.0</v>
      </c>
      <c r="R443" s="1">
        <v>0.0</v>
      </c>
      <c r="S443" s="1">
        <v>0.0</v>
      </c>
      <c r="U443" s="1">
        <v>0.0</v>
      </c>
      <c r="W443" s="1">
        <v>0.0</v>
      </c>
      <c r="Y443" s="1">
        <v>0.0</v>
      </c>
      <c r="AA443" s="1">
        <v>0.0</v>
      </c>
      <c r="AC443" s="1">
        <v>0.0</v>
      </c>
      <c r="AM443" s="1">
        <v>9169.0</v>
      </c>
      <c r="AN443" s="1">
        <v>9169.0</v>
      </c>
      <c r="AO443" s="1">
        <v>9169.0</v>
      </c>
      <c r="AP443" s="1">
        <v>3.512</v>
      </c>
      <c r="AR443" s="1">
        <v>0.0</v>
      </c>
      <c r="AW443" s="1">
        <v>0.0</v>
      </c>
      <c r="AX443" s="1">
        <v>2.0</v>
      </c>
      <c r="AY443" s="1">
        <v>4.0</v>
      </c>
      <c r="BA443" s="1">
        <v>0.0</v>
      </c>
      <c r="BB443" s="1">
        <v>0.0</v>
      </c>
      <c r="BC443" s="1">
        <v>0.0</v>
      </c>
      <c r="BD443" s="1">
        <v>0.0</v>
      </c>
      <c r="BE443" s="1">
        <v>0.0</v>
      </c>
      <c r="BF443" s="1">
        <v>0.0</v>
      </c>
      <c r="BG443" s="1">
        <v>0.0</v>
      </c>
      <c r="BH443" s="1">
        <v>0.0</v>
      </c>
      <c r="BI443" s="1">
        <v>0.0</v>
      </c>
      <c r="BJ443" s="1">
        <v>0.0</v>
      </c>
      <c r="BP443" s="1">
        <v>0.264</v>
      </c>
      <c r="BQ443" s="1" t="s">
        <v>2136</v>
      </c>
      <c r="BV443" s="1">
        <v>1.1</v>
      </c>
      <c r="EQ443" s="9" t="s">
        <v>2135</v>
      </c>
      <c r="ER443" s="21">
        <v>46045.298472222225</v>
      </c>
    </row>
    <row r="444">
      <c r="A444" s="9" t="s">
        <v>2137</v>
      </c>
      <c r="B444" s="20" t="str">
        <f>IFERROR(__xludf.DUMMYFUNCTION("REGEXREPLACE(A444, ""^https?://[^/]+"", """")"),"/wp-content/uploads/2022/04/Mann-Susan-225x225.jpg")</f>
        <v>/wp-content/uploads/2022/04/Mann-Susan-225x225.jpg</v>
      </c>
      <c r="F444" s="1" t="s">
        <v>1004</v>
      </c>
      <c r="G444" s="1">
        <v>200.0</v>
      </c>
      <c r="H444" s="1" t="s">
        <v>966</v>
      </c>
      <c r="I444" s="1" t="s">
        <v>967</v>
      </c>
      <c r="L444" s="1">
        <v>0.0</v>
      </c>
      <c r="M444" s="1">
        <v>0.0</v>
      </c>
      <c r="O444" s="1">
        <v>0.0</v>
      </c>
      <c r="P444" s="1">
        <v>0.0</v>
      </c>
      <c r="R444" s="1">
        <v>0.0</v>
      </c>
      <c r="S444" s="1">
        <v>0.0</v>
      </c>
      <c r="U444" s="1">
        <v>0.0</v>
      </c>
      <c r="W444" s="1">
        <v>0.0</v>
      </c>
      <c r="Y444" s="1">
        <v>0.0</v>
      </c>
      <c r="AA444" s="1">
        <v>0.0</v>
      </c>
      <c r="AC444" s="1">
        <v>0.0</v>
      </c>
      <c r="AM444" s="1">
        <v>8956.0</v>
      </c>
      <c r="AN444" s="1">
        <v>8956.0</v>
      </c>
      <c r="AO444" s="1">
        <v>8956.0</v>
      </c>
      <c r="AP444" s="1">
        <v>3.431</v>
      </c>
      <c r="AR444" s="1">
        <v>0.0</v>
      </c>
      <c r="AW444" s="1">
        <v>0.0</v>
      </c>
      <c r="AX444" s="1">
        <v>2.0</v>
      </c>
      <c r="AY444" s="1">
        <v>4.0</v>
      </c>
      <c r="BA444" s="1">
        <v>0.0</v>
      </c>
      <c r="BB444" s="1">
        <v>0.0</v>
      </c>
      <c r="BC444" s="1">
        <v>0.0</v>
      </c>
      <c r="BD444" s="1">
        <v>0.0</v>
      </c>
      <c r="BE444" s="1">
        <v>0.0</v>
      </c>
      <c r="BF444" s="1">
        <v>0.0</v>
      </c>
      <c r="BG444" s="1">
        <v>0.0</v>
      </c>
      <c r="BH444" s="1">
        <v>0.0</v>
      </c>
      <c r="BI444" s="1">
        <v>0.0</v>
      </c>
      <c r="BJ444" s="1">
        <v>0.0</v>
      </c>
      <c r="BP444" s="1">
        <v>0.272</v>
      </c>
      <c r="BQ444" s="1" t="s">
        <v>2138</v>
      </c>
      <c r="BV444" s="1">
        <v>1.1</v>
      </c>
      <c r="EQ444" s="9" t="s">
        <v>2137</v>
      </c>
      <c r="ER444" s="21">
        <v>46045.298472222225</v>
      </c>
    </row>
    <row r="445">
      <c r="A445" s="9" t="s">
        <v>2139</v>
      </c>
      <c r="B445" s="20" t="str">
        <f>IFERROR(__xludf.DUMMYFUNCTION("REGEXREPLACE(A445, ""^https?://[^/]+"", """")"),"/wp-content/uploads/2025/07/DeMint_Timothy-225x225.jpg")</f>
        <v>/wp-content/uploads/2025/07/DeMint_Timothy-225x225.jpg</v>
      </c>
      <c r="F445" s="1" t="s">
        <v>1004</v>
      </c>
      <c r="G445" s="1">
        <v>200.0</v>
      </c>
      <c r="H445" s="1" t="s">
        <v>966</v>
      </c>
      <c r="I445" s="1" t="s">
        <v>967</v>
      </c>
      <c r="L445" s="1">
        <v>0.0</v>
      </c>
      <c r="M445" s="1">
        <v>0.0</v>
      </c>
      <c r="O445" s="1">
        <v>0.0</v>
      </c>
      <c r="P445" s="1">
        <v>0.0</v>
      </c>
      <c r="R445" s="1">
        <v>0.0</v>
      </c>
      <c r="S445" s="1">
        <v>0.0</v>
      </c>
      <c r="U445" s="1">
        <v>0.0</v>
      </c>
      <c r="W445" s="1">
        <v>0.0</v>
      </c>
      <c r="Y445" s="1">
        <v>0.0</v>
      </c>
      <c r="AA445" s="1">
        <v>0.0</v>
      </c>
      <c r="AC445" s="1">
        <v>0.0</v>
      </c>
      <c r="AM445" s="1">
        <v>8593.0</v>
      </c>
      <c r="AN445" s="1">
        <v>8593.0</v>
      </c>
      <c r="AO445" s="1">
        <v>8593.0</v>
      </c>
      <c r="AP445" s="1">
        <v>3.292</v>
      </c>
      <c r="AR445" s="1">
        <v>0.0</v>
      </c>
      <c r="AW445" s="1">
        <v>0.0</v>
      </c>
      <c r="AX445" s="1">
        <v>2.0</v>
      </c>
      <c r="AY445" s="1">
        <v>4.0</v>
      </c>
      <c r="BA445" s="1">
        <v>0.0</v>
      </c>
      <c r="BB445" s="1">
        <v>0.0</v>
      </c>
      <c r="BC445" s="1">
        <v>0.0</v>
      </c>
      <c r="BD445" s="1">
        <v>0.0</v>
      </c>
      <c r="BE445" s="1">
        <v>0.0</v>
      </c>
      <c r="BF445" s="1">
        <v>0.0</v>
      </c>
      <c r="BG445" s="1">
        <v>0.0</v>
      </c>
      <c r="BH445" s="1">
        <v>0.0</v>
      </c>
      <c r="BI445" s="1">
        <v>0.0</v>
      </c>
      <c r="BJ445" s="1">
        <v>0.0</v>
      </c>
      <c r="BP445" s="1">
        <v>0.28</v>
      </c>
      <c r="BQ445" s="1" t="s">
        <v>2140</v>
      </c>
      <c r="BV445" s="1">
        <v>1.1</v>
      </c>
      <c r="EQ445" s="9" t="s">
        <v>2139</v>
      </c>
      <c r="ER445" s="21">
        <v>46045.298472222225</v>
      </c>
    </row>
    <row r="446">
      <c r="A446" s="9" t="s">
        <v>2141</v>
      </c>
      <c r="B446" s="20" t="str">
        <f>IFERROR(__xludf.DUMMYFUNCTION("REGEXREPLACE(A446, ""^https?://[^/]+"", """")"),"/wp-content/uploads/2025/08/Hayden_Shirley2-225x225.jpg")</f>
        <v>/wp-content/uploads/2025/08/Hayden_Shirley2-225x225.jpg</v>
      </c>
      <c r="F446" s="1" t="s">
        <v>1004</v>
      </c>
      <c r="G446" s="1">
        <v>200.0</v>
      </c>
      <c r="H446" s="1" t="s">
        <v>966</v>
      </c>
      <c r="I446" s="1" t="s">
        <v>967</v>
      </c>
      <c r="L446" s="1">
        <v>0.0</v>
      </c>
      <c r="M446" s="1">
        <v>0.0</v>
      </c>
      <c r="O446" s="1">
        <v>0.0</v>
      </c>
      <c r="P446" s="1">
        <v>0.0</v>
      </c>
      <c r="R446" s="1">
        <v>0.0</v>
      </c>
      <c r="S446" s="1">
        <v>0.0</v>
      </c>
      <c r="U446" s="1">
        <v>0.0</v>
      </c>
      <c r="W446" s="1">
        <v>0.0</v>
      </c>
      <c r="Y446" s="1">
        <v>0.0</v>
      </c>
      <c r="AA446" s="1">
        <v>0.0</v>
      </c>
      <c r="AC446" s="1">
        <v>0.0</v>
      </c>
      <c r="AM446" s="1">
        <v>9683.0</v>
      </c>
      <c r="AN446" s="1">
        <v>9683.0</v>
      </c>
      <c r="AO446" s="1">
        <v>9683.0</v>
      </c>
      <c r="AP446" s="1">
        <v>3.709</v>
      </c>
      <c r="AR446" s="1">
        <v>0.0</v>
      </c>
      <c r="AW446" s="1">
        <v>0.0</v>
      </c>
      <c r="AX446" s="1">
        <v>2.0</v>
      </c>
      <c r="AY446" s="1">
        <v>4.0</v>
      </c>
      <c r="BA446" s="1">
        <v>0.0</v>
      </c>
      <c r="BB446" s="1">
        <v>0.0</v>
      </c>
      <c r="BC446" s="1">
        <v>0.0</v>
      </c>
      <c r="BD446" s="1">
        <v>0.0</v>
      </c>
      <c r="BE446" s="1">
        <v>0.0</v>
      </c>
      <c r="BF446" s="1">
        <v>0.0</v>
      </c>
      <c r="BG446" s="1">
        <v>0.0</v>
      </c>
      <c r="BH446" s="1">
        <v>0.0</v>
      </c>
      <c r="BI446" s="1">
        <v>0.0</v>
      </c>
      <c r="BJ446" s="1">
        <v>0.0</v>
      </c>
      <c r="BP446" s="1">
        <v>0.281</v>
      </c>
      <c r="BQ446" s="1" t="s">
        <v>2142</v>
      </c>
      <c r="BV446" s="1">
        <v>1.1</v>
      </c>
      <c r="EQ446" s="9" t="s">
        <v>2141</v>
      </c>
      <c r="ER446" s="21">
        <v>46045.298472222225</v>
      </c>
    </row>
    <row r="447">
      <c r="A447" s="9" t="s">
        <v>2143</v>
      </c>
      <c r="B447" s="20" t="str">
        <f>IFERROR(__xludf.DUMMYFUNCTION("REGEXREPLACE(A447, ""^https?://[^/]+"", """")"),"/wp-content/uploads/2022/04/Hockins-Rich-275x275-1-225x225.jpg")</f>
        <v>/wp-content/uploads/2022/04/Hockins-Rich-275x275-1-225x225.jpg</v>
      </c>
      <c r="F447" s="1" t="s">
        <v>1004</v>
      </c>
      <c r="G447" s="1">
        <v>200.0</v>
      </c>
      <c r="H447" s="1" t="s">
        <v>966</v>
      </c>
      <c r="I447" s="1" t="s">
        <v>967</v>
      </c>
      <c r="L447" s="1">
        <v>0.0</v>
      </c>
      <c r="M447" s="1">
        <v>0.0</v>
      </c>
      <c r="O447" s="1">
        <v>0.0</v>
      </c>
      <c r="P447" s="1">
        <v>0.0</v>
      </c>
      <c r="R447" s="1">
        <v>0.0</v>
      </c>
      <c r="S447" s="1">
        <v>0.0</v>
      </c>
      <c r="U447" s="1">
        <v>0.0</v>
      </c>
      <c r="W447" s="1">
        <v>0.0</v>
      </c>
      <c r="Y447" s="1">
        <v>0.0</v>
      </c>
      <c r="AA447" s="1">
        <v>0.0</v>
      </c>
      <c r="AC447" s="1">
        <v>0.0</v>
      </c>
      <c r="AM447" s="1">
        <v>7469.0</v>
      </c>
      <c r="AN447" s="1">
        <v>7469.0</v>
      </c>
      <c r="AO447" s="1">
        <v>7469.0</v>
      </c>
      <c r="AP447" s="1">
        <v>2.861</v>
      </c>
      <c r="AR447" s="1">
        <v>0.0</v>
      </c>
      <c r="AW447" s="1">
        <v>0.0</v>
      </c>
      <c r="AX447" s="1">
        <v>2.0</v>
      </c>
      <c r="AY447" s="1">
        <v>4.0</v>
      </c>
      <c r="BA447" s="1">
        <v>0.0</v>
      </c>
      <c r="BB447" s="1">
        <v>0.0</v>
      </c>
      <c r="BC447" s="1">
        <v>0.0</v>
      </c>
      <c r="BD447" s="1">
        <v>0.0</v>
      </c>
      <c r="BE447" s="1">
        <v>0.0</v>
      </c>
      <c r="BF447" s="1">
        <v>0.0</v>
      </c>
      <c r="BG447" s="1">
        <v>0.0</v>
      </c>
      <c r="BH447" s="1">
        <v>0.0</v>
      </c>
      <c r="BI447" s="1">
        <v>0.0</v>
      </c>
      <c r="BJ447" s="1">
        <v>0.0</v>
      </c>
      <c r="BP447" s="1">
        <v>0.278</v>
      </c>
      <c r="BQ447" s="1" t="s">
        <v>2144</v>
      </c>
      <c r="BV447" s="1">
        <v>1.1</v>
      </c>
      <c r="EQ447" s="9" t="s">
        <v>2143</v>
      </c>
      <c r="ER447" s="21">
        <v>46045.298472222225</v>
      </c>
    </row>
    <row r="448">
      <c r="A448" s="9" t="s">
        <v>2145</v>
      </c>
      <c r="B448" s="20" t="str">
        <f>IFERROR(__xludf.DUMMYFUNCTION("REGEXREPLACE(A448, ""^https?://[^/]+"", """")"),"/wp-content/uploads/2022/07/Sutter-Mark-225x225.jpeg")</f>
        <v>/wp-content/uploads/2022/07/Sutter-Mark-225x225.jpeg</v>
      </c>
      <c r="F448" s="1" t="s">
        <v>1004</v>
      </c>
      <c r="G448" s="1">
        <v>200.0</v>
      </c>
      <c r="H448" s="1" t="s">
        <v>966</v>
      </c>
      <c r="I448" s="1" t="s">
        <v>967</v>
      </c>
      <c r="L448" s="1">
        <v>0.0</v>
      </c>
      <c r="M448" s="1">
        <v>0.0</v>
      </c>
      <c r="O448" s="1">
        <v>0.0</v>
      </c>
      <c r="P448" s="1">
        <v>0.0</v>
      </c>
      <c r="R448" s="1">
        <v>0.0</v>
      </c>
      <c r="S448" s="1">
        <v>0.0</v>
      </c>
      <c r="U448" s="1">
        <v>0.0</v>
      </c>
      <c r="W448" s="1">
        <v>0.0</v>
      </c>
      <c r="Y448" s="1">
        <v>0.0</v>
      </c>
      <c r="AA448" s="1">
        <v>0.0</v>
      </c>
      <c r="AC448" s="1">
        <v>0.0</v>
      </c>
      <c r="AM448" s="1">
        <v>7391.0</v>
      </c>
      <c r="AN448" s="1">
        <v>7391.0</v>
      </c>
      <c r="AO448" s="1">
        <v>7391.0</v>
      </c>
      <c r="AP448" s="1">
        <v>2.831</v>
      </c>
      <c r="AR448" s="1">
        <v>0.0</v>
      </c>
      <c r="AW448" s="1">
        <v>0.0</v>
      </c>
      <c r="AX448" s="1">
        <v>2.0</v>
      </c>
      <c r="AY448" s="1">
        <v>4.0</v>
      </c>
      <c r="BA448" s="1">
        <v>0.0</v>
      </c>
      <c r="BB448" s="1">
        <v>0.0</v>
      </c>
      <c r="BC448" s="1">
        <v>0.0</v>
      </c>
      <c r="BD448" s="1">
        <v>0.0</v>
      </c>
      <c r="BE448" s="1">
        <v>0.0</v>
      </c>
      <c r="BF448" s="1">
        <v>0.0</v>
      </c>
      <c r="BG448" s="1">
        <v>0.0</v>
      </c>
      <c r="BH448" s="1">
        <v>0.0</v>
      </c>
      <c r="BI448" s="1">
        <v>0.0</v>
      </c>
      <c r="BJ448" s="1">
        <v>0.0</v>
      </c>
      <c r="BP448" s="1">
        <v>0.273</v>
      </c>
      <c r="BQ448" s="1" t="s">
        <v>2146</v>
      </c>
      <c r="BV448" s="1">
        <v>1.1</v>
      </c>
      <c r="EQ448" s="9" t="s">
        <v>2145</v>
      </c>
      <c r="ER448" s="21">
        <v>46045.298483796294</v>
      </c>
    </row>
    <row r="449">
      <c r="A449" s="9" t="s">
        <v>2147</v>
      </c>
      <c r="B449" s="20" t="str">
        <f>IFERROR(__xludf.DUMMYFUNCTION("REGEXREPLACE(A449, ""^https?://[^/]+"", """")"),"/wp-content/uploads/2023/10/Pollard_Kael-225x225.jpg")</f>
        <v>/wp-content/uploads/2023/10/Pollard_Kael-225x225.jpg</v>
      </c>
      <c r="F449" s="1" t="s">
        <v>1004</v>
      </c>
      <c r="G449" s="1">
        <v>200.0</v>
      </c>
      <c r="H449" s="1" t="s">
        <v>966</v>
      </c>
      <c r="I449" s="1" t="s">
        <v>967</v>
      </c>
      <c r="L449" s="1">
        <v>0.0</v>
      </c>
      <c r="M449" s="1">
        <v>0.0</v>
      </c>
      <c r="O449" s="1">
        <v>0.0</v>
      </c>
      <c r="P449" s="1">
        <v>0.0</v>
      </c>
      <c r="R449" s="1">
        <v>0.0</v>
      </c>
      <c r="S449" s="1">
        <v>0.0</v>
      </c>
      <c r="U449" s="1">
        <v>0.0</v>
      </c>
      <c r="W449" s="1">
        <v>0.0</v>
      </c>
      <c r="Y449" s="1">
        <v>0.0</v>
      </c>
      <c r="AA449" s="1">
        <v>0.0</v>
      </c>
      <c r="AC449" s="1">
        <v>0.0</v>
      </c>
      <c r="AM449" s="1">
        <v>8730.0</v>
      </c>
      <c r="AN449" s="1">
        <v>8730.0</v>
      </c>
      <c r="AO449" s="1">
        <v>8730.0</v>
      </c>
      <c r="AP449" s="1">
        <v>3.344</v>
      </c>
      <c r="AR449" s="1">
        <v>0.0</v>
      </c>
      <c r="AW449" s="1">
        <v>0.0</v>
      </c>
      <c r="AX449" s="1">
        <v>2.0</v>
      </c>
      <c r="AY449" s="1">
        <v>4.0</v>
      </c>
      <c r="BA449" s="1">
        <v>0.0</v>
      </c>
      <c r="BB449" s="1">
        <v>0.0</v>
      </c>
      <c r="BC449" s="1">
        <v>0.0</v>
      </c>
      <c r="BD449" s="1">
        <v>0.0</v>
      </c>
      <c r="BE449" s="1">
        <v>0.0</v>
      </c>
      <c r="BF449" s="1">
        <v>0.0</v>
      </c>
      <c r="BG449" s="1">
        <v>0.0</v>
      </c>
      <c r="BH449" s="1">
        <v>0.0</v>
      </c>
      <c r="BI449" s="1">
        <v>0.0</v>
      </c>
      <c r="BJ449" s="1">
        <v>0.0</v>
      </c>
      <c r="BP449" s="1">
        <v>0.277</v>
      </c>
      <c r="BQ449" s="1" t="s">
        <v>2148</v>
      </c>
      <c r="BV449" s="1">
        <v>1.1</v>
      </c>
      <c r="EQ449" s="9" t="s">
        <v>2147</v>
      </c>
      <c r="ER449" s="21">
        <v>46045.298483796294</v>
      </c>
    </row>
    <row r="450">
      <c r="A450" s="9" t="s">
        <v>2149</v>
      </c>
      <c r="B450" s="20" t="str">
        <f>IFERROR(__xludf.DUMMYFUNCTION("REGEXREPLACE(A450, ""^https?://[^/]+"", """")"),"/wp-content/uploads/2022/04/Wittal-Steve-225x225.jpg")</f>
        <v>/wp-content/uploads/2022/04/Wittal-Steve-225x225.jpg</v>
      </c>
      <c r="F450" s="1" t="s">
        <v>1004</v>
      </c>
      <c r="G450" s="1">
        <v>200.0</v>
      </c>
      <c r="H450" s="1" t="s">
        <v>966</v>
      </c>
      <c r="I450" s="1" t="s">
        <v>967</v>
      </c>
      <c r="L450" s="1">
        <v>0.0</v>
      </c>
      <c r="M450" s="1">
        <v>0.0</v>
      </c>
      <c r="O450" s="1">
        <v>0.0</v>
      </c>
      <c r="P450" s="1">
        <v>0.0</v>
      </c>
      <c r="R450" s="1">
        <v>0.0</v>
      </c>
      <c r="S450" s="1">
        <v>0.0</v>
      </c>
      <c r="U450" s="1">
        <v>0.0</v>
      </c>
      <c r="W450" s="1">
        <v>0.0</v>
      </c>
      <c r="Y450" s="1">
        <v>0.0</v>
      </c>
      <c r="AA450" s="1">
        <v>0.0</v>
      </c>
      <c r="AC450" s="1">
        <v>0.0</v>
      </c>
      <c r="AM450" s="1">
        <v>7815.0</v>
      </c>
      <c r="AN450" s="1">
        <v>7815.0</v>
      </c>
      <c r="AO450" s="1">
        <v>7815.0</v>
      </c>
      <c r="AP450" s="1">
        <v>2.994</v>
      </c>
      <c r="AR450" s="1">
        <v>0.0</v>
      </c>
      <c r="AW450" s="1">
        <v>0.0</v>
      </c>
      <c r="AX450" s="1">
        <v>2.0</v>
      </c>
      <c r="AY450" s="1">
        <v>4.0</v>
      </c>
      <c r="BA450" s="1">
        <v>0.0</v>
      </c>
      <c r="BB450" s="1">
        <v>0.0</v>
      </c>
      <c r="BC450" s="1">
        <v>0.0</v>
      </c>
      <c r="BD450" s="1">
        <v>0.0</v>
      </c>
      <c r="BE450" s="1">
        <v>0.0</v>
      </c>
      <c r="BF450" s="1">
        <v>0.0</v>
      </c>
      <c r="BG450" s="1">
        <v>0.0</v>
      </c>
      <c r="BH450" s="1">
        <v>0.0</v>
      </c>
      <c r="BI450" s="1">
        <v>0.0</v>
      </c>
      <c r="BJ450" s="1">
        <v>0.0</v>
      </c>
      <c r="BP450" s="1">
        <v>0.272</v>
      </c>
      <c r="BQ450" s="1" t="s">
        <v>2150</v>
      </c>
      <c r="BV450" s="1">
        <v>1.1</v>
      </c>
      <c r="EQ450" s="9" t="s">
        <v>2149</v>
      </c>
      <c r="ER450" s="21">
        <v>46045.298483796294</v>
      </c>
    </row>
    <row r="451">
      <c r="A451" s="9" t="s">
        <v>2151</v>
      </c>
      <c r="B451" s="20" t="str">
        <f>IFERROR(__xludf.DUMMYFUNCTION("REGEXREPLACE(A451, ""^https?://[^/]+"", """")"),"/wp-content/uploads/2025/06/Enters_Menno-225x225.jpg")</f>
        <v>/wp-content/uploads/2025/06/Enters_Menno-225x225.jpg</v>
      </c>
      <c r="F451" s="1" t="s">
        <v>1004</v>
      </c>
      <c r="G451" s="1">
        <v>200.0</v>
      </c>
      <c r="H451" s="1" t="s">
        <v>966</v>
      </c>
      <c r="I451" s="1" t="s">
        <v>967</v>
      </c>
      <c r="L451" s="1">
        <v>0.0</v>
      </c>
      <c r="M451" s="1">
        <v>0.0</v>
      </c>
      <c r="O451" s="1">
        <v>0.0</v>
      </c>
      <c r="P451" s="1">
        <v>0.0</v>
      </c>
      <c r="R451" s="1">
        <v>0.0</v>
      </c>
      <c r="S451" s="1">
        <v>0.0</v>
      </c>
      <c r="U451" s="1">
        <v>0.0</v>
      </c>
      <c r="W451" s="1">
        <v>0.0</v>
      </c>
      <c r="Y451" s="1">
        <v>0.0</v>
      </c>
      <c r="AA451" s="1">
        <v>0.0</v>
      </c>
      <c r="AC451" s="1">
        <v>0.0</v>
      </c>
      <c r="AM451" s="1">
        <v>9859.0</v>
      </c>
      <c r="AN451" s="1">
        <v>9859.0</v>
      </c>
      <c r="AO451" s="1">
        <v>9859.0</v>
      </c>
      <c r="AP451" s="1">
        <v>3.777</v>
      </c>
      <c r="AR451" s="1">
        <v>0.0</v>
      </c>
      <c r="AW451" s="1">
        <v>0.0</v>
      </c>
      <c r="AX451" s="1">
        <v>2.0</v>
      </c>
      <c r="AY451" s="1">
        <v>4.0</v>
      </c>
      <c r="BA451" s="1">
        <v>0.0</v>
      </c>
      <c r="BB451" s="1">
        <v>0.0</v>
      </c>
      <c r="BC451" s="1">
        <v>0.0</v>
      </c>
      <c r="BD451" s="1">
        <v>0.0</v>
      </c>
      <c r="BE451" s="1">
        <v>0.0</v>
      </c>
      <c r="BF451" s="1">
        <v>0.0</v>
      </c>
      <c r="BG451" s="1">
        <v>0.0</v>
      </c>
      <c r="BH451" s="1">
        <v>0.0</v>
      </c>
      <c r="BI451" s="1">
        <v>0.0</v>
      </c>
      <c r="BJ451" s="1">
        <v>0.0</v>
      </c>
      <c r="BP451" s="1">
        <v>0.269</v>
      </c>
      <c r="BQ451" s="1" t="s">
        <v>2152</v>
      </c>
      <c r="BV451" s="1">
        <v>1.1</v>
      </c>
      <c r="EQ451" s="9" t="s">
        <v>2151</v>
      </c>
      <c r="ER451" s="21">
        <v>46045.298483796294</v>
      </c>
    </row>
    <row r="452">
      <c r="A452" s="9" t="s">
        <v>2153</v>
      </c>
      <c r="B452" s="20" t="str">
        <f>IFERROR(__xludf.DUMMYFUNCTION("REGEXREPLACE(A452, ""^https?://[^/]+"", """")"),"/wp-content/uploads/2022/04/Spafford-Chris-275x275-1-225x225.jpg")</f>
        <v>/wp-content/uploads/2022/04/Spafford-Chris-275x275-1-225x225.jpg</v>
      </c>
      <c r="F452" s="1" t="s">
        <v>1004</v>
      </c>
      <c r="G452" s="1">
        <v>200.0</v>
      </c>
      <c r="H452" s="1" t="s">
        <v>966</v>
      </c>
      <c r="I452" s="1" t="s">
        <v>967</v>
      </c>
      <c r="L452" s="1">
        <v>0.0</v>
      </c>
      <c r="M452" s="1">
        <v>0.0</v>
      </c>
      <c r="O452" s="1">
        <v>0.0</v>
      </c>
      <c r="P452" s="1">
        <v>0.0</v>
      </c>
      <c r="R452" s="1">
        <v>0.0</v>
      </c>
      <c r="S452" s="1">
        <v>0.0</v>
      </c>
      <c r="U452" s="1">
        <v>0.0</v>
      </c>
      <c r="W452" s="1">
        <v>0.0</v>
      </c>
      <c r="Y452" s="1">
        <v>0.0</v>
      </c>
      <c r="AA452" s="1">
        <v>0.0</v>
      </c>
      <c r="AC452" s="1">
        <v>0.0</v>
      </c>
      <c r="AM452" s="1">
        <v>9095.0</v>
      </c>
      <c r="AN452" s="1">
        <v>9095.0</v>
      </c>
      <c r="AO452" s="1">
        <v>9095.0</v>
      </c>
      <c r="AP452" s="1">
        <v>3.484</v>
      </c>
      <c r="AR452" s="1">
        <v>0.0</v>
      </c>
      <c r="AW452" s="1">
        <v>0.0</v>
      </c>
      <c r="AX452" s="1">
        <v>2.0</v>
      </c>
      <c r="AY452" s="1">
        <v>4.0</v>
      </c>
      <c r="BA452" s="1">
        <v>0.0</v>
      </c>
      <c r="BB452" s="1">
        <v>0.0</v>
      </c>
      <c r="BC452" s="1">
        <v>0.0</v>
      </c>
      <c r="BD452" s="1">
        <v>0.0</v>
      </c>
      <c r="BE452" s="1">
        <v>0.0</v>
      </c>
      <c r="BF452" s="1">
        <v>0.0</v>
      </c>
      <c r="BG452" s="1">
        <v>0.0</v>
      </c>
      <c r="BH452" s="1">
        <v>0.0</v>
      </c>
      <c r="BI452" s="1">
        <v>0.0</v>
      </c>
      <c r="BJ452" s="1">
        <v>0.0</v>
      </c>
      <c r="BP452" s="1">
        <v>0.271</v>
      </c>
      <c r="BQ452" s="1" t="s">
        <v>2154</v>
      </c>
      <c r="BV452" s="1">
        <v>1.1</v>
      </c>
      <c r="EQ452" s="9" t="s">
        <v>2153</v>
      </c>
      <c r="ER452" s="21">
        <v>46045.298483796294</v>
      </c>
    </row>
    <row r="453">
      <c r="A453" s="9" t="s">
        <v>2155</v>
      </c>
      <c r="B453" s="20" t="str">
        <f>IFERROR(__xludf.DUMMYFUNCTION("REGEXREPLACE(A453, ""^https?://[^/]+"", """")"),"/wp-content/uploads/2025/05/McKean_Steve-225x225.jpg")</f>
        <v>/wp-content/uploads/2025/05/McKean_Steve-225x225.jpg</v>
      </c>
      <c r="F453" s="1" t="s">
        <v>1004</v>
      </c>
      <c r="G453" s="1">
        <v>200.0</v>
      </c>
      <c r="H453" s="1" t="s">
        <v>966</v>
      </c>
      <c r="I453" s="1" t="s">
        <v>967</v>
      </c>
      <c r="L453" s="1">
        <v>0.0</v>
      </c>
      <c r="M453" s="1">
        <v>0.0</v>
      </c>
      <c r="O453" s="1">
        <v>0.0</v>
      </c>
      <c r="P453" s="1">
        <v>0.0</v>
      </c>
      <c r="R453" s="1">
        <v>0.0</v>
      </c>
      <c r="S453" s="1">
        <v>0.0</v>
      </c>
      <c r="U453" s="1">
        <v>0.0</v>
      </c>
      <c r="W453" s="1">
        <v>0.0</v>
      </c>
      <c r="Y453" s="1">
        <v>0.0</v>
      </c>
      <c r="AA453" s="1">
        <v>0.0</v>
      </c>
      <c r="AC453" s="1">
        <v>0.0</v>
      </c>
      <c r="AM453" s="1">
        <v>8798.0</v>
      </c>
      <c r="AN453" s="1">
        <v>8798.0</v>
      </c>
      <c r="AO453" s="1">
        <v>8798.0</v>
      </c>
      <c r="AP453" s="1">
        <v>3.37</v>
      </c>
      <c r="AR453" s="1">
        <v>0.0</v>
      </c>
      <c r="AW453" s="1">
        <v>0.0</v>
      </c>
      <c r="AX453" s="1">
        <v>2.0</v>
      </c>
      <c r="AY453" s="1">
        <v>4.0</v>
      </c>
      <c r="BA453" s="1">
        <v>0.0</v>
      </c>
      <c r="BB453" s="1">
        <v>0.0</v>
      </c>
      <c r="BC453" s="1">
        <v>0.0</v>
      </c>
      <c r="BD453" s="1">
        <v>0.0</v>
      </c>
      <c r="BE453" s="1">
        <v>0.0</v>
      </c>
      <c r="BF453" s="1">
        <v>0.0</v>
      </c>
      <c r="BG453" s="1">
        <v>0.0</v>
      </c>
      <c r="BH453" s="1">
        <v>0.0</v>
      </c>
      <c r="BI453" s="1">
        <v>0.0</v>
      </c>
      <c r="BJ453" s="1">
        <v>0.0</v>
      </c>
      <c r="BP453" s="1">
        <v>0.267</v>
      </c>
      <c r="BQ453" s="1" t="s">
        <v>2156</v>
      </c>
      <c r="BV453" s="1">
        <v>1.1</v>
      </c>
      <c r="EQ453" s="9" t="s">
        <v>2155</v>
      </c>
      <c r="ER453" s="21">
        <v>46045.298483796294</v>
      </c>
    </row>
    <row r="454">
      <c r="A454" s="9" t="s">
        <v>2157</v>
      </c>
      <c r="B454" s="20" t="str">
        <f>IFERROR(__xludf.DUMMYFUNCTION("REGEXREPLACE(A454, ""^https?://[^/]+"", """")"),"/wp-content/uploads/2025/06/Durkee_Jeff-225x225.jpg")</f>
        <v>/wp-content/uploads/2025/06/Durkee_Jeff-225x225.jpg</v>
      </c>
      <c r="F454" s="1" t="s">
        <v>1004</v>
      </c>
      <c r="G454" s="1">
        <v>200.0</v>
      </c>
      <c r="H454" s="1" t="s">
        <v>966</v>
      </c>
      <c r="I454" s="1" t="s">
        <v>967</v>
      </c>
      <c r="L454" s="1">
        <v>0.0</v>
      </c>
      <c r="M454" s="1">
        <v>0.0</v>
      </c>
      <c r="O454" s="1">
        <v>0.0</v>
      </c>
      <c r="P454" s="1">
        <v>0.0</v>
      </c>
      <c r="R454" s="1">
        <v>0.0</v>
      </c>
      <c r="S454" s="1">
        <v>0.0</v>
      </c>
      <c r="U454" s="1">
        <v>0.0</v>
      </c>
      <c r="W454" s="1">
        <v>0.0</v>
      </c>
      <c r="Y454" s="1">
        <v>0.0</v>
      </c>
      <c r="AA454" s="1">
        <v>0.0</v>
      </c>
      <c r="AC454" s="1">
        <v>0.0</v>
      </c>
      <c r="AM454" s="1">
        <v>8410.0</v>
      </c>
      <c r="AN454" s="1">
        <v>8410.0</v>
      </c>
      <c r="AO454" s="1">
        <v>8410.0</v>
      </c>
      <c r="AP454" s="1">
        <v>3.222</v>
      </c>
      <c r="AR454" s="1">
        <v>0.0</v>
      </c>
      <c r="AW454" s="1">
        <v>0.0</v>
      </c>
      <c r="AX454" s="1">
        <v>2.0</v>
      </c>
      <c r="AY454" s="1">
        <v>4.0</v>
      </c>
      <c r="BA454" s="1">
        <v>0.0</v>
      </c>
      <c r="BB454" s="1">
        <v>0.0</v>
      </c>
      <c r="BC454" s="1">
        <v>0.0</v>
      </c>
      <c r="BD454" s="1">
        <v>0.0</v>
      </c>
      <c r="BE454" s="1">
        <v>0.0</v>
      </c>
      <c r="BF454" s="1">
        <v>0.0</v>
      </c>
      <c r="BG454" s="1">
        <v>0.0</v>
      </c>
      <c r="BH454" s="1">
        <v>0.0</v>
      </c>
      <c r="BI454" s="1">
        <v>0.0</v>
      </c>
      <c r="BJ454" s="1">
        <v>0.0</v>
      </c>
      <c r="BP454" s="1">
        <v>0.277</v>
      </c>
      <c r="BQ454" s="1" t="s">
        <v>2158</v>
      </c>
      <c r="BV454" s="1">
        <v>1.1</v>
      </c>
      <c r="EQ454" s="9" t="s">
        <v>2157</v>
      </c>
      <c r="ER454" s="21">
        <v>46045.298483796294</v>
      </c>
    </row>
    <row r="455">
      <c r="A455" s="9" t="s">
        <v>2159</v>
      </c>
      <c r="B455" s="20" t="str">
        <f>IFERROR(__xludf.DUMMYFUNCTION("REGEXREPLACE(A455, ""^https?://[^/]+"", """")"),"/wp-content/uploads/2024/06/Garner-Chris-225x225.jpg")</f>
        <v>/wp-content/uploads/2024/06/Garner-Chris-225x225.jpg</v>
      </c>
      <c r="F455" s="1" t="s">
        <v>1004</v>
      </c>
      <c r="G455" s="1">
        <v>200.0</v>
      </c>
      <c r="H455" s="1" t="s">
        <v>966</v>
      </c>
      <c r="I455" s="1" t="s">
        <v>967</v>
      </c>
      <c r="L455" s="1">
        <v>0.0</v>
      </c>
      <c r="M455" s="1">
        <v>0.0</v>
      </c>
      <c r="O455" s="1">
        <v>0.0</v>
      </c>
      <c r="P455" s="1">
        <v>0.0</v>
      </c>
      <c r="R455" s="1">
        <v>0.0</v>
      </c>
      <c r="S455" s="1">
        <v>0.0</v>
      </c>
      <c r="U455" s="1">
        <v>0.0</v>
      </c>
      <c r="W455" s="1">
        <v>0.0</v>
      </c>
      <c r="Y455" s="1">
        <v>0.0</v>
      </c>
      <c r="AA455" s="1">
        <v>0.0</v>
      </c>
      <c r="AC455" s="1">
        <v>0.0</v>
      </c>
      <c r="AM455" s="1">
        <v>8711.0</v>
      </c>
      <c r="AN455" s="1">
        <v>8711.0</v>
      </c>
      <c r="AO455" s="1">
        <v>8711.0</v>
      </c>
      <c r="AP455" s="1">
        <v>3.337</v>
      </c>
      <c r="AR455" s="1">
        <v>0.0</v>
      </c>
      <c r="AW455" s="1">
        <v>0.0</v>
      </c>
      <c r="AX455" s="1">
        <v>2.0</v>
      </c>
      <c r="AY455" s="1">
        <v>4.0</v>
      </c>
      <c r="BA455" s="1">
        <v>0.0</v>
      </c>
      <c r="BB455" s="1">
        <v>0.0</v>
      </c>
      <c r="BC455" s="1">
        <v>0.0</v>
      </c>
      <c r="BD455" s="1">
        <v>0.0</v>
      </c>
      <c r="BE455" s="1">
        <v>0.0</v>
      </c>
      <c r="BF455" s="1">
        <v>0.0</v>
      </c>
      <c r="BG455" s="1">
        <v>0.0</v>
      </c>
      <c r="BH455" s="1">
        <v>0.0</v>
      </c>
      <c r="BI455" s="1">
        <v>0.0</v>
      </c>
      <c r="BJ455" s="1">
        <v>0.0</v>
      </c>
      <c r="BP455" s="1">
        <v>0.272</v>
      </c>
      <c r="BQ455" s="1" t="s">
        <v>2160</v>
      </c>
      <c r="BV455" s="1">
        <v>1.1</v>
      </c>
      <c r="EQ455" s="9" t="s">
        <v>2159</v>
      </c>
      <c r="ER455" s="21">
        <v>46045.298483796294</v>
      </c>
    </row>
    <row r="456">
      <c r="A456" s="9" t="s">
        <v>2161</v>
      </c>
      <c r="B456" s="20" t="str">
        <f>IFERROR(__xludf.DUMMYFUNCTION("REGEXREPLACE(A456, ""^https?://[^/]+"", """")"),"/wp-content/uploads/2017/01/John-Lee-225x225.jpeg")</f>
        <v>/wp-content/uploads/2017/01/John-Lee-225x225.jpeg</v>
      </c>
      <c r="F456" s="1" t="s">
        <v>1004</v>
      </c>
      <c r="G456" s="1">
        <v>200.0</v>
      </c>
      <c r="H456" s="1" t="s">
        <v>966</v>
      </c>
      <c r="I456" s="1" t="s">
        <v>967</v>
      </c>
      <c r="L456" s="1">
        <v>0.0</v>
      </c>
      <c r="M456" s="1">
        <v>0.0</v>
      </c>
      <c r="O456" s="1">
        <v>0.0</v>
      </c>
      <c r="P456" s="1">
        <v>0.0</v>
      </c>
      <c r="R456" s="1">
        <v>0.0</v>
      </c>
      <c r="S456" s="1">
        <v>0.0</v>
      </c>
      <c r="U456" s="1">
        <v>0.0</v>
      </c>
      <c r="W456" s="1">
        <v>0.0</v>
      </c>
      <c r="Y456" s="1">
        <v>0.0</v>
      </c>
      <c r="AA456" s="1">
        <v>0.0</v>
      </c>
      <c r="AC456" s="1">
        <v>0.0</v>
      </c>
      <c r="AM456" s="1">
        <v>7253.0</v>
      </c>
      <c r="AN456" s="1">
        <v>7253.0</v>
      </c>
      <c r="AO456" s="1">
        <v>7253.0</v>
      </c>
      <c r="AP456" s="1">
        <v>2.778</v>
      </c>
      <c r="AR456" s="1">
        <v>0.0</v>
      </c>
      <c r="AW456" s="1">
        <v>0.0</v>
      </c>
      <c r="AX456" s="1">
        <v>2.0</v>
      </c>
      <c r="AY456" s="1">
        <v>4.0</v>
      </c>
      <c r="BA456" s="1">
        <v>0.0</v>
      </c>
      <c r="BB456" s="1">
        <v>0.0</v>
      </c>
      <c r="BC456" s="1">
        <v>0.0</v>
      </c>
      <c r="BD456" s="1">
        <v>0.0</v>
      </c>
      <c r="BE456" s="1">
        <v>0.0</v>
      </c>
      <c r="BF456" s="1">
        <v>0.0</v>
      </c>
      <c r="BG456" s="1">
        <v>0.0</v>
      </c>
      <c r="BH456" s="1">
        <v>0.0</v>
      </c>
      <c r="BI456" s="1">
        <v>0.0</v>
      </c>
      <c r="BJ456" s="1">
        <v>0.0</v>
      </c>
      <c r="BP456" s="1">
        <v>0.278</v>
      </c>
      <c r="BQ456" s="1" t="s">
        <v>2162</v>
      </c>
      <c r="BV456" s="1">
        <v>1.1</v>
      </c>
      <c r="EQ456" s="9" t="s">
        <v>2161</v>
      </c>
      <c r="ER456" s="21">
        <v>46045.298483796294</v>
      </c>
    </row>
    <row r="457">
      <c r="A457" s="9" t="s">
        <v>2163</v>
      </c>
      <c r="B457" s="20" t="str">
        <f>IFERROR(__xludf.DUMMYFUNCTION("REGEXREPLACE(A457, ""^https?://[^/]+"", """")"),"/advisors/jeffrey-soares/")</f>
        <v>/advisors/jeffrey-soares/</v>
      </c>
      <c r="C457" s="1" t="s">
        <v>2164</v>
      </c>
      <c r="F457" s="1" t="s">
        <v>965</v>
      </c>
      <c r="G457" s="1">
        <v>200.0</v>
      </c>
      <c r="H457" s="1" t="s">
        <v>966</v>
      </c>
      <c r="I457" s="1" t="s">
        <v>967</v>
      </c>
      <c r="K457" s="1" t="s">
        <v>2165</v>
      </c>
      <c r="L457" s="1">
        <v>72.0</v>
      </c>
      <c r="M457" s="1">
        <v>636.0</v>
      </c>
      <c r="O457" s="1">
        <v>0.0</v>
      </c>
      <c r="P457" s="1">
        <v>0.0</v>
      </c>
      <c r="Q457" s="1" t="s">
        <v>2166</v>
      </c>
      <c r="R457" s="1">
        <v>178.0</v>
      </c>
      <c r="S457" s="1">
        <v>1096.0</v>
      </c>
      <c r="U457" s="1">
        <v>0.0</v>
      </c>
      <c r="V457" s="1" t="s">
        <v>2164</v>
      </c>
      <c r="W457" s="1">
        <v>14.0</v>
      </c>
      <c r="Y457" s="1">
        <v>0.0</v>
      </c>
      <c r="AA457" s="1">
        <v>0.0</v>
      </c>
      <c r="AC457" s="1">
        <v>0.0</v>
      </c>
      <c r="AD457" s="1" t="s">
        <v>971</v>
      </c>
      <c r="AG457" s="9" t="s">
        <v>2163</v>
      </c>
      <c r="AM457" s="1">
        <v>149735.0</v>
      </c>
      <c r="AN457" s="1">
        <v>29354.0</v>
      </c>
      <c r="AO457" s="1">
        <v>29354.0</v>
      </c>
      <c r="AP457" s="1">
        <v>11.245</v>
      </c>
      <c r="AR457" s="1">
        <v>666.0</v>
      </c>
      <c r="AS457" s="1">
        <v>110.0</v>
      </c>
      <c r="AT457" s="1">
        <v>6.055</v>
      </c>
      <c r="AU457" s="1">
        <v>60.325</v>
      </c>
      <c r="AV457" s="1" t="s">
        <v>990</v>
      </c>
      <c r="AW457" s="1">
        <v>4.366</v>
      </c>
      <c r="AX457" s="1">
        <v>2.0</v>
      </c>
      <c r="AY457" s="1">
        <v>2.0</v>
      </c>
      <c r="AZ457" s="1">
        <v>1.0</v>
      </c>
      <c r="BA457" s="1">
        <v>3.0</v>
      </c>
      <c r="BB457" s="1">
        <v>2.0</v>
      </c>
      <c r="BC457" s="1">
        <v>0.0</v>
      </c>
      <c r="BD457" s="1">
        <v>0.27</v>
      </c>
      <c r="BE457" s="1">
        <v>123.0</v>
      </c>
      <c r="BF457" s="1">
        <v>43.0</v>
      </c>
      <c r="BG457" s="1">
        <v>0.0</v>
      </c>
      <c r="BH457" s="1">
        <v>16.0</v>
      </c>
      <c r="BI457" s="1">
        <v>8.0</v>
      </c>
      <c r="BJ457" s="1">
        <v>0.0</v>
      </c>
      <c r="BO457" s="1" t="s">
        <v>2167</v>
      </c>
      <c r="BP457" s="1">
        <v>1.433</v>
      </c>
      <c r="BU457" s="1" t="s">
        <v>974</v>
      </c>
      <c r="BV457" s="1">
        <v>1.1</v>
      </c>
      <c r="BW457" s="1">
        <v>55.0</v>
      </c>
      <c r="BX457" s="1">
        <v>3901.059</v>
      </c>
      <c r="BY457" s="1">
        <v>6282.337</v>
      </c>
      <c r="BZ457" s="1">
        <v>6151.096</v>
      </c>
      <c r="CA457" s="1">
        <v>18181.111</v>
      </c>
      <c r="CB457" s="1">
        <v>386.5</v>
      </c>
      <c r="CC457" s="1">
        <v>0.001</v>
      </c>
      <c r="CD457" s="1">
        <v>651961.0</v>
      </c>
      <c r="CE457" s="1">
        <v>750.0</v>
      </c>
      <c r="CF457" s="1">
        <v>167.0</v>
      </c>
      <c r="CG457" s="1">
        <v>2307586.0</v>
      </c>
      <c r="CH457" s="1">
        <v>30390.0</v>
      </c>
      <c r="CI457" s="1">
        <v>2.0</v>
      </c>
      <c r="CJ457" s="1">
        <v>126942.0</v>
      </c>
      <c r="CK457" s="1">
        <v>25.0</v>
      </c>
      <c r="CL457" s="1">
        <v>110466.0</v>
      </c>
      <c r="CM457" s="1">
        <v>38.0</v>
      </c>
      <c r="CN457" s="1">
        <v>1748020.0</v>
      </c>
      <c r="CO457" s="1">
        <v>68.0</v>
      </c>
      <c r="CP457" s="1">
        <v>266199.0</v>
      </c>
      <c r="CQ457" s="1">
        <v>6.0</v>
      </c>
      <c r="CR457" s="1">
        <v>0.0</v>
      </c>
      <c r="CS457" s="1">
        <v>0.0</v>
      </c>
      <c r="CT457" s="1">
        <v>25569.0</v>
      </c>
      <c r="CU457" s="1">
        <v>28.0</v>
      </c>
      <c r="CV457" s="1">
        <v>1525278.0</v>
      </c>
      <c r="CW457" s="1">
        <v>66.0</v>
      </c>
      <c r="DC457" s="1">
        <v>0.0</v>
      </c>
      <c r="DD457" s="1">
        <v>5075.0</v>
      </c>
      <c r="DE457" s="1">
        <v>0.0</v>
      </c>
      <c r="DF457" s="1">
        <v>3396.0</v>
      </c>
      <c r="DG457" s="1">
        <v>300.0</v>
      </c>
      <c r="DH457" s="1">
        <v>50614.0</v>
      </c>
      <c r="DI457" s="1">
        <v>450.0</v>
      </c>
      <c r="DJ457" s="1">
        <v>592876.0</v>
      </c>
      <c r="DK457" s="1">
        <v>1479.967</v>
      </c>
      <c r="DL457" s="1" t="s">
        <v>975</v>
      </c>
      <c r="DM457" s="1">
        <v>2741.764</v>
      </c>
      <c r="DN457" s="1" t="s">
        <v>975</v>
      </c>
      <c r="DO457" s="1">
        <v>2307238.0</v>
      </c>
      <c r="DP457" s="1">
        <v>1.0</v>
      </c>
      <c r="DQ457" s="1" t="s">
        <v>976</v>
      </c>
      <c r="DR457" s="1" t="s">
        <v>1464</v>
      </c>
      <c r="DS457" s="1" t="s">
        <v>978</v>
      </c>
      <c r="DU457" s="1" t="s">
        <v>994</v>
      </c>
      <c r="DV457" s="1">
        <v>13092.0</v>
      </c>
      <c r="DX457" s="1">
        <v>3704.0</v>
      </c>
      <c r="DY457" s="1">
        <v>624088.0</v>
      </c>
      <c r="DZ457" s="1" t="s">
        <v>981</v>
      </c>
      <c r="EA457" s="1">
        <v>771.0</v>
      </c>
      <c r="EB457" s="1">
        <v>31882.0</v>
      </c>
      <c r="EC457" s="1">
        <v>1.0</v>
      </c>
      <c r="ED457" s="1">
        <v>26492.0</v>
      </c>
      <c r="EF457" s="1">
        <v>265.0</v>
      </c>
      <c r="EG457" s="1" t="s">
        <v>982</v>
      </c>
      <c r="EH457" s="1">
        <v>100.0</v>
      </c>
      <c r="EK457" s="1">
        <v>100.0</v>
      </c>
      <c r="EQ457" s="9" t="s">
        <v>2163</v>
      </c>
      <c r="ER457" s="21">
        <v>46045.298483796294</v>
      </c>
    </row>
    <row r="458">
      <c r="A458" s="9" t="s">
        <v>2168</v>
      </c>
      <c r="B458" s="20" t="str">
        <f>IFERROR(__xludf.DUMMYFUNCTION("REGEXREPLACE(A458, ""^https?://[^/]+"", """")"),"/wp-content/uploads/2025/09/Burton_Chris-225x225.jpg")</f>
        <v>/wp-content/uploads/2025/09/Burton_Chris-225x225.jpg</v>
      </c>
      <c r="F458" s="1" t="s">
        <v>1004</v>
      </c>
      <c r="G458" s="1">
        <v>200.0</v>
      </c>
      <c r="H458" s="1" t="s">
        <v>966</v>
      </c>
      <c r="I458" s="1" t="s">
        <v>967</v>
      </c>
      <c r="L458" s="1">
        <v>0.0</v>
      </c>
      <c r="M458" s="1">
        <v>0.0</v>
      </c>
      <c r="O458" s="1">
        <v>0.0</v>
      </c>
      <c r="P458" s="1">
        <v>0.0</v>
      </c>
      <c r="R458" s="1">
        <v>0.0</v>
      </c>
      <c r="S458" s="1">
        <v>0.0</v>
      </c>
      <c r="U458" s="1">
        <v>0.0</v>
      </c>
      <c r="W458" s="1">
        <v>0.0</v>
      </c>
      <c r="Y458" s="1">
        <v>0.0</v>
      </c>
      <c r="AA458" s="1">
        <v>0.0</v>
      </c>
      <c r="AC458" s="1">
        <v>0.0</v>
      </c>
      <c r="AM458" s="1">
        <v>8753.0</v>
      </c>
      <c r="AN458" s="1">
        <v>8753.0</v>
      </c>
      <c r="AO458" s="1">
        <v>8753.0</v>
      </c>
      <c r="AP458" s="1">
        <v>3.353</v>
      </c>
      <c r="AR458" s="1">
        <v>0.0</v>
      </c>
      <c r="AW458" s="1">
        <v>0.0</v>
      </c>
      <c r="AX458" s="1">
        <v>2.0</v>
      </c>
      <c r="AY458" s="1">
        <v>4.0</v>
      </c>
      <c r="BA458" s="1">
        <v>0.0</v>
      </c>
      <c r="BB458" s="1">
        <v>0.0</v>
      </c>
      <c r="BC458" s="1">
        <v>0.0</v>
      </c>
      <c r="BD458" s="1">
        <v>0.0</v>
      </c>
      <c r="BE458" s="1">
        <v>0.0</v>
      </c>
      <c r="BF458" s="1">
        <v>0.0</v>
      </c>
      <c r="BG458" s="1">
        <v>0.0</v>
      </c>
      <c r="BH458" s="1">
        <v>0.0</v>
      </c>
      <c r="BI458" s="1">
        <v>0.0</v>
      </c>
      <c r="BJ458" s="1">
        <v>0.0</v>
      </c>
      <c r="BP458" s="1">
        <v>0.26</v>
      </c>
      <c r="BQ458" s="1" t="s">
        <v>2169</v>
      </c>
      <c r="BV458" s="1">
        <v>1.1</v>
      </c>
      <c r="EQ458" s="9" t="s">
        <v>2168</v>
      </c>
      <c r="ER458" s="21">
        <v>46045.29849537037</v>
      </c>
    </row>
    <row r="459">
      <c r="A459" s="9" t="s">
        <v>2170</v>
      </c>
      <c r="B459" s="20" t="str">
        <f>IFERROR(__xludf.DUMMYFUNCTION("REGEXREPLACE(A459, ""^https?://[^/]+"", """")"),"/wp-content/uploads/2022/04/Soares-Jeff-275x275-1-225x225.jpg")</f>
        <v>/wp-content/uploads/2022/04/Soares-Jeff-275x275-1-225x225.jpg</v>
      </c>
      <c r="F459" s="1" t="s">
        <v>1004</v>
      </c>
      <c r="G459" s="1">
        <v>200.0</v>
      </c>
      <c r="H459" s="1" t="s">
        <v>966</v>
      </c>
      <c r="I459" s="1" t="s">
        <v>967</v>
      </c>
      <c r="L459" s="1">
        <v>0.0</v>
      </c>
      <c r="M459" s="1">
        <v>0.0</v>
      </c>
      <c r="O459" s="1">
        <v>0.0</v>
      </c>
      <c r="P459" s="1">
        <v>0.0</v>
      </c>
      <c r="R459" s="1">
        <v>0.0</v>
      </c>
      <c r="S459" s="1">
        <v>0.0</v>
      </c>
      <c r="U459" s="1">
        <v>0.0</v>
      </c>
      <c r="W459" s="1">
        <v>0.0</v>
      </c>
      <c r="Y459" s="1">
        <v>0.0</v>
      </c>
      <c r="AA459" s="1">
        <v>0.0</v>
      </c>
      <c r="AC459" s="1">
        <v>0.0</v>
      </c>
      <c r="AM459" s="1">
        <v>8187.0</v>
      </c>
      <c r="AN459" s="1">
        <v>8187.0</v>
      </c>
      <c r="AO459" s="1">
        <v>8187.0</v>
      </c>
      <c r="AP459" s="1">
        <v>3.136</v>
      </c>
      <c r="AR459" s="1">
        <v>0.0</v>
      </c>
      <c r="AW459" s="1">
        <v>0.0</v>
      </c>
      <c r="AX459" s="1">
        <v>2.0</v>
      </c>
      <c r="AY459" s="1">
        <v>4.0</v>
      </c>
      <c r="BA459" s="1">
        <v>0.0</v>
      </c>
      <c r="BB459" s="1">
        <v>0.0</v>
      </c>
      <c r="BC459" s="1">
        <v>0.0</v>
      </c>
      <c r="BD459" s="1">
        <v>0.0</v>
      </c>
      <c r="BE459" s="1">
        <v>0.0</v>
      </c>
      <c r="BF459" s="1">
        <v>0.0</v>
      </c>
      <c r="BG459" s="1">
        <v>0.0</v>
      </c>
      <c r="BH459" s="1">
        <v>0.0</v>
      </c>
      <c r="BI459" s="1">
        <v>0.0</v>
      </c>
      <c r="BJ459" s="1">
        <v>0.0</v>
      </c>
      <c r="BP459" s="1">
        <v>0.277</v>
      </c>
      <c r="BQ459" s="1" t="s">
        <v>2171</v>
      </c>
      <c r="BV459" s="1">
        <v>1.1</v>
      </c>
      <c r="EQ459" s="9" t="s">
        <v>2170</v>
      </c>
      <c r="ER459" s="21">
        <v>46045.29849537037</v>
      </c>
    </row>
    <row r="460">
      <c r="A460" s="9" t="s">
        <v>2172</v>
      </c>
      <c r="B460" s="20" t="str">
        <f>IFERROR(__xludf.DUMMYFUNCTION("REGEXREPLACE(A460, ""^https?://[^/]+"", """")"),"/wp-content/uploads/2025/06/Todd_Kristopher-225x225.jpg")</f>
        <v>/wp-content/uploads/2025/06/Todd_Kristopher-225x225.jpg</v>
      </c>
      <c r="F460" s="1" t="s">
        <v>1004</v>
      </c>
      <c r="G460" s="1">
        <v>200.0</v>
      </c>
      <c r="H460" s="1" t="s">
        <v>966</v>
      </c>
      <c r="I460" s="1" t="s">
        <v>967</v>
      </c>
      <c r="L460" s="1">
        <v>0.0</v>
      </c>
      <c r="M460" s="1">
        <v>0.0</v>
      </c>
      <c r="O460" s="1">
        <v>0.0</v>
      </c>
      <c r="P460" s="1">
        <v>0.0</v>
      </c>
      <c r="R460" s="1">
        <v>0.0</v>
      </c>
      <c r="S460" s="1">
        <v>0.0</v>
      </c>
      <c r="U460" s="1">
        <v>0.0</v>
      </c>
      <c r="W460" s="1">
        <v>0.0</v>
      </c>
      <c r="Y460" s="1">
        <v>0.0</v>
      </c>
      <c r="AA460" s="1">
        <v>0.0</v>
      </c>
      <c r="AC460" s="1">
        <v>0.0</v>
      </c>
      <c r="AM460" s="1">
        <v>8802.0</v>
      </c>
      <c r="AN460" s="1">
        <v>8802.0</v>
      </c>
      <c r="AO460" s="1">
        <v>8802.0</v>
      </c>
      <c r="AP460" s="1">
        <v>3.372</v>
      </c>
      <c r="AR460" s="1">
        <v>0.0</v>
      </c>
      <c r="AW460" s="1">
        <v>0.0</v>
      </c>
      <c r="AX460" s="1">
        <v>2.0</v>
      </c>
      <c r="AY460" s="1">
        <v>4.0</v>
      </c>
      <c r="BA460" s="1">
        <v>0.0</v>
      </c>
      <c r="BB460" s="1">
        <v>0.0</v>
      </c>
      <c r="BC460" s="1">
        <v>0.0</v>
      </c>
      <c r="BD460" s="1">
        <v>0.0</v>
      </c>
      <c r="BE460" s="1">
        <v>0.0</v>
      </c>
      <c r="BF460" s="1">
        <v>0.0</v>
      </c>
      <c r="BG460" s="1">
        <v>0.0</v>
      </c>
      <c r="BH460" s="1">
        <v>0.0</v>
      </c>
      <c r="BI460" s="1">
        <v>0.0</v>
      </c>
      <c r="BJ460" s="1">
        <v>0.0</v>
      </c>
      <c r="BP460" s="1">
        <v>0.292</v>
      </c>
      <c r="BQ460" s="1" t="s">
        <v>2173</v>
      </c>
      <c r="BV460" s="1">
        <v>1.1</v>
      </c>
      <c r="EQ460" s="9" t="s">
        <v>2172</v>
      </c>
      <c r="ER460" s="21">
        <v>46045.29850694445</v>
      </c>
    </row>
    <row r="461">
      <c r="A461" s="9" t="s">
        <v>2174</v>
      </c>
      <c r="B461" s="20" t="str">
        <f>IFERROR(__xludf.DUMMYFUNCTION("REGEXREPLACE(A461, ""^https?://[^/]+"", """")"),"/wp-content/uploads/2023/05/Miller_Doug-225x225.jpg")</f>
        <v>/wp-content/uploads/2023/05/Miller_Doug-225x225.jpg</v>
      </c>
      <c r="F461" s="1" t="s">
        <v>1004</v>
      </c>
      <c r="G461" s="1">
        <v>200.0</v>
      </c>
      <c r="H461" s="1" t="s">
        <v>966</v>
      </c>
      <c r="I461" s="1" t="s">
        <v>967</v>
      </c>
      <c r="L461" s="1">
        <v>0.0</v>
      </c>
      <c r="M461" s="1">
        <v>0.0</v>
      </c>
      <c r="O461" s="1">
        <v>0.0</v>
      </c>
      <c r="P461" s="1">
        <v>0.0</v>
      </c>
      <c r="R461" s="1">
        <v>0.0</v>
      </c>
      <c r="S461" s="1">
        <v>0.0</v>
      </c>
      <c r="U461" s="1">
        <v>0.0</v>
      </c>
      <c r="W461" s="1">
        <v>0.0</v>
      </c>
      <c r="Y461" s="1">
        <v>0.0</v>
      </c>
      <c r="AA461" s="1">
        <v>0.0</v>
      </c>
      <c r="AC461" s="1">
        <v>0.0</v>
      </c>
      <c r="AM461" s="1">
        <v>11246.0</v>
      </c>
      <c r="AN461" s="1">
        <v>11246.0</v>
      </c>
      <c r="AO461" s="1">
        <v>11246.0</v>
      </c>
      <c r="AP461" s="1">
        <v>4.308</v>
      </c>
      <c r="AR461" s="1">
        <v>0.0</v>
      </c>
      <c r="AW461" s="1">
        <v>0.0</v>
      </c>
      <c r="AX461" s="1">
        <v>2.0</v>
      </c>
      <c r="AY461" s="1">
        <v>4.0</v>
      </c>
      <c r="BA461" s="1">
        <v>0.0</v>
      </c>
      <c r="BB461" s="1">
        <v>0.0</v>
      </c>
      <c r="BC461" s="1">
        <v>0.0</v>
      </c>
      <c r="BD461" s="1">
        <v>0.0</v>
      </c>
      <c r="BE461" s="1">
        <v>0.0</v>
      </c>
      <c r="BF461" s="1">
        <v>0.0</v>
      </c>
      <c r="BG461" s="1">
        <v>0.0</v>
      </c>
      <c r="BH461" s="1">
        <v>0.0</v>
      </c>
      <c r="BI461" s="1">
        <v>0.0</v>
      </c>
      <c r="BJ461" s="1">
        <v>0.0</v>
      </c>
      <c r="BP461" s="1">
        <v>0.395</v>
      </c>
      <c r="BQ461" s="1" t="s">
        <v>2175</v>
      </c>
      <c r="BV461" s="1">
        <v>1.1</v>
      </c>
      <c r="EQ461" s="9" t="s">
        <v>2174</v>
      </c>
      <c r="ER461" s="21">
        <v>46045.29850694445</v>
      </c>
    </row>
    <row r="462">
      <c r="A462" s="9" t="s">
        <v>2176</v>
      </c>
      <c r="B462" s="20" t="str">
        <f>IFERROR(__xludf.DUMMYFUNCTION("REGEXREPLACE(A462, ""^https?://[^/]+"", """")"),"/wp-content/uploads/2024/12/Coyne_Greg-225x225.jpg")</f>
        <v>/wp-content/uploads/2024/12/Coyne_Greg-225x225.jpg</v>
      </c>
      <c r="F462" s="1" t="s">
        <v>1004</v>
      </c>
      <c r="G462" s="1">
        <v>200.0</v>
      </c>
      <c r="H462" s="1" t="s">
        <v>966</v>
      </c>
      <c r="I462" s="1" t="s">
        <v>967</v>
      </c>
      <c r="L462" s="1">
        <v>0.0</v>
      </c>
      <c r="M462" s="1">
        <v>0.0</v>
      </c>
      <c r="O462" s="1">
        <v>0.0</v>
      </c>
      <c r="P462" s="1">
        <v>0.0</v>
      </c>
      <c r="R462" s="1">
        <v>0.0</v>
      </c>
      <c r="S462" s="1">
        <v>0.0</v>
      </c>
      <c r="U462" s="1">
        <v>0.0</v>
      </c>
      <c r="W462" s="1">
        <v>0.0</v>
      </c>
      <c r="Y462" s="1">
        <v>0.0</v>
      </c>
      <c r="AA462" s="1">
        <v>0.0</v>
      </c>
      <c r="AC462" s="1">
        <v>0.0</v>
      </c>
      <c r="AM462" s="1">
        <v>8521.0</v>
      </c>
      <c r="AN462" s="1">
        <v>8521.0</v>
      </c>
      <c r="AO462" s="1">
        <v>8521.0</v>
      </c>
      <c r="AP462" s="1">
        <v>3.264</v>
      </c>
      <c r="AR462" s="1">
        <v>0.0</v>
      </c>
      <c r="AW462" s="1">
        <v>0.0</v>
      </c>
      <c r="AX462" s="1">
        <v>2.0</v>
      </c>
      <c r="AY462" s="1">
        <v>4.0</v>
      </c>
      <c r="BA462" s="1">
        <v>0.0</v>
      </c>
      <c r="BB462" s="1">
        <v>0.0</v>
      </c>
      <c r="BC462" s="1">
        <v>0.0</v>
      </c>
      <c r="BD462" s="1">
        <v>0.0</v>
      </c>
      <c r="BE462" s="1">
        <v>0.0</v>
      </c>
      <c r="BF462" s="1">
        <v>0.0</v>
      </c>
      <c r="BG462" s="1">
        <v>0.0</v>
      </c>
      <c r="BH462" s="1">
        <v>0.0</v>
      </c>
      <c r="BI462" s="1">
        <v>0.0</v>
      </c>
      <c r="BJ462" s="1">
        <v>0.0</v>
      </c>
      <c r="BP462" s="1">
        <v>0.273</v>
      </c>
      <c r="BQ462" s="1" t="s">
        <v>2177</v>
      </c>
      <c r="BV462" s="1">
        <v>1.1</v>
      </c>
      <c r="EQ462" s="9" t="s">
        <v>2176</v>
      </c>
      <c r="ER462" s="21">
        <v>46045.29850694445</v>
      </c>
    </row>
    <row r="463">
      <c r="A463" s="9" t="s">
        <v>2178</v>
      </c>
      <c r="B463" s="20" t="str">
        <f>IFERROR(__xludf.DUMMYFUNCTION("REGEXREPLACE(A463, ""^https?://[^/]+"", """")"),"/wp-content/uploads/2024/03/Lee-Scott-225x225.jpg")</f>
        <v>/wp-content/uploads/2024/03/Lee-Scott-225x225.jpg</v>
      </c>
      <c r="F463" s="1" t="s">
        <v>1004</v>
      </c>
      <c r="G463" s="1">
        <v>200.0</v>
      </c>
      <c r="H463" s="1" t="s">
        <v>966</v>
      </c>
      <c r="I463" s="1" t="s">
        <v>967</v>
      </c>
      <c r="L463" s="1">
        <v>0.0</v>
      </c>
      <c r="M463" s="1">
        <v>0.0</v>
      </c>
      <c r="O463" s="1">
        <v>0.0</v>
      </c>
      <c r="P463" s="1">
        <v>0.0</v>
      </c>
      <c r="R463" s="1">
        <v>0.0</v>
      </c>
      <c r="S463" s="1">
        <v>0.0</v>
      </c>
      <c r="U463" s="1">
        <v>0.0</v>
      </c>
      <c r="W463" s="1">
        <v>0.0</v>
      </c>
      <c r="Y463" s="1">
        <v>0.0</v>
      </c>
      <c r="AA463" s="1">
        <v>0.0</v>
      </c>
      <c r="AC463" s="1">
        <v>0.0</v>
      </c>
      <c r="AM463" s="1">
        <v>7967.0</v>
      </c>
      <c r="AN463" s="1">
        <v>7967.0</v>
      </c>
      <c r="AO463" s="1">
        <v>7967.0</v>
      </c>
      <c r="AP463" s="1">
        <v>3.052</v>
      </c>
      <c r="AR463" s="1">
        <v>0.0</v>
      </c>
      <c r="AW463" s="1">
        <v>0.0</v>
      </c>
      <c r="AX463" s="1">
        <v>2.0</v>
      </c>
      <c r="AY463" s="1">
        <v>4.0</v>
      </c>
      <c r="BA463" s="1">
        <v>0.0</v>
      </c>
      <c r="BB463" s="1">
        <v>0.0</v>
      </c>
      <c r="BC463" s="1">
        <v>0.0</v>
      </c>
      <c r="BD463" s="1">
        <v>0.0</v>
      </c>
      <c r="BE463" s="1">
        <v>0.0</v>
      </c>
      <c r="BF463" s="1">
        <v>0.0</v>
      </c>
      <c r="BG463" s="1">
        <v>0.0</v>
      </c>
      <c r="BH463" s="1">
        <v>0.0</v>
      </c>
      <c r="BI463" s="1">
        <v>0.0</v>
      </c>
      <c r="BJ463" s="1">
        <v>0.0</v>
      </c>
      <c r="BP463" s="1">
        <v>0.265</v>
      </c>
      <c r="BQ463" s="1" t="s">
        <v>2179</v>
      </c>
      <c r="BV463" s="1">
        <v>1.1</v>
      </c>
      <c r="EQ463" s="9" t="s">
        <v>2178</v>
      </c>
      <c r="ER463" s="21">
        <v>46045.29851851852</v>
      </c>
    </row>
    <row r="464">
      <c r="A464" s="9" t="s">
        <v>2180</v>
      </c>
      <c r="B464" s="20" t="str">
        <f>IFERROR(__xludf.DUMMYFUNCTION("REGEXREPLACE(A464, ""^https?://[^/]+"", """")"),"/wp-content/uploads/2024/11/Devlin_Andrew-225x225.jpg")</f>
        <v>/wp-content/uploads/2024/11/Devlin_Andrew-225x225.jpg</v>
      </c>
      <c r="F464" s="1" t="s">
        <v>1004</v>
      </c>
      <c r="G464" s="1">
        <v>200.0</v>
      </c>
      <c r="H464" s="1" t="s">
        <v>966</v>
      </c>
      <c r="I464" s="1" t="s">
        <v>967</v>
      </c>
      <c r="L464" s="1">
        <v>0.0</v>
      </c>
      <c r="M464" s="1">
        <v>0.0</v>
      </c>
      <c r="O464" s="1">
        <v>0.0</v>
      </c>
      <c r="P464" s="1">
        <v>0.0</v>
      </c>
      <c r="R464" s="1">
        <v>0.0</v>
      </c>
      <c r="S464" s="1">
        <v>0.0</v>
      </c>
      <c r="U464" s="1">
        <v>0.0</v>
      </c>
      <c r="W464" s="1">
        <v>0.0</v>
      </c>
      <c r="Y464" s="1">
        <v>0.0</v>
      </c>
      <c r="AA464" s="1">
        <v>0.0</v>
      </c>
      <c r="AC464" s="1">
        <v>0.0</v>
      </c>
      <c r="AM464" s="1">
        <v>8046.0</v>
      </c>
      <c r="AN464" s="1">
        <v>8046.0</v>
      </c>
      <c r="AO464" s="1">
        <v>8046.0</v>
      </c>
      <c r="AP464" s="1">
        <v>3.082</v>
      </c>
      <c r="AR464" s="1">
        <v>0.0</v>
      </c>
      <c r="AW464" s="1">
        <v>0.0</v>
      </c>
      <c r="AX464" s="1">
        <v>2.0</v>
      </c>
      <c r="AY464" s="1">
        <v>4.0</v>
      </c>
      <c r="BA464" s="1">
        <v>0.0</v>
      </c>
      <c r="BB464" s="1">
        <v>0.0</v>
      </c>
      <c r="BC464" s="1">
        <v>0.0</v>
      </c>
      <c r="BD464" s="1">
        <v>0.0</v>
      </c>
      <c r="BE464" s="1">
        <v>0.0</v>
      </c>
      <c r="BF464" s="1">
        <v>0.0</v>
      </c>
      <c r="BG464" s="1">
        <v>0.0</v>
      </c>
      <c r="BH464" s="1">
        <v>0.0</v>
      </c>
      <c r="BI464" s="1">
        <v>0.0</v>
      </c>
      <c r="BJ464" s="1">
        <v>0.0</v>
      </c>
      <c r="BP464" s="1">
        <v>0.282</v>
      </c>
      <c r="BQ464" s="1" t="s">
        <v>2181</v>
      </c>
      <c r="BV464" s="1">
        <v>1.1</v>
      </c>
      <c r="EQ464" s="9" t="s">
        <v>2180</v>
      </c>
      <c r="ER464" s="21">
        <v>46045.29851851852</v>
      </c>
    </row>
    <row r="465">
      <c r="A465" s="9" t="s">
        <v>2182</v>
      </c>
      <c r="B465" s="20" t="str">
        <f>IFERROR(__xludf.DUMMYFUNCTION("REGEXREPLACE(A465, ""^https?://[^/]+"", """")"),"/wp-content/uploads/2022/04/Mitchell-Paul-225x225.jpg")</f>
        <v>/wp-content/uploads/2022/04/Mitchell-Paul-225x225.jpg</v>
      </c>
      <c r="F465" s="1" t="s">
        <v>1004</v>
      </c>
      <c r="G465" s="1">
        <v>200.0</v>
      </c>
      <c r="H465" s="1" t="s">
        <v>966</v>
      </c>
      <c r="I465" s="1" t="s">
        <v>967</v>
      </c>
      <c r="L465" s="1">
        <v>0.0</v>
      </c>
      <c r="M465" s="1">
        <v>0.0</v>
      </c>
      <c r="O465" s="1">
        <v>0.0</v>
      </c>
      <c r="P465" s="1">
        <v>0.0</v>
      </c>
      <c r="R465" s="1">
        <v>0.0</v>
      </c>
      <c r="S465" s="1">
        <v>0.0</v>
      </c>
      <c r="U465" s="1">
        <v>0.0</v>
      </c>
      <c r="W465" s="1">
        <v>0.0</v>
      </c>
      <c r="Y465" s="1">
        <v>0.0</v>
      </c>
      <c r="AA465" s="1">
        <v>0.0</v>
      </c>
      <c r="AC465" s="1">
        <v>0.0</v>
      </c>
      <c r="AM465" s="1">
        <v>8030.0</v>
      </c>
      <c r="AN465" s="1">
        <v>8030.0</v>
      </c>
      <c r="AO465" s="1">
        <v>8030.0</v>
      </c>
      <c r="AP465" s="1">
        <v>3.076</v>
      </c>
      <c r="AR465" s="1">
        <v>0.0</v>
      </c>
      <c r="AW465" s="1">
        <v>0.0</v>
      </c>
      <c r="AX465" s="1">
        <v>2.0</v>
      </c>
      <c r="AY465" s="1">
        <v>4.0</v>
      </c>
      <c r="BA465" s="1">
        <v>0.0</v>
      </c>
      <c r="BB465" s="1">
        <v>0.0</v>
      </c>
      <c r="BC465" s="1">
        <v>0.0</v>
      </c>
      <c r="BD465" s="1">
        <v>0.0</v>
      </c>
      <c r="BE465" s="1">
        <v>0.0</v>
      </c>
      <c r="BF465" s="1">
        <v>0.0</v>
      </c>
      <c r="BG465" s="1">
        <v>0.0</v>
      </c>
      <c r="BH465" s="1">
        <v>0.0</v>
      </c>
      <c r="BI465" s="1">
        <v>0.0</v>
      </c>
      <c r="BJ465" s="1">
        <v>0.0</v>
      </c>
      <c r="BP465" s="1">
        <v>0.268</v>
      </c>
      <c r="BQ465" s="1" t="s">
        <v>2183</v>
      </c>
      <c r="BV465" s="1">
        <v>1.1</v>
      </c>
      <c r="EQ465" s="9" t="s">
        <v>2182</v>
      </c>
      <c r="ER465" s="21">
        <v>46045.298530092594</v>
      </c>
    </row>
    <row r="466">
      <c r="A466" s="9" t="s">
        <v>2184</v>
      </c>
      <c r="B466" s="20" t="str">
        <f>IFERROR(__xludf.DUMMYFUNCTION("REGEXREPLACE(A466, ""^https?://[^/]+"", """")"),"/wp-content/uploads/2022/04/Yenke-Kathy-225x225.jpg")</f>
        <v>/wp-content/uploads/2022/04/Yenke-Kathy-225x225.jpg</v>
      </c>
      <c r="F466" s="1" t="s">
        <v>1004</v>
      </c>
      <c r="G466" s="1">
        <v>200.0</v>
      </c>
      <c r="H466" s="1" t="s">
        <v>966</v>
      </c>
      <c r="I466" s="1" t="s">
        <v>967</v>
      </c>
      <c r="L466" s="1">
        <v>0.0</v>
      </c>
      <c r="M466" s="1">
        <v>0.0</v>
      </c>
      <c r="O466" s="1">
        <v>0.0</v>
      </c>
      <c r="P466" s="1">
        <v>0.0</v>
      </c>
      <c r="R466" s="1">
        <v>0.0</v>
      </c>
      <c r="S466" s="1">
        <v>0.0</v>
      </c>
      <c r="U466" s="1">
        <v>0.0</v>
      </c>
      <c r="W466" s="1">
        <v>0.0</v>
      </c>
      <c r="Y466" s="1">
        <v>0.0</v>
      </c>
      <c r="AA466" s="1">
        <v>0.0</v>
      </c>
      <c r="AC466" s="1">
        <v>0.0</v>
      </c>
      <c r="AM466" s="1">
        <v>9314.0</v>
      </c>
      <c r="AN466" s="1">
        <v>9314.0</v>
      </c>
      <c r="AO466" s="1">
        <v>9314.0</v>
      </c>
      <c r="AP466" s="1">
        <v>3.568</v>
      </c>
      <c r="AR466" s="1">
        <v>0.0</v>
      </c>
      <c r="AW466" s="1">
        <v>0.0</v>
      </c>
      <c r="AX466" s="1">
        <v>2.0</v>
      </c>
      <c r="AY466" s="1">
        <v>4.0</v>
      </c>
      <c r="BA466" s="1">
        <v>0.0</v>
      </c>
      <c r="BB466" s="1">
        <v>0.0</v>
      </c>
      <c r="BC466" s="1">
        <v>0.0</v>
      </c>
      <c r="BD466" s="1">
        <v>0.0</v>
      </c>
      <c r="BE466" s="1">
        <v>0.0</v>
      </c>
      <c r="BF466" s="1">
        <v>0.0</v>
      </c>
      <c r="BG466" s="1">
        <v>0.0</v>
      </c>
      <c r="BH466" s="1">
        <v>0.0</v>
      </c>
      <c r="BI466" s="1">
        <v>0.0</v>
      </c>
      <c r="BJ466" s="1">
        <v>0.0</v>
      </c>
      <c r="BP466" s="1">
        <v>0.264</v>
      </c>
      <c r="BQ466" s="1" t="s">
        <v>2185</v>
      </c>
      <c r="BV466" s="1">
        <v>1.1</v>
      </c>
      <c r="EQ466" s="9" t="s">
        <v>2184</v>
      </c>
      <c r="ER466" s="21">
        <v>46045.298530092594</v>
      </c>
    </row>
    <row r="467">
      <c r="A467" s="9" t="s">
        <v>2186</v>
      </c>
      <c r="B467" s="20" t="str">
        <f>IFERROR(__xludf.DUMMYFUNCTION("REGEXREPLACE(A467, ""^https?://[^/]+"", """")"),"/wp-content/uploads/2025/10/Haas_Rebecca-225x225.jpg")</f>
        <v>/wp-content/uploads/2025/10/Haas_Rebecca-225x225.jpg</v>
      </c>
      <c r="F467" s="1" t="s">
        <v>1004</v>
      </c>
      <c r="G467" s="1">
        <v>200.0</v>
      </c>
      <c r="H467" s="1" t="s">
        <v>966</v>
      </c>
      <c r="I467" s="1" t="s">
        <v>967</v>
      </c>
      <c r="L467" s="1">
        <v>0.0</v>
      </c>
      <c r="M467" s="1">
        <v>0.0</v>
      </c>
      <c r="O467" s="1">
        <v>0.0</v>
      </c>
      <c r="P467" s="1">
        <v>0.0</v>
      </c>
      <c r="R467" s="1">
        <v>0.0</v>
      </c>
      <c r="S467" s="1">
        <v>0.0</v>
      </c>
      <c r="U467" s="1">
        <v>0.0</v>
      </c>
      <c r="W467" s="1">
        <v>0.0</v>
      </c>
      <c r="Y467" s="1">
        <v>0.0</v>
      </c>
      <c r="AA467" s="1">
        <v>0.0</v>
      </c>
      <c r="AC467" s="1">
        <v>0.0</v>
      </c>
      <c r="AM467" s="1">
        <v>12071.0</v>
      </c>
      <c r="AN467" s="1">
        <v>12071.0</v>
      </c>
      <c r="AO467" s="1">
        <v>12071.0</v>
      </c>
      <c r="AP467" s="1">
        <v>4.624</v>
      </c>
      <c r="AR467" s="1">
        <v>0.0</v>
      </c>
      <c r="AW467" s="1">
        <v>0.0</v>
      </c>
      <c r="AX467" s="1">
        <v>2.0</v>
      </c>
      <c r="AY467" s="1">
        <v>4.0</v>
      </c>
      <c r="BA467" s="1">
        <v>0.0</v>
      </c>
      <c r="BB467" s="1">
        <v>0.0</v>
      </c>
      <c r="BC467" s="1">
        <v>0.0</v>
      </c>
      <c r="BD467" s="1">
        <v>0.0</v>
      </c>
      <c r="BE467" s="1">
        <v>0.0</v>
      </c>
      <c r="BF467" s="1">
        <v>0.0</v>
      </c>
      <c r="BG467" s="1">
        <v>0.0</v>
      </c>
      <c r="BH467" s="1">
        <v>0.0</v>
      </c>
      <c r="BI467" s="1">
        <v>0.0</v>
      </c>
      <c r="BJ467" s="1">
        <v>0.0</v>
      </c>
      <c r="BP467" s="1">
        <v>0.27</v>
      </c>
      <c r="BQ467" s="1" t="s">
        <v>2187</v>
      </c>
      <c r="BV467" s="1">
        <v>1.1</v>
      </c>
      <c r="EQ467" s="9" t="s">
        <v>2186</v>
      </c>
      <c r="ER467" s="21">
        <v>46045.298530092594</v>
      </c>
    </row>
    <row r="468">
      <c r="A468" s="9" t="s">
        <v>2188</v>
      </c>
      <c r="B468" s="20" t="str">
        <f>IFERROR(__xludf.DUMMYFUNCTION("REGEXREPLACE(A468, ""^https?://[^/]+"", """")"),"/wp-content/uploads/2022/04/Torr-John-225x225.jpg")</f>
        <v>/wp-content/uploads/2022/04/Torr-John-225x225.jpg</v>
      </c>
      <c r="F468" s="1" t="s">
        <v>1004</v>
      </c>
      <c r="G468" s="1">
        <v>200.0</v>
      </c>
      <c r="H468" s="1" t="s">
        <v>966</v>
      </c>
      <c r="I468" s="1" t="s">
        <v>967</v>
      </c>
      <c r="L468" s="1">
        <v>0.0</v>
      </c>
      <c r="M468" s="1">
        <v>0.0</v>
      </c>
      <c r="O468" s="1">
        <v>0.0</v>
      </c>
      <c r="P468" s="1">
        <v>0.0</v>
      </c>
      <c r="R468" s="1">
        <v>0.0</v>
      </c>
      <c r="S468" s="1">
        <v>0.0</v>
      </c>
      <c r="U468" s="1">
        <v>0.0</v>
      </c>
      <c r="W468" s="1">
        <v>0.0</v>
      </c>
      <c r="Y468" s="1">
        <v>0.0</v>
      </c>
      <c r="AA468" s="1">
        <v>0.0</v>
      </c>
      <c r="AC468" s="1">
        <v>0.0</v>
      </c>
      <c r="AM468" s="1">
        <v>7777.0</v>
      </c>
      <c r="AN468" s="1">
        <v>7777.0</v>
      </c>
      <c r="AO468" s="1">
        <v>7777.0</v>
      </c>
      <c r="AP468" s="1">
        <v>2.979</v>
      </c>
      <c r="AR468" s="1">
        <v>0.0</v>
      </c>
      <c r="AW468" s="1">
        <v>0.0</v>
      </c>
      <c r="AX468" s="1">
        <v>2.0</v>
      </c>
      <c r="AY468" s="1">
        <v>4.0</v>
      </c>
      <c r="BA468" s="1">
        <v>0.0</v>
      </c>
      <c r="BB468" s="1">
        <v>0.0</v>
      </c>
      <c r="BC468" s="1">
        <v>0.0</v>
      </c>
      <c r="BD468" s="1">
        <v>0.0</v>
      </c>
      <c r="BE468" s="1">
        <v>0.0</v>
      </c>
      <c r="BF468" s="1">
        <v>0.0</v>
      </c>
      <c r="BG468" s="1">
        <v>0.0</v>
      </c>
      <c r="BH468" s="1">
        <v>0.0</v>
      </c>
      <c r="BI468" s="1">
        <v>0.0</v>
      </c>
      <c r="BJ468" s="1">
        <v>0.0</v>
      </c>
      <c r="BP468" s="1">
        <v>0.27</v>
      </c>
      <c r="BQ468" s="1" t="s">
        <v>2189</v>
      </c>
      <c r="BV468" s="1">
        <v>1.1</v>
      </c>
      <c r="EQ468" s="9" t="s">
        <v>2188</v>
      </c>
      <c r="ER468" s="21">
        <v>46045.29854166666</v>
      </c>
    </row>
    <row r="469">
      <c r="A469" s="9" t="s">
        <v>2190</v>
      </c>
      <c r="B469" s="20" t="str">
        <f>IFERROR(__xludf.DUMMYFUNCTION("REGEXREPLACE(A469, ""^https?://[^/]+"", """")"),"/wp-content/uploads/2022/04/Jones-David-275x275-1-225x225.jpg")</f>
        <v>/wp-content/uploads/2022/04/Jones-David-275x275-1-225x225.jpg</v>
      </c>
      <c r="F469" s="1" t="s">
        <v>1004</v>
      </c>
      <c r="G469" s="1">
        <v>200.0</v>
      </c>
      <c r="H469" s="1" t="s">
        <v>966</v>
      </c>
      <c r="I469" s="1" t="s">
        <v>967</v>
      </c>
      <c r="L469" s="1">
        <v>0.0</v>
      </c>
      <c r="M469" s="1">
        <v>0.0</v>
      </c>
      <c r="O469" s="1">
        <v>0.0</v>
      </c>
      <c r="P469" s="1">
        <v>0.0</v>
      </c>
      <c r="R469" s="1">
        <v>0.0</v>
      </c>
      <c r="S469" s="1">
        <v>0.0</v>
      </c>
      <c r="U469" s="1">
        <v>0.0</v>
      </c>
      <c r="W469" s="1">
        <v>0.0</v>
      </c>
      <c r="Y469" s="1">
        <v>0.0</v>
      </c>
      <c r="AA469" s="1">
        <v>0.0</v>
      </c>
      <c r="AC469" s="1">
        <v>0.0</v>
      </c>
      <c r="AM469" s="1">
        <v>8577.0</v>
      </c>
      <c r="AN469" s="1">
        <v>8577.0</v>
      </c>
      <c r="AO469" s="1">
        <v>8577.0</v>
      </c>
      <c r="AP469" s="1">
        <v>3.286</v>
      </c>
      <c r="AR469" s="1">
        <v>0.0</v>
      </c>
      <c r="AW469" s="1">
        <v>0.0</v>
      </c>
      <c r="AX469" s="1">
        <v>2.0</v>
      </c>
      <c r="AY469" s="1">
        <v>4.0</v>
      </c>
      <c r="BA469" s="1">
        <v>0.0</v>
      </c>
      <c r="BB469" s="1">
        <v>0.0</v>
      </c>
      <c r="BC469" s="1">
        <v>0.0</v>
      </c>
      <c r="BD469" s="1">
        <v>0.0</v>
      </c>
      <c r="BE469" s="1">
        <v>0.0</v>
      </c>
      <c r="BF469" s="1">
        <v>0.0</v>
      </c>
      <c r="BG469" s="1">
        <v>0.0</v>
      </c>
      <c r="BH469" s="1">
        <v>0.0</v>
      </c>
      <c r="BI469" s="1">
        <v>0.0</v>
      </c>
      <c r="BJ469" s="1">
        <v>0.0</v>
      </c>
      <c r="BP469" s="1">
        <v>0.262</v>
      </c>
      <c r="BQ469" s="1" t="s">
        <v>2191</v>
      </c>
      <c r="BV469" s="1">
        <v>1.1</v>
      </c>
      <c r="EQ469" s="9" t="s">
        <v>2190</v>
      </c>
      <c r="ER469" s="21">
        <v>46045.29854166666</v>
      </c>
    </row>
    <row r="470">
      <c r="A470" s="9" t="s">
        <v>2192</v>
      </c>
      <c r="B470" s="20" t="str">
        <f>IFERROR(__xludf.DUMMYFUNCTION("REGEXREPLACE(A470, ""^https?://[^/]+"", """")"),"/wp-content/uploads/2025/03/Phillips_Brent-225x225.jpg")</f>
        <v>/wp-content/uploads/2025/03/Phillips_Brent-225x225.jpg</v>
      </c>
      <c r="F470" s="1" t="s">
        <v>1004</v>
      </c>
      <c r="G470" s="1">
        <v>200.0</v>
      </c>
      <c r="H470" s="1" t="s">
        <v>966</v>
      </c>
      <c r="I470" s="1" t="s">
        <v>967</v>
      </c>
      <c r="L470" s="1">
        <v>0.0</v>
      </c>
      <c r="M470" s="1">
        <v>0.0</v>
      </c>
      <c r="O470" s="1">
        <v>0.0</v>
      </c>
      <c r="P470" s="1">
        <v>0.0</v>
      </c>
      <c r="R470" s="1">
        <v>0.0</v>
      </c>
      <c r="S470" s="1">
        <v>0.0</v>
      </c>
      <c r="U470" s="1">
        <v>0.0</v>
      </c>
      <c r="W470" s="1">
        <v>0.0</v>
      </c>
      <c r="Y470" s="1">
        <v>0.0</v>
      </c>
      <c r="AA470" s="1">
        <v>0.0</v>
      </c>
      <c r="AC470" s="1">
        <v>0.0</v>
      </c>
      <c r="AM470" s="1">
        <v>9618.0</v>
      </c>
      <c r="AN470" s="1">
        <v>9618.0</v>
      </c>
      <c r="AO470" s="1">
        <v>9618.0</v>
      </c>
      <c r="AP470" s="1">
        <v>3.684</v>
      </c>
      <c r="AR470" s="1">
        <v>0.0</v>
      </c>
      <c r="AW470" s="1">
        <v>0.0</v>
      </c>
      <c r="AX470" s="1">
        <v>2.0</v>
      </c>
      <c r="AY470" s="1">
        <v>4.0</v>
      </c>
      <c r="BA470" s="1">
        <v>0.0</v>
      </c>
      <c r="BB470" s="1">
        <v>0.0</v>
      </c>
      <c r="BC470" s="1">
        <v>0.0</v>
      </c>
      <c r="BD470" s="1">
        <v>0.0</v>
      </c>
      <c r="BE470" s="1">
        <v>0.0</v>
      </c>
      <c r="BF470" s="1">
        <v>0.0</v>
      </c>
      <c r="BG470" s="1">
        <v>0.0</v>
      </c>
      <c r="BH470" s="1">
        <v>0.0</v>
      </c>
      <c r="BI470" s="1">
        <v>0.0</v>
      </c>
      <c r="BJ470" s="1">
        <v>0.0</v>
      </c>
      <c r="BP470" s="1">
        <v>0.269</v>
      </c>
      <c r="BQ470" s="1" t="s">
        <v>2193</v>
      </c>
      <c r="BV470" s="1">
        <v>1.1</v>
      </c>
      <c r="EQ470" s="9" t="s">
        <v>2192</v>
      </c>
      <c r="ER470" s="21">
        <v>46045.29855324074</v>
      </c>
    </row>
    <row r="471">
      <c r="A471" s="9" t="s">
        <v>2194</v>
      </c>
      <c r="B471" s="20" t="str">
        <f>IFERROR(__xludf.DUMMYFUNCTION("REGEXREPLACE(A471, ""^https?://[^/]+"", """")"),"/wp-content/uploads/2023/07/Hubbard_Kenneth-225x225.jpg")</f>
        <v>/wp-content/uploads/2023/07/Hubbard_Kenneth-225x225.jpg</v>
      </c>
      <c r="F471" s="1" t="s">
        <v>1004</v>
      </c>
      <c r="G471" s="1">
        <v>200.0</v>
      </c>
      <c r="H471" s="1" t="s">
        <v>966</v>
      </c>
      <c r="I471" s="1" t="s">
        <v>967</v>
      </c>
      <c r="L471" s="1">
        <v>0.0</v>
      </c>
      <c r="M471" s="1">
        <v>0.0</v>
      </c>
      <c r="O471" s="1">
        <v>0.0</v>
      </c>
      <c r="P471" s="1">
        <v>0.0</v>
      </c>
      <c r="R471" s="1">
        <v>0.0</v>
      </c>
      <c r="S471" s="1">
        <v>0.0</v>
      </c>
      <c r="U471" s="1">
        <v>0.0</v>
      </c>
      <c r="W471" s="1">
        <v>0.0</v>
      </c>
      <c r="Y471" s="1">
        <v>0.0</v>
      </c>
      <c r="AA471" s="1">
        <v>0.0</v>
      </c>
      <c r="AC471" s="1">
        <v>0.0</v>
      </c>
      <c r="AM471" s="1">
        <v>8764.0</v>
      </c>
      <c r="AN471" s="1">
        <v>8764.0</v>
      </c>
      <c r="AO471" s="1">
        <v>8764.0</v>
      </c>
      <c r="AP471" s="1">
        <v>3.357</v>
      </c>
      <c r="AR471" s="1">
        <v>0.0</v>
      </c>
      <c r="AW471" s="1">
        <v>0.0</v>
      </c>
      <c r="AX471" s="1">
        <v>2.0</v>
      </c>
      <c r="AY471" s="1">
        <v>4.0</v>
      </c>
      <c r="BA471" s="1">
        <v>0.0</v>
      </c>
      <c r="BB471" s="1">
        <v>0.0</v>
      </c>
      <c r="BC471" s="1">
        <v>0.0</v>
      </c>
      <c r="BD471" s="1">
        <v>0.0</v>
      </c>
      <c r="BE471" s="1">
        <v>0.0</v>
      </c>
      <c r="BF471" s="1">
        <v>0.0</v>
      </c>
      <c r="BG471" s="1">
        <v>0.0</v>
      </c>
      <c r="BH471" s="1">
        <v>0.0</v>
      </c>
      <c r="BI471" s="1">
        <v>0.0</v>
      </c>
      <c r="BJ471" s="1">
        <v>0.0</v>
      </c>
      <c r="BP471" s="1">
        <v>0.259</v>
      </c>
      <c r="BQ471" s="1" t="s">
        <v>2195</v>
      </c>
      <c r="BV471" s="1">
        <v>1.1</v>
      </c>
      <c r="EQ471" s="9" t="s">
        <v>2194</v>
      </c>
      <c r="ER471" s="21">
        <v>46045.29855324074</v>
      </c>
    </row>
    <row r="472">
      <c r="A472" s="9" t="s">
        <v>2196</v>
      </c>
      <c r="B472" s="20" t="str">
        <f>IFERROR(__xludf.DUMMYFUNCTION("REGEXREPLACE(A472, ""^https?://[^/]+"", """")"),"/wp-content/uploads/2017/01/Stephens-John-275x275-1-225x225.jpg")</f>
        <v>/wp-content/uploads/2017/01/Stephens-John-275x275-1-225x225.jpg</v>
      </c>
      <c r="F472" s="1" t="s">
        <v>1004</v>
      </c>
      <c r="G472" s="1">
        <v>200.0</v>
      </c>
      <c r="H472" s="1" t="s">
        <v>966</v>
      </c>
      <c r="I472" s="1" t="s">
        <v>967</v>
      </c>
      <c r="L472" s="1">
        <v>0.0</v>
      </c>
      <c r="M472" s="1">
        <v>0.0</v>
      </c>
      <c r="O472" s="1">
        <v>0.0</v>
      </c>
      <c r="P472" s="1">
        <v>0.0</v>
      </c>
      <c r="R472" s="1">
        <v>0.0</v>
      </c>
      <c r="S472" s="1">
        <v>0.0</v>
      </c>
      <c r="U472" s="1">
        <v>0.0</v>
      </c>
      <c r="W472" s="1">
        <v>0.0</v>
      </c>
      <c r="Y472" s="1">
        <v>0.0</v>
      </c>
      <c r="AA472" s="1">
        <v>0.0</v>
      </c>
      <c r="AC472" s="1">
        <v>0.0</v>
      </c>
      <c r="AM472" s="1">
        <v>9745.0</v>
      </c>
      <c r="AN472" s="1">
        <v>9745.0</v>
      </c>
      <c r="AO472" s="1">
        <v>9745.0</v>
      </c>
      <c r="AP472" s="1">
        <v>3.733</v>
      </c>
      <c r="AR472" s="1">
        <v>0.0</v>
      </c>
      <c r="AW472" s="1">
        <v>0.0</v>
      </c>
      <c r="AX472" s="1">
        <v>2.0</v>
      </c>
      <c r="AY472" s="1">
        <v>4.0</v>
      </c>
      <c r="BA472" s="1">
        <v>0.0</v>
      </c>
      <c r="BB472" s="1">
        <v>0.0</v>
      </c>
      <c r="BC472" s="1">
        <v>0.0</v>
      </c>
      <c r="BD472" s="1">
        <v>0.0</v>
      </c>
      <c r="BE472" s="1">
        <v>0.0</v>
      </c>
      <c r="BF472" s="1">
        <v>0.0</v>
      </c>
      <c r="BG472" s="1">
        <v>0.0</v>
      </c>
      <c r="BH472" s="1">
        <v>0.0</v>
      </c>
      <c r="BI472" s="1">
        <v>0.0</v>
      </c>
      <c r="BJ472" s="1">
        <v>0.0</v>
      </c>
      <c r="BP472" s="1">
        <v>0.268</v>
      </c>
      <c r="BQ472" s="1" t="s">
        <v>2197</v>
      </c>
      <c r="BV472" s="1">
        <v>1.1</v>
      </c>
      <c r="EQ472" s="9" t="s">
        <v>2196</v>
      </c>
      <c r="ER472" s="21">
        <v>46045.29855324074</v>
      </c>
    </row>
    <row r="473">
      <c r="A473" s="9" t="s">
        <v>2198</v>
      </c>
      <c r="B473" s="20" t="str">
        <f>IFERROR(__xludf.DUMMYFUNCTION("REGEXREPLACE(A473, ""^https?://[^/]+"", """")"),"/wp-content/uploads/2023/04/Beall_Bishop-225x225.jpg")</f>
        <v>/wp-content/uploads/2023/04/Beall_Bishop-225x225.jpg</v>
      </c>
      <c r="F473" s="1" t="s">
        <v>1004</v>
      </c>
      <c r="G473" s="1">
        <v>200.0</v>
      </c>
      <c r="H473" s="1" t="s">
        <v>966</v>
      </c>
      <c r="I473" s="1" t="s">
        <v>967</v>
      </c>
      <c r="L473" s="1">
        <v>0.0</v>
      </c>
      <c r="M473" s="1">
        <v>0.0</v>
      </c>
      <c r="O473" s="1">
        <v>0.0</v>
      </c>
      <c r="P473" s="1">
        <v>0.0</v>
      </c>
      <c r="R473" s="1">
        <v>0.0</v>
      </c>
      <c r="S473" s="1">
        <v>0.0</v>
      </c>
      <c r="U473" s="1">
        <v>0.0</v>
      </c>
      <c r="W473" s="1">
        <v>0.0</v>
      </c>
      <c r="Y473" s="1">
        <v>0.0</v>
      </c>
      <c r="AA473" s="1">
        <v>0.0</v>
      </c>
      <c r="AC473" s="1">
        <v>0.0</v>
      </c>
      <c r="AM473" s="1">
        <v>9642.0</v>
      </c>
      <c r="AN473" s="1">
        <v>9642.0</v>
      </c>
      <c r="AO473" s="1">
        <v>9642.0</v>
      </c>
      <c r="AP473" s="1">
        <v>3.694</v>
      </c>
      <c r="AR473" s="1">
        <v>0.0</v>
      </c>
      <c r="AW473" s="1">
        <v>0.0</v>
      </c>
      <c r="AX473" s="1">
        <v>2.0</v>
      </c>
      <c r="AY473" s="1">
        <v>4.0</v>
      </c>
      <c r="BA473" s="1">
        <v>0.0</v>
      </c>
      <c r="BB473" s="1">
        <v>0.0</v>
      </c>
      <c r="BC473" s="1">
        <v>0.0</v>
      </c>
      <c r="BD473" s="1">
        <v>0.0</v>
      </c>
      <c r="BE473" s="1">
        <v>0.0</v>
      </c>
      <c r="BF473" s="1">
        <v>0.0</v>
      </c>
      <c r="BG473" s="1">
        <v>0.0</v>
      </c>
      <c r="BH473" s="1">
        <v>0.0</v>
      </c>
      <c r="BI473" s="1">
        <v>0.0</v>
      </c>
      <c r="BJ473" s="1">
        <v>0.0</v>
      </c>
      <c r="BP473" s="1">
        <v>0.271</v>
      </c>
      <c r="BQ473" s="1" t="s">
        <v>2199</v>
      </c>
      <c r="BV473" s="1">
        <v>1.1</v>
      </c>
      <c r="EQ473" s="9" t="s">
        <v>2198</v>
      </c>
      <c r="ER473" s="21">
        <v>46045.29856481482</v>
      </c>
    </row>
    <row r="474">
      <c r="A474" s="9" t="s">
        <v>2200</v>
      </c>
      <c r="B474" s="20" t="str">
        <f>IFERROR(__xludf.DUMMYFUNCTION("REGEXREPLACE(A474, ""^https?://[^/]+"", """")"),"/wp-content/uploads/2017/01/Cocca_Chris-225x225.jpg")</f>
        <v>/wp-content/uploads/2017/01/Cocca_Chris-225x225.jpg</v>
      </c>
      <c r="F474" s="1" t="s">
        <v>1004</v>
      </c>
      <c r="G474" s="1">
        <v>200.0</v>
      </c>
      <c r="H474" s="1" t="s">
        <v>966</v>
      </c>
      <c r="I474" s="1" t="s">
        <v>967</v>
      </c>
      <c r="L474" s="1">
        <v>0.0</v>
      </c>
      <c r="M474" s="1">
        <v>0.0</v>
      </c>
      <c r="O474" s="1">
        <v>0.0</v>
      </c>
      <c r="P474" s="1">
        <v>0.0</v>
      </c>
      <c r="R474" s="1">
        <v>0.0</v>
      </c>
      <c r="S474" s="1">
        <v>0.0</v>
      </c>
      <c r="U474" s="1">
        <v>0.0</v>
      </c>
      <c r="W474" s="1">
        <v>0.0</v>
      </c>
      <c r="Y474" s="1">
        <v>0.0</v>
      </c>
      <c r="AA474" s="1">
        <v>0.0</v>
      </c>
      <c r="AC474" s="1">
        <v>0.0</v>
      </c>
      <c r="AM474" s="1">
        <v>9227.0</v>
      </c>
      <c r="AN474" s="1">
        <v>9227.0</v>
      </c>
      <c r="AO474" s="1">
        <v>9227.0</v>
      </c>
      <c r="AP474" s="1">
        <v>3.535</v>
      </c>
      <c r="AR474" s="1">
        <v>0.0</v>
      </c>
      <c r="AW474" s="1">
        <v>0.0</v>
      </c>
      <c r="AX474" s="1">
        <v>2.0</v>
      </c>
      <c r="AY474" s="1">
        <v>4.0</v>
      </c>
      <c r="BA474" s="1">
        <v>0.0</v>
      </c>
      <c r="BB474" s="1">
        <v>0.0</v>
      </c>
      <c r="BC474" s="1">
        <v>0.0</v>
      </c>
      <c r="BD474" s="1">
        <v>0.0</v>
      </c>
      <c r="BE474" s="1">
        <v>0.0</v>
      </c>
      <c r="BF474" s="1">
        <v>0.0</v>
      </c>
      <c r="BG474" s="1">
        <v>0.0</v>
      </c>
      <c r="BH474" s="1">
        <v>0.0</v>
      </c>
      <c r="BI474" s="1">
        <v>0.0</v>
      </c>
      <c r="BJ474" s="1">
        <v>0.0</v>
      </c>
      <c r="BP474" s="1">
        <v>0.269</v>
      </c>
      <c r="BQ474" s="1" t="s">
        <v>2201</v>
      </c>
      <c r="BV474" s="1">
        <v>1.1</v>
      </c>
      <c r="EQ474" s="9" t="s">
        <v>2200</v>
      </c>
      <c r="ER474" s="21">
        <v>46045.29856481482</v>
      </c>
    </row>
    <row r="475">
      <c r="A475" s="9" t="s">
        <v>2202</v>
      </c>
      <c r="B475" s="20" t="str">
        <f>IFERROR(__xludf.DUMMYFUNCTION("REGEXREPLACE(A475, ""^https?://[^/]+"", """")"),"/wp-content/uploads/2022/04/Tkaczyk-Rick-275x275-1-225x225.jpg")</f>
        <v>/wp-content/uploads/2022/04/Tkaczyk-Rick-275x275-1-225x225.jpg</v>
      </c>
      <c r="F475" s="1" t="s">
        <v>1004</v>
      </c>
      <c r="G475" s="1">
        <v>200.0</v>
      </c>
      <c r="H475" s="1" t="s">
        <v>966</v>
      </c>
      <c r="I475" s="1" t="s">
        <v>967</v>
      </c>
      <c r="L475" s="1">
        <v>0.0</v>
      </c>
      <c r="M475" s="1">
        <v>0.0</v>
      </c>
      <c r="O475" s="1">
        <v>0.0</v>
      </c>
      <c r="P475" s="1">
        <v>0.0</v>
      </c>
      <c r="R475" s="1">
        <v>0.0</v>
      </c>
      <c r="S475" s="1">
        <v>0.0</v>
      </c>
      <c r="U475" s="1">
        <v>0.0</v>
      </c>
      <c r="W475" s="1">
        <v>0.0</v>
      </c>
      <c r="Y475" s="1">
        <v>0.0</v>
      </c>
      <c r="AA475" s="1">
        <v>0.0</v>
      </c>
      <c r="AC475" s="1">
        <v>0.0</v>
      </c>
      <c r="AM475" s="1">
        <v>7525.0</v>
      </c>
      <c r="AN475" s="1">
        <v>7525.0</v>
      </c>
      <c r="AO475" s="1">
        <v>7525.0</v>
      </c>
      <c r="AP475" s="1">
        <v>2.883</v>
      </c>
      <c r="AR475" s="1">
        <v>0.0</v>
      </c>
      <c r="AW475" s="1">
        <v>0.0</v>
      </c>
      <c r="AX475" s="1">
        <v>2.0</v>
      </c>
      <c r="AY475" s="1">
        <v>4.0</v>
      </c>
      <c r="BA475" s="1">
        <v>0.0</v>
      </c>
      <c r="BB475" s="1">
        <v>0.0</v>
      </c>
      <c r="BC475" s="1">
        <v>0.0</v>
      </c>
      <c r="BD475" s="1">
        <v>0.0</v>
      </c>
      <c r="BE475" s="1">
        <v>0.0</v>
      </c>
      <c r="BF475" s="1">
        <v>0.0</v>
      </c>
      <c r="BG475" s="1">
        <v>0.0</v>
      </c>
      <c r="BH475" s="1">
        <v>0.0</v>
      </c>
      <c r="BI475" s="1">
        <v>0.0</v>
      </c>
      <c r="BJ475" s="1">
        <v>0.0</v>
      </c>
      <c r="BP475" s="1">
        <v>0.272</v>
      </c>
      <c r="BQ475" s="1" t="s">
        <v>2203</v>
      </c>
      <c r="BV475" s="1">
        <v>1.1</v>
      </c>
      <c r="EQ475" s="9" t="s">
        <v>2202</v>
      </c>
      <c r="ER475" s="21">
        <v>46045.29856481482</v>
      </c>
    </row>
    <row r="476">
      <c r="A476" s="9" t="s">
        <v>2204</v>
      </c>
      <c r="B476" s="20" t="str">
        <f>IFERROR(__xludf.DUMMYFUNCTION("REGEXREPLACE(A476, ""^https?://[^/]+"", """")"),"/wp-content/uploads/2022/04/Oser-Gregg-275x275-1-225x225.jpg")</f>
        <v>/wp-content/uploads/2022/04/Oser-Gregg-275x275-1-225x225.jpg</v>
      </c>
      <c r="F476" s="1" t="s">
        <v>1004</v>
      </c>
      <c r="G476" s="1">
        <v>200.0</v>
      </c>
      <c r="H476" s="1" t="s">
        <v>966</v>
      </c>
      <c r="I476" s="1" t="s">
        <v>967</v>
      </c>
      <c r="L476" s="1">
        <v>0.0</v>
      </c>
      <c r="M476" s="1">
        <v>0.0</v>
      </c>
      <c r="O476" s="1">
        <v>0.0</v>
      </c>
      <c r="P476" s="1">
        <v>0.0</v>
      </c>
      <c r="R476" s="1">
        <v>0.0</v>
      </c>
      <c r="S476" s="1">
        <v>0.0</v>
      </c>
      <c r="U476" s="1">
        <v>0.0</v>
      </c>
      <c r="W476" s="1">
        <v>0.0</v>
      </c>
      <c r="Y476" s="1">
        <v>0.0</v>
      </c>
      <c r="AA476" s="1">
        <v>0.0</v>
      </c>
      <c r="AC476" s="1">
        <v>0.0</v>
      </c>
      <c r="AM476" s="1">
        <v>8640.0</v>
      </c>
      <c r="AN476" s="1">
        <v>8640.0</v>
      </c>
      <c r="AO476" s="1">
        <v>8640.0</v>
      </c>
      <c r="AP476" s="1">
        <v>3.31</v>
      </c>
      <c r="AR476" s="1">
        <v>0.0</v>
      </c>
      <c r="AW476" s="1">
        <v>0.0</v>
      </c>
      <c r="AX476" s="1">
        <v>2.0</v>
      </c>
      <c r="AY476" s="1">
        <v>4.0</v>
      </c>
      <c r="BA476" s="1">
        <v>0.0</v>
      </c>
      <c r="BB476" s="1">
        <v>0.0</v>
      </c>
      <c r="BC476" s="1">
        <v>0.0</v>
      </c>
      <c r="BD476" s="1">
        <v>0.0</v>
      </c>
      <c r="BE476" s="1">
        <v>0.0</v>
      </c>
      <c r="BF476" s="1">
        <v>0.0</v>
      </c>
      <c r="BG476" s="1">
        <v>0.0</v>
      </c>
      <c r="BH476" s="1">
        <v>0.0</v>
      </c>
      <c r="BI476" s="1">
        <v>0.0</v>
      </c>
      <c r="BJ476" s="1">
        <v>0.0</v>
      </c>
      <c r="BP476" s="1">
        <v>0.268</v>
      </c>
      <c r="BQ476" s="1" t="s">
        <v>2205</v>
      </c>
      <c r="BV476" s="1">
        <v>1.1</v>
      </c>
      <c r="EQ476" s="9" t="s">
        <v>2204</v>
      </c>
      <c r="ER476" s="21">
        <v>46045.29856481482</v>
      </c>
    </row>
    <row r="477">
      <c r="A477" s="9" t="s">
        <v>2206</v>
      </c>
      <c r="B477" s="20" t="str">
        <f>IFERROR(__xludf.DUMMYFUNCTION("REGEXREPLACE(A477, ""^https?://[^/]+"", """")"),"/wp-content/uploads/2022/04/Byrd-Tim-225x225.jpg")</f>
        <v>/wp-content/uploads/2022/04/Byrd-Tim-225x225.jpg</v>
      </c>
      <c r="F477" s="1" t="s">
        <v>1004</v>
      </c>
      <c r="G477" s="1">
        <v>200.0</v>
      </c>
      <c r="H477" s="1" t="s">
        <v>966</v>
      </c>
      <c r="I477" s="1" t="s">
        <v>967</v>
      </c>
      <c r="L477" s="1">
        <v>0.0</v>
      </c>
      <c r="M477" s="1">
        <v>0.0</v>
      </c>
      <c r="O477" s="1">
        <v>0.0</v>
      </c>
      <c r="P477" s="1">
        <v>0.0</v>
      </c>
      <c r="R477" s="1">
        <v>0.0</v>
      </c>
      <c r="S477" s="1">
        <v>0.0</v>
      </c>
      <c r="U477" s="1">
        <v>0.0</v>
      </c>
      <c r="W477" s="1">
        <v>0.0</v>
      </c>
      <c r="Y477" s="1">
        <v>0.0</v>
      </c>
      <c r="AA477" s="1">
        <v>0.0</v>
      </c>
      <c r="AC477" s="1">
        <v>0.0</v>
      </c>
      <c r="AM477" s="1">
        <v>8003.0</v>
      </c>
      <c r="AN477" s="1">
        <v>8003.0</v>
      </c>
      <c r="AO477" s="1">
        <v>8003.0</v>
      </c>
      <c r="AP477" s="1">
        <v>3.066</v>
      </c>
      <c r="AR477" s="1">
        <v>0.0</v>
      </c>
      <c r="AW477" s="1">
        <v>0.0</v>
      </c>
      <c r="AX477" s="1">
        <v>2.0</v>
      </c>
      <c r="AY477" s="1">
        <v>4.0</v>
      </c>
      <c r="BA477" s="1">
        <v>0.0</v>
      </c>
      <c r="BB477" s="1">
        <v>0.0</v>
      </c>
      <c r="BC477" s="1">
        <v>0.0</v>
      </c>
      <c r="BD477" s="1">
        <v>0.0</v>
      </c>
      <c r="BE477" s="1">
        <v>0.0</v>
      </c>
      <c r="BF477" s="1">
        <v>0.0</v>
      </c>
      <c r="BG477" s="1">
        <v>0.0</v>
      </c>
      <c r="BH477" s="1">
        <v>0.0</v>
      </c>
      <c r="BI477" s="1">
        <v>0.0</v>
      </c>
      <c r="BJ477" s="1">
        <v>0.0</v>
      </c>
      <c r="BP477" s="1">
        <v>0.264</v>
      </c>
      <c r="BQ477" s="1" t="s">
        <v>2207</v>
      </c>
      <c r="BV477" s="1">
        <v>1.1</v>
      </c>
      <c r="EQ477" s="9" t="s">
        <v>2206</v>
      </c>
      <c r="ER477" s="21">
        <v>46045.29856481482</v>
      </c>
    </row>
    <row r="478">
      <c r="A478" s="9" t="s">
        <v>2208</v>
      </c>
      <c r="B478" s="20" t="str">
        <f>IFERROR(__xludf.DUMMYFUNCTION("REGEXREPLACE(A478, ""^https?://[^/]+"", """")"),"/wp-content/uploads/2024/02/Margerin-Steve-225x225.jpg")</f>
        <v>/wp-content/uploads/2024/02/Margerin-Steve-225x225.jpg</v>
      </c>
      <c r="F478" s="1" t="s">
        <v>1004</v>
      </c>
      <c r="G478" s="1">
        <v>200.0</v>
      </c>
      <c r="H478" s="1" t="s">
        <v>966</v>
      </c>
      <c r="I478" s="1" t="s">
        <v>967</v>
      </c>
      <c r="L478" s="1">
        <v>0.0</v>
      </c>
      <c r="M478" s="1">
        <v>0.0</v>
      </c>
      <c r="O478" s="1">
        <v>0.0</v>
      </c>
      <c r="P478" s="1">
        <v>0.0</v>
      </c>
      <c r="R478" s="1">
        <v>0.0</v>
      </c>
      <c r="S478" s="1">
        <v>0.0</v>
      </c>
      <c r="U478" s="1">
        <v>0.0</v>
      </c>
      <c r="W478" s="1">
        <v>0.0</v>
      </c>
      <c r="Y478" s="1">
        <v>0.0</v>
      </c>
      <c r="AA478" s="1">
        <v>0.0</v>
      </c>
      <c r="AC478" s="1">
        <v>0.0</v>
      </c>
      <c r="AM478" s="1">
        <v>9231.0</v>
      </c>
      <c r="AN478" s="1">
        <v>9231.0</v>
      </c>
      <c r="AO478" s="1">
        <v>9231.0</v>
      </c>
      <c r="AP478" s="1">
        <v>3.536</v>
      </c>
      <c r="AR478" s="1">
        <v>0.0</v>
      </c>
      <c r="AW478" s="1">
        <v>0.0</v>
      </c>
      <c r="AX478" s="1">
        <v>2.0</v>
      </c>
      <c r="AY478" s="1">
        <v>4.0</v>
      </c>
      <c r="BA478" s="1">
        <v>0.0</v>
      </c>
      <c r="BB478" s="1">
        <v>0.0</v>
      </c>
      <c r="BC478" s="1">
        <v>0.0</v>
      </c>
      <c r="BD478" s="1">
        <v>0.0</v>
      </c>
      <c r="BE478" s="1">
        <v>0.0</v>
      </c>
      <c r="BF478" s="1">
        <v>0.0</v>
      </c>
      <c r="BG478" s="1">
        <v>0.0</v>
      </c>
      <c r="BH478" s="1">
        <v>0.0</v>
      </c>
      <c r="BI478" s="1">
        <v>0.0</v>
      </c>
      <c r="BJ478" s="1">
        <v>0.0</v>
      </c>
      <c r="BP478" s="1">
        <v>0.274</v>
      </c>
      <c r="BQ478" s="1" t="s">
        <v>2209</v>
      </c>
      <c r="BV478" s="1">
        <v>1.1</v>
      </c>
      <c r="EQ478" s="9" t="s">
        <v>2208</v>
      </c>
      <c r="ER478" s="21">
        <v>46045.29856481482</v>
      </c>
    </row>
    <row r="479">
      <c r="A479" s="9" t="s">
        <v>2210</v>
      </c>
      <c r="B479" s="20" t="str">
        <f>IFERROR(__xludf.DUMMYFUNCTION("REGEXREPLACE(A479, ""^https?://[^/]+"", """")"),"/wp-content/uploads/2024/06/Hobbs_Nicky_2-225x225.jpg")</f>
        <v>/wp-content/uploads/2024/06/Hobbs_Nicky_2-225x225.jpg</v>
      </c>
      <c r="F479" s="1" t="s">
        <v>1004</v>
      </c>
      <c r="G479" s="1">
        <v>200.0</v>
      </c>
      <c r="H479" s="1" t="s">
        <v>966</v>
      </c>
      <c r="I479" s="1" t="s">
        <v>967</v>
      </c>
      <c r="L479" s="1">
        <v>0.0</v>
      </c>
      <c r="M479" s="1">
        <v>0.0</v>
      </c>
      <c r="O479" s="1">
        <v>0.0</v>
      </c>
      <c r="P479" s="1">
        <v>0.0</v>
      </c>
      <c r="R479" s="1">
        <v>0.0</v>
      </c>
      <c r="S479" s="1">
        <v>0.0</v>
      </c>
      <c r="U479" s="1">
        <v>0.0</v>
      </c>
      <c r="W479" s="1">
        <v>0.0</v>
      </c>
      <c r="Y479" s="1">
        <v>0.0</v>
      </c>
      <c r="AA479" s="1">
        <v>0.0</v>
      </c>
      <c r="AC479" s="1">
        <v>0.0</v>
      </c>
      <c r="AM479" s="1">
        <v>8610.0</v>
      </c>
      <c r="AN479" s="1">
        <v>8610.0</v>
      </c>
      <c r="AO479" s="1">
        <v>8610.0</v>
      </c>
      <c r="AP479" s="1">
        <v>3.298</v>
      </c>
      <c r="AR479" s="1">
        <v>0.0</v>
      </c>
      <c r="AW479" s="1">
        <v>0.0</v>
      </c>
      <c r="AX479" s="1">
        <v>2.0</v>
      </c>
      <c r="AY479" s="1">
        <v>4.0</v>
      </c>
      <c r="BA479" s="1">
        <v>0.0</v>
      </c>
      <c r="BB479" s="1">
        <v>0.0</v>
      </c>
      <c r="BC479" s="1">
        <v>0.0</v>
      </c>
      <c r="BD479" s="1">
        <v>0.0</v>
      </c>
      <c r="BE479" s="1">
        <v>0.0</v>
      </c>
      <c r="BF479" s="1">
        <v>0.0</v>
      </c>
      <c r="BG479" s="1">
        <v>0.0</v>
      </c>
      <c r="BH479" s="1">
        <v>0.0</v>
      </c>
      <c r="BI479" s="1">
        <v>0.0</v>
      </c>
      <c r="BJ479" s="1">
        <v>0.0</v>
      </c>
      <c r="BP479" s="1">
        <v>0.269</v>
      </c>
      <c r="BQ479" s="1" t="s">
        <v>2211</v>
      </c>
      <c r="BV479" s="1">
        <v>1.1</v>
      </c>
      <c r="EQ479" s="9" t="s">
        <v>2210</v>
      </c>
      <c r="ER479" s="21">
        <v>46045.29856481482</v>
      </c>
    </row>
    <row r="480">
      <c r="A480" s="9" t="s">
        <v>2212</v>
      </c>
      <c r="B480" s="20" t="str">
        <f>IFERROR(__xludf.DUMMYFUNCTION("REGEXREPLACE(A480, ""^https?://[^/]+"", """")"),"/wp-content/uploads/2017/01/Mahony_Dan-225x225.jpg")</f>
        <v>/wp-content/uploads/2017/01/Mahony_Dan-225x225.jpg</v>
      </c>
      <c r="F480" s="1" t="s">
        <v>1004</v>
      </c>
      <c r="G480" s="1">
        <v>200.0</v>
      </c>
      <c r="H480" s="1" t="s">
        <v>966</v>
      </c>
      <c r="I480" s="1" t="s">
        <v>967</v>
      </c>
      <c r="L480" s="1">
        <v>0.0</v>
      </c>
      <c r="M480" s="1">
        <v>0.0</v>
      </c>
      <c r="O480" s="1">
        <v>0.0</v>
      </c>
      <c r="P480" s="1">
        <v>0.0</v>
      </c>
      <c r="R480" s="1">
        <v>0.0</v>
      </c>
      <c r="S480" s="1">
        <v>0.0</v>
      </c>
      <c r="U480" s="1">
        <v>0.0</v>
      </c>
      <c r="W480" s="1">
        <v>0.0</v>
      </c>
      <c r="Y480" s="1">
        <v>0.0</v>
      </c>
      <c r="AA480" s="1">
        <v>0.0</v>
      </c>
      <c r="AC480" s="1">
        <v>0.0</v>
      </c>
      <c r="AM480" s="1">
        <v>10422.0</v>
      </c>
      <c r="AN480" s="1">
        <v>10422.0</v>
      </c>
      <c r="AO480" s="1">
        <v>10422.0</v>
      </c>
      <c r="AP480" s="1">
        <v>3.992</v>
      </c>
      <c r="AR480" s="1">
        <v>0.0</v>
      </c>
      <c r="AW480" s="1">
        <v>0.0</v>
      </c>
      <c r="AX480" s="1">
        <v>2.0</v>
      </c>
      <c r="AY480" s="1">
        <v>4.0</v>
      </c>
      <c r="BA480" s="1">
        <v>0.0</v>
      </c>
      <c r="BB480" s="1">
        <v>0.0</v>
      </c>
      <c r="BC480" s="1">
        <v>0.0</v>
      </c>
      <c r="BD480" s="1">
        <v>0.0</v>
      </c>
      <c r="BE480" s="1">
        <v>0.0</v>
      </c>
      <c r="BF480" s="1">
        <v>0.0</v>
      </c>
      <c r="BG480" s="1">
        <v>0.0</v>
      </c>
      <c r="BH480" s="1">
        <v>0.0</v>
      </c>
      <c r="BI480" s="1">
        <v>0.0</v>
      </c>
      <c r="BJ480" s="1">
        <v>0.0</v>
      </c>
      <c r="BP480" s="1">
        <v>0.268</v>
      </c>
      <c r="BQ480" s="1" t="s">
        <v>2213</v>
      </c>
      <c r="BV480" s="1">
        <v>1.1</v>
      </c>
      <c r="EQ480" s="9" t="s">
        <v>2212</v>
      </c>
      <c r="ER480" s="21">
        <v>46045.29858796296</v>
      </c>
    </row>
    <row r="481">
      <c r="A481" s="9" t="s">
        <v>2214</v>
      </c>
      <c r="B481" s="20" t="str">
        <f>IFERROR(__xludf.DUMMYFUNCTION("REGEXREPLACE(A481, ""^https?://[^/]+"", """")"),"/wp-content/uploads/2025/11/Rooney_John-225x225.jpg")</f>
        <v>/wp-content/uploads/2025/11/Rooney_John-225x225.jpg</v>
      </c>
      <c r="F481" s="1" t="s">
        <v>1004</v>
      </c>
      <c r="G481" s="1">
        <v>200.0</v>
      </c>
      <c r="H481" s="1" t="s">
        <v>966</v>
      </c>
      <c r="I481" s="1" t="s">
        <v>967</v>
      </c>
      <c r="L481" s="1">
        <v>0.0</v>
      </c>
      <c r="M481" s="1">
        <v>0.0</v>
      </c>
      <c r="O481" s="1">
        <v>0.0</v>
      </c>
      <c r="P481" s="1">
        <v>0.0</v>
      </c>
      <c r="R481" s="1">
        <v>0.0</v>
      </c>
      <c r="S481" s="1">
        <v>0.0</v>
      </c>
      <c r="U481" s="1">
        <v>0.0</v>
      </c>
      <c r="W481" s="1">
        <v>0.0</v>
      </c>
      <c r="Y481" s="1">
        <v>0.0</v>
      </c>
      <c r="AA481" s="1">
        <v>0.0</v>
      </c>
      <c r="AC481" s="1">
        <v>0.0</v>
      </c>
      <c r="AM481" s="1">
        <v>9784.0</v>
      </c>
      <c r="AN481" s="1">
        <v>9784.0</v>
      </c>
      <c r="AO481" s="1">
        <v>9784.0</v>
      </c>
      <c r="AP481" s="1">
        <v>3.748</v>
      </c>
      <c r="AR481" s="1">
        <v>0.0</v>
      </c>
      <c r="AW481" s="1">
        <v>0.0</v>
      </c>
      <c r="AX481" s="1">
        <v>2.0</v>
      </c>
      <c r="AY481" s="1">
        <v>4.0</v>
      </c>
      <c r="BA481" s="1">
        <v>0.0</v>
      </c>
      <c r="BB481" s="1">
        <v>0.0</v>
      </c>
      <c r="BC481" s="1">
        <v>0.0</v>
      </c>
      <c r="BD481" s="1">
        <v>0.0</v>
      </c>
      <c r="BE481" s="1">
        <v>0.0</v>
      </c>
      <c r="BF481" s="1">
        <v>0.0</v>
      </c>
      <c r="BG481" s="1">
        <v>0.0</v>
      </c>
      <c r="BH481" s="1">
        <v>0.0</v>
      </c>
      <c r="BI481" s="1">
        <v>0.0</v>
      </c>
      <c r="BJ481" s="1">
        <v>0.0</v>
      </c>
      <c r="BP481" s="1">
        <v>0.262</v>
      </c>
      <c r="BQ481" s="1" t="s">
        <v>2215</v>
      </c>
      <c r="BV481" s="1">
        <v>1.1</v>
      </c>
      <c r="EQ481" s="9" t="s">
        <v>2214</v>
      </c>
      <c r="ER481" s="21">
        <v>46045.29858796296</v>
      </c>
    </row>
    <row r="482">
      <c r="A482" s="9" t="s">
        <v>2216</v>
      </c>
      <c r="B482" s="20" t="str">
        <f>IFERROR(__xludf.DUMMYFUNCTION("REGEXREPLACE(A482, ""^https?://[^/]+"", """")"),"/wp-content/uploads/2025/04/Carlson_Daniel-225x225.jpg")</f>
        <v>/wp-content/uploads/2025/04/Carlson_Daniel-225x225.jpg</v>
      </c>
      <c r="F482" s="1" t="s">
        <v>1004</v>
      </c>
      <c r="G482" s="1">
        <v>200.0</v>
      </c>
      <c r="H482" s="1" t="s">
        <v>966</v>
      </c>
      <c r="I482" s="1" t="s">
        <v>967</v>
      </c>
      <c r="L482" s="1">
        <v>0.0</v>
      </c>
      <c r="M482" s="1">
        <v>0.0</v>
      </c>
      <c r="O482" s="1">
        <v>0.0</v>
      </c>
      <c r="P482" s="1">
        <v>0.0</v>
      </c>
      <c r="R482" s="1">
        <v>0.0</v>
      </c>
      <c r="S482" s="1">
        <v>0.0</v>
      </c>
      <c r="U482" s="1">
        <v>0.0</v>
      </c>
      <c r="W482" s="1">
        <v>0.0</v>
      </c>
      <c r="Y482" s="1">
        <v>0.0</v>
      </c>
      <c r="AA482" s="1">
        <v>0.0</v>
      </c>
      <c r="AC482" s="1">
        <v>0.0</v>
      </c>
      <c r="AM482" s="1">
        <v>8134.0</v>
      </c>
      <c r="AN482" s="1">
        <v>8134.0</v>
      </c>
      <c r="AO482" s="1">
        <v>8134.0</v>
      </c>
      <c r="AP482" s="1">
        <v>3.116</v>
      </c>
      <c r="AR482" s="1">
        <v>0.0</v>
      </c>
      <c r="AW482" s="1">
        <v>0.0</v>
      </c>
      <c r="AX482" s="1">
        <v>2.0</v>
      </c>
      <c r="AY482" s="1">
        <v>4.0</v>
      </c>
      <c r="BA482" s="1">
        <v>0.0</v>
      </c>
      <c r="BB482" s="1">
        <v>0.0</v>
      </c>
      <c r="BC482" s="1">
        <v>0.0</v>
      </c>
      <c r="BD482" s="1">
        <v>0.0</v>
      </c>
      <c r="BE482" s="1">
        <v>0.0</v>
      </c>
      <c r="BF482" s="1">
        <v>0.0</v>
      </c>
      <c r="BG482" s="1">
        <v>0.0</v>
      </c>
      <c r="BH482" s="1">
        <v>0.0</v>
      </c>
      <c r="BI482" s="1">
        <v>0.0</v>
      </c>
      <c r="BJ482" s="1">
        <v>0.0</v>
      </c>
      <c r="BP482" s="1">
        <v>0.292</v>
      </c>
      <c r="BQ482" s="1" t="s">
        <v>2217</v>
      </c>
      <c r="BV482" s="1">
        <v>1.1</v>
      </c>
      <c r="EQ482" s="9" t="s">
        <v>2216</v>
      </c>
      <c r="ER482" s="21">
        <v>46045.29858796296</v>
      </c>
    </row>
    <row r="483">
      <c r="A483" s="9" t="s">
        <v>2218</v>
      </c>
      <c r="B483" s="20" t="str">
        <f>IFERROR(__xludf.DUMMYFUNCTION("REGEXREPLACE(A483, ""^https?://[^/]+"", """")"),"/wp-content/uploads/2024/07/Brooks_Joan-225x225.jpg")</f>
        <v>/wp-content/uploads/2024/07/Brooks_Joan-225x225.jpg</v>
      </c>
      <c r="F483" s="1" t="s">
        <v>1004</v>
      </c>
      <c r="G483" s="1">
        <v>200.0</v>
      </c>
      <c r="H483" s="1" t="s">
        <v>966</v>
      </c>
      <c r="I483" s="1" t="s">
        <v>967</v>
      </c>
      <c r="L483" s="1">
        <v>0.0</v>
      </c>
      <c r="M483" s="1">
        <v>0.0</v>
      </c>
      <c r="O483" s="1">
        <v>0.0</v>
      </c>
      <c r="P483" s="1">
        <v>0.0</v>
      </c>
      <c r="R483" s="1">
        <v>0.0</v>
      </c>
      <c r="S483" s="1">
        <v>0.0</v>
      </c>
      <c r="U483" s="1">
        <v>0.0</v>
      </c>
      <c r="W483" s="1">
        <v>0.0</v>
      </c>
      <c r="Y483" s="1">
        <v>0.0</v>
      </c>
      <c r="AA483" s="1">
        <v>0.0</v>
      </c>
      <c r="AC483" s="1">
        <v>0.0</v>
      </c>
      <c r="AM483" s="1">
        <v>9889.0</v>
      </c>
      <c r="AN483" s="1">
        <v>9889.0</v>
      </c>
      <c r="AO483" s="1">
        <v>9889.0</v>
      </c>
      <c r="AP483" s="1">
        <v>3.788</v>
      </c>
      <c r="AR483" s="1">
        <v>0.0</v>
      </c>
      <c r="AW483" s="1">
        <v>0.0</v>
      </c>
      <c r="AX483" s="1">
        <v>2.0</v>
      </c>
      <c r="AY483" s="1">
        <v>4.0</v>
      </c>
      <c r="BA483" s="1">
        <v>0.0</v>
      </c>
      <c r="BB483" s="1">
        <v>0.0</v>
      </c>
      <c r="BC483" s="1">
        <v>0.0</v>
      </c>
      <c r="BD483" s="1">
        <v>0.0</v>
      </c>
      <c r="BE483" s="1">
        <v>0.0</v>
      </c>
      <c r="BF483" s="1">
        <v>0.0</v>
      </c>
      <c r="BG483" s="1">
        <v>0.0</v>
      </c>
      <c r="BH483" s="1">
        <v>0.0</v>
      </c>
      <c r="BI483" s="1">
        <v>0.0</v>
      </c>
      <c r="BJ483" s="1">
        <v>0.0</v>
      </c>
      <c r="BP483" s="1">
        <v>0.348</v>
      </c>
      <c r="BQ483" s="1" t="s">
        <v>2219</v>
      </c>
      <c r="BV483" s="1">
        <v>1.1</v>
      </c>
      <c r="EQ483" s="9" t="s">
        <v>2218</v>
      </c>
      <c r="ER483" s="21">
        <v>46045.29858796296</v>
      </c>
    </row>
    <row r="484">
      <c r="A484" s="9" t="s">
        <v>2220</v>
      </c>
      <c r="B484" s="20" t="str">
        <f>IFERROR(__xludf.DUMMYFUNCTION("REGEXREPLACE(A484, ""^https?://[^/]+"", """")"),"/wp-content/uploads/2024/04/Kessler_Chad-225x225.jpg")</f>
        <v>/wp-content/uploads/2024/04/Kessler_Chad-225x225.jpg</v>
      </c>
      <c r="F484" s="1" t="s">
        <v>1004</v>
      </c>
      <c r="G484" s="1">
        <v>200.0</v>
      </c>
      <c r="H484" s="1" t="s">
        <v>966</v>
      </c>
      <c r="I484" s="1" t="s">
        <v>967</v>
      </c>
      <c r="L484" s="1">
        <v>0.0</v>
      </c>
      <c r="M484" s="1">
        <v>0.0</v>
      </c>
      <c r="O484" s="1">
        <v>0.0</v>
      </c>
      <c r="P484" s="1">
        <v>0.0</v>
      </c>
      <c r="R484" s="1">
        <v>0.0</v>
      </c>
      <c r="S484" s="1">
        <v>0.0</v>
      </c>
      <c r="U484" s="1">
        <v>0.0</v>
      </c>
      <c r="W484" s="1">
        <v>0.0</v>
      </c>
      <c r="Y484" s="1">
        <v>0.0</v>
      </c>
      <c r="AA484" s="1">
        <v>0.0</v>
      </c>
      <c r="AC484" s="1">
        <v>0.0</v>
      </c>
      <c r="AM484" s="1">
        <v>8949.0</v>
      </c>
      <c r="AN484" s="1">
        <v>8949.0</v>
      </c>
      <c r="AO484" s="1">
        <v>8949.0</v>
      </c>
      <c r="AP484" s="1">
        <v>3.428</v>
      </c>
      <c r="AR484" s="1">
        <v>0.0</v>
      </c>
      <c r="AW484" s="1">
        <v>0.0</v>
      </c>
      <c r="AX484" s="1">
        <v>2.0</v>
      </c>
      <c r="AY484" s="1">
        <v>4.0</v>
      </c>
      <c r="BA484" s="1">
        <v>0.0</v>
      </c>
      <c r="BB484" s="1">
        <v>0.0</v>
      </c>
      <c r="BC484" s="1">
        <v>0.0</v>
      </c>
      <c r="BD484" s="1">
        <v>0.0</v>
      </c>
      <c r="BE484" s="1">
        <v>0.0</v>
      </c>
      <c r="BF484" s="1">
        <v>0.0</v>
      </c>
      <c r="BG484" s="1">
        <v>0.0</v>
      </c>
      <c r="BH484" s="1">
        <v>0.0</v>
      </c>
      <c r="BI484" s="1">
        <v>0.0</v>
      </c>
      <c r="BJ484" s="1">
        <v>0.0</v>
      </c>
      <c r="BP484" s="1">
        <v>0.273</v>
      </c>
      <c r="BQ484" s="1" t="s">
        <v>2221</v>
      </c>
      <c r="BV484" s="1">
        <v>1.1</v>
      </c>
      <c r="EQ484" s="9" t="s">
        <v>2220</v>
      </c>
      <c r="ER484" s="21">
        <v>46045.29858796296</v>
      </c>
    </row>
    <row r="485">
      <c r="A485" s="9" t="s">
        <v>2222</v>
      </c>
      <c r="B485" s="20" t="str">
        <f>IFERROR(__xludf.DUMMYFUNCTION("REGEXREPLACE(A485, ""^https?://[^/]+"", """")"),"/wp-content/uploads/2022/10/John-Jankowski-225x225.jpeg")</f>
        <v>/wp-content/uploads/2022/10/John-Jankowski-225x225.jpeg</v>
      </c>
      <c r="F485" s="1" t="s">
        <v>1004</v>
      </c>
      <c r="G485" s="1">
        <v>200.0</v>
      </c>
      <c r="H485" s="1" t="s">
        <v>966</v>
      </c>
      <c r="I485" s="1" t="s">
        <v>967</v>
      </c>
      <c r="L485" s="1">
        <v>0.0</v>
      </c>
      <c r="M485" s="1">
        <v>0.0</v>
      </c>
      <c r="O485" s="1">
        <v>0.0</v>
      </c>
      <c r="P485" s="1">
        <v>0.0</v>
      </c>
      <c r="R485" s="1">
        <v>0.0</v>
      </c>
      <c r="S485" s="1">
        <v>0.0</v>
      </c>
      <c r="U485" s="1">
        <v>0.0</v>
      </c>
      <c r="W485" s="1">
        <v>0.0</v>
      </c>
      <c r="Y485" s="1">
        <v>0.0</v>
      </c>
      <c r="AA485" s="1">
        <v>0.0</v>
      </c>
      <c r="AC485" s="1">
        <v>0.0</v>
      </c>
      <c r="AM485" s="1">
        <v>8850.0</v>
      </c>
      <c r="AN485" s="1">
        <v>8850.0</v>
      </c>
      <c r="AO485" s="1">
        <v>8850.0</v>
      </c>
      <c r="AP485" s="1">
        <v>3.39</v>
      </c>
      <c r="AR485" s="1">
        <v>0.0</v>
      </c>
      <c r="AW485" s="1">
        <v>0.0</v>
      </c>
      <c r="AX485" s="1">
        <v>2.0</v>
      </c>
      <c r="AY485" s="1">
        <v>4.0</v>
      </c>
      <c r="BA485" s="1">
        <v>0.0</v>
      </c>
      <c r="BB485" s="1">
        <v>0.0</v>
      </c>
      <c r="BC485" s="1">
        <v>0.0</v>
      </c>
      <c r="BD485" s="1">
        <v>0.0</v>
      </c>
      <c r="BE485" s="1">
        <v>0.0</v>
      </c>
      <c r="BF485" s="1">
        <v>0.0</v>
      </c>
      <c r="BG485" s="1">
        <v>0.0</v>
      </c>
      <c r="BH485" s="1">
        <v>0.0</v>
      </c>
      <c r="BI485" s="1">
        <v>0.0</v>
      </c>
      <c r="BJ485" s="1">
        <v>0.0</v>
      </c>
      <c r="BP485" s="1">
        <v>0.268</v>
      </c>
      <c r="BQ485" s="1" t="s">
        <v>2223</v>
      </c>
      <c r="BV485" s="1">
        <v>1.1</v>
      </c>
      <c r="EQ485" s="9" t="s">
        <v>2222</v>
      </c>
      <c r="ER485" s="21">
        <v>46045.29858796296</v>
      </c>
    </row>
    <row r="486">
      <c r="A486" s="9" t="s">
        <v>2224</v>
      </c>
      <c r="B486" s="20" t="str">
        <f>IFERROR(__xludf.DUMMYFUNCTION("REGEXREPLACE(A486, ""^https?://[^/]+"", """")"),"/wp-content/uploads/2024/08/Wilson_Andy-225x225.jpg")</f>
        <v>/wp-content/uploads/2024/08/Wilson_Andy-225x225.jpg</v>
      </c>
      <c r="F486" s="1" t="s">
        <v>1004</v>
      </c>
      <c r="G486" s="1">
        <v>200.0</v>
      </c>
      <c r="H486" s="1" t="s">
        <v>966</v>
      </c>
      <c r="I486" s="1" t="s">
        <v>967</v>
      </c>
      <c r="L486" s="1">
        <v>0.0</v>
      </c>
      <c r="M486" s="1">
        <v>0.0</v>
      </c>
      <c r="O486" s="1">
        <v>0.0</v>
      </c>
      <c r="P486" s="1">
        <v>0.0</v>
      </c>
      <c r="R486" s="1">
        <v>0.0</v>
      </c>
      <c r="S486" s="1">
        <v>0.0</v>
      </c>
      <c r="U486" s="1">
        <v>0.0</v>
      </c>
      <c r="W486" s="1">
        <v>0.0</v>
      </c>
      <c r="Y486" s="1">
        <v>0.0</v>
      </c>
      <c r="AA486" s="1">
        <v>0.0</v>
      </c>
      <c r="AC486" s="1">
        <v>0.0</v>
      </c>
      <c r="AM486" s="1">
        <v>9718.0</v>
      </c>
      <c r="AN486" s="1">
        <v>9718.0</v>
      </c>
      <c r="AO486" s="1">
        <v>9718.0</v>
      </c>
      <c r="AP486" s="1">
        <v>3.723</v>
      </c>
      <c r="AR486" s="1">
        <v>0.0</v>
      </c>
      <c r="AW486" s="1">
        <v>0.0</v>
      </c>
      <c r="AX486" s="1">
        <v>2.0</v>
      </c>
      <c r="AY486" s="1">
        <v>4.0</v>
      </c>
      <c r="BA486" s="1">
        <v>0.0</v>
      </c>
      <c r="BB486" s="1">
        <v>0.0</v>
      </c>
      <c r="BC486" s="1">
        <v>0.0</v>
      </c>
      <c r="BD486" s="1">
        <v>0.0</v>
      </c>
      <c r="BE486" s="1">
        <v>0.0</v>
      </c>
      <c r="BF486" s="1">
        <v>0.0</v>
      </c>
      <c r="BG486" s="1">
        <v>0.0</v>
      </c>
      <c r="BH486" s="1">
        <v>0.0</v>
      </c>
      <c r="BI486" s="1">
        <v>0.0</v>
      </c>
      <c r="BJ486" s="1">
        <v>0.0</v>
      </c>
      <c r="BP486" s="1">
        <v>0.262</v>
      </c>
      <c r="BQ486" s="1" t="s">
        <v>2225</v>
      </c>
      <c r="BV486" s="1">
        <v>1.1</v>
      </c>
      <c r="EQ486" s="9" t="s">
        <v>2224</v>
      </c>
      <c r="ER486" s="21">
        <v>46045.29858796296</v>
      </c>
    </row>
    <row r="487">
      <c r="A487" s="9" t="s">
        <v>2226</v>
      </c>
      <c r="B487" s="20" t="str">
        <f>IFERROR(__xludf.DUMMYFUNCTION("REGEXREPLACE(A487, ""^https?://[^/]+"", """")"),"/wp-content/uploads/2022/04/Harrigan-Greg-275x275-1-225x225.jpg")</f>
        <v>/wp-content/uploads/2022/04/Harrigan-Greg-275x275-1-225x225.jpg</v>
      </c>
      <c r="F487" s="1" t="s">
        <v>1004</v>
      </c>
      <c r="G487" s="1">
        <v>200.0</v>
      </c>
      <c r="H487" s="1" t="s">
        <v>966</v>
      </c>
      <c r="I487" s="1" t="s">
        <v>967</v>
      </c>
      <c r="L487" s="1">
        <v>0.0</v>
      </c>
      <c r="M487" s="1">
        <v>0.0</v>
      </c>
      <c r="O487" s="1">
        <v>0.0</v>
      </c>
      <c r="P487" s="1">
        <v>0.0</v>
      </c>
      <c r="R487" s="1">
        <v>0.0</v>
      </c>
      <c r="S487" s="1">
        <v>0.0</v>
      </c>
      <c r="U487" s="1">
        <v>0.0</v>
      </c>
      <c r="W487" s="1">
        <v>0.0</v>
      </c>
      <c r="Y487" s="1">
        <v>0.0</v>
      </c>
      <c r="AA487" s="1">
        <v>0.0</v>
      </c>
      <c r="AC487" s="1">
        <v>0.0</v>
      </c>
      <c r="AM487" s="1">
        <v>9015.0</v>
      </c>
      <c r="AN487" s="1">
        <v>9015.0</v>
      </c>
      <c r="AO487" s="1">
        <v>9015.0</v>
      </c>
      <c r="AP487" s="1">
        <v>3.453</v>
      </c>
      <c r="AR487" s="1">
        <v>0.0</v>
      </c>
      <c r="AW487" s="1">
        <v>0.0</v>
      </c>
      <c r="AX487" s="1">
        <v>2.0</v>
      </c>
      <c r="AY487" s="1">
        <v>4.0</v>
      </c>
      <c r="BA487" s="1">
        <v>0.0</v>
      </c>
      <c r="BB487" s="1">
        <v>0.0</v>
      </c>
      <c r="BC487" s="1">
        <v>0.0</v>
      </c>
      <c r="BD487" s="1">
        <v>0.0</v>
      </c>
      <c r="BE487" s="1">
        <v>0.0</v>
      </c>
      <c r="BF487" s="1">
        <v>0.0</v>
      </c>
      <c r="BG487" s="1">
        <v>0.0</v>
      </c>
      <c r="BH487" s="1">
        <v>0.0</v>
      </c>
      <c r="BI487" s="1">
        <v>0.0</v>
      </c>
      <c r="BJ487" s="1">
        <v>0.0</v>
      </c>
      <c r="BP487" s="1">
        <v>0.279</v>
      </c>
      <c r="BQ487" s="1" t="s">
        <v>2227</v>
      </c>
      <c r="BV487" s="1">
        <v>1.1</v>
      </c>
      <c r="EQ487" s="9" t="s">
        <v>2226</v>
      </c>
      <c r="ER487" s="21">
        <v>46045.29859953704</v>
      </c>
    </row>
    <row r="488">
      <c r="A488" s="9" t="s">
        <v>2228</v>
      </c>
      <c r="B488" s="20" t="str">
        <f>IFERROR(__xludf.DUMMYFUNCTION("REGEXREPLACE(A488, ""^https?://[^/]+"", """")"),"/wp-content/uploads/2024/06/Muskus_Joe-225x225.jpg")</f>
        <v>/wp-content/uploads/2024/06/Muskus_Joe-225x225.jpg</v>
      </c>
      <c r="F488" s="1" t="s">
        <v>1004</v>
      </c>
      <c r="G488" s="1">
        <v>200.0</v>
      </c>
      <c r="H488" s="1" t="s">
        <v>966</v>
      </c>
      <c r="I488" s="1" t="s">
        <v>967</v>
      </c>
      <c r="L488" s="1">
        <v>0.0</v>
      </c>
      <c r="M488" s="1">
        <v>0.0</v>
      </c>
      <c r="O488" s="1">
        <v>0.0</v>
      </c>
      <c r="P488" s="1">
        <v>0.0</v>
      </c>
      <c r="R488" s="1">
        <v>0.0</v>
      </c>
      <c r="S488" s="1">
        <v>0.0</v>
      </c>
      <c r="U488" s="1">
        <v>0.0</v>
      </c>
      <c r="W488" s="1">
        <v>0.0</v>
      </c>
      <c r="Y488" s="1">
        <v>0.0</v>
      </c>
      <c r="AA488" s="1">
        <v>0.0</v>
      </c>
      <c r="AC488" s="1">
        <v>0.0</v>
      </c>
      <c r="AM488" s="1">
        <v>7616.0</v>
      </c>
      <c r="AN488" s="1">
        <v>7616.0</v>
      </c>
      <c r="AO488" s="1">
        <v>7616.0</v>
      </c>
      <c r="AP488" s="1">
        <v>2.918</v>
      </c>
      <c r="AR488" s="1">
        <v>0.0</v>
      </c>
      <c r="AW488" s="1">
        <v>0.0</v>
      </c>
      <c r="AX488" s="1">
        <v>2.0</v>
      </c>
      <c r="AY488" s="1">
        <v>4.0</v>
      </c>
      <c r="BA488" s="1">
        <v>0.0</v>
      </c>
      <c r="BB488" s="1">
        <v>0.0</v>
      </c>
      <c r="BC488" s="1">
        <v>0.0</v>
      </c>
      <c r="BD488" s="1">
        <v>0.0</v>
      </c>
      <c r="BE488" s="1">
        <v>0.0</v>
      </c>
      <c r="BF488" s="1">
        <v>0.0</v>
      </c>
      <c r="BG488" s="1">
        <v>0.0</v>
      </c>
      <c r="BH488" s="1">
        <v>0.0</v>
      </c>
      <c r="BI488" s="1">
        <v>0.0</v>
      </c>
      <c r="BJ488" s="1">
        <v>0.0</v>
      </c>
      <c r="BP488" s="1">
        <v>0.269</v>
      </c>
      <c r="BQ488" s="1" t="s">
        <v>2229</v>
      </c>
      <c r="BV488" s="1">
        <v>1.1</v>
      </c>
      <c r="EQ488" s="9" t="s">
        <v>2228</v>
      </c>
      <c r="ER488" s="21">
        <v>46045.29859953704</v>
      </c>
    </row>
    <row r="489">
      <c r="A489" s="9" t="s">
        <v>2230</v>
      </c>
      <c r="B489" s="20" t="str">
        <f>IFERROR(__xludf.DUMMYFUNCTION("REGEXREPLACE(A489, ""^https?://[^/]+"", """")"),"/wp-content/uploads/2023/06/Filipski_Jeff-225x225.jpg")</f>
        <v>/wp-content/uploads/2023/06/Filipski_Jeff-225x225.jpg</v>
      </c>
      <c r="F489" s="1" t="s">
        <v>1004</v>
      </c>
      <c r="G489" s="1">
        <v>200.0</v>
      </c>
      <c r="H489" s="1" t="s">
        <v>966</v>
      </c>
      <c r="I489" s="1" t="s">
        <v>967</v>
      </c>
      <c r="L489" s="1">
        <v>0.0</v>
      </c>
      <c r="M489" s="1">
        <v>0.0</v>
      </c>
      <c r="O489" s="1">
        <v>0.0</v>
      </c>
      <c r="P489" s="1">
        <v>0.0</v>
      </c>
      <c r="R489" s="1">
        <v>0.0</v>
      </c>
      <c r="S489" s="1">
        <v>0.0</v>
      </c>
      <c r="U489" s="1">
        <v>0.0</v>
      </c>
      <c r="W489" s="1">
        <v>0.0</v>
      </c>
      <c r="Y489" s="1">
        <v>0.0</v>
      </c>
      <c r="AA489" s="1">
        <v>0.0</v>
      </c>
      <c r="AC489" s="1">
        <v>0.0</v>
      </c>
      <c r="AM489" s="1">
        <v>8156.0</v>
      </c>
      <c r="AN489" s="1">
        <v>8156.0</v>
      </c>
      <c r="AO489" s="1">
        <v>8156.0</v>
      </c>
      <c r="AP489" s="1">
        <v>3.124</v>
      </c>
      <c r="AR489" s="1">
        <v>0.0</v>
      </c>
      <c r="AW489" s="1">
        <v>0.0</v>
      </c>
      <c r="AX489" s="1">
        <v>2.0</v>
      </c>
      <c r="AY489" s="1">
        <v>4.0</v>
      </c>
      <c r="BA489" s="1">
        <v>0.0</v>
      </c>
      <c r="BB489" s="1">
        <v>0.0</v>
      </c>
      <c r="BC489" s="1">
        <v>0.0</v>
      </c>
      <c r="BD489" s="1">
        <v>0.0</v>
      </c>
      <c r="BE489" s="1">
        <v>0.0</v>
      </c>
      <c r="BF489" s="1">
        <v>0.0</v>
      </c>
      <c r="BG489" s="1">
        <v>0.0</v>
      </c>
      <c r="BH489" s="1">
        <v>0.0</v>
      </c>
      <c r="BI489" s="1">
        <v>0.0</v>
      </c>
      <c r="BJ489" s="1">
        <v>0.0</v>
      </c>
      <c r="BP489" s="1">
        <v>0.263</v>
      </c>
      <c r="BQ489" s="1" t="s">
        <v>2231</v>
      </c>
      <c r="BV489" s="1">
        <v>1.1</v>
      </c>
      <c r="EQ489" s="9" t="s">
        <v>2230</v>
      </c>
      <c r="ER489" s="21">
        <v>46045.29859953704</v>
      </c>
    </row>
    <row r="490">
      <c r="A490" s="9" t="s">
        <v>2232</v>
      </c>
      <c r="B490" s="20" t="str">
        <f>IFERROR(__xludf.DUMMYFUNCTION("REGEXREPLACE(A490, ""^https?://[^/]+"", """")"),"/wp-content/uploads/2022/04/Ziemke-Matthew-275x275-1-225x225.jpg")</f>
        <v>/wp-content/uploads/2022/04/Ziemke-Matthew-275x275-1-225x225.jpg</v>
      </c>
      <c r="F490" s="1" t="s">
        <v>1004</v>
      </c>
      <c r="G490" s="1">
        <v>200.0</v>
      </c>
      <c r="H490" s="1" t="s">
        <v>966</v>
      </c>
      <c r="I490" s="1" t="s">
        <v>967</v>
      </c>
      <c r="L490" s="1">
        <v>0.0</v>
      </c>
      <c r="M490" s="1">
        <v>0.0</v>
      </c>
      <c r="O490" s="1">
        <v>0.0</v>
      </c>
      <c r="P490" s="1">
        <v>0.0</v>
      </c>
      <c r="R490" s="1">
        <v>0.0</v>
      </c>
      <c r="S490" s="1">
        <v>0.0</v>
      </c>
      <c r="U490" s="1">
        <v>0.0</v>
      </c>
      <c r="W490" s="1">
        <v>0.0</v>
      </c>
      <c r="Y490" s="1">
        <v>0.0</v>
      </c>
      <c r="AA490" s="1">
        <v>0.0</v>
      </c>
      <c r="AC490" s="1">
        <v>0.0</v>
      </c>
      <c r="AM490" s="1">
        <v>8348.0</v>
      </c>
      <c r="AN490" s="1">
        <v>8348.0</v>
      </c>
      <c r="AO490" s="1">
        <v>8348.0</v>
      </c>
      <c r="AP490" s="1">
        <v>3.198</v>
      </c>
      <c r="AR490" s="1">
        <v>0.0</v>
      </c>
      <c r="AW490" s="1">
        <v>0.0</v>
      </c>
      <c r="AX490" s="1">
        <v>2.0</v>
      </c>
      <c r="AY490" s="1">
        <v>4.0</v>
      </c>
      <c r="BA490" s="1">
        <v>0.0</v>
      </c>
      <c r="BB490" s="1">
        <v>0.0</v>
      </c>
      <c r="BC490" s="1">
        <v>0.0</v>
      </c>
      <c r="BD490" s="1">
        <v>0.0</v>
      </c>
      <c r="BE490" s="1">
        <v>0.0</v>
      </c>
      <c r="BF490" s="1">
        <v>0.0</v>
      </c>
      <c r="BG490" s="1">
        <v>0.0</v>
      </c>
      <c r="BH490" s="1">
        <v>0.0</v>
      </c>
      <c r="BI490" s="1">
        <v>0.0</v>
      </c>
      <c r="BJ490" s="1">
        <v>0.0</v>
      </c>
      <c r="BP490" s="1">
        <v>0.278</v>
      </c>
      <c r="BQ490" s="1" t="s">
        <v>2233</v>
      </c>
      <c r="BV490" s="1">
        <v>1.1</v>
      </c>
      <c r="EQ490" s="9" t="s">
        <v>2232</v>
      </c>
      <c r="ER490" s="21">
        <v>46045.29861111111</v>
      </c>
    </row>
    <row r="491">
      <c r="A491" s="9" t="s">
        <v>2234</v>
      </c>
      <c r="B491" s="20" t="str">
        <f>IFERROR(__xludf.DUMMYFUNCTION("REGEXREPLACE(A491, ""^https?://[^/]+"", """")"),"/wp-content/uploads/2024/10/Toomer_David-225x225.jpg")</f>
        <v>/wp-content/uploads/2024/10/Toomer_David-225x225.jpg</v>
      </c>
      <c r="F491" s="1" t="s">
        <v>1004</v>
      </c>
      <c r="G491" s="1">
        <v>200.0</v>
      </c>
      <c r="H491" s="1" t="s">
        <v>966</v>
      </c>
      <c r="I491" s="1" t="s">
        <v>967</v>
      </c>
      <c r="L491" s="1">
        <v>0.0</v>
      </c>
      <c r="M491" s="1">
        <v>0.0</v>
      </c>
      <c r="O491" s="1">
        <v>0.0</v>
      </c>
      <c r="P491" s="1">
        <v>0.0</v>
      </c>
      <c r="R491" s="1">
        <v>0.0</v>
      </c>
      <c r="S491" s="1">
        <v>0.0</v>
      </c>
      <c r="U491" s="1">
        <v>0.0</v>
      </c>
      <c r="W491" s="1">
        <v>0.0</v>
      </c>
      <c r="Y491" s="1">
        <v>0.0</v>
      </c>
      <c r="AA491" s="1">
        <v>0.0</v>
      </c>
      <c r="AC491" s="1">
        <v>0.0</v>
      </c>
      <c r="AM491" s="1">
        <v>8914.0</v>
      </c>
      <c r="AN491" s="1">
        <v>8914.0</v>
      </c>
      <c r="AO491" s="1">
        <v>8914.0</v>
      </c>
      <c r="AP491" s="1">
        <v>3.415</v>
      </c>
      <c r="AR491" s="1">
        <v>0.0</v>
      </c>
      <c r="AW491" s="1">
        <v>0.0</v>
      </c>
      <c r="AX491" s="1">
        <v>2.0</v>
      </c>
      <c r="AY491" s="1">
        <v>4.0</v>
      </c>
      <c r="BA491" s="1">
        <v>0.0</v>
      </c>
      <c r="BB491" s="1">
        <v>0.0</v>
      </c>
      <c r="BC491" s="1">
        <v>0.0</v>
      </c>
      <c r="BD491" s="1">
        <v>0.0</v>
      </c>
      <c r="BE491" s="1">
        <v>0.0</v>
      </c>
      <c r="BF491" s="1">
        <v>0.0</v>
      </c>
      <c r="BG491" s="1">
        <v>0.0</v>
      </c>
      <c r="BH491" s="1">
        <v>0.0</v>
      </c>
      <c r="BI491" s="1">
        <v>0.0</v>
      </c>
      <c r="BJ491" s="1">
        <v>0.0</v>
      </c>
      <c r="BP491" s="1">
        <v>0.293</v>
      </c>
      <c r="BQ491" s="1" t="s">
        <v>2235</v>
      </c>
      <c r="BV491" s="1">
        <v>1.1</v>
      </c>
      <c r="EQ491" s="9" t="s">
        <v>2234</v>
      </c>
      <c r="ER491" s="21">
        <v>46045.29861111111</v>
      </c>
    </row>
    <row r="492">
      <c r="A492" s="9" t="s">
        <v>2236</v>
      </c>
      <c r="B492" s="20" t="str">
        <f>IFERROR(__xludf.DUMMYFUNCTION("REGEXREPLACE(A492, ""^https?://[^/]+"", """")"),"/wp-content/uploads/2024/07/Kummer_Mark-225x225.jpg")</f>
        <v>/wp-content/uploads/2024/07/Kummer_Mark-225x225.jpg</v>
      </c>
      <c r="F492" s="1" t="s">
        <v>1004</v>
      </c>
      <c r="G492" s="1">
        <v>200.0</v>
      </c>
      <c r="H492" s="1" t="s">
        <v>966</v>
      </c>
      <c r="I492" s="1" t="s">
        <v>967</v>
      </c>
      <c r="L492" s="1">
        <v>0.0</v>
      </c>
      <c r="M492" s="1">
        <v>0.0</v>
      </c>
      <c r="O492" s="1">
        <v>0.0</v>
      </c>
      <c r="P492" s="1">
        <v>0.0</v>
      </c>
      <c r="R492" s="1">
        <v>0.0</v>
      </c>
      <c r="S492" s="1">
        <v>0.0</v>
      </c>
      <c r="U492" s="1">
        <v>0.0</v>
      </c>
      <c r="W492" s="1">
        <v>0.0</v>
      </c>
      <c r="Y492" s="1">
        <v>0.0</v>
      </c>
      <c r="AA492" s="1">
        <v>0.0</v>
      </c>
      <c r="AC492" s="1">
        <v>0.0</v>
      </c>
      <c r="AM492" s="1">
        <v>9613.0</v>
      </c>
      <c r="AN492" s="1">
        <v>9613.0</v>
      </c>
      <c r="AO492" s="1">
        <v>9613.0</v>
      </c>
      <c r="AP492" s="1">
        <v>3.683</v>
      </c>
      <c r="AR492" s="1">
        <v>0.0</v>
      </c>
      <c r="AW492" s="1">
        <v>0.0</v>
      </c>
      <c r="AX492" s="1">
        <v>2.0</v>
      </c>
      <c r="AY492" s="1">
        <v>4.0</v>
      </c>
      <c r="BA492" s="1">
        <v>0.0</v>
      </c>
      <c r="BB492" s="1">
        <v>0.0</v>
      </c>
      <c r="BC492" s="1">
        <v>0.0</v>
      </c>
      <c r="BD492" s="1">
        <v>0.0</v>
      </c>
      <c r="BE492" s="1">
        <v>0.0</v>
      </c>
      <c r="BF492" s="1">
        <v>0.0</v>
      </c>
      <c r="BG492" s="1">
        <v>0.0</v>
      </c>
      <c r="BH492" s="1">
        <v>0.0</v>
      </c>
      <c r="BI492" s="1">
        <v>0.0</v>
      </c>
      <c r="BJ492" s="1">
        <v>0.0</v>
      </c>
      <c r="BP492" s="1">
        <v>0.269</v>
      </c>
      <c r="BQ492" s="1" t="s">
        <v>2237</v>
      </c>
      <c r="BV492" s="1">
        <v>1.1</v>
      </c>
      <c r="EQ492" s="9" t="s">
        <v>2236</v>
      </c>
      <c r="ER492" s="21">
        <v>46045.29861111111</v>
      </c>
    </row>
    <row r="493">
      <c r="A493" s="9" t="s">
        <v>2238</v>
      </c>
      <c r="B493" s="20" t="str">
        <f>IFERROR(__xludf.DUMMYFUNCTION("REGEXREPLACE(A493, ""^https?://[^/]+"", """")"),"/wp-content/uploads/2022/10/Essex_Pete-225x225.jpg")</f>
        <v>/wp-content/uploads/2022/10/Essex_Pete-225x225.jpg</v>
      </c>
      <c r="F493" s="1" t="s">
        <v>1004</v>
      </c>
      <c r="G493" s="1">
        <v>200.0</v>
      </c>
      <c r="H493" s="1" t="s">
        <v>966</v>
      </c>
      <c r="I493" s="1" t="s">
        <v>967</v>
      </c>
      <c r="L493" s="1">
        <v>0.0</v>
      </c>
      <c r="M493" s="1">
        <v>0.0</v>
      </c>
      <c r="O493" s="1">
        <v>0.0</v>
      </c>
      <c r="P493" s="1">
        <v>0.0</v>
      </c>
      <c r="R493" s="1">
        <v>0.0</v>
      </c>
      <c r="S493" s="1">
        <v>0.0</v>
      </c>
      <c r="U493" s="1">
        <v>0.0</v>
      </c>
      <c r="W493" s="1">
        <v>0.0</v>
      </c>
      <c r="Y493" s="1">
        <v>0.0</v>
      </c>
      <c r="AA493" s="1">
        <v>0.0</v>
      </c>
      <c r="AC493" s="1">
        <v>0.0</v>
      </c>
      <c r="AM493" s="1">
        <v>7894.0</v>
      </c>
      <c r="AN493" s="1">
        <v>7894.0</v>
      </c>
      <c r="AO493" s="1">
        <v>7894.0</v>
      </c>
      <c r="AP493" s="1">
        <v>3.024</v>
      </c>
      <c r="AR493" s="1">
        <v>0.0</v>
      </c>
      <c r="AW493" s="1">
        <v>0.0</v>
      </c>
      <c r="AX493" s="1">
        <v>2.0</v>
      </c>
      <c r="AY493" s="1">
        <v>4.0</v>
      </c>
      <c r="BA493" s="1">
        <v>0.0</v>
      </c>
      <c r="BB493" s="1">
        <v>0.0</v>
      </c>
      <c r="BC493" s="1">
        <v>0.0</v>
      </c>
      <c r="BD493" s="1">
        <v>0.0</v>
      </c>
      <c r="BE493" s="1">
        <v>0.0</v>
      </c>
      <c r="BF493" s="1">
        <v>0.0</v>
      </c>
      <c r="BG493" s="1">
        <v>0.0</v>
      </c>
      <c r="BH493" s="1">
        <v>0.0</v>
      </c>
      <c r="BI493" s="1">
        <v>0.0</v>
      </c>
      <c r="BJ493" s="1">
        <v>0.0</v>
      </c>
      <c r="BP493" s="1">
        <v>0.276</v>
      </c>
      <c r="BQ493" s="1" t="s">
        <v>2239</v>
      </c>
      <c r="BV493" s="1">
        <v>1.1</v>
      </c>
      <c r="EQ493" s="9" t="s">
        <v>2238</v>
      </c>
      <c r="ER493" s="21">
        <v>46045.29861111111</v>
      </c>
    </row>
    <row r="494">
      <c r="A494" s="9" t="s">
        <v>2240</v>
      </c>
      <c r="B494" s="20" t="str">
        <f>IFERROR(__xludf.DUMMYFUNCTION("REGEXREPLACE(A494, ""^https?://[^/]+"", """")"),"/wp-content/uploads/2017/01/Crandall_Kelly-225x225.jpg")</f>
        <v>/wp-content/uploads/2017/01/Crandall_Kelly-225x225.jpg</v>
      </c>
      <c r="F494" s="1" t="s">
        <v>1004</v>
      </c>
      <c r="G494" s="1">
        <v>200.0</v>
      </c>
      <c r="H494" s="1" t="s">
        <v>966</v>
      </c>
      <c r="I494" s="1" t="s">
        <v>967</v>
      </c>
      <c r="L494" s="1">
        <v>0.0</v>
      </c>
      <c r="M494" s="1">
        <v>0.0</v>
      </c>
      <c r="O494" s="1">
        <v>0.0</v>
      </c>
      <c r="P494" s="1">
        <v>0.0</v>
      </c>
      <c r="R494" s="1">
        <v>0.0</v>
      </c>
      <c r="S494" s="1">
        <v>0.0</v>
      </c>
      <c r="U494" s="1">
        <v>0.0</v>
      </c>
      <c r="W494" s="1">
        <v>0.0</v>
      </c>
      <c r="Y494" s="1">
        <v>0.0</v>
      </c>
      <c r="AA494" s="1">
        <v>0.0</v>
      </c>
      <c r="AC494" s="1">
        <v>0.0</v>
      </c>
      <c r="AM494" s="1">
        <v>7723.0</v>
      </c>
      <c r="AN494" s="1">
        <v>7723.0</v>
      </c>
      <c r="AO494" s="1">
        <v>7723.0</v>
      </c>
      <c r="AP494" s="1">
        <v>2.959</v>
      </c>
      <c r="AR494" s="1">
        <v>0.0</v>
      </c>
      <c r="AW494" s="1">
        <v>0.0</v>
      </c>
      <c r="AX494" s="1">
        <v>2.0</v>
      </c>
      <c r="AY494" s="1">
        <v>4.0</v>
      </c>
      <c r="BA494" s="1">
        <v>0.0</v>
      </c>
      <c r="BB494" s="1">
        <v>0.0</v>
      </c>
      <c r="BC494" s="1">
        <v>0.0</v>
      </c>
      <c r="BD494" s="1">
        <v>0.0</v>
      </c>
      <c r="BE494" s="1">
        <v>0.0</v>
      </c>
      <c r="BF494" s="1">
        <v>0.0</v>
      </c>
      <c r="BG494" s="1">
        <v>0.0</v>
      </c>
      <c r="BH494" s="1">
        <v>0.0</v>
      </c>
      <c r="BI494" s="1">
        <v>0.0</v>
      </c>
      <c r="BJ494" s="1">
        <v>0.0</v>
      </c>
      <c r="BP494" s="1">
        <v>0.275</v>
      </c>
      <c r="BQ494" s="1" t="s">
        <v>2241</v>
      </c>
      <c r="BV494" s="1">
        <v>1.1</v>
      </c>
      <c r="EQ494" s="9" t="s">
        <v>2240</v>
      </c>
      <c r="ER494" s="21">
        <v>46045.29861111111</v>
      </c>
    </row>
    <row r="495">
      <c r="A495" s="9" t="s">
        <v>2242</v>
      </c>
      <c r="B495" s="20" t="str">
        <f>IFERROR(__xludf.DUMMYFUNCTION("REGEXREPLACE(A495, ""^https?://[^/]+"", """")"),"/wp-content/uploads/2022/04/Daly-Tom-1-275x275-1-225x225.jpg")</f>
        <v>/wp-content/uploads/2022/04/Daly-Tom-1-275x275-1-225x225.jpg</v>
      </c>
      <c r="F495" s="1" t="s">
        <v>1004</v>
      </c>
      <c r="G495" s="1">
        <v>200.0</v>
      </c>
      <c r="H495" s="1" t="s">
        <v>966</v>
      </c>
      <c r="I495" s="1" t="s">
        <v>967</v>
      </c>
      <c r="L495" s="1">
        <v>0.0</v>
      </c>
      <c r="M495" s="1">
        <v>0.0</v>
      </c>
      <c r="O495" s="1">
        <v>0.0</v>
      </c>
      <c r="P495" s="1">
        <v>0.0</v>
      </c>
      <c r="R495" s="1">
        <v>0.0</v>
      </c>
      <c r="S495" s="1">
        <v>0.0</v>
      </c>
      <c r="U495" s="1">
        <v>0.0</v>
      </c>
      <c r="W495" s="1">
        <v>0.0</v>
      </c>
      <c r="Y495" s="1">
        <v>0.0</v>
      </c>
      <c r="AA495" s="1">
        <v>0.0</v>
      </c>
      <c r="AC495" s="1">
        <v>0.0</v>
      </c>
      <c r="AM495" s="1">
        <v>8351.0</v>
      </c>
      <c r="AN495" s="1">
        <v>8351.0</v>
      </c>
      <c r="AO495" s="1">
        <v>8351.0</v>
      </c>
      <c r="AP495" s="1">
        <v>3.199</v>
      </c>
      <c r="AR495" s="1">
        <v>0.0</v>
      </c>
      <c r="AW495" s="1">
        <v>0.0</v>
      </c>
      <c r="AX495" s="1">
        <v>2.0</v>
      </c>
      <c r="AY495" s="1">
        <v>4.0</v>
      </c>
      <c r="BA495" s="1">
        <v>0.0</v>
      </c>
      <c r="BB495" s="1">
        <v>0.0</v>
      </c>
      <c r="BC495" s="1">
        <v>0.0</v>
      </c>
      <c r="BD495" s="1">
        <v>0.0</v>
      </c>
      <c r="BE495" s="1">
        <v>0.0</v>
      </c>
      <c r="BF495" s="1">
        <v>0.0</v>
      </c>
      <c r="BG495" s="1">
        <v>0.0</v>
      </c>
      <c r="BH495" s="1">
        <v>0.0</v>
      </c>
      <c r="BI495" s="1">
        <v>0.0</v>
      </c>
      <c r="BJ495" s="1">
        <v>0.0</v>
      </c>
      <c r="BP495" s="1">
        <v>0.254</v>
      </c>
      <c r="BQ495" s="1" t="s">
        <v>2243</v>
      </c>
      <c r="BV495" s="1">
        <v>1.1</v>
      </c>
      <c r="EQ495" s="9" t="s">
        <v>2242</v>
      </c>
      <c r="ER495" s="21">
        <v>46045.298622685186</v>
      </c>
    </row>
    <row r="496">
      <c r="A496" s="9" t="s">
        <v>2244</v>
      </c>
      <c r="B496" s="20" t="str">
        <f>IFERROR(__xludf.DUMMYFUNCTION("REGEXREPLACE(A496, ""^https?://[^/]+"", """")"),"/wp-content/uploads/2017/01/Moore_Sean-225x225.jpg")</f>
        <v>/wp-content/uploads/2017/01/Moore_Sean-225x225.jpg</v>
      </c>
      <c r="F496" s="1" t="s">
        <v>1004</v>
      </c>
      <c r="G496" s="1">
        <v>200.0</v>
      </c>
      <c r="H496" s="1" t="s">
        <v>966</v>
      </c>
      <c r="I496" s="1" t="s">
        <v>967</v>
      </c>
      <c r="L496" s="1">
        <v>0.0</v>
      </c>
      <c r="M496" s="1">
        <v>0.0</v>
      </c>
      <c r="O496" s="1">
        <v>0.0</v>
      </c>
      <c r="P496" s="1">
        <v>0.0</v>
      </c>
      <c r="R496" s="1">
        <v>0.0</v>
      </c>
      <c r="S496" s="1">
        <v>0.0</v>
      </c>
      <c r="U496" s="1">
        <v>0.0</v>
      </c>
      <c r="W496" s="1">
        <v>0.0</v>
      </c>
      <c r="Y496" s="1">
        <v>0.0</v>
      </c>
      <c r="AA496" s="1">
        <v>0.0</v>
      </c>
      <c r="AC496" s="1">
        <v>0.0</v>
      </c>
      <c r="AM496" s="1">
        <v>9607.0</v>
      </c>
      <c r="AN496" s="1">
        <v>9607.0</v>
      </c>
      <c r="AO496" s="1">
        <v>9607.0</v>
      </c>
      <c r="AP496" s="1">
        <v>3.68</v>
      </c>
      <c r="AR496" s="1">
        <v>0.0</v>
      </c>
      <c r="AW496" s="1">
        <v>0.0</v>
      </c>
      <c r="AX496" s="1">
        <v>2.0</v>
      </c>
      <c r="AY496" s="1">
        <v>4.0</v>
      </c>
      <c r="BA496" s="1">
        <v>0.0</v>
      </c>
      <c r="BB496" s="1">
        <v>0.0</v>
      </c>
      <c r="BC496" s="1">
        <v>0.0</v>
      </c>
      <c r="BD496" s="1">
        <v>0.0</v>
      </c>
      <c r="BE496" s="1">
        <v>0.0</v>
      </c>
      <c r="BF496" s="1">
        <v>0.0</v>
      </c>
      <c r="BG496" s="1">
        <v>0.0</v>
      </c>
      <c r="BH496" s="1">
        <v>0.0</v>
      </c>
      <c r="BI496" s="1">
        <v>0.0</v>
      </c>
      <c r="BJ496" s="1">
        <v>0.0</v>
      </c>
      <c r="BP496" s="1">
        <v>0.276</v>
      </c>
      <c r="BQ496" s="1" t="s">
        <v>2245</v>
      </c>
      <c r="BV496" s="1">
        <v>1.1</v>
      </c>
      <c r="EQ496" s="9" t="s">
        <v>2244</v>
      </c>
      <c r="ER496" s="21">
        <v>46045.298622685186</v>
      </c>
    </row>
    <row r="497">
      <c r="A497" s="9" t="s">
        <v>2246</v>
      </c>
      <c r="B497" s="20" t="str">
        <f>IFERROR(__xludf.DUMMYFUNCTION("REGEXREPLACE(A497, ""^https?://[^/]+"", """")"),"/wp-content/uploads/2023/07/Susie-225x225.jpg")</f>
        <v>/wp-content/uploads/2023/07/Susie-225x225.jpg</v>
      </c>
      <c r="F497" s="1" t="s">
        <v>1004</v>
      </c>
      <c r="G497" s="1">
        <v>200.0</v>
      </c>
      <c r="H497" s="1" t="s">
        <v>966</v>
      </c>
      <c r="I497" s="1" t="s">
        <v>967</v>
      </c>
      <c r="L497" s="1">
        <v>0.0</v>
      </c>
      <c r="M497" s="1">
        <v>0.0</v>
      </c>
      <c r="O497" s="1">
        <v>0.0</v>
      </c>
      <c r="P497" s="1">
        <v>0.0</v>
      </c>
      <c r="R497" s="1">
        <v>0.0</v>
      </c>
      <c r="S497" s="1">
        <v>0.0</v>
      </c>
      <c r="U497" s="1">
        <v>0.0</v>
      </c>
      <c r="W497" s="1">
        <v>0.0</v>
      </c>
      <c r="Y497" s="1">
        <v>0.0</v>
      </c>
      <c r="AA497" s="1">
        <v>0.0</v>
      </c>
      <c r="AC497" s="1">
        <v>0.0</v>
      </c>
      <c r="AM497" s="1">
        <v>10990.0</v>
      </c>
      <c r="AN497" s="1">
        <v>10990.0</v>
      </c>
      <c r="AO497" s="1">
        <v>10990.0</v>
      </c>
      <c r="AP497" s="1">
        <v>4.21</v>
      </c>
      <c r="AR497" s="1">
        <v>0.0</v>
      </c>
      <c r="AW497" s="1">
        <v>0.0</v>
      </c>
      <c r="AX497" s="1">
        <v>2.0</v>
      </c>
      <c r="AY497" s="1">
        <v>4.0</v>
      </c>
      <c r="BA497" s="1">
        <v>0.0</v>
      </c>
      <c r="BB497" s="1">
        <v>0.0</v>
      </c>
      <c r="BC497" s="1">
        <v>0.0</v>
      </c>
      <c r="BD497" s="1">
        <v>0.0</v>
      </c>
      <c r="BE497" s="1">
        <v>0.0</v>
      </c>
      <c r="BF497" s="1">
        <v>0.0</v>
      </c>
      <c r="BG497" s="1">
        <v>0.0</v>
      </c>
      <c r="BH497" s="1">
        <v>0.0</v>
      </c>
      <c r="BI497" s="1">
        <v>0.0</v>
      </c>
      <c r="BJ497" s="1">
        <v>0.0</v>
      </c>
      <c r="BP497" s="1">
        <v>0.278</v>
      </c>
      <c r="BQ497" s="1" t="s">
        <v>2247</v>
      </c>
      <c r="BV497" s="1">
        <v>1.1</v>
      </c>
      <c r="EQ497" s="9" t="s">
        <v>2246</v>
      </c>
      <c r="ER497" s="21">
        <v>46045.298622685186</v>
      </c>
    </row>
    <row r="498">
      <c r="A498" s="9" t="s">
        <v>2248</v>
      </c>
      <c r="B498" s="20" t="str">
        <f>IFERROR(__xludf.DUMMYFUNCTION("REGEXREPLACE(A498, ""^https?://[^/]+"", """")"),"/wp-content/uploads/2022/04/Wills-Michael-225x225.jpg")</f>
        <v>/wp-content/uploads/2022/04/Wills-Michael-225x225.jpg</v>
      </c>
      <c r="F498" s="1" t="s">
        <v>1004</v>
      </c>
      <c r="G498" s="1">
        <v>200.0</v>
      </c>
      <c r="H498" s="1" t="s">
        <v>966</v>
      </c>
      <c r="I498" s="1" t="s">
        <v>967</v>
      </c>
      <c r="L498" s="1">
        <v>0.0</v>
      </c>
      <c r="M498" s="1">
        <v>0.0</v>
      </c>
      <c r="O498" s="1">
        <v>0.0</v>
      </c>
      <c r="P498" s="1">
        <v>0.0</v>
      </c>
      <c r="R498" s="1">
        <v>0.0</v>
      </c>
      <c r="S498" s="1">
        <v>0.0</v>
      </c>
      <c r="U498" s="1">
        <v>0.0</v>
      </c>
      <c r="W498" s="1">
        <v>0.0</v>
      </c>
      <c r="Y498" s="1">
        <v>0.0</v>
      </c>
      <c r="AA498" s="1">
        <v>0.0</v>
      </c>
      <c r="AC498" s="1">
        <v>0.0</v>
      </c>
      <c r="AM498" s="1">
        <v>7733.0</v>
      </c>
      <c r="AN498" s="1">
        <v>7733.0</v>
      </c>
      <c r="AO498" s="1">
        <v>7733.0</v>
      </c>
      <c r="AP498" s="1">
        <v>2.962</v>
      </c>
      <c r="AR498" s="1">
        <v>0.0</v>
      </c>
      <c r="AW498" s="1">
        <v>0.0</v>
      </c>
      <c r="AX498" s="1">
        <v>2.0</v>
      </c>
      <c r="AY498" s="1">
        <v>4.0</v>
      </c>
      <c r="BA498" s="1">
        <v>0.0</v>
      </c>
      <c r="BB498" s="1">
        <v>0.0</v>
      </c>
      <c r="BC498" s="1">
        <v>0.0</v>
      </c>
      <c r="BD498" s="1">
        <v>0.0</v>
      </c>
      <c r="BE498" s="1">
        <v>0.0</v>
      </c>
      <c r="BF498" s="1">
        <v>0.0</v>
      </c>
      <c r="BG498" s="1">
        <v>0.0</v>
      </c>
      <c r="BH498" s="1">
        <v>0.0</v>
      </c>
      <c r="BI498" s="1">
        <v>0.0</v>
      </c>
      <c r="BJ498" s="1">
        <v>0.0</v>
      </c>
      <c r="BP498" s="1">
        <v>0.283</v>
      </c>
      <c r="BQ498" s="1" t="s">
        <v>2249</v>
      </c>
      <c r="BV498" s="1">
        <v>1.1</v>
      </c>
      <c r="EQ498" s="9" t="s">
        <v>2248</v>
      </c>
      <c r="ER498" s="21">
        <v>46045.298622685186</v>
      </c>
    </row>
    <row r="499">
      <c r="A499" s="9" t="s">
        <v>2250</v>
      </c>
      <c r="B499" s="20" t="str">
        <f>IFERROR(__xludf.DUMMYFUNCTION("REGEXREPLACE(A499, ""^https?://[^/]+"", """")"),"/wp-content/uploads/2024/12/Donlon_Michael-225x225.jpg")</f>
        <v>/wp-content/uploads/2024/12/Donlon_Michael-225x225.jpg</v>
      </c>
      <c r="F499" s="1" t="s">
        <v>1004</v>
      </c>
      <c r="G499" s="1">
        <v>200.0</v>
      </c>
      <c r="H499" s="1" t="s">
        <v>966</v>
      </c>
      <c r="I499" s="1" t="s">
        <v>967</v>
      </c>
      <c r="L499" s="1">
        <v>0.0</v>
      </c>
      <c r="M499" s="1">
        <v>0.0</v>
      </c>
      <c r="O499" s="1">
        <v>0.0</v>
      </c>
      <c r="P499" s="1">
        <v>0.0</v>
      </c>
      <c r="R499" s="1">
        <v>0.0</v>
      </c>
      <c r="S499" s="1">
        <v>0.0</v>
      </c>
      <c r="U499" s="1">
        <v>0.0</v>
      </c>
      <c r="W499" s="1">
        <v>0.0</v>
      </c>
      <c r="Y499" s="1">
        <v>0.0</v>
      </c>
      <c r="AA499" s="1">
        <v>0.0</v>
      </c>
      <c r="AC499" s="1">
        <v>0.0</v>
      </c>
      <c r="AM499" s="1">
        <v>9716.0</v>
      </c>
      <c r="AN499" s="1">
        <v>9716.0</v>
      </c>
      <c r="AO499" s="1">
        <v>9716.0</v>
      </c>
      <c r="AP499" s="1">
        <v>3.722</v>
      </c>
      <c r="AR499" s="1">
        <v>0.0</v>
      </c>
      <c r="AW499" s="1">
        <v>0.0</v>
      </c>
      <c r="AX499" s="1">
        <v>2.0</v>
      </c>
      <c r="AY499" s="1">
        <v>4.0</v>
      </c>
      <c r="BA499" s="1">
        <v>0.0</v>
      </c>
      <c r="BB499" s="1">
        <v>0.0</v>
      </c>
      <c r="BC499" s="1">
        <v>0.0</v>
      </c>
      <c r="BD499" s="1">
        <v>0.0</v>
      </c>
      <c r="BE499" s="1">
        <v>0.0</v>
      </c>
      <c r="BF499" s="1">
        <v>0.0</v>
      </c>
      <c r="BG499" s="1">
        <v>0.0</v>
      </c>
      <c r="BH499" s="1">
        <v>0.0</v>
      </c>
      <c r="BI499" s="1">
        <v>0.0</v>
      </c>
      <c r="BJ499" s="1">
        <v>0.0</v>
      </c>
      <c r="BP499" s="1">
        <v>0.266</v>
      </c>
      <c r="BQ499" s="1" t="s">
        <v>2251</v>
      </c>
      <c r="BV499" s="1">
        <v>1.1</v>
      </c>
      <c r="EQ499" s="9" t="s">
        <v>2250</v>
      </c>
      <c r="ER499" s="21">
        <v>46045.298634259256</v>
      </c>
    </row>
    <row r="500">
      <c r="A500" s="9" t="s">
        <v>2252</v>
      </c>
      <c r="B500" s="20" t="str">
        <f>IFERROR(__xludf.DUMMYFUNCTION("REGEXREPLACE(A500, ""^https?://[^/]+"", """")"),"/wp-content/uploads/2024/12/Eggleston_Larry-225x225.jpg")</f>
        <v>/wp-content/uploads/2024/12/Eggleston_Larry-225x225.jpg</v>
      </c>
      <c r="F500" s="1" t="s">
        <v>1004</v>
      </c>
      <c r="G500" s="1">
        <v>200.0</v>
      </c>
      <c r="H500" s="1" t="s">
        <v>966</v>
      </c>
      <c r="I500" s="1" t="s">
        <v>967</v>
      </c>
      <c r="L500" s="1">
        <v>0.0</v>
      </c>
      <c r="M500" s="1">
        <v>0.0</v>
      </c>
      <c r="O500" s="1">
        <v>0.0</v>
      </c>
      <c r="P500" s="1">
        <v>0.0</v>
      </c>
      <c r="R500" s="1">
        <v>0.0</v>
      </c>
      <c r="S500" s="1">
        <v>0.0</v>
      </c>
      <c r="U500" s="1">
        <v>0.0</v>
      </c>
      <c r="W500" s="1">
        <v>0.0</v>
      </c>
      <c r="Y500" s="1">
        <v>0.0</v>
      </c>
      <c r="AA500" s="1">
        <v>0.0</v>
      </c>
      <c r="AC500" s="1">
        <v>0.0</v>
      </c>
      <c r="AM500" s="1">
        <v>10837.0</v>
      </c>
      <c r="AN500" s="1">
        <v>10837.0</v>
      </c>
      <c r="AO500" s="1">
        <v>10837.0</v>
      </c>
      <c r="AP500" s="1">
        <v>4.151</v>
      </c>
      <c r="AR500" s="1">
        <v>0.0</v>
      </c>
      <c r="AW500" s="1">
        <v>0.0</v>
      </c>
      <c r="AX500" s="1">
        <v>2.0</v>
      </c>
      <c r="AY500" s="1">
        <v>4.0</v>
      </c>
      <c r="BA500" s="1">
        <v>0.0</v>
      </c>
      <c r="BB500" s="1">
        <v>0.0</v>
      </c>
      <c r="BC500" s="1">
        <v>0.0</v>
      </c>
      <c r="BD500" s="1">
        <v>0.0</v>
      </c>
      <c r="BE500" s="1">
        <v>0.0</v>
      </c>
      <c r="BF500" s="1">
        <v>0.0</v>
      </c>
      <c r="BG500" s="1">
        <v>0.0</v>
      </c>
      <c r="BH500" s="1">
        <v>0.0</v>
      </c>
      <c r="BI500" s="1">
        <v>0.0</v>
      </c>
      <c r="BJ500" s="1">
        <v>0.0</v>
      </c>
      <c r="BP500" s="1">
        <v>0.277</v>
      </c>
      <c r="BQ500" s="1" t="s">
        <v>2253</v>
      </c>
      <c r="BV500" s="1">
        <v>1.1</v>
      </c>
      <c r="EQ500" s="9" t="s">
        <v>2252</v>
      </c>
      <c r="ER500" s="21">
        <v>46045.298634259256</v>
      </c>
    </row>
    <row r="501">
      <c r="A501" s="9" t="s">
        <v>2254</v>
      </c>
      <c r="B501" s="20" t="str">
        <f>IFERROR(__xludf.DUMMYFUNCTION("REGEXREPLACE(A501, ""^https?://[^/]+"", """")"),"/wp-content/uploads/2022/04/Costello-Jim-275x275-1-225x225.jpg")</f>
        <v>/wp-content/uploads/2022/04/Costello-Jim-275x275-1-225x225.jpg</v>
      </c>
      <c r="F501" s="1" t="s">
        <v>1004</v>
      </c>
      <c r="G501" s="1">
        <v>200.0</v>
      </c>
      <c r="H501" s="1" t="s">
        <v>966</v>
      </c>
      <c r="I501" s="1" t="s">
        <v>967</v>
      </c>
      <c r="L501" s="1">
        <v>0.0</v>
      </c>
      <c r="M501" s="1">
        <v>0.0</v>
      </c>
      <c r="O501" s="1">
        <v>0.0</v>
      </c>
      <c r="P501" s="1">
        <v>0.0</v>
      </c>
      <c r="R501" s="1">
        <v>0.0</v>
      </c>
      <c r="S501" s="1">
        <v>0.0</v>
      </c>
      <c r="U501" s="1">
        <v>0.0</v>
      </c>
      <c r="W501" s="1">
        <v>0.0</v>
      </c>
      <c r="Y501" s="1">
        <v>0.0</v>
      </c>
      <c r="AA501" s="1">
        <v>0.0</v>
      </c>
      <c r="AC501" s="1">
        <v>0.0</v>
      </c>
      <c r="AM501" s="1">
        <v>8481.0</v>
      </c>
      <c r="AN501" s="1">
        <v>8481.0</v>
      </c>
      <c r="AO501" s="1">
        <v>8481.0</v>
      </c>
      <c r="AP501" s="1">
        <v>3.249</v>
      </c>
      <c r="AR501" s="1">
        <v>0.0</v>
      </c>
      <c r="AW501" s="1">
        <v>0.0</v>
      </c>
      <c r="AX501" s="1">
        <v>2.0</v>
      </c>
      <c r="AY501" s="1">
        <v>4.0</v>
      </c>
      <c r="BA501" s="1">
        <v>0.0</v>
      </c>
      <c r="BB501" s="1">
        <v>0.0</v>
      </c>
      <c r="BC501" s="1">
        <v>0.0</v>
      </c>
      <c r="BD501" s="1">
        <v>0.0</v>
      </c>
      <c r="BE501" s="1">
        <v>0.0</v>
      </c>
      <c r="BF501" s="1">
        <v>0.0</v>
      </c>
      <c r="BG501" s="1">
        <v>0.0</v>
      </c>
      <c r="BH501" s="1">
        <v>0.0</v>
      </c>
      <c r="BI501" s="1">
        <v>0.0</v>
      </c>
      <c r="BJ501" s="1">
        <v>0.0</v>
      </c>
      <c r="BP501" s="1">
        <v>0.285</v>
      </c>
      <c r="BQ501" s="1" t="s">
        <v>2255</v>
      </c>
      <c r="BV501" s="1">
        <v>1.1</v>
      </c>
      <c r="EQ501" s="9" t="s">
        <v>2254</v>
      </c>
      <c r="ER501" s="21">
        <v>46045.298634259256</v>
      </c>
    </row>
    <row r="502">
      <c r="A502" s="9" t="s">
        <v>2256</v>
      </c>
      <c r="B502" s="20" t="str">
        <f>IFERROR(__xludf.DUMMYFUNCTION("REGEXREPLACE(A502, ""^https?://[^/]+"", """")"),"/wp-content/uploads/2017/01/Shaughnessy_Kevin-225x225.jpg")</f>
        <v>/wp-content/uploads/2017/01/Shaughnessy_Kevin-225x225.jpg</v>
      </c>
      <c r="F502" s="1" t="s">
        <v>1004</v>
      </c>
      <c r="G502" s="1">
        <v>200.0</v>
      </c>
      <c r="H502" s="1" t="s">
        <v>966</v>
      </c>
      <c r="I502" s="1" t="s">
        <v>967</v>
      </c>
      <c r="L502" s="1">
        <v>0.0</v>
      </c>
      <c r="M502" s="1">
        <v>0.0</v>
      </c>
      <c r="O502" s="1">
        <v>0.0</v>
      </c>
      <c r="P502" s="1">
        <v>0.0</v>
      </c>
      <c r="R502" s="1">
        <v>0.0</v>
      </c>
      <c r="S502" s="1">
        <v>0.0</v>
      </c>
      <c r="U502" s="1">
        <v>0.0</v>
      </c>
      <c r="W502" s="1">
        <v>0.0</v>
      </c>
      <c r="Y502" s="1">
        <v>0.0</v>
      </c>
      <c r="AA502" s="1">
        <v>0.0</v>
      </c>
      <c r="AC502" s="1">
        <v>0.0</v>
      </c>
      <c r="AM502" s="1">
        <v>10254.0</v>
      </c>
      <c r="AN502" s="1">
        <v>10254.0</v>
      </c>
      <c r="AO502" s="1">
        <v>10254.0</v>
      </c>
      <c r="AP502" s="1">
        <v>3.928</v>
      </c>
      <c r="AR502" s="1">
        <v>0.0</v>
      </c>
      <c r="AW502" s="1">
        <v>0.0</v>
      </c>
      <c r="AX502" s="1">
        <v>2.0</v>
      </c>
      <c r="AY502" s="1">
        <v>4.0</v>
      </c>
      <c r="BA502" s="1">
        <v>0.0</v>
      </c>
      <c r="BB502" s="1">
        <v>0.0</v>
      </c>
      <c r="BC502" s="1">
        <v>0.0</v>
      </c>
      <c r="BD502" s="1">
        <v>0.0</v>
      </c>
      <c r="BE502" s="1">
        <v>0.0</v>
      </c>
      <c r="BF502" s="1">
        <v>0.0</v>
      </c>
      <c r="BG502" s="1">
        <v>0.0</v>
      </c>
      <c r="BH502" s="1">
        <v>0.0</v>
      </c>
      <c r="BI502" s="1">
        <v>0.0</v>
      </c>
      <c r="BJ502" s="1">
        <v>0.0</v>
      </c>
      <c r="BP502" s="1">
        <v>0.275</v>
      </c>
      <c r="BQ502" s="1" t="s">
        <v>2257</v>
      </c>
      <c r="BV502" s="1">
        <v>1.1</v>
      </c>
      <c r="EQ502" s="9" t="s">
        <v>2256</v>
      </c>
      <c r="ER502" s="21">
        <v>46045.298634259256</v>
      </c>
    </row>
    <row r="503">
      <c r="A503" s="9" t="s">
        <v>2258</v>
      </c>
      <c r="B503" s="20" t="str">
        <f>IFERROR(__xludf.DUMMYFUNCTION("REGEXREPLACE(A503, ""^https?://[^/]+"", """")"),"/wp-content/uploads/2025/06/Wong_Rick-225x225.jpg")</f>
        <v>/wp-content/uploads/2025/06/Wong_Rick-225x225.jpg</v>
      </c>
      <c r="F503" s="1" t="s">
        <v>1004</v>
      </c>
      <c r="G503" s="1">
        <v>200.0</v>
      </c>
      <c r="H503" s="1" t="s">
        <v>966</v>
      </c>
      <c r="I503" s="1" t="s">
        <v>967</v>
      </c>
      <c r="L503" s="1">
        <v>0.0</v>
      </c>
      <c r="M503" s="1">
        <v>0.0</v>
      </c>
      <c r="O503" s="1">
        <v>0.0</v>
      </c>
      <c r="P503" s="1">
        <v>0.0</v>
      </c>
      <c r="R503" s="1">
        <v>0.0</v>
      </c>
      <c r="S503" s="1">
        <v>0.0</v>
      </c>
      <c r="U503" s="1">
        <v>0.0</v>
      </c>
      <c r="W503" s="1">
        <v>0.0</v>
      </c>
      <c r="Y503" s="1">
        <v>0.0</v>
      </c>
      <c r="AA503" s="1">
        <v>0.0</v>
      </c>
      <c r="AC503" s="1">
        <v>0.0</v>
      </c>
      <c r="AM503" s="1">
        <v>7842.0</v>
      </c>
      <c r="AN503" s="1">
        <v>7842.0</v>
      </c>
      <c r="AO503" s="1">
        <v>7842.0</v>
      </c>
      <c r="AP503" s="1">
        <v>3.004</v>
      </c>
      <c r="AR503" s="1">
        <v>0.0</v>
      </c>
      <c r="AW503" s="1">
        <v>0.0</v>
      </c>
      <c r="AX503" s="1">
        <v>2.0</v>
      </c>
      <c r="AY503" s="1">
        <v>4.0</v>
      </c>
      <c r="BA503" s="1">
        <v>0.0</v>
      </c>
      <c r="BB503" s="1">
        <v>0.0</v>
      </c>
      <c r="BC503" s="1">
        <v>0.0</v>
      </c>
      <c r="BD503" s="1">
        <v>0.0</v>
      </c>
      <c r="BE503" s="1">
        <v>0.0</v>
      </c>
      <c r="BF503" s="1">
        <v>0.0</v>
      </c>
      <c r="BG503" s="1">
        <v>0.0</v>
      </c>
      <c r="BH503" s="1">
        <v>0.0</v>
      </c>
      <c r="BI503" s="1">
        <v>0.0</v>
      </c>
      <c r="BJ503" s="1">
        <v>0.0</v>
      </c>
      <c r="BP503" s="1">
        <v>0.284</v>
      </c>
      <c r="BQ503" s="1" t="s">
        <v>2259</v>
      </c>
      <c r="BV503" s="1">
        <v>1.1</v>
      </c>
      <c r="EQ503" s="9" t="s">
        <v>2258</v>
      </c>
      <c r="ER503" s="21">
        <v>46045.298634259256</v>
      </c>
    </row>
    <row r="504">
      <c r="A504" s="9" t="s">
        <v>2260</v>
      </c>
      <c r="B504" s="20" t="str">
        <f>IFERROR(__xludf.DUMMYFUNCTION("REGEXREPLACE(A504, ""^https?://[^/]+"", """")"),"/wp-content/uploads/2024/03/Adams-Mike-225x225.jpg")</f>
        <v>/wp-content/uploads/2024/03/Adams-Mike-225x225.jpg</v>
      </c>
      <c r="F504" s="1" t="s">
        <v>1004</v>
      </c>
      <c r="G504" s="1">
        <v>200.0</v>
      </c>
      <c r="H504" s="1" t="s">
        <v>966</v>
      </c>
      <c r="I504" s="1" t="s">
        <v>967</v>
      </c>
      <c r="L504" s="1">
        <v>0.0</v>
      </c>
      <c r="M504" s="1">
        <v>0.0</v>
      </c>
      <c r="O504" s="1">
        <v>0.0</v>
      </c>
      <c r="P504" s="1">
        <v>0.0</v>
      </c>
      <c r="R504" s="1">
        <v>0.0</v>
      </c>
      <c r="S504" s="1">
        <v>0.0</v>
      </c>
      <c r="U504" s="1">
        <v>0.0</v>
      </c>
      <c r="W504" s="1">
        <v>0.0</v>
      </c>
      <c r="Y504" s="1">
        <v>0.0</v>
      </c>
      <c r="AA504" s="1">
        <v>0.0</v>
      </c>
      <c r="AC504" s="1">
        <v>0.0</v>
      </c>
      <c r="AM504" s="1">
        <v>9120.0</v>
      </c>
      <c r="AN504" s="1">
        <v>9120.0</v>
      </c>
      <c r="AO504" s="1">
        <v>9120.0</v>
      </c>
      <c r="AP504" s="1">
        <v>3.494</v>
      </c>
      <c r="AR504" s="1">
        <v>0.0</v>
      </c>
      <c r="AW504" s="1">
        <v>0.0</v>
      </c>
      <c r="AX504" s="1">
        <v>2.0</v>
      </c>
      <c r="AY504" s="1">
        <v>4.0</v>
      </c>
      <c r="BA504" s="1">
        <v>0.0</v>
      </c>
      <c r="BB504" s="1">
        <v>0.0</v>
      </c>
      <c r="BC504" s="1">
        <v>0.0</v>
      </c>
      <c r="BD504" s="1">
        <v>0.0</v>
      </c>
      <c r="BE504" s="1">
        <v>0.0</v>
      </c>
      <c r="BF504" s="1">
        <v>0.0</v>
      </c>
      <c r="BG504" s="1">
        <v>0.0</v>
      </c>
      <c r="BH504" s="1">
        <v>0.0</v>
      </c>
      <c r="BI504" s="1">
        <v>0.0</v>
      </c>
      <c r="BJ504" s="1">
        <v>0.0</v>
      </c>
      <c r="BP504" s="1">
        <v>0.28</v>
      </c>
      <c r="BQ504" s="1" t="s">
        <v>2261</v>
      </c>
      <c r="BV504" s="1">
        <v>1.1</v>
      </c>
      <c r="EQ504" s="9" t="s">
        <v>2260</v>
      </c>
      <c r="ER504" s="21">
        <v>46045.298634259256</v>
      </c>
    </row>
    <row r="505">
      <c r="A505" s="9" t="s">
        <v>2262</v>
      </c>
      <c r="B505" s="20" t="str">
        <f>IFERROR(__xludf.DUMMYFUNCTION("REGEXREPLACE(A505, ""^https?://[^/]+"", """")"),"/wp-content/uploads/2022/06/Balis_Eric-225x225.jpg")</f>
        <v>/wp-content/uploads/2022/06/Balis_Eric-225x225.jpg</v>
      </c>
      <c r="F505" s="1" t="s">
        <v>1004</v>
      </c>
      <c r="G505" s="1">
        <v>200.0</v>
      </c>
      <c r="H505" s="1" t="s">
        <v>966</v>
      </c>
      <c r="I505" s="1" t="s">
        <v>967</v>
      </c>
      <c r="L505" s="1">
        <v>0.0</v>
      </c>
      <c r="M505" s="1">
        <v>0.0</v>
      </c>
      <c r="O505" s="1">
        <v>0.0</v>
      </c>
      <c r="P505" s="1">
        <v>0.0</v>
      </c>
      <c r="R505" s="1">
        <v>0.0</v>
      </c>
      <c r="S505" s="1">
        <v>0.0</v>
      </c>
      <c r="U505" s="1">
        <v>0.0</v>
      </c>
      <c r="W505" s="1">
        <v>0.0</v>
      </c>
      <c r="Y505" s="1">
        <v>0.0</v>
      </c>
      <c r="AA505" s="1">
        <v>0.0</v>
      </c>
      <c r="AC505" s="1">
        <v>0.0</v>
      </c>
      <c r="AM505" s="1">
        <v>8785.0</v>
      </c>
      <c r="AN505" s="1">
        <v>8785.0</v>
      </c>
      <c r="AO505" s="1">
        <v>8785.0</v>
      </c>
      <c r="AP505" s="1">
        <v>3.365</v>
      </c>
      <c r="AR505" s="1">
        <v>0.0</v>
      </c>
      <c r="AW505" s="1">
        <v>0.0</v>
      </c>
      <c r="AX505" s="1">
        <v>2.0</v>
      </c>
      <c r="AY505" s="1">
        <v>4.0</v>
      </c>
      <c r="BA505" s="1">
        <v>0.0</v>
      </c>
      <c r="BB505" s="1">
        <v>0.0</v>
      </c>
      <c r="BC505" s="1">
        <v>0.0</v>
      </c>
      <c r="BD505" s="1">
        <v>0.0</v>
      </c>
      <c r="BE505" s="1">
        <v>0.0</v>
      </c>
      <c r="BF505" s="1">
        <v>0.0</v>
      </c>
      <c r="BG505" s="1">
        <v>0.0</v>
      </c>
      <c r="BH505" s="1">
        <v>0.0</v>
      </c>
      <c r="BI505" s="1">
        <v>0.0</v>
      </c>
      <c r="BJ505" s="1">
        <v>0.0</v>
      </c>
      <c r="BP505" s="1">
        <v>0.258</v>
      </c>
      <c r="BQ505" s="1" t="s">
        <v>2263</v>
      </c>
      <c r="BV505" s="1">
        <v>1.1</v>
      </c>
      <c r="EQ505" s="9" t="s">
        <v>2262</v>
      </c>
      <c r="ER505" s="21">
        <v>46045.29864583333</v>
      </c>
    </row>
    <row r="506">
      <c r="A506" s="9" t="s">
        <v>2264</v>
      </c>
      <c r="B506" s="20" t="str">
        <f>IFERROR(__xludf.DUMMYFUNCTION("REGEXREPLACE(A506, ""^https?://[^/]+"", """")"),"/wp-content/uploads/2022/04/Diemer-Michael-275x275-1-225x225.jpg")</f>
        <v>/wp-content/uploads/2022/04/Diemer-Michael-275x275-1-225x225.jpg</v>
      </c>
      <c r="F506" s="1" t="s">
        <v>1004</v>
      </c>
      <c r="G506" s="1">
        <v>200.0</v>
      </c>
      <c r="H506" s="1" t="s">
        <v>966</v>
      </c>
      <c r="I506" s="1" t="s">
        <v>967</v>
      </c>
      <c r="L506" s="1">
        <v>0.0</v>
      </c>
      <c r="M506" s="1">
        <v>0.0</v>
      </c>
      <c r="O506" s="1">
        <v>0.0</v>
      </c>
      <c r="P506" s="1">
        <v>0.0</v>
      </c>
      <c r="R506" s="1">
        <v>0.0</v>
      </c>
      <c r="S506" s="1">
        <v>0.0</v>
      </c>
      <c r="U506" s="1">
        <v>0.0</v>
      </c>
      <c r="W506" s="1">
        <v>0.0</v>
      </c>
      <c r="Y506" s="1">
        <v>0.0</v>
      </c>
      <c r="AA506" s="1">
        <v>0.0</v>
      </c>
      <c r="AC506" s="1">
        <v>0.0</v>
      </c>
      <c r="AM506" s="1">
        <v>8506.0</v>
      </c>
      <c r="AN506" s="1">
        <v>8506.0</v>
      </c>
      <c r="AO506" s="1">
        <v>8506.0</v>
      </c>
      <c r="AP506" s="1">
        <v>3.258</v>
      </c>
      <c r="AR506" s="1">
        <v>0.0</v>
      </c>
      <c r="AW506" s="1">
        <v>0.0</v>
      </c>
      <c r="AX506" s="1">
        <v>2.0</v>
      </c>
      <c r="AY506" s="1">
        <v>4.0</v>
      </c>
      <c r="BA506" s="1">
        <v>0.0</v>
      </c>
      <c r="BB506" s="1">
        <v>0.0</v>
      </c>
      <c r="BC506" s="1">
        <v>0.0</v>
      </c>
      <c r="BD506" s="1">
        <v>0.0</v>
      </c>
      <c r="BE506" s="1">
        <v>0.0</v>
      </c>
      <c r="BF506" s="1">
        <v>0.0</v>
      </c>
      <c r="BG506" s="1">
        <v>0.0</v>
      </c>
      <c r="BH506" s="1">
        <v>0.0</v>
      </c>
      <c r="BI506" s="1">
        <v>0.0</v>
      </c>
      <c r="BJ506" s="1">
        <v>0.0</v>
      </c>
      <c r="BP506" s="1">
        <v>0.273</v>
      </c>
      <c r="BQ506" s="1" t="s">
        <v>2265</v>
      </c>
      <c r="BV506" s="1">
        <v>1.1</v>
      </c>
      <c r="EQ506" s="9" t="s">
        <v>2264</v>
      </c>
      <c r="ER506" s="21">
        <v>46045.29864583333</v>
      </c>
    </row>
    <row r="507">
      <c r="A507" s="9" t="s">
        <v>2266</v>
      </c>
      <c r="B507" s="20" t="str">
        <f>IFERROR(__xludf.DUMMYFUNCTION("REGEXREPLACE(A507, ""^https?://[^/]+"", """")"),"/wp-content/uploads/2023/06/Beck_Norm-225x225.jpg")</f>
        <v>/wp-content/uploads/2023/06/Beck_Norm-225x225.jpg</v>
      </c>
      <c r="F507" s="1" t="s">
        <v>1004</v>
      </c>
      <c r="G507" s="1">
        <v>200.0</v>
      </c>
      <c r="H507" s="1" t="s">
        <v>966</v>
      </c>
      <c r="I507" s="1" t="s">
        <v>967</v>
      </c>
      <c r="L507" s="1">
        <v>0.0</v>
      </c>
      <c r="M507" s="1">
        <v>0.0</v>
      </c>
      <c r="O507" s="1">
        <v>0.0</v>
      </c>
      <c r="P507" s="1">
        <v>0.0</v>
      </c>
      <c r="R507" s="1">
        <v>0.0</v>
      </c>
      <c r="S507" s="1">
        <v>0.0</v>
      </c>
      <c r="U507" s="1">
        <v>0.0</v>
      </c>
      <c r="W507" s="1">
        <v>0.0</v>
      </c>
      <c r="Y507" s="1">
        <v>0.0</v>
      </c>
      <c r="AA507" s="1">
        <v>0.0</v>
      </c>
      <c r="AC507" s="1">
        <v>0.0</v>
      </c>
      <c r="AM507" s="1">
        <v>10563.0</v>
      </c>
      <c r="AN507" s="1">
        <v>10563.0</v>
      </c>
      <c r="AO507" s="1">
        <v>10563.0</v>
      </c>
      <c r="AP507" s="1">
        <v>4.046</v>
      </c>
      <c r="AR507" s="1">
        <v>0.0</v>
      </c>
      <c r="AW507" s="1">
        <v>0.0</v>
      </c>
      <c r="AX507" s="1">
        <v>2.0</v>
      </c>
      <c r="AY507" s="1">
        <v>4.0</v>
      </c>
      <c r="BA507" s="1">
        <v>0.0</v>
      </c>
      <c r="BB507" s="1">
        <v>0.0</v>
      </c>
      <c r="BC507" s="1">
        <v>0.0</v>
      </c>
      <c r="BD507" s="1">
        <v>0.0</v>
      </c>
      <c r="BE507" s="1">
        <v>0.0</v>
      </c>
      <c r="BF507" s="1">
        <v>0.0</v>
      </c>
      <c r="BG507" s="1">
        <v>0.0</v>
      </c>
      <c r="BH507" s="1">
        <v>0.0</v>
      </c>
      <c r="BI507" s="1">
        <v>0.0</v>
      </c>
      <c r="BJ507" s="1">
        <v>0.0</v>
      </c>
      <c r="BP507" s="1">
        <v>0.271</v>
      </c>
      <c r="BQ507" s="1" t="s">
        <v>2267</v>
      </c>
      <c r="BV507" s="1">
        <v>1.1</v>
      </c>
      <c r="EQ507" s="9" t="s">
        <v>2266</v>
      </c>
      <c r="ER507" s="21">
        <v>46045.29865740741</v>
      </c>
    </row>
    <row r="508">
      <c r="A508" s="9" t="s">
        <v>2268</v>
      </c>
      <c r="B508" s="20" t="str">
        <f>IFERROR(__xludf.DUMMYFUNCTION("REGEXREPLACE(A508, ""^https?://[^/]+"", """")"),"/wp-content/uploads/2024/06/Lock-Robert-225x225.jpg")</f>
        <v>/wp-content/uploads/2024/06/Lock-Robert-225x225.jpg</v>
      </c>
      <c r="F508" s="1" t="s">
        <v>1004</v>
      </c>
      <c r="G508" s="1">
        <v>200.0</v>
      </c>
      <c r="H508" s="1" t="s">
        <v>966</v>
      </c>
      <c r="I508" s="1" t="s">
        <v>967</v>
      </c>
      <c r="L508" s="1">
        <v>0.0</v>
      </c>
      <c r="M508" s="1">
        <v>0.0</v>
      </c>
      <c r="O508" s="1">
        <v>0.0</v>
      </c>
      <c r="P508" s="1">
        <v>0.0</v>
      </c>
      <c r="R508" s="1">
        <v>0.0</v>
      </c>
      <c r="S508" s="1">
        <v>0.0</v>
      </c>
      <c r="U508" s="1">
        <v>0.0</v>
      </c>
      <c r="W508" s="1">
        <v>0.0</v>
      </c>
      <c r="Y508" s="1">
        <v>0.0</v>
      </c>
      <c r="AA508" s="1">
        <v>0.0</v>
      </c>
      <c r="AC508" s="1">
        <v>0.0</v>
      </c>
      <c r="AM508" s="1">
        <v>8997.0</v>
      </c>
      <c r="AN508" s="1">
        <v>8997.0</v>
      </c>
      <c r="AO508" s="1">
        <v>8997.0</v>
      </c>
      <c r="AP508" s="1">
        <v>3.447</v>
      </c>
      <c r="AR508" s="1">
        <v>0.0</v>
      </c>
      <c r="AW508" s="1">
        <v>0.0</v>
      </c>
      <c r="AX508" s="1">
        <v>2.0</v>
      </c>
      <c r="AY508" s="1">
        <v>4.0</v>
      </c>
      <c r="BA508" s="1">
        <v>0.0</v>
      </c>
      <c r="BB508" s="1">
        <v>0.0</v>
      </c>
      <c r="BC508" s="1">
        <v>0.0</v>
      </c>
      <c r="BD508" s="1">
        <v>0.0</v>
      </c>
      <c r="BE508" s="1">
        <v>0.0</v>
      </c>
      <c r="BF508" s="1">
        <v>0.0</v>
      </c>
      <c r="BG508" s="1">
        <v>0.0</v>
      </c>
      <c r="BH508" s="1">
        <v>0.0</v>
      </c>
      <c r="BI508" s="1">
        <v>0.0</v>
      </c>
      <c r="BJ508" s="1">
        <v>0.0</v>
      </c>
      <c r="BP508" s="1">
        <v>0.325</v>
      </c>
      <c r="BQ508" s="1" t="s">
        <v>2269</v>
      </c>
      <c r="BV508" s="1">
        <v>1.1</v>
      </c>
      <c r="EQ508" s="9" t="s">
        <v>2268</v>
      </c>
      <c r="ER508" s="21">
        <v>46045.29865740741</v>
      </c>
    </row>
    <row r="509">
      <c r="A509" s="9" t="s">
        <v>2270</v>
      </c>
      <c r="B509" s="20" t="str">
        <f>IFERROR(__xludf.DUMMYFUNCTION("REGEXREPLACE(A509, ""^https?://[^/]+"", """")"),"/wp-content/uploads/2022/04/Lindert-Mike-275x275-1-225x225.jpg")</f>
        <v>/wp-content/uploads/2022/04/Lindert-Mike-275x275-1-225x225.jpg</v>
      </c>
      <c r="F509" s="1" t="s">
        <v>1004</v>
      </c>
      <c r="G509" s="1">
        <v>200.0</v>
      </c>
      <c r="H509" s="1" t="s">
        <v>966</v>
      </c>
      <c r="I509" s="1" t="s">
        <v>967</v>
      </c>
      <c r="L509" s="1">
        <v>0.0</v>
      </c>
      <c r="M509" s="1">
        <v>0.0</v>
      </c>
      <c r="O509" s="1">
        <v>0.0</v>
      </c>
      <c r="P509" s="1">
        <v>0.0</v>
      </c>
      <c r="R509" s="1">
        <v>0.0</v>
      </c>
      <c r="S509" s="1">
        <v>0.0</v>
      </c>
      <c r="U509" s="1">
        <v>0.0</v>
      </c>
      <c r="W509" s="1">
        <v>0.0</v>
      </c>
      <c r="Y509" s="1">
        <v>0.0</v>
      </c>
      <c r="AA509" s="1">
        <v>0.0</v>
      </c>
      <c r="AC509" s="1">
        <v>0.0</v>
      </c>
      <c r="AM509" s="1">
        <v>8456.0</v>
      </c>
      <c r="AN509" s="1">
        <v>8456.0</v>
      </c>
      <c r="AO509" s="1">
        <v>8456.0</v>
      </c>
      <c r="AP509" s="1">
        <v>3.239</v>
      </c>
      <c r="AR509" s="1">
        <v>0.0</v>
      </c>
      <c r="AW509" s="1">
        <v>0.0</v>
      </c>
      <c r="AX509" s="1">
        <v>2.0</v>
      </c>
      <c r="AY509" s="1">
        <v>4.0</v>
      </c>
      <c r="BA509" s="1">
        <v>0.0</v>
      </c>
      <c r="BB509" s="1">
        <v>0.0</v>
      </c>
      <c r="BC509" s="1">
        <v>0.0</v>
      </c>
      <c r="BD509" s="1">
        <v>0.0</v>
      </c>
      <c r="BE509" s="1">
        <v>0.0</v>
      </c>
      <c r="BF509" s="1">
        <v>0.0</v>
      </c>
      <c r="BG509" s="1">
        <v>0.0</v>
      </c>
      <c r="BH509" s="1">
        <v>0.0</v>
      </c>
      <c r="BI509" s="1">
        <v>0.0</v>
      </c>
      <c r="BJ509" s="1">
        <v>0.0</v>
      </c>
      <c r="BP509" s="1">
        <v>0.725</v>
      </c>
      <c r="BQ509" s="1" t="s">
        <v>2271</v>
      </c>
      <c r="BV509" s="1">
        <v>1.1</v>
      </c>
      <c r="EQ509" s="9" t="s">
        <v>2270</v>
      </c>
      <c r="ER509" s="21">
        <v>46045.29865740741</v>
      </c>
    </row>
    <row r="510">
      <c r="A510" s="9" t="s">
        <v>2272</v>
      </c>
      <c r="B510" s="20" t="str">
        <f>IFERROR(__xludf.DUMMYFUNCTION("REGEXREPLACE(A510, ""^https?://[^/]+"", """")"),"/wp-content/uploads/2023/01/VanTassel_Alan-225x225.jpg")</f>
        <v>/wp-content/uploads/2023/01/VanTassel_Alan-225x225.jpg</v>
      </c>
      <c r="F510" s="1" t="s">
        <v>1004</v>
      </c>
      <c r="G510" s="1">
        <v>200.0</v>
      </c>
      <c r="H510" s="1" t="s">
        <v>966</v>
      </c>
      <c r="I510" s="1" t="s">
        <v>967</v>
      </c>
      <c r="L510" s="1">
        <v>0.0</v>
      </c>
      <c r="M510" s="1">
        <v>0.0</v>
      </c>
      <c r="O510" s="1">
        <v>0.0</v>
      </c>
      <c r="P510" s="1">
        <v>0.0</v>
      </c>
      <c r="R510" s="1">
        <v>0.0</v>
      </c>
      <c r="S510" s="1">
        <v>0.0</v>
      </c>
      <c r="U510" s="1">
        <v>0.0</v>
      </c>
      <c r="W510" s="1">
        <v>0.0</v>
      </c>
      <c r="Y510" s="1">
        <v>0.0</v>
      </c>
      <c r="AA510" s="1">
        <v>0.0</v>
      </c>
      <c r="AC510" s="1">
        <v>0.0</v>
      </c>
      <c r="AM510" s="1">
        <v>8989.0</v>
      </c>
      <c r="AN510" s="1">
        <v>8989.0</v>
      </c>
      <c r="AO510" s="1">
        <v>8989.0</v>
      </c>
      <c r="AP510" s="1">
        <v>3.444</v>
      </c>
      <c r="AR510" s="1">
        <v>0.0</v>
      </c>
      <c r="AW510" s="1">
        <v>0.0</v>
      </c>
      <c r="AX510" s="1">
        <v>2.0</v>
      </c>
      <c r="AY510" s="1">
        <v>4.0</v>
      </c>
      <c r="BA510" s="1">
        <v>0.0</v>
      </c>
      <c r="BB510" s="1">
        <v>0.0</v>
      </c>
      <c r="BC510" s="1">
        <v>0.0</v>
      </c>
      <c r="BD510" s="1">
        <v>0.0</v>
      </c>
      <c r="BE510" s="1">
        <v>0.0</v>
      </c>
      <c r="BF510" s="1">
        <v>0.0</v>
      </c>
      <c r="BG510" s="1">
        <v>0.0</v>
      </c>
      <c r="BH510" s="1">
        <v>0.0</v>
      </c>
      <c r="BI510" s="1">
        <v>0.0</v>
      </c>
      <c r="BJ510" s="1">
        <v>0.0</v>
      </c>
      <c r="BP510" s="1">
        <v>0.589</v>
      </c>
      <c r="BQ510" s="1" t="s">
        <v>2273</v>
      </c>
      <c r="BV510" s="1">
        <v>1.1</v>
      </c>
      <c r="EQ510" s="9" t="s">
        <v>2272</v>
      </c>
      <c r="ER510" s="21">
        <v>46045.29865740741</v>
      </c>
    </row>
    <row r="511">
      <c r="A511" s="9" t="s">
        <v>2274</v>
      </c>
      <c r="B511" s="20" t="str">
        <f>IFERROR(__xludf.DUMMYFUNCTION("REGEXREPLACE(A511, ""^https?://[^/]+"", """")"),"/wp-content/uploads/2017/01/McLeod_John-225x225.jpg")</f>
        <v>/wp-content/uploads/2017/01/McLeod_John-225x225.jpg</v>
      </c>
      <c r="F511" s="1" t="s">
        <v>1004</v>
      </c>
      <c r="G511" s="1">
        <v>200.0</v>
      </c>
      <c r="H511" s="1" t="s">
        <v>966</v>
      </c>
      <c r="I511" s="1" t="s">
        <v>967</v>
      </c>
      <c r="L511" s="1">
        <v>0.0</v>
      </c>
      <c r="M511" s="1">
        <v>0.0</v>
      </c>
      <c r="O511" s="1">
        <v>0.0</v>
      </c>
      <c r="P511" s="1">
        <v>0.0</v>
      </c>
      <c r="R511" s="1">
        <v>0.0</v>
      </c>
      <c r="S511" s="1">
        <v>0.0</v>
      </c>
      <c r="U511" s="1">
        <v>0.0</v>
      </c>
      <c r="W511" s="1">
        <v>0.0</v>
      </c>
      <c r="Y511" s="1">
        <v>0.0</v>
      </c>
      <c r="AA511" s="1">
        <v>0.0</v>
      </c>
      <c r="AC511" s="1">
        <v>0.0</v>
      </c>
      <c r="AM511" s="1">
        <v>9139.0</v>
      </c>
      <c r="AN511" s="1">
        <v>9139.0</v>
      </c>
      <c r="AO511" s="1">
        <v>9139.0</v>
      </c>
      <c r="AP511" s="1">
        <v>3.501</v>
      </c>
      <c r="AR511" s="1">
        <v>0.0</v>
      </c>
      <c r="AW511" s="1">
        <v>0.0</v>
      </c>
      <c r="AX511" s="1">
        <v>2.0</v>
      </c>
      <c r="AY511" s="1">
        <v>4.0</v>
      </c>
      <c r="BA511" s="1">
        <v>0.0</v>
      </c>
      <c r="BB511" s="1">
        <v>0.0</v>
      </c>
      <c r="BC511" s="1">
        <v>0.0</v>
      </c>
      <c r="BD511" s="1">
        <v>0.0</v>
      </c>
      <c r="BE511" s="1">
        <v>0.0</v>
      </c>
      <c r="BF511" s="1">
        <v>0.0</v>
      </c>
      <c r="BG511" s="1">
        <v>0.0</v>
      </c>
      <c r="BH511" s="1">
        <v>0.0</v>
      </c>
      <c r="BI511" s="1">
        <v>0.0</v>
      </c>
      <c r="BJ511" s="1">
        <v>0.0</v>
      </c>
      <c r="BP511" s="1">
        <v>0.277</v>
      </c>
      <c r="BQ511" s="1" t="s">
        <v>2275</v>
      </c>
      <c r="BV511" s="1">
        <v>1.1</v>
      </c>
      <c r="EQ511" s="9" t="s">
        <v>2274</v>
      </c>
      <c r="ER511" s="21">
        <v>46045.29866898148</v>
      </c>
    </row>
    <row r="512">
      <c r="A512" s="9" t="s">
        <v>2276</v>
      </c>
      <c r="B512" s="20" t="str">
        <f>IFERROR(__xludf.DUMMYFUNCTION("REGEXREPLACE(A512, ""^https?://[^/]+"", """")"),"/wp-content/uploads/2022/04/Muniz-Shannon-275x275-1-225x225.jpg")</f>
        <v>/wp-content/uploads/2022/04/Muniz-Shannon-275x275-1-225x225.jpg</v>
      </c>
      <c r="F512" s="1" t="s">
        <v>1004</v>
      </c>
      <c r="G512" s="1">
        <v>200.0</v>
      </c>
      <c r="H512" s="1" t="s">
        <v>966</v>
      </c>
      <c r="I512" s="1" t="s">
        <v>967</v>
      </c>
      <c r="L512" s="1">
        <v>0.0</v>
      </c>
      <c r="M512" s="1">
        <v>0.0</v>
      </c>
      <c r="O512" s="1">
        <v>0.0</v>
      </c>
      <c r="P512" s="1">
        <v>0.0</v>
      </c>
      <c r="R512" s="1">
        <v>0.0</v>
      </c>
      <c r="S512" s="1">
        <v>0.0</v>
      </c>
      <c r="U512" s="1">
        <v>0.0</v>
      </c>
      <c r="W512" s="1">
        <v>0.0</v>
      </c>
      <c r="Y512" s="1">
        <v>0.0</v>
      </c>
      <c r="AA512" s="1">
        <v>0.0</v>
      </c>
      <c r="AC512" s="1">
        <v>0.0</v>
      </c>
      <c r="AM512" s="1">
        <v>8682.0</v>
      </c>
      <c r="AN512" s="1">
        <v>8682.0</v>
      </c>
      <c r="AO512" s="1">
        <v>8682.0</v>
      </c>
      <c r="AP512" s="1">
        <v>3.326</v>
      </c>
      <c r="AR512" s="1">
        <v>0.0</v>
      </c>
      <c r="AW512" s="1">
        <v>0.0</v>
      </c>
      <c r="AX512" s="1">
        <v>2.0</v>
      </c>
      <c r="AY512" s="1">
        <v>4.0</v>
      </c>
      <c r="BA512" s="1">
        <v>0.0</v>
      </c>
      <c r="BB512" s="1">
        <v>0.0</v>
      </c>
      <c r="BC512" s="1">
        <v>0.0</v>
      </c>
      <c r="BD512" s="1">
        <v>0.0</v>
      </c>
      <c r="BE512" s="1">
        <v>0.0</v>
      </c>
      <c r="BF512" s="1">
        <v>0.0</v>
      </c>
      <c r="BG512" s="1">
        <v>0.0</v>
      </c>
      <c r="BH512" s="1">
        <v>0.0</v>
      </c>
      <c r="BI512" s="1">
        <v>0.0</v>
      </c>
      <c r="BJ512" s="1">
        <v>0.0</v>
      </c>
      <c r="BP512" s="1">
        <v>0.27</v>
      </c>
      <c r="BQ512" s="1" t="s">
        <v>2277</v>
      </c>
      <c r="BV512" s="1">
        <v>1.1</v>
      </c>
      <c r="EQ512" s="9" t="s">
        <v>2276</v>
      </c>
      <c r="ER512" s="21">
        <v>46045.29866898148</v>
      </c>
    </row>
    <row r="513">
      <c r="A513" s="9" t="s">
        <v>2278</v>
      </c>
      <c r="B513" s="20" t="str">
        <f>IFERROR(__xludf.DUMMYFUNCTION("REGEXREPLACE(A513, ""^https?://[^/]+"", """")"),"/wp-content/uploads/2022/06/Wagener_John2-225x225.jpg")</f>
        <v>/wp-content/uploads/2022/06/Wagener_John2-225x225.jpg</v>
      </c>
      <c r="F513" s="1" t="s">
        <v>1004</v>
      </c>
      <c r="G513" s="1">
        <v>200.0</v>
      </c>
      <c r="H513" s="1" t="s">
        <v>966</v>
      </c>
      <c r="I513" s="1" t="s">
        <v>967</v>
      </c>
      <c r="L513" s="1">
        <v>0.0</v>
      </c>
      <c r="M513" s="1">
        <v>0.0</v>
      </c>
      <c r="O513" s="1">
        <v>0.0</v>
      </c>
      <c r="P513" s="1">
        <v>0.0</v>
      </c>
      <c r="R513" s="1">
        <v>0.0</v>
      </c>
      <c r="S513" s="1">
        <v>0.0</v>
      </c>
      <c r="U513" s="1">
        <v>0.0</v>
      </c>
      <c r="W513" s="1">
        <v>0.0</v>
      </c>
      <c r="Y513" s="1">
        <v>0.0</v>
      </c>
      <c r="AA513" s="1">
        <v>0.0</v>
      </c>
      <c r="AC513" s="1">
        <v>0.0</v>
      </c>
      <c r="AM513" s="1">
        <v>7145.0</v>
      </c>
      <c r="AN513" s="1">
        <v>7145.0</v>
      </c>
      <c r="AO513" s="1">
        <v>7145.0</v>
      </c>
      <c r="AP513" s="1">
        <v>2.737</v>
      </c>
      <c r="AR513" s="1">
        <v>0.0</v>
      </c>
      <c r="AW513" s="1">
        <v>0.0</v>
      </c>
      <c r="AX513" s="1">
        <v>2.0</v>
      </c>
      <c r="AY513" s="1">
        <v>4.0</v>
      </c>
      <c r="BA513" s="1">
        <v>0.0</v>
      </c>
      <c r="BB513" s="1">
        <v>0.0</v>
      </c>
      <c r="BC513" s="1">
        <v>0.0</v>
      </c>
      <c r="BD513" s="1">
        <v>0.0</v>
      </c>
      <c r="BE513" s="1">
        <v>0.0</v>
      </c>
      <c r="BF513" s="1">
        <v>0.0</v>
      </c>
      <c r="BG513" s="1">
        <v>0.0</v>
      </c>
      <c r="BH513" s="1">
        <v>0.0</v>
      </c>
      <c r="BI513" s="1">
        <v>0.0</v>
      </c>
      <c r="BJ513" s="1">
        <v>0.0</v>
      </c>
      <c r="BP513" s="1">
        <v>0.265</v>
      </c>
      <c r="BQ513" s="1" t="s">
        <v>2279</v>
      </c>
      <c r="BV513" s="1">
        <v>1.1</v>
      </c>
      <c r="EQ513" s="9" t="s">
        <v>2278</v>
      </c>
      <c r="ER513" s="21">
        <v>46045.29866898148</v>
      </c>
    </row>
    <row r="514">
      <c r="A514" s="9" t="s">
        <v>2280</v>
      </c>
      <c r="B514" s="20" t="str">
        <f>IFERROR(__xludf.DUMMYFUNCTION("REGEXREPLACE(A514, ""^https?://[^/]+"", """")"),"/wp-content/uploads/2024/06/Shannon_Sean-225x225.jpg")</f>
        <v>/wp-content/uploads/2024/06/Shannon_Sean-225x225.jpg</v>
      </c>
      <c r="F514" s="1" t="s">
        <v>1004</v>
      </c>
      <c r="G514" s="1">
        <v>200.0</v>
      </c>
      <c r="H514" s="1" t="s">
        <v>966</v>
      </c>
      <c r="I514" s="1" t="s">
        <v>967</v>
      </c>
      <c r="L514" s="1">
        <v>0.0</v>
      </c>
      <c r="M514" s="1">
        <v>0.0</v>
      </c>
      <c r="O514" s="1">
        <v>0.0</v>
      </c>
      <c r="P514" s="1">
        <v>0.0</v>
      </c>
      <c r="R514" s="1">
        <v>0.0</v>
      </c>
      <c r="S514" s="1">
        <v>0.0</v>
      </c>
      <c r="U514" s="1">
        <v>0.0</v>
      </c>
      <c r="W514" s="1">
        <v>0.0</v>
      </c>
      <c r="Y514" s="1">
        <v>0.0</v>
      </c>
      <c r="AA514" s="1">
        <v>0.0</v>
      </c>
      <c r="AC514" s="1">
        <v>0.0</v>
      </c>
      <c r="AM514" s="1">
        <v>9863.0</v>
      </c>
      <c r="AN514" s="1">
        <v>9863.0</v>
      </c>
      <c r="AO514" s="1">
        <v>9863.0</v>
      </c>
      <c r="AP514" s="1">
        <v>3.778</v>
      </c>
      <c r="AR514" s="1">
        <v>0.0</v>
      </c>
      <c r="AW514" s="1">
        <v>0.0</v>
      </c>
      <c r="AX514" s="1">
        <v>2.0</v>
      </c>
      <c r="AY514" s="1">
        <v>4.0</v>
      </c>
      <c r="BA514" s="1">
        <v>0.0</v>
      </c>
      <c r="BB514" s="1">
        <v>0.0</v>
      </c>
      <c r="BC514" s="1">
        <v>0.0</v>
      </c>
      <c r="BD514" s="1">
        <v>0.0</v>
      </c>
      <c r="BE514" s="1">
        <v>0.0</v>
      </c>
      <c r="BF514" s="1">
        <v>0.0</v>
      </c>
      <c r="BG514" s="1">
        <v>0.0</v>
      </c>
      <c r="BH514" s="1">
        <v>0.0</v>
      </c>
      <c r="BI514" s="1">
        <v>0.0</v>
      </c>
      <c r="BJ514" s="1">
        <v>0.0</v>
      </c>
      <c r="BP514" s="1">
        <v>0.267</v>
      </c>
      <c r="BQ514" s="1" t="s">
        <v>2281</v>
      </c>
      <c r="BV514" s="1">
        <v>1.1</v>
      </c>
      <c r="EQ514" s="9" t="s">
        <v>2280</v>
      </c>
      <c r="ER514" s="21">
        <v>46045.29866898148</v>
      </c>
    </row>
    <row r="515">
      <c r="A515" s="9" t="s">
        <v>2282</v>
      </c>
      <c r="B515" s="20" t="str">
        <f>IFERROR(__xludf.DUMMYFUNCTION("REGEXREPLACE(A515, ""^https?://[^/]+"", """")"),"/wp-content/uploads/2022/04/Allen-Lee-225x225.jpg")</f>
        <v>/wp-content/uploads/2022/04/Allen-Lee-225x225.jpg</v>
      </c>
      <c r="F515" s="1" t="s">
        <v>1004</v>
      </c>
      <c r="G515" s="1">
        <v>200.0</v>
      </c>
      <c r="H515" s="1" t="s">
        <v>966</v>
      </c>
      <c r="I515" s="1" t="s">
        <v>967</v>
      </c>
      <c r="L515" s="1">
        <v>0.0</v>
      </c>
      <c r="M515" s="1">
        <v>0.0</v>
      </c>
      <c r="O515" s="1">
        <v>0.0</v>
      </c>
      <c r="P515" s="1">
        <v>0.0</v>
      </c>
      <c r="R515" s="1">
        <v>0.0</v>
      </c>
      <c r="S515" s="1">
        <v>0.0</v>
      </c>
      <c r="U515" s="1">
        <v>0.0</v>
      </c>
      <c r="W515" s="1">
        <v>0.0</v>
      </c>
      <c r="Y515" s="1">
        <v>0.0</v>
      </c>
      <c r="AA515" s="1">
        <v>0.0</v>
      </c>
      <c r="AC515" s="1">
        <v>0.0</v>
      </c>
      <c r="AM515" s="1">
        <v>7092.0</v>
      </c>
      <c r="AN515" s="1">
        <v>7092.0</v>
      </c>
      <c r="AO515" s="1">
        <v>7092.0</v>
      </c>
      <c r="AP515" s="1">
        <v>2.717</v>
      </c>
      <c r="AR515" s="1">
        <v>0.0</v>
      </c>
      <c r="AW515" s="1">
        <v>0.0</v>
      </c>
      <c r="AX515" s="1">
        <v>2.0</v>
      </c>
      <c r="AY515" s="1">
        <v>4.0</v>
      </c>
      <c r="BA515" s="1">
        <v>0.0</v>
      </c>
      <c r="BB515" s="1">
        <v>0.0</v>
      </c>
      <c r="BC515" s="1">
        <v>0.0</v>
      </c>
      <c r="BD515" s="1">
        <v>0.0</v>
      </c>
      <c r="BE515" s="1">
        <v>0.0</v>
      </c>
      <c r="BF515" s="1">
        <v>0.0</v>
      </c>
      <c r="BG515" s="1">
        <v>0.0</v>
      </c>
      <c r="BH515" s="1">
        <v>0.0</v>
      </c>
      <c r="BI515" s="1">
        <v>0.0</v>
      </c>
      <c r="BJ515" s="1">
        <v>0.0</v>
      </c>
      <c r="BP515" s="1">
        <v>0.287</v>
      </c>
      <c r="BQ515" s="1" t="s">
        <v>2283</v>
      </c>
      <c r="BV515" s="1">
        <v>1.1</v>
      </c>
      <c r="EQ515" s="9" t="s">
        <v>2282</v>
      </c>
      <c r="ER515" s="21">
        <v>46045.29866898148</v>
      </c>
    </row>
    <row r="516">
      <c r="A516" s="9" t="s">
        <v>2284</v>
      </c>
      <c r="B516" s="20" t="str">
        <f>IFERROR(__xludf.DUMMYFUNCTION("REGEXREPLACE(A516, ""^https?://[^/]+"", """")"),"/wp-content/uploads/2022/04/Tappan-Scott-275x275-1-225x225.jpg")</f>
        <v>/wp-content/uploads/2022/04/Tappan-Scott-275x275-1-225x225.jpg</v>
      </c>
      <c r="F516" s="1" t="s">
        <v>1004</v>
      </c>
      <c r="G516" s="1">
        <v>200.0</v>
      </c>
      <c r="H516" s="1" t="s">
        <v>966</v>
      </c>
      <c r="I516" s="1" t="s">
        <v>967</v>
      </c>
      <c r="L516" s="1">
        <v>0.0</v>
      </c>
      <c r="M516" s="1">
        <v>0.0</v>
      </c>
      <c r="O516" s="1">
        <v>0.0</v>
      </c>
      <c r="P516" s="1">
        <v>0.0</v>
      </c>
      <c r="R516" s="1">
        <v>0.0</v>
      </c>
      <c r="S516" s="1">
        <v>0.0</v>
      </c>
      <c r="U516" s="1">
        <v>0.0</v>
      </c>
      <c r="W516" s="1">
        <v>0.0</v>
      </c>
      <c r="Y516" s="1">
        <v>0.0</v>
      </c>
      <c r="AA516" s="1">
        <v>0.0</v>
      </c>
      <c r="AC516" s="1">
        <v>0.0</v>
      </c>
      <c r="AM516" s="1">
        <v>8654.0</v>
      </c>
      <c r="AN516" s="1">
        <v>8654.0</v>
      </c>
      <c r="AO516" s="1">
        <v>8654.0</v>
      </c>
      <c r="AP516" s="1">
        <v>3.315</v>
      </c>
      <c r="AR516" s="1">
        <v>0.0</v>
      </c>
      <c r="AW516" s="1">
        <v>0.0</v>
      </c>
      <c r="AX516" s="1">
        <v>2.0</v>
      </c>
      <c r="AY516" s="1">
        <v>4.0</v>
      </c>
      <c r="BA516" s="1">
        <v>0.0</v>
      </c>
      <c r="BB516" s="1">
        <v>0.0</v>
      </c>
      <c r="BC516" s="1">
        <v>0.0</v>
      </c>
      <c r="BD516" s="1">
        <v>0.0</v>
      </c>
      <c r="BE516" s="1">
        <v>0.0</v>
      </c>
      <c r="BF516" s="1">
        <v>0.0</v>
      </c>
      <c r="BG516" s="1">
        <v>0.0</v>
      </c>
      <c r="BH516" s="1">
        <v>0.0</v>
      </c>
      <c r="BI516" s="1">
        <v>0.0</v>
      </c>
      <c r="BJ516" s="1">
        <v>0.0</v>
      </c>
      <c r="BP516" s="1">
        <v>0.267</v>
      </c>
      <c r="BQ516" s="1" t="s">
        <v>2285</v>
      </c>
      <c r="BV516" s="1">
        <v>1.1</v>
      </c>
      <c r="EQ516" s="9" t="s">
        <v>2284</v>
      </c>
      <c r="ER516" s="21">
        <v>46045.298680555556</v>
      </c>
    </row>
    <row r="517">
      <c r="A517" s="9" t="s">
        <v>2286</v>
      </c>
      <c r="B517" s="20" t="str">
        <f>IFERROR(__xludf.DUMMYFUNCTION("REGEXREPLACE(A517, ""^https?://[^/]+"", """")"),"/wp-content/uploads/2024/06/Hirsh-John-225x225.jpg")</f>
        <v>/wp-content/uploads/2024/06/Hirsh-John-225x225.jpg</v>
      </c>
      <c r="F517" s="1" t="s">
        <v>1004</v>
      </c>
      <c r="G517" s="1">
        <v>200.0</v>
      </c>
      <c r="H517" s="1" t="s">
        <v>966</v>
      </c>
      <c r="I517" s="1" t="s">
        <v>967</v>
      </c>
      <c r="L517" s="1">
        <v>0.0</v>
      </c>
      <c r="M517" s="1">
        <v>0.0</v>
      </c>
      <c r="O517" s="1">
        <v>0.0</v>
      </c>
      <c r="P517" s="1">
        <v>0.0</v>
      </c>
      <c r="R517" s="1">
        <v>0.0</v>
      </c>
      <c r="S517" s="1">
        <v>0.0</v>
      </c>
      <c r="U517" s="1">
        <v>0.0</v>
      </c>
      <c r="W517" s="1">
        <v>0.0</v>
      </c>
      <c r="Y517" s="1">
        <v>0.0</v>
      </c>
      <c r="AA517" s="1">
        <v>0.0</v>
      </c>
      <c r="AC517" s="1">
        <v>0.0</v>
      </c>
      <c r="AM517" s="1">
        <v>8818.0</v>
      </c>
      <c r="AN517" s="1">
        <v>8818.0</v>
      </c>
      <c r="AO517" s="1">
        <v>8818.0</v>
      </c>
      <c r="AP517" s="1">
        <v>3.378</v>
      </c>
      <c r="AR517" s="1">
        <v>0.0</v>
      </c>
      <c r="AW517" s="1">
        <v>0.0</v>
      </c>
      <c r="AX517" s="1">
        <v>2.0</v>
      </c>
      <c r="AY517" s="1">
        <v>4.0</v>
      </c>
      <c r="BA517" s="1">
        <v>0.0</v>
      </c>
      <c r="BB517" s="1">
        <v>0.0</v>
      </c>
      <c r="BC517" s="1">
        <v>0.0</v>
      </c>
      <c r="BD517" s="1">
        <v>0.0</v>
      </c>
      <c r="BE517" s="1">
        <v>0.0</v>
      </c>
      <c r="BF517" s="1">
        <v>0.0</v>
      </c>
      <c r="BG517" s="1">
        <v>0.0</v>
      </c>
      <c r="BH517" s="1">
        <v>0.0</v>
      </c>
      <c r="BI517" s="1">
        <v>0.0</v>
      </c>
      <c r="BJ517" s="1">
        <v>0.0</v>
      </c>
      <c r="BP517" s="1">
        <v>0.267</v>
      </c>
      <c r="BQ517" s="1" t="s">
        <v>2287</v>
      </c>
      <c r="BV517" s="1">
        <v>1.1</v>
      </c>
      <c r="EQ517" s="9" t="s">
        <v>2286</v>
      </c>
      <c r="ER517" s="21">
        <v>46045.298680555556</v>
      </c>
    </row>
    <row r="518">
      <c r="A518" s="9" t="s">
        <v>2288</v>
      </c>
      <c r="B518" s="20" t="str">
        <f>IFERROR(__xludf.DUMMYFUNCTION("REGEXREPLACE(A518, ""^https?://[^/]+"", """")"),"/wp-content/uploads/2026/01/Brian-Dolan-225x225.jpeg")</f>
        <v>/wp-content/uploads/2026/01/Brian-Dolan-225x225.jpeg</v>
      </c>
      <c r="F518" s="1" t="s">
        <v>1004</v>
      </c>
      <c r="G518" s="1">
        <v>200.0</v>
      </c>
      <c r="H518" s="1" t="s">
        <v>966</v>
      </c>
      <c r="I518" s="1" t="s">
        <v>967</v>
      </c>
      <c r="L518" s="1">
        <v>0.0</v>
      </c>
      <c r="M518" s="1">
        <v>0.0</v>
      </c>
      <c r="O518" s="1">
        <v>0.0</v>
      </c>
      <c r="P518" s="1">
        <v>0.0</v>
      </c>
      <c r="R518" s="1">
        <v>0.0</v>
      </c>
      <c r="S518" s="1">
        <v>0.0</v>
      </c>
      <c r="U518" s="1">
        <v>0.0</v>
      </c>
      <c r="W518" s="1">
        <v>0.0</v>
      </c>
      <c r="Y518" s="1">
        <v>0.0</v>
      </c>
      <c r="AA518" s="1">
        <v>0.0</v>
      </c>
      <c r="AC518" s="1">
        <v>0.0</v>
      </c>
      <c r="AM518" s="1">
        <v>8685.0</v>
      </c>
      <c r="AN518" s="1">
        <v>8685.0</v>
      </c>
      <c r="AO518" s="1">
        <v>8685.0</v>
      </c>
      <c r="AP518" s="1">
        <v>3.327</v>
      </c>
      <c r="AR518" s="1">
        <v>0.0</v>
      </c>
      <c r="AW518" s="1">
        <v>0.0</v>
      </c>
      <c r="AX518" s="1">
        <v>2.0</v>
      </c>
      <c r="AY518" s="1">
        <v>4.0</v>
      </c>
      <c r="BA518" s="1">
        <v>0.0</v>
      </c>
      <c r="BB518" s="1">
        <v>0.0</v>
      </c>
      <c r="BC518" s="1">
        <v>0.0</v>
      </c>
      <c r="BD518" s="1">
        <v>0.0</v>
      </c>
      <c r="BE518" s="1">
        <v>0.0</v>
      </c>
      <c r="BF518" s="1">
        <v>0.0</v>
      </c>
      <c r="BG518" s="1">
        <v>0.0</v>
      </c>
      <c r="BH518" s="1">
        <v>0.0</v>
      </c>
      <c r="BI518" s="1">
        <v>0.0</v>
      </c>
      <c r="BJ518" s="1">
        <v>0.0</v>
      </c>
      <c r="BP518" s="1">
        <v>0.279</v>
      </c>
      <c r="BQ518" s="1" t="s">
        <v>2289</v>
      </c>
      <c r="BV518" s="1">
        <v>1.1</v>
      </c>
      <c r="EQ518" s="9" t="s">
        <v>2288</v>
      </c>
      <c r="ER518" s="21">
        <v>46045.298680555556</v>
      </c>
    </row>
    <row r="519">
      <c r="A519" s="9" t="s">
        <v>2290</v>
      </c>
      <c r="B519" s="20" t="str">
        <f>IFERROR(__xludf.DUMMYFUNCTION("REGEXREPLACE(A519, ""^https?://[^/]+"", """")"),"/wp-content/uploads/2017/01/Landrum_Steve-225x225.jpg")</f>
        <v>/wp-content/uploads/2017/01/Landrum_Steve-225x225.jpg</v>
      </c>
      <c r="F519" s="1" t="s">
        <v>1004</v>
      </c>
      <c r="G519" s="1">
        <v>200.0</v>
      </c>
      <c r="H519" s="1" t="s">
        <v>966</v>
      </c>
      <c r="I519" s="1" t="s">
        <v>967</v>
      </c>
      <c r="L519" s="1">
        <v>0.0</v>
      </c>
      <c r="M519" s="1">
        <v>0.0</v>
      </c>
      <c r="O519" s="1">
        <v>0.0</v>
      </c>
      <c r="P519" s="1">
        <v>0.0</v>
      </c>
      <c r="R519" s="1">
        <v>0.0</v>
      </c>
      <c r="S519" s="1">
        <v>0.0</v>
      </c>
      <c r="U519" s="1">
        <v>0.0</v>
      </c>
      <c r="W519" s="1">
        <v>0.0</v>
      </c>
      <c r="Y519" s="1">
        <v>0.0</v>
      </c>
      <c r="AA519" s="1">
        <v>0.0</v>
      </c>
      <c r="AC519" s="1">
        <v>0.0</v>
      </c>
      <c r="AM519" s="1">
        <v>8606.0</v>
      </c>
      <c r="AN519" s="1">
        <v>8606.0</v>
      </c>
      <c r="AO519" s="1">
        <v>8606.0</v>
      </c>
      <c r="AP519" s="1">
        <v>3.297</v>
      </c>
      <c r="AR519" s="1">
        <v>0.0</v>
      </c>
      <c r="AW519" s="1">
        <v>0.0</v>
      </c>
      <c r="AX519" s="1">
        <v>2.0</v>
      </c>
      <c r="AY519" s="1">
        <v>4.0</v>
      </c>
      <c r="BA519" s="1">
        <v>0.0</v>
      </c>
      <c r="BB519" s="1">
        <v>0.0</v>
      </c>
      <c r="BC519" s="1">
        <v>0.0</v>
      </c>
      <c r="BD519" s="1">
        <v>0.0</v>
      </c>
      <c r="BE519" s="1">
        <v>0.0</v>
      </c>
      <c r="BF519" s="1">
        <v>0.0</v>
      </c>
      <c r="BG519" s="1">
        <v>0.0</v>
      </c>
      <c r="BH519" s="1">
        <v>0.0</v>
      </c>
      <c r="BI519" s="1">
        <v>0.0</v>
      </c>
      <c r="BJ519" s="1">
        <v>0.0</v>
      </c>
      <c r="BP519" s="1">
        <v>0.264</v>
      </c>
      <c r="BQ519" s="1" t="s">
        <v>2291</v>
      </c>
      <c r="BV519" s="1">
        <v>1.1</v>
      </c>
      <c r="EQ519" s="9" t="s">
        <v>2290</v>
      </c>
      <c r="ER519" s="21">
        <v>46045.298680555556</v>
      </c>
    </row>
    <row r="520">
      <c r="A520" s="9" t="s">
        <v>2292</v>
      </c>
      <c r="B520" s="20" t="str">
        <f>IFERROR(__xludf.DUMMYFUNCTION("REGEXREPLACE(A520, ""^https?://[^/]+"", """")"),"/wp-content/uploads/2022/04/Watson-Tony-225x225.jpg")</f>
        <v>/wp-content/uploads/2022/04/Watson-Tony-225x225.jpg</v>
      </c>
      <c r="F520" s="1" t="s">
        <v>1004</v>
      </c>
      <c r="G520" s="1">
        <v>200.0</v>
      </c>
      <c r="H520" s="1" t="s">
        <v>966</v>
      </c>
      <c r="I520" s="1" t="s">
        <v>967</v>
      </c>
      <c r="L520" s="1">
        <v>0.0</v>
      </c>
      <c r="M520" s="1">
        <v>0.0</v>
      </c>
      <c r="O520" s="1">
        <v>0.0</v>
      </c>
      <c r="P520" s="1">
        <v>0.0</v>
      </c>
      <c r="R520" s="1">
        <v>0.0</v>
      </c>
      <c r="S520" s="1">
        <v>0.0</v>
      </c>
      <c r="U520" s="1">
        <v>0.0</v>
      </c>
      <c r="W520" s="1">
        <v>0.0</v>
      </c>
      <c r="Y520" s="1">
        <v>0.0</v>
      </c>
      <c r="AA520" s="1">
        <v>0.0</v>
      </c>
      <c r="AC520" s="1">
        <v>0.0</v>
      </c>
      <c r="AM520" s="1">
        <v>7203.0</v>
      </c>
      <c r="AN520" s="1">
        <v>7203.0</v>
      </c>
      <c r="AO520" s="1">
        <v>7203.0</v>
      </c>
      <c r="AP520" s="1">
        <v>2.759</v>
      </c>
      <c r="AR520" s="1">
        <v>0.0</v>
      </c>
      <c r="AW520" s="1">
        <v>0.0</v>
      </c>
      <c r="AX520" s="1">
        <v>2.0</v>
      </c>
      <c r="AY520" s="1">
        <v>4.0</v>
      </c>
      <c r="BA520" s="1">
        <v>0.0</v>
      </c>
      <c r="BB520" s="1">
        <v>0.0</v>
      </c>
      <c r="BC520" s="1">
        <v>0.0</v>
      </c>
      <c r="BD520" s="1">
        <v>0.0</v>
      </c>
      <c r="BE520" s="1">
        <v>0.0</v>
      </c>
      <c r="BF520" s="1">
        <v>0.0</v>
      </c>
      <c r="BG520" s="1">
        <v>0.0</v>
      </c>
      <c r="BH520" s="1">
        <v>0.0</v>
      </c>
      <c r="BI520" s="1">
        <v>0.0</v>
      </c>
      <c r="BJ520" s="1">
        <v>0.0</v>
      </c>
      <c r="BP520" s="1">
        <v>0.272</v>
      </c>
      <c r="BQ520" s="1" t="s">
        <v>2293</v>
      </c>
      <c r="BV520" s="1">
        <v>1.1</v>
      </c>
      <c r="EQ520" s="9" t="s">
        <v>2292</v>
      </c>
      <c r="ER520" s="21">
        <v>46045.298680555556</v>
      </c>
    </row>
    <row r="521">
      <c r="A521" s="9" t="s">
        <v>2294</v>
      </c>
      <c r="B521" s="20" t="str">
        <f>IFERROR(__xludf.DUMMYFUNCTION("REGEXREPLACE(A521, ""^https?://[^/]+"", """")"),"/wp-content/uploads/2025/10/Percy_Mel-225x225.jpg")</f>
        <v>/wp-content/uploads/2025/10/Percy_Mel-225x225.jpg</v>
      </c>
      <c r="F521" s="1" t="s">
        <v>1004</v>
      </c>
      <c r="G521" s="1">
        <v>200.0</v>
      </c>
      <c r="H521" s="1" t="s">
        <v>966</v>
      </c>
      <c r="I521" s="1" t="s">
        <v>967</v>
      </c>
      <c r="L521" s="1">
        <v>0.0</v>
      </c>
      <c r="M521" s="1">
        <v>0.0</v>
      </c>
      <c r="O521" s="1">
        <v>0.0</v>
      </c>
      <c r="P521" s="1">
        <v>0.0</v>
      </c>
      <c r="R521" s="1">
        <v>0.0</v>
      </c>
      <c r="S521" s="1">
        <v>0.0</v>
      </c>
      <c r="U521" s="1">
        <v>0.0</v>
      </c>
      <c r="W521" s="1">
        <v>0.0</v>
      </c>
      <c r="Y521" s="1">
        <v>0.0</v>
      </c>
      <c r="AA521" s="1">
        <v>0.0</v>
      </c>
      <c r="AC521" s="1">
        <v>0.0</v>
      </c>
      <c r="AM521" s="1">
        <v>8304.0</v>
      </c>
      <c r="AN521" s="1">
        <v>8304.0</v>
      </c>
      <c r="AO521" s="1">
        <v>8304.0</v>
      </c>
      <c r="AP521" s="1">
        <v>3.181</v>
      </c>
      <c r="AR521" s="1">
        <v>0.0</v>
      </c>
      <c r="AW521" s="1">
        <v>0.0</v>
      </c>
      <c r="AX521" s="1">
        <v>2.0</v>
      </c>
      <c r="AY521" s="1">
        <v>4.0</v>
      </c>
      <c r="BA521" s="1">
        <v>0.0</v>
      </c>
      <c r="BB521" s="1">
        <v>0.0</v>
      </c>
      <c r="BC521" s="1">
        <v>0.0</v>
      </c>
      <c r="BD521" s="1">
        <v>0.0</v>
      </c>
      <c r="BE521" s="1">
        <v>0.0</v>
      </c>
      <c r="BF521" s="1">
        <v>0.0</v>
      </c>
      <c r="BG521" s="1">
        <v>0.0</v>
      </c>
      <c r="BH521" s="1">
        <v>0.0</v>
      </c>
      <c r="BI521" s="1">
        <v>0.0</v>
      </c>
      <c r="BJ521" s="1">
        <v>0.0</v>
      </c>
      <c r="BP521" s="1">
        <v>0.269</v>
      </c>
      <c r="BQ521" s="1" t="s">
        <v>2295</v>
      </c>
      <c r="BV521" s="1">
        <v>1.1</v>
      </c>
      <c r="EQ521" s="9" t="s">
        <v>2294</v>
      </c>
      <c r="ER521" s="21">
        <v>46045.298680555556</v>
      </c>
    </row>
    <row r="522">
      <c r="A522" s="9" t="s">
        <v>2296</v>
      </c>
      <c r="B522" s="20" t="str">
        <f>IFERROR(__xludf.DUMMYFUNCTION("REGEXREPLACE(A522, ""^https?://[^/]+"", """")"),"/wp-content/uploads/2022/04/Strouse-David-275x275-1-225x225.jpg")</f>
        <v>/wp-content/uploads/2022/04/Strouse-David-275x275-1-225x225.jpg</v>
      </c>
      <c r="F522" s="1" t="s">
        <v>1004</v>
      </c>
      <c r="G522" s="1">
        <v>200.0</v>
      </c>
      <c r="H522" s="1" t="s">
        <v>966</v>
      </c>
      <c r="I522" s="1" t="s">
        <v>967</v>
      </c>
      <c r="L522" s="1">
        <v>0.0</v>
      </c>
      <c r="M522" s="1">
        <v>0.0</v>
      </c>
      <c r="O522" s="1">
        <v>0.0</v>
      </c>
      <c r="P522" s="1">
        <v>0.0</v>
      </c>
      <c r="R522" s="1">
        <v>0.0</v>
      </c>
      <c r="S522" s="1">
        <v>0.0</v>
      </c>
      <c r="U522" s="1">
        <v>0.0</v>
      </c>
      <c r="W522" s="1">
        <v>0.0</v>
      </c>
      <c r="Y522" s="1">
        <v>0.0</v>
      </c>
      <c r="AA522" s="1">
        <v>0.0</v>
      </c>
      <c r="AC522" s="1">
        <v>0.0</v>
      </c>
      <c r="AM522" s="1">
        <v>11489.0</v>
      </c>
      <c r="AN522" s="1">
        <v>11489.0</v>
      </c>
      <c r="AO522" s="1">
        <v>11489.0</v>
      </c>
      <c r="AP522" s="1">
        <v>4.401</v>
      </c>
      <c r="AR522" s="1">
        <v>0.0</v>
      </c>
      <c r="AW522" s="1">
        <v>0.0</v>
      </c>
      <c r="AX522" s="1">
        <v>2.0</v>
      </c>
      <c r="AY522" s="1">
        <v>4.0</v>
      </c>
      <c r="BA522" s="1">
        <v>0.0</v>
      </c>
      <c r="BB522" s="1">
        <v>0.0</v>
      </c>
      <c r="BC522" s="1">
        <v>0.0</v>
      </c>
      <c r="BD522" s="1">
        <v>0.0</v>
      </c>
      <c r="BE522" s="1">
        <v>0.0</v>
      </c>
      <c r="BF522" s="1">
        <v>0.0</v>
      </c>
      <c r="BG522" s="1">
        <v>0.0</v>
      </c>
      <c r="BH522" s="1">
        <v>0.0</v>
      </c>
      <c r="BI522" s="1">
        <v>0.0</v>
      </c>
      <c r="BJ522" s="1">
        <v>0.0</v>
      </c>
      <c r="BP522" s="1">
        <v>0.263</v>
      </c>
      <c r="BQ522" s="1" t="s">
        <v>2297</v>
      </c>
      <c r="BV522" s="1">
        <v>1.1</v>
      </c>
      <c r="EQ522" s="9" t="s">
        <v>2296</v>
      </c>
      <c r="ER522" s="21">
        <v>46045.298680555556</v>
      </c>
    </row>
    <row r="523">
      <c r="A523" s="9" t="s">
        <v>2298</v>
      </c>
      <c r="B523" s="20" t="str">
        <f>IFERROR(__xludf.DUMMYFUNCTION("REGEXREPLACE(A523, ""^https?://[^/]+"", """")"),"/wp-content/uploads/2024/01/Nolley_Dean-225x225.jpg")</f>
        <v>/wp-content/uploads/2024/01/Nolley_Dean-225x225.jpg</v>
      </c>
      <c r="F523" s="1" t="s">
        <v>1004</v>
      </c>
      <c r="G523" s="1">
        <v>200.0</v>
      </c>
      <c r="H523" s="1" t="s">
        <v>966</v>
      </c>
      <c r="I523" s="1" t="s">
        <v>967</v>
      </c>
      <c r="L523" s="1">
        <v>0.0</v>
      </c>
      <c r="M523" s="1">
        <v>0.0</v>
      </c>
      <c r="O523" s="1">
        <v>0.0</v>
      </c>
      <c r="P523" s="1">
        <v>0.0</v>
      </c>
      <c r="R523" s="1">
        <v>0.0</v>
      </c>
      <c r="S523" s="1">
        <v>0.0</v>
      </c>
      <c r="U523" s="1">
        <v>0.0</v>
      </c>
      <c r="W523" s="1">
        <v>0.0</v>
      </c>
      <c r="Y523" s="1">
        <v>0.0</v>
      </c>
      <c r="AA523" s="1">
        <v>0.0</v>
      </c>
      <c r="AC523" s="1">
        <v>0.0</v>
      </c>
      <c r="AM523" s="1">
        <v>9088.0</v>
      </c>
      <c r="AN523" s="1">
        <v>9088.0</v>
      </c>
      <c r="AO523" s="1">
        <v>9088.0</v>
      </c>
      <c r="AP523" s="1">
        <v>3.481</v>
      </c>
      <c r="AR523" s="1">
        <v>0.0</v>
      </c>
      <c r="AW523" s="1">
        <v>0.0</v>
      </c>
      <c r="AX523" s="1">
        <v>2.0</v>
      </c>
      <c r="AY523" s="1">
        <v>4.0</v>
      </c>
      <c r="BA523" s="1">
        <v>0.0</v>
      </c>
      <c r="BB523" s="1">
        <v>0.0</v>
      </c>
      <c r="BC523" s="1">
        <v>0.0</v>
      </c>
      <c r="BD523" s="1">
        <v>0.0</v>
      </c>
      <c r="BE523" s="1">
        <v>0.0</v>
      </c>
      <c r="BF523" s="1">
        <v>0.0</v>
      </c>
      <c r="BG523" s="1">
        <v>0.0</v>
      </c>
      <c r="BH523" s="1">
        <v>0.0</v>
      </c>
      <c r="BI523" s="1">
        <v>0.0</v>
      </c>
      <c r="BJ523" s="1">
        <v>0.0</v>
      </c>
      <c r="BP523" s="1">
        <v>0.266</v>
      </c>
      <c r="BQ523" s="1" t="s">
        <v>2299</v>
      </c>
      <c r="BV523" s="1">
        <v>1.1</v>
      </c>
      <c r="EQ523" s="9" t="s">
        <v>2298</v>
      </c>
      <c r="ER523" s="21">
        <v>46045.298680555556</v>
      </c>
    </row>
    <row r="524">
      <c r="A524" s="9" t="s">
        <v>2300</v>
      </c>
      <c r="B524" s="20" t="str">
        <f>IFERROR(__xludf.DUMMYFUNCTION("REGEXREPLACE(A524, ""^https?://[^/]+"", """")"),"/wp-content/uploads/2025/04/Schradle_Lindsey-225x225.jpg")</f>
        <v>/wp-content/uploads/2025/04/Schradle_Lindsey-225x225.jpg</v>
      </c>
      <c r="F524" s="1" t="s">
        <v>1004</v>
      </c>
      <c r="G524" s="1">
        <v>200.0</v>
      </c>
      <c r="H524" s="1" t="s">
        <v>966</v>
      </c>
      <c r="I524" s="1" t="s">
        <v>967</v>
      </c>
      <c r="L524" s="1">
        <v>0.0</v>
      </c>
      <c r="M524" s="1">
        <v>0.0</v>
      </c>
      <c r="O524" s="1">
        <v>0.0</v>
      </c>
      <c r="P524" s="1">
        <v>0.0</v>
      </c>
      <c r="R524" s="1">
        <v>0.0</v>
      </c>
      <c r="S524" s="1">
        <v>0.0</v>
      </c>
      <c r="U524" s="1">
        <v>0.0</v>
      </c>
      <c r="W524" s="1">
        <v>0.0</v>
      </c>
      <c r="Y524" s="1">
        <v>0.0</v>
      </c>
      <c r="AA524" s="1">
        <v>0.0</v>
      </c>
      <c r="AC524" s="1">
        <v>0.0</v>
      </c>
      <c r="AM524" s="1">
        <v>8721.0</v>
      </c>
      <c r="AN524" s="1">
        <v>8721.0</v>
      </c>
      <c r="AO524" s="1">
        <v>8721.0</v>
      </c>
      <c r="AP524" s="1">
        <v>3.341</v>
      </c>
      <c r="AR524" s="1">
        <v>0.0</v>
      </c>
      <c r="AW524" s="1">
        <v>0.0</v>
      </c>
      <c r="AX524" s="1">
        <v>2.0</v>
      </c>
      <c r="AY524" s="1">
        <v>4.0</v>
      </c>
      <c r="BA524" s="1">
        <v>0.0</v>
      </c>
      <c r="BB524" s="1">
        <v>0.0</v>
      </c>
      <c r="BC524" s="1">
        <v>0.0</v>
      </c>
      <c r="BD524" s="1">
        <v>0.0</v>
      </c>
      <c r="BE524" s="1">
        <v>0.0</v>
      </c>
      <c r="BF524" s="1">
        <v>0.0</v>
      </c>
      <c r="BG524" s="1">
        <v>0.0</v>
      </c>
      <c r="BH524" s="1">
        <v>0.0</v>
      </c>
      <c r="BI524" s="1">
        <v>0.0</v>
      </c>
      <c r="BJ524" s="1">
        <v>0.0</v>
      </c>
      <c r="BP524" s="1">
        <v>0.266</v>
      </c>
      <c r="BQ524" s="1" t="s">
        <v>2301</v>
      </c>
      <c r="BV524" s="1">
        <v>1.1</v>
      </c>
      <c r="EQ524" s="9" t="s">
        <v>2300</v>
      </c>
      <c r="ER524" s="21">
        <v>46045.29869212963</v>
      </c>
    </row>
    <row r="525">
      <c r="A525" s="9" t="s">
        <v>2302</v>
      </c>
      <c r="B525" s="20" t="str">
        <f>IFERROR(__xludf.DUMMYFUNCTION("REGEXREPLACE(A525, ""^https?://[^/]+"", """")"),"/wp-content/uploads/2022/04/Reiff-Duane-275x275-1-225x225.jpg")</f>
        <v>/wp-content/uploads/2022/04/Reiff-Duane-275x275-1-225x225.jpg</v>
      </c>
      <c r="F525" s="1" t="s">
        <v>1004</v>
      </c>
      <c r="G525" s="1">
        <v>200.0</v>
      </c>
      <c r="H525" s="1" t="s">
        <v>966</v>
      </c>
      <c r="I525" s="1" t="s">
        <v>967</v>
      </c>
      <c r="L525" s="1">
        <v>0.0</v>
      </c>
      <c r="M525" s="1">
        <v>0.0</v>
      </c>
      <c r="O525" s="1">
        <v>0.0</v>
      </c>
      <c r="P525" s="1">
        <v>0.0</v>
      </c>
      <c r="R525" s="1">
        <v>0.0</v>
      </c>
      <c r="S525" s="1">
        <v>0.0</v>
      </c>
      <c r="U525" s="1">
        <v>0.0</v>
      </c>
      <c r="W525" s="1">
        <v>0.0</v>
      </c>
      <c r="Y525" s="1">
        <v>0.0</v>
      </c>
      <c r="AA525" s="1">
        <v>0.0</v>
      </c>
      <c r="AC525" s="1">
        <v>0.0</v>
      </c>
      <c r="AM525" s="1">
        <v>8149.0</v>
      </c>
      <c r="AN525" s="1">
        <v>8149.0</v>
      </c>
      <c r="AO525" s="1">
        <v>8149.0</v>
      </c>
      <c r="AP525" s="1">
        <v>3.122</v>
      </c>
      <c r="AR525" s="1">
        <v>0.0</v>
      </c>
      <c r="AW525" s="1">
        <v>0.0</v>
      </c>
      <c r="AX525" s="1">
        <v>2.0</v>
      </c>
      <c r="AY525" s="1">
        <v>4.0</v>
      </c>
      <c r="BA525" s="1">
        <v>0.0</v>
      </c>
      <c r="BB525" s="1">
        <v>0.0</v>
      </c>
      <c r="BC525" s="1">
        <v>0.0</v>
      </c>
      <c r="BD525" s="1">
        <v>0.0</v>
      </c>
      <c r="BE525" s="1">
        <v>0.0</v>
      </c>
      <c r="BF525" s="1">
        <v>0.0</v>
      </c>
      <c r="BG525" s="1">
        <v>0.0</v>
      </c>
      <c r="BH525" s="1">
        <v>0.0</v>
      </c>
      <c r="BI525" s="1">
        <v>0.0</v>
      </c>
      <c r="BJ525" s="1">
        <v>0.0</v>
      </c>
      <c r="BP525" s="1">
        <v>0.264</v>
      </c>
      <c r="BQ525" s="1" t="s">
        <v>2303</v>
      </c>
      <c r="BV525" s="1">
        <v>1.1</v>
      </c>
      <c r="EQ525" s="9" t="s">
        <v>2302</v>
      </c>
      <c r="ER525" s="21">
        <v>46045.29869212963</v>
      </c>
    </row>
    <row r="526">
      <c r="A526" s="9" t="s">
        <v>2304</v>
      </c>
      <c r="B526" s="20" t="str">
        <f>IFERROR(__xludf.DUMMYFUNCTION("REGEXREPLACE(A526, ""^https?://[^/]+"", """")"),"/wp-content/uploads/2022/04/Phil-225x225.jpg")</f>
        <v>/wp-content/uploads/2022/04/Phil-225x225.jpg</v>
      </c>
      <c r="F526" s="1" t="s">
        <v>1004</v>
      </c>
      <c r="G526" s="1">
        <v>200.0</v>
      </c>
      <c r="H526" s="1" t="s">
        <v>966</v>
      </c>
      <c r="I526" s="1" t="s">
        <v>967</v>
      </c>
      <c r="L526" s="1">
        <v>0.0</v>
      </c>
      <c r="M526" s="1">
        <v>0.0</v>
      </c>
      <c r="O526" s="1">
        <v>0.0</v>
      </c>
      <c r="P526" s="1">
        <v>0.0</v>
      </c>
      <c r="R526" s="1">
        <v>0.0</v>
      </c>
      <c r="S526" s="1">
        <v>0.0</v>
      </c>
      <c r="U526" s="1">
        <v>0.0</v>
      </c>
      <c r="W526" s="1">
        <v>0.0</v>
      </c>
      <c r="Y526" s="1">
        <v>0.0</v>
      </c>
      <c r="AA526" s="1">
        <v>0.0</v>
      </c>
      <c r="AC526" s="1">
        <v>0.0</v>
      </c>
      <c r="AM526" s="1">
        <v>9009.0</v>
      </c>
      <c r="AN526" s="1">
        <v>9009.0</v>
      </c>
      <c r="AO526" s="1">
        <v>9009.0</v>
      </c>
      <c r="AP526" s="1">
        <v>3.451</v>
      </c>
      <c r="AR526" s="1">
        <v>0.0</v>
      </c>
      <c r="AW526" s="1">
        <v>0.0</v>
      </c>
      <c r="AX526" s="1">
        <v>2.0</v>
      </c>
      <c r="AY526" s="1">
        <v>4.0</v>
      </c>
      <c r="BA526" s="1">
        <v>0.0</v>
      </c>
      <c r="BB526" s="1">
        <v>0.0</v>
      </c>
      <c r="BC526" s="1">
        <v>0.0</v>
      </c>
      <c r="BD526" s="1">
        <v>0.0</v>
      </c>
      <c r="BE526" s="1">
        <v>0.0</v>
      </c>
      <c r="BF526" s="1">
        <v>0.0</v>
      </c>
      <c r="BG526" s="1">
        <v>0.0</v>
      </c>
      <c r="BH526" s="1">
        <v>0.0</v>
      </c>
      <c r="BI526" s="1">
        <v>0.0</v>
      </c>
      <c r="BJ526" s="1">
        <v>0.0</v>
      </c>
      <c r="BP526" s="1">
        <v>0.291</v>
      </c>
      <c r="BQ526" s="1" t="s">
        <v>2305</v>
      </c>
      <c r="BV526" s="1">
        <v>1.1</v>
      </c>
      <c r="EQ526" s="9" t="s">
        <v>2304</v>
      </c>
      <c r="ER526" s="21">
        <v>46045.29869212963</v>
      </c>
    </row>
    <row r="527">
      <c r="A527" s="9" t="s">
        <v>2306</v>
      </c>
      <c r="B527" s="20" t="str">
        <f>IFERROR(__xludf.DUMMYFUNCTION("REGEXREPLACE(A527, ""^https?://[^/]+"", """")"),"/wp-content/uploads/2017/01/Tourville_Susan-225x225.jpg")</f>
        <v>/wp-content/uploads/2017/01/Tourville_Susan-225x225.jpg</v>
      </c>
      <c r="F527" s="1" t="s">
        <v>1004</v>
      </c>
      <c r="G527" s="1">
        <v>200.0</v>
      </c>
      <c r="H527" s="1" t="s">
        <v>966</v>
      </c>
      <c r="I527" s="1" t="s">
        <v>967</v>
      </c>
      <c r="L527" s="1">
        <v>0.0</v>
      </c>
      <c r="M527" s="1">
        <v>0.0</v>
      </c>
      <c r="O527" s="1">
        <v>0.0</v>
      </c>
      <c r="P527" s="1">
        <v>0.0</v>
      </c>
      <c r="R527" s="1">
        <v>0.0</v>
      </c>
      <c r="S527" s="1">
        <v>0.0</v>
      </c>
      <c r="U527" s="1">
        <v>0.0</v>
      </c>
      <c r="W527" s="1">
        <v>0.0</v>
      </c>
      <c r="Y527" s="1">
        <v>0.0</v>
      </c>
      <c r="AA527" s="1">
        <v>0.0</v>
      </c>
      <c r="AC527" s="1">
        <v>0.0</v>
      </c>
      <c r="AM527" s="1">
        <v>8988.0</v>
      </c>
      <c r="AN527" s="1">
        <v>8988.0</v>
      </c>
      <c r="AO527" s="1">
        <v>8988.0</v>
      </c>
      <c r="AP527" s="1">
        <v>3.443</v>
      </c>
      <c r="AR527" s="1">
        <v>0.0</v>
      </c>
      <c r="AW527" s="1">
        <v>0.0</v>
      </c>
      <c r="AX527" s="1">
        <v>2.0</v>
      </c>
      <c r="AY527" s="1">
        <v>4.0</v>
      </c>
      <c r="BA527" s="1">
        <v>0.0</v>
      </c>
      <c r="BB527" s="1">
        <v>0.0</v>
      </c>
      <c r="BC527" s="1">
        <v>0.0</v>
      </c>
      <c r="BD527" s="1">
        <v>0.0</v>
      </c>
      <c r="BE527" s="1">
        <v>0.0</v>
      </c>
      <c r="BF527" s="1">
        <v>0.0</v>
      </c>
      <c r="BG527" s="1">
        <v>0.0</v>
      </c>
      <c r="BH527" s="1">
        <v>0.0</v>
      </c>
      <c r="BI527" s="1">
        <v>0.0</v>
      </c>
      <c r="BJ527" s="1">
        <v>0.0</v>
      </c>
      <c r="BP527" s="1">
        <v>0.279</v>
      </c>
      <c r="BQ527" s="1" t="s">
        <v>2307</v>
      </c>
      <c r="BV527" s="1">
        <v>1.1</v>
      </c>
      <c r="EQ527" s="9" t="s">
        <v>2306</v>
      </c>
      <c r="ER527" s="21">
        <v>46045.29869212963</v>
      </c>
    </row>
    <row r="528">
      <c r="A528" s="9" t="s">
        <v>2308</v>
      </c>
      <c r="B528" s="20" t="str">
        <f>IFERROR(__xludf.DUMMYFUNCTION("REGEXREPLACE(A528, ""^https?://[^/]+"", """")"),"/wp-content/uploads/elementor/css/post-19673.css?ver=1768846363")</f>
        <v>/wp-content/uploads/elementor/css/post-19673.css?ver=1768846363</v>
      </c>
      <c r="F528" s="1" t="s">
        <v>1016</v>
      </c>
      <c r="G528" s="1">
        <v>200.0</v>
      </c>
      <c r="H528" s="1" t="s">
        <v>966</v>
      </c>
      <c r="I528" s="1" t="s">
        <v>967</v>
      </c>
      <c r="L528" s="1">
        <v>0.0</v>
      </c>
      <c r="M528" s="1">
        <v>0.0</v>
      </c>
      <c r="O528" s="1">
        <v>0.0</v>
      </c>
      <c r="P528" s="1">
        <v>0.0</v>
      </c>
      <c r="R528" s="1">
        <v>0.0</v>
      </c>
      <c r="S528" s="1">
        <v>0.0</v>
      </c>
      <c r="U528" s="1">
        <v>0.0</v>
      </c>
      <c r="W528" s="1">
        <v>0.0</v>
      </c>
      <c r="Y528" s="1">
        <v>0.0</v>
      </c>
      <c r="AA528" s="1">
        <v>0.0</v>
      </c>
      <c r="AC528" s="1">
        <v>0.0</v>
      </c>
      <c r="AM528" s="1">
        <v>656.0</v>
      </c>
      <c r="AN528" s="1">
        <v>656.0</v>
      </c>
      <c r="AO528" s="1">
        <v>656.0</v>
      </c>
      <c r="AP528" s="1">
        <v>0.251</v>
      </c>
      <c r="AR528" s="1">
        <v>0.0</v>
      </c>
      <c r="AW528" s="1">
        <v>0.0</v>
      </c>
      <c r="AX528" s="1">
        <v>2.0</v>
      </c>
      <c r="AY528" s="1">
        <v>4.0</v>
      </c>
      <c r="BA528" s="1">
        <v>0.0</v>
      </c>
      <c r="BB528" s="1">
        <v>0.0</v>
      </c>
      <c r="BC528" s="1">
        <v>0.0</v>
      </c>
      <c r="BD528" s="1">
        <v>0.0</v>
      </c>
      <c r="BE528" s="1">
        <v>0.0</v>
      </c>
      <c r="BF528" s="1">
        <v>0.0</v>
      </c>
      <c r="BG528" s="1">
        <v>0.0</v>
      </c>
      <c r="BH528" s="1">
        <v>0.0</v>
      </c>
      <c r="BI528" s="1">
        <v>0.0</v>
      </c>
      <c r="BJ528" s="1">
        <v>0.0</v>
      </c>
      <c r="BP528" s="1">
        <v>0.261</v>
      </c>
      <c r="BQ528" s="1" t="s">
        <v>2309</v>
      </c>
      <c r="BV528" s="1">
        <v>1.1</v>
      </c>
      <c r="EQ528" s="9" t="s">
        <v>2308</v>
      </c>
      <c r="ER528" s="21">
        <v>46045.29869212963</v>
      </c>
    </row>
    <row r="529">
      <c r="A529" s="9" t="s">
        <v>2310</v>
      </c>
      <c r="B529" s="20" t="str">
        <f>IFERROR(__xludf.DUMMYFUNCTION("REGEXREPLACE(A529, ""^https?://[^/]+"", """")"),"/wp-content/uploads/2024/06/Dillon-Mike-225x225.jpg")</f>
        <v>/wp-content/uploads/2024/06/Dillon-Mike-225x225.jpg</v>
      </c>
      <c r="F529" s="1" t="s">
        <v>1004</v>
      </c>
      <c r="G529" s="1">
        <v>200.0</v>
      </c>
      <c r="H529" s="1" t="s">
        <v>966</v>
      </c>
      <c r="I529" s="1" t="s">
        <v>967</v>
      </c>
      <c r="L529" s="1">
        <v>0.0</v>
      </c>
      <c r="M529" s="1">
        <v>0.0</v>
      </c>
      <c r="O529" s="1">
        <v>0.0</v>
      </c>
      <c r="P529" s="1">
        <v>0.0</v>
      </c>
      <c r="R529" s="1">
        <v>0.0</v>
      </c>
      <c r="S529" s="1">
        <v>0.0</v>
      </c>
      <c r="U529" s="1">
        <v>0.0</v>
      </c>
      <c r="W529" s="1">
        <v>0.0</v>
      </c>
      <c r="Y529" s="1">
        <v>0.0</v>
      </c>
      <c r="AA529" s="1">
        <v>0.0</v>
      </c>
      <c r="AC529" s="1">
        <v>0.0</v>
      </c>
      <c r="AM529" s="1">
        <v>9234.0</v>
      </c>
      <c r="AN529" s="1">
        <v>9234.0</v>
      </c>
      <c r="AO529" s="1">
        <v>9234.0</v>
      </c>
      <c r="AP529" s="1">
        <v>3.537</v>
      </c>
      <c r="AR529" s="1">
        <v>0.0</v>
      </c>
      <c r="AW529" s="1">
        <v>0.0</v>
      </c>
      <c r="AX529" s="1">
        <v>2.0</v>
      </c>
      <c r="AY529" s="1">
        <v>4.0</v>
      </c>
      <c r="BA529" s="1">
        <v>0.0</v>
      </c>
      <c r="BB529" s="1">
        <v>0.0</v>
      </c>
      <c r="BC529" s="1">
        <v>0.0</v>
      </c>
      <c r="BD529" s="1">
        <v>0.0</v>
      </c>
      <c r="BE529" s="1">
        <v>0.0</v>
      </c>
      <c r="BF529" s="1">
        <v>0.0</v>
      </c>
      <c r="BG529" s="1">
        <v>0.0</v>
      </c>
      <c r="BH529" s="1">
        <v>0.0</v>
      </c>
      <c r="BI529" s="1">
        <v>0.0</v>
      </c>
      <c r="BJ529" s="1">
        <v>0.0</v>
      </c>
      <c r="BP529" s="1">
        <v>0.282</v>
      </c>
      <c r="BQ529" s="1" t="s">
        <v>2311</v>
      </c>
      <c r="BV529" s="1">
        <v>1.1</v>
      </c>
      <c r="EQ529" s="9" t="s">
        <v>2310</v>
      </c>
      <c r="ER529" s="21">
        <v>46045.2987037037</v>
      </c>
    </row>
    <row r="530">
      <c r="A530" s="9" t="s">
        <v>2312</v>
      </c>
      <c r="B530" s="20" t="str">
        <f>IFERROR(__xludf.DUMMYFUNCTION("REGEXREPLACE(A530, ""^https?://[^/]+"", """")"),"/wp-content/uploads/2022/04/Jenn-Patrick-275x275-1-225x225.jpg")</f>
        <v>/wp-content/uploads/2022/04/Jenn-Patrick-275x275-1-225x225.jpg</v>
      </c>
      <c r="F530" s="1" t="s">
        <v>1004</v>
      </c>
      <c r="G530" s="1">
        <v>200.0</v>
      </c>
      <c r="H530" s="1" t="s">
        <v>966</v>
      </c>
      <c r="I530" s="1" t="s">
        <v>967</v>
      </c>
      <c r="L530" s="1">
        <v>0.0</v>
      </c>
      <c r="M530" s="1">
        <v>0.0</v>
      </c>
      <c r="O530" s="1">
        <v>0.0</v>
      </c>
      <c r="P530" s="1">
        <v>0.0</v>
      </c>
      <c r="R530" s="1">
        <v>0.0</v>
      </c>
      <c r="S530" s="1">
        <v>0.0</v>
      </c>
      <c r="U530" s="1">
        <v>0.0</v>
      </c>
      <c r="W530" s="1">
        <v>0.0</v>
      </c>
      <c r="Y530" s="1">
        <v>0.0</v>
      </c>
      <c r="AA530" s="1">
        <v>0.0</v>
      </c>
      <c r="AC530" s="1">
        <v>0.0</v>
      </c>
      <c r="AM530" s="1">
        <v>13490.0</v>
      </c>
      <c r="AN530" s="1">
        <v>13490.0</v>
      </c>
      <c r="AO530" s="1">
        <v>13490.0</v>
      </c>
      <c r="AP530" s="1">
        <v>5.168</v>
      </c>
      <c r="AR530" s="1">
        <v>0.0</v>
      </c>
      <c r="AW530" s="1">
        <v>0.0</v>
      </c>
      <c r="AX530" s="1">
        <v>2.0</v>
      </c>
      <c r="AY530" s="1">
        <v>4.0</v>
      </c>
      <c r="BA530" s="1">
        <v>0.0</v>
      </c>
      <c r="BB530" s="1">
        <v>0.0</v>
      </c>
      <c r="BC530" s="1">
        <v>0.0</v>
      </c>
      <c r="BD530" s="1">
        <v>0.0</v>
      </c>
      <c r="BE530" s="1">
        <v>0.0</v>
      </c>
      <c r="BF530" s="1">
        <v>0.0</v>
      </c>
      <c r="BG530" s="1">
        <v>0.0</v>
      </c>
      <c r="BH530" s="1">
        <v>0.0</v>
      </c>
      <c r="BI530" s="1">
        <v>0.0</v>
      </c>
      <c r="BJ530" s="1">
        <v>0.0</v>
      </c>
      <c r="BP530" s="1">
        <v>0.284</v>
      </c>
      <c r="BQ530" s="1" t="s">
        <v>2313</v>
      </c>
      <c r="BV530" s="1">
        <v>1.1</v>
      </c>
      <c r="EQ530" s="9" t="s">
        <v>2312</v>
      </c>
      <c r="ER530" s="21">
        <v>46045.2987037037</v>
      </c>
    </row>
    <row r="531">
      <c r="A531" s="9" t="s">
        <v>2314</v>
      </c>
      <c r="B531" s="20" t="str">
        <f>IFERROR(__xludf.DUMMYFUNCTION("REGEXREPLACE(A531, ""^https?://[^/]+"", """")"),"/wp-content/uploads/2017/01/ODonnell_Patrick-225x225.jpg")</f>
        <v>/wp-content/uploads/2017/01/ODonnell_Patrick-225x225.jpg</v>
      </c>
      <c r="F531" s="1" t="s">
        <v>1004</v>
      </c>
      <c r="G531" s="1">
        <v>200.0</v>
      </c>
      <c r="H531" s="1" t="s">
        <v>966</v>
      </c>
      <c r="I531" s="1" t="s">
        <v>967</v>
      </c>
      <c r="L531" s="1">
        <v>0.0</v>
      </c>
      <c r="M531" s="1">
        <v>0.0</v>
      </c>
      <c r="O531" s="1">
        <v>0.0</v>
      </c>
      <c r="P531" s="1">
        <v>0.0</v>
      </c>
      <c r="R531" s="1">
        <v>0.0</v>
      </c>
      <c r="S531" s="1">
        <v>0.0</v>
      </c>
      <c r="U531" s="1">
        <v>0.0</v>
      </c>
      <c r="W531" s="1">
        <v>0.0</v>
      </c>
      <c r="Y531" s="1">
        <v>0.0</v>
      </c>
      <c r="AA531" s="1">
        <v>0.0</v>
      </c>
      <c r="AC531" s="1">
        <v>0.0</v>
      </c>
      <c r="AM531" s="1">
        <v>9422.0</v>
      </c>
      <c r="AN531" s="1">
        <v>9422.0</v>
      </c>
      <c r="AO531" s="1">
        <v>9422.0</v>
      </c>
      <c r="AP531" s="1">
        <v>3.609</v>
      </c>
      <c r="AR531" s="1">
        <v>0.0</v>
      </c>
      <c r="AW531" s="1">
        <v>0.0</v>
      </c>
      <c r="AX531" s="1">
        <v>2.0</v>
      </c>
      <c r="AY531" s="1">
        <v>4.0</v>
      </c>
      <c r="BA531" s="1">
        <v>0.0</v>
      </c>
      <c r="BB531" s="1">
        <v>0.0</v>
      </c>
      <c r="BC531" s="1">
        <v>0.0</v>
      </c>
      <c r="BD531" s="1">
        <v>0.0</v>
      </c>
      <c r="BE531" s="1">
        <v>0.0</v>
      </c>
      <c r="BF531" s="1">
        <v>0.0</v>
      </c>
      <c r="BG531" s="1">
        <v>0.0</v>
      </c>
      <c r="BH531" s="1">
        <v>0.0</v>
      </c>
      <c r="BI531" s="1">
        <v>0.0</v>
      </c>
      <c r="BJ531" s="1">
        <v>0.0</v>
      </c>
      <c r="BP531" s="1">
        <v>0.277</v>
      </c>
      <c r="BQ531" s="1" t="s">
        <v>2315</v>
      </c>
      <c r="BV531" s="1">
        <v>1.1</v>
      </c>
      <c r="EQ531" s="9" t="s">
        <v>2314</v>
      </c>
      <c r="ER531" s="21">
        <v>46045.29871527778</v>
      </c>
    </row>
    <row r="532">
      <c r="A532" s="9" t="s">
        <v>2316</v>
      </c>
      <c r="B532" s="20" t="str">
        <f>IFERROR(__xludf.DUMMYFUNCTION("REGEXREPLACE(A532, ""^https?://[^/]+"", """")"),"/wp-content/uploads/2017/01/Steyn_Daniel-225x225.jpg")</f>
        <v>/wp-content/uploads/2017/01/Steyn_Daniel-225x225.jpg</v>
      </c>
      <c r="F532" s="1" t="s">
        <v>1004</v>
      </c>
      <c r="G532" s="1">
        <v>200.0</v>
      </c>
      <c r="H532" s="1" t="s">
        <v>966</v>
      </c>
      <c r="I532" s="1" t="s">
        <v>967</v>
      </c>
      <c r="L532" s="1">
        <v>0.0</v>
      </c>
      <c r="M532" s="1">
        <v>0.0</v>
      </c>
      <c r="O532" s="1">
        <v>0.0</v>
      </c>
      <c r="P532" s="1">
        <v>0.0</v>
      </c>
      <c r="R532" s="1">
        <v>0.0</v>
      </c>
      <c r="S532" s="1">
        <v>0.0</v>
      </c>
      <c r="U532" s="1">
        <v>0.0</v>
      </c>
      <c r="W532" s="1">
        <v>0.0</v>
      </c>
      <c r="Y532" s="1">
        <v>0.0</v>
      </c>
      <c r="AA532" s="1">
        <v>0.0</v>
      </c>
      <c r="AC532" s="1">
        <v>0.0</v>
      </c>
      <c r="AM532" s="1">
        <v>8795.0</v>
      </c>
      <c r="AN532" s="1">
        <v>8795.0</v>
      </c>
      <c r="AO532" s="1">
        <v>8795.0</v>
      </c>
      <c r="AP532" s="1">
        <v>3.369</v>
      </c>
      <c r="AR532" s="1">
        <v>0.0</v>
      </c>
      <c r="AW532" s="1">
        <v>0.0</v>
      </c>
      <c r="AX532" s="1">
        <v>2.0</v>
      </c>
      <c r="AY532" s="1">
        <v>4.0</v>
      </c>
      <c r="BA532" s="1">
        <v>0.0</v>
      </c>
      <c r="BB532" s="1">
        <v>0.0</v>
      </c>
      <c r="BC532" s="1">
        <v>0.0</v>
      </c>
      <c r="BD532" s="1">
        <v>0.0</v>
      </c>
      <c r="BE532" s="1">
        <v>0.0</v>
      </c>
      <c r="BF532" s="1">
        <v>0.0</v>
      </c>
      <c r="BG532" s="1">
        <v>0.0</v>
      </c>
      <c r="BH532" s="1">
        <v>0.0</v>
      </c>
      <c r="BI532" s="1">
        <v>0.0</v>
      </c>
      <c r="BJ532" s="1">
        <v>0.0</v>
      </c>
      <c r="BP532" s="1">
        <v>0.267</v>
      </c>
      <c r="BQ532" s="1" t="s">
        <v>2317</v>
      </c>
      <c r="BV532" s="1">
        <v>1.1</v>
      </c>
      <c r="EQ532" s="9" t="s">
        <v>2316</v>
      </c>
      <c r="ER532" s="21">
        <v>46045.29871527778</v>
      </c>
    </row>
    <row r="533">
      <c r="A533" s="9" t="s">
        <v>2318</v>
      </c>
      <c r="B533" s="20" t="str">
        <f>IFERROR(__xludf.DUMMYFUNCTION("REGEXREPLACE(A533, ""^https?://[^/]+"", """")"),"/wp-content/uploads/2022/09/Gallo-Justin-225x225.jpeg")</f>
        <v>/wp-content/uploads/2022/09/Gallo-Justin-225x225.jpeg</v>
      </c>
      <c r="F533" s="1" t="s">
        <v>1004</v>
      </c>
      <c r="G533" s="1">
        <v>200.0</v>
      </c>
      <c r="H533" s="1" t="s">
        <v>966</v>
      </c>
      <c r="I533" s="1" t="s">
        <v>967</v>
      </c>
      <c r="L533" s="1">
        <v>0.0</v>
      </c>
      <c r="M533" s="1">
        <v>0.0</v>
      </c>
      <c r="O533" s="1">
        <v>0.0</v>
      </c>
      <c r="P533" s="1">
        <v>0.0</v>
      </c>
      <c r="R533" s="1">
        <v>0.0</v>
      </c>
      <c r="S533" s="1">
        <v>0.0</v>
      </c>
      <c r="U533" s="1">
        <v>0.0</v>
      </c>
      <c r="W533" s="1">
        <v>0.0</v>
      </c>
      <c r="Y533" s="1">
        <v>0.0</v>
      </c>
      <c r="AA533" s="1">
        <v>0.0</v>
      </c>
      <c r="AC533" s="1">
        <v>0.0</v>
      </c>
      <c r="AM533" s="1">
        <v>9520.0</v>
      </c>
      <c r="AN533" s="1">
        <v>9520.0</v>
      </c>
      <c r="AO533" s="1">
        <v>9520.0</v>
      </c>
      <c r="AP533" s="1">
        <v>3.647</v>
      </c>
      <c r="AR533" s="1">
        <v>0.0</v>
      </c>
      <c r="AW533" s="1">
        <v>0.0</v>
      </c>
      <c r="AX533" s="1">
        <v>2.0</v>
      </c>
      <c r="AY533" s="1">
        <v>4.0</v>
      </c>
      <c r="BA533" s="1">
        <v>0.0</v>
      </c>
      <c r="BB533" s="1">
        <v>0.0</v>
      </c>
      <c r="BC533" s="1">
        <v>0.0</v>
      </c>
      <c r="BD533" s="1">
        <v>0.0</v>
      </c>
      <c r="BE533" s="1">
        <v>0.0</v>
      </c>
      <c r="BF533" s="1">
        <v>0.0</v>
      </c>
      <c r="BG533" s="1">
        <v>0.0</v>
      </c>
      <c r="BH533" s="1">
        <v>0.0</v>
      </c>
      <c r="BI533" s="1">
        <v>0.0</v>
      </c>
      <c r="BJ533" s="1">
        <v>0.0</v>
      </c>
      <c r="BP533" s="1">
        <v>0.269</v>
      </c>
      <c r="BQ533" s="1" t="s">
        <v>2319</v>
      </c>
      <c r="BV533" s="1">
        <v>1.1</v>
      </c>
      <c r="EQ533" s="9" t="s">
        <v>2318</v>
      </c>
      <c r="ER533" s="21">
        <v>46045.298726851855</v>
      </c>
    </row>
    <row r="534">
      <c r="A534" s="9" t="s">
        <v>2320</v>
      </c>
      <c r="B534" s="20" t="str">
        <f>IFERROR(__xludf.DUMMYFUNCTION("REGEXREPLACE(A534, ""^https?://[^/]+"", """")"),"/wp-content/uploads/2022/04/Parodi-Enrico-225x225.jpg")</f>
        <v>/wp-content/uploads/2022/04/Parodi-Enrico-225x225.jpg</v>
      </c>
      <c r="F534" s="1" t="s">
        <v>1004</v>
      </c>
      <c r="G534" s="1">
        <v>200.0</v>
      </c>
      <c r="H534" s="1" t="s">
        <v>966</v>
      </c>
      <c r="I534" s="1" t="s">
        <v>967</v>
      </c>
      <c r="L534" s="1">
        <v>0.0</v>
      </c>
      <c r="M534" s="1">
        <v>0.0</v>
      </c>
      <c r="O534" s="1">
        <v>0.0</v>
      </c>
      <c r="P534" s="1">
        <v>0.0</v>
      </c>
      <c r="R534" s="1">
        <v>0.0</v>
      </c>
      <c r="S534" s="1">
        <v>0.0</v>
      </c>
      <c r="U534" s="1">
        <v>0.0</v>
      </c>
      <c r="W534" s="1">
        <v>0.0</v>
      </c>
      <c r="Y534" s="1">
        <v>0.0</v>
      </c>
      <c r="AA534" s="1">
        <v>0.0</v>
      </c>
      <c r="AC534" s="1">
        <v>0.0</v>
      </c>
      <c r="AM534" s="1">
        <v>7846.0</v>
      </c>
      <c r="AN534" s="1">
        <v>7846.0</v>
      </c>
      <c r="AO534" s="1">
        <v>7846.0</v>
      </c>
      <c r="AP534" s="1">
        <v>3.006</v>
      </c>
      <c r="AR534" s="1">
        <v>0.0</v>
      </c>
      <c r="AW534" s="1">
        <v>0.0</v>
      </c>
      <c r="AX534" s="1">
        <v>2.0</v>
      </c>
      <c r="AY534" s="1">
        <v>4.0</v>
      </c>
      <c r="BA534" s="1">
        <v>0.0</v>
      </c>
      <c r="BB534" s="1">
        <v>0.0</v>
      </c>
      <c r="BC534" s="1">
        <v>0.0</v>
      </c>
      <c r="BD534" s="1">
        <v>0.0</v>
      </c>
      <c r="BE534" s="1">
        <v>0.0</v>
      </c>
      <c r="BF534" s="1">
        <v>0.0</v>
      </c>
      <c r="BG534" s="1">
        <v>0.0</v>
      </c>
      <c r="BH534" s="1">
        <v>0.0</v>
      </c>
      <c r="BI534" s="1">
        <v>0.0</v>
      </c>
      <c r="BJ534" s="1">
        <v>0.0</v>
      </c>
      <c r="BP534" s="1">
        <v>0.279</v>
      </c>
      <c r="BQ534" s="1" t="s">
        <v>2321</v>
      </c>
      <c r="BV534" s="1">
        <v>1.1</v>
      </c>
      <c r="EQ534" s="9" t="s">
        <v>2320</v>
      </c>
      <c r="ER534" s="21">
        <v>46045.298726851855</v>
      </c>
    </row>
    <row r="535">
      <c r="A535" s="9" t="s">
        <v>2322</v>
      </c>
      <c r="B535" s="20" t="str">
        <f>IFERROR(__xludf.DUMMYFUNCTION("REGEXREPLACE(A535, ""^https?://[^/]+"", """")"),"/wp-content/uploads/2024/10/Carrel_Charles-225x225.jpg")</f>
        <v>/wp-content/uploads/2024/10/Carrel_Charles-225x225.jpg</v>
      </c>
      <c r="F535" s="1" t="s">
        <v>1004</v>
      </c>
      <c r="G535" s="1">
        <v>200.0</v>
      </c>
      <c r="H535" s="1" t="s">
        <v>966</v>
      </c>
      <c r="I535" s="1" t="s">
        <v>967</v>
      </c>
      <c r="L535" s="1">
        <v>0.0</v>
      </c>
      <c r="M535" s="1">
        <v>0.0</v>
      </c>
      <c r="O535" s="1">
        <v>0.0</v>
      </c>
      <c r="P535" s="1">
        <v>0.0</v>
      </c>
      <c r="R535" s="1">
        <v>0.0</v>
      </c>
      <c r="S535" s="1">
        <v>0.0</v>
      </c>
      <c r="U535" s="1">
        <v>0.0</v>
      </c>
      <c r="W535" s="1">
        <v>0.0</v>
      </c>
      <c r="Y535" s="1">
        <v>0.0</v>
      </c>
      <c r="AA535" s="1">
        <v>0.0</v>
      </c>
      <c r="AC535" s="1">
        <v>0.0</v>
      </c>
      <c r="AM535" s="1">
        <v>10454.0</v>
      </c>
      <c r="AN535" s="1">
        <v>10454.0</v>
      </c>
      <c r="AO535" s="1">
        <v>10454.0</v>
      </c>
      <c r="AP535" s="1">
        <v>4.005</v>
      </c>
      <c r="AR535" s="1">
        <v>0.0</v>
      </c>
      <c r="AW535" s="1">
        <v>0.0</v>
      </c>
      <c r="AX535" s="1">
        <v>2.0</v>
      </c>
      <c r="AY535" s="1">
        <v>4.0</v>
      </c>
      <c r="BA535" s="1">
        <v>0.0</v>
      </c>
      <c r="BB535" s="1">
        <v>0.0</v>
      </c>
      <c r="BC535" s="1">
        <v>0.0</v>
      </c>
      <c r="BD535" s="1">
        <v>0.0</v>
      </c>
      <c r="BE535" s="1">
        <v>0.0</v>
      </c>
      <c r="BF535" s="1">
        <v>0.0</v>
      </c>
      <c r="BG535" s="1">
        <v>0.0</v>
      </c>
      <c r="BH535" s="1">
        <v>0.0</v>
      </c>
      <c r="BI535" s="1">
        <v>0.0</v>
      </c>
      <c r="BJ535" s="1">
        <v>0.0</v>
      </c>
      <c r="BP535" s="1">
        <v>0.276</v>
      </c>
      <c r="BQ535" s="1" t="s">
        <v>2323</v>
      </c>
      <c r="BV535" s="1">
        <v>1.1</v>
      </c>
      <c r="EQ535" s="9" t="s">
        <v>2322</v>
      </c>
      <c r="ER535" s="21">
        <v>46045.298726851855</v>
      </c>
    </row>
    <row r="536">
      <c r="A536" s="9" t="s">
        <v>2324</v>
      </c>
      <c r="B536" s="20" t="str">
        <f>IFERROR(__xludf.DUMMYFUNCTION("REGEXREPLACE(A536, ""^https?://[^/]+"", """")"),"/wp-content/uploads/2022/04/Hardwick-Jim-275x275-1-225x225.jpg")</f>
        <v>/wp-content/uploads/2022/04/Hardwick-Jim-275x275-1-225x225.jpg</v>
      </c>
      <c r="F536" s="1" t="s">
        <v>1004</v>
      </c>
      <c r="G536" s="1">
        <v>200.0</v>
      </c>
      <c r="H536" s="1" t="s">
        <v>966</v>
      </c>
      <c r="I536" s="1" t="s">
        <v>967</v>
      </c>
      <c r="L536" s="1">
        <v>0.0</v>
      </c>
      <c r="M536" s="1">
        <v>0.0</v>
      </c>
      <c r="O536" s="1">
        <v>0.0</v>
      </c>
      <c r="P536" s="1">
        <v>0.0</v>
      </c>
      <c r="R536" s="1">
        <v>0.0</v>
      </c>
      <c r="S536" s="1">
        <v>0.0</v>
      </c>
      <c r="U536" s="1">
        <v>0.0</v>
      </c>
      <c r="W536" s="1">
        <v>0.0</v>
      </c>
      <c r="Y536" s="1">
        <v>0.0</v>
      </c>
      <c r="AA536" s="1">
        <v>0.0</v>
      </c>
      <c r="AC536" s="1">
        <v>0.0</v>
      </c>
      <c r="AM536" s="1">
        <v>8277.0</v>
      </c>
      <c r="AN536" s="1">
        <v>8277.0</v>
      </c>
      <c r="AO536" s="1">
        <v>8277.0</v>
      </c>
      <c r="AP536" s="1">
        <v>3.171</v>
      </c>
      <c r="AR536" s="1">
        <v>0.0</v>
      </c>
      <c r="AW536" s="1">
        <v>0.0</v>
      </c>
      <c r="AX536" s="1">
        <v>2.0</v>
      </c>
      <c r="AY536" s="1">
        <v>4.0</v>
      </c>
      <c r="BA536" s="1">
        <v>0.0</v>
      </c>
      <c r="BB536" s="1">
        <v>0.0</v>
      </c>
      <c r="BC536" s="1">
        <v>0.0</v>
      </c>
      <c r="BD536" s="1">
        <v>0.0</v>
      </c>
      <c r="BE536" s="1">
        <v>0.0</v>
      </c>
      <c r="BF536" s="1">
        <v>0.0</v>
      </c>
      <c r="BG536" s="1">
        <v>0.0</v>
      </c>
      <c r="BH536" s="1">
        <v>0.0</v>
      </c>
      <c r="BI536" s="1">
        <v>0.0</v>
      </c>
      <c r="BJ536" s="1">
        <v>0.0</v>
      </c>
      <c r="BP536" s="1">
        <v>0.269</v>
      </c>
      <c r="BQ536" s="1" t="s">
        <v>2325</v>
      </c>
      <c r="BV536" s="1">
        <v>1.1</v>
      </c>
      <c r="EQ536" s="9" t="s">
        <v>2324</v>
      </c>
      <c r="ER536" s="21">
        <v>46045.298738425925</v>
      </c>
    </row>
    <row r="537">
      <c r="A537" s="9" t="s">
        <v>2326</v>
      </c>
      <c r="B537" s="20" t="str">
        <f>IFERROR(__xludf.DUMMYFUNCTION("REGEXREPLACE(A537, ""^https?://[^/]+"", """")"),"/wp-content/uploads/2026/01/Dan-McCoy-225x225.jpeg")</f>
        <v>/wp-content/uploads/2026/01/Dan-McCoy-225x225.jpeg</v>
      </c>
      <c r="F537" s="1" t="s">
        <v>1004</v>
      </c>
      <c r="G537" s="1">
        <v>200.0</v>
      </c>
      <c r="H537" s="1" t="s">
        <v>966</v>
      </c>
      <c r="I537" s="1" t="s">
        <v>967</v>
      </c>
      <c r="L537" s="1">
        <v>0.0</v>
      </c>
      <c r="M537" s="1">
        <v>0.0</v>
      </c>
      <c r="O537" s="1">
        <v>0.0</v>
      </c>
      <c r="P537" s="1">
        <v>0.0</v>
      </c>
      <c r="R537" s="1">
        <v>0.0</v>
      </c>
      <c r="S537" s="1">
        <v>0.0</v>
      </c>
      <c r="U537" s="1">
        <v>0.0</v>
      </c>
      <c r="W537" s="1">
        <v>0.0</v>
      </c>
      <c r="Y537" s="1">
        <v>0.0</v>
      </c>
      <c r="AA537" s="1">
        <v>0.0</v>
      </c>
      <c r="AC537" s="1">
        <v>0.0</v>
      </c>
      <c r="AM537" s="1">
        <v>9985.0</v>
      </c>
      <c r="AN537" s="1">
        <v>9985.0</v>
      </c>
      <c r="AO537" s="1">
        <v>9985.0</v>
      </c>
      <c r="AP537" s="1">
        <v>3.825</v>
      </c>
      <c r="AR537" s="1">
        <v>0.0</v>
      </c>
      <c r="AW537" s="1">
        <v>0.0</v>
      </c>
      <c r="AX537" s="1">
        <v>2.0</v>
      </c>
      <c r="AY537" s="1">
        <v>4.0</v>
      </c>
      <c r="BA537" s="1">
        <v>0.0</v>
      </c>
      <c r="BB537" s="1">
        <v>0.0</v>
      </c>
      <c r="BC537" s="1">
        <v>0.0</v>
      </c>
      <c r="BD537" s="1">
        <v>0.0</v>
      </c>
      <c r="BE537" s="1">
        <v>0.0</v>
      </c>
      <c r="BF537" s="1">
        <v>0.0</v>
      </c>
      <c r="BG537" s="1">
        <v>0.0</v>
      </c>
      <c r="BH537" s="1">
        <v>0.0</v>
      </c>
      <c r="BI537" s="1">
        <v>0.0</v>
      </c>
      <c r="BJ537" s="1">
        <v>0.0</v>
      </c>
      <c r="BP537" s="1">
        <v>0.267</v>
      </c>
      <c r="BQ537" s="1" t="s">
        <v>2327</v>
      </c>
      <c r="BV537" s="1">
        <v>1.1</v>
      </c>
      <c r="EQ537" s="9" t="s">
        <v>2326</v>
      </c>
      <c r="ER537" s="21">
        <v>46045.298738425925</v>
      </c>
    </row>
    <row r="538">
      <c r="A538" s="9" t="s">
        <v>2328</v>
      </c>
      <c r="B538" s="20" t="str">
        <f>IFERROR(__xludf.DUMMYFUNCTION("REGEXREPLACE(A538, ""^https?://[^/]+"", """")"),"/wp-content/uploads/2023/02/Reed_John-225x225.jpg")</f>
        <v>/wp-content/uploads/2023/02/Reed_John-225x225.jpg</v>
      </c>
      <c r="F538" s="1" t="s">
        <v>1004</v>
      </c>
      <c r="G538" s="1">
        <v>200.0</v>
      </c>
      <c r="H538" s="1" t="s">
        <v>966</v>
      </c>
      <c r="I538" s="1" t="s">
        <v>967</v>
      </c>
      <c r="L538" s="1">
        <v>0.0</v>
      </c>
      <c r="M538" s="1">
        <v>0.0</v>
      </c>
      <c r="O538" s="1">
        <v>0.0</v>
      </c>
      <c r="P538" s="1">
        <v>0.0</v>
      </c>
      <c r="R538" s="1">
        <v>0.0</v>
      </c>
      <c r="S538" s="1">
        <v>0.0</v>
      </c>
      <c r="U538" s="1">
        <v>0.0</v>
      </c>
      <c r="W538" s="1">
        <v>0.0</v>
      </c>
      <c r="Y538" s="1">
        <v>0.0</v>
      </c>
      <c r="AA538" s="1">
        <v>0.0</v>
      </c>
      <c r="AC538" s="1">
        <v>0.0</v>
      </c>
      <c r="AM538" s="1">
        <v>8812.0</v>
      </c>
      <c r="AN538" s="1">
        <v>8812.0</v>
      </c>
      <c r="AO538" s="1">
        <v>8812.0</v>
      </c>
      <c r="AP538" s="1">
        <v>3.376</v>
      </c>
      <c r="AR538" s="1">
        <v>0.0</v>
      </c>
      <c r="AW538" s="1">
        <v>0.0</v>
      </c>
      <c r="AX538" s="1">
        <v>2.0</v>
      </c>
      <c r="AY538" s="1">
        <v>4.0</v>
      </c>
      <c r="BA538" s="1">
        <v>0.0</v>
      </c>
      <c r="BB538" s="1">
        <v>0.0</v>
      </c>
      <c r="BC538" s="1">
        <v>0.0</v>
      </c>
      <c r="BD538" s="1">
        <v>0.0</v>
      </c>
      <c r="BE538" s="1">
        <v>0.0</v>
      </c>
      <c r="BF538" s="1">
        <v>0.0</v>
      </c>
      <c r="BG538" s="1">
        <v>0.0</v>
      </c>
      <c r="BH538" s="1">
        <v>0.0</v>
      </c>
      <c r="BI538" s="1">
        <v>0.0</v>
      </c>
      <c r="BJ538" s="1">
        <v>0.0</v>
      </c>
      <c r="BP538" s="1">
        <v>0.259</v>
      </c>
      <c r="BQ538" s="1" t="s">
        <v>2329</v>
      </c>
      <c r="BV538" s="1">
        <v>1.1</v>
      </c>
      <c r="EQ538" s="9" t="s">
        <v>2328</v>
      </c>
      <c r="ER538" s="21">
        <v>46045.298738425925</v>
      </c>
    </row>
    <row r="539">
      <c r="A539" s="9" t="s">
        <v>2330</v>
      </c>
      <c r="B539" s="20" t="str">
        <f>IFERROR(__xludf.DUMMYFUNCTION("REGEXREPLACE(A539, ""^https?://[^/]+"", """")"),"/wp-content/uploads/2022/04/Nixon-Glenn-225x225.jpg")</f>
        <v>/wp-content/uploads/2022/04/Nixon-Glenn-225x225.jpg</v>
      </c>
      <c r="F539" s="1" t="s">
        <v>1004</v>
      </c>
      <c r="G539" s="1">
        <v>200.0</v>
      </c>
      <c r="H539" s="1" t="s">
        <v>966</v>
      </c>
      <c r="I539" s="1" t="s">
        <v>967</v>
      </c>
      <c r="L539" s="1">
        <v>0.0</v>
      </c>
      <c r="M539" s="1">
        <v>0.0</v>
      </c>
      <c r="O539" s="1">
        <v>0.0</v>
      </c>
      <c r="P539" s="1">
        <v>0.0</v>
      </c>
      <c r="R539" s="1">
        <v>0.0</v>
      </c>
      <c r="S539" s="1">
        <v>0.0</v>
      </c>
      <c r="U539" s="1">
        <v>0.0</v>
      </c>
      <c r="W539" s="1">
        <v>0.0</v>
      </c>
      <c r="Y539" s="1">
        <v>0.0</v>
      </c>
      <c r="AA539" s="1">
        <v>0.0</v>
      </c>
      <c r="AC539" s="1">
        <v>0.0</v>
      </c>
      <c r="AM539" s="1">
        <v>8294.0</v>
      </c>
      <c r="AN539" s="1">
        <v>8294.0</v>
      </c>
      <c r="AO539" s="1">
        <v>8294.0</v>
      </c>
      <c r="AP539" s="1">
        <v>3.177</v>
      </c>
      <c r="AR539" s="1">
        <v>0.0</v>
      </c>
      <c r="AW539" s="1">
        <v>0.0</v>
      </c>
      <c r="AX539" s="1">
        <v>2.0</v>
      </c>
      <c r="AY539" s="1">
        <v>4.0</v>
      </c>
      <c r="BA539" s="1">
        <v>0.0</v>
      </c>
      <c r="BB539" s="1">
        <v>0.0</v>
      </c>
      <c r="BC539" s="1">
        <v>0.0</v>
      </c>
      <c r="BD539" s="1">
        <v>0.0</v>
      </c>
      <c r="BE539" s="1">
        <v>0.0</v>
      </c>
      <c r="BF539" s="1">
        <v>0.0</v>
      </c>
      <c r="BG539" s="1">
        <v>0.0</v>
      </c>
      <c r="BH539" s="1">
        <v>0.0</v>
      </c>
      <c r="BI539" s="1">
        <v>0.0</v>
      </c>
      <c r="BJ539" s="1">
        <v>0.0</v>
      </c>
      <c r="BP539" s="1">
        <v>0.268</v>
      </c>
      <c r="BQ539" s="1" t="s">
        <v>2331</v>
      </c>
      <c r="BV539" s="1">
        <v>1.1</v>
      </c>
      <c r="EQ539" s="9" t="s">
        <v>2330</v>
      </c>
      <c r="ER539" s="21">
        <v>46045.298738425925</v>
      </c>
    </row>
    <row r="540">
      <c r="A540" s="9" t="s">
        <v>2332</v>
      </c>
      <c r="B540" s="20" t="str">
        <f>IFERROR(__xludf.DUMMYFUNCTION("REGEXREPLACE(A540, ""^https?://[^/]+"", """")"),"/wp-content/uploads/2025/01/Towsey_Russell-225x225.jpg")</f>
        <v>/wp-content/uploads/2025/01/Towsey_Russell-225x225.jpg</v>
      </c>
      <c r="F540" s="1" t="s">
        <v>1004</v>
      </c>
      <c r="G540" s="1">
        <v>200.0</v>
      </c>
      <c r="H540" s="1" t="s">
        <v>966</v>
      </c>
      <c r="I540" s="1" t="s">
        <v>967</v>
      </c>
      <c r="L540" s="1">
        <v>0.0</v>
      </c>
      <c r="M540" s="1">
        <v>0.0</v>
      </c>
      <c r="O540" s="1">
        <v>0.0</v>
      </c>
      <c r="P540" s="1">
        <v>0.0</v>
      </c>
      <c r="R540" s="1">
        <v>0.0</v>
      </c>
      <c r="S540" s="1">
        <v>0.0</v>
      </c>
      <c r="U540" s="1">
        <v>0.0</v>
      </c>
      <c r="W540" s="1">
        <v>0.0</v>
      </c>
      <c r="Y540" s="1">
        <v>0.0</v>
      </c>
      <c r="AA540" s="1">
        <v>0.0</v>
      </c>
      <c r="AC540" s="1">
        <v>0.0</v>
      </c>
      <c r="AM540" s="1">
        <v>8117.0</v>
      </c>
      <c r="AN540" s="1">
        <v>8117.0</v>
      </c>
      <c r="AO540" s="1">
        <v>8117.0</v>
      </c>
      <c r="AP540" s="1">
        <v>3.109</v>
      </c>
      <c r="AR540" s="1">
        <v>0.0</v>
      </c>
      <c r="AW540" s="1">
        <v>0.0</v>
      </c>
      <c r="AX540" s="1">
        <v>2.0</v>
      </c>
      <c r="AY540" s="1">
        <v>4.0</v>
      </c>
      <c r="BA540" s="1">
        <v>0.0</v>
      </c>
      <c r="BB540" s="1">
        <v>0.0</v>
      </c>
      <c r="BC540" s="1">
        <v>0.0</v>
      </c>
      <c r="BD540" s="1">
        <v>0.0</v>
      </c>
      <c r="BE540" s="1">
        <v>0.0</v>
      </c>
      <c r="BF540" s="1">
        <v>0.0</v>
      </c>
      <c r="BG540" s="1">
        <v>0.0</v>
      </c>
      <c r="BH540" s="1">
        <v>0.0</v>
      </c>
      <c r="BI540" s="1">
        <v>0.0</v>
      </c>
      <c r="BJ540" s="1">
        <v>0.0</v>
      </c>
      <c r="BP540" s="1">
        <v>0.302</v>
      </c>
      <c r="BQ540" s="1" t="s">
        <v>2333</v>
      </c>
      <c r="BV540" s="1">
        <v>1.1</v>
      </c>
      <c r="EQ540" s="9" t="s">
        <v>2332</v>
      </c>
      <c r="ER540" s="21">
        <v>46045.29875</v>
      </c>
    </row>
    <row r="541">
      <c r="A541" s="9" t="s">
        <v>2334</v>
      </c>
      <c r="B541" s="20" t="str">
        <f>IFERROR(__xludf.DUMMYFUNCTION("REGEXREPLACE(A541, ""^https?://[^/]+"", """")"),"/wp-content/uploads/2025/10/Norton_Jim-225x225.jpg")</f>
        <v>/wp-content/uploads/2025/10/Norton_Jim-225x225.jpg</v>
      </c>
      <c r="F541" s="1" t="s">
        <v>1004</v>
      </c>
      <c r="G541" s="1">
        <v>200.0</v>
      </c>
      <c r="H541" s="1" t="s">
        <v>966</v>
      </c>
      <c r="I541" s="1" t="s">
        <v>967</v>
      </c>
      <c r="L541" s="1">
        <v>0.0</v>
      </c>
      <c r="M541" s="1">
        <v>0.0</v>
      </c>
      <c r="O541" s="1">
        <v>0.0</v>
      </c>
      <c r="P541" s="1">
        <v>0.0</v>
      </c>
      <c r="R541" s="1">
        <v>0.0</v>
      </c>
      <c r="S541" s="1">
        <v>0.0</v>
      </c>
      <c r="U541" s="1">
        <v>0.0</v>
      </c>
      <c r="W541" s="1">
        <v>0.0</v>
      </c>
      <c r="Y541" s="1">
        <v>0.0</v>
      </c>
      <c r="AA541" s="1">
        <v>0.0</v>
      </c>
      <c r="AC541" s="1">
        <v>0.0</v>
      </c>
      <c r="AM541" s="1">
        <v>9533.0</v>
      </c>
      <c r="AN541" s="1">
        <v>9533.0</v>
      </c>
      <c r="AO541" s="1">
        <v>9533.0</v>
      </c>
      <c r="AP541" s="1">
        <v>3.652</v>
      </c>
      <c r="AR541" s="1">
        <v>0.0</v>
      </c>
      <c r="AW541" s="1">
        <v>0.0</v>
      </c>
      <c r="AX541" s="1">
        <v>2.0</v>
      </c>
      <c r="AY541" s="1">
        <v>4.0</v>
      </c>
      <c r="BA541" s="1">
        <v>0.0</v>
      </c>
      <c r="BB541" s="1">
        <v>0.0</v>
      </c>
      <c r="BC541" s="1">
        <v>0.0</v>
      </c>
      <c r="BD541" s="1">
        <v>0.0</v>
      </c>
      <c r="BE541" s="1">
        <v>0.0</v>
      </c>
      <c r="BF541" s="1">
        <v>0.0</v>
      </c>
      <c r="BG541" s="1">
        <v>0.0</v>
      </c>
      <c r="BH541" s="1">
        <v>0.0</v>
      </c>
      <c r="BI541" s="1">
        <v>0.0</v>
      </c>
      <c r="BJ541" s="1">
        <v>0.0</v>
      </c>
      <c r="BP541" s="1">
        <v>0.279</v>
      </c>
      <c r="BQ541" s="1" t="s">
        <v>2335</v>
      </c>
      <c r="BV541" s="1">
        <v>1.1</v>
      </c>
      <c r="EQ541" s="9" t="s">
        <v>2334</v>
      </c>
      <c r="ER541" s="21">
        <v>46045.29875</v>
      </c>
    </row>
    <row r="542">
      <c r="A542" s="9" t="s">
        <v>2336</v>
      </c>
      <c r="B542" s="20" t="str">
        <f>IFERROR(__xludf.DUMMYFUNCTION("REGEXREPLACE(A542, ""^https?://[^/]+"", """")"),"/advisors/jeff-clair/")</f>
        <v>/advisors/jeff-clair/</v>
      </c>
      <c r="C542" s="1" t="s">
        <v>2337</v>
      </c>
      <c r="F542" s="1" t="s">
        <v>965</v>
      </c>
      <c r="G542" s="1">
        <v>200.0</v>
      </c>
      <c r="H542" s="1" t="s">
        <v>966</v>
      </c>
      <c r="I542" s="1" t="s">
        <v>967</v>
      </c>
      <c r="K542" s="1" t="s">
        <v>2338</v>
      </c>
      <c r="L542" s="1">
        <v>30.0</v>
      </c>
      <c r="M542" s="1">
        <v>253.0</v>
      </c>
      <c r="O542" s="1">
        <v>0.0</v>
      </c>
      <c r="P542" s="1">
        <v>0.0</v>
      </c>
      <c r="Q542" s="1" t="s">
        <v>2339</v>
      </c>
      <c r="R542" s="1">
        <v>171.0</v>
      </c>
      <c r="S542" s="1">
        <v>1066.0</v>
      </c>
      <c r="U542" s="1">
        <v>0.0</v>
      </c>
      <c r="V542" s="1" t="s">
        <v>2337</v>
      </c>
      <c r="W542" s="1">
        <v>10.0</v>
      </c>
      <c r="Y542" s="1">
        <v>0.0</v>
      </c>
      <c r="AA542" s="1">
        <v>0.0</v>
      </c>
      <c r="AC542" s="1">
        <v>0.0</v>
      </c>
      <c r="AD542" s="1" t="s">
        <v>971</v>
      </c>
      <c r="AG542" s="9" t="s">
        <v>2336</v>
      </c>
      <c r="AM542" s="1">
        <v>149185.0</v>
      </c>
      <c r="AN542" s="1">
        <v>29177.0</v>
      </c>
      <c r="AO542" s="1">
        <v>29177.0</v>
      </c>
      <c r="AP542" s="1">
        <v>11.177</v>
      </c>
      <c r="AR542" s="1">
        <v>602.0</v>
      </c>
      <c r="AS542" s="1">
        <v>104.0</v>
      </c>
      <c r="AT542" s="1">
        <v>5.788</v>
      </c>
      <c r="AU542" s="1">
        <v>54.245</v>
      </c>
      <c r="AV542" s="1" t="s">
        <v>972</v>
      </c>
      <c r="AW542" s="1">
        <v>4.179</v>
      </c>
      <c r="AX542" s="1">
        <v>2.0</v>
      </c>
      <c r="AY542" s="1">
        <v>2.0</v>
      </c>
      <c r="AZ542" s="1">
        <v>1.0</v>
      </c>
      <c r="BA542" s="1">
        <v>3.0</v>
      </c>
      <c r="BB542" s="1">
        <v>2.0</v>
      </c>
      <c r="BC542" s="1">
        <v>0.0</v>
      </c>
      <c r="BD542" s="1">
        <v>0.27</v>
      </c>
      <c r="BE542" s="1">
        <v>123.0</v>
      </c>
      <c r="BF542" s="1">
        <v>43.0</v>
      </c>
      <c r="BG542" s="1">
        <v>0.0</v>
      </c>
      <c r="BH542" s="1">
        <v>16.0</v>
      </c>
      <c r="BI542" s="1">
        <v>8.0</v>
      </c>
      <c r="BJ542" s="1">
        <v>0.0</v>
      </c>
      <c r="BO542" s="1" t="s">
        <v>2340</v>
      </c>
      <c r="BP542" s="1">
        <v>1.43</v>
      </c>
      <c r="BU542" s="1" t="s">
        <v>974</v>
      </c>
      <c r="BV542" s="1">
        <v>1.1</v>
      </c>
      <c r="BW542" s="1">
        <v>49.0</v>
      </c>
      <c r="BX542" s="1">
        <v>3901.043</v>
      </c>
      <c r="BY542" s="1">
        <v>7512.118</v>
      </c>
      <c r="BZ542" s="1">
        <v>6451.073</v>
      </c>
      <c r="CA542" s="1">
        <v>18120.592</v>
      </c>
      <c r="CB542" s="1">
        <v>514.0</v>
      </c>
      <c r="CC542" s="1">
        <v>0.004</v>
      </c>
      <c r="CD542" s="1">
        <v>653252.0</v>
      </c>
      <c r="CE542" s="1">
        <v>750.0</v>
      </c>
      <c r="CF542" s="1">
        <v>167.0</v>
      </c>
      <c r="CG542" s="1">
        <v>2284943.0</v>
      </c>
      <c r="CH542" s="1">
        <v>30283.0</v>
      </c>
      <c r="CI542" s="1">
        <v>2.0</v>
      </c>
      <c r="CJ542" s="1">
        <v>126913.0</v>
      </c>
      <c r="CK542" s="1">
        <v>25.0</v>
      </c>
      <c r="CL542" s="1">
        <v>110466.0</v>
      </c>
      <c r="CM542" s="1">
        <v>38.0</v>
      </c>
      <c r="CN542" s="1">
        <v>1748074.0</v>
      </c>
      <c r="CO542" s="1">
        <v>68.0</v>
      </c>
      <c r="CP542" s="1">
        <v>244251.0</v>
      </c>
      <c r="CQ542" s="1">
        <v>5.0</v>
      </c>
      <c r="CR542" s="1">
        <v>0.0</v>
      </c>
      <c r="CS542" s="1">
        <v>0.0</v>
      </c>
      <c r="CT542" s="1">
        <v>24956.0</v>
      </c>
      <c r="CU542" s="1">
        <v>29.0</v>
      </c>
      <c r="CV542" s="1">
        <v>1503095.0</v>
      </c>
      <c r="CW542" s="1">
        <v>66.0</v>
      </c>
      <c r="DC542" s="1">
        <v>0.0</v>
      </c>
      <c r="DD542" s="1">
        <v>5075.0</v>
      </c>
      <c r="DE542" s="1">
        <v>0.0</v>
      </c>
      <c r="DF542" s="1">
        <v>3396.0</v>
      </c>
      <c r="DG542" s="1">
        <v>300.0</v>
      </c>
      <c r="DH542" s="1">
        <v>50614.0</v>
      </c>
      <c r="DI542" s="1">
        <v>450.0</v>
      </c>
      <c r="DJ542" s="1">
        <v>594167.0</v>
      </c>
      <c r="DK542" s="1">
        <v>1896.302</v>
      </c>
      <c r="DL542" s="1" t="s">
        <v>975</v>
      </c>
      <c r="DM542" s="1">
        <v>3338.865</v>
      </c>
      <c r="DN542" s="1" t="s">
        <v>975</v>
      </c>
      <c r="DO542" s="1">
        <v>2284595.0</v>
      </c>
      <c r="DP542" s="1">
        <v>1.0</v>
      </c>
      <c r="DQ542" s="1" t="s">
        <v>976</v>
      </c>
      <c r="DR542" s="1" t="s">
        <v>1064</v>
      </c>
      <c r="DS542" s="1" t="s">
        <v>978</v>
      </c>
      <c r="DT542" s="1" t="s">
        <v>979</v>
      </c>
      <c r="DU542" s="1" t="s">
        <v>980</v>
      </c>
      <c r="DV542" s="1">
        <v>13093.0</v>
      </c>
      <c r="DX542" s="1">
        <v>3933.0</v>
      </c>
      <c r="DY542" s="1">
        <v>624067.0</v>
      </c>
      <c r="DZ542" s="1" t="s">
        <v>981</v>
      </c>
      <c r="EA542" s="1">
        <v>771.0</v>
      </c>
      <c r="EB542" s="1">
        <v>31882.0</v>
      </c>
      <c r="EC542" s="1">
        <v>1.0</v>
      </c>
      <c r="ED542" s="1">
        <v>26492.0</v>
      </c>
      <c r="EF542" s="1">
        <v>240.0</v>
      </c>
      <c r="EG542" s="1" t="s">
        <v>982</v>
      </c>
      <c r="EH542" s="1">
        <v>100.0</v>
      </c>
      <c r="EK542" s="1">
        <v>100.0</v>
      </c>
      <c r="EQ542" s="9" t="s">
        <v>2336</v>
      </c>
      <c r="ER542" s="21">
        <v>46045.298738425925</v>
      </c>
    </row>
    <row r="543">
      <c r="A543" s="9" t="s">
        <v>2341</v>
      </c>
      <c r="B543" s="20" t="str">
        <f>IFERROR(__xludf.DUMMYFUNCTION("REGEXREPLACE(A543, ""^https?://[^/]+"", """")"),"/wp-content/uploads/2025/04/Franklin_Tony-225x225.jpg")</f>
        <v>/wp-content/uploads/2025/04/Franklin_Tony-225x225.jpg</v>
      </c>
      <c r="F543" s="1" t="s">
        <v>1004</v>
      </c>
      <c r="G543" s="1">
        <v>200.0</v>
      </c>
      <c r="H543" s="1" t="s">
        <v>966</v>
      </c>
      <c r="I543" s="1" t="s">
        <v>967</v>
      </c>
      <c r="L543" s="1">
        <v>0.0</v>
      </c>
      <c r="M543" s="1">
        <v>0.0</v>
      </c>
      <c r="O543" s="1">
        <v>0.0</v>
      </c>
      <c r="P543" s="1">
        <v>0.0</v>
      </c>
      <c r="R543" s="1">
        <v>0.0</v>
      </c>
      <c r="S543" s="1">
        <v>0.0</v>
      </c>
      <c r="U543" s="1">
        <v>0.0</v>
      </c>
      <c r="W543" s="1">
        <v>0.0</v>
      </c>
      <c r="Y543" s="1">
        <v>0.0</v>
      </c>
      <c r="AA543" s="1">
        <v>0.0</v>
      </c>
      <c r="AC543" s="1">
        <v>0.0</v>
      </c>
      <c r="AM543" s="1">
        <v>8279.0</v>
      </c>
      <c r="AN543" s="1">
        <v>8279.0</v>
      </c>
      <c r="AO543" s="1">
        <v>8279.0</v>
      </c>
      <c r="AP543" s="1">
        <v>3.172</v>
      </c>
      <c r="AR543" s="1">
        <v>0.0</v>
      </c>
      <c r="AW543" s="1">
        <v>0.0</v>
      </c>
      <c r="AX543" s="1">
        <v>2.0</v>
      </c>
      <c r="AY543" s="1">
        <v>4.0</v>
      </c>
      <c r="BA543" s="1">
        <v>0.0</v>
      </c>
      <c r="BB543" s="1">
        <v>0.0</v>
      </c>
      <c r="BC543" s="1">
        <v>0.0</v>
      </c>
      <c r="BD543" s="1">
        <v>0.0</v>
      </c>
      <c r="BE543" s="1">
        <v>0.0</v>
      </c>
      <c r="BF543" s="1">
        <v>0.0</v>
      </c>
      <c r="BG543" s="1">
        <v>0.0</v>
      </c>
      <c r="BH543" s="1">
        <v>0.0</v>
      </c>
      <c r="BI543" s="1">
        <v>0.0</v>
      </c>
      <c r="BJ543" s="1">
        <v>0.0</v>
      </c>
      <c r="BP543" s="1">
        <v>0.28</v>
      </c>
      <c r="BQ543" s="1" t="s">
        <v>2342</v>
      </c>
      <c r="BV543" s="1">
        <v>1.1</v>
      </c>
      <c r="EQ543" s="9" t="s">
        <v>2341</v>
      </c>
      <c r="ER543" s="21">
        <v>46045.29875</v>
      </c>
    </row>
    <row r="544">
      <c r="A544" s="9" t="s">
        <v>2343</v>
      </c>
      <c r="B544" s="20" t="str">
        <f>IFERROR(__xludf.DUMMYFUNCTION("REGEXREPLACE(A544, ""^https?://[^/]+"", """")"),"/wp-content/uploads/2025/06/Scherzinger_John-225x225.jpg")</f>
        <v>/wp-content/uploads/2025/06/Scherzinger_John-225x225.jpg</v>
      </c>
      <c r="F544" s="1" t="s">
        <v>1004</v>
      </c>
      <c r="G544" s="1">
        <v>200.0</v>
      </c>
      <c r="H544" s="1" t="s">
        <v>966</v>
      </c>
      <c r="I544" s="1" t="s">
        <v>967</v>
      </c>
      <c r="L544" s="1">
        <v>0.0</v>
      </c>
      <c r="M544" s="1">
        <v>0.0</v>
      </c>
      <c r="O544" s="1">
        <v>0.0</v>
      </c>
      <c r="P544" s="1">
        <v>0.0</v>
      </c>
      <c r="R544" s="1">
        <v>0.0</v>
      </c>
      <c r="S544" s="1">
        <v>0.0</v>
      </c>
      <c r="U544" s="1">
        <v>0.0</v>
      </c>
      <c r="W544" s="1">
        <v>0.0</v>
      </c>
      <c r="Y544" s="1">
        <v>0.0</v>
      </c>
      <c r="AA544" s="1">
        <v>0.0</v>
      </c>
      <c r="AC544" s="1">
        <v>0.0</v>
      </c>
      <c r="AM544" s="1">
        <v>9545.0</v>
      </c>
      <c r="AN544" s="1">
        <v>9545.0</v>
      </c>
      <c r="AO544" s="1">
        <v>9545.0</v>
      </c>
      <c r="AP544" s="1">
        <v>3.657</v>
      </c>
      <c r="AR544" s="1">
        <v>0.0</v>
      </c>
      <c r="AW544" s="1">
        <v>0.0</v>
      </c>
      <c r="AX544" s="1">
        <v>2.0</v>
      </c>
      <c r="AY544" s="1">
        <v>4.0</v>
      </c>
      <c r="BA544" s="1">
        <v>0.0</v>
      </c>
      <c r="BB544" s="1">
        <v>0.0</v>
      </c>
      <c r="BC544" s="1">
        <v>0.0</v>
      </c>
      <c r="BD544" s="1">
        <v>0.0</v>
      </c>
      <c r="BE544" s="1">
        <v>0.0</v>
      </c>
      <c r="BF544" s="1">
        <v>0.0</v>
      </c>
      <c r="BG544" s="1">
        <v>0.0</v>
      </c>
      <c r="BH544" s="1">
        <v>0.0</v>
      </c>
      <c r="BI544" s="1">
        <v>0.0</v>
      </c>
      <c r="BJ544" s="1">
        <v>0.0</v>
      </c>
      <c r="BP544" s="1">
        <v>0.291</v>
      </c>
      <c r="BQ544" s="1" t="s">
        <v>2344</v>
      </c>
      <c r="BV544" s="1">
        <v>1.1</v>
      </c>
      <c r="EQ544" s="9" t="s">
        <v>2343</v>
      </c>
      <c r="ER544" s="21">
        <v>46045.29876157407</v>
      </c>
    </row>
    <row r="545">
      <c r="A545" s="9" t="s">
        <v>2345</v>
      </c>
      <c r="B545" s="20" t="str">
        <f>IFERROR(__xludf.DUMMYFUNCTION("REGEXREPLACE(A545, ""^https?://[^/]+"", """")"),"/advisors/t-m-dickinson/")</f>
        <v>/advisors/t-m-dickinson/</v>
      </c>
      <c r="C545" s="1" t="s">
        <v>2346</v>
      </c>
      <c r="F545" s="1" t="s">
        <v>965</v>
      </c>
      <c r="G545" s="1">
        <v>200.0</v>
      </c>
      <c r="H545" s="1" t="s">
        <v>966</v>
      </c>
      <c r="I545" s="1" t="s">
        <v>967</v>
      </c>
      <c r="K545" s="1" t="s">
        <v>2347</v>
      </c>
      <c r="L545" s="1">
        <v>34.0</v>
      </c>
      <c r="M545" s="1">
        <v>301.0</v>
      </c>
      <c r="O545" s="1">
        <v>0.0</v>
      </c>
      <c r="P545" s="1">
        <v>0.0</v>
      </c>
      <c r="Q545" s="1" t="s">
        <v>2348</v>
      </c>
      <c r="R545" s="1">
        <v>167.0</v>
      </c>
      <c r="S545" s="1">
        <v>1063.0</v>
      </c>
      <c r="U545" s="1">
        <v>0.0</v>
      </c>
      <c r="V545" s="1" t="s">
        <v>2346</v>
      </c>
      <c r="W545" s="1">
        <v>14.0</v>
      </c>
      <c r="Y545" s="1">
        <v>0.0</v>
      </c>
      <c r="AA545" s="1">
        <v>0.0</v>
      </c>
      <c r="AC545" s="1">
        <v>0.0</v>
      </c>
      <c r="AD545" s="1" t="s">
        <v>971</v>
      </c>
      <c r="AG545" s="9" t="s">
        <v>2345</v>
      </c>
      <c r="AM545" s="1">
        <v>149523.0</v>
      </c>
      <c r="AN545" s="1">
        <v>29270.0</v>
      </c>
      <c r="AO545" s="1">
        <v>29270.0</v>
      </c>
      <c r="AP545" s="1">
        <v>11.213</v>
      </c>
      <c r="AR545" s="1">
        <v>638.0</v>
      </c>
      <c r="AS545" s="1">
        <v>108.0</v>
      </c>
      <c r="AT545" s="1">
        <v>5.907</v>
      </c>
      <c r="AU545" s="1">
        <v>55.773</v>
      </c>
      <c r="AV545" s="1" t="s">
        <v>972</v>
      </c>
      <c r="AW545" s="1">
        <v>4.321</v>
      </c>
      <c r="AX545" s="1">
        <v>2.0</v>
      </c>
      <c r="AY545" s="1">
        <v>2.0</v>
      </c>
      <c r="AZ545" s="1">
        <v>1.0</v>
      </c>
      <c r="BA545" s="1">
        <v>3.0</v>
      </c>
      <c r="BB545" s="1">
        <v>2.0</v>
      </c>
      <c r="BC545" s="1">
        <v>0.0</v>
      </c>
      <c r="BD545" s="1">
        <v>0.27</v>
      </c>
      <c r="BE545" s="1">
        <v>124.0</v>
      </c>
      <c r="BF545" s="1">
        <v>43.0</v>
      </c>
      <c r="BG545" s="1">
        <v>0.0</v>
      </c>
      <c r="BH545" s="1">
        <v>16.0</v>
      </c>
      <c r="BI545" s="1">
        <v>8.0</v>
      </c>
      <c r="BJ545" s="1">
        <v>0.0</v>
      </c>
      <c r="BO545" s="1" t="s">
        <v>2349</v>
      </c>
      <c r="BP545" s="1">
        <v>0.929</v>
      </c>
      <c r="BU545" s="1" t="s">
        <v>974</v>
      </c>
      <c r="BV545" s="1">
        <v>1.1</v>
      </c>
      <c r="BW545" s="1">
        <v>60.0</v>
      </c>
      <c r="BX545" s="1">
        <v>3751.028</v>
      </c>
      <c r="BY545" s="1">
        <v>5886.676</v>
      </c>
      <c r="BZ545" s="1">
        <v>6151.048</v>
      </c>
      <c r="CA545" s="1">
        <v>17893.031</v>
      </c>
      <c r="CB545" s="1">
        <v>285.0</v>
      </c>
      <c r="CC545" s="1">
        <v>0.022</v>
      </c>
      <c r="CD545" s="1">
        <v>653379.0</v>
      </c>
      <c r="CE545" s="1">
        <v>750.0</v>
      </c>
      <c r="CF545" s="1">
        <v>166.0</v>
      </c>
      <c r="CG545" s="1">
        <v>2285567.0</v>
      </c>
      <c r="CH545" s="1">
        <v>30388.0</v>
      </c>
      <c r="CI545" s="1">
        <v>2.0</v>
      </c>
      <c r="CJ545" s="1">
        <v>126929.0</v>
      </c>
      <c r="CK545" s="1">
        <v>25.0</v>
      </c>
      <c r="CL545" s="1">
        <v>110466.0</v>
      </c>
      <c r="CM545" s="1">
        <v>38.0</v>
      </c>
      <c r="CN545" s="1">
        <v>1748221.0</v>
      </c>
      <c r="CO545" s="1">
        <v>68.0</v>
      </c>
      <c r="CP545" s="1">
        <v>244251.0</v>
      </c>
      <c r="CQ545" s="1">
        <v>5.0</v>
      </c>
      <c r="CR545" s="1">
        <v>0.0</v>
      </c>
      <c r="CS545" s="1">
        <v>0.0</v>
      </c>
      <c r="CT545" s="1">
        <v>25312.0</v>
      </c>
      <c r="CU545" s="1">
        <v>28.0</v>
      </c>
      <c r="CV545" s="1">
        <v>1503310.0</v>
      </c>
      <c r="CW545" s="1">
        <v>65.0</v>
      </c>
      <c r="DC545" s="1">
        <v>0.0</v>
      </c>
      <c r="DD545" s="1">
        <v>5075.0</v>
      </c>
      <c r="DE545" s="1">
        <v>0.0</v>
      </c>
      <c r="DF545" s="1">
        <v>3401.0</v>
      </c>
      <c r="DG545" s="1">
        <v>300.0</v>
      </c>
      <c r="DH545" s="1">
        <v>50614.0</v>
      </c>
      <c r="DI545" s="1">
        <v>450.0</v>
      </c>
      <c r="DJ545" s="1">
        <v>594289.0</v>
      </c>
      <c r="DK545" s="1">
        <v>1356.329</v>
      </c>
      <c r="DL545" s="1" t="s">
        <v>975</v>
      </c>
      <c r="DM545" s="1">
        <v>2606.786</v>
      </c>
      <c r="DN545" s="1" t="s">
        <v>975</v>
      </c>
      <c r="DO545" s="1">
        <v>2285219.0</v>
      </c>
      <c r="DP545" s="1">
        <v>1.0</v>
      </c>
      <c r="DQ545" s="1" t="s">
        <v>976</v>
      </c>
      <c r="DR545" s="1" t="s">
        <v>1055</v>
      </c>
      <c r="DS545" s="1" t="s">
        <v>978</v>
      </c>
      <c r="DT545" s="1" t="s">
        <v>979</v>
      </c>
      <c r="DU545" s="1" t="s">
        <v>980</v>
      </c>
      <c r="DV545" s="1">
        <v>13092.0</v>
      </c>
      <c r="DX545" s="1">
        <v>3575.0</v>
      </c>
      <c r="DY545" s="1">
        <v>624077.0</v>
      </c>
      <c r="DZ545" s="1" t="s">
        <v>981</v>
      </c>
      <c r="EA545" s="1">
        <v>774.0</v>
      </c>
      <c r="EB545" s="1">
        <v>31882.0</v>
      </c>
      <c r="EC545" s="1">
        <v>1.0</v>
      </c>
      <c r="ED545" s="1">
        <v>26492.0</v>
      </c>
      <c r="EF545" s="1">
        <v>230.0</v>
      </c>
      <c r="EG545" s="1" t="s">
        <v>982</v>
      </c>
      <c r="EH545" s="1">
        <v>100.0</v>
      </c>
      <c r="EK545" s="1">
        <v>100.0</v>
      </c>
      <c r="EQ545" s="9" t="s">
        <v>2345</v>
      </c>
      <c r="ER545" s="21">
        <v>46045.29875</v>
      </c>
    </row>
    <row r="546">
      <c r="A546" s="9" t="s">
        <v>2350</v>
      </c>
      <c r="B546" s="20" t="str">
        <f>IFERROR(__xludf.DUMMYFUNCTION("REGEXREPLACE(A546, ""^https?://[^/]+"", """")"),"/wp-content/plugins/gravityforms/js/jquery.maskedinput.min.js?ver=2.9.24")</f>
        <v>/wp-content/plugins/gravityforms/js/jquery.maskedinput.min.js?ver=2.9.24</v>
      </c>
      <c r="F546" s="1" t="s">
        <v>984</v>
      </c>
      <c r="G546" s="1">
        <v>200.0</v>
      </c>
      <c r="H546" s="1" t="s">
        <v>966</v>
      </c>
      <c r="I546" s="1" t="s">
        <v>967</v>
      </c>
      <c r="L546" s="1">
        <v>0.0</v>
      </c>
      <c r="M546" s="1">
        <v>0.0</v>
      </c>
      <c r="O546" s="1">
        <v>0.0</v>
      </c>
      <c r="P546" s="1">
        <v>0.0</v>
      </c>
      <c r="R546" s="1">
        <v>0.0</v>
      </c>
      <c r="S546" s="1">
        <v>0.0</v>
      </c>
      <c r="U546" s="1">
        <v>0.0</v>
      </c>
      <c r="W546" s="1">
        <v>0.0</v>
      </c>
      <c r="Y546" s="1">
        <v>0.0</v>
      </c>
      <c r="AA546" s="1">
        <v>0.0</v>
      </c>
      <c r="AC546" s="1">
        <v>0.0</v>
      </c>
      <c r="AM546" s="1">
        <v>1831.0</v>
      </c>
      <c r="AN546" s="1">
        <v>1831.0</v>
      </c>
      <c r="AO546" s="1">
        <v>1831.0</v>
      </c>
      <c r="AP546" s="1">
        <v>0.701</v>
      </c>
      <c r="AR546" s="1">
        <v>0.0</v>
      </c>
      <c r="AW546" s="1">
        <v>0.0</v>
      </c>
      <c r="AX546" s="1">
        <v>2.0</v>
      </c>
      <c r="AY546" s="1">
        <v>4.0</v>
      </c>
      <c r="BA546" s="1">
        <v>0.0</v>
      </c>
      <c r="BB546" s="1">
        <v>0.0</v>
      </c>
      <c r="BC546" s="1">
        <v>0.0</v>
      </c>
      <c r="BD546" s="1">
        <v>0.0</v>
      </c>
      <c r="BE546" s="1">
        <v>0.0</v>
      </c>
      <c r="BF546" s="1">
        <v>0.0</v>
      </c>
      <c r="BG546" s="1">
        <v>0.0</v>
      </c>
      <c r="BH546" s="1">
        <v>0.0</v>
      </c>
      <c r="BI546" s="1">
        <v>0.0</v>
      </c>
      <c r="BJ546" s="1">
        <v>0.0</v>
      </c>
      <c r="BP546" s="1">
        <v>0.26</v>
      </c>
      <c r="BQ546" s="1" t="s">
        <v>1631</v>
      </c>
      <c r="BV546" s="1">
        <v>1.1</v>
      </c>
      <c r="EQ546" s="9" t="s">
        <v>2350</v>
      </c>
      <c r="ER546" s="21">
        <v>46045.29877314815</v>
      </c>
    </row>
    <row r="547">
      <c r="A547" s="9" t="s">
        <v>2351</v>
      </c>
      <c r="B547" s="20" t="str">
        <f>IFERROR(__xludf.DUMMYFUNCTION("REGEXREPLACE(A547, ""^https?://[^/]+"", """")"),"/wp-content/plugins/gravityforms/legacy/css/formsmain.min.css?ver=2.9.24")</f>
        <v>/wp-content/plugins/gravityforms/legacy/css/formsmain.min.css?ver=2.9.24</v>
      </c>
      <c r="F547" s="1" t="s">
        <v>1016</v>
      </c>
      <c r="G547" s="1">
        <v>200.0</v>
      </c>
      <c r="H547" s="1" t="s">
        <v>966</v>
      </c>
      <c r="I547" s="1" t="s">
        <v>967</v>
      </c>
      <c r="L547" s="1">
        <v>0.0</v>
      </c>
      <c r="M547" s="1">
        <v>0.0</v>
      </c>
      <c r="O547" s="1">
        <v>0.0</v>
      </c>
      <c r="P547" s="1">
        <v>0.0</v>
      </c>
      <c r="R547" s="1">
        <v>0.0</v>
      </c>
      <c r="S547" s="1">
        <v>0.0</v>
      </c>
      <c r="U547" s="1">
        <v>0.0</v>
      </c>
      <c r="W547" s="1">
        <v>0.0</v>
      </c>
      <c r="Y547" s="1">
        <v>0.0</v>
      </c>
      <c r="AA547" s="1">
        <v>0.0</v>
      </c>
      <c r="AC547" s="1">
        <v>0.0</v>
      </c>
      <c r="AM547" s="1">
        <v>12375.0</v>
      </c>
      <c r="AN547" s="1">
        <v>12375.0</v>
      </c>
      <c r="AO547" s="1">
        <v>12375.0</v>
      </c>
      <c r="AP547" s="1">
        <v>4.741</v>
      </c>
      <c r="AR547" s="1">
        <v>0.0</v>
      </c>
      <c r="AW547" s="1">
        <v>0.0</v>
      </c>
      <c r="AX547" s="1">
        <v>2.0</v>
      </c>
      <c r="AY547" s="1">
        <v>5.0</v>
      </c>
      <c r="BA547" s="1">
        <v>0.0</v>
      </c>
      <c r="BB547" s="1">
        <v>0.0</v>
      </c>
      <c r="BC547" s="1">
        <v>0.0</v>
      </c>
      <c r="BD547" s="1">
        <v>0.0</v>
      </c>
      <c r="BE547" s="1">
        <v>0.0</v>
      </c>
      <c r="BF547" s="1">
        <v>0.0</v>
      </c>
      <c r="BG547" s="1">
        <v>0.0</v>
      </c>
      <c r="BH547" s="1">
        <v>0.0</v>
      </c>
      <c r="BI547" s="1">
        <v>0.0</v>
      </c>
      <c r="BJ547" s="1">
        <v>0.0</v>
      </c>
      <c r="BP547" s="1">
        <v>0.269</v>
      </c>
      <c r="BQ547" s="1" t="s">
        <v>1631</v>
      </c>
      <c r="BV547" s="1">
        <v>1.1</v>
      </c>
      <c r="EQ547" s="9" t="s">
        <v>2351</v>
      </c>
      <c r="ER547" s="21">
        <v>46045.29877314815</v>
      </c>
    </row>
    <row r="548">
      <c r="A548" s="9" t="s">
        <v>2352</v>
      </c>
      <c r="B548" s="20" t="str">
        <f>IFERROR(__xludf.DUMMYFUNCTION("REGEXREPLACE(A548, ""^https?://[^/]+"", """")"),"/wp-content/plugins/gravityforms/legacy/css/browsers.min.css?ver=2.9.24")</f>
        <v>/wp-content/plugins/gravityforms/legacy/css/browsers.min.css?ver=2.9.24</v>
      </c>
      <c r="F548" s="1" t="s">
        <v>1016</v>
      </c>
      <c r="G548" s="1">
        <v>200.0</v>
      </c>
      <c r="H548" s="1" t="s">
        <v>966</v>
      </c>
      <c r="I548" s="1" t="s">
        <v>967</v>
      </c>
      <c r="L548" s="1">
        <v>0.0</v>
      </c>
      <c r="M548" s="1">
        <v>0.0</v>
      </c>
      <c r="O548" s="1">
        <v>0.0</v>
      </c>
      <c r="P548" s="1">
        <v>0.0</v>
      </c>
      <c r="R548" s="1">
        <v>0.0</v>
      </c>
      <c r="S548" s="1">
        <v>0.0</v>
      </c>
      <c r="U548" s="1">
        <v>0.0</v>
      </c>
      <c r="W548" s="1">
        <v>0.0</v>
      </c>
      <c r="Y548" s="1">
        <v>0.0</v>
      </c>
      <c r="AA548" s="1">
        <v>0.0</v>
      </c>
      <c r="AC548" s="1">
        <v>0.0</v>
      </c>
      <c r="AM548" s="1">
        <v>1173.0</v>
      </c>
      <c r="AN548" s="1">
        <v>1173.0</v>
      </c>
      <c r="AO548" s="1">
        <v>1173.0</v>
      </c>
      <c r="AP548" s="1">
        <v>0.449</v>
      </c>
      <c r="AR548" s="1">
        <v>0.0</v>
      </c>
      <c r="AW548" s="1">
        <v>0.0</v>
      </c>
      <c r="AX548" s="1">
        <v>2.0</v>
      </c>
      <c r="AY548" s="1">
        <v>5.0</v>
      </c>
      <c r="BA548" s="1">
        <v>0.0</v>
      </c>
      <c r="BB548" s="1">
        <v>0.0</v>
      </c>
      <c r="BC548" s="1">
        <v>0.0</v>
      </c>
      <c r="BD548" s="1">
        <v>0.0</v>
      </c>
      <c r="BE548" s="1">
        <v>0.0</v>
      </c>
      <c r="BF548" s="1">
        <v>0.0</v>
      </c>
      <c r="BG548" s="1">
        <v>0.0</v>
      </c>
      <c r="BH548" s="1">
        <v>0.0</v>
      </c>
      <c r="BI548" s="1">
        <v>0.0</v>
      </c>
      <c r="BJ548" s="1">
        <v>0.0</v>
      </c>
      <c r="BP548" s="1">
        <v>0.272</v>
      </c>
      <c r="BQ548" s="1" t="s">
        <v>1631</v>
      </c>
      <c r="BV548" s="1">
        <v>1.1</v>
      </c>
      <c r="EQ548" s="9" t="s">
        <v>2352</v>
      </c>
      <c r="ER548" s="21">
        <v>46045.29877314815</v>
      </c>
    </row>
    <row r="549">
      <c r="A549" s="9" t="s">
        <v>2353</v>
      </c>
      <c r="B549" s="20" t="str">
        <f>IFERROR(__xludf.DUMMYFUNCTION("REGEXREPLACE(A549, ""^https?://[^/]+"", """")"),"/wp-content/uploads/elementor/css/post-56386.css?ver=1768846886")</f>
        <v>/wp-content/uploads/elementor/css/post-56386.css?ver=1768846886</v>
      </c>
      <c r="F549" s="1" t="s">
        <v>1016</v>
      </c>
      <c r="G549" s="1">
        <v>200.0</v>
      </c>
      <c r="H549" s="1" t="s">
        <v>966</v>
      </c>
      <c r="I549" s="1" t="s">
        <v>967</v>
      </c>
      <c r="L549" s="1">
        <v>0.0</v>
      </c>
      <c r="M549" s="1">
        <v>0.0</v>
      </c>
      <c r="O549" s="1">
        <v>0.0</v>
      </c>
      <c r="P549" s="1">
        <v>0.0</v>
      </c>
      <c r="R549" s="1">
        <v>0.0</v>
      </c>
      <c r="S549" s="1">
        <v>0.0</v>
      </c>
      <c r="U549" s="1">
        <v>0.0</v>
      </c>
      <c r="W549" s="1">
        <v>0.0</v>
      </c>
      <c r="Y549" s="1">
        <v>0.0</v>
      </c>
      <c r="AA549" s="1">
        <v>0.0</v>
      </c>
      <c r="AC549" s="1">
        <v>0.0</v>
      </c>
      <c r="AM549" s="1">
        <v>687.0</v>
      </c>
      <c r="AN549" s="1">
        <v>687.0</v>
      </c>
      <c r="AO549" s="1">
        <v>687.0</v>
      </c>
      <c r="AP549" s="1">
        <v>0.263</v>
      </c>
      <c r="AR549" s="1">
        <v>0.0</v>
      </c>
      <c r="AW549" s="1">
        <v>0.0</v>
      </c>
      <c r="AX549" s="1">
        <v>2.0</v>
      </c>
      <c r="AY549" s="1">
        <v>4.0</v>
      </c>
      <c r="BA549" s="1">
        <v>0.0</v>
      </c>
      <c r="BB549" s="1">
        <v>0.0</v>
      </c>
      <c r="BC549" s="1">
        <v>0.0</v>
      </c>
      <c r="BD549" s="1">
        <v>0.0</v>
      </c>
      <c r="BE549" s="1">
        <v>0.0</v>
      </c>
      <c r="BF549" s="1">
        <v>0.0</v>
      </c>
      <c r="BG549" s="1">
        <v>0.0</v>
      </c>
      <c r="BH549" s="1">
        <v>0.0</v>
      </c>
      <c r="BI549" s="1">
        <v>0.0</v>
      </c>
      <c r="BJ549" s="1">
        <v>0.0</v>
      </c>
      <c r="BP549" s="1">
        <v>0.284</v>
      </c>
      <c r="BQ549" s="1" t="s">
        <v>2354</v>
      </c>
      <c r="BV549" s="1">
        <v>1.1</v>
      </c>
      <c r="EQ549" s="9" t="s">
        <v>2353</v>
      </c>
      <c r="ER549" s="21">
        <v>46045.29877314815</v>
      </c>
    </row>
    <row r="550">
      <c r="A550" s="9" t="s">
        <v>2355</v>
      </c>
      <c r="B550" s="20" t="str">
        <f>IFERROR(__xludf.DUMMYFUNCTION("REGEXREPLACE(A550, ""^https?://[^/]+"", """")"),"/wp-content/plugins/gravityforms/legacy/css/formreset.min.css?ver=2.9.24")</f>
        <v>/wp-content/plugins/gravityforms/legacy/css/formreset.min.css?ver=2.9.24</v>
      </c>
      <c r="F550" s="1" t="s">
        <v>1016</v>
      </c>
      <c r="G550" s="1">
        <v>200.0</v>
      </c>
      <c r="H550" s="1" t="s">
        <v>966</v>
      </c>
      <c r="I550" s="1" t="s">
        <v>967</v>
      </c>
      <c r="L550" s="1">
        <v>0.0</v>
      </c>
      <c r="M550" s="1">
        <v>0.0</v>
      </c>
      <c r="O550" s="1">
        <v>0.0</v>
      </c>
      <c r="P550" s="1">
        <v>0.0</v>
      </c>
      <c r="R550" s="1">
        <v>0.0</v>
      </c>
      <c r="S550" s="1">
        <v>0.0</v>
      </c>
      <c r="U550" s="1">
        <v>0.0</v>
      </c>
      <c r="W550" s="1">
        <v>0.0</v>
      </c>
      <c r="Y550" s="1">
        <v>0.0</v>
      </c>
      <c r="AA550" s="1">
        <v>0.0</v>
      </c>
      <c r="AC550" s="1">
        <v>0.0</v>
      </c>
      <c r="AM550" s="1">
        <v>402.0</v>
      </c>
      <c r="AN550" s="1">
        <v>402.0</v>
      </c>
      <c r="AO550" s="1">
        <v>402.0</v>
      </c>
      <c r="AP550" s="1">
        <v>0.154</v>
      </c>
      <c r="AR550" s="1">
        <v>0.0</v>
      </c>
      <c r="AW550" s="1">
        <v>0.0</v>
      </c>
      <c r="AX550" s="1">
        <v>2.0</v>
      </c>
      <c r="AY550" s="1">
        <v>5.0</v>
      </c>
      <c r="BA550" s="1">
        <v>0.0</v>
      </c>
      <c r="BB550" s="1">
        <v>0.0</v>
      </c>
      <c r="BC550" s="1">
        <v>0.0</v>
      </c>
      <c r="BD550" s="1">
        <v>0.0</v>
      </c>
      <c r="BE550" s="1">
        <v>0.0</v>
      </c>
      <c r="BF550" s="1">
        <v>0.0</v>
      </c>
      <c r="BG550" s="1">
        <v>0.0</v>
      </c>
      <c r="BH550" s="1">
        <v>0.0</v>
      </c>
      <c r="BI550" s="1">
        <v>0.0</v>
      </c>
      <c r="BJ550" s="1">
        <v>0.0</v>
      </c>
      <c r="BP550" s="1">
        <v>0.257</v>
      </c>
      <c r="BQ550" s="1" t="s">
        <v>1631</v>
      </c>
      <c r="BV550" s="1">
        <v>1.1</v>
      </c>
      <c r="EQ550" s="9" t="s">
        <v>2355</v>
      </c>
      <c r="ER550" s="21">
        <v>46045.29877314815</v>
      </c>
    </row>
    <row r="551">
      <c r="A551" s="9" t="s">
        <v>2356</v>
      </c>
      <c r="B551" s="20" t="str">
        <f>IFERROR(__xludf.DUMMYFUNCTION("REGEXREPLACE(A551, ""^https?://[^/]+"", """")"),"/wp-content/plugins/wp-job-manager/assets/lib/jquery-chosen/chosen.jquery.min.js?ver=1.1.0")</f>
        <v>/wp-content/plugins/wp-job-manager/assets/lib/jquery-chosen/chosen.jquery.min.js?ver=1.1.0</v>
      </c>
      <c r="F551" s="1" t="s">
        <v>984</v>
      </c>
      <c r="G551" s="1">
        <v>200.0</v>
      </c>
      <c r="H551" s="1" t="s">
        <v>966</v>
      </c>
      <c r="I551" s="1" t="s">
        <v>967</v>
      </c>
      <c r="L551" s="1">
        <v>0.0</v>
      </c>
      <c r="M551" s="1">
        <v>0.0</v>
      </c>
      <c r="O551" s="1">
        <v>0.0</v>
      </c>
      <c r="P551" s="1">
        <v>0.0</v>
      </c>
      <c r="R551" s="1">
        <v>0.0</v>
      </c>
      <c r="S551" s="1">
        <v>0.0</v>
      </c>
      <c r="U551" s="1">
        <v>0.0</v>
      </c>
      <c r="W551" s="1">
        <v>0.0</v>
      </c>
      <c r="Y551" s="1">
        <v>0.0</v>
      </c>
      <c r="AA551" s="1">
        <v>0.0</v>
      </c>
      <c r="AC551" s="1">
        <v>0.0</v>
      </c>
      <c r="AM551" s="1">
        <v>6349.0</v>
      </c>
      <c r="AN551" s="1">
        <v>6349.0</v>
      </c>
      <c r="AO551" s="1">
        <v>6349.0</v>
      </c>
      <c r="AP551" s="1">
        <v>2.432</v>
      </c>
      <c r="AR551" s="1">
        <v>0.0</v>
      </c>
      <c r="AW551" s="1">
        <v>0.0</v>
      </c>
      <c r="AX551" s="1">
        <v>2.0</v>
      </c>
      <c r="AY551" s="1">
        <v>6.0</v>
      </c>
      <c r="BA551" s="1">
        <v>0.0</v>
      </c>
      <c r="BB551" s="1">
        <v>0.0</v>
      </c>
      <c r="BC551" s="1">
        <v>0.0</v>
      </c>
      <c r="BD551" s="1">
        <v>0.0</v>
      </c>
      <c r="BE551" s="1">
        <v>0.0</v>
      </c>
      <c r="BF551" s="1">
        <v>0.0</v>
      </c>
      <c r="BG551" s="1">
        <v>0.0</v>
      </c>
      <c r="BH551" s="1">
        <v>0.0</v>
      </c>
      <c r="BI551" s="1">
        <v>0.0</v>
      </c>
      <c r="BJ551" s="1">
        <v>0.0</v>
      </c>
      <c r="BP551" s="1">
        <v>0.256</v>
      </c>
      <c r="BQ551" s="1" t="s">
        <v>1300</v>
      </c>
      <c r="BV551" s="1">
        <v>1.1</v>
      </c>
      <c r="EQ551" s="9" t="s">
        <v>2356</v>
      </c>
      <c r="ER551" s="21">
        <v>46045.29877314815</v>
      </c>
    </row>
    <row r="552">
      <c r="A552" s="9" t="s">
        <v>2357</v>
      </c>
      <c r="B552" s="20" t="str">
        <f>IFERROR(__xludf.DUMMYFUNCTION("REGEXREPLACE(A552, ""^https?://[^/]+"", """")"),"/wp-content/plugins/gravityforms/js/placeholders.jquery.min.js?ver=2.9.24")</f>
        <v>/wp-content/plugins/gravityforms/js/placeholders.jquery.min.js?ver=2.9.24</v>
      </c>
      <c r="F552" s="1" t="s">
        <v>984</v>
      </c>
      <c r="G552" s="1">
        <v>200.0</v>
      </c>
      <c r="H552" s="1" t="s">
        <v>966</v>
      </c>
      <c r="I552" s="1" t="s">
        <v>967</v>
      </c>
      <c r="L552" s="1">
        <v>0.0</v>
      </c>
      <c r="M552" s="1">
        <v>0.0</v>
      </c>
      <c r="O552" s="1">
        <v>0.0</v>
      </c>
      <c r="P552" s="1">
        <v>0.0</v>
      </c>
      <c r="R552" s="1">
        <v>0.0</v>
      </c>
      <c r="S552" s="1">
        <v>0.0</v>
      </c>
      <c r="U552" s="1">
        <v>0.0</v>
      </c>
      <c r="W552" s="1">
        <v>0.0</v>
      </c>
      <c r="Y552" s="1">
        <v>0.0</v>
      </c>
      <c r="AA552" s="1">
        <v>0.0</v>
      </c>
      <c r="AC552" s="1">
        <v>0.0</v>
      </c>
      <c r="AM552" s="1">
        <v>1750.0</v>
      </c>
      <c r="AN552" s="1">
        <v>1750.0</v>
      </c>
      <c r="AO552" s="1">
        <v>1750.0</v>
      </c>
      <c r="AP552" s="1">
        <v>0.67</v>
      </c>
      <c r="AR552" s="1">
        <v>0.0</v>
      </c>
      <c r="AW552" s="1">
        <v>0.0</v>
      </c>
      <c r="AX552" s="1">
        <v>2.0</v>
      </c>
      <c r="AY552" s="1">
        <v>4.0</v>
      </c>
      <c r="BA552" s="1">
        <v>0.0</v>
      </c>
      <c r="BB552" s="1">
        <v>0.0</v>
      </c>
      <c r="BC552" s="1">
        <v>0.0</v>
      </c>
      <c r="BD552" s="1">
        <v>0.0</v>
      </c>
      <c r="BE552" s="1">
        <v>0.0</v>
      </c>
      <c r="BF552" s="1">
        <v>0.0</v>
      </c>
      <c r="BG552" s="1">
        <v>0.0</v>
      </c>
      <c r="BH552" s="1">
        <v>0.0</v>
      </c>
      <c r="BI552" s="1">
        <v>0.0</v>
      </c>
      <c r="BJ552" s="1">
        <v>0.0</v>
      </c>
      <c r="BP552" s="1">
        <v>0.312</v>
      </c>
      <c r="BQ552" s="1" t="s">
        <v>1631</v>
      </c>
      <c r="BV552" s="1">
        <v>1.1</v>
      </c>
      <c r="EQ552" s="9" t="s">
        <v>2357</v>
      </c>
      <c r="ER552" s="21">
        <v>46045.29877314815</v>
      </c>
    </row>
    <row r="553">
      <c r="A553" s="9" t="s">
        <v>2358</v>
      </c>
      <c r="B553" s="20" t="str">
        <f>IFERROR(__xludf.DUMMYFUNCTION("REGEXREPLACE(A553, ""^https?://[^/]+"", """")"),"/wp-content/plugins/gravity-forms-personality-quiz-add-on/assets/quiz.js?ver=1.1.0")</f>
        <v>/wp-content/plugins/gravity-forms-personality-quiz-add-on/assets/quiz.js?ver=1.1.0</v>
      </c>
      <c r="F553" s="1" t="s">
        <v>984</v>
      </c>
      <c r="G553" s="1">
        <v>200.0</v>
      </c>
      <c r="H553" s="1" t="s">
        <v>966</v>
      </c>
      <c r="I553" s="1" t="s">
        <v>967</v>
      </c>
      <c r="L553" s="1">
        <v>0.0</v>
      </c>
      <c r="M553" s="1">
        <v>0.0</v>
      </c>
      <c r="O553" s="1">
        <v>0.0</v>
      </c>
      <c r="P553" s="1">
        <v>0.0</v>
      </c>
      <c r="R553" s="1">
        <v>0.0</v>
      </c>
      <c r="S553" s="1">
        <v>0.0</v>
      </c>
      <c r="U553" s="1">
        <v>0.0</v>
      </c>
      <c r="W553" s="1">
        <v>0.0</v>
      </c>
      <c r="Y553" s="1">
        <v>0.0</v>
      </c>
      <c r="AA553" s="1">
        <v>0.0</v>
      </c>
      <c r="AC553" s="1">
        <v>0.0</v>
      </c>
      <c r="AM553" s="1">
        <v>359.0</v>
      </c>
      <c r="AN553" s="1">
        <v>359.0</v>
      </c>
      <c r="AO553" s="1">
        <v>359.0</v>
      </c>
      <c r="AP553" s="1">
        <v>0.138</v>
      </c>
      <c r="AR553" s="1">
        <v>0.0</v>
      </c>
      <c r="AW553" s="1">
        <v>0.0</v>
      </c>
      <c r="AX553" s="1">
        <v>2.0</v>
      </c>
      <c r="AY553" s="1">
        <v>4.0</v>
      </c>
      <c r="BA553" s="1">
        <v>0.0</v>
      </c>
      <c r="BB553" s="1">
        <v>0.0</v>
      </c>
      <c r="BC553" s="1">
        <v>0.0</v>
      </c>
      <c r="BD553" s="1">
        <v>0.0</v>
      </c>
      <c r="BE553" s="1">
        <v>0.0</v>
      </c>
      <c r="BF553" s="1">
        <v>0.0</v>
      </c>
      <c r="BG553" s="1">
        <v>0.0</v>
      </c>
      <c r="BH553" s="1">
        <v>0.0</v>
      </c>
      <c r="BI553" s="1">
        <v>0.0</v>
      </c>
      <c r="BJ553" s="1">
        <v>0.0</v>
      </c>
      <c r="BP553" s="1">
        <v>0.266</v>
      </c>
      <c r="BQ553" s="1" t="s">
        <v>2359</v>
      </c>
      <c r="BV553" s="1">
        <v>1.1</v>
      </c>
      <c r="EQ553" s="9" t="s">
        <v>2358</v>
      </c>
      <c r="ER553" s="21">
        <v>46045.29877314815</v>
      </c>
    </row>
    <row r="554">
      <c r="A554" s="9" t="s">
        <v>2360</v>
      </c>
      <c r="B554" s="20" t="str">
        <f>IFERROR(__xludf.DUMMYFUNCTION("REGEXREPLACE(A554, ""^https?://[^/]+"", """")"),"/wp-content/plugins/gravityforms/legacy/css/readyclass.min.css?ver=2.9.24")</f>
        <v>/wp-content/plugins/gravityforms/legacy/css/readyclass.min.css?ver=2.9.24</v>
      </c>
      <c r="F554" s="1" t="s">
        <v>1016</v>
      </c>
      <c r="G554" s="1">
        <v>200.0</v>
      </c>
      <c r="H554" s="1" t="s">
        <v>966</v>
      </c>
      <c r="I554" s="1" t="s">
        <v>967</v>
      </c>
      <c r="L554" s="1">
        <v>0.0</v>
      </c>
      <c r="M554" s="1">
        <v>0.0</v>
      </c>
      <c r="O554" s="1">
        <v>0.0</v>
      </c>
      <c r="P554" s="1">
        <v>0.0</v>
      </c>
      <c r="R554" s="1">
        <v>0.0</v>
      </c>
      <c r="S554" s="1">
        <v>0.0</v>
      </c>
      <c r="U554" s="1">
        <v>0.0</v>
      </c>
      <c r="W554" s="1">
        <v>0.0</v>
      </c>
      <c r="Y554" s="1">
        <v>0.0</v>
      </c>
      <c r="AA554" s="1">
        <v>0.0</v>
      </c>
      <c r="AC554" s="1">
        <v>0.0</v>
      </c>
      <c r="AM554" s="1">
        <v>3451.0</v>
      </c>
      <c r="AN554" s="1">
        <v>3451.0</v>
      </c>
      <c r="AO554" s="1">
        <v>3451.0</v>
      </c>
      <c r="AP554" s="1">
        <v>1.322</v>
      </c>
      <c r="AR554" s="1">
        <v>0.0</v>
      </c>
      <c r="AW554" s="1">
        <v>0.0</v>
      </c>
      <c r="AX554" s="1">
        <v>2.0</v>
      </c>
      <c r="AY554" s="1">
        <v>5.0</v>
      </c>
      <c r="BA554" s="1">
        <v>0.0</v>
      </c>
      <c r="BB554" s="1">
        <v>0.0</v>
      </c>
      <c r="BC554" s="1">
        <v>0.0</v>
      </c>
      <c r="BD554" s="1">
        <v>0.0</v>
      </c>
      <c r="BE554" s="1">
        <v>0.0</v>
      </c>
      <c r="BF554" s="1">
        <v>0.0</v>
      </c>
      <c r="BG554" s="1">
        <v>0.0</v>
      </c>
      <c r="BH554" s="1">
        <v>0.0</v>
      </c>
      <c r="BI554" s="1">
        <v>0.0</v>
      </c>
      <c r="BJ554" s="1">
        <v>0.0</v>
      </c>
      <c r="BP554" s="1">
        <v>0.275</v>
      </c>
      <c r="BQ554" s="1" t="s">
        <v>1631</v>
      </c>
      <c r="BV554" s="1">
        <v>1.1</v>
      </c>
      <c r="EQ554" s="9" t="s">
        <v>2360</v>
      </c>
      <c r="ER554" s="21">
        <v>46045.29877314815</v>
      </c>
    </row>
    <row r="555">
      <c r="A555" s="9" t="s">
        <v>2361</v>
      </c>
      <c r="B555" s="20" t="str">
        <f>IFERROR(__xludf.DUMMYFUNCTION("REGEXREPLACE(A555, ""^https?://[^/]+"", """")"),"/wp-content/plugins/gravity-forms-personality-quiz-add-on/assets/quiz_styles.css?ver=1.1.0")</f>
        <v>/wp-content/plugins/gravity-forms-personality-quiz-add-on/assets/quiz_styles.css?ver=1.1.0</v>
      </c>
      <c r="F555" s="1" t="s">
        <v>1016</v>
      </c>
      <c r="G555" s="1">
        <v>200.0</v>
      </c>
      <c r="H555" s="1" t="s">
        <v>966</v>
      </c>
      <c r="I555" s="1" t="s">
        <v>967</v>
      </c>
      <c r="L555" s="1">
        <v>0.0</v>
      </c>
      <c r="M555" s="1">
        <v>0.0</v>
      </c>
      <c r="O555" s="1">
        <v>0.0</v>
      </c>
      <c r="P555" s="1">
        <v>0.0</v>
      </c>
      <c r="R555" s="1">
        <v>0.0</v>
      </c>
      <c r="S555" s="1">
        <v>0.0</v>
      </c>
      <c r="U555" s="1">
        <v>0.0</v>
      </c>
      <c r="W555" s="1">
        <v>0.0</v>
      </c>
      <c r="Y555" s="1">
        <v>0.0</v>
      </c>
      <c r="AA555" s="1">
        <v>0.0</v>
      </c>
      <c r="AC555" s="1">
        <v>0.0</v>
      </c>
      <c r="AM555" s="1">
        <v>566.0</v>
      </c>
      <c r="AN555" s="1">
        <v>566.0</v>
      </c>
      <c r="AO555" s="1">
        <v>566.0</v>
      </c>
      <c r="AP555" s="1">
        <v>0.217</v>
      </c>
      <c r="AR555" s="1">
        <v>0.0</v>
      </c>
      <c r="AW555" s="1">
        <v>0.0</v>
      </c>
      <c r="AX555" s="1">
        <v>2.0</v>
      </c>
      <c r="AY555" s="1">
        <v>4.0</v>
      </c>
      <c r="BA555" s="1">
        <v>0.0</v>
      </c>
      <c r="BB555" s="1">
        <v>0.0</v>
      </c>
      <c r="BC555" s="1">
        <v>0.0</v>
      </c>
      <c r="BD555" s="1">
        <v>0.0</v>
      </c>
      <c r="BE555" s="1">
        <v>0.0</v>
      </c>
      <c r="BF555" s="1">
        <v>0.0</v>
      </c>
      <c r="BG555" s="1">
        <v>0.0</v>
      </c>
      <c r="BH555" s="1">
        <v>0.0</v>
      </c>
      <c r="BI555" s="1">
        <v>0.0</v>
      </c>
      <c r="BJ555" s="1">
        <v>0.0</v>
      </c>
      <c r="BP555" s="1">
        <v>0.262</v>
      </c>
      <c r="BQ555" s="1" t="s">
        <v>2359</v>
      </c>
      <c r="BV555" s="1">
        <v>1.1</v>
      </c>
      <c r="EQ555" s="9" t="s">
        <v>2361</v>
      </c>
      <c r="ER555" s="21">
        <v>46045.29877314815</v>
      </c>
    </row>
    <row r="556">
      <c r="A556" s="9" t="s">
        <v>2362</v>
      </c>
      <c r="B556" s="20" t="str">
        <f>IFERROR(__xludf.DUMMYFUNCTION("REGEXREPLACE(A556, ""^https?://[^/]+"", """")"),"/wp-content/plugins/gravityforms/js/conditional_logic.min.js?ver=2.9.24")</f>
        <v>/wp-content/plugins/gravityforms/js/conditional_logic.min.js?ver=2.9.24</v>
      </c>
      <c r="F556" s="1" t="s">
        <v>984</v>
      </c>
      <c r="G556" s="1">
        <v>200.0</v>
      </c>
      <c r="H556" s="1" t="s">
        <v>966</v>
      </c>
      <c r="I556" s="1" t="s">
        <v>967</v>
      </c>
      <c r="L556" s="1">
        <v>0.0</v>
      </c>
      <c r="M556" s="1">
        <v>0.0</v>
      </c>
      <c r="O556" s="1">
        <v>0.0</v>
      </c>
      <c r="P556" s="1">
        <v>0.0</v>
      </c>
      <c r="R556" s="1">
        <v>0.0</v>
      </c>
      <c r="S556" s="1">
        <v>0.0</v>
      </c>
      <c r="U556" s="1">
        <v>0.0</v>
      </c>
      <c r="W556" s="1">
        <v>0.0</v>
      </c>
      <c r="Y556" s="1">
        <v>0.0</v>
      </c>
      <c r="AA556" s="1">
        <v>0.0</v>
      </c>
      <c r="AC556" s="1">
        <v>0.0</v>
      </c>
      <c r="AM556" s="1">
        <v>3110.0</v>
      </c>
      <c r="AN556" s="1">
        <v>3110.0</v>
      </c>
      <c r="AO556" s="1">
        <v>3110.0</v>
      </c>
      <c r="AP556" s="1">
        <v>1.191</v>
      </c>
      <c r="AR556" s="1">
        <v>0.0</v>
      </c>
      <c r="AW556" s="1">
        <v>0.0</v>
      </c>
      <c r="AX556" s="1">
        <v>2.0</v>
      </c>
      <c r="AY556" s="1">
        <v>4.0</v>
      </c>
      <c r="BA556" s="1">
        <v>0.0</v>
      </c>
      <c r="BB556" s="1">
        <v>0.0</v>
      </c>
      <c r="BC556" s="1">
        <v>0.0</v>
      </c>
      <c r="BD556" s="1">
        <v>0.0</v>
      </c>
      <c r="BE556" s="1">
        <v>0.0</v>
      </c>
      <c r="BF556" s="1">
        <v>0.0</v>
      </c>
      <c r="BG556" s="1">
        <v>0.0</v>
      </c>
      <c r="BH556" s="1">
        <v>0.0</v>
      </c>
      <c r="BI556" s="1">
        <v>0.0</v>
      </c>
      <c r="BJ556" s="1">
        <v>0.0</v>
      </c>
      <c r="BP556" s="1">
        <v>0.265</v>
      </c>
      <c r="BQ556" s="1" t="s">
        <v>1631</v>
      </c>
      <c r="BV556" s="1">
        <v>1.1</v>
      </c>
      <c r="EQ556" s="9" t="s">
        <v>2362</v>
      </c>
      <c r="ER556" s="21">
        <v>46045.29877314815</v>
      </c>
    </row>
    <row r="557">
      <c r="A557" s="9" t="s">
        <v>2363</v>
      </c>
      <c r="B557" s="20" t="str">
        <f>IFERROR(__xludf.DUMMYFUNCTION("REGEXREPLACE(A557, ""^https?://[^/]+"", """")"),"/wp-content/uploads/elementor/css/post-20937.css?ver=1768847260")</f>
        <v>/wp-content/uploads/elementor/css/post-20937.css?ver=1768847260</v>
      </c>
      <c r="F557" s="1" t="s">
        <v>1016</v>
      </c>
      <c r="G557" s="1">
        <v>200.0</v>
      </c>
      <c r="H557" s="1" t="s">
        <v>966</v>
      </c>
      <c r="I557" s="1" t="s">
        <v>967</v>
      </c>
      <c r="L557" s="1">
        <v>0.0</v>
      </c>
      <c r="M557" s="1">
        <v>0.0</v>
      </c>
      <c r="O557" s="1">
        <v>0.0</v>
      </c>
      <c r="P557" s="1">
        <v>0.0</v>
      </c>
      <c r="R557" s="1">
        <v>0.0</v>
      </c>
      <c r="S557" s="1">
        <v>0.0</v>
      </c>
      <c r="U557" s="1">
        <v>0.0</v>
      </c>
      <c r="W557" s="1">
        <v>0.0</v>
      </c>
      <c r="Y557" s="1">
        <v>0.0</v>
      </c>
      <c r="AA557" s="1">
        <v>0.0</v>
      </c>
      <c r="AC557" s="1">
        <v>0.0</v>
      </c>
      <c r="AM557" s="1">
        <v>2284.0</v>
      </c>
      <c r="AN557" s="1">
        <v>2284.0</v>
      </c>
      <c r="AO557" s="1">
        <v>2284.0</v>
      </c>
      <c r="AP557" s="1">
        <v>0.875</v>
      </c>
      <c r="AR557" s="1">
        <v>0.0</v>
      </c>
      <c r="AW557" s="1">
        <v>0.0</v>
      </c>
      <c r="AX557" s="1">
        <v>2.0</v>
      </c>
      <c r="AY557" s="1">
        <v>4.0</v>
      </c>
      <c r="BA557" s="1">
        <v>0.0</v>
      </c>
      <c r="BB557" s="1">
        <v>0.0</v>
      </c>
      <c r="BC557" s="1">
        <v>0.0</v>
      </c>
      <c r="BD557" s="1">
        <v>0.0</v>
      </c>
      <c r="BE557" s="1">
        <v>0.0</v>
      </c>
      <c r="BF557" s="1">
        <v>0.0</v>
      </c>
      <c r="BG557" s="1">
        <v>0.0</v>
      </c>
      <c r="BH557" s="1">
        <v>0.0</v>
      </c>
      <c r="BI557" s="1">
        <v>0.0</v>
      </c>
      <c r="BJ557" s="1">
        <v>0.0</v>
      </c>
      <c r="BP557" s="1">
        <v>0.254</v>
      </c>
      <c r="BQ557" s="1" t="s">
        <v>2364</v>
      </c>
      <c r="BV557" s="1">
        <v>1.1</v>
      </c>
      <c r="EQ557" s="9" t="s">
        <v>2363</v>
      </c>
      <c r="ER557" s="21">
        <v>46045.298784722225</v>
      </c>
    </row>
    <row r="558">
      <c r="A558" s="9" t="s">
        <v>2365</v>
      </c>
      <c r="B558" s="20" t="str">
        <f>IFERROR(__xludf.DUMMYFUNCTION("REGEXREPLACE(A558, ""^https?://[^/]+"", """")"),"/wp-content/uploads/2023/10/The-Power-of-Serving-Versus-Selling-1024x683.jpg")</f>
        <v>/wp-content/uploads/2023/10/The-Power-of-Serving-Versus-Selling-1024x683.jpg</v>
      </c>
      <c r="F558" s="1" t="s">
        <v>1004</v>
      </c>
      <c r="G558" s="1">
        <v>200.0</v>
      </c>
      <c r="H558" s="1" t="s">
        <v>966</v>
      </c>
      <c r="I558" s="1" t="s">
        <v>967</v>
      </c>
      <c r="L558" s="1">
        <v>0.0</v>
      </c>
      <c r="M558" s="1">
        <v>0.0</v>
      </c>
      <c r="O558" s="1">
        <v>0.0</v>
      </c>
      <c r="P558" s="1">
        <v>0.0</v>
      </c>
      <c r="R558" s="1">
        <v>0.0</v>
      </c>
      <c r="S558" s="1">
        <v>0.0</v>
      </c>
      <c r="U558" s="1">
        <v>0.0</v>
      </c>
      <c r="W558" s="1">
        <v>0.0</v>
      </c>
      <c r="Y558" s="1">
        <v>0.0</v>
      </c>
      <c r="AA558" s="1">
        <v>0.0</v>
      </c>
      <c r="AC558" s="1">
        <v>0.0</v>
      </c>
      <c r="AM558" s="1">
        <v>77355.0</v>
      </c>
      <c r="AN558" s="1">
        <v>77355.0</v>
      </c>
      <c r="AO558" s="1">
        <v>77355.0</v>
      </c>
      <c r="AP558" s="1">
        <v>29.633</v>
      </c>
      <c r="AR558" s="1">
        <v>0.0</v>
      </c>
      <c r="AW558" s="1">
        <v>0.0</v>
      </c>
      <c r="AX558" s="1">
        <v>2.0</v>
      </c>
      <c r="AY558" s="1">
        <v>4.0</v>
      </c>
      <c r="BA558" s="1">
        <v>0.0</v>
      </c>
      <c r="BB558" s="1">
        <v>0.0</v>
      </c>
      <c r="BC558" s="1">
        <v>0.0</v>
      </c>
      <c r="BD558" s="1">
        <v>0.0</v>
      </c>
      <c r="BE558" s="1">
        <v>0.0</v>
      </c>
      <c r="BF558" s="1">
        <v>0.0</v>
      </c>
      <c r="BG558" s="1">
        <v>0.0</v>
      </c>
      <c r="BH558" s="1">
        <v>0.0</v>
      </c>
      <c r="BI558" s="1">
        <v>0.0</v>
      </c>
      <c r="BJ558" s="1">
        <v>0.0</v>
      </c>
      <c r="BP558" s="1">
        <v>0.263</v>
      </c>
      <c r="BQ558" s="1" t="s">
        <v>2366</v>
      </c>
      <c r="BV558" s="1">
        <v>1.1</v>
      </c>
      <c r="EQ558" s="9" t="s">
        <v>2365</v>
      </c>
      <c r="ER558" s="21">
        <v>46045.298784722225</v>
      </c>
    </row>
    <row r="559">
      <c r="A559" s="9" t="s">
        <v>2367</v>
      </c>
      <c r="B559" s="20" t="str">
        <f>IFERROR(__xludf.DUMMYFUNCTION("REGEXREPLACE(A559, ""^https?://[^/]+"", """")"),"/wp-content/uploads/2025/07/poster-kelly.jpg")</f>
        <v>/wp-content/uploads/2025/07/poster-kelly.jpg</v>
      </c>
      <c r="F559" s="1" t="s">
        <v>1004</v>
      </c>
      <c r="G559" s="1">
        <v>200.0</v>
      </c>
      <c r="H559" s="1" t="s">
        <v>966</v>
      </c>
      <c r="I559" s="1" t="s">
        <v>967</v>
      </c>
      <c r="L559" s="1">
        <v>0.0</v>
      </c>
      <c r="M559" s="1">
        <v>0.0</v>
      </c>
      <c r="O559" s="1">
        <v>0.0</v>
      </c>
      <c r="P559" s="1">
        <v>0.0</v>
      </c>
      <c r="R559" s="1">
        <v>0.0</v>
      </c>
      <c r="S559" s="1">
        <v>0.0</v>
      </c>
      <c r="U559" s="1">
        <v>0.0</v>
      </c>
      <c r="W559" s="1">
        <v>0.0</v>
      </c>
      <c r="Y559" s="1">
        <v>0.0</v>
      </c>
      <c r="AA559" s="1">
        <v>0.0</v>
      </c>
      <c r="AC559" s="1">
        <v>0.0</v>
      </c>
      <c r="AM559" s="1">
        <v>229286.0</v>
      </c>
      <c r="AN559" s="1">
        <v>229286.0</v>
      </c>
      <c r="AO559" s="1">
        <v>229286.0</v>
      </c>
      <c r="AP559" s="1">
        <v>87.835</v>
      </c>
      <c r="AR559" s="1">
        <v>0.0</v>
      </c>
      <c r="AW559" s="1">
        <v>0.0</v>
      </c>
      <c r="AX559" s="1">
        <v>2.0</v>
      </c>
      <c r="AY559" s="1">
        <v>4.0</v>
      </c>
      <c r="BA559" s="1">
        <v>0.0</v>
      </c>
      <c r="BB559" s="1">
        <v>0.0</v>
      </c>
      <c r="BC559" s="1">
        <v>0.0</v>
      </c>
      <c r="BD559" s="1">
        <v>0.0</v>
      </c>
      <c r="BE559" s="1">
        <v>0.0</v>
      </c>
      <c r="BF559" s="1">
        <v>0.0</v>
      </c>
      <c r="BG559" s="1">
        <v>0.0</v>
      </c>
      <c r="BH559" s="1">
        <v>0.0</v>
      </c>
      <c r="BI559" s="1">
        <v>0.0</v>
      </c>
      <c r="BJ559" s="1">
        <v>0.0</v>
      </c>
      <c r="BP559" s="1">
        <v>0.302</v>
      </c>
      <c r="BQ559" s="1" t="s">
        <v>2368</v>
      </c>
      <c r="BV559" s="1">
        <v>1.1</v>
      </c>
      <c r="EQ559" s="9" t="s">
        <v>2367</v>
      </c>
      <c r="ER559" s="21">
        <v>46045.298784722225</v>
      </c>
    </row>
    <row r="560">
      <c r="A560" s="9" t="s">
        <v>2369</v>
      </c>
      <c r="B560" s="20" t="str">
        <f>IFERROR(__xludf.DUMMYFUNCTION("REGEXREPLACE(A560, ""^https?://[^/]+"", """")"),"/wp-content/uploads/2023/12/video2.jpeg")</f>
        <v>/wp-content/uploads/2023/12/video2.jpeg</v>
      </c>
      <c r="F560" s="1" t="s">
        <v>1004</v>
      </c>
      <c r="G560" s="1">
        <v>200.0</v>
      </c>
      <c r="H560" s="1" t="s">
        <v>966</v>
      </c>
      <c r="I560" s="1" t="s">
        <v>967</v>
      </c>
      <c r="L560" s="1">
        <v>0.0</v>
      </c>
      <c r="M560" s="1">
        <v>0.0</v>
      </c>
      <c r="O560" s="1">
        <v>0.0</v>
      </c>
      <c r="P560" s="1">
        <v>0.0</v>
      </c>
      <c r="R560" s="1">
        <v>0.0</v>
      </c>
      <c r="S560" s="1">
        <v>0.0</v>
      </c>
      <c r="U560" s="1">
        <v>0.0</v>
      </c>
      <c r="W560" s="1">
        <v>0.0</v>
      </c>
      <c r="Y560" s="1">
        <v>0.0</v>
      </c>
      <c r="AA560" s="1">
        <v>0.0</v>
      </c>
      <c r="AC560" s="1">
        <v>0.0</v>
      </c>
      <c r="AM560" s="1">
        <v>188906.0</v>
      </c>
      <c r="AN560" s="1">
        <v>188906.0</v>
      </c>
      <c r="AO560" s="1">
        <v>188906.0</v>
      </c>
      <c r="AP560" s="1">
        <v>72.366</v>
      </c>
      <c r="AR560" s="1">
        <v>0.0</v>
      </c>
      <c r="AW560" s="1">
        <v>0.0</v>
      </c>
      <c r="AX560" s="1">
        <v>2.0</v>
      </c>
      <c r="AY560" s="1">
        <v>4.0</v>
      </c>
      <c r="BA560" s="1">
        <v>0.0</v>
      </c>
      <c r="BB560" s="1">
        <v>0.0</v>
      </c>
      <c r="BC560" s="1">
        <v>0.0</v>
      </c>
      <c r="BD560" s="1">
        <v>0.0</v>
      </c>
      <c r="BE560" s="1">
        <v>0.0</v>
      </c>
      <c r="BF560" s="1">
        <v>0.0</v>
      </c>
      <c r="BG560" s="1">
        <v>0.0</v>
      </c>
      <c r="BH560" s="1">
        <v>0.0</v>
      </c>
      <c r="BI560" s="1">
        <v>0.0</v>
      </c>
      <c r="BJ560" s="1">
        <v>0.0</v>
      </c>
      <c r="BP560" s="1">
        <v>0.279</v>
      </c>
      <c r="BQ560" s="1" t="s">
        <v>2370</v>
      </c>
      <c r="BV560" s="1">
        <v>1.1</v>
      </c>
      <c r="EQ560" s="9" t="s">
        <v>2369</v>
      </c>
      <c r="ER560" s="21">
        <v>46045.298784722225</v>
      </c>
    </row>
    <row r="561">
      <c r="A561" s="9" t="s">
        <v>2371</v>
      </c>
      <c r="B561" s="20" t="str">
        <f>IFERROR(__xludf.DUMMYFUNCTION("REGEXREPLACE(A561, ""^https?://[^/]+"", """")"),"/wp-content/plugins/powerpack-elements/assets/css/min/widget-video.min.css?ver=2.12.15")</f>
        <v>/wp-content/plugins/powerpack-elements/assets/css/min/widget-video.min.css?ver=2.12.15</v>
      </c>
      <c r="F561" s="1" t="s">
        <v>1016</v>
      </c>
      <c r="G561" s="1">
        <v>200.0</v>
      </c>
      <c r="H561" s="1" t="s">
        <v>966</v>
      </c>
      <c r="I561" s="1" t="s">
        <v>967</v>
      </c>
      <c r="L561" s="1">
        <v>0.0</v>
      </c>
      <c r="M561" s="1">
        <v>0.0</v>
      </c>
      <c r="O561" s="1">
        <v>0.0</v>
      </c>
      <c r="P561" s="1">
        <v>0.0</v>
      </c>
      <c r="R561" s="1">
        <v>0.0</v>
      </c>
      <c r="S561" s="1">
        <v>0.0</v>
      </c>
      <c r="U561" s="1">
        <v>0.0</v>
      </c>
      <c r="W561" s="1">
        <v>0.0</v>
      </c>
      <c r="Y561" s="1">
        <v>0.0</v>
      </c>
      <c r="AA561" s="1">
        <v>0.0</v>
      </c>
      <c r="AC561" s="1">
        <v>0.0</v>
      </c>
      <c r="AM561" s="1">
        <v>735.0</v>
      </c>
      <c r="AN561" s="1">
        <v>735.0</v>
      </c>
      <c r="AO561" s="1">
        <v>735.0</v>
      </c>
      <c r="AP561" s="1">
        <v>0.282</v>
      </c>
      <c r="AR561" s="1">
        <v>0.0</v>
      </c>
      <c r="AW561" s="1">
        <v>0.0</v>
      </c>
      <c r="AX561" s="1">
        <v>2.0</v>
      </c>
      <c r="AY561" s="1">
        <v>6.0</v>
      </c>
      <c r="BA561" s="1">
        <v>0.0</v>
      </c>
      <c r="BB561" s="1">
        <v>0.0</v>
      </c>
      <c r="BC561" s="1">
        <v>0.0</v>
      </c>
      <c r="BD561" s="1">
        <v>0.0</v>
      </c>
      <c r="BE561" s="1">
        <v>0.0</v>
      </c>
      <c r="BF561" s="1">
        <v>0.0</v>
      </c>
      <c r="BG561" s="1">
        <v>0.0</v>
      </c>
      <c r="BH561" s="1">
        <v>0.0</v>
      </c>
      <c r="BI561" s="1">
        <v>0.0</v>
      </c>
      <c r="BJ561" s="1">
        <v>0.0</v>
      </c>
      <c r="BP561" s="1">
        <v>0.268</v>
      </c>
      <c r="BQ561" s="1" t="s">
        <v>1193</v>
      </c>
      <c r="BV561" s="1">
        <v>1.1</v>
      </c>
      <c r="EQ561" s="9" t="s">
        <v>2371</v>
      </c>
      <c r="ER561" s="21">
        <v>46045.298784722225</v>
      </c>
    </row>
    <row r="562">
      <c r="A562" s="9" t="s">
        <v>2372</v>
      </c>
      <c r="B562" s="20" t="str">
        <f>IFERROR(__xludf.DUMMYFUNCTION("REGEXREPLACE(A562, ""^https?://[^/]+"", """")"),"/wp-content/themes/salesxceleratione/assets/css/style.css?ver=1769123322")</f>
        <v>/wp-content/themes/salesxceleratione/assets/css/style.css?ver=1769123322</v>
      </c>
      <c r="F562" s="1" t="s">
        <v>1016</v>
      </c>
      <c r="G562" s="1">
        <v>200.0</v>
      </c>
      <c r="H562" s="1" t="s">
        <v>966</v>
      </c>
      <c r="I562" s="1" t="s">
        <v>967</v>
      </c>
      <c r="L562" s="1">
        <v>0.0</v>
      </c>
      <c r="M562" s="1">
        <v>0.0</v>
      </c>
      <c r="O562" s="1">
        <v>0.0</v>
      </c>
      <c r="P562" s="1">
        <v>0.0</v>
      </c>
      <c r="R562" s="1">
        <v>0.0</v>
      </c>
      <c r="S562" s="1">
        <v>0.0</v>
      </c>
      <c r="U562" s="1">
        <v>0.0</v>
      </c>
      <c r="W562" s="1">
        <v>0.0</v>
      </c>
      <c r="Y562" s="1">
        <v>0.0</v>
      </c>
      <c r="AA562" s="1">
        <v>0.0</v>
      </c>
      <c r="AC562" s="1">
        <v>0.0</v>
      </c>
      <c r="AM562" s="1">
        <v>17704.0</v>
      </c>
      <c r="AN562" s="1">
        <v>17704.0</v>
      </c>
      <c r="AO562" s="1">
        <v>17704.0</v>
      </c>
      <c r="AP562" s="1">
        <v>6.782</v>
      </c>
      <c r="AR562" s="1">
        <v>0.0</v>
      </c>
      <c r="AW562" s="1">
        <v>0.0</v>
      </c>
      <c r="AX562" s="1">
        <v>2.0</v>
      </c>
      <c r="AY562" s="1">
        <v>5.0</v>
      </c>
      <c r="BA562" s="1">
        <v>0.0</v>
      </c>
      <c r="BB562" s="1">
        <v>0.0</v>
      </c>
      <c r="BC562" s="1">
        <v>0.0</v>
      </c>
      <c r="BD562" s="1">
        <v>0.0</v>
      </c>
      <c r="BE562" s="1">
        <v>0.0</v>
      </c>
      <c r="BF562" s="1">
        <v>0.0</v>
      </c>
      <c r="BG562" s="1">
        <v>0.0</v>
      </c>
      <c r="BH562" s="1">
        <v>0.0</v>
      </c>
      <c r="BI562" s="1">
        <v>0.0</v>
      </c>
      <c r="BJ562" s="1">
        <v>0.0</v>
      </c>
      <c r="BP562" s="1">
        <v>0.264</v>
      </c>
      <c r="BQ562" s="1" t="s">
        <v>2373</v>
      </c>
      <c r="BV562" s="1">
        <v>1.1</v>
      </c>
      <c r="EQ562" s="9" t="s">
        <v>2372</v>
      </c>
      <c r="ER562" s="21">
        <v>46045.298784722225</v>
      </c>
    </row>
    <row r="563">
      <c r="A563" s="9" t="s">
        <v>2374</v>
      </c>
      <c r="B563" s="20" t="str">
        <f>IFERROR(__xludf.DUMMYFUNCTION("REGEXREPLACE(A563, ""^https?://[^/]+"", """")"),"/wp-content/uploads/2024/02/Outsourced-Leaders-The-Secret-Weapon-for-Small-Business-Growth-and-Efficiency-1-1024x576.jpg")</f>
        <v>/wp-content/uploads/2024/02/Outsourced-Leaders-The-Secret-Weapon-for-Small-Business-Growth-and-Efficiency-1-1024x576.jpg</v>
      </c>
      <c r="F563" s="1" t="s">
        <v>1004</v>
      </c>
      <c r="G563" s="1">
        <v>200.0</v>
      </c>
      <c r="H563" s="1" t="s">
        <v>966</v>
      </c>
      <c r="I563" s="1" t="s">
        <v>967</v>
      </c>
      <c r="L563" s="1">
        <v>0.0</v>
      </c>
      <c r="M563" s="1">
        <v>0.0</v>
      </c>
      <c r="O563" s="1">
        <v>0.0</v>
      </c>
      <c r="P563" s="1">
        <v>0.0</v>
      </c>
      <c r="R563" s="1">
        <v>0.0</v>
      </c>
      <c r="S563" s="1">
        <v>0.0</v>
      </c>
      <c r="U563" s="1">
        <v>0.0</v>
      </c>
      <c r="W563" s="1">
        <v>0.0</v>
      </c>
      <c r="Y563" s="1">
        <v>0.0</v>
      </c>
      <c r="AA563" s="1">
        <v>0.0</v>
      </c>
      <c r="AC563" s="1">
        <v>0.0</v>
      </c>
      <c r="AM563" s="1">
        <v>92268.0</v>
      </c>
      <c r="AN563" s="1">
        <v>92268.0</v>
      </c>
      <c r="AO563" s="1">
        <v>92268.0</v>
      </c>
      <c r="AP563" s="1">
        <v>35.346</v>
      </c>
      <c r="AR563" s="1">
        <v>0.0</v>
      </c>
      <c r="AW563" s="1">
        <v>0.0</v>
      </c>
      <c r="AX563" s="1">
        <v>2.0</v>
      </c>
      <c r="AY563" s="1">
        <v>4.0</v>
      </c>
      <c r="BA563" s="1">
        <v>0.0</v>
      </c>
      <c r="BB563" s="1">
        <v>0.0</v>
      </c>
      <c r="BC563" s="1">
        <v>0.0</v>
      </c>
      <c r="BD563" s="1">
        <v>0.0</v>
      </c>
      <c r="BE563" s="1">
        <v>0.0</v>
      </c>
      <c r="BF563" s="1">
        <v>0.0</v>
      </c>
      <c r="BG563" s="1">
        <v>0.0</v>
      </c>
      <c r="BH563" s="1">
        <v>0.0</v>
      </c>
      <c r="BI563" s="1">
        <v>0.0</v>
      </c>
      <c r="BJ563" s="1">
        <v>0.0</v>
      </c>
      <c r="BP563" s="1">
        <v>0.283</v>
      </c>
      <c r="BQ563" s="1" t="s">
        <v>2375</v>
      </c>
      <c r="BV563" s="1">
        <v>1.1</v>
      </c>
      <c r="EQ563" s="9" t="s">
        <v>2374</v>
      </c>
      <c r="ER563" s="21">
        <v>46045.298784722225</v>
      </c>
    </row>
    <row r="564">
      <c r="A564" s="9" t="s">
        <v>2376</v>
      </c>
      <c r="B564" s="20" t="str">
        <f>IFERROR(__xludf.DUMMYFUNCTION("REGEXREPLACE(A564, ""^https?://[^/]+"", """")"),"/wp-content/plugins/powerpack-elements/assets/js/min/frontend-video.min.js?ver=2.12.15")</f>
        <v>/wp-content/plugins/powerpack-elements/assets/js/min/frontend-video.min.js?ver=2.12.15</v>
      </c>
      <c r="F564" s="1" t="s">
        <v>984</v>
      </c>
      <c r="G564" s="1">
        <v>200.0</v>
      </c>
      <c r="H564" s="1" t="s">
        <v>966</v>
      </c>
      <c r="I564" s="1" t="s">
        <v>967</v>
      </c>
      <c r="L564" s="1">
        <v>0.0</v>
      </c>
      <c r="M564" s="1">
        <v>0.0</v>
      </c>
      <c r="O564" s="1">
        <v>0.0</v>
      </c>
      <c r="P564" s="1">
        <v>0.0</v>
      </c>
      <c r="R564" s="1">
        <v>0.0</v>
      </c>
      <c r="S564" s="1">
        <v>0.0</v>
      </c>
      <c r="U564" s="1">
        <v>0.0</v>
      </c>
      <c r="W564" s="1">
        <v>0.0</v>
      </c>
      <c r="Y564" s="1">
        <v>0.0</v>
      </c>
      <c r="AA564" s="1">
        <v>0.0</v>
      </c>
      <c r="AC564" s="1">
        <v>0.0</v>
      </c>
      <c r="AM564" s="1">
        <v>643.0</v>
      </c>
      <c r="AN564" s="1">
        <v>643.0</v>
      </c>
      <c r="AO564" s="1">
        <v>643.0</v>
      </c>
      <c r="AP564" s="1">
        <v>0.246</v>
      </c>
      <c r="AR564" s="1">
        <v>0.0</v>
      </c>
      <c r="AW564" s="1">
        <v>0.0</v>
      </c>
      <c r="AX564" s="1">
        <v>2.0</v>
      </c>
      <c r="AY564" s="1">
        <v>6.0</v>
      </c>
      <c r="BA564" s="1">
        <v>0.0</v>
      </c>
      <c r="BB564" s="1">
        <v>0.0</v>
      </c>
      <c r="BC564" s="1">
        <v>0.0</v>
      </c>
      <c r="BD564" s="1">
        <v>0.0</v>
      </c>
      <c r="BE564" s="1">
        <v>0.0</v>
      </c>
      <c r="BF564" s="1">
        <v>0.0</v>
      </c>
      <c r="BG564" s="1">
        <v>0.0</v>
      </c>
      <c r="BH564" s="1">
        <v>0.0</v>
      </c>
      <c r="BI564" s="1">
        <v>0.0</v>
      </c>
      <c r="BJ564" s="1">
        <v>0.0</v>
      </c>
      <c r="BP564" s="1">
        <v>0.279</v>
      </c>
      <c r="BQ564" s="1" t="s">
        <v>1193</v>
      </c>
      <c r="BV564" s="1">
        <v>1.1</v>
      </c>
      <c r="EQ564" s="9" t="s">
        <v>2376</v>
      </c>
      <c r="ER564" s="21">
        <v>46045.298784722225</v>
      </c>
    </row>
    <row r="565">
      <c r="A565" s="9" t="s">
        <v>2377</v>
      </c>
      <c r="B565" s="20" t="str">
        <f>IFERROR(__xludf.DUMMYFUNCTION("REGEXREPLACE(A565, ""^https?://[^/]+"", """")"),"/wp-content/uploads/elementor/css/post-29331.css?ver=1768847260")</f>
        <v>/wp-content/uploads/elementor/css/post-29331.css?ver=1768847260</v>
      </c>
      <c r="F565" s="1" t="s">
        <v>1016</v>
      </c>
      <c r="G565" s="1">
        <v>200.0</v>
      </c>
      <c r="H565" s="1" t="s">
        <v>966</v>
      </c>
      <c r="I565" s="1" t="s">
        <v>967</v>
      </c>
      <c r="L565" s="1">
        <v>0.0</v>
      </c>
      <c r="M565" s="1">
        <v>0.0</v>
      </c>
      <c r="O565" s="1">
        <v>0.0</v>
      </c>
      <c r="P565" s="1">
        <v>0.0</v>
      </c>
      <c r="R565" s="1">
        <v>0.0</v>
      </c>
      <c r="S565" s="1">
        <v>0.0</v>
      </c>
      <c r="U565" s="1">
        <v>0.0</v>
      </c>
      <c r="W565" s="1">
        <v>0.0</v>
      </c>
      <c r="Y565" s="1">
        <v>0.0</v>
      </c>
      <c r="AA565" s="1">
        <v>0.0</v>
      </c>
      <c r="AC565" s="1">
        <v>0.0</v>
      </c>
      <c r="AM565" s="1">
        <v>211.0</v>
      </c>
      <c r="AN565" s="1">
        <v>211.0</v>
      </c>
      <c r="AO565" s="1">
        <v>211.0</v>
      </c>
      <c r="AP565" s="1">
        <v>0.081</v>
      </c>
      <c r="AR565" s="1">
        <v>0.0</v>
      </c>
      <c r="AW565" s="1">
        <v>0.0</v>
      </c>
      <c r="AX565" s="1">
        <v>2.0</v>
      </c>
      <c r="AY565" s="1">
        <v>4.0</v>
      </c>
      <c r="BA565" s="1">
        <v>0.0</v>
      </c>
      <c r="BB565" s="1">
        <v>0.0</v>
      </c>
      <c r="BC565" s="1">
        <v>0.0</v>
      </c>
      <c r="BD565" s="1">
        <v>0.0</v>
      </c>
      <c r="BE565" s="1">
        <v>0.0</v>
      </c>
      <c r="BF565" s="1">
        <v>0.0</v>
      </c>
      <c r="BG565" s="1">
        <v>0.0</v>
      </c>
      <c r="BH565" s="1">
        <v>0.0</v>
      </c>
      <c r="BI565" s="1">
        <v>0.0</v>
      </c>
      <c r="BJ565" s="1">
        <v>0.0</v>
      </c>
      <c r="BP565" s="1">
        <v>0.258</v>
      </c>
      <c r="BQ565" s="1" t="s">
        <v>2364</v>
      </c>
      <c r="BV565" s="1">
        <v>1.1</v>
      </c>
      <c r="EQ565" s="9" t="s">
        <v>2377</v>
      </c>
      <c r="ER565" s="21">
        <v>46045.298784722225</v>
      </c>
    </row>
    <row r="566">
      <c r="A566" s="9" t="s">
        <v>2378</v>
      </c>
      <c r="B566" s="20" t="str">
        <f>IFERROR(__xludf.DUMMYFUNCTION("REGEXREPLACE(A566, ""^https?://[^/]+"", """")"),"/wp-content/uploads/elementor/css/post-22234.css?ver=1768846103")</f>
        <v>/wp-content/uploads/elementor/css/post-22234.css?ver=1768846103</v>
      </c>
      <c r="F566" s="1" t="s">
        <v>1016</v>
      </c>
      <c r="G566" s="1">
        <v>200.0</v>
      </c>
      <c r="H566" s="1" t="s">
        <v>966</v>
      </c>
      <c r="I566" s="1" t="s">
        <v>967</v>
      </c>
      <c r="L566" s="1">
        <v>0.0</v>
      </c>
      <c r="M566" s="1">
        <v>0.0</v>
      </c>
      <c r="O566" s="1">
        <v>0.0</v>
      </c>
      <c r="P566" s="1">
        <v>0.0</v>
      </c>
      <c r="R566" s="1">
        <v>0.0</v>
      </c>
      <c r="S566" s="1">
        <v>0.0</v>
      </c>
      <c r="U566" s="1">
        <v>0.0</v>
      </c>
      <c r="W566" s="1">
        <v>0.0</v>
      </c>
      <c r="Y566" s="1">
        <v>0.0</v>
      </c>
      <c r="AA566" s="1">
        <v>0.0</v>
      </c>
      <c r="AC566" s="1">
        <v>0.0</v>
      </c>
      <c r="AM566" s="1">
        <v>783.0</v>
      </c>
      <c r="AN566" s="1">
        <v>783.0</v>
      </c>
      <c r="AO566" s="1">
        <v>783.0</v>
      </c>
      <c r="AP566" s="1">
        <v>0.3</v>
      </c>
      <c r="AR566" s="1">
        <v>0.0</v>
      </c>
      <c r="AW566" s="1">
        <v>0.0</v>
      </c>
      <c r="AX566" s="1">
        <v>2.0</v>
      </c>
      <c r="AY566" s="1">
        <v>4.0</v>
      </c>
      <c r="BA566" s="1">
        <v>0.0</v>
      </c>
      <c r="BB566" s="1">
        <v>0.0</v>
      </c>
      <c r="BC566" s="1">
        <v>0.0</v>
      </c>
      <c r="BD566" s="1">
        <v>0.0</v>
      </c>
      <c r="BE566" s="1">
        <v>0.0</v>
      </c>
      <c r="BF566" s="1">
        <v>0.0</v>
      </c>
      <c r="BG566" s="1">
        <v>0.0</v>
      </c>
      <c r="BH566" s="1">
        <v>0.0</v>
      </c>
      <c r="BI566" s="1">
        <v>0.0</v>
      </c>
      <c r="BJ566" s="1">
        <v>0.0</v>
      </c>
      <c r="BP566" s="1">
        <v>0.26</v>
      </c>
      <c r="BQ566" s="1" t="s">
        <v>2379</v>
      </c>
      <c r="BV566" s="1">
        <v>1.1</v>
      </c>
      <c r="EQ566" s="9" t="s">
        <v>2378</v>
      </c>
      <c r="ER566" s="21">
        <v>46045.298796296294</v>
      </c>
    </row>
    <row r="567">
      <c r="A567" s="9" t="s">
        <v>2380</v>
      </c>
      <c r="B567" s="20" t="str">
        <f>IFERROR(__xludf.DUMMYFUNCTION("REGEXREPLACE(A567, ""^https?://[^/]+"", """")"),"/wp-content/uploads/2025/07/Sales-Xceleration_Build-Your-Own-Sales-Consultancy.pdf")</f>
        <v>/wp-content/uploads/2025/07/Sales-Xceleration_Build-Your-Own-Sales-Consultancy.pdf</v>
      </c>
      <c r="F567" s="1" t="s">
        <v>1730</v>
      </c>
      <c r="G567" s="1">
        <v>200.0</v>
      </c>
      <c r="H567" s="1" t="s">
        <v>966</v>
      </c>
      <c r="I567" s="1" t="s">
        <v>967</v>
      </c>
      <c r="K567" s="1" t="s">
        <v>1136</v>
      </c>
      <c r="L567" s="1">
        <v>59.0</v>
      </c>
      <c r="M567" s="1">
        <v>566.0</v>
      </c>
      <c r="O567" s="1">
        <v>0.0</v>
      </c>
      <c r="P567" s="1">
        <v>0.0</v>
      </c>
      <c r="R567" s="1">
        <v>0.0</v>
      </c>
      <c r="S567" s="1">
        <v>0.0</v>
      </c>
      <c r="U567" s="1">
        <v>0.0</v>
      </c>
      <c r="W567" s="1">
        <v>0.0</v>
      </c>
      <c r="Y567" s="1">
        <v>0.0</v>
      </c>
      <c r="AA567" s="1">
        <v>0.0</v>
      </c>
      <c r="AC567" s="1">
        <v>0.0</v>
      </c>
      <c r="AM567" s="1">
        <v>3096896.0</v>
      </c>
      <c r="AN567" s="1">
        <v>3096896.0</v>
      </c>
      <c r="AO567" s="1">
        <v>3096896.0</v>
      </c>
      <c r="AP567" s="1">
        <v>1186.362</v>
      </c>
      <c r="AR567" s="1">
        <v>0.0</v>
      </c>
      <c r="AW567" s="1">
        <v>0.0</v>
      </c>
      <c r="AX567" s="1">
        <v>2.0</v>
      </c>
      <c r="AY567" s="1">
        <v>4.0</v>
      </c>
      <c r="AZ567" s="1">
        <v>2.0</v>
      </c>
      <c r="BA567" s="1">
        <v>1.0</v>
      </c>
      <c r="BB567" s="1">
        <v>1.0</v>
      </c>
      <c r="BC567" s="1">
        <v>0.0</v>
      </c>
      <c r="BD567" s="1">
        <v>0.13</v>
      </c>
      <c r="BE567" s="1">
        <v>0.0</v>
      </c>
      <c r="BF567" s="1">
        <v>0.0</v>
      </c>
      <c r="BG567" s="1">
        <v>0.0</v>
      </c>
      <c r="BH567" s="1">
        <v>0.0</v>
      </c>
      <c r="BI567" s="1">
        <v>0.0</v>
      </c>
      <c r="BJ567" s="1">
        <v>0.0</v>
      </c>
      <c r="BP567" s="1">
        <v>0.271</v>
      </c>
      <c r="BQ567" s="1" t="s">
        <v>2381</v>
      </c>
      <c r="BV567" s="1">
        <v>1.1</v>
      </c>
      <c r="EQ567" s="9" t="s">
        <v>2380</v>
      </c>
      <c r="ER567" s="21">
        <v>46045.298784722225</v>
      </c>
    </row>
    <row r="568">
      <c r="A568" s="9" t="s">
        <v>2382</v>
      </c>
      <c r="B568" s="20" t="str">
        <f>IFERROR(__xludf.DUMMYFUNCTION("REGEXREPLACE(A568, ""^https?://[^/]+"", """")"),"/become-a-consultant/contact-us/")</f>
        <v>/become-a-consultant/contact-us/</v>
      </c>
      <c r="C568" s="1" t="s">
        <v>2383</v>
      </c>
      <c r="F568" s="1" t="s">
        <v>965</v>
      </c>
      <c r="G568" s="1">
        <v>200.0</v>
      </c>
      <c r="H568" s="1" t="s">
        <v>966</v>
      </c>
      <c r="I568" s="1" t="s">
        <v>967</v>
      </c>
      <c r="K568" s="1" t="s">
        <v>2384</v>
      </c>
      <c r="L568" s="1">
        <v>39.0</v>
      </c>
      <c r="M568" s="1">
        <v>373.0</v>
      </c>
      <c r="O568" s="1">
        <v>0.0</v>
      </c>
      <c r="P568" s="1">
        <v>0.0</v>
      </c>
      <c r="R568" s="1">
        <v>0.0</v>
      </c>
      <c r="S568" s="1">
        <v>0.0</v>
      </c>
      <c r="U568" s="1">
        <v>0.0</v>
      </c>
      <c r="V568" s="1" t="s">
        <v>2383</v>
      </c>
      <c r="W568" s="1">
        <v>10.0</v>
      </c>
      <c r="Y568" s="1">
        <v>0.0</v>
      </c>
      <c r="AA568" s="1">
        <v>0.0</v>
      </c>
      <c r="AC568" s="1">
        <v>0.0</v>
      </c>
      <c r="AD568" s="1" t="s">
        <v>971</v>
      </c>
      <c r="AG568" s="9" t="s">
        <v>2382</v>
      </c>
      <c r="AM568" s="1">
        <v>145708.0</v>
      </c>
      <c r="AN568" s="1">
        <v>27847.0</v>
      </c>
      <c r="AO568" s="1">
        <v>27847.0</v>
      </c>
      <c r="AP568" s="1">
        <v>10.668</v>
      </c>
      <c r="AR568" s="1">
        <v>526.0</v>
      </c>
      <c r="AS568" s="1">
        <v>91.0</v>
      </c>
      <c r="AT568" s="1">
        <v>5.78</v>
      </c>
      <c r="AU568" s="1">
        <v>61.201</v>
      </c>
      <c r="AV568" s="1" t="s">
        <v>990</v>
      </c>
      <c r="AW568" s="1">
        <v>3.865</v>
      </c>
      <c r="AX568" s="1">
        <v>2.0</v>
      </c>
      <c r="AY568" s="1">
        <v>2.0</v>
      </c>
      <c r="AZ568" s="1">
        <v>2.0</v>
      </c>
      <c r="BA568" s="1">
        <v>2.0</v>
      </c>
      <c r="BB568" s="1">
        <v>1.0</v>
      </c>
      <c r="BC568" s="1">
        <v>0.0</v>
      </c>
      <c r="BD568" s="1">
        <v>0.13</v>
      </c>
      <c r="BE568" s="1">
        <v>122.0</v>
      </c>
      <c r="BF568" s="1">
        <v>42.0</v>
      </c>
      <c r="BG568" s="1">
        <v>0.0</v>
      </c>
      <c r="BH568" s="1">
        <v>16.0</v>
      </c>
      <c r="BI568" s="1">
        <v>8.0</v>
      </c>
      <c r="BJ568" s="1">
        <v>0.0</v>
      </c>
      <c r="BO568" s="1" t="s">
        <v>2385</v>
      </c>
      <c r="BP568" s="1">
        <v>0.95</v>
      </c>
      <c r="BU568" s="1" t="s">
        <v>974</v>
      </c>
      <c r="BV568" s="1">
        <v>1.1</v>
      </c>
      <c r="BW568" s="1">
        <v>31.0</v>
      </c>
      <c r="BX568" s="1">
        <v>4351.066</v>
      </c>
      <c r="BY568" s="1">
        <v>7670.826</v>
      </c>
      <c r="BZ568" s="1">
        <v>10651.168</v>
      </c>
      <c r="CA568" s="1">
        <v>20103.254</v>
      </c>
      <c r="CB568" s="1">
        <v>281.0</v>
      </c>
      <c r="CC568" s="1">
        <v>0.638</v>
      </c>
      <c r="CD568" s="1">
        <v>835772.0</v>
      </c>
      <c r="CE568" s="1">
        <v>2850.0</v>
      </c>
      <c r="CF568" s="1">
        <v>179.0</v>
      </c>
      <c r="CG568" s="1">
        <v>2706848.0</v>
      </c>
      <c r="CH568" s="1">
        <v>29285.0</v>
      </c>
      <c r="CI568" s="1">
        <v>2.0</v>
      </c>
      <c r="CJ568" s="1">
        <v>214427.0</v>
      </c>
      <c r="CK568" s="1">
        <v>31.0</v>
      </c>
      <c r="CL568" s="1">
        <v>112946.0</v>
      </c>
      <c r="CM568" s="1">
        <v>39.0</v>
      </c>
      <c r="CN568" s="1">
        <v>1945048.0</v>
      </c>
      <c r="CO568" s="1">
        <v>70.0</v>
      </c>
      <c r="CP568" s="1">
        <v>375579.0</v>
      </c>
      <c r="CQ568" s="1">
        <v>8.0</v>
      </c>
      <c r="CR568" s="1">
        <v>0.0</v>
      </c>
      <c r="CS568" s="1">
        <v>0.0</v>
      </c>
      <c r="CT568" s="1">
        <v>29563.0</v>
      </c>
      <c r="CU568" s="1">
        <v>29.0</v>
      </c>
      <c r="CV568" s="1">
        <v>1858023.0</v>
      </c>
      <c r="CW568" s="1">
        <v>75.0</v>
      </c>
      <c r="DC568" s="1">
        <v>150.0</v>
      </c>
      <c r="DD568" s="1">
        <v>5075.0</v>
      </c>
      <c r="DE568" s="1">
        <v>0.0</v>
      </c>
      <c r="DF568" s="1">
        <v>3396.0</v>
      </c>
      <c r="DG568" s="1">
        <v>450.0</v>
      </c>
      <c r="DH568" s="1">
        <v>50614.0</v>
      </c>
      <c r="DI568" s="1">
        <v>2250.0</v>
      </c>
      <c r="DJ568" s="1">
        <v>776687.0</v>
      </c>
      <c r="DK568" s="1">
        <v>1686.74</v>
      </c>
      <c r="DL568" s="1" t="s">
        <v>975</v>
      </c>
      <c r="DM568" s="1">
        <v>2824.529</v>
      </c>
      <c r="DN568" s="1" t="s">
        <v>975</v>
      </c>
      <c r="DO568" s="1">
        <v>2706766.0</v>
      </c>
      <c r="DP568" s="1">
        <v>1.0</v>
      </c>
      <c r="DQ568" s="1" t="s">
        <v>976</v>
      </c>
      <c r="DR568" s="1" t="s">
        <v>1014</v>
      </c>
      <c r="DS568" s="1" t="s">
        <v>978</v>
      </c>
      <c r="DT568" s="1" t="s">
        <v>979</v>
      </c>
      <c r="DU568" s="1" t="s">
        <v>980</v>
      </c>
      <c r="DV568" s="1">
        <v>17926.0</v>
      </c>
      <c r="DX568" s="1">
        <v>3795.0</v>
      </c>
      <c r="DY568" s="1">
        <v>839636.0</v>
      </c>
      <c r="DZ568" s="1" t="s">
        <v>2386</v>
      </c>
      <c r="EA568" s="1">
        <v>768.0</v>
      </c>
      <c r="EB568" s="1">
        <v>41863.0</v>
      </c>
      <c r="EC568" s="1">
        <v>2.0</v>
      </c>
      <c r="ED568" s="1">
        <v>26492.0</v>
      </c>
      <c r="EF568" s="1">
        <v>230.0</v>
      </c>
      <c r="EG568" s="1" t="s">
        <v>1032</v>
      </c>
      <c r="EH568" s="1">
        <v>100.0</v>
      </c>
      <c r="EK568" s="1">
        <v>100.0</v>
      </c>
      <c r="EQ568" s="9" t="s">
        <v>2382</v>
      </c>
      <c r="ER568" s="21">
        <v>46045.298784722225</v>
      </c>
    </row>
    <row r="569">
      <c r="A569" s="9" t="s">
        <v>2387</v>
      </c>
      <c r="B569" s="20" t="str">
        <f>IFERROR(__xludf.DUMMYFUNCTION("REGEXREPLACE(A569, ""^https?://[^/]+"", """")"),"/category/sales-consulting/")</f>
        <v>/category/sales-consulting/</v>
      </c>
      <c r="C569" s="1" t="s">
        <v>2388</v>
      </c>
      <c r="F569" s="1" t="s">
        <v>965</v>
      </c>
      <c r="G569" s="1">
        <v>200.0</v>
      </c>
      <c r="H569" s="1" t="s">
        <v>966</v>
      </c>
      <c r="I569" s="1" t="s">
        <v>967</v>
      </c>
      <c r="K569" s="1" t="s">
        <v>2389</v>
      </c>
      <c r="L569" s="1">
        <v>45.0</v>
      </c>
      <c r="M569" s="1">
        <v>402.0</v>
      </c>
      <c r="O569" s="1">
        <v>0.0</v>
      </c>
      <c r="P569" s="1">
        <v>0.0</v>
      </c>
      <c r="Q569" s="1" t="s">
        <v>2390</v>
      </c>
      <c r="R569" s="1">
        <v>139.0</v>
      </c>
      <c r="S569" s="1">
        <v>855.0</v>
      </c>
      <c r="U569" s="1">
        <v>0.0</v>
      </c>
      <c r="V569" s="1" t="s">
        <v>2388</v>
      </c>
      <c r="W569" s="1">
        <v>26.0</v>
      </c>
      <c r="Y569" s="1">
        <v>0.0</v>
      </c>
      <c r="AA569" s="1">
        <v>0.0</v>
      </c>
      <c r="AC569" s="1">
        <v>0.0</v>
      </c>
      <c r="AD569" s="1" t="s">
        <v>971</v>
      </c>
      <c r="AG569" s="9" t="s">
        <v>2387</v>
      </c>
      <c r="AH569" s="9" t="s">
        <v>2391</v>
      </c>
      <c r="AM569" s="1">
        <v>169743.0</v>
      </c>
      <c r="AN569" s="1">
        <v>31326.0</v>
      </c>
      <c r="AO569" s="1">
        <v>31326.0</v>
      </c>
      <c r="AP569" s="1">
        <v>12.0</v>
      </c>
      <c r="AR569" s="1">
        <v>620.0</v>
      </c>
      <c r="AS569" s="1">
        <v>109.0</v>
      </c>
      <c r="AT569" s="1">
        <v>5.688</v>
      </c>
      <c r="AU569" s="1">
        <v>57.378</v>
      </c>
      <c r="AV569" s="1" t="s">
        <v>972</v>
      </c>
      <c r="AW569" s="1">
        <v>3.756</v>
      </c>
      <c r="AX569" s="1">
        <v>2.0</v>
      </c>
      <c r="AY569" s="1">
        <v>2.0</v>
      </c>
      <c r="AZ569" s="1">
        <v>2.0</v>
      </c>
      <c r="BA569" s="1">
        <v>6.0</v>
      </c>
      <c r="BB569" s="1">
        <v>5.0</v>
      </c>
      <c r="BC569" s="1">
        <v>0.0</v>
      </c>
      <c r="BD569" s="1">
        <v>0.66</v>
      </c>
      <c r="BE569" s="1">
        <v>151.0</v>
      </c>
      <c r="BF569" s="1">
        <v>58.0</v>
      </c>
      <c r="BG569" s="1">
        <v>0.0</v>
      </c>
      <c r="BH569" s="1">
        <v>16.0</v>
      </c>
      <c r="BI569" s="1">
        <v>8.0</v>
      </c>
      <c r="BJ569" s="1">
        <v>0.0</v>
      </c>
      <c r="BO569" s="1" t="s">
        <v>2392</v>
      </c>
      <c r="BP569" s="1">
        <v>1.493</v>
      </c>
      <c r="BU569" s="1" t="s">
        <v>974</v>
      </c>
      <c r="BV569" s="1">
        <v>1.1</v>
      </c>
      <c r="BW569" s="1">
        <v>50.0</v>
      </c>
      <c r="BX569" s="1">
        <v>3601.029</v>
      </c>
      <c r="BY569" s="1">
        <v>6730.783</v>
      </c>
      <c r="BZ569" s="1">
        <v>5926.049</v>
      </c>
      <c r="CA569" s="1">
        <v>18249.021</v>
      </c>
      <c r="CB569" s="1">
        <v>588.5</v>
      </c>
      <c r="CC569" s="1">
        <v>0.033</v>
      </c>
      <c r="CD569" s="1">
        <v>651354.0</v>
      </c>
      <c r="CE569" s="1">
        <v>750.0</v>
      </c>
      <c r="CF569" s="1">
        <v>170.0</v>
      </c>
      <c r="CG569" s="1">
        <v>2356640.0</v>
      </c>
      <c r="CH569" s="1">
        <v>32337.0</v>
      </c>
      <c r="CI569" s="1">
        <v>2.0</v>
      </c>
      <c r="CJ569" s="1">
        <v>124118.0</v>
      </c>
      <c r="CK569" s="1">
        <v>24.0</v>
      </c>
      <c r="CL569" s="1">
        <v>116982.0</v>
      </c>
      <c r="CM569" s="1">
        <v>39.0</v>
      </c>
      <c r="CN569" s="1">
        <v>1750940.0</v>
      </c>
      <c r="CO569" s="1">
        <v>69.0</v>
      </c>
      <c r="CP569" s="1">
        <v>306670.0</v>
      </c>
      <c r="CQ569" s="1">
        <v>7.0</v>
      </c>
      <c r="CR569" s="1">
        <v>0.0</v>
      </c>
      <c r="CS569" s="1">
        <v>0.0</v>
      </c>
      <c r="CT569" s="1">
        <v>25593.0</v>
      </c>
      <c r="CU569" s="1">
        <v>29.0</v>
      </c>
      <c r="CV569" s="1">
        <v>1526087.0</v>
      </c>
      <c r="CW569" s="1">
        <v>67.0</v>
      </c>
      <c r="DC569" s="1">
        <v>0.0</v>
      </c>
      <c r="DD569" s="1">
        <v>5075.0</v>
      </c>
      <c r="DE569" s="1">
        <v>0.0</v>
      </c>
      <c r="DF569" s="1">
        <v>3396.0</v>
      </c>
      <c r="DG569" s="1">
        <v>300.0</v>
      </c>
      <c r="DH569" s="1">
        <v>50603.0</v>
      </c>
      <c r="DI569" s="1">
        <v>450.0</v>
      </c>
      <c r="DJ569" s="1">
        <v>592280.0</v>
      </c>
      <c r="DK569" s="1">
        <v>2021.624</v>
      </c>
      <c r="DL569" s="1" t="s">
        <v>975</v>
      </c>
      <c r="DM569" s="1">
        <v>3505.883</v>
      </c>
      <c r="DN569" s="1" t="s">
        <v>975</v>
      </c>
      <c r="DO569" s="1">
        <v>2356234.0</v>
      </c>
      <c r="DP569" s="1">
        <v>1.0</v>
      </c>
      <c r="DQ569" s="1" t="s">
        <v>976</v>
      </c>
      <c r="DR569" s="1" t="s">
        <v>1464</v>
      </c>
      <c r="DS569" s="1" t="s">
        <v>978</v>
      </c>
      <c r="DT569" s="1" t="s">
        <v>979</v>
      </c>
      <c r="DU569" s="1" t="s">
        <v>980</v>
      </c>
      <c r="DV569" s="1">
        <v>12942.0</v>
      </c>
      <c r="DX569" s="1">
        <v>4029.0</v>
      </c>
      <c r="DY569" s="1">
        <v>642623.0</v>
      </c>
      <c r="DZ569" s="1" t="s">
        <v>981</v>
      </c>
      <c r="EA569" s="1">
        <v>872.0</v>
      </c>
      <c r="EB569" s="1">
        <v>13545.0</v>
      </c>
      <c r="EC569" s="1">
        <v>1.0</v>
      </c>
      <c r="ED569" s="1">
        <v>26492.0</v>
      </c>
      <c r="EF569" s="1">
        <v>225.0</v>
      </c>
      <c r="EG569" s="1" t="s">
        <v>982</v>
      </c>
      <c r="EH569" s="1">
        <v>100.0</v>
      </c>
      <c r="EK569" s="1">
        <v>100.0</v>
      </c>
      <c r="EQ569" s="9" t="s">
        <v>2387</v>
      </c>
      <c r="ER569" s="21">
        <v>46045.298784722225</v>
      </c>
    </row>
    <row r="570">
      <c r="A570" s="9" t="s">
        <v>2393</v>
      </c>
      <c r="B570" s="20" t="str">
        <f>IFERROR(__xludf.DUMMYFUNCTION("REGEXREPLACE(A570, ""^https?://[^/]+"", """")"),"/news-events/sales-xceleration-welcomes-top-fractional-sales-leaders-to-drive-business-growth/")</f>
        <v>/news-events/sales-xceleration-welcomes-top-fractional-sales-leaders-to-drive-business-growth/</v>
      </c>
      <c r="C570" s="1" t="s">
        <v>2394</v>
      </c>
      <c r="D570" s="1" t="s">
        <v>1172</v>
      </c>
      <c r="F570" s="1" t="s">
        <v>965</v>
      </c>
      <c r="G570" s="1">
        <v>200.0</v>
      </c>
      <c r="H570" s="1" t="s">
        <v>966</v>
      </c>
      <c r="I570" s="1" t="s">
        <v>967</v>
      </c>
      <c r="K570" s="1" t="s">
        <v>2395</v>
      </c>
      <c r="L570" s="1">
        <v>100.0</v>
      </c>
      <c r="M570" s="1">
        <v>919.0</v>
      </c>
      <c r="O570" s="1">
        <v>0.0</v>
      </c>
      <c r="P570" s="1">
        <v>0.0</v>
      </c>
      <c r="Q570" s="1" t="s">
        <v>2396</v>
      </c>
      <c r="R570" s="1">
        <v>150.0</v>
      </c>
      <c r="S570" s="1">
        <v>954.0</v>
      </c>
      <c r="U570" s="1">
        <v>0.0</v>
      </c>
      <c r="V570" s="1" t="s">
        <v>2394</v>
      </c>
      <c r="W570" s="1">
        <v>80.0</v>
      </c>
      <c r="Y570" s="1">
        <v>0.0</v>
      </c>
      <c r="Z570" s="1" t="s">
        <v>1172</v>
      </c>
      <c r="AA570" s="1">
        <v>23.0</v>
      </c>
      <c r="AC570" s="1">
        <v>0.0</v>
      </c>
      <c r="AD570" s="1" t="s">
        <v>971</v>
      </c>
      <c r="AG570" s="9" t="s">
        <v>2393</v>
      </c>
      <c r="AM570" s="1">
        <v>180169.0</v>
      </c>
      <c r="AN570" s="1">
        <v>33751.0</v>
      </c>
      <c r="AO570" s="1">
        <v>33751.0</v>
      </c>
      <c r="AP570" s="1">
        <v>12.929</v>
      </c>
      <c r="AR570" s="1">
        <v>1115.0</v>
      </c>
      <c r="AS570" s="1">
        <v>176.0</v>
      </c>
      <c r="AT570" s="1">
        <v>6.335</v>
      </c>
      <c r="AU570" s="1">
        <v>50.173</v>
      </c>
      <c r="AV570" s="1" t="s">
        <v>972</v>
      </c>
      <c r="AW570" s="1">
        <v>5.424</v>
      </c>
      <c r="AX570" s="1">
        <v>2.0</v>
      </c>
      <c r="AY570" s="1">
        <v>2.0</v>
      </c>
      <c r="AZ570" s="1">
        <v>1.0</v>
      </c>
      <c r="BA570" s="1">
        <v>1.0</v>
      </c>
      <c r="BB570" s="1">
        <v>1.0</v>
      </c>
      <c r="BC570" s="1">
        <v>0.0</v>
      </c>
      <c r="BD570" s="1">
        <v>0.13</v>
      </c>
      <c r="BE570" s="1">
        <v>132.0</v>
      </c>
      <c r="BF570" s="1">
        <v>47.0</v>
      </c>
      <c r="BG570" s="1">
        <v>0.0</v>
      </c>
      <c r="BH570" s="1">
        <v>23.0</v>
      </c>
      <c r="BI570" s="1">
        <v>15.0</v>
      </c>
      <c r="BJ570" s="1">
        <v>0.0</v>
      </c>
      <c r="BO570" s="1" t="s">
        <v>2397</v>
      </c>
      <c r="BP570" s="1">
        <v>1.45</v>
      </c>
      <c r="BU570" s="1" t="s">
        <v>974</v>
      </c>
      <c r="BV570" s="1">
        <v>1.1</v>
      </c>
      <c r="BW570" s="1">
        <v>55.0</v>
      </c>
      <c r="BX570" s="1">
        <v>4201.04</v>
      </c>
      <c r="BY570" s="1">
        <v>7930.755</v>
      </c>
      <c r="BZ570" s="1">
        <v>9826.098</v>
      </c>
      <c r="CA570" s="1">
        <v>20071.623</v>
      </c>
      <c r="CB570" s="1">
        <v>243.5</v>
      </c>
      <c r="CC570" s="1">
        <v>0.0</v>
      </c>
      <c r="CD570" s="1">
        <v>687822.0</v>
      </c>
      <c r="CE570" s="1">
        <v>1050.0</v>
      </c>
      <c r="CF570" s="1">
        <v>169.0</v>
      </c>
      <c r="CG570" s="1">
        <v>2683561.0</v>
      </c>
      <c r="CH570" s="1">
        <v>34448.0</v>
      </c>
      <c r="CI570" s="1">
        <v>2.0</v>
      </c>
      <c r="CJ570" s="1">
        <v>66174.0</v>
      </c>
      <c r="CK570" s="1">
        <v>20.0</v>
      </c>
      <c r="CL570" s="1">
        <v>168806.0</v>
      </c>
      <c r="CM570" s="1">
        <v>41.0</v>
      </c>
      <c r="CN570" s="1">
        <v>1748080.0</v>
      </c>
      <c r="CO570" s="1">
        <v>68.0</v>
      </c>
      <c r="CP570" s="1">
        <v>640725.0</v>
      </c>
      <c r="CQ570" s="1">
        <v>10.0</v>
      </c>
      <c r="CR570" s="1">
        <v>0.0</v>
      </c>
      <c r="CS570" s="1">
        <v>0.0</v>
      </c>
      <c r="CT570" s="1">
        <v>25328.0</v>
      </c>
      <c r="CU570" s="1">
        <v>28.0</v>
      </c>
      <c r="CV570" s="1">
        <v>1832108.0</v>
      </c>
      <c r="CW570" s="1">
        <v>71.0</v>
      </c>
      <c r="DC570" s="1">
        <v>0.0</v>
      </c>
      <c r="DD570" s="1">
        <v>0.0</v>
      </c>
      <c r="DE570" s="1">
        <v>0.0</v>
      </c>
      <c r="DF570" s="1">
        <v>3396.0</v>
      </c>
      <c r="DG570" s="1">
        <v>300.0</v>
      </c>
      <c r="DH570" s="1">
        <v>91409.0</v>
      </c>
      <c r="DI570" s="1">
        <v>750.0</v>
      </c>
      <c r="DJ570" s="1">
        <v>593017.0</v>
      </c>
      <c r="DK570" s="1">
        <v>1459.277</v>
      </c>
      <c r="DL570" s="1" t="s">
        <v>975</v>
      </c>
      <c r="DM570" s="1">
        <v>2668.79</v>
      </c>
      <c r="DN570" s="1" t="s">
        <v>975</v>
      </c>
      <c r="DO570" s="1">
        <v>2683056.0</v>
      </c>
      <c r="DP570" s="1">
        <v>1.0</v>
      </c>
      <c r="DQ570" s="1" t="s">
        <v>976</v>
      </c>
      <c r="DR570" s="1" t="s">
        <v>1055</v>
      </c>
      <c r="DS570" s="1" t="s">
        <v>978</v>
      </c>
      <c r="DT570" s="1" t="s">
        <v>979</v>
      </c>
      <c r="DU570" s="1" t="s">
        <v>980</v>
      </c>
      <c r="DV570" s="1">
        <v>16996.0</v>
      </c>
      <c r="DX570" s="1">
        <v>4097.0</v>
      </c>
      <c r="DY570" s="1">
        <v>650130.0</v>
      </c>
      <c r="DZ570" s="1" t="s">
        <v>981</v>
      </c>
      <c r="EA570" s="1">
        <v>879.0</v>
      </c>
      <c r="EB570" s="1">
        <v>4453.0</v>
      </c>
      <c r="EC570" s="1">
        <v>1.0</v>
      </c>
      <c r="ED570" s="1">
        <v>26492.0</v>
      </c>
      <c r="EF570" s="1">
        <v>245.0</v>
      </c>
      <c r="EG570" s="1" t="s">
        <v>1032</v>
      </c>
      <c r="EH570" s="1">
        <v>100.0</v>
      </c>
      <c r="EK570" s="1">
        <v>100.0</v>
      </c>
      <c r="EQ570" s="9" t="s">
        <v>2393</v>
      </c>
      <c r="ER570" s="21">
        <v>46045.298796296294</v>
      </c>
    </row>
    <row r="571">
      <c r="A571" s="9" t="s">
        <v>2398</v>
      </c>
      <c r="B571" s="20" t="str">
        <f>IFERROR(__xludf.DUMMYFUNCTION("REGEXREPLACE(A571, ""^https?://[^/]+"", """")"),"/news-events/sales-xceleration-advisor-michael-wills-presents-florida-atlantic-university/")</f>
        <v>/news-events/sales-xceleration-advisor-michael-wills-presents-florida-atlantic-university/</v>
      </c>
      <c r="C571" s="1" t="s">
        <v>2399</v>
      </c>
      <c r="F571" s="1" t="s">
        <v>965</v>
      </c>
      <c r="G571" s="1">
        <v>200.0</v>
      </c>
      <c r="H571" s="1" t="s">
        <v>966</v>
      </c>
      <c r="I571" s="1" t="s">
        <v>967</v>
      </c>
      <c r="K571" s="1" t="s">
        <v>2400</v>
      </c>
      <c r="L571" s="1">
        <v>99.0</v>
      </c>
      <c r="M571" s="1">
        <v>863.0</v>
      </c>
      <c r="O571" s="1">
        <v>0.0</v>
      </c>
      <c r="P571" s="1">
        <v>0.0</v>
      </c>
      <c r="Q571" s="1" t="s">
        <v>2401</v>
      </c>
      <c r="R571" s="1">
        <v>291.0</v>
      </c>
      <c r="S571" s="1">
        <v>1770.0</v>
      </c>
      <c r="U571" s="1">
        <v>0.0</v>
      </c>
      <c r="V571" s="1" t="s">
        <v>2399</v>
      </c>
      <c r="W571" s="1">
        <v>79.0</v>
      </c>
      <c r="Y571" s="1">
        <v>0.0</v>
      </c>
      <c r="AA571" s="1">
        <v>0.0</v>
      </c>
      <c r="AC571" s="1">
        <v>0.0</v>
      </c>
      <c r="AD571" s="1" t="s">
        <v>971</v>
      </c>
      <c r="AG571" s="9" t="s">
        <v>2398</v>
      </c>
      <c r="AM571" s="1">
        <v>172777.0</v>
      </c>
      <c r="AN571" s="1">
        <v>31728.0</v>
      </c>
      <c r="AO571" s="1">
        <v>31728.0</v>
      </c>
      <c r="AP571" s="1">
        <v>12.154</v>
      </c>
      <c r="AR571" s="1">
        <v>658.0</v>
      </c>
      <c r="AS571" s="1">
        <v>109.0</v>
      </c>
      <c r="AT571" s="1">
        <v>6.037</v>
      </c>
      <c r="AU571" s="1">
        <v>57.608</v>
      </c>
      <c r="AV571" s="1" t="s">
        <v>972</v>
      </c>
      <c r="AW571" s="1">
        <v>3.756</v>
      </c>
      <c r="AX571" s="1">
        <v>2.0</v>
      </c>
      <c r="AY571" s="1">
        <v>2.0</v>
      </c>
      <c r="AZ571" s="1">
        <v>1.0</v>
      </c>
      <c r="BA571" s="1">
        <v>1.0</v>
      </c>
      <c r="BB571" s="1">
        <v>1.0</v>
      </c>
      <c r="BC571" s="1">
        <v>0.0</v>
      </c>
      <c r="BD571" s="1">
        <v>0.13</v>
      </c>
      <c r="BE571" s="1">
        <v>127.0</v>
      </c>
      <c r="BF571" s="1">
        <v>45.0</v>
      </c>
      <c r="BG571" s="1">
        <v>0.0</v>
      </c>
      <c r="BH571" s="1">
        <v>16.0</v>
      </c>
      <c r="BI571" s="1">
        <v>8.0</v>
      </c>
      <c r="BJ571" s="1">
        <v>0.0</v>
      </c>
      <c r="BO571" s="1" t="s">
        <v>2402</v>
      </c>
      <c r="BP571" s="1">
        <v>0.992</v>
      </c>
      <c r="BU571" s="1" t="s">
        <v>974</v>
      </c>
      <c r="BV571" s="1">
        <v>1.1</v>
      </c>
      <c r="BW571" s="1">
        <v>48.0</v>
      </c>
      <c r="BX571" s="1">
        <v>3451.034</v>
      </c>
      <c r="BY571" s="1">
        <v>7282.042</v>
      </c>
      <c r="BZ571" s="1">
        <v>11401.121</v>
      </c>
      <c r="CA571" s="1">
        <v>20003.822</v>
      </c>
      <c r="CB571" s="1">
        <v>532.5</v>
      </c>
      <c r="CC571" s="1">
        <v>0.029</v>
      </c>
      <c r="CD571" s="1">
        <v>708893.0</v>
      </c>
      <c r="CE571" s="1">
        <v>1650.0</v>
      </c>
      <c r="CF571" s="1">
        <v>184.0</v>
      </c>
      <c r="CG571" s="1">
        <v>2751361.0</v>
      </c>
      <c r="CH571" s="1">
        <v>32352.0</v>
      </c>
      <c r="CI571" s="1">
        <v>2.0</v>
      </c>
      <c r="CJ571" s="1">
        <v>128558.0</v>
      </c>
      <c r="CK571" s="1">
        <v>34.0</v>
      </c>
      <c r="CL571" s="1">
        <v>176269.0</v>
      </c>
      <c r="CM571" s="1">
        <v>41.0</v>
      </c>
      <c r="CN571" s="1">
        <v>1747912.0</v>
      </c>
      <c r="CO571" s="1">
        <v>68.0</v>
      </c>
      <c r="CP571" s="1">
        <v>640713.0</v>
      </c>
      <c r="CQ571" s="1">
        <v>10.0</v>
      </c>
      <c r="CR571" s="1">
        <v>0.0</v>
      </c>
      <c r="CS571" s="1">
        <v>0.0</v>
      </c>
      <c r="CT571" s="1">
        <v>25557.0</v>
      </c>
      <c r="CU571" s="1">
        <v>29.0</v>
      </c>
      <c r="CV571" s="1">
        <v>1834447.0</v>
      </c>
      <c r="CW571" s="1">
        <v>79.0</v>
      </c>
      <c r="DC571" s="1">
        <v>0.0</v>
      </c>
      <c r="DD571" s="1">
        <v>5075.0</v>
      </c>
      <c r="DE571" s="1">
        <v>0.0</v>
      </c>
      <c r="DF571" s="1">
        <v>3396.0</v>
      </c>
      <c r="DG571" s="1">
        <v>600.0</v>
      </c>
      <c r="DH571" s="1">
        <v>108320.0</v>
      </c>
      <c r="DI571" s="1">
        <v>1050.0</v>
      </c>
      <c r="DJ571" s="1">
        <v>592102.0</v>
      </c>
      <c r="DK571" s="1">
        <v>2035.735</v>
      </c>
      <c r="DL571" s="1" t="s">
        <v>975</v>
      </c>
      <c r="DM571" s="1">
        <v>3699.827</v>
      </c>
      <c r="DN571" s="1" t="s">
        <v>975</v>
      </c>
      <c r="DO571" s="1">
        <v>2750856.0</v>
      </c>
      <c r="DP571" s="1">
        <v>1.0</v>
      </c>
      <c r="DQ571" s="1" t="s">
        <v>976</v>
      </c>
      <c r="DR571" s="1" t="s">
        <v>1151</v>
      </c>
      <c r="DS571" s="1" t="s">
        <v>978</v>
      </c>
      <c r="DT571" s="1" t="s">
        <v>979</v>
      </c>
      <c r="DU571" s="1" t="s">
        <v>980</v>
      </c>
      <c r="DV571" s="1">
        <v>16694.0</v>
      </c>
      <c r="DX571" s="1">
        <v>3762.0</v>
      </c>
      <c r="DY571" s="1">
        <v>678590.0</v>
      </c>
      <c r="DZ571" s="1" t="s">
        <v>1116</v>
      </c>
      <c r="EA571" s="1">
        <v>820.0</v>
      </c>
      <c r="EB571" s="1">
        <v>31882.0</v>
      </c>
      <c r="EC571" s="1">
        <v>6.0</v>
      </c>
      <c r="ED571" s="1">
        <v>26492.0</v>
      </c>
      <c r="EF571" s="1">
        <v>355.0</v>
      </c>
      <c r="EG571" s="1" t="s">
        <v>1032</v>
      </c>
      <c r="EH571" s="1">
        <v>100.0</v>
      </c>
      <c r="EK571" s="1">
        <v>100.0</v>
      </c>
      <c r="EQ571" s="9" t="s">
        <v>2398</v>
      </c>
      <c r="ER571" s="21">
        <v>46045.298796296294</v>
      </c>
    </row>
    <row r="572">
      <c r="A572" s="9" t="s">
        <v>2403</v>
      </c>
      <c r="B572" s="20" t="str">
        <f>IFERROR(__xludf.DUMMYFUNCTION("REGEXREPLACE(A572, ""^https?://[^/]+"", """")"),"/news-events/raising-bar-higher-sales-xceleration-2018-annual-conference-recap/")</f>
        <v>/news-events/raising-bar-higher-sales-xceleration-2018-annual-conference-recap/</v>
      </c>
      <c r="C572" s="1" t="s">
        <v>2404</v>
      </c>
      <c r="F572" s="1" t="s">
        <v>965</v>
      </c>
      <c r="G572" s="1">
        <v>200.0</v>
      </c>
      <c r="H572" s="1" t="s">
        <v>966</v>
      </c>
      <c r="I572" s="1" t="s">
        <v>967</v>
      </c>
      <c r="K572" s="1" t="s">
        <v>2405</v>
      </c>
      <c r="L572" s="1">
        <v>92.0</v>
      </c>
      <c r="M572" s="1">
        <v>837.0</v>
      </c>
      <c r="O572" s="1">
        <v>0.0</v>
      </c>
      <c r="P572" s="1">
        <v>0.0</v>
      </c>
      <c r="Q572" s="1" t="s">
        <v>2406</v>
      </c>
      <c r="R572" s="1">
        <v>157.0</v>
      </c>
      <c r="S572" s="1">
        <v>949.0</v>
      </c>
      <c r="U572" s="1">
        <v>0.0</v>
      </c>
      <c r="V572" s="1" t="s">
        <v>2404</v>
      </c>
      <c r="W572" s="1">
        <v>72.0</v>
      </c>
      <c r="Y572" s="1">
        <v>0.0</v>
      </c>
      <c r="AA572" s="1">
        <v>0.0</v>
      </c>
      <c r="AC572" s="1">
        <v>0.0</v>
      </c>
      <c r="AD572" s="1" t="s">
        <v>971</v>
      </c>
      <c r="AG572" s="9" t="s">
        <v>2403</v>
      </c>
      <c r="AM572" s="1">
        <v>176457.0</v>
      </c>
      <c r="AN572" s="1">
        <v>33202.0</v>
      </c>
      <c r="AO572" s="1">
        <v>33202.0</v>
      </c>
      <c r="AP572" s="1">
        <v>12.719</v>
      </c>
      <c r="AR572" s="1">
        <v>1114.0</v>
      </c>
      <c r="AS572" s="1">
        <v>161.0</v>
      </c>
      <c r="AT572" s="1">
        <v>6.919</v>
      </c>
      <c r="AU572" s="1">
        <v>59.774</v>
      </c>
      <c r="AV572" s="1" t="s">
        <v>972</v>
      </c>
      <c r="AW572" s="1">
        <v>5.342</v>
      </c>
      <c r="AX572" s="1">
        <v>2.0</v>
      </c>
      <c r="AY572" s="1">
        <v>2.0</v>
      </c>
      <c r="AZ572" s="1">
        <v>1.0</v>
      </c>
      <c r="BA572" s="1">
        <v>1.0</v>
      </c>
      <c r="BB572" s="1">
        <v>1.0</v>
      </c>
      <c r="BC572" s="1">
        <v>0.0</v>
      </c>
      <c r="BD572" s="1">
        <v>0.13</v>
      </c>
      <c r="BE572" s="1">
        <v>135.0</v>
      </c>
      <c r="BF572" s="1">
        <v>50.0</v>
      </c>
      <c r="BG572" s="1">
        <v>0.0</v>
      </c>
      <c r="BH572" s="1">
        <v>18.0</v>
      </c>
      <c r="BI572" s="1">
        <v>10.0</v>
      </c>
      <c r="BJ572" s="1">
        <v>0.0</v>
      </c>
      <c r="BO572" s="1" t="s">
        <v>2407</v>
      </c>
      <c r="BP572" s="1">
        <v>1.41</v>
      </c>
      <c r="BU572" s="1" t="s">
        <v>974</v>
      </c>
      <c r="BV572" s="1">
        <v>1.1</v>
      </c>
      <c r="BW572" s="1">
        <v>47.0</v>
      </c>
      <c r="BX572" s="1">
        <v>4201.036</v>
      </c>
      <c r="BY572" s="1">
        <v>7153.641</v>
      </c>
      <c r="BZ572" s="1">
        <v>9301.083</v>
      </c>
      <c r="CA572" s="1">
        <v>19640.377</v>
      </c>
      <c r="CB572" s="1">
        <v>538.0</v>
      </c>
      <c r="CC572" s="1">
        <v>0.01</v>
      </c>
      <c r="CD572" s="1">
        <v>710218.0</v>
      </c>
      <c r="CE572" s="1">
        <v>1650.0</v>
      </c>
      <c r="CF572" s="1">
        <v>172.0</v>
      </c>
      <c r="CG572" s="1">
        <v>2785095.0</v>
      </c>
      <c r="CH572" s="1">
        <v>34060.0</v>
      </c>
      <c r="CI572" s="1">
        <v>2.0</v>
      </c>
      <c r="CJ572" s="1">
        <v>66174.0</v>
      </c>
      <c r="CK572" s="1">
        <v>20.0</v>
      </c>
      <c r="CL572" s="1">
        <v>175403.0</v>
      </c>
      <c r="CM572" s="1">
        <v>41.0</v>
      </c>
      <c r="CN572" s="1">
        <v>1748020.0</v>
      </c>
      <c r="CO572" s="1">
        <v>68.0</v>
      </c>
      <c r="CP572" s="1">
        <v>735899.0</v>
      </c>
      <c r="CQ572" s="1">
        <v>12.0</v>
      </c>
      <c r="CR572" s="1">
        <v>0.0</v>
      </c>
      <c r="CS572" s="1">
        <v>0.0</v>
      </c>
      <c r="CT572" s="1">
        <v>25539.0</v>
      </c>
      <c r="CU572" s="1">
        <v>29.0</v>
      </c>
      <c r="CV572" s="1">
        <v>1879984.0</v>
      </c>
      <c r="CW572" s="1">
        <v>73.0</v>
      </c>
      <c r="DC572" s="1">
        <v>0.0</v>
      </c>
      <c r="DD572" s="1">
        <v>5075.0</v>
      </c>
      <c r="DE572" s="1">
        <v>0.0</v>
      </c>
      <c r="DF572" s="1">
        <v>3401.0</v>
      </c>
      <c r="DG572" s="1">
        <v>600.0</v>
      </c>
      <c r="DH572" s="1">
        <v>108321.0</v>
      </c>
      <c r="DI572" s="1">
        <v>1050.0</v>
      </c>
      <c r="DJ572" s="1">
        <v>593421.0</v>
      </c>
      <c r="DK572" s="1">
        <v>1820.514</v>
      </c>
      <c r="DL572" s="1" t="s">
        <v>975</v>
      </c>
      <c r="DM572" s="1">
        <v>3260.345</v>
      </c>
      <c r="DN572" s="1" t="s">
        <v>975</v>
      </c>
      <c r="DO572" s="1">
        <v>2784590.0</v>
      </c>
      <c r="DP572" s="1">
        <v>1.0</v>
      </c>
      <c r="DQ572" s="1" t="s">
        <v>976</v>
      </c>
      <c r="DR572" s="1" t="s">
        <v>1170</v>
      </c>
      <c r="DS572" s="1" t="s">
        <v>978</v>
      </c>
      <c r="DT572" s="1" t="s">
        <v>979</v>
      </c>
      <c r="DU572" s="1" t="s">
        <v>980</v>
      </c>
      <c r="DV572" s="1">
        <v>17173.0</v>
      </c>
      <c r="DX572" s="1">
        <v>3920.0</v>
      </c>
      <c r="DY572" s="1">
        <v>671769.0</v>
      </c>
      <c r="DZ572" s="1" t="s">
        <v>994</v>
      </c>
      <c r="EA572" s="1">
        <v>841.0</v>
      </c>
      <c r="EB572" s="1">
        <v>4453.0</v>
      </c>
      <c r="EC572" s="1">
        <v>33.0</v>
      </c>
      <c r="ED572" s="1">
        <v>26492.0</v>
      </c>
      <c r="EF572" s="1">
        <v>240.0</v>
      </c>
      <c r="EG572" s="1" t="s">
        <v>1032</v>
      </c>
      <c r="EH572" s="1">
        <v>100.0</v>
      </c>
      <c r="EK572" s="1">
        <v>100.0</v>
      </c>
      <c r="EQ572" s="9" t="s">
        <v>2403</v>
      </c>
      <c r="ER572" s="21">
        <v>46045.298796296294</v>
      </c>
    </row>
    <row r="573">
      <c r="A573" s="9" t="s">
        <v>2408</v>
      </c>
      <c r="B573" s="20" t="str">
        <f>IFERROR(__xludf.DUMMYFUNCTION("REGEXREPLACE(A573, ""^https?://[^/]+"", """")"),"/news-events/sales-xceleration-welcomes-fractional-sales-leaders-across-key-markets/")</f>
        <v>/news-events/sales-xceleration-welcomes-fractional-sales-leaders-across-key-markets/</v>
      </c>
      <c r="C573" s="1" t="s">
        <v>2409</v>
      </c>
      <c r="F573" s="1" t="s">
        <v>965</v>
      </c>
      <c r="G573" s="1">
        <v>200.0</v>
      </c>
      <c r="H573" s="1" t="s">
        <v>966</v>
      </c>
      <c r="I573" s="1" t="s">
        <v>967</v>
      </c>
      <c r="K573" s="1" t="s">
        <v>2410</v>
      </c>
      <c r="L573" s="1">
        <v>90.0</v>
      </c>
      <c r="M573" s="1">
        <v>833.0</v>
      </c>
      <c r="O573" s="1">
        <v>0.0</v>
      </c>
      <c r="P573" s="1">
        <v>0.0</v>
      </c>
      <c r="Q573" s="1" t="s">
        <v>2411</v>
      </c>
      <c r="R573" s="1">
        <v>157.0</v>
      </c>
      <c r="S573" s="1">
        <v>977.0</v>
      </c>
      <c r="U573" s="1">
        <v>0.0</v>
      </c>
      <c r="V573" s="1" t="s">
        <v>2409</v>
      </c>
      <c r="W573" s="1">
        <v>70.0</v>
      </c>
      <c r="Y573" s="1">
        <v>0.0</v>
      </c>
      <c r="AA573" s="1">
        <v>0.0</v>
      </c>
      <c r="AC573" s="1">
        <v>0.0</v>
      </c>
      <c r="AD573" s="1" t="s">
        <v>971</v>
      </c>
      <c r="AG573" s="9" t="s">
        <v>2408</v>
      </c>
      <c r="AM573" s="1">
        <v>178205.0</v>
      </c>
      <c r="AN573" s="1">
        <v>33244.0</v>
      </c>
      <c r="AO573" s="1">
        <v>33244.0</v>
      </c>
      <c r="AP573" s="1">
        <v>12.735</v>
      </c>
      <c r="AR573" s="1">
        <v>1022.0</v>
      </c>
      <c r="AS573" s="1">
        <v>166.0</v>
      </c>
      <c r="AT573" s="1">
        <v>6.157</v>
      </c>
      <c r="AU573" s="1">
        <v>53.074</v>
      </c>
      <c r="AV573" s="1" t="s">
        <v>972</v>
      </c>
      <c r="AW573" s="1">
        <v>5.147</v>
      </c>
      <c r="AX573" s="1">
        <v>2.0</v>
      </c>
      <c r="AY573" s="1">
        <v>2.0</v>
      </c>
      <c r="AZ573" s="1">
        <v>1.0</v>
      </c>
      <c r="BA573" s="1">
        <v>1.0</v>
      </c>
      <c r="BB573" s="1">
        <v>1.0</v>
      </c>
      <c r="BC573" s="1">
        <v>0.0</v>
      </c>
      <c r="BD573" s="1">
        <v>0.13</v>
      </c>
      <c r="BE573" s="1">
        <v>127.0</v>
      </c>
      <c r="BF573" s="1">
        <v>44.0</v>
      </c>
      <c r="BG573" s="1">
        <v>0.0</v>
      </c>
      <c r="BH573" s="1">
        <v>22.0</v>
      </c>
      <c r="BI573" s="1">
        <v>14.0</v>
      </c>
      <c r="BJ573" s="1">
        <v>0.0</v>
      </c>
      <c r="BO573" s="1" t="s">
        <v>2412</v>
      </c>
      <c r="BP573" s="1">
        <v>1.414</v>
      </c>
      <c r="BU573" s="1" t="s">
        <v>974</v>
      </c>
      <c r="BV573" s="1">
        <v>1.1</v>
      </c>
      <c r="BW573" s="1">
        <v>44.0</v>
      </c>
      <c r="BX573" s="1">
        <v>4501.039</v>
      </c>
      <c r="BY573" s="1">
        <v>8074.655</v>
      </c>
      <c r="BZ573" s="1">
        <v>9001.08</v>
      </c>
      <c r="CA573" s="1">
        <v>20313.309</v>
      </c>
      <c r="CB573" s="1">
        <v>604.5</v>
      </c>
      <c r="CC573" s="1">
        <v>0.003</v>
      </c>
      <c r="CD573" s="1">
        <v>710474.0</v>
      </c>
      <c r="CE573" s="1">
        <v>1500.0</v>
      </c>
      <c r="CF573" s="1">
        <v>171.0</v>
      </c>
      <c r="CG573" s="1">
        <v>2734500.0</v>
      </c>
      <c r="CH573" s="1">
        <v>34027.0</v>
      </c>
      <c r="CI573" s="1">
        <v>2.0</v>
      </c>
      <c r="CJ573" s="1">
        <v>66180.0</v>
      </c>
      <c r="CK573" s="1">
        <v>20.0</v>
      </c>
      <c r="CL573" s="1">
        <v>176283.0</v>
      </c>
      <c r="CM573" s="1">
        <v>41.0</v>
      </c>
      <c r="CN573" s="1">
        <v>1747982.0</v>
      </c>
      <c r="CO573" s="1">
        <v>68.0</v>
      </c>
      <c r="CP573" s="1">
        <v>684505.0</v>
      </c>
      <c r="CQ573" s="1">
        <v>11.0</v>
      </c>
      <c r="CR573" s="1">
        <v>0.0</v>
      </c>
      <c r="CS573" s="1">
        <v>0.0</v>
      </c>
      <c r="CT573" s="1">
        <v>25523.0</v>
      </c>
      <c r="CU573" s="1">
        <v>29.0</v>
      </c>
      <c r="CV573" s="1">
        <v>1876900.0</v>
      </c>
      <c r="CW573" s="1">
        <v>73.0</v>
      </c>
      <c r="DC573" s="1">
        <v>0.0</v>
      </c>
      <c r="DD573" s="1">
        <v>5075.0</v>
      </c>
      <c r="DE573" s="1">
        <v>0.0</v>
      </c>
      <c r="DF573" s="1">
        <v>3396.0</v>
      </c>
      <c r="DG573" s="1">
        <v>450.0</v>
      </c>
      <c r="DH573" s="1">
        <v>108261.0</v>
      </c>
      <c r="DI573" s="1">
        <v>1050.0</v>
      </c>
      <c r="DJ573" s="1">
        <v>593742.0</v>
      </c>
      <c r="DK573" s="1">
        <v>2074.01</v>
      </c>
      <c r="DL573" s="1" t="s">
        <v>975</v>
      </c>
      <c r="DM573" s="1">
        <v>4151.832</v>
      </c>
      <c r="DN573" s="1" t="s">
        <v>975</v>
      </c>
      <c r="DO573" s="1">
        <v>2733995.0</v>
      </c>
      <c r="DP573" s="1">
        <v>1.0</v>
      </c>
      <c r="DQ573" s="1" t="s">
        <v>976</v>
      </c>
      <c r="DR573" s="1" t="s">
        <v>1464</v>
      </c>
      <c r="DS573" s="1" t="s">
        <v>978</v>
      </c>
      <c r="DT573" s="1" t="s">
        <v>979</v>
      </c>
      <c r="DU573" s="1" t="s">
        <v>980</v>
      </c>
      <c r="DV573" s="1">
        <v>18444.0</v>
      </c>
      <c r="DX573" s="1">
        <v>4729.0</v>
      </c>
      <c r="DY573" s="1">
        <v>652768.0</v>
      </c>
      <c r="DZ573" s="1" t="s">
        <v>981</v>
      </c>
      <c r="EA573" s="1">
        <v>859.0</v>
      </c>
      <c r="EB573" s="1">
        <v>4453.0</v>
      </c>
      <c r="EC573" s="1">
        <v>140.0</v>
      </c>
      <c r="ED573" s="1">
        <v>26492.0</v>
      </c>
      <c r="EF573" s="1">
        <v>230.0</v>
      </c>
      <c r="EG573" s="1" t="s">
        <v>1032</v>
      </c>
      <c r="EH573" s="1">
        <v>100.0</v>
      </c>
      <c r="EK573" s="1">
        <v>100.0</v>
      </c>
      <c r="EQ573" s="9" t="s">
        <v>2408</v>
      </c>
      <c r="ER573" s="21">
        <v>46045.298796296294</v>
      </c>
    </row>
    <row r="574">
      <c r="A574" s="9" t="s">
        <v>2413</v>
      </c>
      <c r="B574" s="20" t="str">
        <f>IFERROR(__xludf.DUMMYFUNCTION("REGEXREPLACE(A574, ""^https?://[^/]+"", """")"),"/news-events/sales-xceleration-achieves-4th-year-on-inc-5000-list-of-fastest-growing-companies/")</f>
        <v>/news-events/sales-xceleration-achieves-4th-year-on-inc-5000-list-of-fastest-growing-companies/</v>
      </c>
      <c r="C574" s="1" t="s">
        <v>2414</v>
      </c>
      <c r="F574" s="1" t="s">
        <v>965</v>
      </c>
      <c r="G574" s="1">
        <v>200.0</v>
      </c>
      <c r="H574" s="1" t="s">
        <v>966</v>
      </c>
      <c r="I574" s="1" t="s">
        <v>967</v>
      </c>
      <c r="K574" s="1" t="s">
        <v>2415</v>
      </c>
      <c r="L574" s="1">
        <v>104.0</v>
      </c>
      <c r="M574" s="1">
        <v>944.0</v>
      </c>
      <c r="O574" s="1">
        <v>0.0</v>
      </c>
      <c r="P574" s="1">
        <v>0.0</v>
      </c>
      <c r="Q574" s="1" t="s">
        <v>2416</v>
      </c>
      <c r="R574" s="1">
        <v>156.0</v>
      </c>
      <c r="S574" s="1">
        <v>979.0</v>
      </c>
      <c r="U574" s="1">
        <v>0.0</v>
      </c>
      <c r="V574" s="1" t="s">
        <v>2414</v>
      </c>
      <c r="W574" s="1">
        <v>84.0</v>
      </c>
      <c r="Y574" s="1">
        <v>0.0</v>
      </c>
      <c r="AA574" s="1">
        <v>0.0</v>
      </c>
      <c r="AC574" s="1">
        <v>0.0</v>
      </c>
      <c r="AD574" s="1" t="s">
        <v>971</v>
      </c>
      <c r="AG574" s="9" t="s">
        <v>2413</v>
      </c>
      <c r="AM574" s="1">
        <v>176371.0</v>
      </c>
      <c r="AN574" s="1">
        <v>32670.0</v>
      </c>
      <c r="AO574" s="1">
        <v>32670.0</v>
      </c>
      <c r="AP574" s="1">
        <v>12.515</v>
      </c>
      <c r="AR574" s="1">
        <v>844.0</v>
      </c>
      <c r="AS574" s="1">
        <v>154.0</v>
      </c>
      <c r="AT574" s="1">
        <v>5.481</v>
      </c>
      <c r="AU574" s="1">
        <v>62.344</v>
      </c>
      <c r="AV574" s="1" t="s">
        <v>990</v>
      </c>
      <c r="AW574" s="1">
        <v>4.389</v>
      </c>
      <c r="AX574" s="1">
        <v>2.0</v>
      </c>
      <c r="AY574" s="1">
        <v>2.0</v>
      </c>
      <c r="AZ574" s="1">
        <v>1.0</v>
      </c>
      <c r="BA574" s="1">
        <v>1.0</v>
      </c>
      <c r="BB574" s="1">
        <v>1.0</v>
      </c>
      <c r="BC574" s="1">
        <v>0.0</v>
      </c>
      <c r="BD574" s="1">
        <v>0.13</v>
      </c>
      <c r="BE574" s="1">
        <v>129.0</v>
      </c>
      <c r="BF574" s="1">
        <v>47.0</v>
      </c>
      <c r="BG574" s="1">
        <v>0.0</v>
      </c>
      <c r="BH574" s="1">
        <v>17.0</v>
      </c>
      <c r="BI574" s="1">
        <v>9.0</v>
      </c>
      <c r="BJ574" s="1">
        <v>0.0</v>
      </c>
      <c r="BO574" s="1" t="s">
        <v>2417</v>
      </c>
      <c r="BP574" s="1">
        <v>1.053</v>
      </c>
      <c r="BU574" s="1" t="s">
        <v>974</v>
      </c>
      <c r="BV574" s="1">
        <v>1.1</v>
      </c>
      <c r="BW574" s="1">
        <v>52.0</v>
      </c>
      <c r="BX574" s="1">
        <v>4951.046</v>
      </c>
      <c r="BY574" s="1">
        <v>6909.917</v>
      </c>
      <c r="BZ574" s="1">
        <v>11101.108</v>
      </c>
      <c r="CA574" s="1">
        <v>20234.971</v>
      </c>
      <c r="CB574" s="1">
        <v>315.0</v>
      </c>
      <c r="CC574" s="1">
        <v>0.003</v>
      </c>
      <c r="CD574" s="1">
        <v>709604.0</v>
      </c>
      <c r="CE574" s="1">
        <v>1950.0</v>
      </c>
      <c r="CF574" s="1">
        <v>169.0</v>
      </c>
      <c r="CG574" s="1">
        <v>2689775.0</v>
      </c>
      <c r="CH574" s="1">
        <v>33413.0</v>
      </c>
      <c r="CI574" s="1">
        <v>2.0</v>
      </c>
      <c r="CJ574" s="1">
        <v>66223.0</v>
      </c>
      <c r="CK574" s="1">
        <v>20.0</v>
      </c>
      <c r="CL574" s="1">
        <v>176279.0</v>
      </c>
      <c r="CM574" s="1">
        <v>41.0</v>
      </c>
      <c r="CN574" s="1">
        <v>1747817.0</v>
      </c>
      <c r="CO574" s="1">
        <v>68.0</v>
      </c>
      <c r="CP574" s="1">
        <v>640727.0</v>
      </c>
      <c r="CQ574" s="1">
        <v>10.0</v>
      </c>
      <c r="CR574" s="1">
        <v>0.0</v>
      </c>
      <c r="CS574" s="1">
        <v>0.0</v>
      </c>
      <c r="CT574" s="1">
        <v>25316.0</v>
      </c>
      <c r="CU574" s="1">
        <v>28.0</v>
      </c>
      <c r="CV574" s="1">
        <v>1832650.0</v>
      </c>
      <c r="CW574" s="1">
        <v>71.0</v>
      </c>
      <c r="DC574" s="1">
        <v>150.0</v>
      </c>
      <c r="DD574" s="1">
        <v>5075.0</v>
      </c>
      <c r="DE574" s="1">
        <v>0.0</v>
      </c>
      <c r="DF574" s="1">
        <v>3396.0</v>
      </c>
      <c r="DG574" s="1">
        <v>600.0</v>
      </c>
      <c r="DH574" s="1">
        <v>108319.0</v>
      </c>
      <c r="DI574" s="1">
        <v>1200.0</v>
      </c>
      <c r="DJ574" s="1">
        <v>592814.0</v>
      </c>
      <c r="DK574" s="1">
        <v>1443.133</v>
      </c>
      <c r="DL574" s="1" t="s">
        <v>975</v>
      </c>
      <c r="DM574" s="1">
        <v>2847.188</v>
      </c>
      <c r="DN574" s="1" t="s">
        <v>975</v>
      </c>
      <c r="DO574" s="1">
        <v>2689270.0</v>
      </c>
      <c r="DP574" s="1">
        <v>1.0</v>
      </c>
      <c r="DQ574" s="1" t="s">
        <v>976</v>
      </c>
      <c r="DR574" s="1" t="s">
        <v>2418</v>
      </c>
      <c r="DS574" s="1" t="s">
        <v>978</v>
      </c>
      <c r="DT574" s="1" t="s">
        <v>979</v>
      </c>
      <c r="DU574" s="1" t="s">
        <v>980</v>
      </c>
      <c r="DV574" s="1">
        <v>17325.0</v>
      </c>
      <c r="DW574" s="1">
        <v>312.0</v>
      </c>
      <c r="DX574" s="1">
        <v>4032.0</v>
      </c>
      <c r="DY574" s="1">
        <v>652794.0</v>
      </c>
      <c r="DZ574" s="1" t="s">
        <v>981</v>
      </c>
      <c r="EA574" s="1">
        <v>837.0</v>
      </c>
      <c r="EB574" s="1">
        <v>4453.0</v>
      </c>
      <c r="EC574" s="1">
        <v>1.0</v>
      </c>
      <c r="ED574" s="1">
        <v>26492.0</v>
      </c>
      <c r="EF574" s="1">
        <v>230.0</v>
      </c>
      <c r="EG574" s="1" t="s">
        <v>1032</v>
      </c>
      <c r="EH574" s="1">
        <v>100.0</v>
      </c>
      <c r="EK574" s="1">
        <v>100.0</v>
      </c>
      <c r="EQ574" s="9" t="s">
        <v>2413</v>
      </c>
      <c r="ER574" s="21">
        <v>46045.29880787037</v>
      </c>
    </row>
    <row r="575">
      <c r="A575" s="9" t="s">
        <v>2419</v>
      </c>
      <c r="B575" s="20" t="str">
        <f>IFERROR(__xludf.DUMMYFUNCTION("REGEXREPLACE(A575, ""^https?://[^/]+"", """")"),"/news-events/sales-xceleration-and-objective-management-group-partner-to-optimize-your-sales-team/")</f>
        <v>/news-events/sales-xceleration-and-objective-management-group-partner-to-optimize-your-sales-team/</v>
      </c>
      <c r="C575" s="1" t="s">
        <v>2420</v>
      </c>
      <c r="F575" s="1" t="s">
        <v>965</v>
      </c>
      <c r="G575" s="1">
        <v>200.0</v>
      </c>
      <c r="H575" s="1" t="s">
        <v>966</v>
      </c>
      <c r="I575" s="1" t="s">
        <v>967</v>
      </c>
      <c r="K575" s="1" t="s">
        <v>2421</v>
      </c>
      <c r="L575" s="1">
        <v>104.0</v>
      </c>
      <c r="M575" s="1">
        <v>975.0</v>
      </c>
      <c r="O575" s="1">
        <v>0.0</v>
      </c>
      <c r="P575" s="1">
        <v>0.0</v>
      </c>
      <c r="Q575" s="1" t="s">
        <v>2422</v>
      </c>
      <c r="R575" s="1">
        <v>142.0</v>
      </c>
      <c r="S575" s="1">
        <v>929.0</v>
      </c>
      <c r="U575" s="1">
        <v>0.0</v>
      </c>
      <c r="V575" s="1" t="s">
        <v>2420</v>
      </c>
      <c r="W575" s="1">
        <v>84.0</v>
      </c>
      <c r="Y575" s="1">
        <v>0.0</v>
      </c>
      <c r="AA575" s="1">
        <v>0.0</v>
      </c>
      <c r="AC575" s="1">
        <v>0.0</v>
      </c>
      <c r="AD575" s="1" t="s">
        <v>971</v>
      </c>
      <c r="AG575" s="9" t="s">
        <v>2419</v>
      </c>
      <c r="AM575" s="1">
        <v>176264.0</v>
      </c>
      <c r="AN575" s="1">
        <v>32838.0</v>
      </c>
      <c r="AO575" s="1">
        <v>32838.0</v>
      </c>
      <c r="AP575" s="1">
        <v>12.58</v>
      </c>
      <c r="AR575" s="1">
        <v>957.0</v>
      </c>
      <c r="AS575" s="1">
        <v>148.0</v>
      </c>
      <c r="AT575" s="1">
        <v>6.466</v>
      </c>
      <c r="AU575" s="1">
        <v>54.587</v>
      </c>
      <c r="AV575" s="1" t="s">
        <v>972</v>
      </c>
      <c r="AW575" s="1">
        <v>4.872</v>
      </c>
      <c r="AX575" s="1">
        <v>2.0</v>
      </c>
      <c r="AY575" s="1">
        <v>2.0</v>
      </c>
      <c r="AZ575" s="1">
        <v>1.0</v>
      </c>
      <c r="BA575" s="1">
        <v>1.0</v>
      </c>
      <c r="BB575" s="1">
        <v>1.0</v>
      </c>
      <c r="BC575" s="1">
        <v>0.0</v>
      </c>
      <c r="BD575" s="1">
        <v>0.13</v>
      </c>
      <c r="BE575" s="1">
        <v>127.0</v>
      </c>
      <c r="BF575" s="1">
        <v>44.0</v>
      </c>
      <c r="BG575" s="1">
        <v>0.0</v>
      </c>
      <c r="BH575" s="1">
        <v>17.0</v>
      </c>
      <c r="BI575" s="1">
        <v>9.0</v>
      </c>
      <c r="BJ575" s="1">
        <v>0.0</v>
      </c>
      <c r="BO575" s="1" t="s">
        <v>2423</v>
      </c>
      <c r="BP575" s="1">
        <v>1.073</v>
      </c>
      <c r="BU575" s="1" t="s">
        <v>974</v>
      </c>
      <c r="BV575" s="1">
        <v>1.1</v>
      </c>
      <c r="BW575" s="1">
        <v>48.0</v>
      </c>
      <c r="BX575" s="1">
        <v>4501.038</v>
      </c>
      <c r="BY575" s="1">
        <v>7620.307</v>
      </c>
      <c r="BZ575" s="1">
        <v>8101.07</v>
      </c>
      <c r="CA575" s="1">
        <v>19935.809</v>
      </c>
      <c r="CB575" s="1">
        <v>479.0</v>
      </c>
      <c r="CC575" s="1">
        <v>0.02</v>
      </c>
      <c r="CD575" s="1">
        <v>709248.0</v>
      </c>
      <c r="CE575" s="1">
        <v>1200.0</v>
      </c>
      <c r="CF575" s="1">
        <v>171.0</v>
      </c>
      <c r="CG575" s="1">
        <v>2690947.0</v>
      </c>
      <c r="CH575" s="1">
        <v>33548.0</v>
      </c>
      <c r="CI575" s="1">
        <v>2.0</v>
      </c>
      <c r="CJ575" s="1">
        <v>66380.0</v>
      </c>
      <c r="CK575" s="1">
        <v>21.0</v>
      </c>
      <c r="CL575" s="1">
        <v>175413.0</v>
      </c>
      <c r="CM575" s="1">
        <v>41.0</v>
      </c>
      <c r="CN575" s="1">
        <v>1749684.0</v>
      </c>
      <c r="CO575" s="1">
        <v>68.0</v>
      </c>
      <c r="CP575" s="1">
        <v>640723.0</v>
      </c>
      <c r="CQ575" s="1">
        <v>10.0</v>
      </c>
      <c r="CR575" s="1">
        <v>0.0</v>
      </c>
      <c r="CS575" s="1">
        <v>0.0</v>
      </c>
      <c r="CT575" s="1">
        <v>25199.0</v>
      </c>
      <c r="CU575" s="1">
        <v>29.0</v>
      </c>
      <c r="CV575" s="1">
        <v>1833784.0</v>
      </c>
      <c r="CW575" s="1">
        <v>73.0</v>
      </c>
      <c r="DC575" s="1">
        <v>0.0</v>
      </c>
      <c r="DD575" s="1">
        <v>5075.0</v>
      </c>
      <c r="DE575" s="1">
        <v>0.0</v>
      </c>
      <c r="DF575" s="1">
        <v>3396.0</v>
      </c>
      <c r="DG575" s="1">
        <v>300.0</v>
      </c>
      <c r="DH575" s="1">
        <v>108302.0</v>
      </c>
      <c r="DI575" s="1">
        <v>900.0</v>
      </c>
      <c r="DJ575" s="1">
        <v>592475.0</v>
      </c>
      <c r="DK575" s="1">
        <v>1864.979</v>
      </c>
      <c r="DL575" s="1" t="s">
        <v>975</v>
      </c>
      <c r="DM575" s="1">
        <v>3627.791</v>
      </c>
      <c r="DN575" s="1" t="s">
        <v>975</v>
      </c>
      <c r="DO575" s="1">
        <v>2690442.0</v>
      </c>
      <c r="DP575" s="1">
        <v>103.0</v>
      </c>
      <c r="DQ575" s="1" t="s">
        <v>976</v>
      </c>
      <c r="DR575" s="1" t="s">
        <v>1376</v>
      </c>
      <c r="DS575" s="1" t="s">
        <v>978</v>
      </c>
      <c r="DT575" s="1" t="s">
        <v>979</v>
      </c>
      <c r="DU575" s="1" t="s">
        <v>980</v>
      </c>
      <c r="DV575" s="1">
        <v>17145.0</v>
      </c>
      <c r="DX575" s="1">
        <v>3804.0</v>
      </c>
      <c r="DY575" s="1">
        <v>652974.0</v>
      </c>
      <c r="DZ575" s="1" t="s">
        <v>981</v>
      </c>
      <c r="EA575" s="1">
        <v>831.0</v>
      </c>
      <c r="EB575" s="1">
        <v>4453.0</v>
      </c>
      <c r="EC575" s="1">
        <v>35.0</v>
      </c>
      <c r="ED575" s="1">
        <v>26492.0</v>
      </c>
      <c r="EF575" s="1">
        <v>270.0</v>
      </c>
      <c r="EG575" s="1" t="s">
        <v>1032</v>
      </c>
      <c r="EH575" s="1">
        <v>100.0</v>
      </c>
      <c r="EK575" s="1">
        <v>100.0</v>
      </c>
      <c r="EQ575" s="9" t="s">
        <v>2419</v>
      </c>
      <c r="ER575" s="21">
        <v>46045.29880787037</v>
      </c>
    </row>
    <row r="576">
      <c r="A576" s="9" t="s">
        <v>2424</v>
      </c>
      <c r="B576" s="20" t="str">
        <f>IFERROR(__xludf.DUMMYFUNCTION("REGEXREPLACE(A576, ""^https?://[^/]+"", """")"),"/news-events/sales-xceleration-and-knowledgenet-ai-unveil-salesplaybookxpert-ai-the-ultimate-ai-assistant-for-sales-teams/")</f>
        <v>/news-events/sales-xceleration-and-knowledgenet-ai-unveil-salesplaybookxpert-ai-the-ultimate-ai-assistant-for-sales-teams/</v>
      </c>
      <c r="C576" s="1" t="s">
        <v>2425</v>
      </c>
      <c r="F576" s="1" t="s">
        <v>965</v>
      </c>
      <c r="G576" s="1">
        <v>200.0</v>
      </c>
      <c r="H576" s="1" t="s">
        <v>966</v>
      </c>
      <c r="I576" s="1" t="s">
        <v>967</v>
      </c>
      <c r="K576" s="1" t="s">
        <v>2426</v>
      </c>
      <c r="L576" s="1">
        <v>129.0</v>
      </c>
      <c r="M576" s="1">
        <v>1178.0</v>
      </c>
      <c r="O576" s="1">
        <v>0.0</v>
      </c>
      <c r="P576" s="1">
        <v>0.0</v>
      </c>
      <c r="Q576" s="1" t="s">
        <v>2427</v>
      </c>
      <c r="R576" s="1">
        <v>152.0</v>
      </c>
      <c r="S576" s="1">
        <v>918.0</v>
      </c>
      <c r="U576" s="1">
        <v>0.0</v>
      </c>
      <c r="V576" s="1" t="s">
        <v>2425</v>
      </c>
      <c r="W576" s="1">
        <v>109.0</v>
      </c>
      <c r="Y576" s="1">
        <v>0.0</v>
      </c>
      <c r="AA576" s="1">
        <v>0.0</v>
      </c>
      <c r="AC576" s="1">
        <v>0.0</v>
      </c>
      <c r="AD576" s="1" t="s">
        <v>971</v>
      </c>
      <c r="AG576" s="9" t="s">
        <v>2424</v>
      </c>
      <c r="AM576" s="1">
        <v>177220.0</v>
      </c>
      <c r="AN576" s="1">
        <v>33419.0</v>
      </c>
      <c r="AO576" s="1">
        <v>33419.0</v>
      </c>
      <c r="AP576" s="1">
        <v>12.802</v>
      </c>
      <c r="AR576" s="1">
        <v>1069.0</v>
      </c>
      <c r="AS576" s="1">
        <v>201.0</v>
      </c>
      <c r="AT576" s="1">
        <v>5.318</v>
      </c>
      <c r="AU576" s="1">
        <v>44.266</v>
      </c>
      <c r="AV576" s="1" t="s">
        <v>1075</v>
      </c>
      <c r="AW576" s="1">
        <v>5.508</v>
      </c>
      <c r="AX576" s="1">
        <v>2.0</v>
      </c>
      <c r="AY576" s="1">
        <v>2.0</v>
      </c>
      <c r="AZ576" s="1">
        <v>1.0</v>
      </c>
      <c r="BA576" s="1">
        <v>1.0</v>
      </c>
      <c r="BB576" s="1">
        <v>1.0</v>
      </c>
      <c r="BC576" s="1">
        <v>0.0</v>
      </c>
      <c r="BD576" s="1">
        <v>0.13</v>
      </c>
      <c r="BE576" s="1">
        <v>128.0</v>
      </c>
      <c r="BF576" s="1">
        <v>45.0</v>
      </c>
      <c r="BG576" s="1">
        <v>0.0</v>
      </c>
      <c r="BH576" s="1">
        <v>19.0</v>
      </c>
      <c r="BI576" s="1">
        <v>11.0</v>
      </c>
      <c r="BJ576" s="1">
        <v>0.0</v>
      </c>
      <c r="BO576" s="1" t="s">
        <v>2428</v>
      </c>
      <c r="BP576" s="1">
        <v>1.12</v>
      </c>
      <c r="BU576" s="1" t="s">
        <v>974</v>
      </c>
      <c r="BV576" s="1">
        <v>1.1</v>
      </c>
      <c r="BW576" s="1">
        <v>54.0</v>
      </c>
      <c r="BX576" s="1">
        <v>4951.053</v>
      </c>
      <c r="BY576" s="1">
        <v>6424.167</v>
      </c>
      <c r="BZ576" s="1">
        <v>10051.11</v>
      </c>
      <c r="CA576" s="1">
        <v>20140.484</v>
      </c>
      <c r="CB576" s="1">
        <v>292.5</v>
      </c>
      <c r="CC576" s="1">
        <v>0.002</v>
      </c>
      <c r="CD576" s="1">
        <v>710907.0</v>
      </c>
      <c r="CE576" s="1">
        <v>1350.0</v>
      </c>
      <c r="CF576" s="1">
        <v>169.0</v>
      </c>
      <c r="CG576" s="1">
        <v>2691716.0</v>
      </c>
      <c r="CH576" s="1">
        <v>34071.0</v>
      </c>
      <c r="CI576" s="1">
        <v>2.0</v>
      </c>
      <c r="CJ576" s="1">
        <v>66467.0</v>
      </c>
      <c r="CK576" s="1">
        <v>20.0</v>
      </c>
      <c r="CL576" s="1">
        <v>176281.0</v>
      </c>
      <c r="CM576" s="1">
        <v>41.0</v>
      </c>
      <c r="CN576" s="1">
        <v>1748240.0</v>
      </c>
      <c r="CO576" s="1">
        <v>68.0</v>
      </c>
      <c r="CP576" s="1">
        <v>640723.0</v>
      </c>
      <c r="CQ576" s="1">
        <v>10.0</v>
      </c>
      <c r="CR576" s="1">
        <v>0.0</v>
      </c>
      <c r="CS576" s="1">
        <v>0.0</v>
      </c>
      <c r="CT576" s="1">
        <v>25934.0</v>
      </c>
      <c r="CU576" s="1">
        <v>28.0</v>
      </c>
      <c r="CV576" s="1">
        <v>1833089.0</v>
      </c>
      <c r="CW576" s="1">
        <v>71.0</v>
      </c>
      <c r="DC576" s="1">
        <v>0.0</v>
      </c>
      <c r="DD576" s="1">
        <v>5075.0</v>
      </c>
      <c r="DE576" s="1">
        <v>0.0</v>
      </c>
      <c r="DF576" s="1">
        <v>3396.0</v>
      </c>
      <c r="DG576" s="1">
        <v>600.0</v>
      </c>
      <c r="DH576" s="1">
        <v>108296.0</v>
      </c>
      <c r="DI576" s="1">
        <v>750.0</v>
      </c>
      <c r="DJ576" s="1">
        <v>594140.0</v>
      </c>
      <c r="DK576" s="1">
        <v>1420.472</v>
      </c>
      <c r="DL576" s="1" t="s">
        <v>975</v>
      </c>
      <c r="DM576" s="1">
        <v>2842.057</v>
      </c>
      <c r="DN576" s="1" t="s">
        <v>975</v>
      </c>
      <c r="DO576" s="1">
        <v>2691211.0</v>
      </c>
      <c r="DP576" s="1">
        <v>1.0</v>
      </c>
      <c r="DQ576" s="1" t="s">
        <v>976</v>
      </c>
      <c r="DR576" s="1" t="s">
        <v>1151</v>
      </c>
      <c r="DS576" s="1" t="s">
        <v>978</v>
      </c>
      <c r="DT576" s="1" t="s">
        <v>979</v>
      </c>
      <c r="DU576" s="1" t="s">
        <v>980</v>
      </c>
      <c r="DV576" s="1">
        <v>17145.0</v>
      </c>
      <c r="DX576" s="1">
        <v>3824.0</v>
      </c>
      <c r="DY576" s="1">
        <v>653051.0</v>
      </c>
      <c r="DZ576" s="1" t="s">
        <v>981</v>
      </c>
      <c r="EA576" s="1">
        <v>863.0</v>
      </c>
      <c r="EB576" s="1">
        <v>4453.0</v>
      </c>
      <c r="EC576" s="1">
        <v>1.0</v>
      </c>
      <c r="ED576" s="1">
        <v>26492.0</v>
      </c>
      <c r="EF576" s="1">
        <v>250.0</v>
      </c>
      <c r="EG576" s="1" t="s">
        <v>1032</v>
      </c>
      <c r="EH576" s="1">
        <v>100.0</v>
      </c>
      <c r="EK576" s="1">
        <v>100.0</v>
      </c>
      <c r="EQ576" s="9" t="s">
        <v>2424</v>
      </c>
      <c r="ER576" s="21">
        <v>46045.29881944445</v>
      </c>
    </row>
    <row r="577">
      <c r="A577" s="9" t="s">
        <v>2429</v>
      </c>
      <c r="B577" s="20" t="str">
        <f>IFERROR(__xludf.DUMMYFUNCTION("REGEXREPLACE(A577, ""^https?://[^/]+"", """")"),"/news-events/press-release-inc-magazine-unveils-its-annual-list-of-americas-fastest-growing-private-companies-the-inc-5000/")</f>
        <v>/news-events/press-release-inc-magazine-unveils-its-annual-list-of-americas-fastest-growing-private-companies-the-inc-5000/</v>
      </c>
      <c r="C577" s="1" t="s">
        <v>2430</v>
      </c>
      <c r="F577" s="1" t="s">
        <v>965</v>
      </c>
      <c r="G577" s="1">
        <v>200.0</v>
      </c>
      <c r="H577" s="1" t="s">
        <v>966</v>
      </c>
      <c r="I577" s="1" t="s">
        <v>967</v>
      </c>
      <c r="K577" s="1" t="s">
        <v>2431</v>
      </c>
      <c r="L577" s="1">
        <v>118.0</v>
      </c>
      <c r="M577" s="1">
        <v>1070.0</v>
      </c>
      <c r="O577" s="1">
        <v>0.0</v>
      </c>
      <c r="P577" s="1">
        <v>0.0</v>
      </c>
      <c r="Q577" s="1" t="s">
        <v>2432</v>
      </c>
      <c r="R577" s="1">
        <v>71.0</v>
      </c>
      <c r="S577" s="1">
        <v>433.0</v>
      </c>
      <c r="U577" s="1">
        <v>0.0</v>
      </c>
      <c r="V577" s="1" t="s">
        <v>2430</v>
      </c>
      <c r="W577" s="1">
        <v>98.0</v>
      </c>
      <c r="Y577" s="1">
        <v>0.0</v>
      </c>
      <c r="AA577" s="1">
        <v>0.0</v>
      </c>
      <c r="AC577" s="1">
        <v>0.0</v>
      </c>
      <c r="AD577" s="1" t="s">
        <v>971</v>
      </c>
      <c r="AG577" s="9" t="s">
        <v>2429</v>
      </c>
      <c r="AM577" s="1">
        <v>177596.0</v>
      </c>
      <c r="AN577" s="1">
        <v>33554.0</v>
      </c>
      <c r="AO577" s="1">
        <v>33554.0</v>
      </c>
      <c r="AP577" s="1">
        <v>12.854</v>
      </c>
      <c r="AR577" s="1">
        <v>1159.0</v>
      </c>
      <c r="AS577" s="1">
        <v>212.0</v>
      </c>
      <c r="AT577" s="1">
        <v>5.467</v>
      </c>
      <c r="AU577" s="1">
        <v>64.203</v>
      </c>
      <c r="AV577" s="1" t="s">
        <v>990</v>
      </c>
      <c r="AW577" s="1">
        <v>5.484</v>
      </c>
      <c r="AX577" s="1">
        <v>2.0</v>
      </c>
      <c r="AY577" s="1">
        <v>2.0</v>
      </c>
      <c r="AZ577" s="1">
        <v>1.0</v>
      </c>
      <c r="BA577" s="1">
        <v>1.0</v>
      </c>
      <c r="BB577" s="1">
        <v>1.0</v>
      </c>
      <c r="BC577" s="1">
        <v>0.0</v>
      </c>
      <c r="BD577" s="1">
        <v>0.13</v>
      </c>
      <c r="BE577" s="1">
        <v>128.0</v>
      </c>
      <c r="BF577" s="1">
        <v>44.0</v>
      </c>
      <c r="BG577" s="1">
        <v>0.0</v>
      </c>
      <c r="BH577" s="1">
        <v>19.0</v>
      </c>
      <c r="BI577" s="1">
        <v>11.0</v>
      </c>
      <c r="BJ577" s="1">
        <v>0.0</v>
      </c>
      <c r="BO577" s="1" t="s">
        <v>2433</v>
      </c>
      <c r="BP577" s="1">
        <v>1.079</v>
      </c>
      <c r="BU577" s="1" t="s">
        <v>974</v>
      </c>
      <c r="BV577" s="1">
        <v>1.1</v>
      </c>
      <c r="BW577" s="1">
        <v>46.0</v>
      </c>
      <c r="BX577" s="1">
        <v>4201.027</v>
      </c>
      <c r="BY577" s="1">
        <v>7162.121</v>
      </c>
      <c r="BZ577" s="1">
        <v>8101.054</v>
      </c>
      <c r="CA577" s="1">
        <v>19931.227</v>
      </c>
      <c r="CB577" s="1">
        <v>583.5</v>
      </c>
      <c r="CC577" s="1">
        <v>0.002</v>
      </c>
      <c r="CD577" s="1">
        <v>710683.0</v>
      </c>
      <c r="CE577" s="1">
        <v>1500.0</v>
      </c>
      <c r="CF577" s="1">
        <v>169.0</v>
      </c>
      <c r="CG577" s="1">
        <v>2691428.0</v>
      </c>
      <c r="CH577" s="1">
        <v>34311.0</v>
      </c>
      <c r="CI577" s="1">
        <v>2.0</v>
      </c>
      <c r="CJ577" s="1">
        <v>66186.0</v>
      </c>
      <c r="CK577" s="1">
        <v>20.0</v>
      </c>
      <c r="CL577" s="1">
        <v>176278.0</v>
      </c>
      <c r="CM577" s="1">
        <v>41.0</v>
      </c>
      <c r="CN577" s="1">
        <v>1748512.0</v>
      </c>
      <c r="CO577" s="1">
        <v>68.0</v>
      </c>
      <c r="CP577" s="1">
        <v>640723.0</v>
      </c>
      <c r="CQ577" s="1">
        <v>10.0</v>
      </c>
      <c r="CR577" s="1">
        <v>0.0</v>
      </c>
      <c r="CS577" s="1">
        <v>0.0</v>
      </c>
      <c r="CT577" s="1">
        <v>25418.0</v>
      </c>
      <c r="CU577" s="1">
        <v>28.0</v>
      </c>
      <c r="CV577" s="1">
        <v>1833339.0</v>
      </c>
      <c r="CW577" s="1">
        <v>71.0</v>
      </c>
      <c r="DC577" s="1">
        <v>0.0</v>
      </c>
      <c r="DD577" s="1">
        <v>5075.0</v>
      </c>
      <c r="DE577" s="1">
        <v>0.0</v>
      </c>
      <c r="DF577" s="1">
        <v>3396.0</v>
      </c>
      <c r="DG577" s="1">
        <v>450.0</v>
      </c>
      <c r="DH577" s="1">
        <v>108302.0</v>
      </c>
      <c r="DI577" s="1">
        <v>1050.0</v>
      </c>
      <c r="DJ577" s="1">
        <v>593910.0</v>
      </c>
      <c r="DK577" s="1">
        <v>2057.069</v>
      </c>
      <c r="DL577" s="1" t="s">
        <v>975</v>
      </c>
      <c r="DM577" s="1">
        <v>3603.583</v>
      </c>
      <c r="DN577" s="1" t="s">
        <v>975</v>
      </c>
      <c r="DO577" s="1">
        <v>2690923.0</v>
      </c>
      <c r="DP577" s="1">
        <v>1.0</v>
      </c>
      <c r="DQ577" s="1" t="s">
        <v>976</v>
      </c>
      <c r="DR577" s="1" t="s">
        <v>2418</v>
      </c>
      <c r="DS577" s="1" t="s">
        <v>978</v>
      </c>
      <c r="DT577" s="1" t="s">
        <v>979</v>
      </c>
      <c r="DU577" s="1" t="s">
        <v>980</v>
      </c>
      <c r="DV577" s="1">
        <v>17145.0</v>
      </c>
      <c r="DX577" s="1">
        <v>3923.0</v>
      </c>
      <c r="DY577" s="1">
        <v>652775.0</v>
      </c>
      <c r="DZ577" s="1" t="s">
        <v>994</v>
      </c>
      <c r="EA577" s="1">
        <v>854.0</v>
      </c>
      <c r="EB577" s="1">
        <v>4453.0</v>
      </c>
      <c r="EC577" s="1">
        <v>35.0</v>
      </c>
      <c r="ED577" s="1">
        <v>26492.0</v>
      </c>
      <c r="EF577" s="1">
        <v>225.0</v>
      </c>
      <c r="EG577" s="1" t="s">
        <v>1032</v>
      </c>
      <c r="EH577" s="1">
        <v>100.0</v>
      </c>
      <c r="EK577" s="1">
        <v>100.0</v>
      </c>
      <c r="EQ577" s="9" t="s">
        <v>2429</v>
      </c>
      <c r="ER577" s="21">
        <v>46045.29881944445</v>
      </c>
    </row>
    <row r="578">
      <c r="A578" s="9" t="s">
        <v>2434</v>
      </c>
      <c r="B578" s="20" t="str">
        <f>IFERROR(__xludf.DUMMYFUNCTION("REGEXREPLACE(A578, ""^https?://[^/]+"", """")"),"/news-events/easy-online-sales-tool-helps-business-owners-assess-sales-deficiencies/")</f>
        <v>/news-events/easy-online-sales-tool-helps-business-owners-assess-sales-deficiencies/</v>
      </c>
      <c r="C578" s="1" t="s">
        <v>2435</v>
      </c>
      <c r="F578" s="1" t="s">
        <v>965</v>
      </c>
      <c r="G578" s="1">
        <v>200.0</v>
      </c>
      <c r="H578" s="1" t="s">
        <v>966</v>
      </c>
      <c r="I578" s="1" t="s">
        <v>967</v>
      </c>
      <c r="K578" s="1" t="s">
        <v>2436</v>
      </c>
      <c r="L578" s="1">
        <v>90.0</v>
      </c>
      <c r="M578" s="1">
        <v>823.0</v>
      </c>
      <c r="O578" s="1">
        <v>0.0</v>
      </c>
      <c r="P578" s="1">
        <v>0.0</v>
      </c>
      <c r="Q578" s="1" t="s">
        <v>2437</v>
      </c>
      <c r="R578" s="1">
        <v>148.0</v>
      </c>
      <c r="S578" s="1">
        <v>909.0</v>
      </c>
      <c r="U578" s="1">
        <v>0.0</v>
      </c>
      <c r="V578" s="1" t="s">
        <v>2435</v>
      </c>
      <c r="W578" s="1">
        <v>70.0</v>
      </c>
      <c r="Y578" s="1">
        <v>0.0</v>
      </c>
      <c r="AA578" s="1">
        <v>0.0</v>
      </c>
      <c r="AC578" s="1">
        <v>0.0</v>
      </c>
      <c r="AD578" s="1" t="s">
        <v>971</v>
      </c>
      <c r="AG578" s="9" t="s">
        <v>2434</v>
      </c>
      <c r="AM578" s="1">
        <v>178921.0</v>
      </c>
      <c r="AN578" s="1">
        <v>33375.0</v>
      </c>
      <c r="AO578" s="1">
        <v>33375.0</v>
      </c>
      <c r="AP578" s="1">
        <v>12.785</v>
      </c>
      <c r="AR578" s="1">
        <v>1261.0</v>
      </c>
      <c r="AS578" s="1">
        <v>175.0</v>
      </c>
      <c r="AT578" s="1">
        <v>7.206</v>
      </c>
      <c r="AU578" s="1">
        <v>56.956</v>
      </c>
      <c r="AV578" s="1" t="s">
        <v>972</v>
      </c>
      <c r="AW578" s="1">
        <v>5.759</v>
      </c>
      <c r="AX578" s="1">
        <v>2.0</v>
      </c>
      <c r="AY578" s="1">
        <v>2.0</v>
      </c>
      <c r="AZ578" s="1">
        <v>1.0</v>
      </c>
      <c r="BA578" s="1">
        <v>1.0</v>
      </c>
      <c r="BB578" s="1">
        <v>1.0</v>
      </c>
      <c r="BC578" s="1">
        <v>0.0</v>
      </c>
      <c r="BD578" s="1">
        <v>0.13</v>
      </c>
      <c r="BE578" s="1">
        <v>130.0</v>
      </c>
      <c r="BF578" s="1">
        <v>45.0</v>
      </c>
      <c r="BG578" s="1">
        <v>0.0</v>
      </c>
      <c r="BH578" s="1">
        <v>16.0</v>
      </c>
      <c r="BI578" s="1">
        <v>8.0</v>
      </c>
      <c r="BJ578" s="1">
        <v>0.0</v>
      </c>
      <c r="BO578" s="1" t="s">
        <v>2438</v>
      </c>
      <c r="BP578" s="1">
        <v>1.038</v>
      </c>
      <c r="BU578" s="1" t="s">
        <v>974</v>
      </c>
      <c r="BV578" s="1">
        <v>1.1</v>
      </c>
      <c r="BW578" s="1">
        <v>47.0</v>
      </c>
      <c r="BX578" s="1">
        <v>4801.053</v>
      </c>
      <c r="BY578" s="1">
        <v>7345.163</v>
      </c>
      <c r="BZ578" s="1">
        <v>10276.117</v>
      </c>
      <c r="CA578" s="1">
        <v>20207.107</v>
      </c>
      <c r="CB578" s="1">
        <v>469.0</v>
      </c>
      <c r="CC578" s="1">
        <v>0.021</v>
      </c>
      <c r="CD578" s="1">
        <v>709712.0</v>
      </c>
      <c r="CE578" s="1">
        <v>1200.0</v>
      </c>
      <c r="CF578" s="1">
        <v>170.0</v>
      </c>
      <c r="CG578" s="1">
        <v>2690286.0</v>
      </c>
      <c r="CH578" s="1">
        <v>34047.0</v>
      </c>
      <c r="CI578" s="1">
        <v>2.0</v>
      </c>
      <c r="CJ578" s="1">
        <v>66880.0</v>
      </c>
      <c r="CK578" s="1">
        <v>21.0</v>
      </c>
      <c r="CL578" s="1">
        <v>175416.0</v>
      </c>
      <c r="CM578" s="1">
        <v>41.0</v>
      </c>
      <c r="CN578" s="1">
        <v>1747983.0</v>
      </c>
      <c r="CO578" s="1">
        <v>68.0</v>
      </c>
      <c r="CP578" s="1">
        <v>640735.0</v>
      </c>
      <c r="CQ578" s="1">
        <v>10.0</v>
      </c>
      <c r="CR578" s="1">
        <v>0.0</v>
      </c>
      <c r="CS578" s="1">
        <v>0.0</v>
      </c>
      <c r="CT578" s="1">
        <v>25225.0</v>
      </c>
      <c r="CU578" s="1">
        <v>28.0</v>
      </c>
      <c r="CV578" s="1">
        <v>1831975.0</v>
      </c>
      <c r="CW578" s="1">
        <v>71.0</v>
      </c>
      <c r="DC578" s="1">
        <v>150.0</v>
      </c>
      <c r="DD578" s="1">
        <v>5075.0</v>
      </c>
      <c r="DE578" s="1">
        <v>0.0</v>
      </c>
      <c r="DF578" s="1">
        <v>3396.0</v>
      </c>
      <c r="DG578" s="1">
        <v>300.0</v>
      </c>
      <c r="DH578" s="1">
        <v>108302.0</v>
      </c>
      <c r="DI578" s="1">
        <v>750.0</v>
      </c>
      <c r="DJ578" s="1">
        <v>592939.0</v>
      </c>
      <c r="DK578" s="1">
        <v>1535.46</v>
      </c>
      <c r="DL578" s="1" t="s">
        <v>975</v>
      </c>
      <c r="DM578" s="1">
        <v>3060.013</v>
      </c>
      <c r="DN578" s="1" t="s">
        <v>975</v>
      </c>
      <c r="DO578" s="1">
        <v>2689781.0</v>
      </c>
      <c r="DP578" s="1">
        <v>1.0</v>
      </c>
      <c r="DQ578" s="1" t="s">
        <v>976</v>
      </c>
      <c r="DR578" s="1" t="s">
        <v>1345</v>
      </c>
      <c r="DS578" s="1" t="s">
        <v>978</v>
      </c>
      <c r="DT578" s="1" t="s">
        <v>979</v>
      </c>
      <c r="DU578" s="1" t="s">
        <v>980</v>
      </c>
      <c r="DV578" s="1">
        <v>17296.0</v>
      </c>
      <c r="DX578" s="1">
        <v>3768.0</v>
      </c>
      <c r="DY578" s="1">
        <v>652778.0</v>
      </c>
      <c r="DZ578" s="1" t="s">
        <v>981</v>
      </c>
      <c r="EA578" s="1">
        <v>849.0</v>
      </c>
      <c r="EB578" s="1">
        <v>4453.0</v>
      </c>
      <c r="EC578" s="1">
        <v>1.0</v>
      </c>
      <c r="ED578" s="1">
        <v>26492.0</v>
      </c>
      <c r="EF578" s="1">
        <v>250.0</v>
      </c>
      <c r="EG578" s="1" t="s">
        <v>1032</v>
      </c>
      <c r="EH578" s="1">
        <v>100.0</v>
      </c>
      <c r="EK578" s="1">
        <v>100.0</v>
      </c>
      <c r="EQ578" s="9" t="s">
        <v>2434</v>
      </c>
      <c r="ER578" s="21">
        <v>46045.29881944445</v>
      </c>
    </row>
    <row r="579">
      <c r="A579" s="9" t="s">
        <v>2439</v>
      </c>
      <c r="B579" s="20" t="str">
        <f>IFERROR(__xludf.DUMMYFUNCTION("REGEXREPLACE(A579, ""^https?://[^/]+"", """")"),"/news-events/sales-xceleration-advisors-dean-ash-chris-goade-team-dumas-capital-partners-present-sales-growth-series-8-drivers-company-value/")</f>
        <v>/news-events/sales-xceleration-advisors-dean-ash-chris-goade-team-dumas-capital-partners-present-sales-growth-series-8-drivers-company-value/</v>
      </c>
      <c r="C579" s="1" t="s">
        <v>2440</v>
      </c>
      <c r="F579" s="1" t="s">
        <v>965</v>
      </c>
      <c r="G579" s="1">
        <v>200.0</v>
      </c>
      <c r="H579" s="1" t="s">
        <v>966</v>
      </c>
      <c r="I579" s="1" t="s">
        <v>967</v>
      </c>
      <c r="K579" s="1" t="s">
        <v>2441</v>
      </c>
      <c r="L579" s="1">
        <v>142.0</v>
      </c>
      <c r="M579" s="1">
        <v>1312.0</v>
      </c>
      <c r="O579" s="1">
        <v>0.0</v>
      </c>
      <c r="P579" s="1">
        <v>0.0</v>
      </c>
      <c r="Q579" s="1" t="s">
        <v>2442</v>
      </c>
      <c r="R579" s="1">
        <v>158.0</v>
      </c>
      <c r="S579" s="1">
        <v>1000.0</v>
      </c>
      <c r="U579" s="1">
        <v>0.0</v>
      </c>
      <c r="V579" s="1" t="s">
        <v>2440</v>
      </c>
      <c r="W579" s="1">
        <v>122.0</v>
      </c>
      <c r="Y579" s="1">
        <v>0.0</v>
      </c>
      <c r="AA579" s="1">
        <v>0.0</v>
      </c>
      <c r="AC579" s="1">
        <v>0.0</v>
      </c>
      <c r="AD579" s="1" t="s">
        <v>971</v>
      </c>
      <c r="AG579" s="9" t="s">
        <v>2439</v>
      </c>
      <c r="AM579" s="1">
        <v>174096.0</v>
      </c>
      <c r="AN579" s="1">
        <v>32220.0</v>
      </c>
      <c r="AO579" s="1">
        <v>32220.0</v>
      </c>
      <c r="AP579" s="1">
        <v>12.343</v>
      </c>
      <c r="AR579" s="1">
        <v>722.0</v>
      </c>
      <c r="AS579" s="1">
        <v>115.0</v>
      </c>
      <c r="AT579" s="1">
        <v>6.278</v>
      </c>
      <c r="AU579" s="1">
        <v>61.494</v>
      </c>
      <c r="AV579" s="1" t="s">
        <v>990</v>
      </c>
      <c r="AW579" s="1">
        <v>3.949</v>
      </c>
      <c r="AX579" s="1">
        <v>2.0</v>
      </c>
      <c r="AY579" s="1">
        <v>2.0</v>
      </c>
      <c r="AZ579" s="1">
        <v>1.0</v>
      </c>
      <c r="BA579" s="1">
        <v>1.0</v>
      </c>
      <c r="BB579" s="1">
        <v>1.0</v>
      </c>
      <c r="BC579" s="1">
        <v>0.0</v>
      </c>
      <c r="BD579" s="1">
        <v>0.13</v>
      </c>
      <c r="BE579" s="1">
        <v>126.0</v>
      </c>
      <c r="BF579" s="1">
        <v>44.0</v>
      </c>
      <c r="BG579" s="1">
        <v>0.0</v>
      </c>
      <c r="BH579" s="1">
        <v>17.0</v>
      </c>
      <c r="BI579" s="1">
        <v>9.0</v>
      </c>
      <c r="BJ579" s="1">
        <v>0.0</v>
      </c>
      <c r="BO579" s="1" t="s">
        <v>2443</v>
      </c>
      <c r="BP579" s="1">
        <v>1.04</v>
      </c>
      <c r="BU579" s="1" t="s">
        <v>974</v>
      </c>
      <c r="BV579" s="1">
        <v>1.1</v>
      </c>
      <c r="BW579" s="1">
        <v>55.0</v>
      </c>
      <c r="BX579" s="1">
        <v>4951.031</v>
      </c>
      <c r="BY579" s="1">
        <v>7745.934</v>
      </c>
      <c r="BZ579" s="1">
        <v>10351.066</v>
      </c>
      <c r="CA579" s="1">
        <v>20058.729</v>
      </c>
      <c r="CB579" s="1">
        <v>212.5</v>
      </c>
      <c r="CC579" s="1">
        <v>0.018</v>
      </c>
      <c r="CD579" s="1">
        <v>709514.0</v>
      </c>
      <c r="CE579" s="1">
        <v>1500.0</v>
      </c>
      <c r="CF579" s="1">
        <v>176.0</v>
      </c>
      <c r="CG579" s="1">
        <v>2750399.0</v>
      </c>
      <c r="CH579" s="1">
        <v>32850.0</v>
      </c>
      <c r="CI579" s="1">
        <v>2.0</v>
      </c>
      <c r="CJ579" s="1">
        <v>127102.0</v>
      </c>
      <c r="CK579" s="1">
        <v>27.0</v>
      </c>
      <c r="CL579" s="1">
        <v>176284.0</v>
      </c>
      <c r="CM579" s="1">
        <v>41.0</v>
      </c>
      <c r="CN579" s="1">
        <v>1748012.0</v>
      </c>
      <c r="CO579" s="1">
        <v>68.0</v>
      </c>
      <c r="CP579" s="1">
        <v>640729.0</v>
      </c>
      <c r="CQ579" s="1">
        <v>10.0</v>
      </c>
      <c r="CR579" s="1">
        <v>0.0</v>
      </c>
      <c r="CS579" s="1">
        <v>0.0</v>
      </c>
      <c r="CT579" s="1">
        <v>25422.0</v>
      </c>
      <c r="CU579" s="1">
        <v>28.0</v>
      </c>
      <c r="CV579" s="1">
        <v>1832849.0</v>
      </c>
      <c r="CW579" s="1">
        <v>71.0</v>
      </c>
      <c r="DC579" s="1">
        <v>150.0</v>
      </c>
      <c r="DD579" s="1">
        <v>5075.0</v>
      </c>
      <c r="DE579" s="1">
        <v>0.0</v>
      </c>
      <c r="DF579" s="1">
        <v>3401.0</v>
      </c>
      <c r="DG579" s="1">
        <v>450.0</v>
      </c>
      <c r="DH579" s="1">
        <v>108302.0</v>
      </c>
      <c r="DI579" s="1">
        <v>900.0</v>
      </c>
      <c r="DJ579" s="1">
        <v>592736.0</v>
      </c>
      <c r="DK579" s="1">
        <v>1383.227</v>
      </c>
      <c r="DL579" s="1" t="s">
        <v>975</v>
      </c>
      <c r="DM579" s="1">
        <v>2617.969</v>
      </c>
      <c r="DN579" s="1" t="s">
        <v>975</v>
      </c>
      <c r="DO579" s="1">
        <v>2749894.0</v>
      </c>
      <c r="DP579" s="1">
        <v>1.0</v>
      </c>
      <c r="DQ579" s="1" t="s">
        <v>976</v>
      </c>
      <c r="DR579" s="1" t="s">
        <v>1464</v>
      </c>
      <c r="DS579" s="1" t="s">
        <v>978</v>
      </c>
      <c r="DT579" s="1" t="s">
        <v>979</v>
      </c>
      <c r="DU579" s="1" t="s">
        <v>980</v>
      </c>
      <c r="DV579" s="1">
        <v>17295.0</v>
      </c>
      <c r="DX579" s="1">
        <v>3878.0</v>
      </c>
      <c r="DY579" s="1">
        <v>677128.0</v>
      </c>
      <c r="DZ579" s="1" t="s">
        <v>981</v>
      </c>
      <c r="EA579" s="1">
        <v>824.0</v>
      </c>
      <c r="EB579" s="1">
        <v>27429.0</v>
      </c>
      <c r="EC579" s="1">
        <v>1.0</v>
      </c>
      <c r="ED579" s="1">
        <v>26492.0</v>
      </c>
      <c r="EF579" s="1">
        <v>225.0</v>
      </c>
      <c r="EG579" s="1" t="s">
        <v>1032</v>
      </c>
      <c r="EH579" s="1">
        <v>100.0</v>
      </c>
      <c r="EK579" s="1">
        <v>100.0</v>
      </c>
      <c r="EQ579" s="9" t="s">
        <v>2439</v>
      </c>
      <c r="ER579" s="21">
        <v>46045.29883101852</v>
      </c>
    </row>
    <row r="580">
      <c r="A580" s="9" t="s">
        <v>2444</v>
      </c>
      <c r="B580" s="20" t="str">
        <f>IFERROR(__xludf.DUMMYFUNCTION("REGEXREPLACE(A580, ""^https?://[^/]+"", """")"),"/news-events/sales-xceleration-responds-to-market-demand-with-new-advisors/")</f>
        <v>/news-events/sales-xceleration-responds-to-market-demand-with-new-advisors/</v>
      </c>
      <c r="C580" s="1" t="s">
        <v>2445</v>
      </c>
      <c r="F580" s="1" t="s">
        <v>965</v>
      </c>
      <c r="G580" s="1">
        <v>200.0</v>
      </c>
      <c r="H580" s="1" t="s">
        <v>966</v>
      </c>
      <c r="I580" s="1" t="s">
        <v>967</v>
      </c>
      <c r="K580" s="1" t="s">
        <v>2446</v>
      </c>
      <c r="L580" s="1">
        <v>81.0</v>
      </c>
      <c r="M580" s="1">
        <v>760.0</v>
      </c>
      <c r="O580" s="1">
        <v>0.0</v>
      </c>
      <c r="P580" s="1">
        <v>0.0</v>
      </c>
      <c r="Q580" s="1" t="s">
        <v>2447</v>
      </c>
      <c r="R580" s="1">
        <v>294.0</v>
      </c>
      <c r="S580" s="1">
        <v>1787.0</v>
      </c>
      <c r="U580" s="1">
        <v>0.0</v>
      </c>
      <c r="V580" s="1" t="s">
        <v>2445</v>
      </c>
      <c r="W580" s="1">
        <v>61.0</v>
      </c>
      <c r="Y580" s="1">
        <v>0.0</v>
      </c>
      <c r="AA580" s="1">
        <v>0.0</v>
      </c>
      <c r="AC580" s="1">
        <v>0.0</v>
      </c>
      <c r="AD580" s="1" t="s">
        <v>971</v>
      </c>
      <c r="AG580" s="9" t="s">
        <v>2444</v>
      </c>
      <c r="AM580" s="1">
        <v>176618.0</v>
      </c>
      <c r="AN580" s="1">
        <v>32550.0</v>
      </c>
      <c r="AO580" s="1">
        <v>32550.0</v>
      </c>
      <c r="AP580" s="1">
        <v>12.469</v>
      </c>
      <c r="AR580" s="1">
        <v>790.0</v>
      </c>
      <c r="AS580" s="1">
        <v>133.0</v>
      </c>
      <c r="AT580" s="1">
        <v>5.94</v>
      </c>
      <c r="AU580" s="1">
        <v>61.163</v>
      </c>
      <c r="AV580" s="1" t="s">
        <v>990</v>
      </c>
      <c r="AW580" s="1">
        <v>4.147</v>
      </c>
      <c r="AX580" s="1">
        <v>2.0</v>
      </c>
      <c r="AY580" s="1">
        <v>2.0</v>
      </c>
      <c r="AZ580" s="1">
        <v>1.0</v>
      </c>
      <c r="BA580" s="1">
        <v>1.0</v>
      </c>
      <c r="BB580" s="1">
        <v>1.0</v>
      </c>
      <c r="BC580" s="1">
        <v>0.0</v>
      </c>
      <c r="BD580" s="1">
        <v>0.13</v>
      </c>
      <c r="BE580" s="1">
        <v>129.0</v>
      </c>
      <c r="BF580" s="1">
        <v>45.0</v>
      </c>
      <c r="BG580" s="1">
        <v>0.0</v>
      </c>
      <c r="BH580" s="1">
        <v>19.0</v>
      </c>
      <c r="BI580" s="1">
        <v>11.0</v>
      </c>
      <c r="BJ580" s="1">
        <v>0.0</v>
      </c>
      <c r="BO580" s="1" t="s">
        <v>2448</v>
      </c>
      <c r="BP580" s="1">
        <v>0.959</v>
      </c>
      <c r="BU580" s="1" t="s">
        <v>974</v>
      </c>
      <c r="BV580" s="1">
        <v>1.1</v>
      </c>
      <c r="BW580" s="1">
        <v>43.0</v>
      </c>
      <c r="BX580" s="1">
        <v>4501.052</v>
      </c>
      <c r="BY580" s="1">
        <v>7182.37</v>
      </c>
      <c r="BZ580" s="1">
        <v>9226.109</v>
      </c>
      <c r="CA580" s="1">
        <v>20353.49</v>
      </c>
      <c r="CB580" s="1">
        <v>660.0</v>
      </c>
      <c r="CC580" s="1">
        <v>0.004</v>
      </c>
      <c r="CD580" s="1">
        <v>709487.0</v>
      </c>
      <c r="CE580" s="1">
        <v>1350.0</v>
      </c>
      <c r="CF580" s="1">
        <v>170.0</v>
      </c>
      <c r="CG580" s="1">
        <v>2702098.0</v>
      </c>
      <c r="CH580" s="1">
        <v>33192.0</v>
      </c>
      <c r="CI580" s="1">
        <v>2.0</v>
      </c>
      <c r="CJ580" s="1">
        <v>78733.0</v>
      </c>
      <c r="CK580" s="1">
        <v>21.0</v>
      </c>
      <c r="CL580" s="1">
        <v>176280.0</v>
      </c>
      <c r="CM580" s="1">
        <v>41.0</v>
      </c>
      <c r="CN580" s="1">
        <v>1747937.0</v>
      </c>
      <c r="CO580" s="1">
        <v>68.0</v>
      </c>
      <c r="CP580" s="1">
        <v>640732.0</v>
      </c>
      <c r="CQ580" s="1">
        <v>10.0</v>
      </c>
      <c r="CR580" s="1">
        <v>0.0</v>
      </c>
      <c r="CS580" s="1">
        <v>0.0</v>
      </c>
      <c r="CT580" s="1">
        <v>25224.0</v>
      </c>
      <c r="CU580" s="1">
        <v>28.0</v>
      </c>
      <c r="CV580" s="1">
        <v>1832784.0</v>
      </c>
      <c r="CW580" s="1">
        <v>71.0</v>
      </c>
      <c r="DC580" s="1">
        <v>0.0</v>
      </c>
      <c r="DD580" s="1">
        <v>5075.0</v>
      </c>
      <c r="DE580" s="1">
        <v>0.0</v>
      </c>
      <c r="DF580" s="1">
        <v>3396.0</v>
      </c>
      <c r="DG580" s="1">
        <v>300.0</v>
      </c>
      <c r="DH580" s="1">
        <v>108320.0</v>
      </c>
      <c r="DI580" s="1">
        <v>1050.0</v>
      </c>
      <c r="DJ580" s="1">
        <v>592696.0</v>
      </c>
      <c r="DK580" s="1">
        <v>1945.722</v>
      </c>
      <c r="DL580" s="1" t="s">
        <v>975</v>
      </c>
      <c r="DM580" s="1">
        <v>3382.094</v>
      </c>
      <c r="DN580" s="1" t="s">
        <v>975</v>
      </c>
      <c r="DO580" s="1">
        <v>2701593.0</v>
      </c>
      <c r="DP580" s="1">
        <v>1.0</v>
      </c>
      <c r="DQ580" s="1" t="s">
        <v>976</v>
      </c>
      <c r="DR580" s="1" t="s">
        <v>1064</v>
      </c>
      <c r="DS580" s="1" t="s">
        <v>978</v>
      </c>
      <c r="DT580" s="1" t="s">
        <v>979</v>
      </c>
      <c r="DU580" s="1" t="s">
        <v>980</v>
      </c>
      <c r="DV580" s="1">
        <v>17174.0</v>
      </c>
      <c r="DX580" s="1">
        <v>3974.0</v>
      </c>
      <c r="DY580" s="1">
        <v>657807.0</v>
      </c>
      <c r="DZ580" s="1" t="s">
        <v>981</v>
      </c>
      <c r="EA580" s="1">
        <v>842.0</v>
      </c>
      <c r="EB580" s="1">
        <v>0.0</v>
      </c>
      <c r="EC580" s="1">
        <v>35.0</v>
      </c>
      <c r="ED580" s="1">
        <v>26492.0</v>
      </c>
      <c r="EF580" s="1">
        <v>210.0</v>
      </c>
      <c r="EG580" s="1" t="s">
        <v>1032</v>
      </c>
      <c r="EH580" s="1">
        <v>100.0</v>
      </c>
      <c r="EK580" s="1">
        <v>100.0</v>
      </c>
      <c r="EQ580" s="9" t="s">
        <v>2444</v>
      </c>
      <c r="ER580" s="21">
        <v>46045.29883101852</v>
      </c>
    </row>
    <row r="581">
      <c r="A581" s="9" t="s">
        <v>2449</v>
      </c>
      <c r="B581" s="20" t="str">
        <f>IFERROR(__xludf.DUMMYFUNCTION("REGEXREPLACE(A581, ""^https?://[^/]+"", """")"),"/news-events/expansion-brings-time-tested-fractional-sales-leadership-to-australian-businesses-seeking-scalable-growth-solutions/")</f>
        <v>/news-events/expansion-brings-time-tested-fractional-sales-leadership-to-australian-businesses-seeking-scalable-growth-solutions/</v>
      </c>
      <c r="C581" s="1" t="s">
        <v>2450</v>
      </c>
      <c r="F581" s="1" t="s">
        <v>965</v>
      </c>
      <c r="G581" s="1">
        <v>200.0</v>
      </c>
      <c r="H581" s="1" t="s">
        <v>966</v>
      </c>
      <c r="I581" s="1" t="s">
        <v>967</v>
      </c>
      <c r="K581" s="1" t="s">
        <v>2451</v>
      </c>
      <c r="L581" s="1">
        <v>135.0</v>
      </c>
      <c r="M581" s="1">
        <v>1234.0</v>
      </c>
      <c r="O581" s="1">
        <v>0.0</v>
      </c>
      <c r="P581" s="1">
        <v>0.0</v>
      </c>
      <c r="Q581" s="1" t="s">
        <v>2452</v>
      </c>
      <c r="R581" s="1">
        <v>150.0</v>
      </c>
      <c r="S581" s="1">
        <v>931.0</v>
      </c>
      <c r="U581" s="1">
        <v>0.0</v>
      </c>
      <c r="V581" s="1" t="s">
        <v>2450</v>
      </c>
      <c r="W581" s="1">
        <v>115.0</v>
      </c>
      <c r="Y581" s="1">
        <v>0.0</v>
      </c>
      <c r="AA581" s="1">
        <v>0.0</v>
      </c>
      <c r="AC581" s="1">
        <v>0.0</v>
      </c>
      <c r="AD581" s="1" t="s">
        <v>971</v>
      </c>
      <c r="AG581" s="9" t="s">
        <v>2449</v>
      </c>
      <c r="AM581" s="1">
        <v>175190.0</v>
      </c>
      <c r="AN581" s="1">
        <v>32532.0</v>
      </c>
      <c r="AO581" s="1">
        <v>32532.0</v>
      </c>
      <c r="AP581" s="1">
        <v>12.462</v>
      </c>
      <c r="AR581" s="1">
        <v>859.0</v>
      </c>
      <c r="AS581" s="1">
        <v>138.0</v>
      </c>
      <c r="AT581" s="1">
        <v>6.225</v>
      </c>
      <c r="AU581" s="1">
        <v>48.454</v>
      </c>
      <c r="AV581" s="1" t="s">
        <v>1075</v>
      </c>
      <c r="AW581" s="1">
        <v>4.602</v>
      </c>
      <c r="AX581" s="1">
        <v>2.0</v>
      </c>
      <c r="AY581" s="1">
        <v>2.0</v>
      </c>
      <c r="AZ581" s="1">
        <v>1.0</v>
      </c>
      <c r="BA581" s="1">
        <v>1.0</v>
      </c>
      <c r="BB581" s="1">
        <v>1.0</v>
      </c>
      <c r="BC581" s="1">
        <v>0.0</v>
      </c>
      <c r="BD581" s="1">
        <v>0.13</v>
      </c>
      <c r="BE581" s="1">
        <v>126.0</v>
      </c>
      <c r="BF581" s="1">
        <v>44.0</v>
      </c>
      <c r="BG581" s="1">
        <v>0.0</v>
      </c>
      <c r="BH581" s="1">
        <v>17.0</v>
      </c>
      <c r="BI581" s="1">
        <v>9.0</v>
      </c>
      <c r="BJ581" s="1">
        <v>0.0</v>
      </c>
      <c r="BO581" s="1" t="s">
        <v>2453</v>
      </c>
      <c r="BP581" s="1">
        <v>0.979</v>
      </c>
      <c r="BU581" s="1" t="s">
        <v>974</v>
      </c>
      <c r="BV581" s="1">
        <v>1.1</v>
      </c>
      <c r="BW581" s="1">
        <v>52.0</v>
      </c>
      <c r="BX581" s="1">
        <v>4501.025</v>
      </c>
      <c r="BY581" s="1">
        <v>7162.764</v>
      </c>
      <c r="BZ581" s="1">
        <v>8551.05</v>
      </c>
      <c r="CA581" s="1">
        <v>19347.467</v>
      </c>
      <c r="CB581" s="1">
        <v>329.5</v>
      </c>
      <c r="CC581" s="1">
        <v>0.018</v>
      </c>
      <c r="CD581" s="1">
        <v>710881.0</v>
      </c>
      <c r="CE581" s="1">
        <v>1200.0</v>
      </c>
      <c r="CF581" s="1">
        <v>169.0</v>
      </c>
      <c r="CG581" s="1">
        <v>2691478.0</v>
      </c>
      <c r="CH581" s="1">
        <v>33271.0</v>
      </c>
      <c r="CI581" s="1">
        <v>2.0</v>
      </c>
      <c r="CJ581" s="1">
        <v>66447.0</v>
      </c>
      <c r="CK581" s="1">
        <v>20.0</v>
      </c>
      <c r="CL581" s="1">
        <v>177146.0</v>
      </c>
      <c r="CM581" s="1">
        <v>41.0</v>
      </c>
      <c r="CN581" s="1">
        <v>1747934.0</v>
      </c>
      <c r="CO581" s="1">
        <v>68.0</v>
      </c>
      <c r="CP581" s="1">
        <v>640725.0</v>
      </c>
      <c r="CQ581" s="1">
        <v>10.0</v>
      </c>
      <c r="CR581" s="1">
        <v>0.0</v>
      </c>
      <c r="CS581" s="1">
        <v>0.0</v>
      </c>
      <c r="CT581" s="1">
        <v>25955.0</v>
      </c>
      <c r="CU581" s="1">
        <v>28.0</v>
      </c>
      <c r="CV581" s="1">
        <v>1833628.0</v>
      </c>
      <c r="CW581" s="1">
        <v>71.0</v>
      </c>
      <c r="DC581" s="1">
        <v>0.0</v>
      </c>
      <c r="DD581" s="1">
        <v>5075.0</v>
      </c>
      <c r="DE581" s="1">
        <v>0.0</v>
      </c>
      <c r="DF581" s="1">
        <v>3396.0</v>
      </c>
      <c r="DG581" s="1">
        <v>300.0</v>
      </c>
      <c r="DH581" s="1">
        <v>108320.0</v>
      </c>
      <c r="DI581" s="1">
        <v>900.0</v>
      </c>
      <c r="DJ581" s="1">
        <v>594090.0</v>
      </c>
      <c r="DK581" s="1">
        <v>1624.807</v>
      </c>
      <c r="DL581" s="1" t="s">
        <v>975</v>
      </c>
      <c r="DM581" s="1">
        <v>2935.369</v>
      </c>
      <c r="DN581" s="1" t="s">
        <v>975</v>
      </c>
      <c r="DO581" s="1">
        <v>2690973.0</v>
      </c>
      <c r="DP581" s="1">
        <v>1.0</v>
      </c>
      <c r="DQ581" s="1" t="s">
        <v>976</v>
      </c>
      <c r="DR581" s="1" t="s">
        <v>1064</v>
      </c>
      <c r="DS581" s="1" t="s">
        <v>978</v>
      </c>
      <c r="DT581" s="1" t="s">
        <v>979</v>
      </c>
      <c r="DU581" s="1" t="s">
        <v>980</v>
      </c>
      <c r="DV581" s="1">
        <v>17145.0</v>
      </c>
      <c r="DX581" s="1">
        <v>4545.0</v>
      </c>
      <c r="DY581" s="1">
        <v>653037.0</v>
      </c>
      <c r="DZ581" s="1" t="s">
        <v>981</v>
      </c>
      <c r="EA581" s="1">
        <v>829.0</v>
      </c>
      <c r="EB581" s="1">
        <v>4453.0</v>
      </c>
      <c r="EC581" s="1">
        <v>1.0</v>
      </c>
      <c r="ED581" s="1">
        <v>26492.0</v>
      </c>
      <c r="EF581" s="1">
        <v>230.0</v>
      </c>
      <c r="EG581" s="1" t="s">
        <v>1032</v>
      </c>
      <c r="EH581" s="1">
        <v>100.0</v>
      </c>
      <c r="EK581" s="1">
        <v>100.0</v>
      </c>
      <c r="EQ581" s="9" t="s">
        <v>2449</v>
      </c>
      <c r="ER581" s="21">
        <v>46045.29883101852</v>
      </c>
    </row>
    <row r="582">
      <c r="A582" s="9" t="s">
        <v>2454</v>
      </c>
      <c r="B582" s="20" t="str">
        <f>IFERROR(__xludf.DUMMYFUNCTION("REGEXREPLACE(A582, ""^https?://[^/]+"", """")"),"/news-events/kevin-shaughnessy-san-antonio-entrepreneurs/")</f>
        <v>/news-events/kevin-shaughnessy-san-antonio-entrepreneurs/</v>
      </c>
      <c r="C582" s="1" t="s">
        <v>2455</v>
      </c>
      <c r="F582" s="1" t="s">
        <v>965</v>
      </c>
      <c r="G582" s="1">
        <v>200.0</v>
      </c>
      <c r="H582" s="1" t="s">
        <v>966</v>
      </c>
      <c r="I582" s="1" t="s">
        <v>967</v>
      </c>
      <c r="K582" s="1" t="s">
        <v>2456</v>
      </c>
      <c r="L582" s="1">
        <v>106.0</v>
      </c>
      <c r="M582" s="1">
        <v>971.0</v>
      </c>
      <c r="O582" s="1">
        <v>0.0</v>
      </c>
      <c r="P582" s="1">
        <v>0.0</v>
      </c>
      <c r="Q582" s="1" t="s">
        <v>2457</v>
      </c>
      <c r="R582" s="1">
        <v>133.0</v>
      </c>
      <c r="S582" s="1">
        <v>847.0</v>
      </c>
      <c r="U582" s="1">
        <v>0.0</v>
      </c>
      <c r="V582" s="1" t="s">
        <v>2455</v>
      </c>
      <c r="W582" s="1">
        <v>86.0</v>
      </c>
      <c r="Y582" s="1">
        <v>0.0</v>
      </c>
      <c r="AA582" s="1">
        <v>0.0</v>
      </c>
      <c r="AC582" s="1">
        <v>0.0</v>
      </c>
      <c r="AD582" s="1" t="s">
        <v>971</v>
      </c>
      <c r="AG582" s="9" t="s">
        <v>2454</v>
      </c>
      <c r="AM582" s="1">
        <v>174471.0</v>
      </c>
      <c r="AN582" s="1">
        <v>32169.0</v>
      </c>
      <c r="AO582" s="1">
        <v>32169.0</v>
      </c>
      <c r="AP582" s="1">
        <v>12.323</v>
      </c>
      <c r="AR582" s="1">
        <v>756.0</v>
      </c>
      <c r="AS582" s="1">
        <v>122.0</v>
      </c>
      <c r="AT582" s="1">
        <v>6.197</v>
      </c>
      <c r="AU582" s="1">
        <v>59.545</v>
      </c>
      <c r="AV582" s="1" t="s">
        <v>972</v>
      </c>
      <c r="AW582" s="1">
        <v>4.102</v>
      </c>
      <c r="AX582" s="1">
        <v>2.0</v>
      </c>
      <c r="AY582" s="1">
        <v>2.0</v>
      </c>
      <c r="AZ582" s="1">
        <v>1.0</v>
      </c>
      <c r="BA582" s="1">
        <v>1.0</v>
      </c>
      <c r="BB582" s="1">
        <v>1.0</v>
      </c>
      <c r="BC582" s="1">
        <v>0.0</v>
      </c>
      <c r="BD582" s="1">
        <v>0.13</v>
      </c>
      <c r="BE582" s="1">
        <v>129.0</v>
      </c>
      <c r="BF582" s="1">
        <v>45.0</v>
      </c>
      <c r="BG582" s="1">
        <v>0.0</v>
      </c>
      <c r="BH582" s="1">
        <v>16.0</v>
      </c>
      <c r="BI582" s="1">
        <v>8.0</v>
      </c>
      <c r="BJ582" s="1">
        <v>0.0</v>
      </c>
      <c r="BO582" s="1" t="s">
        <v>2458</v>
      </c>
      <c r="BP582" s="1">
        <v>0.963</v>
      </c>
      <c r="BU582" s="1" t="s">
        <v>974</v>
      </c>
      <c r="BV582" s="1">
        <v>1.1</v>
      </c>
      <c r="BW582" s="1">
        <v>51.0</v>
      </c>
      <c r="BX582" s="1">
        <v>4801.029</v>
      </c>
      <c r="BY582" s="1">
        <v>7534.893</v>
      </c>
      <c r="BZ582" s="1">
        <v>9901.062</v>
      </c>
      <c r="CA582" s="1">
        <v>21110.131</v>
      </c>
      <c r="CB582" s="1">
        <v>347.5</v>
      </c>
      <c r="CC582" s="1">
        <v>0.001</v>
      </c>
      <c r="CD582" s="1">
        <v>708798.0</v>
      </c>
      <c r="CE582" s="1">
        <v>1350.0</v>
      </c>
      <c r="CF582" s="1">
        <v>183.0</v>
      </c>
      <c r="CG582" s="1">
        <v>2774366.0</v>
      </c>
      <c r="CH582" s="1">
        <v>32907.0</v>
      </c>
      <c r="CI582" s="1">
        <v>2.0</v>
      </c>
      <c r="CJ582" s="1">
        <v>151533.0</v>
      </c>
      <c r="CK582" s="1">
        <v>34.0</v>
      </c>
      <c r="CL582" s="1">
        <v>175428.0</v>
      </c>
      <c r="CM582" s="1">
        <v>41.0</v>
      </c>
      <c r="CN582" s="1">
        <v>1748332.0</v>
      </c>
      <c r="CO582" s="1">
        <v>68.0</v>
      </c>
      <c r="CP582" s="1">
        <v>640735.0</v>
      </c>
      <c r="CQ582" s="1">
        <v>10.0</v>
      </c>
      <c r="CR582" s="1">
        <v>0.0</v>
      </c>
      <c r="CS582" s="1">
        <v>0.0</v>
      </c>
      <c r="CT582" s="1">
        <v>25431.0</v>
      </c>
      <c r="CU582" s="1">
        <v>28.0</v>
      </c>
      <c r="CV582" s="1">
        <v>1834009.0</v>
      </c>
      <c r="CW582" s="1">
        <v>78.0</v>
      </c>
      <c r="DC582" s="1">
        <v>0.0</v>
      </c>
      <c r="DD582" s="1">
        <v>5075.0</v>
      </c>
      <c r="DE582" s="1">
        <v>0.0</v>
      </c>
      <c r="DF582" s="1">
        <v>3396.0</v>
      </c>
      <c r="DG582" s="1">
        <v>450.0</v>
      </c>
      <c r="DH582" s="1">
        <v>108311.0</v>
      </c>
      <c r="DI582" s="1">
        <v>900.0</v>
      </c>
      <c r="DJ582" s="1">
        <v>592016.0</v>
      </c>
      <c r="DK582" s="1">
        <v>1529.42</v>
      </c>
      <c r="DL582" s="1" t="s">
        <v>975</v>
      </c>
      <c r="DM582" s="1">
        <v>2716.637</v>
      </c>
      <c r="DN582" s="1" t="s">
        <v>975</v>
      </c>
      <c r="DO582" s="1">
        <v>2773861.0</v>
      </c>
      <c r="DP582" s="1">
        <v>1.0</v>
      </c>
      <c r="DQ582" s="1" t="s">
        <v>976</v>
      </c>
      <c r="DR582" s="1" t="s">
        <v>1151</v>
      </c>
      <c r="DS582" s="1" t="s">
        <v>978</v>
      </c>
      <c r="DT582" s="1" t="s">
        <v>979</v>
      </c>
      <c r="DU582" s="1" t="s">
        <v>980</v>
      </c>
      <c r="DV582" s="1">
        <v>17324.0</v>
      </c>
      <c r="DX582" s="1">
        <v>3694.0</v>
      </c>
      <c r="DY582" s="1">
        <v>687763.0</v>
      </c>
      <c r="DZ582" s="1" t="s">
        <v>981</v>
      </c>
      <c r="EA582" s="1">
        <v>827.0</v>
      </c>
      <c r="EB582" s="1">
        <v>45007.0</v>
      </c>
      <c r="EC582" s="1">
        <v>1.0</v>
      </c>
      <c r="ED582" s="1">
        <v>26492.0</v>
      </c>
      <c r="EF582" s="1">
        <v>510.0</v>
      </c>
      <c r="EG582" s="1" t="s">
        <v>1032</v>
      </c>
      <c r="EH582" s="1">
        <v>100.0</v>
      </c>
      <c r="EK582" s="1">
        <v>100.0</v>
      </c>
      <c r="EQ582" s="9" t="s">
        <v>2454</v>
      </c>
      <c r="ER582" s="21">
        <v>46045.29883101852</v>
      </c>
    </row>
    <row r="583">
      <c r="A583" s="1" t="s">
        <v>2459</v>
      </c>
      <c r="B583" s="20" t="str">
        <f>IFERROR(__xludf.DUMMYFUNCTION("REGEXREPLACE(A583, ""^https?://[^/]+"", """")"),"/news-events/sales-xceleration-launches-sales-leadership-training-certification-program-genesis℠/")</f>
        <v>/news-events/sales-xceleration-launches-sales-leadership-training-certification-program-genesis℠/</v>
      </c>
      <c r="C583" s="1" t="s">
        <v>2460</v>
      </c>
      <c r="D583" s="1" t="s">
        <v>2461</v>
      </c>
      <c r="F583" s="1" t="s">
        <v>965</v>
      </c>
      <c r="G583" s="1">
        <v>200.0</v>
      </c>
      <c r="H583" s="1" t="s">
        <v>966</v>
      </c>
      <c r="I583" s="1" t="s">
        <v>967</v>
      </c>
      <c r="K583" s="1" t="s">
        <v>2462</v>
      </c>
      <c r="L583" s="1">
        <v>111.0</v>
      </c>
      <c r="M583" s="1">
        <v>1021.0</v>
      </c>
      <c r="O583" s="1">
        <v>0.0</v>
      </c>
      <c r="P583" s="1">
        <v>0.0</v>
      </c>
      <c r="Q583" s="1" t="s">
        <v>2463</v>
      </c>
      <c r="R583" s="1">
        <v>152.0</v>
      </c>
      <c r="S583" s="1">
        <v>918.0</v>
      </c>
      <c r="U583" s="1">
        <v>0.0</v>
      </c>
      <c r="V583" s="1" t="s">
        <v>2460</v>
      </c>
      <c r="W583" s="1">
        <v>91.0</v>
      </c>
      <c r="Y583" s="1">
        <v>0.0</v>
      </c>
      <c r="Z583" s="1" t="s">
        <v>2461</v>
      </c>
      <c r="AA583" s="1">
        <v>82.0</v>
      </c>
      <c r="AC583" s="1">
        <v>0.0</v>
      </c>
      <c r="AD583" s="1" t="s">
        <v>971</v>
      </c>
      <c r="AG583" s="1" t="s">
        <v>2459</v>
      </c>
      <c r="AM583" s="1">
        <v>175537.0</v>
      </c>
      <c r="AN583" s="1">
        <v>32824.0</v>
      </c>
      <c r="AO583" s="1">
        <v>32824.0</v>
      </c>
      <c r="AP583" s="1">
        <v>12.574</v>
      </c>
      <c r="AR583" s="1">
        <v>943.0</v>
      </c>
      <c r="AS583" s="1">
        <v>178.0</v>
      </c>
      <c r="AT583" s="1">
        <v>5.298</v>
      </c>
      <c r="AU583" s="1">
        <v>53.699</v>
      </c>
      <c r="AV583" s="1" t="s">
        <v>972</v>
      </c>
      <c r="AW583" s="1">
        <v>4.869</v>
      </c>
      <c r="AX583" s="1">
        <v>2.0</v>
      </c>
      <c r="AY583" s="1">
        <v>2.0</v>
      </c>
      <c r="AZ583" s="1">
        <v>1.0</v>
      </c>
      <c r="BA583" s="1">
        <v>1.0</v>
      </c>
      <c r="BB583" s="1">
        <v>1.0</v>
      </c>
      <c r="BC583" s="1">
        <v>0.0</v>
      </c>
      <c r="BD583" s="1">
        <v>0.13</v>
      </c>
      <c r="BE583" s="1">
        <v>133.0</v>
      </c>
      <c r="BF583" s="1">
        <v>46.0</v>
      </c>
      <c r="BG583" s="1">
        <v>0.0</v>
      </c>
      <c r="BH583" s="1">
        <v>16.0</v>
      </c>
      <c r="BI583" s="1">
        <v>8.0</v>
      </c>
      <c r="BJ583" s="1">
        <v>0.0</v>
      </c>
      <c r="BO583" s="1" t="s">
        <v>2464</v>
      </c>
      <c r="BP583" s="1">
        <v>1.697</v>
      </c>
      <c r="BU583" s="1" t="s">
        <v>974</v>
      </c>
      <c r="BV583" s="1">
        <v>1.1</v>
      </c>
      <c r="BW583" s="1">
        <v>53.0</v>
      </c>
      <c r="BX583" s="1">
        <v>4501.028</v>
      </c>
      <c r="BY583" s="1">
        <v>6777.057</v>
      </c>
      <c r="BZ583" s="1">
        <v>8851.058</v>
      </c>
      <c r="CA583" s="1">
        <v>19463.824</v>
      </c>
      <c r="CB583" s="1">
        <v>311.0</v>
      </c>
      <c r="CC583" s="1">
        <v>0.011</v>
      </c>
      <c r="CD583" s="1">
        <v>711036.0</v>
      </c>
      <c r="CE583" s="1">
        <v>1500.0</v>
      </c>
      <c r="CF583" s="1">
        <v>171.0</v>
      </c>
      <c r="CG583" s="1">
        <v>2731734.0</v>
      </c>
      <c r="CH583" s="1">
        <v>33675.0</v>
      </c>
      <c r="CI583" s="1">
        <v>2.0</v>
      </c>
      <c r="CJ583" s="1">
        <v>66174.0</v>
      </c>
      <c r="CK583" s="1">
        <v>20.0</v>
      </c>
      <c r="CL583" s="1">
        <v>176286.0</v>
      </c>
      <c r="CM583" s="1">
        <v>41.0</v>
      </c>
      <c r="CN583" s="1">
        <v>1748349.0</v>
      </c>
      <c r="CO583" s="1">
        <v>68.0</v>
      </c>
      <c r="CP583" s="1">
        <v>681627.0</v>
      </c>
      <c r="CQ583" s="1">
        <v>11.0</v>
      </c>
      <c r="CR583" s="1">
        <v>0.0</v>
      </c>
      <c r="CS583" s="1">
        <v>0.0</v>
      </c>
      <c r="CT583" s="1">
        <v>25623.0</v>
      </c>
      <c r="CU583" s="1">
        <v>29.0</v>
      </c>
      <c r="CV583" s="1">
        <v>1833485.0</v>
      </c>
      <c r="CW583" s="1">
        <v>72.0</v>
      </c>
      <c r="DC583" s="1">
        <v>0.0</v>
      </c>
      <c r="DD583" s="1">
        <v>5075.0</v>
      </c>
      <c r="DE583" s="1">
        <v>0.0</v>
      </c>
      <c r="DF583" s="1">
        <v>3396.0</v>
      </c>
      <c r="DG583" s="1">
        <v>450.0</v>
      </c>
      <c r="DH583" s="1">
        <v>108254.0</v>
      </c>
      <c r="DI583" s="1">
        <v>1050.0</v>
      </c>
      <c r="DJ583" s="1">
        <v>594311.0</v>
      </c>
      <c r="DK583" s="1">
        <v>1416.89</v>
      </c>
      <c r="DL583" s="1" t="s">
        <v>975</v>
      </c>
      <c r="DM583" s="1">
        <v>2763.106</v>
      </c>
      <c r="DN583" s="1" t="s">
        <v>975</v>
      </c>
      <c r="DO583" s="1">
        <v>2731229.0</v>
      </c>
      <c r="DP583" s="1">
        <v>1.0</v>
      </c>
      <c r="DQ583" s="1" t="s">
        <v>976</v>
      </c>
      <c r="DR583" s="1" t="s">
        <v>1151</v>
      </c>
      <c r="DS583" s="1" t="s">
        <v>978</v>
      </c>
      <c r="DT583" s="1" t="s">
        <v>979</v>
      </c>
      <c r="DU583" s="1" t="s">
        <v>980</v>
      </c>
      <c r="DV583" s="1">
        <v>17145.0</v>
      </c>
      <c r="DX583" s="1">
        <v>3843.0</v>
      </c>
      <c r="DY583" s="1">
        <v>669141.0</v>
      </c>
      <c r="DZ583" s="1" t="s">
        <v>981</v>
      </c>
      <c r="EA583" s="1">
        <v>853.0</v>
      </c>
      <c r="EB583" s="1">
        <v>4453.0</v>
      </c>
      <c r="EC583" s="1">
        <v>9.0</v>
      </c>
      <c r="ED583" s="1">
        <v>26492.0</v>
      </c>
      <c r="EF583" s="1">
        <v>660.0</v>
      </c>
      <c r="EG583" s="1" t="s">
        <v>1032</v>
      </c>
      <c r="EH583" s="1">
        <v>100.0</v>
      </c>
      <c r="EK583" s="1">
        <v>100.0</v>
      </c>
      <c r="EQ583" s="9" t="s">
        <v>2465</v>
      </c>
      <c r="ER583" s="21">
        <v>46045.29883101852</v>
      </c>
    </row>
    <row r="584">
      <c r="A584" s="9" t="s">
        <v>2466</v>
      </c>
      <c r="B584" s="20" t="str">
        <f>IFERROR(__xludf.DUMMYFUNCTION("REGEXREPLACE(A584, ""^https?://[^/]+"", """")"),"/news-events/the-firefly-group-invests-in-sales-xceleration-2/")</f>
        <v>/news-events/the-firefly-group-invests-in-sales-xceleration-2/</v>
      </c>
      <c r="C584" s="1" t="s">
        <v>2467</v>
      </c>
      <c r="F584" s="1" t="s">
        <v>965</v>
      </c>
      <c r="G584" s="1">
        <v>200.0</v>
      </c>
      <c r="H584" s="1" t="s">
        <v>966</v>
      </c>
      <c r="I584" s="1" t="s">
        <v>967</v>
      </c>
      <c r="K584" s="1" t="s">
        <v>2468</v>
      </c>
      <c r="L584" s="1">
        <v>66.0</v>
      </c>
      <c r="M584" s="1">
        <v>575.0</v>
      </c>
      <c r="O584" s="1">
        <v>0.0</v>
      </c>
      <c r="P584" s="1">
        <v>0.0</v>
      </c>
      <c r="Q584" s="1" t="s">
        <v>2469</v>
      </c>
      <c r="R584" s="1">
        <v>149.0</v>
      </c>
      <c r="S584" s="1">
        <v>919.0</v>
      </c>
      <c r="U584" s="1">
        <v>0.0</v>
      </c>
      <c r="V584" s="1" t="s">
        <v>2467</v>
      </c>
      <c r="W584" s="1">
        <v>46.0</v>
      </c>
      <c r="Y584" s="1">
        <v>0.0</v>
      </c>
      <c r="AA584" s="1">
        <v>0.0</v>
      </c>
      <c r="AC584" s="1">
        <v>0.0</v>
      </c>
      <c r="AD584" s="1" t="s">
        <v>971</v>
      </c>
      <c r="AG584" s="9" t="s">
        <v>2466</v>
      </c>
      <c r="AM584" s="1">
        <v>178043.0</v>
      </c>
      <c r="AN584" s="1">
        <v>33450.0</v>
      </c>
      <c r="AO584" s="1">
        <v>33450.0</v>
      </c>
      <c r="AP584" s="1">
        <v>12.814</v>
      </c>
      <c r="AR584" s="1">
        <v>1188.0</v>
      </c>
      <c r="AS584" s="1">
        <v>198.0</v>
      </c>
      <c r="AT584" s="1">
        <v>6.0</v>
      </c>
      <c r="AU584" s="1">
        <v>55.686</v>
      </c>
      <c r="AV584" s="1" t="s">
        <v>972</v>
      </c>
      <c r="AW584" s="1">
        <v>5.732</v>
      </c>
      <c r="AX584" s="1">
        <v>2.0</v>
      </c>
      <c r="AY584" s="1">
        <v>2.0</v>
      </c>
      <c r="AZ584" s="1">
        <v>1.0</v>
      </c>
      <c r="BA584" s="1">
        <v>1.0</v>
      </c>
      <c r="BB584" s="1">
        <v>1.0</v>
      </c>
      <c r="BC584" s="1">
        <v>0.0</v>
      </c>
      <c r="BD584" s="1">
        <v>0.13</v>
      </c>
      <c r="BE584" s="1">
        <v>131.0</v>
      </c>
      <c r="BF584" s="1">
        <v>45.0</v>
      </c>
      <c r="BG584" s="1">
        <v>0.0</v>
      </c>
      <c r="BH584" s="1">
        <v>20.0</v>
      </c>
      <c r="BI584" s="1">
        <v>11.0</v>
      </c>
      <c r="BJ584" s="1">
        <v>0.0</v>
      </c>
      <c r="BO584" s="1" t="s">
        <v>2470</v>
      </c>
      <c r="BP584" s="1">
        <v>1.02</v>
      </c>
      <c r="BU584" s="1" t="s">
        <v>974</v>
      </c>
      <c r="BV584" s="1">
        <v>1.1</v>
      </c>
      <c r="BW584" s="1">
        <v>53.0</v>
      </c>
      <c r="BX584" s="1">
        <v>4951.048</v>
      </c>
      <c r="BY584" s="1">
        <v>7659.967</v>
      </c>
      <c r="BZ584" s="1">
        <v>10051.102</v>
      </c>
      <c r="CA584" s="1">
        <v>20527.58</v>
      </c>
      <c r="CB584" s="1">
        <v>285.5</v>
      </c>
      <c r="CC584" s="1">
        <v>0.006</v>
      </c>
      <c r="CD584" s="1">
        <v>709708.0</v>
      </c>
      <c r="CE584" s="1">
        <v>1500.0</v>
      </c>
      <c r="CF584" s="1">
        <v>169.0</v>
      </c>
      <c r="CG584" s="1">
        <v>2690368.0</v>
      </c>
      <c r="CH584" s="1">
        <v>34155.0</v>
      </c>
      <c r="CI584" s="1">
        <v>2.0</v>
      </c>
      <c r="CJ584" s="1">
        <v>66174.0</v>
      </c>
      <c r="CK584" s="1">
        <v>20.0</v>
      </c>
      <c r="CL584" s="1">
        <v>176278.0</v>
      </c>
      <c r="CM584" s="1">
        <v>41.0</v>
      </c>
      <c r="CN584" s="1">
        <v>1747873.0</v>
      </c>
      <c r="CO584" s="1">
        <v>68.0</v>
      </c>
      <c r="CP584" s="1">
        <v>640721.0</v>
      </c>
      <c r="CQ584" s="1">
        <v>10.0</v>
      </c>
      <c r="CR584" s="1">
        <v>0.0</v>
      </c>
      <c r="CS584" s="1">
        <v>0.0</v>
      </c>
      <c r="CT584" s="1">
        <v>25167.0</v>
      </c>
      <c r="CU584" s="1">
        <v>28.0</v>
      </c>
      <c r="CV584" s="1">
        <v>1832709.0</v>
      </c>
      <c r="CW584" s="1">
        <v>71.0</v>
      </c>
      <c r="DC584" s="1">
        <v>0.0</v>
      </c>
      <c r="DD584" s="1">
        <v>5075.0</v>
      </c>
      <c r="DE584" s="1">
        <v>0.0</v>
      </c>
      <c r="DF584" s="1">
        <v>3396.0</v>
      </c>
      <c r="DG584" s="1">
        <v>600.0</v>
      </c>
      <c r="DH584" s="1">
        <v>108318.0</v>
      </c>
      <c r="DI584" s="1">
        <v>900.0</v>
      </c>
      <c r="DJ584" s="1">
        <v>592919.0</v>
      </c>
      <c r="DK584" s="1">
        <v>1384.392</v>
      </c>
      <c r="DL584" s="1" t="s">
        <v>975</v>
      </c>
      <c r="DM584" s="1">
        <v>2632.027</v>
      </c>
      <c r="DN584" s="1" t="s">
        <v>975</v>
      </c>
      <c r="DO584" s="1">
        <v>2689863.0</v>
      </c>
      <c r="DP584" s="1">
        <v>1.0</v>
      </c>
      <c r="DQ584" s="1" t="s">
        <v>976</v>
      </c>
      <c r="DR584" s="1" t="s">
        <v>1151</v>
      </c>
      <c r="DS584" s="1" t="s">
        <v>978</v>
      </c>
      <c r="DT584" s="1" t="s">
        <v>979</v>
      </c>
      <c r="DU584" s="1" t="s">
        <v>980</v>
      </c>
      <c r="DV584" s="1">
        <v>17295.0</v>
      </c>
      <c r="DX584" s="1">
        <v>4069.0</v>
      </c>
      <c r="DY584" s="1">
        <v>652775.0</v>
      </c>
      <c r="DZ584" s="1" t="s">
        <v>981</v>
      </c>
      <c r="EA584" s="1">
        <v>852.0</v>
      </c>
      <c r="EB584" s="1">
        <v>4453.0</v>
      </c>
      <c r="EC584" s="1">
        <v>1.0</v>
      </c>
      <c r="ED584" s="1">
        <v>26492.0</v>
      </c>
      <c r="EF584" s="1">
        <v>230.0</v>
      </c>
      <c r="EG584" s="1" t="s">
        <v>1032</v>
      </c>
      <c r="EH584" s="1">
        <v>100.0</v>
      </c>
      <c r="EK584" s="1">
        <v>100.0</v>
      </c>
      <c r="EQ584" s="9" t="s">
        <v>2466</v>
      </c>
      <c r="ER584" s="21">
        <v>46045.298842592594</v>
      </c>
    </row>
    <row r="585">
      <c r="A585" s="9" t="s">
        <v>2471</v>
      </c>
      <c r="B585" s="20" t="str">
        <f>IFERROR(__xludf.DUMMYFUNCTION("REGEXREPLACE(A585, ""^https?://[^/]+"", """")"),"/news-events/eight-experienced-sales-leaders-join-sales-xceleration/")</f>
        <v>/news-events/eight-experienced-sales-leaders-join-sales-xceleration/</v>
      </c>
      <c r="C585" s="1" t="s">
        <v>2472</v>
      </c>
      <c r="F585" s="1" t="s">
        <v>965</v>
      </c>
      <c r="G585" s="1">
        <v>200.0</v>
      </c>
      <c r="H585" s="1" t="s">
        <v>966</v>
      </c>
      <c r="I585" s="1" t="s">
        <v>967</v>
      </c>
      <c r="K585" s="1" t="s">
        <v>2473</v>
      </c>
      <c r="L585" s="1">
        <v>68.0</v>
      </c>
      <c r="M585" s="1">
        <v>615.0</v>
      </c>
      <c r="O585" s="1">
        <v>0.0</v>
      </c>
      <c r="P585" s="1">
        <v>0.0</v>
      </c>
      <c r="Q585" s="1" t="s">
        <v>2474</v>
      </c>
      <c r="R585" s="1">
        <v>156.0</v>
      </c>
      <c r="S585" s="1">
        <v>960.0</v>
      </c>
      <c r="U585" s="1">
        <v>0.0</v>
      </c>
      <c r="V585" s="1" t="s">
        <v>2472</v>
      </c>
      <c r="W585" s="1">
        <v>48.0</v>
      </c>
      <c r="Y585" s="1">
        <v>0.0</v>
      </c>
      <c r="AA585" s="1">
        <v>0.0</v>
      </c>
      <c r="AC585" s="1">
        <v>0.0</v>
      </c>
      <c r="AD585" s="1" t="s">
        <v>971</v>
      </c>
      <c r="AG585" s="9" t="s">
        <v>2471</v>
      </c>
      <c r="AM585" s="1">
        <v>176592.0</v>
      </c>
      <c r="AN585" s="1">
        <v>32454.0</v>
      </c>
      <c r="AO585" s="1">
        <v>32454.0</v>
      </c>
      <c r="AP585" s="1">
        <v>12.433</v>
      </c>
      <c r="AR585" s="1">
        <v>829.0</v>
      </c>
      <c r="AS585" s="1">
        <v>140.0</v>
      </c>
      <c r="AT585" s="1">
        <v>5.921</v>
      </c>
      <c r="AU585" s="1">
        <v>59.689</v>
      </c>
      <c r="AV585" s="1" t="s">
        <v>972</v>
      </c>
      <c r="AW585" s="1">
        <v>4.314</v>
      </c>
      <c r="AX585" s="1">
        <v>2.0</v>
      </c>
      <c r="AY585" s="1">
        <v>2.0</v>
      </c>
      <c r="AZ585" s="1">
        <v>1.0</v>
      </c>
      <c r="BA585" s="1">
        <v>1.0</v>
      </c>
      <c r="BB585" s="1">
        <v>1.0</v>
      </c>
      <c r="BC585" s="1">
        <v>0.0</v>
      </c>
      <c r="BD585" s="1">
        <v>0.13</v>
      </c>
      <c r="BE585" s="1">
        <v>131.0</v>
      </c>
      <c r="BF585" s="1">
        <v>48.0</v>
      </c>
      <c r="BG585" s="1">
        <v>0.0</v>
      </c>
      <c r="BH585" s="1">
        <v>16.0</v>
      </c>
      <c r="BI585" s="1">
        <v>8.0</v>
      </c>
      <c r="BJ585" s="1">
        <v>0.0</v>
      </c>
      <c r="BO585" s="1" t="s">
        <v>2475</v>
      </c>
      <c r="BP585" s="1">
        <v>0.95</v>
      </c>
      <c r="BU585" s="1" t="s">
        <v>974</v>
      </c>
      <c r="BV585" s="1">
        <v>1.1</v>
      </c>
      <c r="BW585" s="1">
        <v>43.0</v>
      </c>
      <c r="BX585" s="1">
        <v>4951.051</v>
      </c>
      <c r="BY585" s="1">
        <v>8229.65</v>
      </c>
      <c r="BZ585" s="1">
        <v>10351.11</v>
      </c>
      <c r="CA585" s="1">
        <v>20699.084</v>
      </c>
      <c r="CB585" s="1">
        <v>590.5</v>
      </c>
      <c r="CC585" s="1">
        <v>0.023</v>
      </c>
      <c r="CD585" s="1">
        <v>708732.0</v>
      </c>
      <c r="CE585" s="1">
        <v>1500.0</v>
      </c>
      <c r="CF585" s="1">
        <v>171.0</v>
      </c>
      <c r="CG585" s="1">
        <v>2691476.0</v>
      </c>
      <c r="CH585" s="1">
        <v>33216.0</v>
      </c>
      <c r="CI585" s="1">
        <v>2.0</v>
      </c>
      <c r="CJ585" s="1">
        <v>66387.0</v>
      </c>
      <c r="CK585" s="1">
        <v>21.0</v>
      </c>
      <c r="CL585" s="1">
        <v>176278.0</v>
      </c>
      <c r="CM585" s="1">
        <v>41.0</v>
      </c>
      <c r="CN585" s="1">
        <v>1749393.0</v>
      </c>
      <c r="CO585" s="1">
        <v>68.0</v>
      </c>
      <c r="CP585" s="1">
        <v>640723.0</v>
      </c>
      <c r="CQ585" s="1">
        <v>10.0</v>
      </c>
      <c r="CR585" s="1">
        <v>0.0</v>
      </c>
      <c r="CS585" s="1">
        <v>0.0</v>
      </c>
      <c r="CT585" s="1">
        <v>25479.0</v>
      </c>
      <c r="CU585" s="1">
        <v>29.0</v>
      </c>
      <c r="CV585" s="1">
        <v>1834747.0</v>
      </c>
      <c r="CW585" s="1">
        <v>73.0</v>
      </c>
      <c r="DC585" s="1">
        <v>150.0</v>
      </c>
      <c r="DD585" s="1">
        <v>5075.0</v>
      </c>
      <c r="DE585" s="1">
        <v>0.0</v>
      </c>
      <c r="DF585" s="1">
        <v>3396.0</v>
      </c>
      <c r="DG585" s="1">
        <v>450.0</v>
      </c>
      <c r="DH585" s="1">
        <v>108319.0</v>
      </c>
      <c r="DI585" s="1">
        <v>900.0</v>
      </c>
      <c r="DJ585" s="1">
        <v>591942.0</v>
      </c>
      <c r="DK585" s="1">
        <v>2230.705</v>
      </c>
      <c r="DL585" s="1" t="s">
        <v>975</v>
      </c>
      <c r="DM585" s="1">
        <v>4234.295</v>
      </c>
      <c r="DN585" s="1" t="s">
        <v>975</v>
      </c>
      <c r="DO585" s="1">
        <v>2690971.0</v>
      </c>
      <c r="DP585" s="1">
        <v>63.0</v>
      </c>
      <c r="DQ585" s="1" t="s">
        <v>976</v>
      </c>
      <c r="DR585" s="1" t="s">
        <v>1464</v>
      </c>
      <c r="DS585" s="1" t="s">
        <v>978</v>
      </c>
      <c r="DT585" s="1" t="s">
        <v>979</v>
      </c>
      <c r="DU585" s="1" t="s">
        <v>980</v>
      </c>
      <c r="DV585" s="1">
        <v>17295.0</v>
      </c>
      <c r="DX585" s="1">
        <v>4792.0</v>
      </c>
      <c r="DY585" s="1">
        <v>652980.0</v>
      </c>
      <c r="DZ585" s="1" t="s">
        <v>981</v>
      </c>
      <c r="EA585" s="1">
        <v>847.0</v>
      </c>
      <c r="EB585" s="1">
        <v>4453.0</v>
      </c>
      <c r="EC585" s="1">
        <v>1.0</v>
      </c>
      <c r="ED585" s="1">
        <v>26492.0</v>
      </c>
      <c r="EF585" s="1">
        <v>240.0</v>
      </c>
      <c r="EG585" s="1" t="s">
        <v>1032</v>
      </c>
      <c r="EH585" s="1">
        <v>100.0</v>
      </c>
      <c r="EK585" s="1">
        <v>100.0</v>
      </c>
      <c r="EQ585" s="9" t="s">
        <v>2471</v>
      </c>
      <c r="ER585" s="21">
        <v>46045.298842592594</v>
      </c>
    </row>
    <row r="586">
      <c r="A586" s="9" t="s">
        <v>2476</v>
      </c>
      <c r="B586" s="20" t="str">
        <f>IFERROR(__xludf.DUMMYFUNCTION("REGEXREPLACE(A586, ""^https?://[^/]+"", """")"),"/news-events/business-owners-continue-to-adopt-the-fractional-sales-model/")</f>
        <v>/news-events/business-owners-continue-to-adopt-the-fractional-sales-model/</v>
      </c>
      <c r="C586" s="1" t="s">
        <v>2477</v>
      </c>
      <c r="F586" s="1" t="s">
        <v>965</v>
      </c>
      <c r="G586" s="1">
        <v>200.0</v>
      </c>
      <c r="H586" s="1" t="s">
        <v>966</v>
      </c>
      <c r="I586" s="1" t="s">
        <v>967</v>
      </c>
      <c r="K586" s="1" t="s">
        <v>2478</v>
      </c>
      <c r="L586" s="1">
        <v>80.0</v>
      </c>
      <c r="M586" s="1">
        <v>732.0</v>
      </c>
      <c r="O586" s="1">
        <v>0.0</v>
      </c>
      <c r="P586" s="1">
        <v>0.0</v>
      </c>
      <c r="Q586" s="1" t="s">
        <v>2479</v>
      </c>
      <c r="R586" s="1">
        <v>156.0</v>
      </c>
      <c r="S586" s="1">
        <v>975.0</v>
      </c>
      <c r="U586" s="1">
        <v>0.0</v>
      </c>
      <c r="V586" s="1" t="s">
        <v>2477</v>
      </c>
      <c r="W586" s="1">
        <v>60.0</v>
      </c>
      <c r="Y586" s="1">
        <v>0.0</v>
      </c>
      <c r="AA586" s="1">
        <v>0.0</v>
      </c>
      <c r="AC586" s="1">
        <v>0.0</v>
      </c>
      <c r="AD586" s="1" t="s">
        <v>971</v>
      </c>
      <c r="AG586" s="9" t="s">
        <v>2476</v>
      </c>
      <c r="AM586" s="1">
        <v>175843.0</v>
      </c>
      <c r="AN586" s="1">
        <v>32632.0</v>
      </c>
      <c r="AO586" s="1">
        <v>32632.0</v>
      </c>
      <c r="AP586" s="1">
        <v>12.501</v>
      </c>
      <c r="AR586" s="1">
        <v>815.0</v>
      </c>
      <c r="AS586" s="1">
        <v>139.0</v>
      </c>
      <c r="AT586" s="1">
        <v>5.863</v>
      </c>
      <c r="AU586" s="1">
        <v>58.361</v>
      </c>
      <c r="AV586" s="1" t="s">
        <v>972</v>
      </c>
      <c r="AW586" s="1">
        <v>4.302</v>
      </c>
      <c r="AX586" s="1">
        <v>2.0</v>
      </c>
      <c r="AY586" s="1">
        <v>2.0</v>
      </c>
      <c r="AZ586" s="1">
        <v>1.0</v>
      </c>
      <c r="BA586" s="1">
        <v>1.0</v>
      </c>
      <c r="BB586" s="1">
        <v>1.0</v>
      </c>
      <c r="BC586" s="1">
        <v>0.0</v>
      </c>
      <c r="BD586" s="1">
        <v>0.13</v>
      </c>
      <c r="BE586" s="1">
        <v>130.0</v>
      </c>
      <c r="BF586" s="1">
        <v>47.0</v>
      </c>
      <c r="BG586" s="1">
        <v>0.0</v>
      </c>
      <c r="BH586" s="1">
        <v>17.0</v>
      </c>
      <c r="BI586" s="1">
        <v>9.0</v>
      </c>
      <c r="BJ586" s="1">
        <v>0.0</v>
      </c>
      <c r="BO586" s="1" t="s">
        <v>2480</v>
      </c>
      <c r="BP586" s="1">
        <v>0.998</v>
      </c>
      <c r="BU586" s="1" t="s">
        <v>974</v>
      </c>
      <c r="BV586" s="1">
        <v>1.1</v>
      </c>
      <c r="BW586" s="1">
        <v>57.0</v>
      </c>
      <c r="BX586" s="1">
        <v>4951.036</v>
      </c>
      <c r="BY586" s="1">
        <v>8131.634</v>
      </c>
      <c r="BZ586" s="1">
        <v>10876.081</v>
      </c>
      <c r="CA586" s="1">
        <v>19460.293</v>
      </c>
      <c r="CB586" s="1">
        <v>87.5</v>
      </c>
      <c r="CC586" s="1">
        <v>0.0</v>
      </c>
      <c r="CD586" s="1">
        <v>708475.0</v>
      </c>
      <c r="CE586" s="1">
        <v>1350.0</v>
      </c>
      <c r="CF586" s="1">
        <v>175.0</v>
      </c>
      <c r="CG586" s="1">
        <v>2707290.0</v>
      </c>
      <c r="CH586" s="1">
        <v>33392.0</v>
      </c>
      <c r="CI586" s="1">
        <v>2.0</v>
      </c>
      <c r="CJ586" s="1">
        <v>82862.0</v>
      </c>
      <c r="CK586" s="1">
        <v>25.0</v>
      </c>
      <c r="CL586" s="1">
        <v>176273.0</v>
      </c>
      <c r="CM586" s="1">
        <v>41.0</v>
      </c>
      <c r="CN586" s="1">
        <v>1748246.0</v>
      </c>
      <c r="CO586" s="1">
        <v>68.0</v>
      </c>
      <c r="CP586" s="1">
        <v>640737.0</v>
      </c>
      <c r="CQ586" s="1">
        <v>10.0</v>
      </c>
      <c r="CR586" s="1">
        <v>0.0</v>
      </c>
      <c r="CS586" s="1">
        <v>0.0</v>
      </c>
      <c r="CT586" s="1">
        <v>25780.0</v>
      </c>
      <c r="CU586" s="1">
        <v>29.0</v>
      </c>
      <c r="CV586" s="1">
        <v>1833653.0</v>
      </c>
      <c r="CW586" s="1">
        <v>72.0</v>
      </c>
      <c r="DC586" s="1">
        <v>0.0</v>
      </c>
      <c r="DD586" s="1">
        <v>5074.0</v>
      </c>
      <c r="DE586" s="1">
        <v>0.0</v>
      </c>
      <c r="DF586" s="1">
        <v>3396.0</v>
      </c>
      <c r="DG586" s="1">
        <v>450.0</v>
      </c>
      <c r="DH586" s="1">
        <v>108320.0</v>
      </c>
      <c r="DI586" s="1">
        <v>900.0</v>
      </c>
      <c r="DJ586" s="1">
        <v>591685.0</v>
      </c>
      <c r="DK586" s="1">
        <v>980.089</v>
      </c>
      <c r="DL586" s="1" t="s">
        <v>992</v>
      </c>
      <c r="DM586" s="1">
        <v>1887.119</v>
      </c>
      <c r="DN586" s="1" t="s">
        <v>992</v>
      </c>
      <c r="DO586" s="1">
        <v>2706785.0</v>
      </c>
      <c r="DP586" s="1">
        <v>1.0</v>
      </c>
      <c r="DQ586" s="1" t="s">
        <v>976</v>
      </c>
      <c r="DR586" s="1" t="s">
        <v>1064</v>
      </c>
      <c r="DS586" s="1" t="s">
        <v>978</v>
      </c>
      <c r="DT586" s="1" t="s">
        <v>979</v>
      </c>
      <c r="DU586" s="1" t="s">
        <v>980</v>
      </c>
      <c r="DV586" s="1">
        <v>17296.0</v>
      </c>
      <c r="DX586" s="1">
        <v>4023.0</v>
      </c>
      <c r="DY586" s="1">
        <v>659456.0</v>
      </c>
      <c r="DZ586" s="1" t="s">
        <v>981</v>
      </c>
      <c r="EA586" s="1">
        <v>839.0</v>
      </c>
      <c r="EB586" s="1">
        <v>4453.0</v>
      </c>
      <c r="EC586" s="1">
        <v>0.0</v>
      </c>
      <c r="ED586" s="1">
        <v>26492.0</v>
      </c>
      <c r="EF586" s="1">
        <v>220.0</v>
      </c>
      <c r="EG586" s="1" t="s">
        <v>1032</v>
      </c>
      <c r="EH586" s="1">
        <v>100.0</v>
      </c>
      <c r="EK586" s="1">
        <v>100.0</v>
      </c>
      <c r="EQ586" s="9" t="s">
        <v>2476</v>
      </c>
      <c r="ER586" s="21">
        <v>46045.298842592594</v>
      </c>
    </row>
    <row r="587">
      <c r="A587" s="9" t="s">
        <v>2481</v>
      </c>
      <c r="B587" s="20" t="str">
        <f>IFERROR(__xludf.DUMMYFUNCTION("REGEXREPLACE(A587, ""^https?://[^/]+"", """")"),"/news-events/new-outsourced-vps-of-sales-are-ready-to-build-a-path-to-more-sales/")</f>
        <v>/news-events/new-outsourced-vps-of-sales-are-ready-to-build-a-path-to-more-sales/</v>
      </c>
      <c r="C587" s="1" t="s">
        <v>2482</v>
      </c>
      <c r="D587" s="1" t="s">
        <v>1172</v>
      </c>
      <c r="F587" s="1" t="s">
        <v>965</v>
      </c>
      <c r="G587" s="1">
        <v>200.0</v>
      </c>
      <c r="H587" s="1" t="s">
        <v>966</v>
      </c>
      <c r="I587" s="1" t="s">
        <v>967</v>
      </c>
      <c r="K587" s="1" t="s">
        <v>2483</v>
      </c>
      <c r="L587" s="1">
        <v>87.0</v>
      </c>
      <c r="M587" s="1">
        <v>795.0</v>
      </c>
      <c r="O587" s="1">
        <v>0.0</v>
      </c>
      <c r="P587" s="1">
        <v>0.0</v>
      </c>
      <c r="Q587" s="1" t="s">
        <v>2484</v>
      </c>
      <c r="R587" s="1">
        <v>155.0</v>
      </c>
      <c r="S587" s="1">
        <v>971.0</v>
      </c>
      <c r="U587" s="1">
        <v>0.0</v>
      </c>
      <c r="V587" s="1" t="s">
        <v>2482</v>
      </c>
      <c r="W587" s="1">
        <v>67.0</v>
      </c>
      <c r="Y587" s="1">
        <v>0.0</v>
      </c>
      <c r="Z587" s="1" t="s">
        <v>1172</v>
      </c>
      <c r="AA587" s="1">
        <v>23.0</v>
      </c>
      <c r="AC587" s="1">
        <v>0.0</v>
      </c>
      <c r="AD587" s="1" t="s">
        <v>971</v>
      </c>
      <c r="AG587" s="9" t="s">
        <v>2481</v>
      </c>
      <c r="AM587" s="1">
        <v>175749.0</v>
      </c>
      <c r="AN587" s="1">
        <v>32691.0</v>
      </c>
      <c r="AO587" s="1">
        <v>32691.0</v>
      </c>
      <c r="AP587" s="1">
        <v>12.523</v>
      </c>
      <c r="AR587" s="1">
        <v>840.0</v>
      </c>
      <c r="AS587" s="1">
        <v>139.0</v>
      </c>
      <c r="AT587" s="1">
        <v>6.043</v>
      </c>
      <c r="AU587" s="1">
        <v>60.305</v>
      </c>
      <c r="AV587" s="1" t="s">
        <v>990</v>
      </c>
      <c r="AW587" s="1">
        <v>4.362</v>
      </c>
      <c r="AX587" s="1">
        <v>2.0</v>
      </c>
      <c r="AY587" s="1">
        <v>2.0</v>
      </c>
      <c r="AZ587" s="1">
        <v>1.0</v>
      </c>
      <c r="BA587" s="1">
        <v>1.0</v>
      </c>
      <c r="BB587" s="1">
        <v>1.0</v>
      </c>
      <c r="BC587" s="1">
        <v>0.0</v>
      </c>
      <c r="BD587" s="1">
        <v>0.13</v>
      </c>
      <c r="BE587" s="1">
        <v>129.0</v>
      </c>
      <c r="BF587" s="1">
        <v>47.0</v>
      </c>
      <c r="BG587" s="1">
        <v>0.0</v>
      </c>
      <c r="BH587" s="1">
        <v>19.0</v>
      </c>
      <c r="BI587" s="1">
        <v>11.0</v>
      </c>
      <c r="BJ587" s="1">
        <v>0.0</v>
      </c>
      <c r="BO587" s="1" t="s">
        <v>2485</v>
      </c>
      <c r="BP587" s="1">
        <v>0.967</v>
      </c>
      <c r="BU587" s="1" t="s">
        <v>974</v>
      </c>
      <c r="BV587" s="1">
        <v>1.1</v>
      </c>
      <c r="BW587" s="1">
        <v>51.0</v>
      </c>
      <c r="BX587" s="1">
        <v>4501.051</v>
      </c>
      <c r="BY587" s="1">
        <v>7016.155</v>
      </c>
      <c r="BZ587" s="1">
        <v>9901.116</v>
      </c>
      <c r="CA587" s="1">
        <v>19254.135</v>
      </c>
      <c r="CB587" s="1">
        <v>370.5</v>
      </c>
      <c r="CC587" s="1">
        <v>0.0</v>
      </c>
      <c r="CD587" s="1">
        <v>710515.0</v>
      </c>
      <c r="CE587" s="1">
        <v>1500.0</v>
      </c>
      <c r="CF587" s="1">
        <v>169.0</v>
      </c>
      <c r="CG587" s="1">
        <v>2690391.0</v>
      </c>
      <c r="CH587" s="1">
        <v>33484.0</v>
      </c>
      <c r="CI587" s="1">
        <v>2.0</v>
      </c>
      <c r="CJ587" s="1">
        <v>66180.0</v>
      </c>
      <c r="CK587" s="1">
        <v>20.0</v>
      </c>
      <c r="CL587" s="1">
        <v>176286.0</v>
      </c>
      <c r="CM587" s="1">
        <v>41.0</v>
      </c>
      <c r="CN587" s="1">
        <v>1748185.0</v>
      </c>
      <c r="CO587" s="1">
        <v>68.0</v>
      </c>
      <c r="CP587" s="1">
        <v>640735.0</v>
      </c>
      <c r="CQ587" s="1">
        <v>10.0</v>
      </c>
      <c r="CR587" s="1">
        <v>0.0</v>
      </c>
      <c r="CS587" s="1">
        <v>0.0</v>
      </c>
      <c r="CT587" s="1">
        <v>25521.0</v>
      </c>
      <c r="CU587" s="1">
        <v>28.0</v>
      </c>
      <c r="CV587" s="1">
        <v>1833033.0</v>
      </c>
      <c r="CW587" s="1">
        <v>71.0</v>
      </c>
      <c r="DC587" s="1">
        <v>0.0</v>
      </c>
      <c r="DD587" s="1">
        <v>5075.0</v>
      </c>
      <c r="DE587" s="1">
        <v>0.0</v>
      </c>
      <c r="DF587" s="1">
        <v>3396.0</v>
      </c>
      <c r="DG587" s="1">
        <v>600.0</v>
      </c>
      <c r="DH587" s="1">
        <v>108279.0</v>
      </c>
      <c r="DI587" s="1">
        <v>900.0</v>
      </c>
      <c r="DJ587" s="1">
        <v>593765.0</v>
      </c>
      <c r="DK587" s="1">
        <v>1740.115</v>
      </c>
      <c r="DL587" s="1" t="s">
        <v>975</v>
      </c>
      <c r="DM587" s="1">
        <v>3205.09</v>
      </c>
      <c r="DN587" s="1" t="s">
        <v>975</v>
      </c>
      <c r="DO587" s="1">
        <v>2689886.0</v>
      </c>
      <c r="DP587" s="1">
        <v>1.0</v>
      </c>
      <c r="DQ587" s="1" t="s">
        <v>976</v>
      </c>
      <c r="DR587" s="1" t="s">
        <v>1064</v>
      </c>
      <c r="DS587" s="1" t="s">
        <v>978</v>
      </c>
      <c r="DT587" s="1" t="s">
        <v>979</v>
      </c>
      <c r="DU587" s="1" t="s">
        <v>980</v>
      </c>
      <c r="DV587" s="1">
        <v>18443.0</v>
      </c>
      <c r="DX587" s="1">
        <v>3913.0</v>
      </c>
      <c r="DY587" s="1">
        <v>652779.0</v>
      </c>
      <c r="DZ587" s="1" t="s">
        <v>981</v>
      </c>
      <c r="EA587" s="1">
        <v>840.0</v>
      </c>
      <c r="EB587" s="1">
        <v>4453.0</v>
      </c>
      <c r="EC587" s="1">
        <v>15.0</v>
      </c>
      <c r="ED587" s="1">
        <v>26492.0</v>
      </c>
      <c r="EF587" s="1">
        <v>230.0</v>
      </c>
      <c r="EG587" s="1" t="s">
        <v>1032</v>
      </c>
      <c r="EH587" s="1">
        <v>100.0</v>
      </c>
      <c r="EK587" s="1">
        <v>100.0</v>
      </c>
      <c r="EQ587" s="9" t="s">
        <v>2481</v>
      </c>
      <c r="ER587" s="21">
        <v>46045.298854166664</v>
      </c>
    </row>
    <row r="588">
      <c r="A588" s="9" t="s">
        <v>2486</v>
      </c>
      <c r="B588" s="20" t="str">
        <f>IFERROR(__xludf.DUMMYFUNCTION("REGEXREPLACE(A588, ""^https?://[^/]+"", """")"),"/news-events/marks-new-book-hope-realized-available-now/")</f>
        <v>/news-events/marks-new-book-hope-realized-available-now/</v>
      </c>
      <c r="C588" s="1" t="s">
        <v>2487</v>
      </c>
      <c r="D588" s="1" t="s">
        <v>2488</v>
      </c>
      <c r="F588" s="1" t="s">
        <v>965</v>
      </c>
      <c r="G588" s="1">
        <v>200.0</v>
      </c>
      <c r="H588" s="1" t="s">
        <v>966</v>
      </c>
      <c r="I588" s="1" t="s">
        <v>967</v>
      </c>
      <c r="K588" s="1" t="s">
        <v>2489</v>
      </c>
      <c r="L588" s="1">
        <v>66.0</v>
      </c>
      <c r="M588" s="1">
        <v>602.0</v>
      </c>
      <c r="O588" s="1">
        <v>0.0</v>
      </c>
      <c r="P588" s="1">
        <v>0.0</v>
      </c>
      <c r="Q588" s="1" t="s">
        <v>2490</v>
      </c>
      <c r="R588" s="1">
        <v>158.0</v>
      </c>
      <c r="S588" s="1">
        <v>958.0</v>
      </c>
      <c r="U588" s="1">
        <v>0.0</v>
      </c>
      <c r="V588" s="1" t="s">
        <v>2487</v>
      </c>
      <c r="W588" s="1">
        <v>46.0</v>
      </c>
      <c r="Y588" s="1">
        <v>0.0</v>
      </c>
      <c r="Z588" s="1" t="s">
        <v>2488</v>
      </c>
      <c r="AA588" s="1">
        <v>13.0</v>
      </c>
      <c r="AC588" s="1">
        <v>0.0</v>
      </c>
      <c r="AD588" s="1" t="s">
        <v>971</v>
      </c>
      <c r="AG588" s="9" t="s">
        <v>2486</v>
      </c>
      <c r="AM588" s="1">
        <v>171745.0</v>
      </c>
      <c r="AN588" s="1">
        <v>32433.0</v>
      </c>
      <c r="AO588" s="1">
        <v>32433.0</v>
      </c>
      <c r="AP588" s="1">
        <v>12.424</v>
      </c>
      <c r="AR588" s="1">
        <v>848.0</v>
      </c>
      <c r="AS588" s="1">
        <v>145.0</v>
      </c>
      <c r="AT588" s="1">
        <v>5.848</v>
      </c>
      <c r="AU588" s="1">
        <v>58.236</v>
      </c>
      <c r="AV588" s="1" t="s">
        <v>972</v>
      </c>
      <c r="AW588" s="1">
        <v>4.678</v>
      </c>
      <c r="AX588" s="1">
        <v>2.0</v>
      </c>
      <c r="AY588" s="1">
        <v>2.0</v>
      </c>
      <c r="AZ588" s="1">
        <v>1.0</v>
      </c>
      <c r="BA588" s="1">
        <v>1.0</v>
      </c>
      <c r="BB588" s="1">
        <v>1.0</v>
      </c>
      <c r="BC588" s="1">
        <v>0.0</v>
      </c>
      <c r="BD588" s="1">
        <v>0.13</v>
      </c>
      <c r="BE588" s="1">
        <v>125.0</v>
      </c>
      <c r="BF588" s="1">
        <v>43.0</v>
      </c>
      <c r="BG588" s="1">
        <v>0.0</v>
      </c>
      <c r="BH588" s="1">
        <v>18.0</v>
      </c>
      <c r="BI588" s="1">
        <v>10.0</v>
      </c>
      <c r="BJ588" s="1">
        <v>0.0</v>
      </c>
      <c r="BO588" s="1" t="s">
        <v>2491</v>
      </c>
      <c r="BP588" s="1">
        <v>0.994</v>
      </c>
      <c r="BU588" s="1" t="s">
        <v>974</v>
      </c>
      <c r="BV588" s="1">
        <v>1.1</v>
      </c>
      <c r="BW588" s="1">
        <v>54.0</v>
      </c>
      <c r="BX588" s="1">
        <v>4801.04</v>
      </c>
      <c r="BY588" s="1">
        <v>7385.524</v>
      </c>
      <c r="BZ588" s="1">
        <v>6901.058</v>
      </c>
      <c r="CA588" s="1">
        <v>20604.256</v>
      </c>
      <c r="CB588" s="1">
        <v>306.0</v>
      </c>
      <c r="CC588" s="1">
        <v>0.0</v>
      </c>
      <c r="CD588" s="1">
        <v>710546.0</v>
      </c>
      <c r="CE588" s="1">
        <v>900.0</v>
      </c>
      <c r="CF588" s="1">
        <v>168.0</v>
      </c>
      <c r="CG588" s="1">
        <v>2689143.0</v>
      </c>
      <c r="CH588" s="1">
        <v>33050.0</v>
      </c>
      <c r="CI588" s="1">
        <v>2.0</v>
      </c>
      <c r="CJ588" s="1">
        <v>66046.0</v>
      </c>
      <c r="CK588" s="1">
        <v>19.0</v>
      </c>
      <c r="CL588" s="1">
        <v>176279.0</v>
      </c>
      <c r="CM588" s="1">
        <v>41.0</v>
      </c>
      <c r="CN588" s="1">
        <v>1748244.0</v>
      </c>
      <c r="CO588" s="1">
        <v>68.0</v>
      </c>
      <c r="CP588" s="1">
        <v>640727.0</v>
      </c>
      <c r="CQ588" s="1">
        <v>10.0</v>
      </c>
      <c r="CR588" s="1">
        <v>0.0</v>
      </c>
      <c r="CS588" s="1">
        <v>0.0</v>
      </c>
      <c r="CT588" s="1">
        <v>24797.0</v>
      </c>
      <c r="CU588" s="1">
        <v>28.0</v>
      </c>
      <c r="CV588" s="1">
        <v>1832568.0</v>
      </c>
      <c r="CW588" s="1">
        <v>70.0</v>
      </c>
      <c r="DC588" s="1">
        <v>0.0</v>
      </c>
      <c r="DD588" s="1">
        <v>5075.0</v>
      </c>
      <c r="DE588" s="1">
        <v>0.0</v>
      </c>
      <c r="DF588" s="1">
        <v>3396.0</v>
      </c>
      <c r="DG588" s="1">
        <v>300.0</v>
      </c>
      <c r="DH588" s="1">
        <v>108220.0</v>
      </c>
      <c r="DI588" s="1">
        <v>600.0</v>
      </c>
      <c r="DJ588" s="1">
        <v>593855.0</v>
      </c>
      <c r="DK588" s="1">
        <v>1486.552</v>
      </c>
      <c r="DL588" s="1" t="s">
        <v>975</v>
      </c>
      <c r="DM588" s="1">
        <v>2873.387</v>
      </c>
      <c r="DN588" s="1" t="s">
        <v>975</v>
      </c>
      <c r="DO588" s="1">
        <v>2688795.0</v>
      </c>
      <c r="DP588" s="1">
        <v>1.0</v>
      </c>
      <c r="DQ588" s="1" t="s">
        <v>976</v>
      </c>
      <c r="DR588" s="1" t="s">
        <v>1464</v>
      </c>
      <c r="DS588" s="1" t="s">
        <v>978</v>
      </c>
      <c r="DU588" s="1" t="s">
        <v>994</v>
      </c>
      <c r="DV588" s="1">
        <v>17296.0</v>
      </c>
      <c r="DX588" s="1">
        <v>4655.0</v>
      </c>
      <c r="DY588" s="1">
        <v>652789.0</v>
      </c>
      <c r="EA588" s="1">
        <v>828.0</v>
      </c>
      <c r="EB588" s="1">
        <v>4453.0</v>
      </c>
      <c r="EC588" s="1">
        <v>1.0</v>
      </c>
      <c r="ED588" s="1">
        <v>26492.0</v>
      </c>
      <c r="EF588" s="1">
        <v>435.0</v>
      </c>
      <c r="EG588" s="1" t="s">
        <v>1032</v>
      </c>
      <c r="EH588" s="1">
        <v>100.0</v>
      </c>
      <c r="EK588" s="1">
        <v>100.0</v>
      </c>
      <c r="EQ588" s="9" t="s">
        <v>2486</v>
      </c>
      <c r="ER588" s="21">
        <v>46045.298854166664</v>
      </c>
    </row>
    <row r="589">
      <c r="A589" s="9" t="s">
        <v>2492</v>
      </c>
      <c r="B589" s="20" t="str">
        <f>IFERROR(__xludf.DUMMYFUNCTION("REGEXREPLACE(A589, ""^https?://[^/]+"", """")"),"/news-events/transform-your-sales-performance-with-rain-group-and-sales-xceleration/")</f>
        <v>/news-events/transform-your-sales-performance-with-rain-group-and-sales-xceleration/</v>
      </c>
      <c r="C589" s="1" t="s">
        <v>2493</v>
      </c>
      <c r="D589" s="1" t="s">
        <v>1172</v>
      </c>
      <c r="E589" s="1" t="s">
        <v>2494</v>
      </c>
      <c r="F589" s="1" t="s">
        <v>965</v>
      </c>
      <c r="G589" s="1">
        <v>200.0</v>
      </c>
      <c r="H589" s="1" t="s">
        <v>966</v>
      </c>
      <c r="I589" s="1" t="s">
        <v>967</v>
      </c>
      <c r="K589" s="1" t="s">
        <v>2495</v>
      </c>
      <c r="L589" s="1">
        <v>91.0</v>
      </c>
      <c r="M589" s="1">
        <v>853.0</v>
      </c>
      <c r="O589" s="1">
        <v>0.0</v>
      </c>
      <c r="P589" s="1">
        <v>0.0</v>
      </c>
      <c r="Q589" s="1" t="s">
        <v>2496</v>
      </c>
      <c r="R589" s="1">
        <v>158.0</v>
      </c>
      <c r="S589" s="1">
        <v>987.0</v>
      </c>
      <c r="U589" s="1">
        <v>0.0</v>
      </c>
      <c r="V589" s="1" t="s">
        <v>2493</v>
      </c>
      <c r="W589" s="1">
        <v>71.0</v>
      </c>
      <c r="Y589" s="1">
        <v>0.0</v>
      </c>
      <c r="Z589" s="1" t="s">
        <v>1172</v>
      </c>
      <c r="AA589" s="1">
        <v>23.0</v>
      </c>
      <c r="AB589" s="1" t="s">
        <v>2494</v>
      </c>
      <c r="AC589" s="1">
        <v>16.0</v>
      </c>
      <c r="AD589" s="1" t="s">
        <v>971</v>
      </c>
      <c r="AG589" s="9" t="s">
        <v>2492</v>
      </c>
      <c r="AM589" s="1">
        <v>176271.0</v>
      </c>
      <c r="AN589" s="1">
        <v>32798.0</v>
      </c>
      <c r="AO589" s="1">
        <v>32798.0</v>
      </c>
      <c r="AP589" s="1">
        <v>12.564</v>
      </c>
      <c r="AR589" s="1">
        <v>953.0</v>
      </c>
      <c r="AS589" s="1">
        <v>151.0</v>
      </c>
      <c r="AT589" s="1">
        <v>6.311</v>
      </c>
      <c r="AU589" s="1">
        <v>57.683</v>
      </c>
      <c r="AV589" s="1" t="s">
        <v>972</v>
      </c>
      <c r="AW589" s="1">
        <v>4.809</v>
      </c>
      <c r="AX589" s="1">
        <v>2.0</v>
      </c>
      <c r="AY589" s="1">
        <v>2.0</v>
      </c>
      <c r="AZ589" s="1">
        <v>1.0</v>
      </c>
      <c r="BA589" s="1">
        <v>1.0</v>
      </c>
      <c r="BB589" s="1">
        <v>1.0</v>
      </c>
      <c r="BC589" s="1">
        <v>0.0</v>
      </c>
      <c r="BD589" s="1">
        <v>0.13</v>
      </c>
      <c r="BE589" s="1">
        <v>128.0</v>
      </c>
      <c r="BF589" s="1">
        <v>45.0</v>
      </c>
      <c r="BG589" s="1">
        <v>0.0</v>
      </c>
      <c r="BH589" s="1">
        <v>16.0</v>
      </c>
      <c r="BI589" s="1">
        <v>8.0</v>
      </c>
      <c r="BJ589" s="1">
        <v>0.0</v>
      </c>
      <c r="BO589" s="1" t="s">
        <v>2497</v>
      </c>
      <c r="BP589" s="1">
        <v>1.004</v>
      </c>
      <c r="BU589" s="1" t="s">
        <v>974</v>
      </c>
      <c r="BV589" s="1">
        <v>1.1</v>
      </c>
      <c r="BW589" s="1">
        <v>53.0</v>
      </c>
      <c r="BX589" s="1">
        <v>4801.041</v>
      </c>
      <c r="BY589" s="1">
        <v>7449.936</v>
      </c>
      <c r="BZ589" s="1">
        <v>10051.087</v>
      </c>
      <c r="CA589" s="1">
        <v>20775.264</v>
      </c>
      <c r="CB589" s="1">
        <v>266.0</v>
      </c>
      <c r="CC589" s="1">
        <v>0.005</v>
      </c>
      <c r="CD589" s="1">
        <v>708055.0</v>
      </c>
      <c r="CE589" s="1">
        <v>1650.0</v>
      </c>
      <c r="CF589" s="1">
        <v>176.0</v>
      </c>
      <c r="CG589" s="1">
        <v>2690426.0</v>
      </c>
      <c r="CH589" s="1">
        <v>33531.0</v>
      </c>
      <c r="CI589" s="1">
        <v>2.0</v>
      </c>
      <c r="CJ589" s="1">
        <v>67610.0</v>
      </c>
      <c r="CK589" s="1">
        <v>27.0</v>
      </c>
      <c r="CL589" s="1">
        <v>175416.0</v>
      </c>
      <c r="CM589" s="1">
        <v>41.0</v>
      </c>
      <c r="CN589" s="1">
        <v>1747856.0</v>
      </c>
      <c r="CO589" s="1">
        <v>68.0</v>
      </c>
      <c r="CP589" s="1">
        <v>640741.0</v>
      </c>
      <c r="CQ589" s="1">
        <v>10.0</v>
      </c>
      <c r="CR589" s="1">
        <v>0.0</v>
      </c>
      <c r="CS589" s="1">
        <v>0.0</v>
      </c>
      <c r="CT589" s="1">
        <v>25272.0</v>
      </c>
      <c r="CU589" s="1">
        <v>28.0</v>
      </c>
      <c r="CV589" s="1">
        <v>1833258.0</v>
      </c>
      <c r="CW589" s="1">
        <v>78.0</v>
      </c>
      <c r="DC589" s="1">
        <v>150.0</v>
      </c>
      <c r="DD589" s="1">
        <v>5075.0</v>
      </c>
      <c r="DE589" s="1">
        <v>0.0</v>
      </c>
      <c r="DF589" s="1">
        <v>3396.0</v>
      </c>
      <c r="DG589" s="1">
        <v>600.0</v>
      </c>
      <c r="DH589" s="1">
        <v>108261.0</v>
      </c>
      <c r="DI589" s="1">
        <v>900.0</v>
      </c>
      <c r="DJ589" s="1">
        <v>591323.0</v>
      </c>
      <c r="DK589" s="1">
        <v>1534.157</v>
      </c>
      <c r="DL589" s="1" t="s">
        <v>975</v>
      </c>
      <c r="DM589" s="1">
        <v>2663.087</v>
      </c>
      <c r="DN589" s="1" t="s">
        <v>975</v>
      </c>
      <c r="DO589" s="1">
        <v>2689921.0</v>
      </c>
      <c r="DP589" s="1">
        <v>1.0</v>
      </c>
      <c r="DQ589" s="1" t="s">
        <v>976</v>
      </c>
      <c r="DR589" s="1" t="s">
        <v>1556</v>
      </c>
      <c r="DS589" s="1" t="s">
        <v>978</v>
      </c>
      <c r="DT589" s="1" t="s">
        <v>979</v>
      </c>
      <c r="DU589" s="1" t="s">
        <v>980</v>
      </c>
      <c r="DV589" s="1">
        <v>17295.0</v>
      </c>
      <c r="DX589" s="1">
        <v>3821.0</v>
      </c>
      <c r="DY589" s="1">
        <v>654197.0</v>
      </c>
      <c r="DZ589" s="1" t="s">
        <v>981</v>
      </c>
      <c r="EA589" s="1">
        <v>845.0</v>
      </c>
      <c r="EB589" s="1">
        <v>4453.0</v>
      </c>
      <c r="EC589" s="1">
        <v>1.0</v>
      </c>
      <c r="ED589" s="1">
        <v>26492.0</v>
      </c>
      <c r="EF589" s="1">
        <v>230.0</v>
      </c>
      <c r="EG589" s="1" t="s">
        <v>1032</v>
      </c>
      <c r="EH589" s="1">
        <v>100.0</v>
      </c>
      <c r="EK589" s="1">
        <v>100.0</v>
      </c>
      <c r="EQ589" s="9" t="s">
        <v>2492</v>
      </c>
      <c r="ER589" s="21">
        <v>46045.298854166664</v>
      </c>
    </row>
    <row r="590">
      <c r="A590" s="9" t="s">
        <v>2498</v>
      </c>
      <c r="B590" s="20" t="str">
        <f>IFERROR(__xludf.DUMMYFUNCTION("REGEXREPLACE(A590, ""^https?://[^/]+"", """")"),"/news-events/sales-xceleration-continues-to-expand-footprint-adds-six-new-sales-consultants/")</f>
        <v>/news-events/sales-xceleration-continues-to-expand-footprint-adds-six-new-sales-consultants/</v>
      </c>
      <c r="C590" s="1" t="s">
        <v>2499</v>
      </c>
      <c r="F590" s="1" t="s">
        <v>965</v>
      </c>
      <c r="G590" s="1">
        <v>200.0</v>
      </c>
      <c r="H590" s="1" t="s">
        <v>966</v>
      </c>
      <c r="I590" s="1" t="s">
        <v>967</v>
      </c>
      <c r="K590" s="1" t="s">
        <v>2500</v>
      </c>
      <c r="L590" s="1">
        <v>100.0</v>
      </c>
      <c r="M590" s="1">
        <v>905.0</v>
      </c>
      <c r="O590" s="1">
        <v>0.0</v>
      </c>
      <c r="P590" s="1">
        <v>0.0</v>
      </c>
      <c r="Q590" s="1" t="s">
        <v>2501</v>
      </c>
      <c r="R590" s="1">
        <v>156.0</v>
      </c>
      <c r="S590" s="1">
        <v>956.0</v>
      </c>
      <c r="U590" s="1">
        <v>0.0</v>
      </c>
      <c r="V590" s="1" t="s">
        <v>2499</v>
      </c>
      <c r="W590" s="1">
        <v>80.0</v>
      </c>
      <c r="Y590" s="1">
        <v>0.0</v>
      </c>
      <c r="AA590" s="1">
        <v>0.0</v>
      </c>
      <c r="AC590" s="1">
        <v>0.0</v>
      </c>
      <c r="AD590" s="1" t="s">
        <v>971</v>
      </c>
      <c r="AG590" s="9" t="s">
        <v>2498</v>
      </c>
      <c r="AM590" s="1">
        <v>178876.0</v>
      </c>
      <c r="AN590" s="1">
        <v>32965.0</v>
      </c>
      <c r="AO590" s="1">
        <v>32965.0</v>
      </c>
      <c r="AP590" s="1">
        <v>12.628</v>
      </c>
      <c r="AR590" s="1">
        <v>895.0</v>
      </c>
      <c r="AS590" s="1">
        <v>148.0</v>
      </c>
      <c r="AT590" s="1">
        <v>6.047</v>
      </c>
      <c r="AU590" s="1">
        <v>58.626</v>
      </c>
      <c r="AV590" s="1" t="s">
        <v>972</v>
      </c>
      <c r="AW590" s="1">
        <v>4.523</v>
      </c>
      <c r="AX590" s="1">
        <v>2.0</v>
      </c>
      <c r="AY590" s="1">
        <v>2.0</v>
      </c>
      <c r="AZ590" s="1">
        <v>1.0</v>
      </c>
      <c r="BA590" s="1">
        <v>1.0</v>
      </c>
      <c r="BB590" s="1">
        <v>1.0</v>
      </c>
      <c r="BC590" s="1">
        <v>0.0</v>
      </c>
      <c r="BD590" s="1">
        <v>0.13</v>
      </c>
      <c r="BE590" s="1">
        <v>135.0</v>
      </c>
      <c r="BF590" s="1">
        <v>51.0</v>
      </c>
      <c r="BG590" s="1">
        <v>0.0</v>
      </c>
      <c r="BH590" s="1">
        <v>16.0</v>
      </c>
      <c r="BI590" s="1">
        <v>8.0</v>
      </c>
      <c r="BJ590" s="1">
        <v>0.0</v>
      </c>
      <c r="BO590" s="1" t="s">
        <v>2502</v>
      </c>
      <c r="BP590" s="1">
        <v>0.977</v>
      </c>
      <c r="BU590" s="1" t="s">
        <v>974</v>
      </c>
      <c r="BV590" s="1">
        <v>1.1</v>
      </c>
      <c r="BW590" s="1">
        <v>47.0</v>
      </c>
      <c r="BX590" s="1">
        <v>3601.04</v>
      </c>
      <c r="BY590" s="1">
        <v>7505.042</v>
      </c>
      <c r="BZ590" s="1">
        <v>11551.136</v>
      </c>
      <c r="CA590" s="1">
        <v>20019.535</v>
      </c>
      <c r="CB590" s="1">
        <v>562.216</v>
      </c>
      <c r="CC590" s="1">
        <v>0.002</v>
      </c>
      <c r="CD590" s="1">
        <v>709479.0</v>
      </c>
      <c r="CE590" s="1">
        <v>1650.0</v>
      </c>
      <c r="CF590" s="1">
        <v>170.0</v>
      </c>
      <c r="CG590" s="1">
        <v>2690419.0</v>
      </c>
      <c r="CH590" s="1">
        <v>33566.0</v>
      </c>
      <c r="CI590" s="1">
        <v>2.0</v>
      </c>
      <c r="CJ590" s="1">
        <v>66194.0</v>
      </c>
      <c r="CK590" s="1">
        <v>20.0</v>
      </c>
      <c r="CL590" s="1">
        <v>176282.0</v>
      </c>
      <c r="CM590" s="1">
        <v>41.0</v>
      </c>
      <c r="CN590" s="1">
        <v>1747834.0</v>
      </c>
      <c r="CO590" s="1">
        <v>68.0</v>
      </c>
      <c r="CP590" s="1">
        <v>640720.0</v>
      </c>
      <c r="CQ590" s="1">
        <v>10.0</v>
      </c>
      <c r="CR590" s="1">
        <v>0.0</v>
      </c>
      <c r="CS590" s="1">
        <v>0.0</v>
      </c>
      <c r="CT590" s="1">
        <v>25823.0</v>
      </c>
      <c r="CU590" s="1">
        <v>29.0</v>
      </c>
      <c r="CV590" s="1">
        <v>1832956.0</v>
      </c>
      <c r="CW590" s="1">
        <v>72.0</v>
      </c>
      <c r="DC590" s="1">
        <v>0.0</v>
      </c>
      <c r="DD590" s="1">
        <v>5075.0</v>
      </c>
      <c r="DE590" s="1">
        <v>0.0</v>
      </c>
      <c r="DF590" s="1">
        <v>3396.0</v>
      </c>
      <c r="DG590" s="1">
        <v>600.0</v>
      </c>
      <c r="DH590" s="1">
        <v>108318.0</v>
      </c>
      <c r="DI590" s="1">
        <v>1050.0</v>
      </c>
      <c r="DJ590" s="1">
        <v>592690.0</v>
      </c>
      <c r="DK590" s="1">
        <v>2103.15</v>
      </c>
      <c r="DL590" s="1" t="s">
        <v>975</v>
      </c>
      <c r="DM590" s="1">
        <v>3642.883</v>
      </c>
      <c r="DN590" s="1" t="s">
        <v>975</v>
      </c>
      <c r="DO590" s="1">
        <v>2689914.0</v>
      </c>
      <c r="DP590" s="1">
        <v>1.0</v>
      </c>
      <c r="DQ590" s="1" t="s">
        <v>976</v>
      </c>
      <c r="DR590" s="1" t="s">
        <v>1064</v>
      </c>
      <c r="DS590" s="1" t="s">
        <v>978</v>
      </c>
      <c r="DT590" s="1" t="s">
        <v>979</v>
      </c>
      <c r="DU590" s="1" t="s">
        <v>980</v>
      </c>
      <c r="DV590" s="1">
        <v>16696.0</v>
      </c>
      <c r="DX590" s="1">
        <v>3859.0</v>
      </c>
      <c r="DY590" s="1">
        <v>652788.0</v>
      </c>
      <c r="DZ590" s="1" t="s">
        <v>994</v>
      </c>
      <c r="EA590" s="1">
        <v>845.0</v>
      </c>
      <c r="EB590" s="1">
        <v>4453.0</v>
      </c>
      <c r="EC590" s="1">
        <v>31.0</v>
      </c>
      <c r="ED590" s="1">
        <v>26492.0</v>
      </c>
      <c r="EF590" s="1">
        <v>220.0</v>
      </c>
      <c r="EG590" s="1" t="s">
        <v>1032</v>
      </c>
      <c r="EH590" s="1">
        <v>100.0</v>
      </c>
      <c r="EK590" s="1">
        <v>100.0</v>
      </c>
      <c r="EQ590" s="9" t="s">
        <v>2498</v>
      </c>
      <c r="ER590" s="21">
        <v>46045.298854166664</v>
      </c>
    </row>
    <row r="591">
      <c r="A591" s="9" t="s">
        <v>2503</v>
      </c>
      <c r="B591" s="20" t="str">
        <f>IFERROR(__xludf.DUMMYFUNCTION("REGEXREPLACE(A591, ""^https?://[^/]+"", """")"),"/news-events/sales-xceleration-named-one-of-silicon-reviews-50-fastest-growing-companies-of-2022/")</f>
        <v>/news-events/sales-xceleration-named-one-of-silicon-reviews-50-fastest-growing-companies-of-2022/</v>
      </c>
      <c r="C591" s="1" t="s">
        <v>2504</v>
      </c>
      <c r="D591" s="1" t="s">
        <v>1172</v>
      </c>
      <c r="F591" s="1" t="s">
        <v>965</v>
      </c>
      <c r="G591" s="1">
        <v>200.0</v>
      </c>
      <c r="H591" s="1" t="s">
        <v>966</v>
      </c>
      <c r="I591" s="1" t="s">
        <v>967</v>
      </c>
      <c r="K591" s="1" t="s">
        <v>2505</v>
      </c>
      <c r="L591" s="1">
        <v>104.0</v>
      </c>
      <c r="M591" s="1">
        <v>964.0</v>
      </c>
      <c r="O591" s="1">
        <v>0.0</v>
      </c>
      <c r="P591" s="1">
        <v>0.0</v>
      </c>
      <c r="Q591" s="1" t="s">
        <v>2506</v>
      </c>
      <c r="R591" s="1">
        <v>158.0</v>
      </c>
      <c r="S591" s="1">
        <v>985.0</v>
      </c>
      <c r="U591" s="1">
        <v>0.0</v>
      </c>
      <c r="V591" s="1" t="s">
        <v>2504</v>
      </c>
      <c r="W591" s="1">
        <v>84.0</v>
      </c>
      <c r="Y591" s="1">
        <v>0.0</v>
      </c>
      <c r="Z591" s="1" t="s">
        <v>1172</v>
      </c>
      <c r="AA591" s="1">
        <v>23.0</v>
      </c>
      <c r="AC591" s="1">
        <v>0.0</v>
      </c>
      <c r="AD591" s="1" t="s">
        <v>971</v>
      </c>
      <c r="AG591" s="9" t="s">
        <v>2503</v>
      </c>
      <c r="AM591" s="1">
        <v>177053.0</v>
      </c>
      <c r="AN591" s="1">
        <v>33060.0</v>
      </c>
      <c r="AO591" s="1">
        <v>33060.0</v>
      </c>
      <c r="AP591" s="1">
        <v>12.665</v>
      </c>
      <c r="AR591" s="1">
        <v>981.0</v>
      </c>
      <c r="AS591" s="1">
        <v>155.0</v>
      </c>
      <c r="AT591" s="1">
        <v>6.329</v>
      </c>
      <c r="AU591" s="1">
        <v>57.341</v>
      </c>
      <c r="AV591" s="1" t="s">
        <v>972</v>
      </c>
      <c r="AW591" s="1">
        <v>4.89</v>
      </c>
      <c r="AX591" s="1">
        <v>2.0</v>
      </c>
      <c r="AY591" s="1">
        <v>2.0</v>
      </c>
      <c r="AZ591" s="1">
        <v>1.0</v>
      </c>
      <c r="BA591" s="1">
        <v>1.0</v>
      </c>
      <c r="BB591" s="1">
        <v>1.0</v>
      </c>
      <c r="BC591" s="1">
        <v>0.0</v>
      </c>
      <c r="BD591" s="1">
        <v>0.13</v>
      </c>
      <c r="BE591" s="1">
        <v>131.0</v>
      </c>
      <c r="BF591" s="1">
        <v>47.0</v>
      </c>
      <c r="BG591" s="1">
        <v>0.0</v>
      </c>
      <c r="BH591" s="1">
        <v>16.0</v>
      </c>
      <c r="BI591" s="1">
        <v>8.0</v>
      </c>
      <c r="BJ591" s="1">
        <v>0.0</v>
      </c>
      <c r="BO591" s="1" t="s">
        <v>2507</v>
      </c>
      <c r="BP591" s="1">
        <v>1.027</v>
      </c>
      <c r="BU591" s="1" t="s">
        <v>974</v>
      </c>
      <c r="BV591" s="1">
        <v>1.1</v>
      </c>
      <c r="BW591" s="1">
        <v>51.0</v>
      </c>
      <c r="BX591" s="1">
        <v>4801.036</v>
      </c>
      <c r="BY591" s="1">
        <v>7394.22</v>
      </c>
      <c r="BZ591" s="1">
        <v>9976.077</v>
      </c>
      <c r="CA591" s="1">
        <v>20337.352</v>
      </c>
      <c r="CB591" s="1">
        <v>345.0</v>
      </c>
      <c r="CC591" s="1">
        <v>0.0</v>
      </c>
      <c r="CD591" s="1">
        <v>710450.0</v>
      </c>
      <c r="CE591" s="1">
        <v>1200.0</v>
      </c>
      <c r="CF591" s="1">
        <v>169.0</v>
      </c>
      <c r="CG591" s="1">
        <v>2690671.0</v>
      </c>
      <c r="CH591" s="1">
        <v>33910.0</v>
      </c>
      <c r="CI591" s="1">
        <v>2.0</v>
      </c>
      <c r="CJ591" s="1">
        <v>66172.0</v>
      </c>
      <c r="CK591" s="1">
        <v>20.0</v>
      </c>
      <c r="CL591" s="1">
        <v>176278.0</v>
      </c>
      <c r="CM591" s="1">
        <v>41.0</v>
      </c>
      <c r="CN591" s="1">
        <v>1747997.0</v>
      </c>
      <c r="CO591" s="1">
        <v>68.0</v>
      </c>
      <c r="CP591" s="1">
        <v>640723.0</v>
      </c>
      <c r="CQ591" s="1">
        <v>10.0</v>
      </c>
      <c r="CR591" s="1">
        <v>0.0</v>
      </c>
      <c r="CS591" s="1">
        <v>0.0</v>
      </c>
      <c r="CT591" s="1">
        <v>25591.0</v>
      </c>
      <c r="CU591" s="1">
        <v>28.0</v>
      </c>
      <c r="CV591" s="1">
        <v>1833117.0</v>
      </c>
      <c r="CW591" s="1">
        <v>71.0</v>
      </c>
      <c r="DC591" s="1">
        <v>0.0</v>
      </c>
      <c r="DD591" s="1">
        <v>5075.0</v>
      </c>
      <c r="DE591" s="1">
        <v>0.0</v>
      </c>
      <c r="DF591" s="1">
        <v>3396.0</v>
      </c>
      <c r="DG591" s="1">
        <v>450.0</v>
      </c>
      <c r="DH591" s="1">
        <v>108278.0</v>
      </c>
      <c r="DI591" s="1">
        <v>750.0</v>
      </c>
      <c r="DJ591" s="1">
        <v>593701.0</v>
      </c>
      <c r="DK591" s="1">
        <v>1471.183</v>
      </c>
      <c r="DL591" s="1" t="s">
        <v>975</v>
      </c>
      <c r="DM591" s="1">
        <v>2860.362</v>
      </c>
      <c r="DN591" s="1" t="s">
        <v>975</v>
      </c>
      <c r="DO591" s="1">
        <v>2690166.0</v>
      </c>
      <c r="DP591" s="1">
        <v>1.0</v>
      </c>
      <c r="DQ591" s="1" t="s">
        <v>976</v>
      </c>
      <c r="DR591" s="1" t="s">
        <v>1064</v>
      </c>
      <c r="DS591" s="1" t="s">
        <v>978</v>
      </c>
      <c r="DT591" s="1" t="s">
        <v>979</v>
      </c>
      <c r="DU591" s="1" t="s">
        <v>980</v>
      </c>
      <c r="DV591" s="1">
        <v>17299.0</v>
      </c>
      <c r="DX591" s="1">
        <v>3757.0</v>
      </c>
      <c r="DY591" s="1">
        <v>652778.0</v>
      </c>
      <c r="DZ591" s="1" t="s">
        <v>981</v>
      </c>
      <c r="EA591" s="1">
        <v>839.0</v>
      </c>
      <c r="EB591" s="1">
        <v>4453.0</v>
      </c>
      <c r="EC591" s="1">
        <v>1.0</v>
      </c>
      <c r="ED591" s="1">
        <v>26492.0</v>
      </c>
      <c r="EF591" s="1">
        <v>230.0</v>
      </c>
      <c r="EG591" s="1" t="s">
        <v>1032</v>
      </c>
      <c r="EH591" s="1">
        <v>100.0</v>
      </c>
      <c r="EK591" s="1">
        <v>100.0</v>
      </c>
      <c r="EQ591" s="9" t="s">
        <v>2503</v>
      </c>
      <c r="ER591" s="21">
        <v>46045.29886574074</v>
      </c>
    </row>
    <row r="592">
      <c r="A592" s="9" t="s">
        <v>2508</v>
      </c>
      <c r="B592" s="20" t="str">
        <f>IFERROR(__xludf.DUMMYFUNCTION("REGEXREPLACE(A592, ""^https?://[^/]+"", """")"),"/news-events/14-critical-features-to-include-for-an-effective-sales-page/")</f>
        <v>/news-events/14-critical-features-to-include-for-an-effective-sales-page/</v>
      </c>
      <c r="C592" s="1" t="s">
        <v>2509</v>
      </c>
      <c r="F592" s="1" t="s">
        <v>965</v>
      </c>
      <c r="G592" s="1">
        <v>200.0</v>
      </c>
      <c r="H592" s="1" t="s">
        <v>966</v>
      </c>
      <c r="I592" s="1" t="s">
        <v>967</v>
      </c>
      <c r="K592" s="1" t="s">
        <v>2510</v>
      </c>
      <c r="L592" s="1">
        <v>95.0</v>
      </c>
      <c r="M592" s="1">
        <v>839.0</v>
      </c>
      <c r="O592" s="1">
        <v>0.0</v>
      </c>
      <c r="P592" s="1">
        <v>0.0</v>
      </c>
      <c r="Q592" s="1" t="s">
        <v>2511</v>
      </c>
      <c r="R592" s="1">
        <v>158.0</v>
      </c>
      <c r="S592" s="1">
        <v>948.0</v>
      </c>
      <c r="U592" s="1">
        <v>0.0</v>
      </c>
      <c r="V592" s="1" t="s">
        <v>2509</v>
      </c>
      <c r="W592" s="1">
        <v>75.0</v>
      </c>
      <c r="Y592" s="1">
        <v>0.0</v>
      </c>
      <c r="AA592" s="1">
        <v>0.0</v>
      </c>
      <c r="AC592" s="1">
        <v>0.0</v>
      </c>
      <c r="AD592" s="1" t="s">
        <v>971</v>
      </c>
      <c r="AG592" s="9" t="s">
        <v>2508</v>
      </c>
      <c r="AM592" s="1">
        <v>177915.0</v>
      </c>
      <c r="AN592" s="1">
        <v>32066.0</v>
      </c>
      <c r="AO592" s="1">
        <v>32066.0</v>
      </c>
      <c r="AP592" s="1">
        <v>12.284</v>
      </c>
      <c r="AR592" s="1">
        <v>632.0</v>
      </c>
      <c r="AS592" s="1">
        <v>107.0</v>
      </c>
      <c r="AT592" s="1">
        <v>5.907</v>
      </c>
      <c r="AU592" s="1">
        <v>59.215</v>
      </c>
      <c r="AV592" s="1" t="s">
        <v>972</v>
      </c>
      <c r="AW592" s="1">
        <v>3.54</v>
      </c>
      <c r="AX592" s="1">
        <v>2.0</v>
      </c>
      <c r="AY592" s="1">
        <v>2.0</v>
      </c>
      <c r="AZ592" s="1">
        <v>1.0</v>
      </c>
      <c r="BA592" s="1">
        <v>1.0</v>
      </c>
      <c r="BB592" s="1">
        <v>1.0</v>
      </c>
      <c r="BC592" s="1">
        <v>0.0</v>
      </c>
      <c r="BD592" s="1">
        <v>0.13</v>
      </c>
      <c r="BE592" s="1">
        <v>125.0</v>
      </c>
      <c r="BF592" s="1">
        <v>43.0</v>
      </c>
      <c r="BG592" s="1">
        <v>0.0</v>
      </c>
      <c r="BH592" s="1">
        <v>17.0</v>
      </c>
      <c r="BI592" s="1">
        <v>9.0</v>
      </c>
      <c r="BJ592" s="1">
        <v>0.0</v>
      </c>
      <c r="BO592" s="1" t="s">
        <v>2512</v>
      </c>
      <c r="BP592" s="1">
        <v>1.01</v>
      </c>
      <c r="BU592" s="1" t="s">
        <v>974</v>
      </c>
      <c r="BV592" s="1">
        <v>1.1</v>
      </c>
      <c r="BW592" s="1">
        <v>50.0</v>
      </c>
      <c r="BX592" s="1">
        <v>4501.047</v>
      </c>
      <c r="BY592" s="1">
        <v>7417.385</v>
      </c>
      <c r="BZ592" s="1">
        <v>8476.091</v>
      </c>
      <c r="CA592" s="1">
        <v>20553.945</v>
      </c>
      <c r="CB592" s="1">
        <v>395.0</v>
      </c>
      <c r="CC592" s="1">
        <v>0.0</v>
      </c>
      <c r="CD592" s="1">
        <v>710497.0</v>
      </c>
      <c r="CE592" s="1">
        <v>1650.0</v>
      </c>
      <c r="CF592" s="1">
        <v>177.0</v>
      </c>
      <c r="CG592" s="1">
        <v>2802114.0</v>
      </c>
      <c r="CH592" s="1">
        <v>32716.0</v>
      </c>
      <c r="CI592" s="1">
        <v>2.0</v>
      </c>
      <c r="CJ592" s="1">
        <v>179150.0</v>
      </c>
      <c r="CK592" s="1">
        <v>28.0</v>
      </c>
      <c r="CL592" s="1">
        <v>176280.0</v>
      </c>
      <c r="CM592" s="1">
        <v>41.0</v>
      </c>
      <c r="CN592" s="1">
        <v>1748024.0</v>
      </c>
      <c r="CO592" s="1">
        <v>68.0</v>
      </c>
      <c r="CP592" s="1">
        <v>640721.0</v>
      </c>
      <c r="CQ592" s="1">
        <v>10.0</v>
      </c>
      <c r="CR592" s="1">
        <v>0.0</v>
      </c>
      <c r="CS592" s="1">
        <v>0.0</v>
      </c>
      <c r="CT592" s="1">
        <v>25223.0</v>
      </c>
      <c r="CU592" s="1">
        <v>28.0</v>
      </c>
      <c r="CV592" s="1">
        <v>1832845.0</v>
      </c>
      <c r="CW592" s="1">
        <v>71.0</v>
      </c>
      <c r="DC592" s="1">
        <v>0.0</v>
      </c>
      <c r="DD592" s="1">
        <v>5075.0</v>
      </c>
      <c r="DE592" s="1">
        <v>0.0</v>
      </c>
      <c r="DF592" s="1">
        <v>3396.0</v>
      </c>
      <c r="DG592" s="1">
        <v>600.0</v>
      </c>
      <c r="DH592" s="1">
        <v>108310.0</v>
      </c>
      <c r="DI592" s="1">
        <v>1050.0</v>
      </c>
      <c r="DJ592" s="1">
        <v>593716.0</v>
      </c>
      <c r="DK592" s="1">
        <v>1777.009</v>
      </c>
      <c r="DL592" s="1" t="s">
        <v>975</v>
      </c>
      <c r="DM592" s="1">
        <v>3091.895</v>
      </c>
      <c r="DN592" s="1" t="s">
        <v>975</v>
      </c>
      <c r="DO592" s="1">
        <v>2801609.0</v>
      </c>
      <c r="DP592" s="1">
        <v>1.0</v>
      </c>
      <c r="DQ592" s="1" t="s">
        <v>976</v>
      </c>
      <c r="DR592" s="1" t="s">
        <v>1170</v>
      </c>
      <c r="DS592" s="1" t="s">
        <v>978</v>
      </c>
      <c r="DT592" s="1" t="s">
        <v>979</v>
      </c>
      <c r="DU592" s="1" t="s">
        <v>980</v>
      </c>
      <c r="DV592" s="1">
        <v>17147.0</v>
      </c>
      <c r="DX592" s="1">
        <v>3608.0</v>
      </c>
      <c r="DY592" s="1">
        <v>697987.0</v>
      </c>
      <c r="EA592" s="1">
        <v>822.0</v>
      </c>
      <c r="EB592" s="1">
        <v>42632.0</v>
      </c>
      <c r="EC592" s="1">
        <v>31.0</v>
      </c>
      <c r="ED592" s="1">
        <v>26492.0</v>
      </c>
      <c r="EF592" s="1">
        <v>230.0</v>
      </c>
      <c r="EG592" s="1" t="s">
        <v>1032</v>
      </c>
      <c r="EH592" s="1">
        <v>100.0</v>
      </c>
      <c r="EK592" s="1">
        <v>100.0</v>
      </c>
      <c r="EQ592" s="9" t="s">
        <v>2508</v>
      </c>
      <c r="ER592" s="21">
        <v>46045.29886574074</v>
      </c>
    </row>
    <row r="593">
      <c r="A593" s="9" t="s">
        <v>2513</v>
      </c>
      <c r="B593" s="20" t="str">
        <f>IFERROR(__xludf.DUMMYFUNCTION("REGEXREPLACE(A593, ""^https?://[^/]+"", """")"),"/news-events/sales-xceleration-announces-presidents-club-and-presidents-circle-winners/")</f>
        <v>/news-events/sales-xceleration-announces-presidents-club-and-presidents-circle-winners/</v>
      </c>
      <c r="C593" s="1" t="s">
        <v>2514</v>
      </c>
      <c r="F593" s="1" t="s">
        <v>965</v>
      </c>
      <c r="G593" s="1">
        <v>200.0</v>
      </c>
      <c r="H593" s="1" t="s">
        <v>966</v>
      </c>
      <c r="I593" s="1" t="s">
        <v>967</v>
      </c>
      <c r="K593" s="1" t="s">
        <v>2515</v>
      </c>
      <c r="L593" s="1">
        <v>96.0</v>
      </c>
      <c r="M593" s="1">
        <v>873.0</v>
      </c>
      <c r="O593" s="1">
        <v>0.0</v>
      </c>
      <c r="P593" s="1">
        <v>0.0</v>
      </c>
      <c r="Q593" s="1" t="s">
        <v>2516</v>
      </c>
      <c r="R593" s="1">
        <v>155.0</v>
      </c>
      <c r="S593" s="1">
        <v>960.0</v>
      </c>
      <c r="U593" s="1">
        <v>0.0</v>
      </c>
      <c r="V593" s="1" t="s">
        <v>2514</v>
      </c>
      <c r="W593" s="1">
        <v>76.0</v>
      </c>
      <c r="Y593" s="1">
        <v>0.0</v>
      </c>
      <c r="AA593" s="1">
        <v>0.0</v>
      </c>
      <c r="AC593" s="1">
        <v>0.0</v>
      </c>
      <c r="AD593" s="1" t="s">
        <v>971</v>
      </c>
      <c r="AG593" s="9" t="s">
        <v>2513</v>
      </c>
      <c r="AM593" s="1">
        <v>185326.0</v>
      </c>
      <c r="AN593" s="1">
        <v>34168.0</v>
      </c>
      <c r="AO593" s="1">
        <v>34168.0</v>
      </c>
      <c r="AP593" s="1">
        <v>13.089</v>
      </c>
      <c r="AR593" s="1">
        <v>1124.0</v>
      </c>
      <c r="AS593" s="1">
        <v>185.0</v>
      </c>
      <c r="AT593" s="1">
        <v>6.076</v>
      </c>
      <c r="AU593" s="1">
        <v>53.22</v>
      </c>
      <c r="AV593" s="1" t="s">
        <v>972</v>
      </c>
      <c r="AW593" s="1">
        <v>5.313</v>
      </c>
      <c r="AX593" s="1">
        <v>2.0</v>
      </c>
      <c r="AY593" s="1">
        <v>2.0</v>
      </c>
      <c r="AZ593" s="1">
        <v>1.0</v>
      </c>
      <c r="BA593" s="1">
        <v>1.0</v>
      </c>
      <c r="BB593" s="1">
        <v>1.0</v>
      </c>
      <c r="BC593" s="1">
        <v>0.0</v>
      </c>
      <c r="BD593" s="1">
        <v>0.13</v>
      </c>
      <c r="BE593" s="1">
        <v>129.0</v>
      </c>
      <c r="BF593" s="1">
        <v>46.0</v>
      </c>
      <c r="BG593" s="1">
        <v>0.0</v>
      </c>
      <c r="BH593" s="1">
        <v>58.0</v>
      </c>
      <c r="BI593" s="1">
        <v>44.0</v>
      </c>
      <c r="BJ593" s="1">
        <v>0.0</v>
      </c>
      <c r="BO593" s="1" t="s">
        <v>2517</v>
      </c>
      <c r="BP593" s="1">
        <v>1.011</v>
      </c>
      <c r="BU593" s="1" t="s">
        <v>974</v>
      </c>
      <c r="BV593" s="1">
        <v>1.1</v>
      </c>
      <c r="BW593" s="1">
        <v>51.0</v>
      </c>
      <c r="BX593" s="1">
        <v>4501.025</v>
      </c>
      <c r="BY593" s="1">
        <v>7572.93</v>
      </c>
      <c r="BZ593" s="1">
        <v>9826.056</v>
      </c>
      <c r="CA593" s="1">
        <v>20276.574</v>
      </c>
      <c r="CB593" s="1">
        <v>355.5</v>
      </c>
      <c r="CC593" s="1">
        <v>0.0</v>
      </c>
      <c r="CD593" s="1">
        <v>709926.0</v>
      </c>
      <c r="CE593" s="1">
        <v>1050.0</v>
      </c>
      <c r="CF593" s="1">
        <v>165.0</v>
      </c>
      <c r="CG593" s="1">
        <v>2691167.0</v>
      </c>
      <c r="CH593" s="1">
        <v>34826.0</v>
      </c>
      <c r="CI593" s="1">
        <v>2.0</v>
      </c>
      <c r="CJ593" s="1">
        <v>65698.0</v>
      </c>
      <c r="CK593" s="1">
        <v>16.0</v>
      </c>
      <c r="CL593" s="1">
        <v>176293.0</v>
      </c>
      <c r="CM593" s="1">
        <v>41.0</v>
      </c>
      <c r="CN593" s="1">
        <v>1747844.0</v>
      </c>
      <c r="CO593" s="1">
        <v>68.0</v>
      </c>
      <c r="CP593" s="1">
        <v>640711.0</v>
      </c>
      <c r="CQ593" s="1">
        <v>10.0</v>
      </c>
      <c r="CR593" s="1">
        <v>0.0</v>
      </c>
      <c r="CS593" s="1">
        <v>0.0</v>
      </c>
      <c r="CT593" s="1">
        <v>25795.0</v>
      </c>
      <c r="CU593" s="1">
        <v>28.0</v>
      </c>
      <c r="CV593" s="1">
        <v>1832423.0</v>
      </c>
      <c r="CW593" s="1">
        <v>67.0</v>
      </c>
      <c r="DC593" s="1">
        <v>0.0</v>
      </c>
      <c r="DD593" s="1">
        <v>5077.0</v>
      </c>
      <c r="DE593" s="1">
        <v>0.0</v>
      </c>
      <c r="DF593" s="1">
        <v>3396.0</v>
      </c>
      <c r="DG593" s="1">
        <v>450.0</v>
      </c>
      <c r="DH593" s="1">
        <v>108306.0</v>
      </c>
      <c r="DI593" s="1">
        <v>600.0</v>
      </c>
      <c r="DJ593" s="1">
        <v>593147.0</v>
      </c>
      <c r="DK593" s="1">
        <v>1620.373</v>
      </c>
      <c r="DL593" s="1" t="s">
        <v>975</v>
      </c>
      <c r="DM593" s="1">
        <v>2943.113</v>
      </c>
      <c r="DN593" s="1" t="s">
        <v>975</v>
      </c>
      <c r="DO593" s="1">
        <v>2691168.0</v>
      </c>
      <c r="DP593" s="1">
        <v>1.0</v>
      </c>
      <c r="DQ593" s="1" t="s">
        <v>976</v>
      </c>
      <c r="DR593" s="1" t="s">
        <v>1064</v>
      </c>
      <c r="DS593" s="1" t="s">
        <v>978</v>
      </c>
      <c r="DT593" s="1" t="s">
        <v>979</v>
      </c>
      <c r="DU593" s="1" t="s">
        <v>980</v>
      </c>
      <c r="DV593" s="1">
        <v>17324.0</v>
      </c>
      <c r="DX593" s="1">
        <v>3754.0</v>
      </c>
      <c r="DY593" s="1">
        <v>652787.0</v>
      </c>
      <c r="DZ593" s="1" t="s">
        <v>981</v>
      </c>
      <c r="EA593" s="1">
        <v>972.0</v>
      </c>
      <c r="EB593" s="1">
        <v>4453.0</v>
      </c>
      <c r="EC593" s="1">
        <v>1.0</v>
      </c>
      <c r="ED593" s="1">
        <v>26492.0</v>
      </c>
      <c r="EF593" s="1">
        <v>225.0</v>
      </c>
      <c r="EG593" s="1" t="s">
        <v>1032</v>
      </c>
      <c r="EH593" s="1">
        <v>100.0</v>
      </c>
      <c r="EK593" s="1">
        <v>100.0</v>
      </c>
      <c r="EQ593" s="9" t="s">
        <v>2513</v>
      </c>
      <c r="ER593" s="21">
        <v>46045.29886574074</v>
      </c>
    </row>
    <row r="594">
      <c r="A594" s="9" t="s">
        <v>2518</v>
      </c>
      <c r="B594" s="20" t="str">
        <f>IFERROR(__xludf.DUMMYFUNCTION("REGEXREPLACE(A594, ""^https?://[^/]+"", """")"),"/news-events/fourteen-new-outsourced-sales-leaders-focused-on-helping-smb-owners-maximize-revenue/")</f>
        <v>/news-events/fourteen-new-outsourced-sales-leaders-focused-on-helping-smb-owners-maximize-revenue/</v>
      </c>
      <c r="C594" s="1" t="s">
        <v>2519</v>
      </c>
      <c r="D594" s="1" t="s">
        <v>1172</v>
      </c>
      <c r="F594" s="1" t="s">
        <v>965</v>
      </c>
      <c r="G594" s="1">
        <v>200.0</v>
      </c>
      <c r="H594" s="1" t="s">
        <v>966</v>
      </c>
      <c r="I594" s="1" t="s">
        <v>967</v>
      </c>
      <c r="K594" s="1" t="s">
        <v>2520</v>
      </c>
      <c r="L594" s="1">
        <v>104.0</v>
      </c>
      <c r="M594" s="1">
        <v>1008.0</v>
      </c>
      <c r="O594" s="1">
        <v>0.0</v>
      </c>
      <c r="P594" s="1">
        <v>0.0</v>
      </c>
      <c r="Q594" s="1" t="s">
        <v>2521</v>
      </c>
      <c r="R594" s="1">
        <v>158.0</v>
      </c>
      <c r="S594" s="1">
        <v>1014.0</v>
      </c>
      <c r="U594" s="1">
        <v>0.0</v>
      </c>
      <c r="V594" s="1" t="s">
        <v>2519</v>
      </c>
      <c r="W594" s="1">
        <v>84.0</v>
      </c>
      <c r="Y594" s="1">
        <v>0.0</v>
      </c>
      <c r="Z594" s="1" t="s">
        <v>1172</v>
      </c>
      <c r="AA594" s="1">
        <v>23.0</v>
      </c>
      <c r="AC594" s="1">
        <v>0.0</v>
      </c>
      <c r="AD594" s="1" t="s">
        <v>971</v>
      </c>
      <c r="AG594" s="9" t="s">
        <v>2518</v>
      </c>
      <c r="AM594" s="1">
        <v>175607.0</v>
      </c>
      <c r="AN594" s="1">
        <v>32834.0</v>
      </c>
      <c r="AO594" s="1">
        <v>32834.0</v>
      </c>
      <c r="AP594" s="1">
        <v>12.578</v>
      </c>
      <c r="AR594" s="1">
        <v>842.0</v>
      </c>
      <c r="AS594" s="1">
        <v>141.0</v>
      </c>
      <c r="AT594" s="1">
        <v>5.972</v>
      </c>
      <c r="AU594" s="1">
        <v>61.515</v>
      </c>
      <c r="AV594" s="1" t="s">
        <v>990</v>
      </c>
      <c r="AW594" s="1">
        <v>4.345</v>
      </c>
      <c r="AX594" s="1">
        <v>2.0</v>
      </c>
      <c r="AY594" s="1">
        <v>2.0</v>
      </c>
      <c r="AZ594" s="1">
        <v>1.0</v>
      </c>
      <c r="BA594" s="1">
        <v>1.0</v>
      </c>
      <c r="BB594" s="1">
        <v>1.0</v>
      </c>
      <c r="BC594" s="1">
        <v>0.0</v>
      </c>
      <c r="BD594" s="1">
        <v>0.13</v>
      </c>
      <c r="BE594" s="1">
        <v>129.0</v>
      </c>
      <c r="BF594" s="1">
        <v>47.0</v>
      </c>
      <c r="BG594" s="1">
        <v>0.0</v>
      </c>
      <c r="BH594" s="1">
        <v>23.0</v>
      </c>
      <c r="BI594" s="1">
        <v>15.0</v>
      </c>
      <c r="BJ594" s="1">
        <v>0.0</v>
      </c>
      <c r="BO594" s="1" t="s">
        <v>2522</v>
      </c>
      <c r="BP594" s="1">
        <v>1.051</v>
      </c>
      <c r="BU594" s="1" t="s">
        <v>974</v>
      </c>
      <c r="BV594" s="1">
        <v>1.1</v>
      </c>
      <c r="BW594" s="1">
        <v>44.0</v>
      </c>
      <c r="BX594" s="1">
        <v>3601.025</v>
      </c>
      <c r="BY594" s="1">
        <v>7025.784</v>
      </c>
      <c r="BZ594" s="1">
        <v>11701.088</v>
      </c>
      <c r="CA594" s="1">
        <v>20099.363</v>
      </c>
      <c r="CB594" s="1">
        <v>693.0</v>
      </c>
      <c r="CC594" s="1">
        <v>0.065</v>
      </c>
      <c r="CD594" s="1">
        <v>708805.0</v>
      </c>
      <c r="CE594" s="1">
        <v>1500.0</v>
      </c>
      <c r="CF594" s="1">
        <v>170.0</v>
      </c>
      <c r="CG594" s="1">
        <v>2691233.0</v>
      </c>
      <c r="CH594" s="1">
        <v>33514.0</v>
      </c>
      <c r="CI594" s="1">
        <v>2.0</v>
      </c>
      <c r="CJ594" s="1">
        <v>66449.0</v>
      </c>
      <c r="CK594" s="1">
        <v>20.0</v>
      </c>
      <c r="CL594" s="1">
        <v>176277.0</v>
      </c>
      <c r="CM594" s="1">
        <v>41.0</v>
      </c>
      <c r="CN594" s="1">
        <v>1748285.0</v>
      </c>
      <c r="CO594" s="1">
        <v>68.0</v>
      </c>
      <c r="CP594" s="1">
        <v>640723.0</v>
      </c>
      <c r="CQ594" s="1">
        <v>10.0</v>
      </c>
      <c r="CR594" s="1">
        <v>0.0</v>
      </c>
      <c r="CS594" s="1">
        <v>0.0</v>
      </c>
      <c r="CT594" s="1">
        <v>25985.0</v>
      </c>
      <c r="CU594" s="1">
        <v>29.0</v>
      </c>
      <c r="CV594" s="1">
        <v>1833287.0</v>
      </c>
      <c r="CW594" s="1">
        <v>72.0</v>
      </c>
      <c r="DC594" s="1">
        <v>0.0</v>
      </c>
      <c r="DD594" s="1">
        <v>5075.0</v>
      </c>
      <c r="DE594" s="1">
        <v>0.0</v>
      </c>
      <c r="DF594" s="1">
        <v>3396.0</v>
      </c>
      <c r="DG594" s="1">
        <v>450.0</v>
      </c>
      <c r="DH594" s="1">
        <v>108276.0</v>
      </c>
      <c r="DI594" s="1">
        <v>1050.0</v>
      </c>
      <c r="DJ594" s="1">
        <v>592058.0</v>
      </c>
      <c r="DK594" s="1">
        <v>2340.881</v>
      </c>
      <c r="DL594" s="1" t="s">
        <v>975</v>
      </c>
      <c r="DM594" s="1">
        <v>4081.595</v>
      </c>
      <c r="DN594" s="1" t="s">
        <v>975</v>
      </c>
      <c r="DO594" s="1">
        <v>2690728.0</v>
      </c>
      <c r="DP594" s="1">
        <v>1.0</v>
      </c>
      <c r="DQ594" s="1" t="s">
        <v>976</v>
      </c>
      <c r="DR594" s="1" t="s">
        <v>1170</v>
      </c>
      <c r="DS594" s="1" t="s">
        <v>978</v>
      </c>
      <c r="DT594" s="1" t="s">
        <v>979</v>
      </c>
      <c r="DU594" s="1" t="s">
        <v>980</v>
      </c>
      <c r="DV594" s="1">
        <v>16723.0</v>
      </c>
      <c r="DX594" s="1">
        <v>3777.0</v>
      </c>
      <c r="DY594" s="1">
        <v>653046.0</v>
      </c>
      <c r="DZ594" s="1" t="s">
        <v>994</v>
      </c>
      <c r="EA594" s="1">
        <v>848.0</v>
      </c>
      <c r="EB594" s="1">
        <v>4453.0</v>
      </c>
      <c r="EC594" s="1">
        <v>31.0</v>
      </c>
      <c r="ED594" s="1">
        <v>26492.0</v>
      </c>
      <c r="EF594" s="1">
        <v>240.0</v>
      </c>
      <c r="EG594" s="1" t="s">
        <v>1032</v>
      </c>
      <c r="EH594" s="1">
        <v>100.0</v>
      </c>
      <c r="EK594" s="1">
        <v>100.0</v>
      </c>
      <c r="EQ594" s="9" t="s">
        <v>2518</v>
      </c>
      <c r="ER594" s="21">
        <v>46045.29886574074</v>
      </c>
    </row>
    <row r="595">
      <c r="A595" s="9" t="s">
        <v>2523</v>
      </c>
      <c r="B595" s="20" t="str">
        <f>IFERROR(__xludf.DUMMYFUNCTION("REGEXREPLACE(A595, ""^https?://[^/]+"", """")"),"/news-events/sales-xceleration-kevin-shaughnessy-answers-smb-owners-question/")</f>
        <v>/news-events/sales-xceleration-kevin-shaughnessy-answers-smb-owners-question/</v>
      </c>
      <c r="C595" s="1" t="s">
        <v>2524</v>
      </c>
      <c r="F595" s="1" t="s">
        <v>965</v>
      </c>
      <c r="G595" s="1">
        <v>200.0</v>
      </c>
      <c r="H595" s="1" t="s">
        <v>966</v>
      </c>
      <c r="I595" s="1" t="s">
        <v>967</v>
      </c>
      <c r="K595" s="1" t="s">
        <v>2525</v>
      </c>
      <c r="L595" s="1">
        <v>62.0</v>
      </c>
      <c r="M595" s="1">
        <v>619.0</v>
      </c>
      <c r="O595" s="1">
        <v>0.0</v>
      </c>
      <c r="P595" s="1">
        <v>0.0</v>
      </c>
      <c r="Q595" s="1" t="s">
        <v>2526</v>
      </c>
      <c r="R595" s="1">
        <v>131.0</v>
      </c>
      <c r="S595" s="1">
        <v>826.0</v>
      </c>
      <c r="U595" s="1">
        <v>0.0</v>
      </c>
      <c r="V595" s="1" t="s">
        <v>2524</v>
      </c>
      <c r="W595" s="1">
        <v>74.0</v>
      </c>
      <c r="Y595" s="1">
        <v>0.0</v>
      </c>
      <c r="AA595" s="1">
        <v>0.0</v>
      </c>
      <c r="AC595" s="1">
        <v>0.0</v>
      </c>
      <c r="AD595" s="1" t="s">
        <v>971</v>
      </c>
      <c r="AG595" s="9" t="s">
        <v>2523</v>
      </c>
      <c r="AM595" s="1">
        <v>174680.0</v>
      </c>
      <c r="AN595" s="1">
        <v>31964.0</v>
      </c>
      <c r="AO595" s="1">
        <v>31964.0</v>
      </c>
      <c r="AP595" s="1">
        <v>12.245</v>
      </c>
      <c r="AR595" s="1">
        <v>682.0</v>
      </c>
      <c r="AS595" s="1">
        <v>112.0</v>
      </c>
      <c r="AT595" s="1">
        <v>6.089</v>
      </c>
      <c r="AU595" s="1">
        <v>60.853</v>
      </c>
      <c r="AV595" s="1" t="s">
        <v>990</v>
      </c>
      <c r="AW595" s="1">
        <v>3.79</v>
      </c>
      <c r="AX595" s="1">
        <v>2.0</v>
      </c>
      <c r="AY595" s="1">
        <v>2.0</v>
      </c>
      <c r="AZ595" s="1">
        <v>1.0</v>
      </c>
      <c r="BA595" s="1">
        <v>1.0</v>
      </c>
      <c r="BB595" s="1">
        <v>1.0</v>
      </c>
      <c r="BC595" s="1">
        <v>0.0</v>
      </c>
      <c r="BD595" s="1">
        <v>0.13</v>
      </c>
      <c r="BE595" s="1">
        <v>127.0</v>
      </c>
      <c r="BF595" s="1">
        <v>44.0</v>
      </c>
      <c r="BG595" s="1">
        <v>0.0</v>
      </c>
      <c r="BH595" s="1">
        <v>16.0</v>
      </c>
      <c r="BI595" s="1">
        <v>8.0</v>
      </c>
      <c r="BJ595" s="1">
        <v>0.0</v>
      </c>
      <c r="BO595" s="1" t="s">
        <v>2527</v>
      </c>
      <c r="BP595" s="1">
        <v>0.998</v>
      </c>
      <c r="BU595" s="1" t="s">
        <v>974</v>
      </c>
      <c r="BV595" s="1">
        <v>1.1</v>
      </c>
      <c r="BW595" s="1">
        <v>56.0</v>
      </c>
      <c r="BX595" s="1">
        <v>4951.035</v>
      </c>
      <c r="BY595" s="1">
        <v>7558.405</v>
      </c>
      <c r="BZ595" s="1">
        <v>10051.073</v>
      </c>
      <c r="CA595" s="1">
        <v>20092.645</v>
      </c>
      <c r="CB595" s="1">
        <v>145.0</v>
      </c>
      <c r="CC595" s="1">
        <v>0.001</v>
      </c>
      <c r="CD595" s="1">
        <v>708060.0</v>
      </c>
      <c r="CE595" s="1">
        <v>1650.0</v>
      </c>
      <c r="CF595" s="1">
        <v>176.0</v>
      </c>
      <c r="CG595" s="1">
        <v>2750092.0</v>
      </c>
      <c r="CH595" s="1">
        <v>32605.0</v>
      </c>
      <c r="CI595" s="1">
        <v>2.0</v>
      </c>
      <c r="CJ595" s="1">
        <v>127068.0</v>
      </c>
      <c r="CK595" s="1">
        <v>27.0</v>
      </c>
      <c r="CL595" s="1">
        <v>176280.0</v>
      </c>
      <c r="CM595" s="1">
        <v>41.0</v>
      </c>
      <c r="CN595" s="1">
        <v>1748183.0</v>
      </c>
      <c r="CO595" s="1">
        <v>68.0</v>
      </c>
      <c r="CP595" s="1">
        <v>640721.0</v>
      </c>
      <c r="CQ595" s="1">
        <v>10.0</v>
      </c>
      <c r="CR595" s="1">
        <v>0.0</v>
      </c>
      <c r="CS595" s="1">
        <v>0.0</v>
      </c>
      <c r="CT595" s="1">
        <v>25235.0</v>
      </c>
      <c r="CU595" s="1">
        <v>28.0</v>
      </c>
      <c r="CV595" s="1">
        <v>1833030.0</v>
      </c>
      <c r="CW595" s="1">
        <v>71.0</v>
      </c>
      <c r="DC595" s="1">
        <v>0.0</v>
      </c>
      <c r="DD595" s="1">
        <v>5075.0</v>
      </c>
      <c r="DE595" s="1">
        <v>0.0</v>
      </c>
      <c r="DF595" s="1">
        <v>3396.0</v>
      </c>
      <c r="DG595" s="1">
        <v>750.0</v>
      </c>
      <c r="DH595" s="1">
        <v>108319.0</v>
      </c>
      <c r="DI595" s="1">
        <v>900.0</v>
      </c>
      <c r="DJ595" s="1">
        <v>591270.0</v>
      </c>
      <c r="DK595" s="1">
        <v>1279.939</v>
      </c>
      <c r="DL595" s="1" t="s">
        <v>992</v>
      </c>
      <c r="DM595" s="1">
        <v>2394.796</v>
      </c>
      <c r="DN595" s="1" t="s">
        <v>975</v>
      </c>
      <c r="DO595" s="1">
        <v>2749587.0</v>
      </c>
      <c r="DP595" s="1">
        <v>1.0</v>
      </c>
      <c r="DQ595" s="1" t="s">
        <v>976</v>
      </c>
      <c r="DR595" s="1" t="s">
        <v>1064</v>
      </c>
      <c r="DS595" s="1" t="s">
        <v>978</v>
      </c>
      <c r="DT595" s="1" t="s">
        <v>979</v>
      </c>
      <c r="DU595" s="1" t="s">
        <v>980</v>
      </c>
      <c r="DV595" s="1">
        <v>17296.0</v>
      </c>
      <c r="DX595" s="1">
        <v>3762.0</v>
      </c>
      <c r="DY595" s="1">
        <v>677138.0</v>
      </c>
      <c r="DZ595" s="1" t="s">
        <v>981</v>
      </c>
      <c r="EA595" s="1">
        <v>825.0</v>
      </c>
      <c r="EB595" s="1">
        <v>27429.0</v>
      </c>
      <c r="EC595" s="1">
        <v>1.0</v>
      </c>
      <c r="ED595" s="1">
        <v>26492.0</v>
      </c>
      <c r="EF595" s="1">
        <v>270.0</v>
      </c>
      <c r="EG595" s="1" t="s">
        <v>1032</v>
      </c>
      <c r="EH595" s="1">
        <v>100.0</v>
      </c>
      <c r="EK595" s="1">
        <v>100.0</v>
      </c>
      <c r="EQ595" s="9" t="s">
        <v>2523</v>
      </c>
      <c r="ER595" s="21">
        <v>46045.29887731482</v>
      </c>
    </row>
    <row r="596">
      <c r="A596" s="9" t="s">
        <v>2528</v>
      </c>
      <c r="B596" s="20" t="str">
        <f>IFERROR(__xludf.DUMMYFUNCTION("REGEXREPLACE(A596, ""^https?://[^/]+"", """")"),"/news-events/sales-xceleration-and-authentic-brand-join-in-national-partnership/")</f>
        <v>/news-events/sales-xceleration-and-authentic-brand-join-in-national-partnership/</v>
      </c>
      <c r="C596" s="1" t="s">
        <v>2529</v>
      </c>
      <c r="D596" s="1" t="s">
        <v>2530</v>
      </c>
      <c r="E596" s="1" t="s">
        <v>2531</v>
      </c>
      <c r="F596" s="1" t="s">
        <v>965</v>
      </c>
      <c r="G596" s="1">
        <v>200.0</v>
      </c>
      <c r="H596" s="1" t="s">
        <v>966</v>
      </c>
      <c r="I596" s="1" t="s">
        <v>967</v>
      </c>
      <c r="K596" s="1" t="s">
        <v>2532</v>
      </c>
      <c r="L596" s="1">
        <v>80.0</v>
      </c>
      <c r="M596" s="1">
        <v>709.0</v>
      </c>
      <c r="O596" s="1">
        <v>0.0</v>
      </c>
      <c r="P596" s="1">
        <v>0.0</v>
      </c>
      <c r="Q596" s="1" t="s">
        <v>2533</v>
      </c>
      <c r="R596" s="1">
        <v>155.0</v>
      </c>
      <c r="S596" s="1">
        <v>913.0</v>
      </c>
      <c r="U596" s="1">
        <v>0.0</v>
      </c>
      <c r="V596" s="1" t="s">
        <v>2529</v>
      </c>
      <c r="W596" s="1">
        <v>60.0</v>
      </c>
      <c r="Y596" s="1">
        <v>0.0</v>
      </c>
      <c r="Z596" s="1" t="s">
        <v>2530</v>
      </c>
      <c r="AA596" s="1">
        <v>23.0</v>
      </c>
      <c r="AB596" s="1" t="s">
        <v>2531</v>
      </c>
      <c r="AC596" s="1">
        <v>15.0</v>
      </c>
      <c r="AD596" s="1" t="s">
        <v>971</v>
      </c>
      <c r="AG596" s="9" t="s">
        <v>2528</v>
      </c>
      <c r="AM596" s="1">
        <v>176885.0</v>
      </c>
      <c r="AN596" s="1">
        <v>33347.0</v>
      </c>
      <c r="AO596" s="1">
        <v>33347.0</v>
      </c>
      <c r="AP596" s="1">
        <v>12.775</v>
      </c>
      <c r="AR596" s="1">
        <v>1149.0</v>
      </c>
      <c r="AS596" s="1">
        <v>174.0</v>
      </c>
      <c r="AT596" s="1">
        <v>6.603</v>
      </c>
      <c r="AU596" s="1">
        <v>52.579</v>
      </c>
      <c r="AV596" s="1" t="s">
        <v>972</v>
      </c>
      <c r="AW596" s="1">
        <v>5.616</v>
      </c>
      <c r="AX596" s="1">
        <v>2.0</v>
      </c>
      <c r="AY596" s="1">
        <v>2.0</v>
      </c>
      <c r="AZ596" s="1">
        <v>1.0</v>
      </c>
      <c r="BA596" s="1">
        <v>1.0</v>
      </c>
      <c r="BB596" s="1">
        <v>1.0</v>
      </c>
      <c r="BC596" s="1">
        <v>0.0</v>
      </c>
      <c r="BD596" s="1">
        <v>0.13</v>
      </c>
      <c r="BE596" s="1">
        <v>128.0</v>
      </c>
      <c r="BF596" s="1">
        <v>45.0</v>
      </c>
      <c r="BG596" s="1">
        <v>0.0</v>
      </c>
      <c r="BH596" s="1">
        <v>23.0</v>
      </c>
      <c r="BI596" s="1">
        <v>13.0</v>
      </c>
      <c r="BJ596" s="1">
        <v>0.0</v>
      </c>
      <c r="BO596" s="1" t="s">
        <v>2534</v>
      </c>
      <c r="BP596" s="1">
        <v>0.961</v>
      </c>
      <c r="BU596" s="1" t="s">
        <v>974</v>
      </c>
      <c r="BV596" s="1">
        <v>1.1</v>
      </c>
      <c r="BW596" s="1">
        <v>56.0</v>
      </c>
      <c r="BX596" s="1">
        <v>4351.041</v>
      </c>
      <c r="BY596" s="1">
        <v>7047.91</v>
      </c>
      <c r="BZ596" s="1">
        <v>10651.104</v>
      </c>
      <c r="CA596" s="1">
        <v>20099.469</v>
      </c>
      <c r="CB596" s="1">
        <v>227.0</v>
      </c>
      <c r="CC596" s="1">
        <v>0.0</v>
      </c>
      <c r="CD596" s="1">
        <v>710813.0</v>
      </c>
      <c r="CE596" s="1">
        <v>2100.0</v>
      </c>
      <c r="CF596" s="1">
        <v>169.0</v>
      </c>
      <c r="CG596" s="1">
        <v>2691182.0</v>
      </c>
      <c r="CH596" s="1">
        <v>34142.0</v>
      </c>
      <c r="CI596" s="1">
        <v>2.0</v>
      </c>
      <c r="CJ596" s="1">
        <v>66449.0</v>
      </c>
      <c r="CK596" s="1">
        <v>20.0</v>
      </c>
      <c r="CL596" s="1">
        <v>176280.0</v>
      </c>
      <c r="CM596" s="1">
        <v>41.0</v>
      </c>
      <c r="CN596" s="1">
        <v>1747818.0</v>
      </c>
      <c r="CO596" s="1">
        <v>68.0</v>
      </c>
      <c r="CP596" s="1">
        <v>640721.0</v>
      </c>
      <c r="CQ596" s="1">
        <v>10.0</v>
      </c>
      <c r="CR596" s="1">
        <v>0.0</v>
      </c>
      <c r="CS596" s="1">
        <v>0.0</v>
      </c>
      <c r="CT596" s="1">
        <v>25772.0</v>
      </c>
      <c r="CU596" s="1">
        <v>28.0</v>
      </c>
      <c r="CV596" s="1">
        <v>1832704.0</v>
      </c>
      <c r="CW596" s="1">
        <v>71.0</v>
      </c>
      <c r="DC596" s="1">
        <v>150.0</v>
      </c>
      <c r="DD596" s="1">
        <v>5075.0</v>
      </c>
      <c r="DE596" s="1">
        <v>0.0</v>
      </c>
      <c r="DF596" s="1">
        <v>3401.0</v>
      </c>
      <c r="DG596" s="1">
        <v>900.0</v>
      </c>
      <c r="DH596" s="1">
        <v>108279.0</v>
      </c>
      <c r="DI596" s="1">
        <v>1050.0</v>
      </c>
      <c r="DJ596" s="1">
        <v>594058.0</v>
      </c>
      <c r="DK596" s="1">
        <v>1439.342</v>
      </c>
      <c r="DL596" s="1" t="s">
        <v>975</v>
      </c>
      <c r="DM596" s="1">
        <v>2637.557</v>
      </c>
      <c r="DN596" s="1" t="s">
        <v>975</v>
      </c>
      <c r="DO596" s="1">
        <v>2690677.0</v>
      </c>
      <c r="DP596" s="1">
        <v>1.0</v>
      </c>
      <c r="DQ596" s="1" t="s">
        <v>976</v>
      </c>
      <c r="DR596" s="1" t="s">
        <v>1376</v>
      </c>
      <c r="DS596" s="1" t="s">
        <v>978</v>
      </c>
      <c r="DT596" s="1" t="s">
        <v>979</v>
      </c>
      <c r="DU596" s="1" t="s">
        <v>980</v>
      </c>
      <c r="DV596" s="1">
        <v>17147.0</v>
      </c>
      <c r="DX596" s="1">
        <v>3864.0</v>
      </c>
      <c r="DY596" s="1">
        <v>653044.0</v>
      </c>
      <c r="DZ596" s="1" t="s">
        <v>981</v>
      </c>
      <c r="EA596" s="1">
        <v>841.0</v>
      </c>
      <c r="EB596" s="1">
        <v>4453.0</v>
      </c>
      <c r="EC596" s="1">
        <v>14.0</v>
      </c>
      <c r="ED596" s="1">
        <v>26492.0</v>
      </c>
      <c r="EF596" s="1">
        <v>215.0</v>
      </c>
      <c r="EG596" s="1" t="s">
        <v>1032</v>
      </c>
      <c r="EH596" s="1">
        <v>100.0</v>
      </c>
      <c r="EK596" s="1">
        <v>100.0</v>
      </c>
      <c r="EQ596" s="9" t="s">
        <v>2528</v>
      </c>
      <c r="ER596" s="21">
        <v>46045.29887731482</v>
      </c>
    </row>
    <row r="597">
      <c r="A597" s="9" t="s">
        <v>2535</v>
      </c>
      <c r="B597" s="20" t="str">
        <f>IFERROR(__xludf.DUMMYFUNCTION("REGEXREPLACE(A597, ""^https?://[^/]+"", """")"),"/news-events/advisor-kelly-crandall-makes-presentations-tampa-bay-area-business-owners-executives/")</f>
        <v>/news-events/advisor-kelly-crandall-makes-presentations-tampa-bay-area-business-owners-executives/</v>
      </c>
      <c r="C597" s="1" t="s">
        <v>2536</v>
      </c>
      <c r="F597" s="1" t="s">
        <v>965</v>
      </c>
      <c r="G597" s="1">
        <v>200.0</v>
      </c>
      <c r="H597" s="1" t="s">
        <v>966</v>
      </c>
      <c r="I597" s="1" t="s">
        <v>967</v>
      </c>
      <c r="K597" s="1" t="s">
        <v>2537</v>
      </c>
      <c r="L597" s="1">
        <v>111.0</v>
      </c>
      <c r="M597" s="1">
        <v>1031.0</v>
      </c>
      <c r="O597" s="1">
        <v>0.0</v>
      </c>
      <c r="P597" s="1">
        <v>0.0</v>
      </c>
      <c r="Q597" s="1" t="s">
        <v>2538</v>
      </c>
      <c r="R597" s="1">
        <v>132.0</v>
      </c>
      <c r="S597" s="1">
        <v>836.0</v>
      </c>
      <c r="U597" s="1">
        <v>0.0</v>
      </c>
      <c r="V597" s="1" t="s">
        <v>2536</v>
      </c>
      <c r="W597" s="1">
        <v>91.0</v>
      </c>
      <c r="Y597" s="1">
        <v>0.0</v>
      </c>
      <c r="AA597" s="1">
        <v>0.0</v>
      </c>
      <c r="AC597" s="1">
        <v>0.0</v>
      </c>
      <c r="AD597" s="1" t="s">
        <v>971</v>
      </c>
      <c r="AG597" s="9" t="s">
        <v>2535</v>
      </c>
      <c r="AM597" s="1">
        <v>174746.0</v>
      </c>
      <c r="AN597" s="1">
        <v>32760.0</v>
      </c>
      <c r="AO597" s="1">
        <v>32760.0</v>
      </c>
      <c r="AP597" s="1">
        <v>12.55</v>
      </c>
      <c r="AR597" s="1">
        <v>912.0</v>
      </c>
      <c r="AS597" s="1">
        <v>139.0</v>
      </c>
      <c r="AT597" s="1">
        <v>6.561</v>
      </c>
      <c r="AU597" s="1">
        <v>61.216</v>
      </c>
      <c r="AV597" s="1" t="s">
        <v>990</v>
      </c>
      <c r="AW597" s="1">
        <v>4.599</v>
      </c>
      <c r="AX597" s="1">
        <v>2.0</v>
      </c>
      <c r="AY597" s="1">
        <v>2.0</v>
      </c>
      <c r="AZ597" s="1">
        <v>1.0</v>
      </c>
      <c r="BA597" s="1">
        <v>1.0</v>
      </c>
      <c r="BB597" s="1">
        <v>1.0</v>
      </c>
      <c r="BC597" s="1">
        <v>0.0</v>
      </c>
      <c r="BD597" s="1">
        <v>0.13</v>
      </c>
      <c r="BE597" s="1">
        <v>127.0</v>
      </c>
      <c r="BF597" s="1">
        <v>45.0</v>
      </c>
      <c r="BG597" s="1">
        <v>0.0</v>
      </c>
      <c r="BH597" s="1">
        <v>21.0</v>
      </c>
      <c r="BI597" s="1">
        <v>13.0</v>
      </c>
      <c r="BJ597" s="1">
        <v>0.0</v>
      </c>
      <c r="BO597" s="1" t="s">
        <v>2539</v>
      </c>
      <c r="BP597" s="1">
        <v>1.003</v>
      </c>
      <c r="BU597" s="1" t="s">
        <v>974</v>
      </c>
      <c r="BV597" s="1">
        <v>1.1</v>
      </c>
      <c r="BW597" s="1">
        <v>48.0</v>
      </c>
      <c r="BX597" s="1">
        <v>4801.061</v>
      </c>
      <c r="BY597" s="1">
        <v>7602.725</v>
      </c>
      <c r="BZ597" s="1">
        <v>9976.131</v>
      </c>
      <c r="CA597" s="1">
        <v>20215.807</v>
      </c>
      <c r="CB597" s="1">
        <v>447.0</v>
      </c>
      <c r="CC597" s="1">
        <v>0.02</v>
      </c>
      <c r="CD597" s="1">
        <v>710889.0</v>
      </c>
      <c r="CE597" s="1">
        <v>1200.0</v>
      </c>
      <c r="CF597" s="1">
        <v>169.0</v>
      </c>
      <c r="CG597" s="1">
        <v>2690082.0</v>
      </c>
      <c r="CH597" s="1">
        <v>33490.0</v>
      </c>
      <c r="CI597" s="1">
        <v>2.0</v>
      </c>
      <c r="CJ597" s="1">
        <v>66208.0</v>
      </c>
      <c r="CK597" s="1">
        <v>20.0</v>
      </c>
      <c r="CL597" s="1">
        <v>176281.0</v>
      </c>
      <c r="CM597" s="1">
        <v>41.0</v>
      </c>
      <c r="CN597" s="1">
        <v>1748044.0</v>
      </c>
      <c r="CO597" s="1">
        <v>68.0</v>
      </c>
      <c r="CP597" s="1">
        <v>640731.0</v>
      </c>
      <c r="CQ597" s="1">
        <v>10.0</v>
      </c>
      <c r="CR597" s="1">
        <v>0.0</v>
      </c>
      <c r="CS597" s="1">
        <v>0.0</v>
      </c>
      <c r="CT597" s="1">
        <v>25328.0</v>
      </c>
      <c r="CU597" s="1">
        <v>28.0</v>
      </c>
      <c r="CV597" s="1">
        <v>1832889.0</v>
      </c>
      <c r="CW597" s="1">
        <v>71.0</v>
      </c>
      <c r="DC597" s="1">
        <v>0.0</v>
      </c>
      <c r="DD597" s="1">
        <v>5075.0</v>
      </c>
      <c r="DE597" s="1">
        <v>0.0</v>
      </c>
      <c r="DF597" s="1">
        <v>3396.0</v>
      </c>
      <c r="DG597" s="1">
        <v>450.0</v>
      </c>
      <c r="DH597" s="1">
        <v>108302.0</v>
      </c>
      <c r="DI597" s="1">
        <v>750.0</v>
      </c>
      <c r="DJ597" s="1">
        <v>594116.0</v>
      </c>
      <c r="DK597" s="1">
        <v>1780.237</v>
      </c>
      <c r="DL597" s="1" t="s">
        <v>975</v>
      </c>
      <c r="DM597" s="1">
        <v>2972.073</v>
      </c>
      <c r="DN597" s="1" t="s">
        <v>975</v>
      </c>
      <c r="DO597" s="1">
        <v>2689577.0</v>
      </c>
      <c r="DP597" s="1">
        <v>1.0</v>
      </c>
      <c r="DQ597" s="1" t="s">
        <v>976</v>
      </c>
      <c r="DR597" s="1" t="s">
        <v>1376</v>
      </c>
      <c r="DS597" s="1" t="s">
        <v>978</v>
      </c>
      <c r="DT597" s="1" t="s">
        <v>979</v>
      </c>
      <c r="DU597" s="1" t="s">
        <v>980</v>
      </c>
      <c r="DV597" s="1">
        <v>17296.0</v>
      </c>
      <c r="DX597" s="1">
        <v>3927.0</v>
      </c>
      <c r="DY597" s="1">
        <v>652783.0</v>
      </c>
      <c r="DZ597" s="1" t="s">
        <v>981</v>
      </c>
      <c r="EA597" s="1">
        <v>840.0</v>
      </c>
      <c r="EB597" s="1">
        <v>4453.0</v>
      </c>
      <c r="EC597" s="1">
        <v>1.0</v>
      </c>
      <c r="ED597" s="1">
        <v>26492.0</v>
      </c>
      <c r="EF597" s="1">
        <v>235.0</v>
      </c>
      <c r="EG597" s="1" t="s">
        <v>1032</v>
      </c>
      <c r="EH597" s="1">
        <v>100.0</v>
      </c>
      <c r="EK597" s="1">
        <v>100.0</v>
      </c>
      <c r="EQ597" s="9" t="s">
        <v>2535</v>
      </c>
      <c r="ER597" s="21">
        <v>46045.29887731482</v>
      </c>
    </row>
    <row r="598">
      <c r="A598" s="9" t="s">
        <v>2540</v>
      </c>
      <c r="B598" s="20" t="str">
        <f>IFERROR(__xludf.DUMMYFUNCTION("REGEXREPLACE(A598, ""^https?://[^/]+"", """")"),"/news-events/press-release-sales-xceleration-launches-first-ever-due-diligence-process-for-private-equity/")</f>
        <v>/news-events/press-release-sales-xceleration-launches-first-ever-due-diligence-process-for-private-equity/</v>
      </c>
      <c r="C598" s="1" t="s">
        <v>2541</v>
      </c>
      <c r="F598" s="1" t="s">
        <v>965</v>
      </c>
      <c r="G598" s="1">
        <v>200.0</v>
      </c>
      <c r="H598" s="1" t="s">
        <v>966</v>
      </c>
      <c r="I598" s="1" t="s">
        <v>967</v>
      </c>
      <c r="K598" s="1" t="s">
        <v>2542</v>
      </c>
      <c r="L598" s="1">
        <v>113.0</v>
      </c>
      <c r="M598" s="1">
        <v>1025.0</v>
      </c>
      <c r="O598" s="1">
        <v>0.0</v>
      </c>
      <c r="P598" s="1">
        <v>0.0</v>
      </c>
      <c r="Q598" s="1" t="s">
        <v>2543</v>
      </c>
      <c r="R598" s="1">
        <v>151.0</v>
      </c>
      <c r="S598" s="1">
        <v>914.0</v>
      </c>
      <c r="U598" s="1">
        <v>0.0</v>
      </c>
      <c r="V598" s="1" t="s">
        <v>2541</v>
      </c>
      <c r="W598" s="1">
        <v>93.0</v>
      </c>
      <c r="Y598" s="1">
        <v>0.0</v>
      </c>
      <c r="AA598" s="1">
        <v>0.0</v>
      </c>
      <c r="AC598" s="1">
        <v>0.0</v>
      </c>
      <c r="AD598" s="1" t="s">
        <v>971</v>
      </c>
      <c r="AG598" s="9" t="s">
        <v>2540</v>
      </c>
      <c r="AM598" s="1">
        <v>174731.0</v>
      </c>
      <c r="AN598" s="1">
        <v>32507.0</v>
      </c>
      <c r="AO598" s="1">
        <v>32507.0</v>
      </c>
      <c r="AP598" s="1">
        <v>12.453</v>
      </c>
      <c r="AR598" s="1">
        <v>855.0</v>
      </c>
      <c r="AS598" s="1">
        <v>145.0</v>
      </c>
      <c r="AT598" s="1">
        <v>5.897</v>
      </c>
      <c r="AU598" s="1">
        <v>50.846</v>
      </c>
      <c r="AV598" s="1" t="s">
        <v>972</v>
      </c>
      <c r="AW598" s="1">
        <v>4.578</v>
      </c>
      <c r="AX598" s="1">
        <v>2.0</v>
      </c>
      <c r="AY598" s="1">
        <v>2.0</v>
      </c>
      <c r="AZ598" s="1">
        <v>1.0</v>
      </c>
      <c r="BA598" s="1">
        <v>1.0</v>
      </c>
      <c r="BB598" s="1">
        <v>1.0</v>
      </c>
      <c r="BC598" s="1">
        <v>0.0</v>
      </c>
      <c r="BD598" s="1">
        <v>0.13</v>
      </c>
      <c r="BE598" s="1">
        <v>131.0</v>
      </c>
      <c r="BF598" s="1">
        <v>45.0</v>
      </c>
      <c r="BG598" s="1">
        <v>0.0</v>
      </c>
      <c r="BH598" s="1">
        <v>16.0</v>
      </c>
      <c r="BI598" s="1">
        <v>8.0</v>
      </c>
      <c r="BJ598" s="1">
        <v>0.0</v>
      </c>
      <c r="BO598" s="1" t="s">
        <v>2544</v>
      </c>
      <c r="BP598" s="1">
        <v>0.985</v>
      </c>
      <c r="BU598" s="1" t="s">
        <v>974</v>
      </c>
      <c r="BV598" s="1">
        <v>1.1</v>
      </c>
      <c r="BW598" s="1">
        <v>47.0</v>
      </c>
      <c r="BX598" s="1">
        <v>4651.059</v>
      </c>
      <c r="BY598" s="1">
        <v>6437.571</v>
      </c>
      <c r="BZ598" s="1">
        <v>9001.118</v>
      </c>
      <c r="CA598" s="1">
        <v>19889.484</v>
      </c>
      <c r="CB598" s="1">
        <v>544.5</v>
      </c>
      <c r="CC598" s="1">
        <v>0.021</v>
      </c>
      <c r="CD598" s="1">
        <v>708839.0</v>
      </c>
      <c r="CE598" s="1">
        <v>1500.0</v>
      </c>
      <c r="CF598" s="1">
        <v>172.0</v>
      </c>
      <c r="CG598" s="1">
        <v>2816324.0</v>
      </c>
      <c r="CH598" s="1">
        <v>33316.0</v>
      </c>
      <c r="CI598" s="1">
        <v>2.0</v>
      </c>
      <c r="CJ598" s="1">
        <v>96731.0</v>
      </c>
      <c r="CK598" s="1">
        <v>21.0</v>
      </c>
      <c r="CL598" s="1">
        <v>177144.0</v>
      </c>
      <c r="CM598" s="1">
        <v>41.0</v>
      </c>
      <c r="CN598" s="1">
        <v>1747885.0</v>
      </c>
      <c r="CO598" s="1">
        <v>68.0</v>
      </c>
      <c r="CP598" s="1">
        <v>735904.0</v>
      </c>
      <c r="CQ598" s="1">
        <v>12.0</v>
      </c>
      <c r="CR598" s="1">
        <v>0.0</v>
      </c>
      <c r="CS598" s="1">
        <v>0.0</v>
      </c>
      <c r="CT598" s="1">
        <v>25344.0</v>
      </c>
      <c r="CU598" s="1">
        <v>28.0</v>
      </c>
      <c r="CV598" s="1">
        <v>1881302.0</v>
      </c>
      <c r="CW598" s="1">
        <v>72.0</v>
      </c>
      <c r="DC598" s="1">
        <v>0.0</v>
      </c>
      <c r="DD598" s="1">
        <v>5075.0</v>
      </c>
      <c r="DE598" s="1">
        <v>0.0</v>
      </c>
      <c r="DF598" s="1">
        <v>3396.0</v>
      </c>
      <c r="DG598" s="1">
        <v>450.0</v>
      </c>
      <c r="DH598" s="1">
        <v>108251.0</v>
      </c>
      <c r="DI598" s="1">
        <v>1050.0</v>
      </c>
      <c r="DJ598" s="1">
        <v>592117.0</v>
      </c>
      <c r="DK598" s="1">
        <v>2001.7</v>
      </c>
      <c r="DL598" s="1" t="s">
        <v>975</v>
      </c>
      <c r="DM598" s="1">
        <v>3579.17</v>
      </c>
      <c r="DN598" s="1" t="s">
        <v>975</v>
      </c>
      <c r="DO598" s="1">
        <v>2815819.0</v>
      </c>
      <c r="DP598" s="1">
        <v>1.0</v>
      </c>
      <c r="DQ598" s="1" t="s">
        <v>976</v>
      </c>
      <c r="DR598" s="1" t="s">
        <v>2545</v>
      </c>
      <c r="DS598" s="1" t="s">
        <v>978</v>
      </c>
      <c r="DT598" s="1" t="s">
        <v>979</v>
      </c>
      <c r="DU598" s="1" t="s">
        <v>980</v>
      </c>
      <c r="DV598" s="1">
        <v>17145.0</v>
      </c>
      <c r="DX598" s="1">
        <v>3961.0</v>
      </c>
      <c r="DY598" s="1">
        <v>684021.0</v>
      </c>
      <c r="DZ598" s="1" t="s">
        <v>994</v>
      </c>
      <c r="EA598" s="1">
        <v>839.0</v>
      </c>
      <c r="EB598" s="1">
        <v>4453.0</v>
      </c>
      <c r="EC598" s="1">
        <v>33.0</v>
      </c>
      <c r="ED598" s="1">
        <v>26492.0</v>
      </c>
      <c r="EF598" s="1">
        <v>235.0</v>
      </c>
      <c r="EG598" s="1" t="s">
        <v>1032</v>
      </c>
      <c r="EH598" s="1">
        <v>100.0</v>
      </c>
      <c r="EK598" s="1">
        <v>100.0</v>
      </c>
      <c r="EQ598" s="9" t="s">
        <v>2540</v>
      </c>
      <c r="ER598" s="21">
        <v>46045.29887731482</v>
      </c>
    </row>
    <row r="599">
      <c r="A599" s="9" t="s">
        <v>2546</v>
      </c>
      <c r="B599" s="20" t="str">
        <f>IFERROR(__xludf.DUMMYFUNCTION("REGEXREPLACE(A599, ""^https?://[^/]+"", """")"),"/news-events/stagnant-sales-sales-xceleration-enters-new-markets-offers-solutions-business-owners/")</f>
        <v>/news-events/stagnant-sales-sales-xceleration-enters-new-markets-offers-solutions-business-owners/</v>
      </c>
      <c r="C599" s="1" t="s">
        <v>2547</v>
      </c>
      <c r="F599" s="1" t="s">
        <v>965</v>
      </c>
      <c r="G599" s="1">
        <v>200.0</v>
      </c>
      <c r="H599" s="1" t="s">
        <v>966</v>
      </c>
      <c r="I599" s="1" t="s">
        <v>967</v>
      </c>
      <c r="K599" s="1" t="s">
        <v>2548</v>
      </c>
      <c r="L599" s="1">
        <v>110.0</v>
      </c>
      <c r="M599" s="1">
        <v>1009.0</v>
      </c>
      <c r="O599" s="1">
        <v>0.0</v>
      </c>
      <c r="P599" s="1">
        <v>0.0</v>
      </c>
      <c r="Q599" s="1" t="s">
        <v>2549</v>
      </c>
      <c r="R599" s="1">
        <v>160.0</v>
      </c>
      <c r="S599" s="1">
        <v>1001.0</v>
      </c>
      <c r="U599" s="1">
        <v>0.0</v>
      </c>
      <c r="V599" s="1" t="s">
        <v>2547</v>
      </c>
      <c r="W599" s="1">
        <v>90.0</v>
      </c>
      <c r="Y599" s="1">
        <v>0.0</v>
      </c>
      <c r="AA599" s="1">
        <v>0.0</v>
      </c>
      <c r="AC599" s="1">
        <v>0.0</v>
      </c>
      <c r="AD599" s="1" t="s">
        <v>971</v>
      </c>
      <c r="AG599" s="9" t="s">
        <v>2546</v>
      </c>
      <c r="AM599" s="1">
        <v>174568.0</v>
      </c>
      <c r="AN599" s="1">
        <v>32437.0</v>
      </c>
      <c r="AO599" s="1">
        <v>32437.0</v>
      </c>
      <c r="AP599" s="1">
        <v>12.426</v>
      </c>
      <c r="AR599" s="1">
        <v>797.0</v>
      </c>
      <c r="AS599" s="1">
        <v>133.0</v>
      </c>
      <c r="AT599" s="1">
        <v>5.992</v>
      </c>
      <c r="AU599" s="1">
        <v>57.665</v>
      </c>
      <c r="AV599" s="1" t="s">
        <v>972</v>
      </c>
      <c r="AW599" s="1">
        <v>4.253</v>
      </c>
      <c r="AX599" s="1">
        <v>2.0</v>
      </c>
      <c r="AY599" s="1">
        <v>2.0</v>
      </c>
      <c r="AZ599" s="1">
        <v>1.0</v>
      </c>
      <c r="BA599" s="1">
        <v>1.0</v>
      </c>
      <c r="BB599" s="1">
        <v>1.0</v>
      </c>
      <c r="BC599" s="1">
        <v>0.0</v>
      </c>
      <c r="BD599" s="1">
        <v>0.13</v>
      </c>
      <c r="BE599" s="1">
        <v>126.0</v>
      </c>
      <c r="BF599" s="1">
        <v>44.0</v>
      </c>
      <c r="BG599" s="1">
        <v>0.0</v>
      </c>
      <c r="BH599" s="1">
        <v>18.0</v>
      </c>
      <c r="BI599" s="1">
        <v>10.0</v>
      </c>
      <c r="BJ599" s="1">
        <v>0.0</v>
      </c>
      <c r="BO599" s="1" t="s">
        <v>2550</v>
      </c>
      <c r="BP599" s="1">
        <v>0.969</v>
      </c>
      <c r="BU599" s="1" t="s">
        <v>974</v>
      </c>
      <c r="BV599" s="1">
        <v>1.1</v>
      </c>
      <c r="BW599" s="1">
        <v>49.0</v>
      </c>
      <c r="BX599" s="1">
        <v>3451.027</v>
      </c>
      <c r="BY599" s="1">
        <v>7566.727</v>
      </c>
      <c r="BZ599" s="1">
        <v>11551.098</v>
      </c>
      <c r="CA599" s="1">
        <v>19416.83</v>
      </c>
      <c r="CB599" s="1">
        <v>494.0</v>
      </c>
      <c r="CC599" s="1">
        <v>0.028</v>
      </c>
      <c r="CD599" s="1">
        <v>708897.0</v>
      </c>
      <c r="CE599" s="1">
        <v>1650.0</v>
      </c>
      <c r="CF599" s="1">
        <v>175.0</v>
      </c>
      <c r="CG599" s="1">
        <v>2739217.0</v>
      </c>
      <c r="CH599" s="1">
        <v>33128.0</v>
      </c>
      <c r="CI599" s="1">
        <v>2.0</v>
      </c>
      <c r="CJ599" s="1">
        <v>115615.0</v>
      </c>
      <c r="CK599" s="1">
        <v>26.0</v>
      </c>
      <c r="CL599" s="1">
        <v>176278.0</v>
      </c>
      <c r="CM599" s="1">
        <v>41.0</v>
      </c>
      <c r="CN599" s="1">
        <v>1748180.0</v>
      </c>
      <c r="CO599" s="1">
        <v>68.0</v>
      </c>
      <c r="CP599" s="1">
        <v>640721.0</v>
      </c>
      <c r="CQ599" s="1">
        <v>10.0</v>
      </c>
      <c r="CR599" s="1">
        <v>0.0</v>
      </c>
      <c r="CS599" s="1">
        <v>0.0</v>
      </c>
      <c r="CT599" s="1">
        <v>25295.0</v>
      </c>
      <c r="CU599" s="1">
        <v>28.0</v>
      </c>
      <c r="CV599" s="1">
        <v>1833017.0</v>
      </c>
      <c r="CW599" s="1">
        <v>71.0</v>
      </c>
      <c r="DC599" s="1">
        <v>0.0</v>
      </c>
      <c r="DD599" s="1">
        <v>5075.0</v>
      </c>
      <c r="DE599" s="1">
        <v>0.0</v>
      </c>
      <c r="DF599" s="1">
        <v>3396.0</v>
      </c>
      <c r="DG599" s="1">
        <v>600.0</v>
      </c>
      <c r="DH599" s="1">
        <v>108319.0</v>
      </c>
      <c r="DI599" s="1">
        <v>1050.0</v>
      </c>
      <c r="DJ599" s="1">
        <v>592107.0</v>
      </c>
      <c r="DK599" s="1">
        <v>1762.801</v>
      </c>
      <c r="DL599" s="1" t="s">
        <v>975</v>
      </c>
      <c r="DM599" s="1">
        <v>3135.601</v>
      </c>
      <c r="DN599" s="1" t="s">
        <v>975</v>
      </c>
      <c r="DO599" s="1">
        <v>2738712.0</v>
      </c>
      <c r="DP599" s="1">
        <v>1.0</v>
      </c>
      <c r="DQ599" s="1" t="s">
        <v>976</v>
      </c>
      <c r="DR599" s="1" t="s">
        <v>2418</v>
      </c>
      <c r="DS599" s="1" t="s">
        <v>978</v>
      </c>
      <c r="DT599" s="1" t="s">
        <v>979</v>
      </c>
      <c r="DU599" s="1" t="s">
        <v>980</v>
      </c>
      <c r="DV599" s="1">
        <v>16694.0</v>
      </c>
      <c r="DX599" s="1">
        <v>3898.0</v>
      </c>
      <c r="DY599" s="1">
        <v>672549.0</v>
      </c>
      <c r="DZ599" s="1" t="s">
        <v>994</v>
      </c>
      <c r="EA599" s="1">
        <v>829.0</v>
      </c>
      <c r="EB599" s="1">
        <v>27429.0</v>
      </c>
      <c r="EC599" s="1">
        <v>38.0</v>
      </c>
      <c r="ED599" s="1">
        <v>26492.0</v>
      </c>
      <c r="EF599" s="1">
        <v>230.0</v>
      </c>
      <c r="EG599" s="1" t="s">
        <v>1032</v>
      </c>
      <c r="EH599" s="1">
        <v>100.0</v>
      </c>
      <c r="EK599" s="1">
        <v>100.0</v>
      </c>
      <c r="EQ599" s="9" t="s">
        <v>2546</v>
      </c>
      <c r="ER599" s="21">
        <v>46045.29888888889</v>
      </c>
    </row>
    <row r="600">
      <c r="A600" s="9" t="s">
        <v>2551</v>
      </c>
      <c r="B600" s="20" t="str">
        <f>IFERROR(__xludf.DUMMYFUNCTION("REGEXREPLACE(A600, ""^https?://[^/]+"", """")"),"/news-events/working-well-maura-kautsky-of-sales-xceleration-on-how-companies-are-creating-cultures-that-support-sustain-mental-emotional-social-physical-financial-wellness/")</f>
        <v>/news-events/working-well-maura-kautsky-of-sales-xceleration-on-how-companies-are-creating-cultures-that-support-sustain-mental-emotional-social-physical-financial-wellness/</v>
      </c>
      <c r="C600" s="1" t="s">
        <v>2552</v>
      </c>
      <c r="F600" s="1" t="s">
        <v>965</v>
      </c>
      <c r="G600" s="1">
        <v>200.0</v>
      </c>
      <c r="H600" s="1" t="s">
        <v>966</v>
      </c>
      <c r="I600" s="1" t="s">
        <v>967</v>
      </c>
      <c r="K600" s="1" t="s">
        <v>2553</v>
      </c>
      <c r="L600" s="1">
        <v>202.0</v>
      </c>
      <c r="M600" s="1">
        <v>1845.0</v>
      </c>
      <c r="O600" s="1">
        <v>0.0</v>
      </c>
      <c r="P600" s="1">
        <v>0.0</v>
      </c>
      <c r="Q600" s="1" t="s">
        <v>2554</v>
      </c>
      <c r="R600" s="1">
        <v>158.0</v>
      </c>
      <c r="S600" s="1">
        <v>965.0</v>
      </c>
      <c r="U600" s="1">
        <v>0.0</v>
      </c>
      <c r="V600" s="1" t="s">
        <v>2552</v>
      </c>
      <c r="W600" s="1">
        <v>182.0</v>
      </c>
      <c r="Y600" s="1">
        <v>0.0</v>
      </c>
      <c r="AA600" s="1">
        <v>0.0</v>
      </c>
      <c r="AC600" s="1">
        <v>0.0</v>
      </c>
      <c r="AD600" s="1" t="s">
        <v>971</v>
      </c>
      <c r="AG600" s="9" t="s">
        <v>2551</v>
      </c>
      <c r="AM600" s="1">
        <v>174441.0</v>
      </c>
      <c r="AN600" s="1">
        <v>31834.0</v>
      </c>
      <c r="AO600" s="1">
        <v>31834.0</v>
      </c>
      <c r="AP600" s="1">
        <v>12.195</v>
      </c>
      <c r="AR600" s="1">
        <v>596.0</v>
      </c>
      <c r="AS600" s="1">
        <v>105.0</v>
      </c>
      <c r="AT600" s="1">
        <v>5.676</v>
      </c>
      <c r="AU600" s="1">
        <v>61.115</v>
      </c>
      <c r="AV600" s="1" t="s">
        <v>990</v>
      </c>
      <c r="AW600" s="1">
        <v>3.473</v>
      </c>
      <c r="AX600" s="1">
        <v>2.0</v>
      </c>
      <c r="AY600" s="1">
        <v>2.0</v>
      </c>
      <c r="AZ600" s="1">
        <v>1.0</v>
      </c>
      <c r="BA600" s="1">
        <v>1.0</v>
      </c>
      <c r="BB600" s="1">
        <v>1.0</v>
      </c>
      <c r="BC600" s="1">
        <v>0.0</v>
      </c>
      <c r="BD600" s="1">
        <v>0.13</v>
      </c>
      <c r="BE600" s="1">
        <v>125.0</v>
      </c>
      <c r="BF600" s="1">
        <v>43.0</v>
      </c>
      <c r="BG600" s="1">
        <v>0.0</v>
      </c>
      <c r="BH600" s="1">
        <v>17.0</v>
      </c>
      <c r="BI600" s="1">
        <v>9.0</v>
      </c>
      <c r="BJ600" s="1">
        <v>0.0</v>
      </c>
      <c r="BO600" s="1" t="s">
        <v>2555</v>
      </c>
      <c r="BP600" s="1">
        <v>0.979</v>
      </c>
      <c r="BU600" s="1" t="s">
        <v>974</v>
      </c>
      <c r="BV600" s="1">
        <v>1.1</v>
      </c>
      <c r="BW600" s="1">
        <v>50.0</v>
      </c>
      <c r="BX600" s="1">
        <v>4801.039</v>
      </c>
      <c r="BY600" s="1">
        <v>7103.221</v>
      </c>
      <c r="BZ600" s="1">
        <v>9976.083</v>
      </c>
      <c r="CA600" s="1">
        <v>20398.4</v>
      </c>
      <c r="CB600" s="1">
        <v>389.75</v>
      </c>
      <c r="CC600" s="1">
        <v>0.014</v>
      </c>
      <c r="CD600" s="1">
        <v>709564.0</v>
      </c>
      <c r="CE600" s="1">
        <v>1500.0</v>
      </c>
      <c r="CF600" s="1">
        <v>175.0</v>
      </c>
      <c r="CG600" s="1">
        <v>2750599.0</v>
      </c>
      <c r="CH600" s="1">
        <v>32495.0</v>
      </c>
      <c r="CI600" s="1">
        <v>2.0</v>
      </c>
      <c r="CJ600" s="1">
        <v>127074.0</v>
      </c>
      <c r="CK600" s="1">
        <v>27.0</v>
      </c>
      <c r="CL600" s="1">
        <v>177147.0</v>
      </c>
      <c r="CM600" s="1">
        <v>41.0</v>
      </c>
      <c r="CN600" s="1">
        <v>1748248.0</v>
      </c>
      <c r="CO600" s="1">
        <v>68.0</v>
      </c>
      <c r="CP600" s="1">
        <v>640721.0</v>
      </c>
      <c r="CQ600" s="1">
        <v>10.0</v>
      </c>
      <c r="CR600" s="1">
        <v>0.0</v>
      </c>
      <c r="CS600" s="1">
        <v>0.0</v>
      </c>
      <c r="CT600" s="1">
        <v>24914.0</v>
      </c>
      <c r="CU600" s="1">
        <v>27.0</v>
      </c>
      <c r="CV600" s="1">
        <v>1833209.0</v>
      </c>
      <c r="CW600" s="1">
        <v>70.0</v>
      </c>
      <c r="DC600" s="1">
        <v>0.0</v>
      </c>
      <c r="DD600" s="1">
        <v>5075.0</v>
      </c>
      <c r="DE600" s="1">
        <v>0.0</v>
      </c>
      <c r="DF600" s="1">
        <v>3396.0</v>
      </c>
      <c r="DG600" s="1">
        <v>750.0</v>
      </c>
      <c r="DH600" s="1">
        <v>108319.0</v>
      </c>
      <c r="DI600" s="1">
        <v>750.0</v>
      </c>
      <c r="DJ600" s="1">
        <v>592774.0</v>
      </c>
      <c r="DK600" s="1">
        <v>1625.335</v>
      </c>
      <c r="DL600" s="1" t="s">
        <v>975</v>
      </c>
      <c r="DM600" s="1">
        <v>2947.738</v>
      </c>
      <c r="DN600" s="1" t="s">
        <v>975</v>
      </c>
      <c r="DO600" s="1">
        <v>2750094.0</v>
      </c>
      <c r="DP600" s="1">
        <v>1.0</v>
      </c>
      <c r="DQ600" s="1" t="s">
        <v>976</v>
      </c>
      <c r="DR600" s="1" t="s">
        <v>2556</v>
      </c>
      <c r="DS600" s="1" t="s">
        <v>978</v>
      </c>
      <c r="DT600" s="1" t="s">
        <v>979</v>
      </c>
      <c r="DU600" s="1" t="s">
        <v>980</v>
      </c>
      <c r="DV600" s="1">
        <v>17296.0</v>
      </c>
      <c r="DX600" s="1">
        <v>3916.0</v>
      </c>
      <c r="DY600" s="1">
        <v>677132.0</v>
      </c>
      <c r="DZ600" s="1" t="s">
        <v>981</v>
      </c>
      <c r="EA600" s="1">
        <v>819.0</v>
      </c>
      <c r="EB600" s="1">
        <v>31882.0</v>
      </c>
      <c r="EC600" s="1">
        <v>1.0</v>
      </c>
      <c r="ED600" s="1">
        <v>26492.0</v>
      </c>
      <c r="EF600" s="1">
        <v>230.0</v>
      </c>
      <c r="EG600" s="1" t="s">
        <v>1032</v>
      </c>
      <c r="EH600" s="1">
        <v>100.0</v>
      </c>
      <c r="EK600" s="1">
        <v>100.0</v>
      </c>
      <c r="EQ600" s="9" t="s">
        <v>2551</v>
      </c>
      <c r="ER600" s="21">
        <v>46045.29888888889</v>
      </c>
    </row>
    <row r="601">
      <c r="A601" s="9" t="s">
        <v>2557</v>
      </c>
      <c r="B601" s="20" t="str">
        <f>IFERROR(__xludf.DUMMYFUNCTION("REGEXREPLACE(A601, ""^https?://[^/]+"", """")"),"/news-events/kathy-yenke-presents-make-great-sales-organization-ceo-growth-workshop/")</f>
        <v>/news-events/kathy-yenke-presents-make-great-sales-organization-ceo-growth-workshop/</v>
      </c>
      <c r="C601" s="1" t="s">
        <v>2558</v>
      </c>
      <c r="F601" s="1" t="s">
        <v>965</v>
      </c>
      <c r="G601" s="1">
        <v>200.0</v>
      </c>
      <c r="H601" s="1" t="s">
        <v>966</v>
      </c>
      <c r="I601" s="1" t="s">
        <v>967</v>
      </c>
      <c r="K601" s="1" t="s">
        <v>2559</v>
      </c>
      <c r="L601" s="1">
        <v>104.0</v>
      </c>
      <c r="M601" s="1">
        <v>977.0</v>
      </c>
      <c r="O601" s="1">
        <v>0.0</v>
      </c>
      <c r="P601" s="1">
        <v>0.0</v>
      </c>
      <c r="Q601" s="1" t="s">
        <v>2560</v>
      </c>
      <c r="R601" s="1">
        <v>223.0</v>
      </c>
      <c r="S601" s="1">
        <v>1428.0</v>
      </c>
      <c r="U601" s="1">
        <v>0.0</v>
      </c>
      <c r="V601" s="1" t="s">
        <v>2558</v>
      </c>
      <c r="W601" s="1">
        <v>84.0</v>
      </c>
      <c r="Y601" s="1">
        <v>0.0</v>
      </c>
      <c r="AA601" s="1">
        <v>0.0</v>
      </c>
      <c r="AC601" s="1">
        <v>0.0</v>
      </c>
      <c r="AD601" s="1" t="s">
        <v>971</v>
      </c>
      <c r="AG601" s="9" t="s">
        <v>2557</v>
      </c>
      <c r="AM601" s="1">
        <v>173919.0</v>
      </c>
      <c r="AN601" s="1">
        <v>32385.0</v>
      </c>
      <c r="AO601" s="1">
        <v>32385.0</v>
      </c>
      <c r="AP601" s="1">
        <v>12.406</v>
      </c>
      <c r="AR601" s="1">
        <v>808.0</v>
      </c>
      <c r="AS601" s="1">
        <v>127.0</v>
      </c>
      <c r="AT601" s="1">
        <v>6.362</v>
      </c>
      <c r="AU601" s="1">
        <v>59.761</v>
      </c>
      <c r="AV601" s="1" t="s">
        <v>972</v>
      </c>
      <c r="AW601" s="1">
        <v>4.256</v>
      </c>
      <c r="AX601" s="1">
        <v>2.0</v>
      </c>
      <c r="AY601" s="1">
        <v>2.0</v>
      </c>
      <c r="AZ601" s="1">
        <v>1.0</v>
      </c>
      <c r="BA601" s="1">
        <v>1.0</v>
      </c>
      <c r="BB601" s="1">
        <v>1.0</v>
      </c>
      <c r="BC601" s="1">
        <v>0.0</v>
      </c>
      <c r="BD601" s="1">
        <v>0.13</v>
      </c>
      <c r="BE601" s="1">
        <v>129.0</v>
      </c>
      <c r="BF601" s="1">
        <v>45.0</v>
      </c>
      <c r="BG601" s="1">
        <v>0.0</v>
      </c>
      <c r="BH601" s="1">
        <v>16.0</v>
      </c>
      <c r="BI601" s="1">
        <v>8.0</v>
      </c>
      <c r="BJ601" s="1">
        <v>0.0</v>
      </c>
      <c r="BO601" s="1" t="s">
        <v>2561</v>
      </c>
      <c r="BP601" s="1">
        <v>0.973</v>
      </c>
      <c r="BU601" s="1" t="s">
        <v>974</v>
      </c>
      <c r="BV601" s="1">
        <v>1.1</v>
      </c>
      <c r="BW601" s="1">
        <v>54.0</v>
      </c>
      <c r="BX601" s="1">
        <v>4951.041</v>
      </c>
      <c r="BY601" s="1">
        <v>8438.267</v>
      </c>
      <c r="BZ601" s="1">
        <v>9976.084</v>
      </c>
      <c r="CA601" s="1">
        <v>20426.357</v>
      </c>
      <c r="CB601" s="1">
        <v>230.0</v>
      </c>
      <c r="CC601" s="1">
        <v>0.001</v>
      </c>
      <c r="CD601" s="1">
        <v>709140.0</v>
      </c>
      <c r="CE601" s="1">
        <v>1200.0</v>
      </c>
      <c r="CF601" s="1">
        <v>174.0</v>
      </c>
      <c r="CG601" s="1">
        <v>2705587.0</v>
      </c>
      <c r="CH601" s="1">
        <v>33102.0</v>
      </c>
      <c r="CI601" s="1">
        <v>2.0</v>
      </c>
      <c r="CJ601" s="1">
        <v>82857.0</v>
      </c>
      <c r="CK601" s="1">
        <v>25.0</v>
      </c>
      <c r="CL601" s="1">
        <v>175410.0</v>
      </c>
      <c r="CM601" s="1">
        <v>41.0</v>
      </c>
      <c r="CN601" s="1">
        <v>1748230.0</v>
      </c>
      <c r="CO601" s="1">
        <v>68.0</v>
      </c>
      <c r="CP601" s="1">
        <v>640719.0</v>
      </c>
      <c r="CQ601" s="1">
        <v>10.0</v>
      </c>
      <c r="CR601" s="1">
        <v>0.0</v>
      </c>
      <c r="CS601" s="1">
        <v>0.0</v>
      </c>
      <c r="CT601" s="1">
        <v>25269.0</v>
      </c>
      <c r="CU601" s="1">
        <v>28.0</v>
      </c>
      <c r="CV601" s="1">
        <v>1832190.0</v>
      </c>
      <c r="CW601" s="1">
        <v>71.0</v>
      </c>
      <c r="DC601" s="1">
        <v>0.0</v>
      </c>
      <c r="DD601" s="1">
        <v>5075.0</v>
      </c>
      <c r="DE601" s="1">
        <v>0.0</v>
      </c>
      <c r="DF601" s="1">
        <v>3396.0</v>
      </c>
      <c r="DG601" s="1">
        <v>450.0</v>
      </c>
      <c r="DH601" s="1">
        <v>108302.0</v>
      </c>
      <c r="DI601" s="1">
        <v>750.0</v>
      </c>
      <c r="DJ601" s="1">
        <v>592367.0</v>
      </c>
      <c r="DK601" s="1">
        <v>1497.152</v>
      </c>
      <c r="DL601" s="1" t="s">
        <v>975</v>
      </c>
      <c r="DM601" s="1">
        <v>2637.292</v>
      </c>
      <c r="DN601" s="1" t="s">
        <v>975</v>
      </c>
      <c r="DO601" s="1">
        <v>2705082.0</v>
      </c>
      <c r="DP601" s="1">
        <v>1.0</v>
      </c>
      <c r="DQ601" s="1" t="s">
        <v>976</v>
      </c>
      <c r="DR601" s="1" t="s">
        <v>1464</v>
      </c>
      <c r="DS601" s="1" t="s">
        <v>978</v>
      </c>
      <c r="DT601" s="1" t="s">
        <v>979</v>
      </c>
      <c r="DU601" s="1" t="s">
        <v>980</v>
      </c>
      <c r="DV601" s="1">
        <v>17295.0</v>
      </c>
      <c r="DX601" s="1">
        <v>4030.0</v>
      </c>
      <c r="DY601" s="1">
        <v>659462.0</v>
      </c>
      <c r="DZ601" s="1" t="s">
        <v>981</v>
      </c>
      <c r="EA601" s="1">
        <v>835.0</v>
      </c>
      <c r="EB601" s="1">
        <v>4453.0</v>
      </c>
      <c r="EC601" s="1">
        <v>1.0</v>
      </c>
      <c r="ED601" s="1">
        <v>26492.0</v>
      </c>
      <c r="EF601" s="1">
        <v>205.0</v>
      </c>
      <c r="EG601" s="1" t="s">
        <v>1032</v>
      </c>
      <c r="EH601" s="1">
        <v>100.0</v>
      </c>
      <c r="EK601" s="1">
        <v>100.0</v>
      </c>
      <c r="EQ601" s="9" t="s">
        <v>2557</v>
      </c>
      <c r="ER601" s="21">
        <v>46045.29888888889</v>
      </c>
    </row>
    <row r="602">
      <c r="A602" s="9" t="s">
        <v>2562</v>
      </c>
      <c r="B602" s="20" t="str">
        <f>IFERROR(__xludf.DUMMYFUNCTION("REGEXREPLACE(A602, ""^https?://[^/]+"", """")"),"/news-events/sales-xceleration-adds-eight-new-sales-consultants-to-help-small-to-mid-size-businesses-grow-revenue/")</f>
        <v>/news-events/sales-xceleration-adds-eight-new-sales-consultants-to-help-small-to-mid-size-businesses-grow-revenue/</v>
      </c>
      <c r="C602" s="1" t="s">
        <v>2563</v>
      </c>
      <c r="F602" s="1" t="s">
        <v>965</v>
      </c>
      <c r="G602" s="1">
        <v>200.0</v>
      </c>
      <c r="H602" s="1" t="s">
        <v>966</v>
      </c>
      <c r="I602" s="1" t="s">
        <v>967</v>
      </c>
      <c r="K602" s="1" t="s">
        <v>2564</v>
      </c>
      <c r="L602" s="1">
        <v>120.0</v>
      </c>
      <c r="M602" s="1">
        <v>1108.0</v>
      </c>
      <c r="O602" s="1">
        <v>0.0</v>
      </c>
      <c r="P602" s="1">
        <v>0.0</v>
      </c>
      <c r="Q602" s="1" t="s">
        <v>2565</v>
      </c>
      <c r="R602" s="1">
        <v>158.0</v>
      </c>
      <c r="S602" s="1">
        <v>982.0</v>
      </c>
      <c r="U602" s="1">
        <v>0.0</v>
      </c>
      <c r="V602" s="1" t="s">
        <v>2563</v>
      </c>
      <c r="W602" s="1">
        <v>100.0</v>
      </c>
      <c r="Y602" s="1">
        <v>0.0</v>
      </c>
      <c r="AA602" s="1">
        <v>0.0</v>
      </c>
      <c r="AC602" s="1">
        <v>0.0</v>
      </c>
      <c r="AD602" s="1" t="s">
        <v>971</v>
      </c>
      <c r="AG602" s="9" t="s">
        <v>2562</v>
      </c>
      <c r="AM602" s="1">
        <v>175779.0</v>
      </c>
      <c r="AN602" s="1">
        <v>32240.0</v>
      </c>
      <c r="AO602" s="1">
        <v>32240.0</v>
      </c>
      <c r="AP602" s="1">
        <v>12.351</v>
      </c>
      <c r="AR602" s="1">
        <v>741.0</v>
      </c>
      <c r="AS602" s="1">
        <v>125.0</v>
      </c>
      <c r="AT602" s="1">
        <v>5.928</v>
      </c>
      <c r="AU602" s="1">
        <v>58.562</v>
      </c>
      <c r="AV602" s="1" t="s">
        <v>972</v>
      </c>
      <c r="AW602" s="1">
        <v>4.015</v>
      </c>
      <c r="AX602" s="1">
        <v>2.0</v>
      </c>
      <c r="AY602" s="1">
        <v>2.0</v>
      </c>
      <c r="AZ602" s="1">
        <v>1.0</v>
      </c>
      <c r="BA602" s="1">
        <v>1.0</v>
      </c>
      <c r="BB602" s="1">
        <v>1.0</v>
      </c>
      <c r="BC602" s="1">
        <v>0.0</v>
      </c>
      <c r="BD602" s="1">
        <v>0.13</v>
      </c>
      <c r="BE602" s="1">
        <v>128.0</v>
      </c>
      <c r="BF602" s="1">
        <v>45.0</v>
      </c>
      <c r="BG602" s="1">
        <v>0.0</v>
      </c>
      <c r="BH602" s="1">
        <v>16.0</v>
      </c>
      <c r="BI602" s="1">
        <v>8.0</v>
      </c>
      <c r="BJ602" s="1">
        <v>0.0</v>
      </c>
      <c r="BO602" s="1" t="s">
        <v>2566</v>
      </c>
      <c r="BP602" s="1">
        <v>1.004</v>
      </c>
      <c r="BU602" s="1" t="s">
        <v>974</v>
      </c>
      <c r="BV602" s="1">
        <v>1.1</v>
      </c>
      <c r="BW602" s="1">
        <v>53.0</v>
      </c>
      <c r="BX602" s="1">
        <v>4951.056</v>
      </c>
      <c r="BY602" s="1">
        <v>6956.183</v>
      </c>
      <c r="BZ602" s="1">
        <v>10801.126</v>
      </c>
      <c r="CA602" s="1">
        <v>21489.568</v>
      </c>
      <c r="CB602" s="1">
        <v>287.0</v>
      </c>
      <c r="CC602" s="1">
        <v>0.018</v>
      </c>
      <c r="CD602" s="1">
        <v>708196.0</v>
      </c>
      <c r="CE602" s="1">
        <v>1650.0</v>
      </c>
      <c r="CF602" s="1">
        <v>175.0</v>
      </c>
      <c r="CG602" s="1">
        <v>2739492.0</v>
      </c>
      <c r="CH602" s="1">
        <v>32894.0</v>
      </c>
      <c r="CI602" s="1">
        <v>2.0</v>
      </c>
      <c r="CJ602" s="1">
        <v>115608.0</v>
      </c>
      <c r="CK602" s="1">
        <v>26.0</v>
      </c>
      <c r="CL602" s="1">
        <v>176288.0</v>
      </c>
      <c r="CM602" s="1">
        <v>41.0</v>
      </c>
      <c r="CN602" s="1">
        <v>1748349.0</v>
      </c>
      <c r="CO602" s="1">
        <v>68.0</v>
      </c>
      <c r="CP602" s="1">
        <v>640731.0</v>
      </c>
      <c r="CQ602" s="1">
        <v>10.0</v>
      </c>
      <c r="CR602" s="1">
        <v>0.0</v>
      </c>
      <c r="CS602" s="1">
        <v>0.0</v>
      </c>
      <c r="CT602" s="1">
        <v>25622.0</v>
      </c>
      <c r="CU602" s="1">
        <v>28.0</v>
      </c>
      <c r="CV602" s="1">
        <v>1833167.0</v>
      </c>
      <c r="CW602" s="1">
        <v>71.0</v>
      </c>
      <c r="DC602" s="1">
        <v>0.0</v>
      </c>
      <c r="DD602" s="1">
        <v>5075.0</v>
      </c>
      <c r="DE602" s="1">
        <v>0.0</v>
      </c>
      <c r="DF602" s="1">
        <v>3401.0</v>
      </c>
      <c r="DG602" s="1">
        <v>600.0</v>
      </c>
      <c r="DH602" s="1">
        <v>108318.0</v>
      </c>
      <c r="DI602" s="1">
        <v>1050.0</v>
      </c>
      <c r="DJ602" s="1">
        <v>591402.0</v>
      </c>
      <c r="DK602" s="1">
        <v>1540.882</v>
      </c>
      <c r="DL602" s="1" t="s">
        <v>975</v>
      </c>
      <c r="DM602" s="1">
        <v>2730.427</v>
      </c>
      <c r="DN602" s="1" t="s">
        <v>975</v>
      </c>
      <c r="DO602" s="1">
        <v>2738987.0</v>
      </c>
      <c r="DP602" s="1">
        <v>1.0</v>
      </c>
      <c r="DQ602" s="1" t="s">
        <v>976</v>
      </c>
      <c r="DR602" s="1" t="s">
        <v>1064</v>
      </c>
      <c r="DS602" s="1" t="s">
        <v>978</v>
      </c>
      <c r="DT602" s="1" t="s">
        <v>979</v>
      </c>
      <c r="DU602" s="1" t="s">
        <v>980</v>
      </c>
      <c r="DV602" s="1">
        <v>17295.0</v>
      </c>
      <c r="DX602" s="1">
        <v>3009.0</v>
      </c>
      <c r="DY602" s="1">
        <v>672542.0</v>
      </c>
      <c r="DZ602" s="1" t="s">
        <v>981</v>
      </c>
      <c r="EA602" s="1">
        <v>834.0</v>
      </c>
      <c r="EB602" s="1">
        <v>27429.0</v>
      </c>
      <c r="EC602" s="1">
        <v>1.0</v>
      </c>
      <c r="ED602" s="1">
        <v>26492.0</v>
      </c>
      <c r="EF602" s="1">
        <v>220.0</v>
      </c>
      <c r="EG602" s="1" t="s">
        <v>1032</v>
      </c>
      <c r="EH602" s="1">
        <v>100.0</v>
      </c>
      <c r="EK602" s="1">
        <v>100.0</v>
      </c>
      <c r="EQ602" s="9" t="s">
        <v>2562</v>
      </c>
      <c r="ER602" s="21">
        <v>46045.29888888889</v>
      </c>
    </row>
    <row r="603">
      <c r="A603" s="9" t="s">
        <v>2567</v>
      </c>
      <c r="B603" s="20" t="str">
        <f>IFERROR(__xludf.DUMMYFUNCTION("REGEXREPLACE(A603, ""^https?://[^/]+"", """")"),"/news-events/smb-demand-continues-for-sales-infrastructure-leadership-skills/")</f>
        <v>/news-events/smb-demand-continues-for-sales-infrastructure-leadership-skills/</v>
      </c>
      <c r="C603" s="1" t="s">
        <v>2568</v>
      </c>
      <c r="F603" s="1" t="s">
        <v>965</v>
      </c>
      <c r="G603" s="1">
        <v>200.0</v>
      </c>
      <c r="H603" s="1" t="s">
        <v>966</v>
      </c>
      <c r="I603" s="1" t="s">
        <v>967</v>
      </c>
      <c r="K603" s="1" t="s">
        <v>2569</v>
      </c>
      <c r="L603" s="1">
        <v>85.0</v>
      </c>
      <c r="M603" s="1">
        <v>771.0</v>
      </c>
      <c r="O603" s="1">
        <v>0.0</v>
      </c>
      <c r="P603" s="1">
        <v>0.0</v>
      </c>
      <c r="Q603" s="1" t="s">
        <v>2570</v>
      </c>
      <c r="R603" s="1">
        <v>463.0</v>
      </c>
      <c r="S603" s="1">
        <v>2823.0</v>
      </c>
      <c r="U603" s="1">
        <v>0.0</v>
      </c>
      <c r="V603" s="1" t="s">
        <v>2568</v>
      </c>
      <c r="W603" s="1">
        <v>65.0</v>
      </c>
      <c r="Y603" s="1">
        <v>0.0</v>
      </c>
      <c r="AA603" s="1">
        <v>0.0</v>
      </c>
      <c r="AC603" s="1">
        <v>0.0</v>
      </c>
      <c r="AD603" s="1" t="s">
        <v>971</v>
      </c>
      <c r="AG603" s="9" t="s">
        <v>2567</v>
      </c>
      <c r="AM603" s="1">
        <v>175495.0</v>
      </c>
      <c r="AN603" s="1">
        <v>32556.0</v>
      </c>
      <c r="AO603" s="1">
        <v>32556.0</v>
      </c>
      <c r="AP603" s="1">
        <v>12.472</v>
      </c>
      <c r="AR603" s="1">
        <v>810.0</v>
      </c>
      <c r="AS603" s="1">
        <v>135.0</v>
      </c>
      <c r="AT603" s="1">
        <v>6.0</v>
      </c>
      <c r="AU603" s="1">
        <v>57.447</v>
      </c>
      <c r="AV603" s="1" t="s">
        <v>972</v>
      </c>
      <c r="AW603" s="1">
        <v>4.282</v>
      </c>
      <c r="AX603" s="1">
        <v>2.0</v>
      </c>
      <c r="AY603" s="1">
        <v>2.0</v>
      </c>
      <c r="AZ603" s="1">
        <v>1.0</v>
      </c>
      <c r="BA603" s="1">
        <v>1.0</v>
      </c>
      <c r="BB603" s="1">
        <v>1.0</v>
      </c>
      <c r="BC603" s="1">
        <v>0.0</v>
      </c>
      <c r="BD603" s="1">
        <v>0.13</v>
      </c>
      <c r="BE603" s="1">
        <v>132.0</v>
      </c>
      <c r="BF603" s="1">
        <v>45.0</v>
      </c>
      <c r="BG603" s="1">
        <v>0.0</v>
      </c>
      <c r="BH603" s="1">
        <v>16.0</v>
      </c>
      <c r="BI603" s="1">
        <v>8.0</v>
      </c>
      <c r="BJ603" s="1">
        <v>0.0</v>
      </c>
      <c r="BO603" s="1" t="s">
        <v>2571</v>
      </c>
      <c r="BP603" s="1">
        <v>0.99</v>
      </c>
      <c r="BU603" s="1" t="s">
        <v>974</v>
      </c>
      <c r="BV603" s="1">
        <v>1.1</v>
      </c>
      <c r="BW603" s="1">
        <v>57.0</v>
      </c>
      <c r="BX603" s="1">
        <v>4951.034</v>
      </c>
      <c r="BY603" s="1">
        <v>8003.0</v>
      </c>
      <c r="BZ603" s="1">
        <v>11026.078</v>
      </c>
      <c r="CA603" s="1">
        <v>19186.428</v>
      </c>
      <c r="CB603" s="1">
        <v>26.0</v>
      </c>
      <c r="CC603" s="1">
        <v>0.001</v>
      </c>
      <c r="CD603" s="1">
        <v>708916.0</v>
      </c>
      <c r="CE603" s="1">
        <v>1500.0</v>
      </c>
      <c r="CF603" s="1">
        <v>174.0</v>
      </c>
      <c r="CG603" s="1">
        <v>2706665.0</v>
      </c>
      <c r="CH603" s="1">
        <v>33171.0</v>
      </c>
      <c r="CI603" s="1">
        <v>2.0</v>
      </c>
      <c r="CJ603" s="1">
        <v>82863.0</v>
      </c>
      <c r="CK603" s="1">
        <v>25.0</v>
      </c>
      <c r="CL603" s="1">
        <v>176280.0</v>
      </c>
      <c r="CM603" s="1">
        <v>41.0</v>
      </c>
      <c r="CN603" s="1">
        <v>1748379.0</v>
      </c>
      <c r="CO603" s="1">
        <v>68.0</v>
      </c>
      <c r="CP603" s="1">
        <v>640729.0</v>
      </c>
      <c r="CQ603" s="1">
        <v>10.0</v>
      </c>
      <c r="CR603" s="1">
        <v>0.0</v>
      </c>
      <c r="CS603" s="1">
        <v>0.0</v>
      </c>
      <c r="CT603" s="1">
        <v>25243.0</v>
      </c>
      <c r="CU603" s="1">
        <v>28.0</v>
      </c>
      <c r="CV603" s="1">
        <v>1833264.0</v>
      </c>
      <c r="CW603" s="1">
        <v>71.0</v>
      </c>
      <c r="DC603" s="1">
        <v>0.0</v>
      </c>
      <c r="DD603" s="1">
        <v>5075.0</v>
      </c>
      <c r="DE603" s="1">
        <v>0.0</v>
      </c>
      <c r="DF603" s="1">
        <v>3396.0</v>
      </c>
      <c r="DG603" s="1">
        <v>450.0</v>
      </c>
      <c r="DH603" s="1">
        <v>108319.0</v>
      </c>
      <c r="DI603" s="1">
        <v>1050.0</v>
      </c>
      <c r="DJ603" s="1">
        <v>592126.0</v>
      </c>
      <c r="DK603" s="1">
        <v>641.098</v>
      </c>
      <c r="DL603" s="1" t="s">
        <v>992</v>
      </c>
      <c r="DM603" s="1">
        <v>1384.428</v>
      </c>
      <c r="DN603" s="1" t="s">
        <v>992</v>
      </c>
      <c r="DO603" s="1">
        <v>2706160.0</v>
      </c>
      <c r="DP603" s="1">
        <v>1.0</v>
      </c>
      <c r="DQ603" s="1" t="s">
        <v>976</v>
      </c>
      <c r="DR603" s="1" t="s">
        <v>1014</v>
      </c>
      <c r="DS603" s="1" t="s">
        <v>978</v>
      </c>
      <c r="DT603" s="1" t="s">
        <v>979</v>
      </c>
      <c r="DU603" s="1" t="s">
        <v>980</v>
      </c>
      <c r="DV603" s="1">
        <v>17325.0</v>
      </c>
      <c r="DX603" s="1">
        <v>4017.0</v>
      </c>
      <c r="DY603" s="1">
        <v>659454.0</v>
      </c>
      <c r="DZ603" s="1" t="s">
        <v>981</v>
      </c>
      <c r="EA603" s="1">
        <v>838.0</v>
      </c>
      <c r="EB603" s="1">
        <v>0.0</v>
      </c>
      <c r="EC603" s="1">
        <v>0.0</v>
      </c>
      <c r="ED603" s="1">
        <v>26492.0</v>
      </c>
      <c r="EF603" s="1">
        <v>240.0</v>
      </c>
      <c r="EG603" s="1" t="s">
        <v>1032</v>
      </c>
      <c r="EH603" s="1">
        <v>100.0</v>
      </c>
      <c r="EK603" s="1">
        <v>100.0</v>
      </c>
      <c r="EQ603" s="9" t="s">
        <v>2567</v>
      </c>
      <c r="ER603" s="21">
        <v>46045.29890046296</v>
      </c>
    </row>
    <row r="604">
      <c r="A604" s="9" t="s">
        <v>2572</v>
      </c>
      <c r="B604" s="20" t="str">
        <f>IFERROR(__xludf.DUMMYFUNCTION("REGEXREPLACE(A604, ""^https?://[^/]+"", """")"),"/news-events/sales-xceleration-acquires-indiana-based-staffing-provider/")</f>
        <v>/news-events/sales-xceleration-acquires-indiana-based-staffing-provider/</v>
      </c>
      <c r="C604" s="1" t="s">
        <v>2573</v>
      </c>
      <c r="F604" s="1" t="s">
        <v>965</v>
      </c>
      <c r="G604" s="1">
        <v>200.0</v>
      </c>
      <c r="H604" s="1" t="s">
        <v>966</v>
      </c>
      <c r="I604" s="1" t="s">
        <v>967</v>
      </c>
      <c r="K604" s="1" t="s">
        <v>2574</v>
      </c>
      <c r="L604" s="1">
        <v>78.0</v>
      </c>
      <c r="M604" s="1">
        <v>697.0</v>
      </c>
      <c r="O604" s="1">
        <v>0.0</v>
      </c>
      <c r="P604" s="1">
        <v>0.0</v>
      </c>
      <c r="Q604" s="1" t="s">
        <v>2575</v>
      </c>
      <c r="R604" s="1">
        <v>129.0</v>
      </c>
      <c r="S604" s="1">
        <v>781.0</v>
      </c>
      <c r="U604" s="1">
        <v>0.0</v>
      </c>
      <c r="V604" s="1" t="s">
        <v>2573</v>
      </c>
      <c r="W604" s="1">
        <v>58.0</v>
      </c>
      <c r="Y604" s="1">
        <v>0.0</v>
      </c>
      <c r="AA604" s="1">
        <v>0.0</v>
      </c>
      <c r="AC604" s="1">
        <v>0.0</v>
      </c>
      <c r="AD604" s="1" t="s">
        <v>971</v>
      </c>
      <c r="AG604" s="9" t="s">
        <v>2572</v>
      </c>
      <c r="AM604" s="1">
        <v>172337.0</v>
      </c>
      <c r="AN604" s="1">
        <v>31514.0</v>
      </c>
      <c r="AO604" s="1">
        <v>31514.0</v>
      </c>
      <c r="AP604" s="1">
        <v>12.072</v>
      </c>
      <c r="AR604" s="1">
        <v>623.0</v>
      </c>
      <c r="AS604" s="1">
        <v>105.0</v>
      </c>
      <c r="AT604" s="1">
        <v>5.933</v>
      </c>
      <c r="AU604" s="1">
        <v>58.364</v>
      </c>
      <c r="AV604" s="1" t="s">
        <v>972</v>
      </c>
      <c r="AW604" s="1">
        <v>3.652</v>
      </c>
      <c r="AX604" s="1">
        <v>2.0</v>
      </c>
      <c r="AY604" s="1">
        <v>2.0</v>
      </c>
      <c r="AZ604" s="1">
        <v>1.0</v>
      </c>
      <c r="BA604" s="1">
        <v>1.0</v>
      </c>
      <c r="BB604" s="1">
        <v>1.0</v>
      </c>
      <c r="BC604" s="1">
        <v>0.0</v>
      </c>
      <c r="BD604" s="1">
        <v>0.13</v>
      </c>
      <c r="BE604" s="1">
        <v>125.0</v>
      </c>
      <c r="BF604" s="1">
        <v>43.0</v>
      </c>
      <c r="BG604" s="1">
        <v>0.0</v>
      </c>
      <c r="BH604" s="1">
        <v>17.0</v>
      </c>
      <c r="BI604" s="1">
        <v>9.0</v>
      </c>
      <c r="BJ604" s="1">
        <v>0.0</v>
      </c>
      <c r="BO604" s="1" t="s">
        <v>2576</v>
      </c>
      <c r="BP604" s="1">
        <v>0.967</v>
      </c>
      <c r="BU604" s="1" t="s">
        <v>974</v>
      </c>
      <c r="BV604" s="1">
        <v>1.1</v>
      </c>
      <c r="BW604" s="1">
        <v>56.0</v>
      </c>
      <c r="BX604" s="1">
        <v>4951.034</v>
      </c>
      <c r="BY604" s="1">
        <v>6948.86</v>
      </c>
      <c r="BZ604" s="1">
        <v>10801.076</v>
      </c>
      <c r="CA604" s="1">
        <v>21286.553</v>
      </c>
      <c r="CB604" s="1">
        <v>208.5</v>
      </c>
      <c r="CC604" s="1">
        <v>0.0</v>
      </c>
      <c r="CD604" s="1">
        <v>710969.0</v>
      </c>
      <c r="CE604" s="1">
        <v>1650.0</v>
      </c>
      <c r="CF604" s="1">
        <v>176.0</v>
      </c>
      <c r="CG604" s="1">
        <v>2749823.0</v>
      </c>
      <c r="CH604" s="1">
        <v>32270.0</v>
      </c>
      <c r="CI604" s="1">
        <v>2.0</v>
      </c>
      <c r="CJ604" s="1">
        <v>127088.0</v>
      </c>
      <c r="CK604" s="1">
        <v>27.0</v>
      </c>
      <c r="CL604" s="1">
        <v>176284.0</v>
      </c>
      <c r="CM604" s="1">
        <v>41.0</v>
      </c>
      <c r="CN604" s="1">
        <v>1748251.0</v>
      </c>
      <c r="CO604" s="1">
        <v>68.0</v>
      </c>
      <c r="CP604" s="1">
        <v>640725.0</v>
      </c>
      <c r="CQ604" s="1">
        <v>10.0</v>
      </c>
      <c r="CR604" s="1">
        <v>0.0</v>
      </c>
      <c r="CS604" s="1">
        <v>0.0</v>
      </c>
      <c r="CT604" s="1">
        <v>25205.0</v>
      </c>
      <c r="CU604" s="1">
        <v>28.0</v>
      </c>
      <c r="CV604" s="1">
        <v>1833121.0</v>
      </c>
      <c r="CW604" s="1">
        <v>71.0</v>
      </c>
      <c r="DC604" s="1">
        <v>150.0</v>
      </c>
      <c r="DD604" s="1">
        <v>5075.0</v>
      </c>
      <c r="DE604" s="1">
        <v>0.0</v>
      </c>
      <c r="DF604" s="1">
        <v>3396.0</v>
      </c>
      <c r="DG604" s="1">
        <v>450.0</v>
      </c>
      <c r="DH604" s="1">
        <v>108319.0</v>
      </c>
      <c r="DI604" s="1">
        <v>1050.0</v>
      </c>
      <c r="DJ604" s="1">
        <v>594179.0</v>
      </c>
      <c r="DK604" s="1">
        <v>1428.643</v>
      </c>
      <c r="DL604" s="1" t="s">
        <v>975</v>
      </c>
      <c r="DM604" s="1">
        <v>2542.462</v>
      </c>
      <c r="DN604" s="1" t="s">
        <v>975</v>
      </c>
      <c r="DO604" s="1">
        <v>2749318.0</v>
      </c>
      <c r="DP604" s="1">
        <v>1.0</v>
      </c>
      <c r="DQ604" s="1" t="s">
        <v>976</v>
      </c>
      <c r="DR604" s="1" t="s">
        <v>1298</v>
      </c>
      <c r="DS604" s="1" t="s">
        <v>978</v>
      </c>
      <c r="DT604" s="1" t="s">
        <v>979</v>
      </c>
      <c r="DU604" s="1" t="s">
        <v>980</v>
      </c>
      <c r="DV604" s="1">
        <v>17295.0</v>
      </c>
      <c r="DX604" s="1">
        <v>3221.0</v>
      </c>
      <c r="DY604" s="1">
        <v>677140.0</v>
      </c>
      <c r="EA604" s="1">
        <v>821.0</v>
      </c>
      <c r="EB604" s="1">
        <v>31882.0</v>
      </c>
      <c r="EC604" s="1">
        <v>1.0</v>
      </c>
      <c r="ED604" s="1">
        <v>26492.0</v>
      </c>
      <c r="EF604" s="1">
        <v>240.0</v>
      </c>
      <c r="EG604" s="1" t="s">
        <v>1032</v>
      </c>
      <c r="EH604" s="1">
        <v>100.0</v>
      </c>
      <c r="EK604" s="1">
        <v>100.0</v>
      </c>
      <c r="EQ604" s="9" t="s">
        <v>2572</v>
      </c>
      <c r="ER604" s="21">
        <v>46045.29890046296</v>
      </c>
    </row>
    <row r="605">
      <c r="A605" s="9" t="s">
        <v>2577</v>
      </c>
      <c r="B605" s="20" t="str">
        <f>IFERROR(__xludf.DUMMYFUNCTION("REGEXREPLACE(A605, ""^https?://[^/]+"", """")"),"/news-events/meet-sales-xcelerations-newest-fractional-sales-leaders-ready-to-transform-your-business/")</f>
        <v>/news-events/meet-sales-xcelerations-newest-fractional-sales-leaders-ready-to-transform-your-business/</v>
      </c>
      <c r="C605" s="1" t="s">
        <v>2578</v>
      </c>
      <c r="F605" s="1" t="s">
        <v>965</v>
      </c>
      <c r="G605" s="1">
        <v>200.0</v>
      </c>
      <c r="H605" s="1" t="s">
        <v>966</v>
      </c>
      <c r="I605" s="1" t="s">
        <v>967</v>
      </c>
      <c r="K605" s="1" t="s">
        <v>2579</v>
      </c>
      <c r="L605" s="1">
        <v>109.0</v>
      </c>
      <c r="M605" s="1">
        <v>1002.0</v>
      </c>
      <c r="O605" s="1">
        <v>0.0</v>
      </c>
      <c r="P605" s="1">
        <v>0.0</v>
      </c>
      <c r="Q605" s="1" t="s">
        <v>2580</v>
      </c>
      <c r="R605" s="1">
        <v>156.0</v>
      </c>
      <c r="S605" s="1">
        <v>938.0</v>
      </c>
      <c r="U605" s="1">
        <v>0.0</v>
      </c>
      <c r="V605" s="1" t="s">
        <v>2578</v>
      </c>
      <c r="W605" s="1">
        <v>89.0</v>
      </c>
      <c r="Y605" s="1">
        <v>0.0</v>
      </c>
      <c r="AA605" s="1">
        <v>0.0</v>
      </c>
      <c r="AC605" s="1">
        <v>0.0</v>
      </c>
      <c r="AD605" s="1" t="s">
        <v>971</v>
      </c>
      <c r="AG605" s="9" t="s">
        <v>2577</v>
      </c>
      <c r="AM605" s="1">
        <v>178895.0</v>
      </c>
      <c r="AN605" s="1">
        <v>33380.0</v>
      </c>
      <c r="AO605" s="1">
        <v>33380.0</v>
      </c>
      <c r="AP605" s="1">
        <v>12.787</v>
      </c>
      <c r="AR605" s="1">
        <v>1058.0</v>
      </c>
      <c r="AS605" s="1">
        <v>159.0</v>
      </c>
      <c r="AT605" s="1">
        <v>6.654</v>
      </c>
      <c r="AU605" s="1">
        <v>51.591</v>
      </c>
      <c r="AV605" s="1" t="s">
        <v>972</v>
      </c>
      <c r="AW605" s="1">
        <v>5.227</v>
      </c>
      <c r="AX605" s="1">
        <v>2.0</v>
      </c>
      <c r="AY605" s="1">
        <v>2.0</v>
      </c>
      <c r="AZ605" s="1">
        <v>1.0</v>
      </c>
      <c r="BA605" s="1">
        <v>1.0</v>
      </c>
      <c r="BB605" s="1">
        <v>1.0</v>
      </c>
      <c r="BC605" s="1">
        <v>0.0</v>
      </c>
      <c r="BD605" s="1">
        <v>0.13</v>
      </c>
      <c r="BE605" s="1">
        <v>128.0</v>
      </c>
      <c r="BF605" s="1">
        <v>44.0</v>
      </c>
      <c r="BG605" s="1">
        <v>0.0</v>
      </c>
      <c r="BH605" s="1">
        <v>23.0</v>
      </c>
      <c r="BI605" s="1">
        <v>15.0</v>
      </c>
      <c r="BJ605" s="1">
        <v>0.0</v>
      </c>
      <c r="BO605" s="1" t="s">
        <v>2581</v>
      </c>
      <c r="BP605" s="1">
        <v>0.961</v>
      </c>
      <c r="BU605" s="1" t="s">
        <v>974</v>
      </c>
      <c r="BV605" s="1">
        <v>1.1</v>
      </c>
      <c r="BW605" s="1">
        <v>52.0</v>
      </c>
      <c r="BX605" s="1">
        <v>4501.049</v>
      </c>
      <c r="BY605" s="1">
        <v>6638.007</v>
      </c>
      <c r="BZ605" s="1">
        <v>9976.113</v>
      </c>
      <c r="CA605" s="1">
        <v>19880.082</v>
      </c>
      <c r="CB605" s="1">
        <v>340.5</v>
      </c>
      <c r="CC605" s="1">
        <v>0.0</v>
      </c>
      <c r="CD605" s="1">
        <v>709102.0</v>
      </c>
      <c r="CE605" s="1">
        <v>1500.0</v>
      </c>
      <c r="CF605" s="1">
        <v>170.0</v>
      </c>
      <c r="CG605" s="1">
        <v>2691192.0</v>
      </c>
      <c r="CH605" s="1">
        <v>34108.0</v>
      </c>
      <c r="CI605" s="1">
        <v>2.0</v>
      </c>
      <c r="CJ605" s="1">
        <v>66911.0</v>
      </c>
      <c r="CK605" s="1">
        <v>21.0</v>
      </c>
      <c r="CL605" s="1">
        <v>176280.0</v>
      </c>
      <c r="CM605" s="1">
        <v>41.0</v>
      </c>
      <c r="CN605" s="1">
        <v>1747824.0</v>
      </c>
      <c r="CO605" s="1">
        <v>68.0</v>
      </c>
      <c r="CP605" s="1">
        <v>640725.0</v>
      </c>
      <c r="CQ605" s="1">
        <v>10.0</v>
      </c>
      <c r="CR605" s="1">
        <v>0.0</v>
      </c>
      <c r="CS605" s="1">
        <v>0.0</v>
      </c>
      <c r="CT605" s="1">
        <v>25344.0</v>
      </c>
      <c r="CU605" s="1">
        <v>28.0</v>
      </c>
      <c r="CV605" s="1">
        <v>1832670.0</v>
      </c>
      <c r="CW605" s="1">
        <v>71.0</v>
      </c>
      <c r="DC605" s="1">
        <v>150.0</v>
      </c>
      <c r="DD605" s="1">
        <v>5075.0</v>
      </c>
      <c r="DE605" s="1">
        <v>0.0</v>
      </c>
      <c r="DF605" s="1">
        <v>3396.0</v>
      </c>
      <c r="DG605" s="1">
        <v>450.0</v>
      </c>
      <c r="DH605" s="1">
        <v>108320.0</v>
      </c>
      <c r="DI605" s="1">
        <v>900.0</v>
      </c>
      <c r="DJ605" s="1">
        <v>592311.0</v>
      </c>
      <c r="DK605" s="1">
        <v>1771.517</v>
      </c>
      <c r="DL605" s="1" t="s">
        <v>975</v>
      </c>
      <c r="DM605" s="1">
        <v>3088.523</v>
      </c>
      <c r="DN605" s="1" t="s">
        <v>975</v>
      </c>
      <c r="DO605" s="1">
        <v>2690687.0</v>
      </c>
      <c r="DP605" s="1">
        <v>1.0</v>
      </c>
      <c r="DQ605" s="1" t="s">
        <v>976</v>
      </c>
      <c r="DR605" s="1" t="s">
        <v>2545</v>
      </c>
      <c r="DS605" s="1" t="s">
        <v>978</v>
      </c>
      <c r="DT605" s="1" t="s">
        <v>979</v>
      </c>
      <c r="DU605" s="1" t="s">
        <v>980</v>
      </c>
      <c r="DV605" s="1">
        <v>17145.0</v>
      </c>
      <c r="DX605" s="1">
        <v>4451.0</v>
      </c>
      <c r="DY605" s="1">
        <v>652787.0</v>
      </c>
      <c r="DZ605" s="1" t="s">
        <v>981</v>
      </c>
      <c r="EA605" s="1">
        <v>871.0</v>
      </c>
      <c r="EB605" s="1">
        <v>4453.0</v>
      </c>
      <c r="EC605" s="1">
        <v>0.0</v>
      </c>
      <c r="ED605" s="1">
        <v>26492.0</v>
      </c>
      <c r="EF605" s="1">
        <v>230.0</v>
      </c>
      <c r="EG605" s="1" t="s">
        <v>1032</v>
      </c>
      <c r="EH605" s="1">
        <v>100.0</v>
      </c>
      <c r="EK605" s="1">
        <v>100.0</v>
      </c>
      <c r="EQ605" s="9" t="s">
        <v>2577</v>
      </c>
      <c r="ER605" s="21">
        <v>46045.29890046296</v>
      </c>
    </row>
    <row r="606">
      <c r="A606" s="9" t="s">
        <v>2582</v>
      </c>
      <c r="B606" s="20" t="str">
        <f>IFERROR(__xludf.DUMMYFUNCTION("REGEXREPLACE(A606, ""^https?://[^/]+"", """")"),"/news-events/sales-xceleration-receives-honorable-mention-on-selling-powers-top-sales-training-companies-list-for-csl-training/")</f>
        <v>/news-events/sales-xceleration-receives-honorable-mention-on-selling-powers-top-sales-training-companies-list-for-csl-training/</v>
      </c>
      <c r="C606" s="1" t="s">
        <v>2583</v>
      </c>
      <c r="D606" s="1" t="s">
        <v>1172</v>
      </c>
      <c r="E606" s="1" t="s">
        <v>2584</v>
      </c>
      <c r="F606" s="1" t="s">
        <v>965</v>
      </c>
      <c r="G606" s="1">
        <v>200.0</v>
      </c>
      <c r="H606" s="1" t="s">
        <v>966</v>
      </c>
      <c r="I606" s="1" t="s">
        <v>967</v>
      </c>
      <c r="K606" s="1" t="s">
        <v>2585</v>
      </c>
      <c r="L606" s="1">
        <v>135.0</v>
      </c>
      <c r="M606" s="1">
        <v>1235.0</v>
      </c>
      <c r="O606" s="1">
        <v>0.0</v>
      </c>
      <c r="P606" s="1">
        <v>0.0</v>
      </c>
      <c r="Q606" s="1" t="s">
        <v>2586</v>
      </c>
      <c r="R606" s="1">
        <v>153.0</v>
      </c>
      <c r="S606" s="1">
        <v>982.0</v>
      </c>
      <c r="U606" s="1">
        <v>0.0</v>
      </c>
      <c r="V606" s="1" t="s">
        <v>2583</v>
      </c>
      <c r="W606" s="1">
        <v>115.0</v>
      </c>
      <c r="Y606" s="1">
        <v>0.0</v>
      </c>
      <c r="Z606" s="1" t="s">
        <v>1172</v>
      </c>
      <c r="AA606" s="1">
        <v>23.0</v>
      </c>
      <c r="AB606" s="1" t="s">
        <v>2584</v>
      </c>
      <c r="AC606" s="1">
        <v>19.0</v>
      </c>
      <c r="AD606" s="1" t="s">
        <v>971</v>
      </c>
      <c r="AG606" s="9" t="s">
        <v>2582</v>
      </c>
      <c r="AM606" s="1">
        <v>178925.0</v>
      </c>
      <c r="AN606" s="1">
        <v>33451.0</v>
      </c>
      <c r="AO606" s="1">
        <v>33451.0</v>
      </c>
      <c r="AP606" s="1">
        <v>12.814</v>
      </c>
      <c r="AR606" s="1">
        <v>1124.0</v>
      </c>
      <c r="AS606" s="1">
        <v>187.0</v>
      </c>
      <c r="AT606" s="1">
        <v>6.011</v>
      </c>
      <c r="AU606" s="1">
        <v>58.254</v>
      </c>
      <c r="AV606" s="1" t="s">
        <v>972</v>
      </c>
      <c r="AW606" s="1">
        <v>5.392</v>
      </c>
      <c r="AX606" s="1">
        <v>2.0</v>
      </c>
      <c r="AY606" s="1">
        <v>2.0</v>
      </c>
      <c r="AZ606" s="1">
        <v>1.0</v>
      </c>
      <c r="BA606" s="1">
        <v>1.0</v>
      </c>
      <c r="BB606" s="1">
        <v>1.0</v>
      </c>
      <c r="BC606" s="1">
        <v>0.0</v>
      </c>
      <c r="BD606" s="1">
        <v>0.13</v>
      </c>
      <c r="BE606" s="1">
        <v>130.0</v>
      </c>
      <c r="BF606" s="1">
        <v>46.0</v>
      </c>
      <c r="BG606" s="1">
        <v>0.0</v>
      </c>
      <c r="BH606" s="1">
        <v>19.0</v>
      </c>
      <c r="BI606" s="1">
        <v>10.0</v>
      </c>
      <c r="BJ606" s="1">
        <v>0.0</v>
      </c>
      <c r="BO606" s="1" t="s">
        <v>2587</v>
      </c>
      <c r="BP606" s="1">
        <v>1.065</v>
      </c>
      <c r="BU606" s="1" t="s">
        <v>974</v>
      </c>
      <c r="BV606" s="1">
        <v>1.1</v>
      </c>
      <c r="BW606" s="1">
        <v>51.0</v>
      </c>
      <c r="BX606" s="1">
        <v>4801.029</v>
      </c>
      <c r="BY606" s="1">
        <v>6601.855</v>
      </c>
      <c r="BZ606" s="1">
        <v>10801.068</v>
      </c>
      <c r="CA606" s="1">
        <v>20928.135</v>
      </c>
      <c r="CB606" s="1">
        <v>379.5</v>
      </c>
      <c r="CC606" s="1">
        <v>0.0</v>
      </c>
      <c r="CD606" s="1">
        <v>710448.0</v>
      </c>
      <c r="CE606" s="1">
        <v>1500.0</v>
      </c>
      <c r="CF606" s="1">
        <v>169.0</v>
      </c>
      <c r="CG606" s="1">
        <v>2691526.0</v>
      </c>
      <c r="CH606" s="1">
        <v>34188.0</v>
      </c>
      <c r="CI606" s="1">
        <v>2.0</v>
      </c>
      <c r="CJ606" s="1">
        <v>66184.0</v>
      </c>
      <c r="CK606" s="1">
        <v>20.0</v>
      </c>
      <c r="CL606" s="1">
        <v>177149.0</v>
      </c>
      <c r="CM606" s="1">
        <v>41.0</v>
      </c>
      <c r="CN606" s="1">
        <v>1747895.0</v>
      </c>
      <c r="CO606" s="1">
        <v>68.0</v>
      </c>
      <c r="CP606" s="1">
        <v>640735.0</v>
      </c>
      <c r="CQ606" s="1">
        <v>10.0</v>
      </c>
      <c r="CR606" s="1">
        <v>0.0</v>
      </c>
      <c r="CS606" s="1">
        <v>0.0</v>
      </c>
      <c r="CT606" s="1">
        <v>25375.0</v>
      </c>
      <c r="CU606" s="1">
        <v>28.0</v>
      </c>
      <c r="CV606" s="1">
        <v>1833571.0</v>
      </c>
      <c r="CW606" s="1">
        <v>71.0</v>
      </c>
      <c r="DC606" s="1">
        <v>0.0</v>
      </c>
      <c r="DD606" s="1">
        <v>5075.0</v>
      </c>
      <c r="DE606" s="1">
        <v>0.0</v>
      </c>
      <c r="DF606" s="1">
        <v>3401.0</v>
      </c>
      <c r="DG606" s="1">
        <v>450.0</v>
      </c>
      <c r="DH606" s="1">
        <v>108255.0</v>
      </c>
      <c r="DI606" s="1">
        <v>1050.0</v>
      </c>
      <c r="DJ606" s="1">
        <v>593717.0</v>
      </c>
      <c r="DK606" s="1">
        <v>1582.658</v>
      </c>
      <c r="DL606" s="1" t="s">
        <v>975</v>
      </c>
      <c r="DM606" s="1">
        <v>2874.985</v>
      </c>
      <c r="DN606" s="1" t="s">
        <v>975</v>
      </c>
      <c r="DO606" s="1">
        <v>2691021.0</v>
      </c>
      <c r="DP606" s="1">
        <v>1.0</v>
      </c>
      <c r="DQ606" s="1" t="s">
        <v>976</v>
      </c>
      <c r="DR606" s="1" t="s">
        <v>1298</v>
      </c>
      <c r="DS606" s="1" t="s">
        <v>978</v>
      </c>
      <c r="DT606" s="1" t="s">
        <v>979</v>
      </c>
      <c r="DU606" s="1" t="s">
        <v>980</v>
      </c>
      <c r="DV606" s="1">
        <v>17295.0</v>
      </c>
      <c r="DX606" s="1">
        <v>3461.0</v>
      </c>
      <c r="DY606" s="1">
        <v>652775.0</v>
      </c>
      <c r="DZ606" s="1" t="s">
        <v>981</v>
      </c>
      <c r="EA606" s="1">
        <v>848.0</v>
      </c>
      <c r="EB606" s="1">
        <v>4453.0</v>
      </c>
      <c r="EC606" s="1">
        <v>1.0</v>
      </c>
      <c r="ED606" s="1">
        <v>26492.0</v>
      </c>
      <c r="EF606" s="1">
        <v>245.0</v>
      </c>
      <c r="EG606" s="1" t="s">
        <v>1032</v>
      </c>
      <c r="EH606" s="1">
        <v>100.0</v>
      </c>
      <c r="EK606" s="1">
        <v>100.0</v>
      </c>
      <c r="EQ606" s="9" t="s">
        <v>2582</v>
      </c>
      <c r="ER606" s="21">
        <v>46045.29891203704</v>
      </c>
    </row>
    <row r="607">
      <c r="A607" s="9" t="s">
        <v>2588</v>
      </c>
      <c r="B607" s="20" t="str">
        <f>IFERROR(__xludf.DUMMYFUNCTION("REGEXREPLACE(A607, ""^https?://[^/]+"", """")"),"/news-events/sales-xceleration-hits-important-milestone-50-advisors/")</f>
        <v>/news-events/sales-xceleration-hits-important-milestone-50-advisors/</v>
      </c>
      <c r="C607" s="1" t="s">
        <v>2589</v>
      </c>
      <c r="F607" s="1" t="s">
        <v>965</v>
      </c>
      <c r="G607" s="1">
        <v>200.0</v>
      </c>
      <c r="H607" s="1" t="s">
        <v>966</v>
      </c>
      <c r="I607" s="1" t="s">
        <v>967</v>
      </c>
      <c r="K607" s="1" t="s">
        <v>2590</v>
      </c>
      <c r="L607" s="1">
        <v>78.0</v>
      </c>
      <c r="M607" s="1">
        <v>697.0</v>
      </c>
      <c r="O607" s="1">
        <v>0.0</v>
      </c>
      <c r="P607" s="1">
        <v>0.0</v>
      </c>
      <c r="Q607" s="1" t="s">
        <v>2591</v>
      </c>
      <c r="R607" s="1">
        <v>156.0</v>
      </c>
      <c r="S607" s="1">
        <v>1011.0</v>
      </c>
      <c r="U607" s="1">
        <v>0.0</v>
      </c>
      <c r="V607" s="1" t="s">
        <v>2589</v>
      </c>
      <c r="W607" s="1">
        <v>58.0</v>
      </c>
      <c r="Y607" s="1">
        <v>0.0</v>
      </c>
      <c r="AA607" s="1">
        <v>0.0</v>
      </c>
      <c r="AC607" s="1">
        <v>0.0</v>
      </c>
      <c r="AD607" s="1" t="s">
        <v>971</v>
      </c>
      <c r="AG607" s="9" t="s">
        <v>2588</v>
      </c>
      <c r="AM607" s="1">
        <v>177864.0</v>
      </c>
      <c r="AN607" s="1">
        <v>33921.0</v>
      </c>
      <c r="AO607" s="1">
        <v>33921.0</v>
      </c>
      <c r="AP607" s="1">
        <v>12.994</v>
      </c>
      <c r="AR607" s="1">
        <v>1396.0</v>
      </c>
      <c r="AS607" s="1">
        <v>208.0</v>
      </c>
      <c r="AT607" s="1">
        <v>6.712</v>
      </c>
      <c r="AU607" s="1">
        <v>66.214</v>
      </c>
      <c r="AV607" s="1" t="s">
        <v>990</v>
      </c>
      <c r="AW607" s="1">
        <v>6.196</v>
      </c>
      <c r="AX607" s="1">
        <v>2.0</v>
      </c>
      <c r="AY607" s="1">
        <v>2.0</v>
      </c>
      <c r="AZ607" s="1">
        <v>1.0</v>
      </c>
      <c r="BA607" s="1">
        <v>1.0</v>
      </c>
      <c r="BB607" s="1">
        <v>1.0</v>
      </c>
      <c r="BC607" s="1">
        <v>0.0</v>
      </c>
      <c r="BD607" s="1">
        <v>0.13</v>
      </c>
      <c r="BE607" s="1">
        <v>128.0</v>
      </c>
      <c r="BF607" s="1">
        <v>44.0</v>
      </c>
      <c r="BG607" s="1">
        <v>0.0</v>
      </c>
      <c r="BH607" s="1">
        <v>16.0</v>
      </c>
      <c r="BI607" s="1">
        <v>8.0</v>
      </c>
      <c r="BJ607" s="1">
        <v>0.0</v>
      </c>
      <c r="BO607" s="1" t="s">
        <v>2592</v>
      </c>
      <c r="BP607" s="1">
        <v>1.042</v>
      </c>
      <c r="BU607" s="1" t="s">
        <v>974</v>
      </c>
      <c r="BV607" s="1">
        <v>1.1</v>
      </c>
      <c r="BW607" s="1">
        <v>49.0</v>
      </c>
      <c r="BX607" s="1">
        <v>4501.055</v>
      </c>
      <c r="BY607" s="1">
        <v>6921.856</v>
      </c>
      <c r="BZ607" s="1">
        <v>8326.105</v>
      </c>
      <c r="CA607" s="1">
        <v>19946.051</v>
      </c>
      <c r="CB607" s="1">
        <v>445.0</v>
      </c>
      <c r="CC607" s="1">
        <v>0.0</v>
      </c>
      <c r="CD607" s="1">
        <v>708352.0</v>
      </c>
      <c r="CE607" s="1">
        <v>1200.0</v>
      </c>
      <c r="CF607" s="1">
        <v>167.0</v>
      </c>
      <c r="CG607" s="1">
        <v>2692610.0</v>
      </c>
      <c r="CH607" s="1">
        <v>34742.0</v>
      </c>
      <c r="CI607" s="1">
        <v>2.0</v>
      </c>
      <c r="CJ607" s="1">
        <v>66822.0</v>
      </c>
      <c r="CK607" s="1">
        <v>18.0</v>
      </c>
      <c r="CL607" s="1">
        <v>176282.0</v>
      </c>
      <c r="CM607" s="1">
        <v>41.0</v>
      </c>
      <c r="CN607" s="1">
        <v>1748154.0</v>
      </c>
      <c r="CO607" s="1">
        <v>68.0</v>
      </c>
      <c r="CP607" s="1">
        <v>640723.0</v>
      </c>
      <c r="CQ607" s="1">
        <v>10.0</v>
      </c>
      <c r="CR607" s="1">
        <v>0.0</v>
      </c>
      <c r="CS607" s="1">
        <v>0.0</v>
      </c>
      <c r="CT607" s="1">
        <v>25887.0</v>
      </c>
      <c r="CU607" s="1">
        <v>28.0</v>
      </c>
      <c r="CV607" s="1">
        <v>1832546.0</v>
      </c>
      <c r="CW607" s="1">
        <v>68.0</v>
      </c>
      <c r="DC607" s="1">
        <v>0.0</v>
      </c>
      <c r="DD607" s="1">
        <v>5075.0</v>
      </c>
      <c r="DE607" s="1">
        <v>0.0</v>
      </c>
      <c r="DF607" s="1">
        <v>3396.0</v>
      </c>
      <c r="DG607" s="1">
        <v>300.0</v>
      </c>
      <c r="DH607" s="1">
        <v>108320.0</v>
      </c>
      <c r="DI607" s="1">
        <v>900.0</v>
      </c>
      <c r="DJ607" s="1">
        <v>591561.0</v>
      </c>
      <c r="DK607" s="1">
        <v>1771.646</v>
      </c>
      <c r="DL607" s="1" t="s">
        <v>975</v>
      </c>
      <c r="DM607" s="1">
        <v>3209.572</v>
      </c>
      <c r="DN607" s="1" t="s">
        <v>975</v>
      </c>
      <c r="DO607" s="1">
        <v>2692454.0</v>
      </c>
      <c r="DP607" s="1">
        <v>1.0</v>
      </c>
      <c r="DQ607" s="1" t="s">
        <v>976</v>
      </c>
      <c r="DR607" s="1" t="s">
        <v>1151</v>
      </c>
      <c r="DS607" s="1" t="s">
        <v>978</v>
      </c>
      <c r="DT607" s="1" t="s">
        <v>979</v>
      </c>
      <c r="DU607" s="1" t="s">
        <v>980</v>
      </c>
      <c r="DV607" s="1">
        <v>17146.0</v>
      </c>
      <c r="DX607" s="1">
        <v>3955.0</v>
      </c>
      <c r="DY607" s="1">
        <v>653051.0</v>
      </c>
      <c r="DZ607" s="1" t="s">
        <v>981</v>
      </c>
      <c r="EA607" s="1">
        <v>851.0</v>
      </c>
      <c r="EB607" s="1">
        <v>4453.0</v>
      </c>
      <c r="EC607" s="1">
        <v>36.0</v>
      </c>
      <c r="ED607" s="1">
        <v>26492.0</v>
      </c>
      <c r="EF607" s="1">
        <v>235.0</v>
      </c>
      <c r="EG607" s="1" t="s">
        <v>1032</v>
      </c>
      <c r="EH607" s="1">
        <v>100.0</v>
      </c>
      <c r="EK607" s="1">
        <v>100.0</v>
      </c>
      <c r="EQ607" s="9" t="s">
        <v>2588</v>
      </c>
      <c r="ER607" s="21">
        <v>46045.29891203704</v>
      </c>
    </row>
    <row r="608">
      <c r="A608" s="9" t="s">
        <v>2593</v>
      </c>
      <c r="B608" s="20" t="str">
        <f>IFERROR(__xludf.DUMMYFUNCTION("REGEXREPLACE(A608, ""^https?://[^/]+"", """")"),"/news-events/demand-for-fractional-sales-leadership-continues-to-increase-in-north-america/")</f>
        <v>/news-events/demand-for-fractional-sales-leadership-continues-to-increase-in-north-america/</v>
      </c>
      <c r="C608" s="1" t="s">
        <v>2594</v>
      </c>
      <c r="D608" s="1" t="s">
        <v>1172</v>
      </c>
      <c r="F608" s="1" t="s">
        <v>965</v>
      </c>
      <c r="G608" s="1">
        <v>200.0</v>
      </c>
      <c r="H608" s="1" t="s">
        <v>966</v>
      </c>
      <c r="I608" s="1" t="s">
        <v>967</v>
      </c>
      <c r="K608" s="1" t="s">
        <v>2595</v>
      </c>
      <c r="L608" s="1">
        <v>97.0</v>
      </c>
      <c r="M608" s="1">
        <v>883.0</v>
      </c>
      <c r="O608" s="1">
        <v>0.0</v>
      </c>
      <c r="P608" s="1">
        <v>0.0</v>
      </c>
      <c r="Q608" s="1" t="s">
        <v>2596</v>
      </c>
      <c r="R608" s="1">
        <v>158.0</v>
      </c>
      <c r="S608" s="1">
        <v>1001.0</v>
      </c>
      <c r="U608" s="1">
        <v>0.0</v>
      </c>
      <c r="V608" s="1" t="s">
        <v>2594</v>
      </c>
      <c r="W608" s="1">
        <v>77.0</v>
      </c>
      <c r="Y608" s="1">
        <v>0.0</v>
      </c>
      <c r="Z608" s="1" t="s">
        <v>1172</v>
      </c>
      <c r="AA608" s="1">
        <v>23.0</v>
      </c>
      <c r="AC608" s="1">
        <v>0.0</v>
      </c>
      <c r="AD608" s="1" t="s">
        <v>971</v>
      </c>
      <c r="AG608" s="9" t="s">
        <v>2593</v>
      </c>
      <c r="AM608" s="1">
        <v>176915.0</v>
      </c>
      <c r="AN608" s="1">
        <v>33062.0</v>
      </c>
      <c r="AO608" s="1">
        <v>33062.0</v>
      </c>
      <c r="AP608" s="1">
        <v>12.665</v>
      </c>
      <c r="AR608" s="1">
        <v>920.0</v>
      </c>
      <c r="AS608" s="1">
        <v>148.0</v>
      </c>
      <c r="AT608" s="1">
        <v>6.216</v>
      </c>
      <c r="AU608" s="1">
        <v>56.522</v>
      </c>
      <c r="AV608" s="1" t="s">
        <v>972</v>
      </c>
      <c r="AW608" s="1">
        <v>4.662</v>
      </c>
      <c r="AX608" s="1">
        <v>2.0</v>
      </c>
      <c r="AY608" s="1">
        <v>2.0</v>
      </c>
      <c r="AZ608" s="1">
        <v>1.0</v>
      </c>
      <c r="BA608" s="1">
        <v>1.0</v>
      </c>
      <c r="BB608" s="1">
        <v>1.0</v>
      </c>
      <c r="BC608" s="1">
        <v>0.0</v>
      </c>
      <c r="BD608" s="1">
        <v>0.13</v>
      </c>
      <c r="BE608" s="1">
        <v>130.0</v>
      </c>
      <c r="BF608" s="1">
        <v>47.0</v>
      </c>
      <c r="BG608" s="1">
        <v>0.0</v>
      </c>
      <c r="BH608" s="1">
        <v>18.0</v>
      </c>
      <c r="BI608" s="1">
        <v>10.0</v>
      </c>
      <c r="BJ608" s="1">
        <v>0.0</v>
      </c>
      <c r="BO608" s="1" t="s">
        <v>2597</v>
      </c>
      <c r="BP608" s="1">
        <v>1.05</v>
      </c>
      <c r="BU608" s="1" t="s">
        <v>974</v>
      </c>
      <c r="BV608" s="1">
        <v>1.1</v>
      </c>
      <c r="BW608" s="1">
        <v>46.0</v>
      </c>
      <c r="BX608" s="1">
        <v>4951.043</v>
      </c>
      <c r="BY608" s="1">
        <v>7989.201</v>
      </c>
      <c r="BZ608" s="1">
        <v>9826.089</v>
      </c>
      <c r="CA608" s="1">
        <v>19843.453</v>
      </c>
      <c r="CB608" s="1">
        <v>494.5</v>
      </c>
      <c r="CC608" s="1">
        <v>0.0</v>
      </c>
      <c r="CD608" s="1">
        <v>709746.0</v>
      </c>
      <c r="CE608" s="1">
        <v>1650.0</v>
      </c>
      <c r="CF608" s="1">
        <v>169.0</v>
      </c>
      <c r="CG608" s="1">
        <v>2690201.0</v>
      </c>
      <c r="CH608" s="1">
        <v>33752.0</v>
      </c>
      <c r="CI608" s="1">
        <v>2.0</v>
      </c>
      <c r="CJ608" s="1">
        <v>66175.0</v>
      </c>
      <c r="CK608" s="1">
        <v>20.0</v>
      </c>
      <c r="CL608" s="1">
        <v>176288.0</v>
      </c>
      <c r="CM608" s="1">
        <v>41.0</v>
      </c>
      <c r="CN608" s="1">
        <v>1747950.0</v>
      </c>
      <c r="CO608" s="1">
        <v>68.0</v>
      </c>
      <c r="CP608" s="1">
        <v>640715.0</v>
      </c>
      <c r="CQ608" s="1">
        <v>10.0</v>
      </c>
      <c r="CR608" s="1">
        <v>0.0</v>
      </c>
      <c r="CS608" s="1">
        <v>0.0</v>
      </c>
      <c r="CT608" s="1">
        <v>25321.0</v>
      </c>
      <c r="CU608" s="1">
        <v>28.0</v>
      </c>
      <c r="CV608" s="1">
        <v>1832805.0</v>
      </c>
      <c r="CW608" s="1">
        <v>71.0</v>
      </c>
      <c r="DC608" s="1">
        <v>0.0</v>
      </c>
      <c r="DD608" s="1">
        <v>5075.0</v>
      </c>
      <c r="DE608" s="1">
        <v>0.0</v>
      </c>
      <c r="DF608" s="1">
        <v>3396.0</v>
      </c>
      <c r="DG608" s="1">
        <v>450.0</v>
      </c>
      <c r="DH608" s="1">
        <v>108278.0</v>
      </c>
      <c r="DI608" s="1">
        <v>1200.0</v>
      </c>
      <c r="DJ608" s="1">
        <v>592997.0</v>
      </c>
      <c r="DK608" s="1">
        <v>1909.711</v>
      </c>
      <c r="DL608" s="1" t="s">
        <v>975</v>
      </c>
      <c r="DM608" s="1">
        <v>3415.272</v>
      </c>
      <c r="DN608" s="1" t="s">
        <v>975</v>
      </c>
      <c r="DO608" s="1">
        <v>2689696.0</v>
      </c>
      <c r="DP608" s="1">
        <v>1.0</v>
      </c>
      <c r="DQ608" s="1" t="s">
        <v>976</v>
      </c>
      <c r="DR608" s="1" t="s">
        <v>1151</v>
      </c>
      <c r="DS608" s="1" t="s">
        <v>978</v>
      </c>
      <c r="DT608" s="1" t="s">
        <v>979</v>
      </c>
      <c r="DU608" s="1" t="s">
        <v>980</v>
      </c>
      <c r="DV608" s="1">
        <v>17297.0</v>
      </c>
      <c r="DX608" s="1">
        <v>3950.0</v>
      </c>
      <c r="DY608" s="1">
        <v>652773.0</v>
      </c>
      <c r="DZ608" s="1" t="s">
        <v>981</v>
      </c>
      <c r="EA608" s="1">
        <v>841.0</v>
      </c>
      <c r="EB608" s="1">
        <v>4453.0</v>
      </c>
      <c r="EC608" s="1">
        <v>1.0</v>
      </c>
      <c r="ED608" s="1">
        <v>26492.0</v>
      </c>
      <c r="EF608" s="1">
        <v>205.0</v>
      </c>
      <c r="EG608" s="1" t="s">
        <v>1032</v>
      </c>
      <c r="EH608" s="1">
        <v>100.0</v>
      </c>
      <c r="EK608" s="1">
        <v>100.0</v>
      </c>
      <c r="EQ608" s="9" t="s">
        <v>2593</v>
      </c>
      <c r="ER608" s="21">
        <v>46045.29891203704</v>
      </c>
    </row>
    <row r="609">
      <c r="A609" s="9" t="s">
        <v>2598</v>
      </c>
      <c r="B609" s="20" t="str">
        <f>IFERROR(__xludf.DUMMYFUNCTION("REGEXREPLACE(A609, ""^https?://[^/]+"", """")"),"/news-events/meet-the-newest-sales-advisors-to-our-team/")</f>
        <v>/news-events/meet-the-newest-sales-advisors-to-our-team/</v>
      </c>
      <c r="C609" s="1" t="s">
        <v>2599</v>
      </c>
      <c r="F609" s="1" t="s">
        <v>965</v>
      </c>
      <c r="G609" s="1">
        <v>200.0</v>
      </c>
      <c r="H609" s="1" t="s">
        <v>966</v>
      </c>
      <c r="I609" s="1" t="s">
        <v>967</v>
      </c>
      <c r="K609" s="1" t="s">
        <v>2600</v>
      </c>
      <c r="L609" s="1">
        <v>62.0</v>
      </c>
      <c r="M609" s="1">
        <v>582.0</v>
      </c>
      <c r="O609" s="1">
        <v>0.0</v>
      </c>
      <c r="P609" s="1">
        <v>0.0</v>
      </c>
      <c r="Q609" s="1" t="s">
        <v>2601</v>
      </c>
      <c r="R609" s="1">
        <v>150.0</v>
      </c>
      <c r="S609" s="1">
        <v>915.0</v>
      </c>
      <c r="U609" s="1">
        <v>0.0</v>
      </c>
      <c r="V609" s="1" t="s">
        <v>2599</v>
      </c>
      <c r="W609" s="1">
        <v>42.0</v>
      </c>
      <c r="Y609" s="1">
        <v>0.0</v>
      </c>
      <c r="AA609" s="1">
        <v>0.0</v>
      </c>
      <c r="AC609" s="1">
        <v>0.0</v>
      </c>
      <c r="AD609" s="1" t="s">
        <v>971</v>
      </c>
      <c r="AG609" s="9" t="s">
        <v>2598</v>
      </c>
      <c r="AM609" s="1">
        <v>174053.0</v>
      </c>
      <c r="AN609" s="1">
        <v>31940.0</v>
      </c>
      <c r="AO609" s="1">
        <v>31940.0</v>
      </c>
      <c r="AP609" s="1">
        <v>12.236</v>
      </c>
      <c r="AR609" s="1">
        <v>721.0</v>
      </c>
      <c r="AS609" s="1">
        <v>119.0</v>
      </c>
      <c r="AT609" s="1">
        <v>6.059</v>
      </c>
      <c r="AU609" s="1">
        <v>62.697</v>
      </c>
      <c r="AV609" s="1" t="s">
        <v>990</v>
      </c>
      <c r="AW609" s="1">
        <v>3.923</v>
      </c>
      <c r="AX609" s="1">
        <v>2.0</v>
      </c>
      <c r="AY609" s="1">
        <v>2.0</v>
      </c>
      <c r="AZ609" s="1">
        <v>1.0</v>
      </c>
      <c r="BA609" s="1">
        <v>1.0</v>
      </c>
      <c r="BB609" s="1">
        <v>1.0</v>
      </c>
      <c r="BC609" s="1">
        <v>0.0</v>
      </c>
      <c r="BD609" s="1">
        <v>0.13</v>
      </c>
      <c r="BE609" s="1">
        <v>126.0</v>
      </c>
      <c r="BF609" s="1">
        <v>44.0</v>
      </c>
      <c r="BG609" s="1">
        <v>0.0</v>
      </c>
      <c r="BH609" s="1">
        <v>16.0</v>
      </c>
      <c r="BI609" s="1">
        <v>8.0</v>
      </c>
      <c r="BJ609" s="1">
        <v>0.0</v>
      </c>
      <c r="BO609" s="1" t="s">
        <v>2602</v>
      </c>
      <c r="BP609" s="1">
        <v>0.969</v>
      </c>
      <c r="BU609" s="1" t="s">
        <v>974</v>
      </c>
      <c r="BV609" s="1">
        <v>1.1</v>
      </c>
      <c r="BW609" s="1">
        <v>56.0</v>
      </c>
      <c r="BX609" s="1">
        <v>4351.021</v>
      </c>
      <c r="BY609" s="1">
        <v>7293.06</v>
      </c>
      <c r="BZ609" s="1">
        <v>10201.052</v>
      </c>
      <c r="CA609" s="1">
        <v>20176.766</v>
      </c>
      <c r="CB609" s="1">
        <v>223.0</v>
      </c>
      <c r="CC609" s="1">
        <v>0.0</v>
      </c>
      <c r="CD609" s="1">
        <v>707628.0</v>
      </c>
      <c r="CE609" s="1">
        <v>1650.0</v>
      </c>
      <c r="CF609" s="1">
        <v>177.0</v>
      </c>
      <c r="CG609" s="1">
        <v>2749889.0</v>
      </c>
      <c r="CH609" s="1">
        <v>32757.0</v>
      </c>
      <c r="CI609" s="1">
        <v>2.0</v>
      </c>
      <c r="CJ609" s="1">
        <v>127799.0</v>
      </c>
      <c r="CK609" s="1">
        <v>28.0</v>
      </c>
      <c r="CL609" s="1">
        <v>175578.0</v>
      </c>
      <c r="CM609" s="1">
        <v>41.0</v>
      </c>
      <c r="CN609" s="1">
        <v>1748240.0</v>
      </c>
      <c r="CO609" s="1">
        <v>68.0</v>
      </c>
      <c r="CP609" s="1">
        <v>640717.0</v>
      </c>
      <c r="CQ609" s="1">
        <v>10.0</v>
      </c>
      <c r="CR609" s="1">
        <v>0.0</v>
      </c>
      <c r="CS609" s="1">
        <v>0.0</v>
      </c>
      <c r="CT609" s="1">
        <v>24798.0</v>
      </c>
      <c r="CU609" s="1">
        <v>28.0</v>
      </c>
      <c r="CV609" s="1">
        <v>1832008.0</v>
      </c>
      <c r="CW609" s="1">
        <v>71.0</v>
      </c>
      <c r="DC609" s="1">
        <v>150.0</v>
      </c>
      <c r="DD609" s="1">
        <v>5075.0</v>
      </c>
      <c r="DE609" s="1">
        <v>0.0</v>
      </c>
      <c r="DF609" s="1">
        <v>3396.0</v>
      </c>
      <c r="DG609" s="1">
        <v>600.0</v>
      </c>
      <c r="DH609" s="1">
        <v>108319.0</v>
      </c>
      <c r="DI609" s="1">
        <v>900.0</v>
      </c>
      <c r="DJ609" s="1">
        <v>590838.0</v>
      </c>
      <c r="DK609" s="1">
        <v>1460.158</v>
      </c>
      <c r="DL609" s="1" t="s">
        <v>975</v>
      </c>
      <c r="DM609" s="1">
        <v>2501.159</v>
      </c>
      <c r="DN609" s="1" t="s">
        <v>975</v>
      </c>
      <c r="DO609" s="1">
        <v>2749384.0</v>
      </c>
      <c r="DP609" s="1">
        <v>1.0</v>
      </c>
      <c r="DQ609" s="1" t="s">
        <v>976</v>
      </c>
      <c r="DR609" s="1" t="s">
        <v>1055</v>
      </c>
      <c r="DS609" s="1" t="s">
        <v>978</v>
      </c>
      <c r="DT609" s="1" t="s">
        <v>979</v>
      </c>
      <c r="DU609" s="1" t="s">
        <v>980</v>
      </c>
      <c r="DV609" s="1">
        <v>17145.0</v>
      </c>
      <c r="DX609" s="1">
        <v>4471.0</v>
      </c>
      <c r="DY609" s="1">
        <v>677154.0</v>
      </c>
      <c r="DZ609" s="1" t="s">
        <v>981</v>
      </c>
      <c r="EA609" s="1">
        <v>828.0</v>
      </c>
      <c r="EB609" s="1">
        <v>27429.0</v>
      </c>
      <c r="EC609" s="1">
        <v>2.0</v>
      </c>
      <c r="ED609" s="1">
        <v>26492.0</v>
      </c>
      <c r="EF609" s="1">
        <v>215.0</v>
      </c>
      <c r="EG609" s="1" t="s">
        <v>1032</v>
      </c>
      <c r="EH609" s="1">
        <v>100.0</v>
      </c>
      <c r="EK609" s="1">
        <v>100.0</v>
      </c>
      <c r="EQ609" s="9" t="s">
        <v>2598</v>
      </c>
      <c r="ER609" s="21">
        <v>46045.29891203704</v>
      </c>
    </row>
    <row r="610">
      <c r="A610" s="9" t="s">
        <v>2603</v>
      </c>
      <c r="B610" s="20" t="str">
        <f>IFERROR(__xludf.DUMMYFUNCTION("REGEXREPLACE(A610, ""^https?://[^/]+"", """")"),"/news-events/sales-xceleration-inc-ranks-no-2353-on-the-2019-inc-5000/")</f>
        <v>/news-events/sales-xceleration-inc-ranks-no-2353-on-the-2019-inc-5000/</v>
      </c>
      <c r="C610" s="1" t="s">
        <v>2604</v>
      </c>
      <c r="F610" s="1" t="s">
        <v>965</v>
      </c>
      <c r="G610" s="1">
        <v>200.0</v>
      </c>
      <c r="H610" s="1" t="s">
        <v>966</v>
      </c>
      <c r="I610" s="1" t="s">
        <v>967</v>
      </c>
      <c r="K610" s="1" t="s">
        <v>2605</v>
      </c>
      <c r="L610" s="1">
        <v>79.0</v>
      </c>
      <c r="M610" s="1">
        <v>701.0</v>
      </c>
      <c r="O610" s="1">
        <v>0.0</v>
      </c>
      <c r="P610" s="1">
        <v>0.0</v>
      </c>
      <c r="Q610" s="1" t="s">
        <v>2606</v>
      </c>
      <c r="R610" s="1">
        <v>149.0</v>
      </c>
      <c r="S610" s="1">
        <v>921.0</v>
      </c>
      <c r="U610" s="1">
        <v>0.0</v>
      </c>
      <c r="V610" s="1" t="s">
        <v>2604</v>
      </c>
      <c r="W610" s="1">
        <v>59.0</v>
      </c>
      <c r="Y610" s="1">
        <v>0.0</v>
      </c>
      <c r="AA610" s="1">
        <v>0.0</v>
      </c>
      <c r="AC610" s="1">
        <v>0.0</v>
      </c>
      <c r="AD610" s="1" t="s">
        <v>971</v>
      </c>
      <c r="AG610" s="9" t="s">
        <v>2603</v>
      </c>
      <c r="AM610" s="1">
        <v>178052.0</v>
      </c>
      <c r="AN610" s="1">
        <v>33459.0</v>
      </c>
      <c r="AO610" s="1">
        <v>33459.0</v>
      </c>
      <c r="AP610" s="1">
        <v>12.818</v>
      </c>
      <c r="AR610" s="1">
        <v>1164.0</v>
      </c>
      <c r="AS610" s="1">
        <v>216.0</v>
      </c>
      <c r="AT610" s="1">
        <v>5.389</v>
      </c>
      <c r="AU610" s="1">
        <v>67.924</v>
      </c>
      <c r="AV610" s="1" t="s">
        <v>990</v>
      </c>
      <c r="AW610" s="1">
        <v>5.454</v>
      </c>
      <c r="AX610" s="1">
        <v>2.0</v>
      </c>
      <c r="AY610" s="1">
        <v>2.0</v>
      </c>
      <c r="AZ610" s="1">
        <v>1.0</v>
      </c>
      <c r="BA610" s="1">
        <v>1.0</v>
      </c>
      <c r="BB610" s="1">
        <v>1.0</v>
      </c>
      <c r="BC610" s="1">
        <v>0.0</v>
      </c>
      <c r="BD610" s="1">
        <v>0.13</v>
      </c>
      <c r="BE610" s="1">
        <v>128.0</v>
      </c>
      <c r="BF610" s="1">
        <v>44.0</v>
      </c>
      <c r="BG610" s="1">
        <v>0.0</v>
      </c>
      <c r="BH610" s="1">
        <v>19.0</v>
      </c>
      <c r="BI610" s="1">
        <v>10.0</v>
      </c>
      <c r="BJ610" s="1">
        <v>0.0</v>
      </c>
      <c r="BO610" s="1" t="s">
        <v>2607</v>
      </c>
      <c r="BP610" s="1">
        <v>1.01</v>
      </c>
      <c r="BU610" s="1" t="s">
        <v>974</v>
      </c>
      <c r="BV610" s="1">
        <v>1.1</v>
      </c>
      <c r="BW610" s="1">
        <v>53.0</v>
      </c>
      <c r="BX610" s="1">
        <v>4501.062</v>
      </c>
      <c r="BY610" s="1">
        <v>7623.018</v>
      </c>
      <c r="BZ610" s="1">
        <v>10051.144</v>
      </c>
      <c r="CA610" s="1">
        <v>19880.873</v>
      </c>
      <c r="CB610" s="1">
        <v>294.5</v>
      </c>
      <c r="CC610" s="1">
        <v>0.0</v>
      </c>
      <c r="CD610" s="1">
        <v>710842.0</v>
      </c>
      <c r="CE610" s="1">
        <v>1350.0</v>
      </c>
      <c r="CF610" s="1">
        <v>169.0</v>
      </c>
      <c r="CG610" s="1">
        <v>2691418.0</v>
      </c>
      <c r="CH610" s="1">
        <v>34272.0</v>
      </c>
      <c r="CI610" s="1">
        <v>2.0</v>
      </c>
      <c r="CJ610" s="1">
        <v>66190.0</v>
      </c>
      <c r="CK610" s="1">
        <v>20.0</v>
      </c>
      <c r="CL610" s="1">
        <v>177148.0</v>
      </c>
      <c r="CM610" s="1">
        <v>41.0</v>
      </c>
      <c r="CN610" s="1">
        <v>1747851.0</v>
      </c>
      <c r="CO610" s="1">
        <v>68.0</v>
      </c>
      <c r="CP610" s="1">
        <v>640729.0</v>
      </c>
      <c r="CQ610" s="1">
        <v>10.0</v>
      </c>
      <c r="CR610" s="1">
        <v>0.0</v>
      </c>
      <c r="CS610" s="1">
        <v>0.0</v>
      </c>
      <c r="CT610" s="1">
        <v>25228.0</v>
      </c>
      <c r="CU610" s="1">
        <v>28.0</v>
      </c>
      <c r="CV610" s="1">
        <v>1833589.0</v>
      </c>
      <c r="CW610" s="1">
        <v>71.0</v>
      </c>
      <c r="DC610" s="1">
        <v>0.0</v>
      </c>
      <c r="DD610" s="1">
        <v>5075.0</v>
      </c>
      <c r="DE610" s="1">
        <v>0.0</v>
      </c>
      <c r="DF610" s="1">
        <v>3396.0</v>
      </c>
      <c r="DG610" s="1">
        <v>600.0</v>
      </c>
      <c r="DH610" s="1">
        <v>108320.0</v>
      </c>
      <c r="DI610" s="1">
        <v>750.0</v>
      </c>
      <c r="DJ610" s="1">
        <v>594051.0</v>
      </c>
      <c r="DK610" s="1">
        <v>1597.128</v>
      </c>
      <c r="DL610" s="1" t="s">
        <v>975</v>
      </c>
      <c r="DM610" s="1">
        <v>2854.5</v>
      </c>
      <c r="DN610" s="1" t="s">
        <v>975</v>
      </c>
      <c r="DO610" s="1">
        <v>2690913.0</v>
      </c>
      <c r="DP610" s="1">
        <v>1.0</v>
      </c>
      <c r="DQ610" s="1" t="s">
        <v>976</v>
      </c>
      <c r="DR610" s="1" t="s">
        <v>1151</v>
      </c>
      <c r="DS610" s="1" t="s">
        <v>978</v>
      </c>
      <c r="DT610" s="1" t="s">
        <v>979</v>
      </c>
      <c r="DU610" s="1" t="s">
        <v>980</v>
      </c>
      <c r="DV610" s="1">
        <v>17146.0</v>
      </c>
      <c r="DX610" s="1">
        <v>3860.0</v>
      </c>
      <c r="DY610" s="1">
        <v>652804.0</v>
      </c>
      <c r="DZ610" s="1" t="s">
        <v>981</v>
      </c>
      <c r="EA610" s="1">
        <v>868.0</v>
      </c>
      <c r="EB610" s="1">
        <v>4453.0</v>
      </c>
      <c r="EC610" s="1">
        <v>1.0</v>
      </c>
      <c r="ED610" s="1">
        <v>26492.0</v>
      </c>
      <c r="EF610" s="1">
        <v>220.0</v>
      </c>
      <c r="EG610" s="1" t="s">
        <v>1032</v>
      </c>
      <c r="EH610" s="1">
        <v>100.0</v>
      </c>
      <c r="EK610" s="1">
        <v>100.0</v>
      </c>
      <c r="EQ610" s="9" t="s">
        <v>2603</v>
      </c>
      <c r="ER610" s="21">
        <v>46045.29892361111</v>
      </c>
    </row>
    <row r="611">
      <c r="A611" s="9" t="s">
        <v>2608</v>
      </c>
      <c r="B611" s="20" t="str">
        <f>IFERROR(__xludf.DUMMYFUNCTION("REGEXREPLACE(A611, ""^https?://[^/]+"", """")"),"/news-events/two-of-rise-sports-advisors-clients-invest-in-sales-xceleration/")</f>
        <v>/news-events/two-of-rise-sports-advisors-clients-invest-in-sales-xceleration/</v>
      </c>
      <c r="C611" s="1" t="s">
        <v>2609</v>
      </c>
      <c r="F611" s="1" t="s">
        <v>965</v>
      </c>
      <c r="G611" s="1">
        <v>200.0</v>
      </c>
      <c r="H611" s="1" t="s">
        <v>966</v>
      </c>
      <c r="I611" s="1" t="s">
        <v>967</v>
      </c>
      <c r="K611" s="1" t="s">
        <v>2610</v>
      </c>
      <c r="L611" s="1">
        <v>84.0</v>
      </c>
      <c r="M611" s="1">
        <v>746.0</v>
      </c>
      <c r="O611" s="1">
        <v>0.0</v>
      </c>
      <c r="P611" s="1">
        <v>0.0</v>
      </c>
      <c r="Q611" s="1" t="s">
        <v>2611</v>
      </c>
      <c r="R611" s="1">
        <v>153.0</v>
      </c>
      <c r="S611" s="1">
        <v>941.0</v>
      </c>
      <c r="U611" s="1">
        <v>0.0</v>
      </c>
      <c r="V611" s="1" t="s">
        <v>2609</v>
      </c>
      <c r="W611" s="1">
        <v>64.0</v>
      </c>
      <c r="Y611" s="1">
        <v>0.0</v>
      </c>
      <c r="AA611" s="1">
        <v>0.0</v>
      </c>
      <c r="AC611" s="1">
        <v>0.0</v>
      </c>
      <c r="AD611" s="1" t="s">
        <v>971</v>
      </c>
      <c r="AG611" s="9" t="s">
        <v>2608</v>
      </c>
      <c r="AM611" s="1">
        <v>176482.0</v>
      </c>
      <c r="AN611" s="1">
        <v>32953.0</v>
      </c>
      <c r="AO611" s="1">
        <v>32953.0</v>
      </c>
      <c r="AP611" s="1">
        <v>12.624</v>
      </c>
      <c r="AR611" s="1">
        <v>1009.0</v>
      </c>
      <c r="AS611" s="1">
        <v>162.0</v>
      </c>
      <c r="AT611" s="1">
        <v>6.228</v>
      </c>
      <c r="AU611" s="1">
        <v>57.138</v>
      </c>
      <c r="AV611" s="1" t="s">
        <v>972</v>
      </c>
      <c r="AW611" s="1">
        <v>5.049</v>
      </c>
      <c r="AX611" s="1">
        <v>2.0</v>
      </c>
      <c r="AY611" s="1">
        <v>2.0</v>
      </c>
      <c r="AZ611" s="1">
        <v>1.0</v>
      </c>
      <c r="BA611" s="1">
        <v>1.0</v>
      </c>
      <c r="BB611" s="1">
        <v>1.0</v>
      </c>
      <c r="BC611" s="1">
        <v>0.0</v>
      </c>
      <c r="BD611" s="1">
        <v>0.13</v>
      </c>
      <c r="BE611" s="1">
        <v>126.0</v>
      </c>
      <c r="BF611" s="1">
        <v>43.0</v>
      </c>
      <c r="BG611" s="1">
        <v>0.0</v>
      </c>
      <c r="BH611" s="1">
        <v>18.0</v>
      </c>
      <c r="BI611" s="1">
        <v>10.0</v>
      </c>
      <c r="BJ611" s="1">
        <v>0.0</v>
      </c>
      <c r="BO611" s="1" t="s">
        <v>2612</v>
      </c>
      <c r="BP611" s="1">
        <v>1.005</v>
      </c>
      <c r="BU611" s="1" t="s">
        <v>974</v>
      </c>
      <c r="BV611" s="1">
        <v>1.1</v>
      </c>
      <c r="BW611" s="1">
        <v>48.0</v>
      </c>
      <c r="BX611" s="1">
        <v>4351.05</v>
      </c>
      <c r="BY611" s="1">
        <v>7405.613</v>
      </c>
      <c r="BZ611" s="1">
        <v>9976.12</v>
      </c>
      <c r="CA611" s="1">
        <v>20620.355</v>
      </c>
      <c r="CB611" s="1">
        <v>466.5</v>
      </c>
      <c r="CC611" s="1">
        <v>0.0</v>
      </c>
      <c r="CD611" s="1">
        <v>710075.0</v>
      </c>
      <c r="CE611" s="1">
        <v>1050.0</v>
      </c>
      <c r="CF611" s="1">
        <v>169.0</v>
      </c>
      <c r="CG611" s="1">
        <v>2691014.0</v>
      </c>
      <c r="CH611" s="1">
        <v>33700.0</v>
      </c>
      <c r="CI611" s="1">
        <v>2.0</v>
      </c>
      <c r="CJ611" s="1">
        <v>66179.0</v>
      </c>
      <c r="CK611" s="1">
        <v>20.0</v>
      </c>
      <c r="CL611" s="1">
        <v>177147.0</v>
      </c>
      <c r="CM611" s="1">
        <v>41.0</v>
      </c>
      <c r="CN611" s="1">
        <v>1747779.0</v>
      </c>
      <c r="CO611" s="1">
        <v>68.0</v>
      </c>
      <c r="CP611" s="1">
        <v>640735.0</v>
      </c>
      <c r="CQ611" s="1">
        <v>10.0</v>
      </c>
      <c r="CR611" s="1">
        <v>0.0</v>
      </c>
      <c r="CS611" s="1">
        <v>0.0</v>
      </c>
      <c r="CT611" s="1">
        <v>25474.0</v>
      </c>
      <c r="CU611" s="1">
        <v>28.0</v>
      </c>
      <c r="CV611" s="1">
        <v>1833490.0</v>
      </c>
      <c r="CW611" s="1">
        <v>71.0</v>
      </c>
      <c r="DC611" s="1">
        <v>0.0</v>
      </c>
      <c r="DD611" s="1">
        <v>5075.0</v>
      </c>
      <c r="DE611" s="1">
        <v>0.0</v>
      </c>
      <c r="DF611" s="1">
        <v>3396.0</v>
      </c>
      <c r="DG611" s="1">
        <v>300.0</v>
      </c>
      <c r="DH611" s="1">
        <v>108315.0</v>
      </c>
      <c r="DI611" s="1">
        <v>750.0</v>
      </c>
      <c r="DJ611" s="1">
        <v>593289.0</v>
      </c>
      <c r="DK611" s="1">
        <v>1700.377</v>
      </c>
      <c r="DL611" s="1" t="s">
        <v>975</v>
      </c>
      <c r="DM611" s="1">
        <v>3195.166</v>
      </c>
      <c r="DN611" s="1" t="s">
        <v>975</v>
      </c>
      <c r="DO611" s="1">
        <v>2690509.0</v>
      </c>
      <c r="DP611" s="1">
        <v>1.0</v>
      </c>
      <c r="DQ611" s="1" t="s">
        <v>976</v>
      </c>
      <c r="DR611" s="1" t="s">
        <v>1345</v>
      </c>
      <c r="DS611" s="1" t="s">
        <v>978</v>
      </c>
      <c r="DT611" s="1" t="s">
        <v>979</v>
      </c>
      <c r="DU611" s="1" t="s">
        <v>980</v>
      </c>
      <c r="DV611" s="1">
        <v>17296.0</v>
      </c>
      <c r="DX611" s="1">
        <v>3854.0</v>
      </c>
      <c r="DY611" s="1">
        <v>652797.0</v>
      </c>
      <c r="DZ611" s="1" t="s">
        <v>981</v>
      </c>
      <c r="EA611" s="1">
        <v>864.0</v>
      </c>
      <c r="EB611" s="1">
        <v>4453.0</v>
      </c>
      <c r="EC611" s="1">
        <v>1.0</v>
      </c>
      <c r="ED611" s="1">
        <v>26492.0</v>
      </c>
      <c r="EF611" s="1">
        <v>205.0</v>
      </c>
      <c r="EG611" s="1" t="s">
        <v>1032</v>
      </c>
      <c r="EH611" s="1">
        <v>100.0</v>
      </c>
      <c r="EK611" s="1">
        <v>100.0</v>
      </c>
      <c r="EQ611" s="9" t="s">
        <v>2608</v>
      </c>
      <c r="ER611" s="21">
        <v>46045.29892361111</v>
      </c>
    </row>
    <row r="612">
      <c r="A612" s="9" t="s">
        <v>2613</v>
      </c>
      <c r="B612" s="20" t="str">
        <f>IFERROR(__xludf.DUMMYFUNCTION("REGEXREPLACE(A612, ""^https?://[^/]+"", """")"),"/news-events/the-national-footprint-expansion-continues/")</f>
        <v>/news-events/the-national-footprint-expansion-continues/</v>
      </c>
      <c r="C612" s="1" t="s">
        <v>2614</v>
      </c>
      <c r="F612" s="1" t="s">
        <v>965</v>
      </c>
      <c r="G612" s="1">
        <v>200.0</v>
      </c>
      <c r="H612" s="1" t="s">
        <v>966</v>
      </c>
      <c r="I612" s="1" t="s">
        <v>967</v>
      </c>
      <c r="K612" s="1" t="s">
        <v>2615</v>
      </c>
      <c r="L612" s="1">
        <v>62.0</v>
      </c>
      <c r="M612" s="1">
        <v>562.0</v>
      </c>
      <c r="O612" s="1">
        <v>0.0</v>
      </c>
      <c r="P612" s="1">
        <v>0.0</v>
      </c>
      <c r="Q612" s="1" t="s">
        <v>2616</v>
      </c>
      <c r="R612" s="1">
        <v>148.0</v>
      </c>
      <c r="S612" s="1">
        <v>898.0</v>
      </c>
      <c r="U612" s="1">
        <v>0.0</v>
      </c>
      <c r="V612" s="1" t="s">
        <v>2614</v>
      </c>
      <c r="W612" s="1">
        <v>42.0</v>
      </c>
      <c r="Y612" s="1">
        <v>0.0</v>
      </c>
      <c r="AA612" s="1">
        <v>0.0</v>
      </c>
      <c r="AC612" s="1">
        <v>0.0</v>
      </c>
      <c r="AD612" s="1" t="s">
        <v>971</v>
      </c>
      <c r="AG612" s="9" t="s">
        <v>2613</v>
      </c>
      <c r="AM612" s="1">
        <v>173429.0</v>
      </c>
      <c r="AN612" s="1">
        <v>32062.0</v>
      </c>
      <c r="AO612" s="1">
        <v>32062.0</v>
      </c>
      <c r="AP612" s="1">
        <v>12.282</v>
      </c>
      <c r="AR612" s="1">
        <v>743.0</v>
      </c>
      <c r="AS612" s="1">
        <v>127.0</v>
      </c>
      <c r="AT612" s="1">
        <v>5.85</v>
      </c>
      <c r="AU612" s="1">
        <v>61.87</v>
      </c>
      <c r="AV612" s="1" t="s">
        <v>990</v>
      </c>
      <c r="AW612" s="1">
        <v>4.039</v>
      </c>
      <c r="AX612" s="1">
        <v>2.0</v>
      </c>
      <c r="AY612" s="1">
        <v>2.0</v>
      </c>
      <c r="AZ612" s="1">
        <v>1.0</v>
      </c>
      <c r="BA612" s="1">
        <v>1.0</v>
      </c>
      <c r="BB612" s="1">
        <v>1.0</v>
      </c>
      <c r="BC612" s="1">
        <v>0.0</v>
      </c>
      <c r="BD612" s="1">
        <v>0.13</v>
      </c>
      <c r="BE612" s="1">
        <v>128.0</v>
      </c>
      <c r="BF612" s="1">
        <v>45.0</v>
      </c>
      <c r="BG612" s="1">
        <v>0.0</v>
      </c>
      <c r="BH612" s="1">
        <v>16.0</v>
      </c>
      <c r="BI612" s="1">
        <v>8.0</v>
      </c>
      <c r="BJ612" s="1">
        <v>0.0</v>
      </c>
      <c r="BO612" s="1" t="s">
        <v>2617</v>
      </c>
      <c r="BP612" s="1">
        <v>0.942</v>
      </c>
      <c r="BU612" s="1" t="s">
        <v>974</v>
      </c>
      <c r="BV612" s="1">
        <v>1.1</v>
      </c>
      <c r="BW612" s="1">
        <v>60.0</v>
      </c>
      <c r="BX612" s="1">
        <v>4801.036</v>
      </c>
      <c r="BY612" s="1">
        <v>6490.401</v>
      </c>
      <c r="BZ612" s="1">
        <v>10426.08</v>
      </c>
      <c r="CA612" s="1">
        <v>20763.908</v>
      </c>
      <c r="CB612" s="1">
        <v>54.0</v>
      </c>
      <c r="CC612" s="1">
        <v>0.0</v>
      </c>
      <c r="CD612" s="1">
        <v>708605.0</v>
      </c>
      <c r="CE612" s="1">
        <v>900.0</v>
      </c>
      <c r="CF612" s="1">
        <v>177.0</v>
      </c>
      <c r="CG612" s="1">
        <v>2754692.0</v>
      </c>
      <c r="CH612" s="1">
        <v>32844.0</v>
      </c>
      <c r="CI612" s="1">
        <v>2.0</v>
      </c>
      <c r="CJ612" s="1">
        <v>129490.0</v>
      </c>
      <c r="CK612" s="1">
        <v>28.0</v>
      </c>
      <c r="CL612" s="1">
        <v>177147.0</v>
      </c>
      <c r="CM612" s="1">
        <v>41.0</v>
      </c>
      <c r="CN612" s="1">
        <v>1749341.0</v>
      </c>
      <c r="CO612" s="1">
        <v>68.0</v>
      </c>
      <c r="CP612" s="1">
        <v>640721.0</v>
      </c>
      <c r="CQ612" s="1">
        <v>10.0</v>
      </c>
      <c r="CR612" s="1">
        <v>0.0</v>
      </c>
      <c r="CS612" s="1">
        <v>0.0</v>
      </c>
      <c r="CT612" s="1">
        <v>25149.0</v>
      </c>
      <c r="CU612" s="1">
        <v>28.0</v>
      </c>
      <c r="CV612" s="1">
        <v>1837501.0</v>
      </c>
      <c r="CW612" s="1">
        <v>72.0</v>
      </c>
      <c r="DC612" s="1">
        <v>0.0</v>
      </c>
      <c r="DD612" s="1">
        <v>5075.0</v>
      </c>
      <c r="DE612" s="1">
        <v>0.0</v>
      </c>
      <c r="DF612" s="1">
        <v>3396.0</v>
      </c>
      <c r="DG612" s="1">
        <v>300.0</v>
      </c>
      <c r="DH612" s="1">
        <v>108317.0</v>
      </c>
      <c r="DI612" s="1">
        <v>600.0</v>
      </c>
      <c r="DJ612" s="1">
        <v>591817.0</v>
      </c>
      <c r="DK612" s="1">
        <v>941.041</v>
      </c>
      <c r="DL612" s="1" t="s">
        <v>992</v>
      </c>
      <c r="DM612" s="1">
        <v>1779.522</v>
      </c>
      <c r="DN612" s="1" t="s">
        <v>992</v>
      </c>
      <c r="DO612" s="1">
        <v>2754187.0</v>
      </c>
      <c r="DP612" s="1">
        <v>10.0</v>
      </c>
      <c r="DQ612" s="1" t="s">
        <v>976</v>
      </c>
      <c r="DR612" s="1" t="s">
        <v>1064</v>
      </c>
      <c r="DS612" s="1" t="s">
        <v>978</v>
      </c>
      <c r="DT612" s="1" t="s">
        <v>979</v>
      </c>
      <c r="DU612" s="1" t="s">
        <v>980</v>
      </c>
      <c r="DV612" s="1">
        <v>17295.0</v>
      </c>
      <c r="DX612" s="1">
        <v>2695.0</v>
      </c>
      <c r="DY612" s="1">
        <v>678329.0</v>
      </c>
      <c r="DZ612" s="1" t="s">
        <v>981</v>
      </c>
      <c r="EA612" s="1">
        <v>836.0</v>
      </c>
      <c r="EB612" s="1">
        <v>27429.0</v>
      </c>
      <c r="EC612" s="1">
        <v>0.0</v>
      </c>
      <c r="ED612" s="1">
        <v>26398.0</v>
      </c>
      <c r="EF612" s="1">
        <v>225.0</v>
      </c>
      <c r="EG612" s="1" t="s">
        <v>1032</v>
      </c>
      <c r="EH612" s="1">
        <v>100.0</v>
      </c>
      <c r="EK612" s="1">
        <v>100.0</v>
      </c>
      <c r="EQ612" s="9" t="s">
        <v>2613</v>
      </c>
      <c r="ER612" s="21">
        <v>46045.29892361111</v>
      </c>
    </row>
    <row r="613">
      <c r="A613" s="9" t="s">
        <v>2618</v>
      </c>
      <c r="B613" s="20" t="str">
        <f>IFERROR(__xludf.DUMMYFUNCTION("REGEXREPLACE(A613, ""^https?://[^/]+"", """")"),"/news-events/top-sales-experts-join-sales-xceleration-to-boost-small-business-success/")</f>
        <v>/news-events/top-sales-experts-join-sales-xceleration-to-boost-small-business-success/</v>
      </c>
      <c r="C613" s="1" t="s">
        <v>1147</v>
      </c>
      <c r="F613" s="1" t="s">
        <v>965</v>
      </c>
      <c r="G613" s="1">
        <v>200.0</v>
      </c>
      <c r="H613" s="1" t="s">
        <v>966</v>
      </c>
      <c r="I613" s="1" t="s">
        <v>967</v>
      </c>
      <c r="K613" s="1" t="s">
        <v>2619</v>
      </c>
      <c r="L613" s="1">
        <v>92.0</v>
      </c>
      <c r="M613" s="1">
        <v>834.0</v>
      </c>
      <c r="O613" s="1">
        <v>0.0</v>
      </c>
      <c r="P613" s="1">
        <v>0.0</v>
      </c>
      <c r="Q613" s="1" t="s">
        <v>2620</v>
      </c>
      <c r="R613" s="1">
        <v>154.0</v>
      </c>
      <c r="S613" s="1">
        <v>945.0</v>
      </c>
      <c r="U613" s="1">
        <v>0.0</v>
      </c>
      <c r="V613" s="1" t="s">
        <v>1147</v>
      </c>
      <c r="W613" s="1">
        <v>72.0</v>
      </c>
      <c r="Y613" s="1">
        <v>0.0</v>
      </c>
      <c r="AA613" s="1">
        <v>0.0</v>
      </c>
      <c r="AC613" s="1">
        <v>0.0</v>
      </c>
      <c r="AD613" s="1" t="s">
        <v>971</v>
      </c>
      <c r="AG613" s="9" t="s">
        <v>2618</v>
      </c>
      <c r="AM613" s="1">
        <v>178616.0</v>
      </c>
      <c r="AN613" s="1">
        <v>33383.0</v>
      </c>
      <c r="AO613" s="1">
        <v>33383.0</v>
      </c>
      <c r="AP613" s="1">
        <v>12.788</v>
      </c>
      <c r="AR613" s="1">
        <v>1103.0</v>
      </c>
      <c r="AS613" s="1">
        <v>172.0</v>
      </c>
      <c r="AT613" s="1">
        <v>6.413</v>
      </c>
      <c r="AU613" s="1">
        <v>53.216</v>
      </c>
      <c r="AV613" s="1" t="s">
        <v>972</v>
      </c>
      <c r="AW613" s="1">
        <v>5.417</v>
      </c>
      <c r="AX613" s="1">
        <v>2.0</v>
      </c>
      <c r="AY613" s="1">
        <v>2.0</v>
      </c>
      <c r="AZ613" s="1">
        <v>1.0</v>
      </c>
      <c r="BA613" s="1">
        <v>1.0</v>
      </c>
      <c r="BB613" s="1">
        <v>1.0</v>
      </c>
      <c r="BC613" s="1">
        <v>0.0</v>
      </c>
      <c r="BD613" s="1">
        <v>0.13</v>
      </c>
      <c r="BE613" s="1">
        <v>127.0</v>
      </c>
      <c r="BF613" s="1">
        <v>44.0</v>
      </c>
      <c r="BG613" s="1">
        <v>0.0</v>
      </c>
      <c r="BH613" s="1">
        <v>24.0</v>
      </c>
      <c r="BI613" s="1">
        <v>16.0</v>
      </c>
      <c r="BJ613" s="1">
        <v>0.0</v>
      </c>
      <c r="BO613" s="1" t="s">
        <v>2621</v>
      </c>
      <c r="BP613" s="1">
        <v>0.957</v>
      </c>
      <c r="BU613" s="1" t="s">
        <v>974</v>
      </c>
      <c r="BV613" s="1">
        <v>1.1</v>
      </c>
      <c r="BW613" s="1">
        <v>51.0</v>
      </c>
      <c r="BX613" s="1">
        <v>4351.026</v>
      </c>
      <c r="BY613" s="1">
        <v>6737.114</v>
      </c>
      <c r="BZ613" s="1">
        <v>9451.06</v>
      </c>
      <c r="CA613" s="1">
        <v>20233.926</v>
      </c>
      <c r="CB613" s="1">
        <v>388.5</v>
      </c>
      <c r="CC613" s="1">
        <v>0.021</v>
      </c>
      <c r="CD613" s="1">
        <v>709453.0</v>
      </c>
      <c r="CE613" s="1">
        <v>1650.0</v>
      </c>
      <c r="CF613" s="1">
        <v>169.0</v>
      </c>
      <c r="CG613" s="1">
        <v>2734778.0</v>
      </c>
      <c r="CH613" s="1">
        <v>34070.0</v>
      </c>
      <c r="CI613" s="1">
        <v>2.0</v>
      </c>
      <c r="CJ613" s="1">
        <v>66179.0</v>
      </c>
      <c r="CK613" s="1">
        <v>20.0</v>
      </c>
      <c r="CL613" s="1">
        <v>177154.0</v>
      </c>
      <c r="CM613" s="1">
        <v>41.0</v>
      </c>
      <c r="CN613" s="1">
        <v>1748022.0</v>
      </c>
      <c r="CO613" s="1">
        <v>68.0</v>
      </c>
      <c r="CP613" s="1">
        <v>684501.0</v>
      </c>
      <c r="CQ613" s="1">
        <v>11.0</v>
      </c>
      <c r="CR613" s="1">
        <v>0.0</v>
      </c>
      <c r="CS613" s="1">
        <v>0.0</v>
      </c>
      <c r="CT613" s="1">
        <v>24852.0</v>
      </c>
      <c r="CU613" s="1">
        <v>27.0</v>
      </c>
      <c r="CV613" s="1">
        <v>1876882.0</v>
      </c>
      <c r="CW613" s="1">
        <v>71.0</v>
      </c>
      <c r="DC613" s="1">
        <v>0.0</v>
      </c>
      <c r="DD613" s="1">
        <v>5075.0</v>
      </c>
      <c r="DE613" s="1">
        <v>0.0</v>
      </c>
      <c r="DF613" s="1">
        <v>3396.0</v>
      </c>
      <c r="DG613" s="1">
        <v>450.0</v>
      </c>
      <c r="DH613" s="1">
        <v>108245.0</v>
      </c>
      <c r="DI613" s="1">
        <v>1200.0</v>
      </c>
      <c r="DJ613" s="1">
        <v>592737.0</v>
      </c>
      <c r="DK613" s="1">
        <v>1759.516</v>
      </c>
      <c r="DL613" s="1" t="s">
        <v>975</v>
      </c>
      <c r="DM613" s="1">
        <v>3060.065</v>
      </c>
      <c r="DN613" s="1" t="s">
        <v>975</v>
      </c>
      <c r="DO613" s="1">
        <v>2734273.0</v>
      </c>
      <c r="DP613" s="1">
        <v>1.0</v>
      </c>
      <c r="DQ613" s="1" t="s">
        <v>976</v>
      </c>
      <c r="DR613" s="1" t="s">
        <v>1345</v>
      </c>
      <c r="DS613" s="1" t="s">
        <v>978</v>
      </c>
      <c r="DT613" s="1" t="s">
        <v>979</v>
      </c>
      <c r="DU613" s="1" t="s">
        <v>980</v>
      </c>
      <c r="DV613" s="1">
        <v>17147.0</v>
      </c>
      <c r="DX613" s="1">
        <v>3855.0</v>
      </c>
      <c r="DY613" s="1">
        <v>652802.0</v>
      </c>
      <c r="DZ613" s="1" t="s">
        <v>981</v>
      </c>
      <c r="EA613" s="1">
        <v>866.0</v>
      </c>
      <c r="EB613" s="1">
        <v>4453.0</v>
      </c>
      <c r="EC613" s="1">
        <v>12.0</v>
      </c>
      <c r="ED613" s="1">
        <v>26492.0</v>
      </c>
      <c r="EF613" s="1">
        <v>230.0</v>
      </c>
      <c r="EG613" s="1" t="s">
        <v>1032</v>
      </c>
      <c r="EH613" s="1">
        <v>100.0</v>
      </c>
      <c r="EK613" s="1">
        <v>100.0</v>
      </c>
      <c r="EQ613" s="9" t="s">
        <v>2618</v>
      </c>
      <c r="ER613" s="21">
        <v>46045.29892361111</v>
      </c>
    </row>
    <row r="614">
      <c r="A614" s="9" t="s">
        <v>2622</v>
      </c>
      <c r="B614" s="20" t="str">
        <f>IFERROR(__xludf.DUMMYFUNCTION("REGEXREPLACE(A614, ""^https?://[^/]+"", """")"),"/news-events/sales-xceleration-spotlight-october-2013/")</f>
        <v>/news-events/sales-xceleration-spotlight-october-2013/</v>
      </c>
      <c r="C614" s="1" t="s">
        <v>2623</v>
      </c>
      <c r="F614" s="1" t="s">
        <v>965</v>
      </c>
      <c r="G614" s="1">
        <v>200.0</v>
      </c>
      <c r="H614" s="1" t="s">
        <v>966</v>
      </c>
      <c r="I614" s="1" t="s">
        <v>967</v>
      </c>
      <c r="K614" s="1" t="s">
        <v>2624</v>
      </c>
      <c r="L614" s="1">
        <v>62.0</v>
      </c>
      <c r="M614" s="1">
        <v>558.0</v>
      </c>
      <c r="O614" s="1">
        <v>0.0</v>
      </c>
      <c r="P614" s="1">
        <v>0.0</v>
      </c>
      <c r="Q614" s="1" t="s">
        <v>2625</v>
      </c>
      <c r="R614" s="1">
        <v>155.0</v>
      </c>
      <c r="S614" s="1">
        <v>906.0</v>
      </c>
      <c r="U614" s="1">
        <v>0.0</v>
      </c>
      <c r="V614" s="1" t="s">
        <v>2623</v>
      </c>
      <c r="W614" s="1">
        <v>42.0</v>
      </c>
      <c r="Y614" s="1">
        <v>0.0</v>
      </c>
      <c r="AA614" s="1">
        <v>0.0</v>
      </c>
      <c r="AC614" s="1">
        <v>0.0</v>
      </c>
      <c r="AD614" s="1" t="s">
        <v>971</v>
      </c>
      <c r="AG614" s="9" t="s">
        <v>2622</v>
      </c>
      <c r="AM614" s="1">
        <v>175459.0</v>
      </c>
      <c r="AN614" s="1">
        <v>32713.0</v>
      </c>
      <c r="AO614" s="1">
        <v>32713.0</v>
      </c>
      <c r="AP614" s="1">
        <v>12.532</v>
      </c>
      <c r="AR614" s="1">
        <v>992.0</v>
      </c>
      <c r="AS614" s="1">
        <v>158.0</v>
      </c>
      <c r="AT614" s="1">
        <v>6.278</v>
      </c>
      <c r="AU614" s="1">
        <v>61.964</v>
      </c>
      <c r="AV614" s="1" t="s">
        <v>990</v>
      </c>
      <c r="AW614" s="1">
        <v>4.888</v>
      </c>
      <c r="AX614" s="1">
        <v>2.0</v>
      </c>
      <c r="AY614" s="1">
        <v>2.0</v>
      </c>
      <c r="AZ614" s="1">
        <v>1.0</v>
      </c>
      <c r="BA614" s="1">
        <v>1.0</v>
      </c>
      <c r="BB614" s="1">
        <v>1.0</v>
      </c>
      <c r="BC614" s="1">
        <v>0.0</v>
      </c>
      <c r="BD614" s="1">
        <v>0.13</v>
      </c>
      <c r="BE614" s="1">
        <v>126.0</v>
      </c>
      <c r="BF614" s="1">
        <v>43.0</v>
      </c>
      <c r="BG614" s="1">
        <v>0.0</v>
      </c>
      <c r="BH614" s="1">
        <v>16.0</v>
      </c>
      <c r="BI614" s="1">
        <v>8.0</v>
      </c>
      <c r="BJ614" s="1">
        <v>0.0</v>
      </c>
      <c r="BO614" s="1" t="s">
        <v>2626</v>
      </c>
      <c r="BP614" s="1">
        <v>1.332</v>
      </c>
      <c r="BU614" s="1" t="s">
        <v>974</v>
      </c>
      <c r="BV614" s="1">
        <v>1.1</v>
      </c>
      <c r="BW614" s="1">
        <v>55.0</v>
      </c>
      <c r="BX614" s="1">
        <v>4501.038</v>
      </c>
      <c r="BY614" s="1">
        <v>6956.995</v>
      </c>
      <c r="BZ614" s="1">
        <v>9151.08</v>
      </c>
      <c r="CA614" s="1">
        <v>19329.602</v>
      </c>
      <c r="CB614" s="1">
        <v>266.0</v>
      </c>
      <c r="CC614" s="1">
        <v>0.0</v>
      </c>
      <c r="CD614" s="1">
        <v>709698.0</v>
      </c>
      <c r="CE614" s="1">
        <v>1500.0</v>
      </c>
      <c r="CF614" s="1">
        <v>169.0</v>
      </c>
      <c r="CG614" s="1">
        <v>2689570.0</v>
      </c>
      <c r="CH614" s="1">
        <v>33376.0</v>
      </c>
      <c r="CI614" s="1">
        <v>2.0</v>
      </c>
      <c r="CJ614" s="1">
        <v>66146.0</v>
      </c>
      <c r="CK614" s="1">
        <v>20.0</v>
      </c>
      <c r="CL614" s="1">
        <v>176277.0</v>
      </c>
      <c r="CM614" s="1">
        <v>41.0</v>
      </c>
      <c r="CN614" s="1">
        <v>1747899.0</v>
      </c>
      <c r="CO614" s="1">
        <v>68.0</v>
      </c>
      <c r="CP614" s="1">
        <v>640723.0</v>
      </c>
      <c r="CQ614" s="1">
        <v>10.0</v>
      </c>
      <c r="CR614" s="1">
        <v>0.0</v>
      </c>
      <c r="CS614" s="1">
        <v>0.0</v>
      </c>
      <c r="CT614" s="1">
        <v>25149.0</v>
      </c>
      <c r="CU614" s="1">
        <v>28.0</v>
      </c>
      <c r="CV614" s="1">
        <v>1832759.0</v>
      </c>
      <c r="CW614" s="1">
        <v>71.0</v>
      </c>
      <c r="DC614" s="1">
        <v>0.0</v>
      </c>
      <c r="DD614" s="1">
        <v>5075.0</v>
      </c>
      <c r="DE614" s="1">
        <v>0.0</v>
      </c>
      <c r="DF614" s="1">
        <v>3401.0</v>
      </c>
      <c r="DG614" s="1">
        <v>450.0</v>
      </c>
      <c r="DH614" s="1">
        <v>108320.0</v>
      </c>
      <c r="DI614" s="1">
        <v>1050.0</v>
      </c>
      <c r="DJ614" s="1">
        <v>592902.0</v>
      </c>
      <c r="DK614" s="1">
        <v>1366.396</v>
      </c>
      <c r="DL614" s="1" t="s">
        <v>975</v>
      </c>
      <c r="DM614" s="1">
        <v>2491.954</v>
      </c>
      <c r="DN614" s="1" t="s">
        <v>975</v>
      </c>
      <c r="DO614" s="1">
        <v>2689065.0</v>
      </c>
      <c r="DP614" s="1">
        <v>1.0</v>
      </c>
      <c r="DQ614" s="1" t="s">
        <v>976</v>
      </c>
      <c r="DR614" s="1" t="s">
        <v>1064</v>
      </c>
      <c r="DS614" s="1" t="s">
        <v>978</v>
      </c>
      <c r="DT614" s="1" t="s">
        <v>979</v>
      </c>
      <c r="DU614" s="1" t="s">
        <v>980</v>
      </c>
      <c r="DV614" s="1">
        <v>17174.0</v>
      </c>
      <c r="DX614" s="1">
        <v>3815.0</v>
      </c>
      <c r="DY614" s="1">
        <v>652781.0</v>
      </c>
      <c r="DZ614" s="1" t="s">
        <v>981</v>
      </c>
      <c r="EA614" s="1">
        <v>828.0</v>
      </c>
      <c r="EB614" s="1">
        <v>4453.0</v>
      </c>
      <c r="EC614" s="1">
        <v>6.0</v>
      </c>
      <c r="ED614" s="1">
        <v>26492.0</v>
      </c>
      <c r="EF614" s="1">
        <v>215.0</v>
      </c>
      <c r="EG614" s="1" t="s">
        <v>1032</v>
      </c>
      <c r="EH614" s="1">
        <v>100.0</v>
      </c>
      <c r="EK614" s="1">
        <v>100.0</v>
      </c>
      <c r="EQ614" s="9" t="s">
        <v>2622</v>
      </c>
      <c r="ER614" s="21">
        <v>46045.29893518519</v>
      </c>
    </row>
    <row r="615">
      <c r="A615" s="9" t="s">
        <v>2627</v>
      </c>
      <c r="B615" s="20" t="str">
        <f>IFERROR(__xludf.DUMMYFUNCTION("REGEXREPLACE(A615, ""^https?://[^/]+"", """")"),"/news-events/advisor-michael-wills-addresses-business-growth-challenges-ceo-luncheon/")</f>
        <v>/news-events/advisor-michael-wills-addresses-business-growth-challenges-ceo-luncheon/</v>
      </c>
      <c r="C615" s="1" t="s">
        <v>2628</v>
      </c>
      <c r="F615" s="1" t="s">
        <v>965</v>
      </c>
      <c r="G615" s="1">
        <v>200.0</v>
      </c>
      <c r="H615" s="1" t="s">
        <v>966</v>
      </c>
      <c r="I615" s="1" t="s">
        <v>967</v>
      </c>
      <c r="K615" s="1" t="s">
        <v>2629</v>
      </c>
      <c r="L615" s="1">
        <v>94.0</v>
      </c>
      <c r="M615" s="1">
        <v>877.0</v>
      </c>
      <c r="O615" s="1">
        <v>0.0</v>
      </c>
      <c r="P615" s="1">
        <v>0.0</v>
      </c>
      <c r="Q615" s="1" t="s">
        <v>2630</v>
      </c>
      <c r="R615" s="1">
        <v>297.0</v>
      </c>
      <c r="S615" s="1">
        <v>1862.0</v>
      </c>
      <c r="U615" s="1">
        <v>0.0</v>
      </c>
      <c r="V615" s="1" t="s">
        <v>2628</v>
      </c>
      <c r="W615" s="1">
        <v>74.0</v>
      </c>
      <c r="Y615" s="1">
        <v>0.0</v>
      </c>
      <c r="AA615" s="1">
        <v>0.0</v>
      </c>
      <c r="AC615" s="1">
        <v>0.0</v>
      </c>
      <c r="AD615" s="1" t="s">
        <v>971</v>
      </c>
      <c r="AG615" s="9" t="s">
        <v>2627</v>
      </c>
      <c r="AM615" s="1">
        <v>172812.0</v>
      </c>
      <c r="AN615" s="1">
        <v>31928.0</v>
      </c>
      <c r="AO615" s="1">
        <v>31928.0</v>
      </c>
      <c r="AP615" s="1">
        <v>12.231</v>
      </c>
      <c r="AR615" s="1">
        <v>660.0</v>
      </c>
      <c r="AS615" s="1">
        <v>107.0</v>
      </c>
      <c r="AT615" s="1">
        <v>6.168</v>
      </c>
      <c r="AU615" s="1">
        <v>58.805</v>
      </c>
      <c r="AV615" s="1" t="s">
        <v>972</v>
      </c>
      <c r="AW615" s="1">
        <v>3.775</v>
      </c>
      <c r="AX615" s="1">
        <v>2.0</v>
      </c>
      <c r="AY615" s="1">
        <v>2.0</v>
      </c>
      <c r="AZ615" s="1">
        <v>1.0</v>
      </c>
      <c r="BA615" s="1">
        <v>1.0</v>
      </c>
      <c r="BB615" s="1">
        <v>1.0</v>
      </c>
      <c r="BC615" s="1">
        <v>0.0</v>
      </c>
      <c r="BD615" s="1">
        <v>0.13</v>
      </c>
      <c r="BE615" s="1">
        <v>126.0</v>
      </c>
      <c r="BF615" s="1">
        <v>44.0</v>
      </c>
      <c r="BG615" s="1">
        <v>0.0</v>
      </c>
      <c r="BH615" s="1">
        <v>16.0</v>
      </c>
      <c r="BI615" s="1">
        <v>8.0</v>
      </c>
      <c r="BJ615" s="1">
        <v>0.0</v>
      </c>
      <c r="BO615" s="1" t="s">
        <v>2631</v>
      </c>
      <c r="BP615" s="1">
        <v>1.023</v>
      </c>
      <c r="BU615" s="1" t="s">
        <v>974</v>
      </c>
      <c r="BV615" s="1">
        <v>1.1</v>
      </c>
      <c r="BW615" s="1">
        <v>52.0</v>
      </c>
      <c r="BX615" s="1">
        <v>4501.038</v>
      </c>
      <c r="BY615" s="1">
        <v>6944.249</v>
      </c>
      <c r="BZ615" s="1">
        <v>8551.074</v>
      </c>
      <c r="CA615" s="1">
        <v>19721.6</v>
      </c>
      <c r="CB615" s="1">
        <v>362.0</v>
      </c>
      <c r="CC615" s="1">
        <v>0.004</v>
      </c>
      <c r="CD615" s="1">
        <v>709644.0</v>
      </c>
      <c r="CE615" s="1">
        <v>1350.0</v>
      </c>
      <c r="CF615" s="1">
        <v>176.0</v>
      </c>
      <c r="CG615" s="1">
        <v>2748710.0</v>
      </c>
      <c r="CH615" s="1">
        <v>32523.0</v>
      </c>
      <c r="CI615" s="1">
        <v>2.0</v>
      </c>
      <c r="CJ615" s="1">
        <v>127066.0</v>
      </c>
      <c r="CK615" s="1">
        <v>27.0</v>
      </c>
      <c r="CL615" s="1">
        <v>175420.0</v>
      </c>
      <c r="CM615" s="1">
        <v>41.0</v>
      </c>
      <c r="CN615" s="1">
        <v>1748090.0</v>
      </c>
      <c r="CO615" s="1">
        <v>68.0</v>
      </c>
      <c r="CP615" s="1">
        <v>640727.0</v>
      </c>
      <c r="CQ615" s="1">
        <v>10.0</v>
      </c>
      <c r="CR615" s="1">
        <v>0.0</v>
      </c>
      <c r="CS615" s="1">
        <v>0.0</v>
      </c>
      <c r="CT615" s="1">
        <v>24884.0</v>
      </c>
      <c r="CU615" s="1">
        <v>28.0</v>
      </c>
      <c r="CV615" s="1">
        <v>1831699.0</v>
      </c>
      <c r="CW615" s="1">
        <v>71.0</v>
      </c>
      <c r="DC615" s="1">
        <v>0.0</v>
      </c>
      <c r="DD615" s="1">
        <v>5075.0</v>
      </c>
      <c r="DE615" s="1">
        <v>0.0</v>
      </c>
      <c r="DF615" s="1">
        <v>3396.0</v>
      </c>
      <c r="DG615" s="1">
        <v>450.0</v>
      </c>
      <c r="DH615" s="1">
        <v>108319.0</v>
      </c>
      <c r="DI615" s="1">
        <v>900.0</v>
      </c>
      <c r="DJ615" s="1">
        <v>592854.0</v>
      </c>
      <c r="DK615" s="1">
        <v>1780.374</v>
      </c>
      <c r="DL615" s="1" t="s">
        <v>975</v>
      </c>
      <c r="DM615" s="1">
        <v>3038.872</v>
      </c>
      <c r="DN615" s="1" t="s">
        <v>975</v>
      </c>
      <c r="DO615" s="1">
        <v>2748205.0</v>
      </c>
      <c r="DP615" s="1">
        <v>1.0</v>
      </c>
      <c r="DQ615" s="1" t="s">
        <v>976</v>
      </c>
      <c r="DR615" s="1" t="s">
        <v>1464</v>
      </c>
      <c r="DS615" s="1" t="s">
        <v>978</v>
      </c>
      <c r="DT615" s="1" t="s">
        <v>979</v>
      </c>
      <c r="DU615" s="1" t="s">
        <v>980</v>
      </c>
      <c r="DV615" s="1">
        <v>17147.0</v>
      </c>
      <c r="DX615" s="1">
        <v>3958.0</v>
      </c>
      <c r="DY615" s="1">
        <v>677151.0</v>
      </c>
      <c r="DZ615" s="1" t="s">
        <v>981</v>
      </c>
      <c r="EA615" s="1">
        <v>821.0</v>
      </c>
      <c r="EB615" s="1">
        <v>31882.0</v>
      </c>
      <c r="EC615" s="1">
        <v>7.0</v>
      </c>
      <c r="ED615" s="1">
        <v>26492.0</v>
      </c>
      <c r="EF615" s="1">
        <v>245.0</v>
      </c>
      <c r="EG615" s="1" t="s">
        <v>1032</v>
      </c>
      <c r="EH615" s="1">
        <v>100.0</v>
      </c>
      <c r="EK615" s="1">
        <v>100.0</v>
      </c>
      <c r="EQ615" s="9" t="s">
        <v>2627</v>
      </c>
      <c r="ER615" s="21">
        <v>46045.29893518519</v>
      </c>
    </row>
    <row r="616">
      <c r="A616" s="9" t="s">
        <v>2632</v>
      </c>
      <c r="B616" s="20" t="str">
        <f>IFERROR(__xludf.DUMMYFUNCTION("REGEXREPLACE(A616, ""^https?://[^/]+"", """")"),"/news-events/sales-xceleration-gains-eighteen-fractional-vps-of-sales/")</f>
        <v>/news-events/sales-xceleration-gains-eighteen-fractional-vps-of-sales/</v>
      </c>
      <c r="C616" s="1" t="s">
        <v>2633</v>
      </c>
      <c r="F616" s="1" t="s">
        <v>965</v>
      </c>
      <c r="G616" s="1">
        <v>200.0</v>
      </c>
      <c r="H616" s="1" t="s">
        <v>966</v>
      </c>
      <c r="I616" s="1" t="s">
        <v>967</v>
      </c>
      <c r="K616" s="1" t="s">
        <v>2634</v>
      </c>
      <c r="L616" s="1">
        <v>71.0</v>
      </c>
      <c r="M616" s="1">
        <v>640.0</v>
      </c>
      <c r="O616" s="1">
        <v>0.0</v>
      </c>
      <c r="P616" s="1">
        <v>0.0</v>
      </c>
      <c r="Q616" s="1" t="s">
        <v>2635</v>
      </c>
      <c r="R616" s="1">
        <v>157.0</v>
      </c>
      <c r="S616" s="1">
        <v>973.0</v>
      </c>
      <c r="U616" s="1">
        <v>0.0</v>
      </c>
      <c r="V616" s="1" t="s">
        <v>2633</v>
      </c>
      <c r="W616" s="1">
        <v>51.0</v>
      </c>
      <c r="Y616" s="1">
        <v>0.0</v>
      </c>
      <c r="AA616" s="1">
        <v>0.0</v>
      </c>
      <c r="AC616" s="1">
        <v>0.0</v>
      </c>
      <c r="AD616" s="1" t="s">
        <v>971</v>
      </c>
      <c r="AG616" s="9" t="s">
        <v>2632</v>
      </c>
      <c r="AM616" s="1">
        <v>176684.0</v>
      </c>
      <c r="AN616" s="1">
        <v>32704.0</v>
      </c>
      <c r="AO616" s="1">
        <v>32704.0</v>
      </c>
      <c r="AP616" s="1">
        <v>12.528</v>
      </c>
      <c r="AR616" s="1">
        <v>828.0</v>
      </c>
      <c r="AS616" s="1">
        <v>139.0</v>
      </c>
      <c r="AT616" s="1">
        <v>5.957</v>
      </c>
      <c r="AU616" s="1">
        <v>59.993</v>
      </c>
      <c r="AV616" s="1" t="s">
        <v>972</v>
      </c>
      <c r="AW616" s="1">
        <v>4.276</v>
      </c>
      <c r="AX616" s="1">
        <v>2.0</v>
      </c>
      <c r="AY616" s="1">
        <v>2.0</v>
      </c>
      <c r="AZ616" s="1">
        <v>1.0</v>
      </c>
      <c r="BA616" s="1">
        <v>1.0</v>
      </c>
      <c r="BB616" s="1">
        <v>1.0</v>
      </c>
      <c r="BC616" s="1">
        <v>0.0</v>
      </c>
      <c r="BD616" s="1">
        <v>0.13</v>
      </c>
      <c r="BE616" s="1">
        <v>129.0</v>
      </c>
      <c r="BF616" s="1">
        <v>46.0</v>
      </c>
      <c r="BG616" s="1">
        <v>0.0</v>
      </c>
      <c r="BH616" s="1">
        <v>24.0</v>
      </c>
      <c r="BI616" s="1">
        <v>16.0</v>
      </c>
      <c r="BJ616" s="1">
        <v>0.0</v>
      </c>
      <c r="BO616" s="1" t="s">
        <v>2636</v>
      </c>
      <c r="BP616" s="1">
        <v>1.003</v>
      </c>
      <c r="BU616" s="1" t="s">
        <v>974</v>
      </c>
      <c r="BV616" s="1">
        <v>1.1</v>
      </c>
      <c r="BW616" s="1">
        <v>50.0</v>
      </c>
      <c r="BX616" s="1">
        <v>4501.042</v>
      </c>
      <c r="BY616" s="1">
        <v>7018.425</v>
      </c>
      <c r="BZ616" s="1">
        <v>9001.087</v>
      </c>
      <c r="CA616" s="1">
        <v>19509.516</v>
      </c>
      <c r="CB616" s="1">
        <v>398.5</v>
      </c>
      <c r="CC616" s="1">
        <v>0.002</v>
      </c>
      <c r="CD616" s="1">
        <v>710403.0</v>
      </c>
      <c r="CE616" s="1">
        <v>1500.0</v>
      </c>
      <c r="CF616" s="1">
        <v>171.0</v>
      </c>
      <c r="CG616" s="1">
        <v>2692020.0</v>
      </c>
      <c r="CH616" s="1">
        <v>33415.0</v>
      </c>
      <c r="CI616" s="1">
        <v>2.0</v>
      </c>
      <c r="CJ616" s="1">
        <v>66379.0</v>
      </c>
      <c r="CK616" s="1">
        <v>21.0</v>
      </c>
      <c r="CL616" s="1">
        <v>176280.0</v>
      </c>
      <c r="CM616" s="1">
        <v>41.0</v>
      </c>
      <c r="CN616" s="1">
        <v>1749733.0</v>
      </c>
      <c r="CO616" s="1">
        <v>68.0</v>
      </c>
      <c r="CP616" s="1">
        <v>640729.0</v>
      </c>
      <c r="CQ616" s="1">
        <v>10.0</v>
      </c>
      <c r="CR616" s="1">
        <v>0.0</v>
      </c>
      <c r="CS616" s="1">
        <v>0.0</v>
      </c>
      <c r="CT616" s="1">
        <v>25484.0</v>
      </c>
      <c r="CU616" s="1">
        <v>29.0</v>
      </c>
      <c r="CV616" s="1">
        <v>1835085.0</v>
      </c>
      <c r="CW616" s="1">
        <v>73.0</v>
      </c>
      <c r="DC616" s="1">
        <v>0.0</v>
      </c>
      <c r="DD616" s="1">
        <v>5075.0</v>
      </c>
      <c r="DE616" s="1">
        <v>0.0</v>
      </c>
      <c r="DF616" s="1">
        <v>3396.0</v>
      </c>
      <c r="DG616" s="1">
        <v>450.0</v>
      </c>
      <c r="DH616" s="1">
        <v>108319.0</v>
      </c>
      <c r="DI616" s="1">
        <v>1050.0</v>
      </c>
      <c r="DJ616" s="1">
        <v>593613.0</v>
      </c>
      <c r="DK616" s="1">
        <v>1654.484</v>
      </c>
      <c r="DL616" s="1" t="s">
        <v>975</v>
      </c>
      <c r="DM616" s="1">
        <v>3082.968</v>
      </c>
      <c r="DN616" s="1" t="s">
        <v>975</v>
      </c>
      <c r="DO616" s="1">
        <v>2691515.0</v>
      </c>
      <c r="DP616" s="1">
        <v>63.0</v>
      </c>
      <c r="DQ616" s="1" t="s">
        <v>976</v>
      </c>
      <c r="DR616" s="1" t="s">
        <v>2637</v>
      </c>
      <c r="DS616" s="1" t="s">
        <v>978</v>
      </c>
      <c r="DT616" s="1" t="s">
        <v>979</v>
      </c>
      <c r="DU616" s="1" t="s">
        <v>980</v>
      </c>
      <c r="DV616" s="1">
        <v>17146.0</v>
      </c>
      <c r="DX616" s="1">
        <v>3755.0</v>
      </c>
      <c r="DY616" s="1">
        <v>652990.0</v>
      </c>
      <c r="DZ616" s="1" t="s">
        <v>981</v>
      </c>
      <c r="EA616" s="1">
        <v>851.0</v>
      </c>
      <c r="EB616" s="1">
        <v>4453.0</v>
      </c>
      <c r="EC616" s="1">
        <v>10.0</v>
      </c>
      <c r="ED616" s="1">
        <v>26492.0</v>
      </c>
      <c r="EF616" s="1">
        <v>230.0</v>
      </c>
      <c r="EG616" s="1" t="s">
        <v>1032</v>
      </c>
      <c r="EH616" s="1">
        <v>100.0</v>
      </c>
      <c r="EK616" s="1">
        <v>100.0</v>
      </c>
      <c r="EQ616" s="9" t="s">
        <v>2632</v>
      </c>
      <c r="ER616" s="21">
        <v>46045.29893518519</v>
      </c>
    </row>
    <row r="617">
      <c r="A617" s="9" t="s">
        <v>2638</v>
      </c>
      <c r="B617" s="20" t="str">
        <f>IFERROR(__xludf.DUMMYFUNCTION("REGEXREPLACE(A617, ""^https?://[^/]+"", """")"),"/news-events/press-release-sales-xceleration-welcomes-four-new-vp-of-sales-experts/")</f>
        <v>/news-events/press-release-sales-xceleration-welcomes-four-new-vp-of-sales-experts/</v>
      </c>
      <c r="C617" s="1" t="s">
        <v>2639</v>
      </c>
      <c r="F617" s="1" t="s">
        <v>965</v>
      </c>
      <c r="G617" s="1">
        <v>200.0</v>
      </c>
      <c r="H617" s="1" t="s">
        <v>966</v>
      </c>
      <c r="I617" s="1" t="s">
        <v>967</v>
      </c>
      <c r="K617" s="1" t="s">
        <v>2640</v>
      </c>
      <c r="L617" s="1">
        <v>90.0</v>
      </c>
      <c r="M617" s="1">
        <v>852.0</v>
      </c>
      <c r="O617" s="1">
        <v>0.0</v>
      </c>
      <c r="P617" s="1">
        <v>0.0</v>
      </c>
      <c r="Q617" s="1" t="s">
        <v>2641</v>
      </c>
      <c r="R617" s="1">
        <v>155.0</v>
      </c>
      <c r="S617" s="1">
        <v>963.0</v>
      </c>
      <c r="U617" s="1">
        <v>0.0</v>
      </c>
      <c r="V617" s="1" t="s">
        <v>2639</v>
      </c>
      <c r="W617" s="1">
        <v>70.0</v>
      </c>
      <c r="Y617" s="1">
        <v>0.0</v>
      </c>
      <c r="AA617" s="1">
        <v>0.0</v>
      </c>
      <c r="AC617" s="1">
        <v>0.0</v>
      </c>
      <c r="AD617" s="1" t="s">
        <v>971</v>
      </c>
      <c r="AG617" s="9" t="s">
        <v>2638</v>
      </c>
      <c r="AM617" s="1">
        <v>177377.0</v>
      </c>
      <c r="AN617" s="1">
        <v>32868.0</v>
      </c>
      <c r="AO617" s="1">
        <v>32868.0</v>
      </c>
      <c r="AP617" s="1">
        <v>12.591</v>
      </c>
      <c r="AR617" s="1">
        <v>931.0</v>
      </c>
      <c r="AS617" s="1">
        <v>149.0</v>
      </c>
      <c r="AT617" s="1">
        <v>6.248</v>
      </c>
      <c r="AU617" s="1">
        <v>57.282</v>
      </c>
      <c r="AV617" s="1" t="s">
        <v>972</v>
      </c>
      <c r="AW617" s="1">
        <v>4.709</v>
      </c>
      <c r="AX617" s="1">
        <v>2.0</v>
      </c>
      <c r="AY617" s="1">
        <v>2.0</v>
      </c>
      <c r="AZ617" s="1">
        <v>1.0</v>
      </c>
      <c r="BA617" s="1">
        <v>1.0</v>
      </c>
      <c r="BB617" s="1">
        <v>1.0</v>
      </c>
      <c r="BC617" s="1">
        <v>0.0</v>
      </c>
      <c r="BD617" s="1">
        <v>0.13</v>
      </c>
      <c r="BE617" s="1">
        <v>130.0</v>
      </c>
      <c r="BF617" s="1">
        <v>46.0</v>
      </c>
      <c r="BG617" s="1">
        <v>0.0</v>
      </c>
      <c r="BH617" s="1">
        <v>16.0</v>
      </c>
      <c r="BI617" s="1">
        <v>8.0</v>
      </c>
      <c r="BJ617" s="1">
        <v>0.0</v>
      </c>
      <c r="BO617" s="1" t="s">
        <v>2642</v>
      </c>
      <c r="BP617" s="1">
        <v>1.013</v>
      </c>
      <c r="BU617" s="1" t="s">
        <v>974</v>
      </c>
      <c r="BV617" s="1">
        <v>1.1</v>
      </c>
      <c r="BW617" s="1">
        <v>54.0</v>
      </c>
      <c r="BX617" s="1">
        <v>4351.05</v>
      </c>
      <c r="BY617" s="1">
        <v>6942.773</v>
      </c>
      <c r="BZ617" s="1">
        <v>10576.128</v>
      </c>
      <c r="CA617" s="1">
        <v>19259.289</v>
      </c>
      <c r="CB617" s="1">
        <v>292.5</v>
      </c>
      <c r="CC617" s="1">
        <v>0.0</v>
      </c>
      <c r="CD617" s="1">
        <v>710113.0</v>
      </c>
      <c r="CE617" s="1">
        <v>1200.0</v>
      </c>
      <c r="CF617" s="1">
        <v>169.0</v>
      </c>
      <c r="CG617" s="1">
        <v>2690711.0</v>
      </c>
      <c r="CH617" s="1">
        <v>33605.0</v>
      </c>
      <c r="CI617" s="1">
        <v>2.0</v>
      </c>
      <c r="CJ617" s="1">
        <v>66207.0</v>
      </c>
      <c r="CK617" s="1">
        <v>20.0</v>
      </c>
      <c r="CL617" s="1">
        <v>177142.0</v>
      </c>
      <c r="CM617" s="1">
        <v>41.0</v>
      </c>
      <c r="CN617" s="1">
        <v>1747793.0</v>
      </c>
      <c r="CO617" s="1">
        <v>68.0</v>
      </c>
      <c r="CP617" s="1">
        <v>640721.0</v>
      </c>
      <c r="CQ617" s="1">
        <v>10.0</v>
      </c>
      <c r="CR617" s="1">
        <v>0.0</v>
      </c>
      <c r="CS617" s="1">
        <v>0.0</v>
      </c>
      <c r="CT617" s="1">
        <v>25243.0</v>
      </c>
      <c r="CU617" s="1">
        <v>28.0</v>
      </c>
      <c r="CV617" s="1">
        <v>1833492.0</v>
      </c>
      <c r="CW617" s="1">
        <v>71.0</v>
      </c>
      <c r="DC617" s="1">
        <v>0.0</v>
      </c>
      <c r="DD617" s="1">
        <v>5075.0</v>
      </c>
      <c r="DE617" s="1">
        <v>0.0</v>
      </c>
      <c r="DF617" s="1">
        <v>3396.0</v>
      </c>
      <c r="DG617" s="1">
        <v>300.0</v>
      </c>
      <c r="DH617" s="1">
        <v>108260.0</v>
      </c>
      <c r="DI617" s="1">
        <v>900.0</v>
      </c>
      <c r="DJ617" s="1">
        <v>593382.0</v>
      </c>
      <c r="DK617" s="1">
        <v>1406.254</v>
      </c>
      <c r="DL617" s="1" t="s">
        <v>975</v>
      </c>
      <c r="DM617" s="1">
        <v>2461.31</v>
      </c>
      <c r="DN617" s="1" t="s">
        <v>975</v>
      </c>
      <c r="DO617" s="1">
        <v>2690206.0</v>
      </c>
      <c r="DP617" s="1">
        <v>1.0</v>
      </c>
      <c r="DQ617" s="1" t="s">
        <v>976</v>
      </c>
      <c r="DR617" s="1" t="s">
        <v>1151</v>
      </c>
      <c r="DS617" s="1" t="s">
        <v>978</v>
      </c>
      <c r="DT617" s="1" t="s">
        <v>979</v>
      </c>
      <c r="DU617" s="1" t="s">
        <v>980</v>
      </c>
      <c r="DV617" s="1">
        <v>17144.0</v>
      </c>
      <c r="DX617" s="1">
        <v>3915.0</v>
      </c>
      <c r="DY617" s="1">
        <v>652802.0</v>
      </c>
      <c r="DZ617" s="1" t="s">
        <v>981</v>
      </c>
      <c r="EA617" s="1">
        <v>849.0</v>
      </c>
      <c r="EB617" s="1">
        <v>4453.0</v>
      </c>
      <c r="EC617" s="1">
        <v>0.0</v>
      </c>
      <c r="ED617" s="1">
        <v>26492.0</v>
      </c>
      <c r="EF617" s="1">
        <v>235.0</v>
      </c>
      <c r="EG617" s="1" t="s">
        <v>1032</v>
      </c>
      <c r="EH617" s="1">
        <v>100.0</v>
      </c>
      <c r="EK617" s="1">
        <v>100.0</v>
      </c>
      <c r="EQ617" s="9" t="s">
        <v>2638</v>
      </c>
      <c r="ER617" s="21">
        <v>46045.29893518519</v>
      </c>
    </row>
    <row r="618">
      <c r="A618" s="9" t="s">
        <v>2643</v>
      </c>
      <c r="B618" s="20" t="str">
        <f>IFERROR(__xludf.DUMMYFUNCTION("REGEXREPLACE(A618, ""^https?://[^/]+"", """")"),"/news-events/sales-xceleration-and-procfo-partners-announce-strategic-alliance-complementary-services-for-enhanced-sales-and-financial-strategies/")</f>
        <v>/news-events/sales-xceleration-and-procfo-partners-announce-strategic-alliance-complementary-services-for-enhanced-sales-and-financial-strategies/</v>
      </c>
      <c r="C618" s="1" t="s">
        <v>2644</v>
      </c>
      <c r="D618" s="1" t="s">
        <v>1172</v>
      </c>
      <c r="E618" s="1" t="s">
        <v>2645</v>
      </c>
      <c r="F618" s="1" t="s">
        <v>965</v>
      </c>
      <c r="G618" s="1">
        <v>200.0</v>
      </c>
      <c r="H618" s="1" t="s">
        <v>966</v>
      </c>
      <c r="I618" s="1" t="s">
        <v>967</v>
      </c>
      <c r="K618" s="1" t="s">
        <v>2646</v>
      </c>
      <c r="L618" s="1">
        <v>153.0</v>
      </c>
      <c r="M618" s="1">
        <v>1407.0</v>
      </c>
      <c r="O618" s="1">
        <v>0.0</v>
      </c>
      <c r="P618" s="1">
        <v>0.0</v>
      </c>
      <c r="Q618" s="1" t="s">
        <v>2647</v>
      </c>
      <c r="R618" s="1">
        <v>156.0</v>
      </c>
      <c r="S618" s="1">
        <v>938.0</v>
      </c>
      <c r="U618" s="1">
        <v>0.0</v>
      </c>
      <c r="V618" s="1" t="s">
        <v>2644</v>
      </c>
      <c r="W618" s="1">
        <v>133.0</v>
      </c>
      <c r="Y618" s="1">
        <v>0.0</v>
      </c>
      <c r="Z618" s="1" t="s">
        <v>1172</v>
      </c>
      <c r="AA618" s="1">
        <v>23.0</v>
      </c>
      <c r="AB618" s="1" t="s">
        <v>2645</v>
      </c>
      <c r="AC618" s="1">
        <v>21.0</v>
      </c>
      <c r="AD618" s="1" t="s">
        <v>971</v>
      </c>
      <c r="AG618" s="9" t="s">
        <v>2643</v>
      </c>
      <c r="AM618" s="1">
        <v>177231.0</v>
      </c>
      <c r="AN618" s="1">
        <v>32799.0</v>
      </c>
      <c r="AO618" s="1">
        <v>32799.0</v>
      </c>
      <c r="AP618" s="1">
        <v>12.565</v>
      </c>
      <c r="AR618" s="1">
        <v>960.0</v>
      </c>
      <c r="AS618" s="1">
        <v>155.0</v>
      </c>
      <c r="AT618" s="1">
        <v>6.194</v>
      </c>
      <c r="AU618" s="1">
        <v>45.801</v>
      </c>
      <c r="AV618" s="1" t="s">
        <v>1075</v>
      </c>
      <c r="AW618" s="1">
        <v>5.019</v>
      </c>
      <c r="AX618" s="1">
        <v>2.0</v>
      </c>
      <c r="AY618" s="1">
        <v>2.0</v>
      </c>
      <c r="AZ618" s="1">
        <v>1.0</v>
      </c>
      <c r="BA618" s="1">
        <v>1.0</v>
      </c>
      <c r="BB618" s="1">
        <v>1.0</v>
      </c>
      <c r="BC618" s="1">
        <v>0.0</v>
      </c>
      <c r="BD618" s="1">
        <v>0.13</v>
      </c>
      <c r="BE618" s="1">
        <v>128.0</v>
      </c>
      <c r="BF618" s="1">
        <v>43.0</v>
      </c>
      <c r="BG618" s="1">
        <v>0.0</v>
      </c>
      <c r="BH618" s="1">
        <v>17.0</v>
      </c>
      <c r="BI618" s="1">
        <v>9.0</v>
      </c>
      <c r="BJ618" s="1">
        <v>0.0</v>
      </c>
      <c r="BO618" s="1" t="s">
        <v>2648</v>
      </c>
      <c r="BP618" s="1">
        <v>1.003</v>
      </c>
      <c r="BU618" s="1" t="s">
        <v>974</v>
      </c>
      <c r="BV618" s="1">
        <v>1.1</v>
      </c>
      <c r="BW618" s="1">
        <v>48.0</v>
      </c>
      <c r="BX618" s="1">
        <v>4951.031</v>
      </c>
      <c r="BY618" s="1">
        <v>8740.186</v>
      </c>
      <c r="BZ618" s="1">
        <v>10576.069</v>
      </c>
      <c r="CA618" s="1">
        <v>20142.477</v>
      </c>
      <c r="CB618" s="1">
        <v>395.5</v>
      </c>
      <c r="CC618" s="1">
        <v>0.0</v>
      </c>
      <c r="CD618" s="1">
        <v>710772.0</v>
      </c>
      <c r="CE618" s="1">
        <v>1350.0</v>
      </c>
      <c r="CF618" s="1">
        <v>170.0</v>
      </c>
      <c r="CG618" s="1">
        <v>2691613.0</v>
      </c>
      <c r="CH618" s="1">
        <v>33597.0</v>
      </c>
      <c r="CI618" s="1">
        <v>2.0</v>
      </c>
      <c r="CJ618" s="1">
        <v>66207.0</v>
      </c>
      <c r="CK618" s="1">
        <v>20.0</v>
      </c>
      <c r="CL618" s="1">
        <v>177141.0</v>
      </c>
      <c r="CM618" s="1">
        <v>41.0</v>
      </c>
      <c r="CN618" s="1">
        <v>1747898.0</v>
      </c>
      <c r="CO618" s="1">
        <v>68.0</v>
      </c>
      <c r="CP618" s="1">
        <v>640729.0</v>
      </c>
      <c r="CQ618" s="1">
        <v>10.0</v>
      </c>
      <c r="CR618" s="1">
        <v>0.0</v>
      </c>
      <c r="CS618" s="1">
        <v>0.0</v>
      </c>
      <c r="CT618" s="1">
        <v>26041.0</v>
      </c>
      <c r="CU618" s="1">
        <v>29.0</v>
      </c>
      <c r="CV618" s="1">
        <v>1833912.0</v>
      </c>
      <c r="CW618" s="1">
        <v>72.0</v>
      </c>
      <c r="DC618" s="1">
        <v>0.0</v>
      </c>
      <c r="DD618" s="1">
        <v>5075.0</v>
      </c>
      <c r="DE618" s="1">
        <v>0.0</v>
      </c>
      <c r="DF618" s="1">
        <v>3396.0</v>
      </c>
      <c r="DG618" s="1">
        <v>300.0</v>
      </c>
      <c r="DH618" s="1">
        <v>108261.0</v>
      </c>
      <c r="DI618" s="1">
        <v>1050.0</v>
      </c>
      <c r="DJ618" s="1">
        <v>594040.0</v>
      </c>
      <c r="DK618" s="1">
        <v>1697.508</v>
      </c>
      <c r="DL618" s="1" t="s">
        <v>975</v>
      </c>
      <c r="DM618" s="1">
        <v>3134.651</v>
      </c>
      <c r="DN618" s="1" t="s">
        <v>975</v>
      </c>
      <c r="DO618" s="1">
        <v>2691108.0</v>
      </c>
      <c r="DP618" s="1">
        <v>1.0</v>
      </c>
      <c r="DQ618" s="1" t="s">
        <v>976</v>
      </c>
      <c r="DR618" s="1" t="s">
        <v>1151</v>
      </c>
      <c r="DS618" s="1" t="s">
        <v>978</v>
      </c>
      <c r="DT618" s="1" t="s">
        <v>979</v>
      </c>
      <c r="DU618" s="1" t="s">
        <v>980</v>
      </c>
      <c r="DV618" s="1">
        <v>17147.0</v>
      </c>
      <c r="DX618" s="1">
        <v>4883.0</v>
      </c>
      <c r="DY618" s="1">
        <v>652799.0</v>
      </c>
      <c r="DZ618" s="1" t="s">
        <v>981</v>
      </c>
      <c r="EA618" s="1">
        <v>835.0</v>
      </c>
      <c r="EB618" s="1">
        <v>4453.0</v>
      </c>
      <c r="EC618" s="1">
        <v>1.0</v>
      </c>
      <c r="ED618" s="1">
        <v>26492.0</v>
      </c>
      <c r="EF618" s="1">
        <v>215.0</v>
      </c>
      <c r="EG618" s="1" t="s">
        <v>1032</v>
      </c>
      <c r="EH618" s="1">
        <v>100.0</v>
      </c>
      <c r="EK618" s="1">
        <v>100.0</v>
      </c>
      <c r="EQ618" s="9" t="s">
        <v>2643</v>
      </c>
      <c r="ER618" s="21">
        <v>46045.298946759256</v>
      </c>
    </row>
    <row r="619">
      <c r="A619" s="9" t="s">
        <v>2649</v>
      </c>
      <c r="B619" s="20" t="str">
        <f>IFERROR(__xludf.DUMMYFUNCTION("REGEXREPLACE(A619, ""^https?://[^/]+"", """")"),"/news-events/4-strategies-to-find-growth-that-lasts/")</f>
        <v>/news-events/4-strategies-to-find-growth-that-lasts/</v>
      </c>
      <c r="C619" s="1" t="s">
        <v>2650</v>
      </c>
      <c r="F619" s="1" t="s">
        <v>965</v>
      </c>
      <c r="G619" s="1">
        <v>200.0</v>
      </c>
      <c r="H619" s="1" t="s">
        <v>966</v>
      </c>
      <c r="I619" s="1" t="s">
        <v>967</v>
      </c>
      <c r="K619" s="1" t="s">
        <v>2651</v>
      </c>
      <c r="L619" s="1">
        <v>79.0</v>
      </c>
      <c r="M619" s="1">
        <v>718.0</v>
      </c>
      <c r="O619" s="1">
        <v>0.0</v>
      </c>
      <c r="P619" s="1">
        <v>0.0</v>
      </c>
      <c r="Q619" s="1" t="s">
        <v>2652</v>
      </c>
      <c r="R619" s="1">
        <v>154.0</v>
      </c>
      <c r="S619" s="1">
        <v>971.0</v>
      </c>
      <c r="U619" s="1">
        <v>0.0</v>
      </c>
      <c r="V619" s="1" t="s">
        <v>2650</v>
      </c>
      <c r="W619" s="1">
        <v>59.0</v>
      </c>
      <c r="Y619" s="1">
        <v>0.0</v>
      </c>
      <c r="AA619" s="1">
        <v>0.0</v>
      </c>
      <c r="AC619" s="1">
        <v>0.0</v>
      </c>
      <c r="AD619" s="1" t="s">
        <v>971</v>
      </c>
      <c r="AG619" s="9" t="s">
        <v>2649</v>
      </c>
      <c r="AM619" s="1">
        <v>172836.0</v>
      </c>
      <c r="AN619" s="1">
        <v>31760.0</v>
      </c>
      <c r="AO619" s="1">
        <v>31760.0</v>
      </c>
      <c r="AP619" s="1">
        <v>12.167</v>
      </c>
      <c r="AR619" s="1">
        <v>656.0</v>
      </c>
      <c r="AS619" s="1">
        <v>110.0</v>
      </c>
      <c r="AT619" s="1">
        <v>5.964</v>
      </c>
      <c r="AU619" s="1">
        <v>63.436</v>
      </c>
      <c r="AV619" s="1" t="s">
        <v>990</v>
      </c>
      <c r="AW619" s="1">
        <v>3.698</v>
      </c>
      <c r="AX619" s="1">
        <v>2.0</v>
      </c>
      <c r="AY619" s="1">
        <v>2.0</v>
      </c>
      <c r="AZ619" s="1">
        <v>1.0</v>
      </c>
      <c r="BA619" s="1">
        <v>1.0</v>
      </c>
      <c r="BB619" s="1">
        <v>1.0</v>
      </c>
      <c r="BC619" s="1">
        <v>0.0</v>
      </c>
      <c r="BD619" s="1">
        <v>0.13</v>
      </c>
      <c r="BE619" s="1">
        <v>125.0</v>
      </c>
      <c r="BF619" s="1">
        <v>43.0</v>
      </c>
      <c r="BG619" s="1">
        <v>0.0</v>
      </c>
      <c r="BH619" s="1">
        <v>17.0</v>
      </c>
      <c r="BI619" s="1">
        <v>9.0</v>
      </c>
      <c r="BJ619" s="1">
        <v>0.0</v>
      </c>
      <c r="BO619" s="1" t="s">
        <v>2653</v>
      </c>
      <c r="BP619" s="1">
        <v>1.002</v>
      </c>
      <c r="BU619" s="1" t="s">
        <v>974</v>
      </c>
      <c r="BV619" s="1">
        <v>1.1</v>
      </c>
      <c r="BW619" s="1">
        <v>56.0</v>
      </c>
      <c r="BX619" s="1">
        <v>4801.039</v>
      </c>
      <c r="BY619" s="1">
        <v>7332.652</v>
      </c>
      <c r="BZ619" s="1">
        <v>10276.086</v>
      </c>
      <c r="CA619" s="1">
        <v>19694.211</v>
      </c>
      <c r="CB619" s="1">
        <v>158.5</v>
      </c>
      <c r="CC619" s="1">
        <v>0.0</v>
      </c>
      <c r="CD619" s="1">
        <v>710527.0</v>
      </c>
      <c r="CE619" s="1">
        <v>1500.0</v>
      </c>
      <c r="CF619" s="1">
        <v>176.0</v>
      </c>
      <c r="CG619" s="1">
        <v>2750660.0</v>
      </c>
      <c r="CH619" s="1">
        <v>32419.0</v>
      </c>
      <c r="CI619" s="1">
        <v>2.0</v>
      </c>
      <c r="CJ619" s="1">
        <v>127070.0</v>
      </c>
      <c r="CK619" s="1">
        <v>27.0</v>
      </c>
      <c r="CL619" s="1">
        <v>177152.0</v>
      </c>
      <c r="CM619" s="1">
        <v>41.0</v>
      </c>
      <c r="CN619" s="1">
        <v>1748145.0</v>
      </c>
      <c r="CO619" s="1">
        <v>68.0</v>
      </c>
      <c r="CP619" s="1">
        <v>640729.0</v>
      </c>
      <c r="CQ619" s="1">
        <v>10.0</v>
      </c>
      <c r="CR619" s="1">
        <v>0.0</v>
      </c>
      <c r="CS619" s="1">
        <v>0.0</v>
      </c>
      <c r="CT619" s="1">
        <v>25145.0</v>
      </c>
      <c r="CU619" s="1">
        <v>28.0</v>
      </c>
      <c r="CV619" s="1">
        <v>1833862.0</v>
      </c>
      <c r="CW619" s="1">
        <v>71.0</v>
      </c>
      <c r="DC619" s="1">
        <v>0.0</v>
      </c>
      <c r="DD619" s="1">
        <v>5077.0</v>
      </c>
      <c r="DE619" s="1">
        <v>0.0</v>
      </c>
      <c r="DF619" s="1">
        <v>3396.0</v>
      </c>
      <c r="DG619" s="1">
        <v>600.0</v>
      </c>
      <c r="DH619" s="1">
        <v>108321.0</v>
      </c>
      <c r="DI619" s="1">
        <v>900.0</v>
      </c>
      <c r="DJ619" s="1">
        <v>593733.0</v>
      </c>
      <c r="DK619" s="1">
        <v>1119.901</v>
      </c>
      <c r="DL619" s="1" t="s">
        <v>992</v>
      </c>
      <c r="DM619" s="1">
        <v>2027.773</v>
      </c>
      <c r="DN619" s="1" t="s">
        <v>975</v>
      </c>
      <c r="DO619" s="1">
        <v>2750155.0</v>
      </c>
      <c r="DP619" s="1">
        <v>1.0</v>
      </c>
      <c r="DQ619" s="1" t="s">
        <v>976</v>
      </c>
      <c r="DR619" s="1" t="s">
        <v>1014</v>
      </c>
      <c r="DS619" s="1" t="s">
        <v>978</v>
      </c>
      <c r="DT619" s="1" t="s">
        <v>979</v>
      </c>
      <c r="DU619" s="1" t="s">
        <v>980</v>
      </c>
      <c r="DV619" s="1">
        <v>17297.0</v>
      </c>
      <c r="DX619" s="1">
        <v>3757.0</v>
      </c>
      <c r="DY619" s="1">
        <v>677154.0</v>
      </c>
      <c r="DZ619" s="1" t="s">
        <v>981</v>
      </c>
      <c r="EA619" s="1">
        <v>820.0</v>
      </c>
      <c r="EB619" s="1">
        <v>31882.0</v>
      </c>
      <c r="EC619" s="1">
        <v>0.0</v>
      </c>
      <c r="ED619" s="1">
        <v>26492.0</v>
      </c>
      <c r="EF619" s="1">
        <v>365.0</v>
      </c>
      <c r="EG619" s="1" t="s">
        <v>1032</v>
      </c>
      <c r="EH619" s="1">
        <v>100.0</v>
      </c>
      <c r="EK619" s="1">
        <v>100.0</v>
      </c>
      <c r="EQ619" s="9" t="s">
        <v>2649</v>
      </c>
      <c r="ER619" s="21">
        <v>46045.298946759256</v>
      </c>
    </row>
    <row r="620">
      <c r="A620" s="9" t="s">
        <v>2654</v>
      </c>
      <c r="B620" s="20" t="str">
        <f>IFERROR(__xludf.DUMMYFUNCTION("REGEXREPLACE(A620, ""^https?://[^/]+"", """")"),"/news-events/lee-brumbaugh-steps-into-leadership-role-as-ceo-visionary-of-sales-xceleration/")</f>
        <v>/news-events/lee-brumbaugh-steps-into-leadership-role-as-ceo-visionary-of-sales-xceleration/</v>
      </c>
      <c r="C620" s="1" t="s">
        <v>2655</v>
      </c>
      <c r="F620" s="1" t="s">
        <v>965</v>
      </c>
      <c r="G620" s="1">
        <v>200.0</v>
      </c>
      <c r="H620" s="1" t="s">
        <v>966</v>
      </c>
      <c r="I620" s="1" t="s">
        <v>967</v>
      </c>
      <c r="K620" s="1" t="s">
        <v>2656</v>
      </c>
      <c r="L620" s="1">
        <v>99.0</v>
      </c>
      <c r="M620" s="1">
        <v>914.0</v>
      </c>
      <c r="O620" s="1">
        <v>0.0</v>
      </c>
      <c r="P620" s="1">
        <v>0.0</v>
      </c>
      <c r="Q620" s="1" t="s">
        <v>2657</v>
      </c>
      <c r="R620" s="1">
        <v>155.0</v>
      </c>
      <c r="S620" s="1">
        <v>993.0</v>
      </c>
      <c r="U620" s="1">
        <v>0.0</v>
      </c>
      <c r="V620" s="1" t="s">
        <v>2655</v>
      </c>
      <c r="W620" s="1">
        <v>79.0</v>
      </c>
      <c r="Y620" s="1">
        <v>0.0</v>
      </c>
      <c r="AA620" s="1">
        <v>0.0</v>
      </c>
      <c r="AC620" s="1">
        <v>0.0</v>
      </c>
      <c r="AD620" s="1" t="s">
        <v>971</v>
      </c>
      <c r="AG620" s="9" t="s">
        <v>2654</v>
      </c>
      <c r="AM620" s="1">
        <v>177454.0</v>
      </c>
      <c r="AN620" s="1">
        <v>33236.0</v>
      </c>
      <c r="AO620" s="1">
        <v>33236.0</v>
      </c>
      <c r="AP620" s="1">
        <v>12.732</v>
      </c>
      <c r="AR620" s="1">
        <v>1047.0</v>
      </c>
      <c r="AS620" s="1">
        <v>161.0</v>
      </c>
      <c r="AT620" s="1">
        <v>6.503</v>
      </c>
      <c r="AU620" s="1">
        <v>52.205</v>
      </c>
      <c r="AV620" s="1" t="s">
        <v>972</v>
      </c>
      <c r="AW620" s="1">
        <v>5.204</v>
      </c>
      <c r="AX620" s="1">
        <v>2.0</v>
      </c>
      <c r="AY620" s="1">
        <v>2.0</v>
      </c>
      <c r="AZ620" s="1">
        <v>1.0</v>
      </c>
      <c r="BA620" s="1">
        <v>1.0</v>
      </c>
      <c r="BB620" s="1">
        <v>1.0</v>
      </c>
      <c r="BC620" s="1">
        <v>0.0</v>
      </c>
      <c r="BD620" s="1">
        <v>0.13</v>
      </c>
      <c r="BE620" s="1">
        <v>129.0</v>
      </c>
      <c r="BF620" s="1">
        <v>44.0</v>
      </c>
      <c r="BG620" s="1">
        <v>0.0</v>
      </c>
      <c r="BH620" s="1">
        <v>16.0</v>
      </c>
      <c r="BI620" s="1">
        <v>8.0</v>
      </c>
      <c r="BJ620" s="1">
        <v>0.0</v>
      </c>
      <c r="BO620" s="1" t="s">
        <v>2658</v>
      </c>
      <c r="BP620" s="1">
        <v>0.955</v>
      </c>
      <c r="BU620" s="1" t="s">
        <v>974</v>
      </c>
      <c r="BV620" s="1">
        <v>1.1</v>
      </c>
      <c r="BW620" s="1">
        <v>45.0</v>
      </c>
      <c r="BX620" s="1">
        <v>4501.041</v>
      </c>
      <c r="BY620" s="1">
        <v>5858.14</v>
      </c>
      <c r="BZ620" s="1">
        <v>9601.09</v>
      </c>
      <c r="CA620" s="1">
        <v>20886.182</v>
      </c>
      <c r="CB620" s="1">
        <v>682.5</v>
      </c>
      <c r="CC620" s="1">
        <v>0.0</v>
      </c>
      <c r="CD620" s="1">
        <v>710234.0</v>
      </c>
      <c r="CE620" s="1">
        <v>1350.0</v>
      </c>
      <c r="CF620" s="1">
        <v>171.0</v>
      </c>
      <c r="CG620" s="1">
        <v>2734314.0</v>
      </c>
      <c r="CH620" s="1">
        <v>33900.0</v>
      </c>
      <c r="CI620" s="1">
        <v>2.0</v>
      </c>
      <c r="CJ620" s="1">
        <v>66175.0</v>
      </c>
      <c r="CK620" s="1">
        <v>20.0</v>
      </c>
      <c r="CL620" s="1">
        <v>176278.0</v>
      </c>
      <c r="CM620" s="1">
        <v>41.0</v>
      </c>
      <c r="CN620" s="1">
        <v>1747860.0</v>
      </c>
      <c r="CO620" s="1">
        <v>68.0</v>
      </c>
      <c r="CP620" s="1">
        <v>684513.0</v>
      </c>
      <c r="CQ620" s="1">
        <v>11.0</v>
      </c>
      <c r="CR620" s="1">
        <v>0.0</v>
      </c>
      <c r="CS620" s="1">
        <v>0.0</v>
      </c>
      <c r="CT620" s="1">
        <v>25588.0</v>
      </c>
      <c r="CU620" s="1">
        <v>29.0</v>
      </c>
      <c r="CV620" s="1">
        <v>1876783.0</v>
      </c>
      <c r="CW620" s="1">
        <v>73.0</v>
      </c>
      <c r="DC620" s="1">
        <v>0.0</v>
      </c>
      <c r="DD620" s="1">
        <v>5075.0</v>
      </c>
      <c r="DE620" s="1">
        <v>0.0</v>
      </c>
      <c r="DF620" s="1">
        <v>3396.0</v>
      </c>
      <c r="DG620" s="1">
        <v>600.0</v>
      </c>
      <c r="DH620" s="1">
        <v>108244.0</v>
      </c>
      <c r="DI620" s="1">
        <v>750.0</v>
      </c>
      <c r="DJ620" s="1">
        <v>593519.0</v>
      </c>
      <c r="DK620" s="1">
        <v>2029.864</v>
      </c>
      <c r="DL620" s="1" t="s">
        <v>975</v>
      </c>
      <c r="DM620" s="1">
        <v>3651.871</v>
      </c>
      <c r="DN620" s="1" t="s">
        <v>975</v>
      </c>
      <c r="DO620" s="1">
        <v>2733809.0</v>
      </c>
      <c r="DP620" s="1">
        <v>1.0</v>
      </c>
      <c r="DQ620" s="1" t="s">
        <v>976</v>
      </c>
      <c r="DR620" s="1" t="s">
        <v>1014</v>
      </c>
      <c r="DS620" s="1" t="s">
        <v>978</v>
      </c>
      <c r="DT620" s="1" t="s">
        <v>979</v>
      </c>
      <c r="DU620" s="1" t="s">
        <v>980</v>
      </c>
      <c r="DV620" s="1">
        <v>17144.0</v>
      </c>
      <c r="DX620" s="1">
        <v>2762.0</v>
      </c>
      <c r="DY620" s="1">
        <v>652796.0</v>
      </c>
      <c r="DZ620" s="1" t="s">
        <v>981</v>
      </c>
      <c r="EA620" s="1">
        <v>839.0</v>
      </c>
      <c r="EB620" s="1">
        <v>4453.0</v>
      </c>
      <c r="EC620" s="1">
        <v>46.0</v>
      </c>
      <c r="ED620" s="1">
        <v>26492.0</v>
      </c>
      <c r="EF620" s="1">
        <v>505.0</v>
      </c>
      <c r="EG620" s="1" t="s">
        <v>1032</v>
      </c>
      <c r="EH620" s="1">
        <v>100.0</v>
      </c>
      <c r="EK620" s="1">
        <v>100.0</v>
      </c>
      <c r="EQ620" s="9" t="s">
        <v>2654</v>
      </c>
      <c r="ER620" s="21">
        <v>46045.29895833333</v>
      </c>
    </row>
    <row r="621">
      <c r="A621" s="9" t="s">
        <v>2659</v>
      </c>
      <c r="B621" s="20" t="str">
        <f>IFERROR(__xludf.DUMMYFUNCTION("REGEXREPLACE(A621, ""^https?://[^/]+"", """")"),"/news-events/sales-xceleration-broadens-reach-welcoming-6-fractional-sales-leaders/")</f>
        <v>/news-events/sales-xceleration-broadens-reach-welcoming-6-fractional-sales-leaders/</v>
      </c>
      <c r="C621" s="1" t="s">
        <v>2660</v>
      </c>
      <c r="F621" s="1" t="s">
        <v>965</v>
      </c>
      <c r="G621" s="1">
        <v>200.0</v>
      </c>
      <c r="H621" s="1" t="s">
        <v>966</v>
      </c>
      <c r="I621" s="1" t="s">
        <v>967</v>
      </c>
      <c r="K621" s="1" t="s">
        <v>2661</v>
      </c>
      <c r="L621" s="1">
        <v>90.0</v>
      </c>
      <c r="M621" s="1">
        <v>826.0</v>
      </c>
      <c r="O621" s="1">
        <v>0.0</v>
      </c>
      <c r="P621" s="1">
        <v>0.0</v>
      </c>
      <c r="Q621" s="1" t="s">
        <v>2662</v>
      </c>
      <c r="R621" s="1">
        <v>154.0</v>
      </c>
      <c r="S621" s="1">
        <v>970.0</v>
      </c>
      <c r="U621" s="1">
        <v>0.0</v>
      </c>
      <c r="V621" s="1" t="s">
        <v>2660</v>
      </c>
      <c r="W621" s="1">
        <v>70.0</v>
      </c>
      <c r="Y621" s="1">
        <v>0.0</v>
      </c>
      <c r="AA621" s="1">
        <v>0.0</v>
      </c>
      <c r="AC621" s="1">
        <v>0.0</v>
      </c>
      <c r="AD621" s="1" t="s">
        <v>971</v>
      </c>
      <c r="AG621" s="9" t="s">
        <v>2659</v>
      </c>
      <c r="AM621" s="1">
        <v>177399.0</v>
      </c>
      <c r="AN621" s="1">
        <v>32754.0</v>
      </c>
      <c r="AO621" s="1">
        <v>32754.0</v>
      </c>
      <c r="AP621" s="1">
        <v>12.547</v>
      </c>
      <c r="AR621" s="1">
        <v>891.0</v>
      </c>
      <c r="AS621" s="1">
        <v>147.0</v>
      </c>
      <c r="AT621" s="1">
        <v>6.061</v>
      </c>
      <c r="AU621" s="1">
        <v>52.467</v>
      </c>
      <c r="AV621" s="1" t="s">
        <v>972</v>
      </c>
      <c r="AW621" s="1">
        <v>4.604</v>
      </c>
      <c r="AX621" s="1">
        <v>2.0</v>
      </c>
      <c r="AY621" s="1">
        <v>2.0</v>
      </c>
      <c r="AZ621" s="1">
        <v>1.0</v>
      </c>
      <c r="BA621" s="1">
        <v>1.0</v>
      </c>
      <c r="BB621" s="1">
        <v>1.0</v>
      </c>
      <c r="BC621" s="1">
        <v>0.0</v>
      </c>
      <c r="BD621" s="1">
        <v>0.13</v>
      </c>
      <c r="BE621" s="1">
        <v>129.0</v>
      </c>
      <c r="BF621" s="1">
        <v>45.0</v>
      </c>
      <c r="BG621" s="1">
        <v>0.0</v>
      </c>
      <c r="BH621" s="1">
        <v>22.0</v>
      </c>
      <c r="BI621" s="1">
        <v>14.0</v>
      </c>
      <c r="BJ621" s="1">
        <v>0.0</v>
      </c>
      <c r="BO621" s="1" t="s">
        <v>2663</v>
      </c>
      <c r="BP621" s="1">
        <v>0.993</v>
      </c>
      <c r="BU621" s="1" t="s">
        <v>974</v>
      </c>
      <c r="BV621" s="1">
        <v>1.1</v>
      </c>
      <c r="BW621" s="1">
        <v>57.0</v>
      </c>
      <c r="BX621" s="1">
        <v>4951.042</v>
      </c>
      <c r="BY621" s="1">
        <v>7919.161</v>
      </c>
      <c r="BZ621" s="1">
        <v>11101.097</v>
      </c>
      <c r="CA621" s="1">
        <v>19516.15</v>
      </c>
      <c r="CB621" s="1">
        <v>37.0</v>
      </c>
      <c r="CC621" s="1">
        <v>0.021</v>
      </c>
      <c r="CD621" s="1">
        <v>709281.0</v>
      </c>
      <c r="CE621" s="1">
        <v>1650.0</v>
      </c>
      <c r="CF621" s="1">
        <v>170.0</v>
      </c>
      <c r="CG621" s="1">
        <v>2691038.0</v>
      </c>
      <c r="CH621" s="1">
        <v>33485.0</v>
      </c>
      <c r="CI621" s="1">
        <v>2.0</v>
      </c>
      <c r="CJ621" s="1">
        <v>66455.0</v>
      </c>
      <c r="CK621" s="1">
        <v>20.0</v>
      </c>
      <c r="CL621" s="1">
        <v>176277.0</v>
      </c>
      <c r="CM621" s="1">
        <v>41.0</v>
      </c>
      <c r="CN621" s="1">
        <v>1748044.0</v>
      </c>
      <c r="CO621" s="1">
        <v>68.0</v>
      </c>
      <c r="CP621" s="1">
        <v>640733.0</v>
      </c>
      <c r="CQ621" s="1">
        <v>10.0</v>
      </c>
      <c r="CR621" s="1">
        <v>0.0</v>
      </c>
      <c r="CS621" s="1">
        <v>0.0</v>
      </c>
      <c r="CT621" s="1">
        <v>26044.0</v>
      </c>
      <c r="CU621" s="1">
        <v>29.0</v>
      </c>
      <c r="CV621" s="1">
        <v>1833161.0</v>
      </c>
      <c r="CW621" s="1">
        <v>72.0</v>
      </c>
      <c r="DC621" s="1">
        <v>0.0</v>
      </c>
      <c r="DD621" s="1">
        <v>5075.0</v>
      </c>
      <c r="DE621" s="1">
        <v>0.0</v>
      </c>
      <c r="DF621" s="1">
        <v>3396.0</v>
      </c>
      <c r="DG621" s="1">
        <v>600.0</v>
      </c>
      <c r="DH621" s="1">
        <v>108302.0</v>
      </c>
      <c r="DI621" s="1">
        <v>1050.0</v>
      </c>
      <c r="DJ621" s="1">
        <v>592508.0</v>
      </c>
      <c r="DK621" s="1">
        <v>665.615</v>
      </c>
      <c r="DL621" s="1" t="s">
        <v>992</v>
      </c>
      <c r="DM621" s="1">
        <v>1426.994</v>
      </c>
      <c r="DN621" s="1" t="s">
        <v>992</v>
      </c>
      <c r="DO621" s="1">
        <v>2690533.0</v>
      </c>
      <c r="DP621" s="1">
        <v>1.0</v>
      </c>
      <c r="DQ621" s="1" t="s">
        <v>976</v>
      </c>
      <c r="DR621" s="1" t="s">
        <v>1376</v>
      </c>
      <c r="DS621" s="1" t="s">
        <v>978</v>
      </c>
      <c r="DT621" s="1" t="s">
        <v>979</v>
      </c>
      <c r="DU621" s="1" t="s">
        <v>980</v>
      </c>
      <c r="DV621" s="1">
        <v>17296.0</v>
      </c>
      <c r="DX621" s="1">
        <v>4160.0</v>
      </c>
      <c r="DY621" s="1">
        <v>653082.0</v>
      </c>
      <c r="DZ621" s="1" t="s">
        <v>981</v>
      </c>
      <c r="EA621" s="1">
        <v>862.0</v>
      </c>
      <c r="EB621" s="1">
        <v>4453.0</v>
      </c>
      <c r="EC621" s="1">
        <v>0.0</v>
      </c>
      <c r="ED621" s="1">
        <v>26492.0</v>
      </c>
      <c r="EF621" s="1">
        <v>285.0</v>
      </c>
      <c r="EG621" s="1" t="s">
        <v>1032</v>
      </c>
      <c r="EH621" s="1">
        <v>100.0</v>
      </c>
      <c r="EK621" s="1">
        <v>100.0</v>
      </c>
      <c r="EQ621" s="9" t="s">
        <v>2659</v>
      </c>
      <c r="ER621" s="21">
        <v>46045.29895833333</v>
      </c>
    </row>
    <row r="622">
      <c r="A622" s="9" t="s">
        <v>2664</v>
      </c>
      <c r="B622" s="20" t="str">
        <f>IFERROR(__xludf.DUMMYFUNCTION("REGEXREPLACE(A622, ""^https?://[^/]+"", """")"),"/news-events/sales-xceleration-expands-with-3-new-fractional-sales-leaders/")</f>
        <v>/news-events/sales-xceleration-expands-with-3-new-fractional-sales-leaders/</v>
      </c>
      <c r="C622" s="1" t="s">
        <v>2665</v>
      </c>
      <c r="F622" s="1" t="s">
        <v>965</v>
      </c>
      <c r="G622" s="1">
        <v>200.0</v>
      </c>
      <c r="H622" s="1" t="s">
        <v>966</v>
      </c>
      <c r="I622" s="1" t="s">
        <v>967</v>
      </c>
      <c r="K622" s="1" t="s">
        <v>2666</v>
      </c>
      <c r="L622" s="1">
        <v>81.0</v>
      </c>
      <c r="M622" s="1">
        <v>736.0</v>
      </c>
      <c r="O622" s="1">
        <v>0.0</v>
      </c>
      <c r="P622" s="1">
        <v>0.0</v>
      </c>
      <c r="Q622" s="1" t="s">
        <v>2667</v>
      </c>
      <c r="R622" s="1">
        <v>70.0</v>
      </c>
      <c r="S622" s="1">
        <v>456.0</v>
      </c>
      <c r="U622" s="1">
        <v>0.0</v>
      </c>
      <c r="V622" s="1" t="s">
        <v>2665</v>
      </c>
      <c r="W622" s="1">
        <v>61.0</v>
      </c>
      <c r="Y622" s="1">
        <v>0.0</v>
      </c>
      <c r="AA622" s="1">
        <v>0.0</v>
      </c>
      <c r="AC622" s="1">
        <v>0.0</v>
      </c>
      <c r="AD622" s="1" t="s">
        <v>971</v>
      </c>
      <c r="AG622" s="9" t="s">
        <v>2664</v>
      </c>
      <c r="AM622" s="1">
        <v>177594.0</v>
      </c>
      <c r="AN622" s="1">
        <v>32954.0</v>
      </c>
      <c r="AO622" s="1">
        <v>32954.0</v>
      </c>
      <c r="AP622" s="1">
        <v>12.624</v>
      </c>
      <c r="AR622" s="1">
        <v>985.0</v>
      </c>
      <c r="AS622" s="1">
        <v>162.0</v>
      </c>
      <c r="AT622" s="1">
        <v>6.08</v>
      </c>
      <c r="AU622" s="1">
        <v>51.905</v>
      </c>
      <c r="AV622" s="1" t="s">
        <v>972</v>
      </c>
      <c r="AW622" s="1">
        <v>4.983</v>
      </c>
      <c r="AX622" s="1">
        <v>2.0</v>
      </c>
      <c r="AY622" s="1">
        <v>2.0</v>
      </c>
      <c r="AZ622" s="1">
        <v>1.0</v>
      </c>
      <c r="BA622" s="1">
        <v>1.0</v>
      </c>
      <c r="BB622" s="1">
        <v>1.0</v>
      </c>
      <c r="BC622" s="1">
        <v>0.0</v>
      </c>
      <c r="BD622" s="1">
        <v>0.13</v>
      </c>
      <c r="BE622" s="1">
        <v>131.0</v>
      </c>
      <c r="BF622" s="1">
        <v>45.0</v>
      </c>
      <c r="BG622" s="1">
        <v>0.0</v>
      </c>
      <c r="BH622" s="1">
        <v>19.0</v>
      </c>
      <c r="BI622" s="1">
        <v>11.0</v>
      </c>
      <c r="BJ622" s="1">
        <v>0.0</v>
      </c>
      <c r="BO622" s="1" t="s">
        <v>2668</v>
      </c>
      <c r="BP622" s="1">
        <v>0.962</v>
      </c>
      <c r="BU622" s="1" t="s">
        <v>974</v>
      </c>
      <c r="BV622" s="1">
        <v>1.1</v>
      </c>
      <c r="BW622" s="1">
        <v>43.0</v>
      </c>
      <c r="BX622" s="1">
        <v>4351.027</v>
      </c>
      <c r="BY622" s="1">
        <v>7477.908</v>
      </c>
      <c r="BZ622" s="1">
        <v>8251.053</v>
      </c>
      <c r="CA622" s="1">
        <v>19864.475</v>
      </c>
      <c r="CB622" s="1">
        <v>655.5</v>
      </c>
      <c r="CC622" s="1">
        <v>0.0</v>
      </c>
      <c r="CD622" s="1">
        <v>710378.0</v>
      </c>
      <c r="CE622" s="1">
        <v>1350.0</v>
      </c>
      <c r="CF622" s="1">
        <v>169.0</v>
      </c>
      <c r="CG622" s="1">
        <v>2690790.0</v>
      </c>
      <c r="CH622" s="1">
        <v>33723.0</v>
      </c>
      <c r="CI622" s="1">
        <v>2.0</v>
      </c>
      <c r="CJ622" s="1">
        <v>66180.0</v>
      </c>
      <c r="CK622" s="1">
        <v>20.0</v>
      </c>
      <c r="CL622" s="1">
        <v>177154.0</v>
      </c>
      <c r="CM622" s="1">
        <v>41.0</v>
      </c>
      <c r="CN622" s="1">
        <v>1747782.0</v>
      </c>
      <c r="CO622" s="1">
        <v>68.0</v>
      </c>
      <c r="CP622" s="1">
        <v>640733.0</v>
      </c>
      <c r="CQ622" s="1">
        <v>10.0</v>
      </c>
      <c r="CR622" s="1">
        <v>0.0</v>
      </c>
      <c r="CS622" s="1">
        <v>0.0</v>
      </c>
      <c r="CT622" s="1">
        <v>25218.0</v>
      </c>
      <c r="CU622" s="1">
        <v>28.0</v>
      </c>
      <c r="CV622" s="1">
        <v>1833528.0</v>
      </c>
      <c r="CW622" s="1">
        <v>71.0</v>
      </c>
      <c r="DC622" s="1">
        <v>0.0</v>
      </c>
      <c r="DD622" s="1">
        <v>5075.0</v>
      </c>
      <c r="DE622" s="1">
        <v>0.0</v>
      </c>
      <c r="DF622" s="1">
        <v>3396.0</v>
      </c>
      <c r="DG622" s="1">
        <v>450.0</v>
      </c>
      <c r="DH622" s="1">
        <v>108301.0</v>
      </c>
      <c r="DI622" s="1">
        <v>900.0</v>
      </c>
      <c r="DJ622" s="1">
        <v>593606.0</v>
      </c>
      <c r="DK622" s="1">
        <v>2065.39</v>
      </c>
      <c r="DL622" s="1" t="s">
        <v>975</v>
      </c>
      <c r="DM622" s="1">
        <v>3778.632</v>
      </c>
      <c r="DN622" s="1" t="s">
        <v>975</v>
      </c>
      <c r="DO622" s="1">
        <v>2690285.0</v>
      </c>
      <c r="DP622" s="1">
        <v>1.0</v>
      </c>
      <c r="DQ622" s="1" t="s">
        <v>976</v>
      </c>
      <c r="DR622" s="1" t="s">
        <v>2418</v>
      </c>
      <c r="DS622" s="1" t="s">
        <v>978</v>
      </c>
      <c r="DT622" s="1" t="s">
        <v>979</v>
      </c>
      <c r="DU622" s="1" t="s">
        <v>980</v>
      </c>
      <c r="DV622" s="1">
        <v>17174.0</v>
      </c>
      <c r="DX622" s="1">
        <v>3964.0</v>
      </c>
      <c r="DY622" s="1">
        <v>652792.0</v>
      </c>
      <c r="DZ622" s="1" t="s">
        <v>981</v>
      </c>
      <c r="EA622" s="1">
        <v>855.0</v>
      </c>
      <c r="EB622" s="1">
        <v>4453.0</v>
      </c>
      <c r="EC622" s="1">
        <v>37.0</v>
      </c>
      <c r="ED622" s="1">
        <v>26492.0</v>
      </c>
      <c r="EF622" s="1">
        <v>235.0</v>
      </c>
      <c r="EG622" s="1" t="s">
        <v>1032</v>
      </c>
      <c r="EH622" s="1">
        <v>100.0</v>
      </c>
      <c r="EK622" s="1">
        <v>100.0</v>
      </c>
      <c r="EQ622" s="9" t="s">
        <v>2664</v>
      </c>
      <c r="ER622" s="21">
        <v>46045.29895833333</v>
      </c>
    </row>
    <row r="623">
      <c r="A623" s="9" t="s">
        <v>2669</v>
      </c>
      <c r="B623" s="20" t="str">
        <f>IFERROR(__xludf.DUMMYFUNCTION("REGEXREPLACE(A623, ""^https?://[^/]+"", """")"),"/news-events/sales-xceleration-welcomes-4-new-fractional-sales-leaders/")</f>
        <v>/news-events/sales-xceleration-welcomes-4-new-fractional-sales-leaders/</v>
      </c>
      <c r="C623" s="1" t="s">
        <v>2670</v>
      </c>
      <c r="D623" s="1" t="s">
        <v>1172</v>
      </c>
      <c r="F623" s="1" t="s">
        <v>965</v>
      </c>
      <c r="G623" s="1">
        <v>200.0</v>
      </c>
      <c r="H623" s="1" t="s">
        <v>966</v>
      </c>
      <c r="I623" s="1" t="s">
        <v>967</v>
      </c>
      <c r="K623" s="1" t="s">
        <v>2671</v>
      </c>
      <c r="L623" s="1">
        <v>77.0</v>
      </c>
      <c r="M623" s="1">
        <v>712.0</v>
      </c>
      <c r="O623" s="1">
        <v>0.0</v>
      </c>
      <c r="P623" s="1">
        <v>0.0</v>
      </c>
      <c r="Q623" s="1" t="s">
        <v>2672</v>
      </c>
      <c r="R623" s="1">
        <v>157.0</v>
      </c>
      <c r="S623" s="1">
        <v>986.0</v>
      </c>
      <c r="U623" s="1">
        <v>0.0</v>
      </c>
      <c r="V623" s="1" t="s">
        <v>2670</v>
      </c>
      <c r="W623" s="1">
        <v>57.0</v>
      </c>
      <c r="Y623" s="1">
        <v>0.0</v>
      </c>
      <c r="Z623" s="1" t="s">
        <v>1172</v>
      </c>
      <c r="AA623" s="1">
        <v>23.0</v>
      </c>
      <c r="AC623" s="1">
        <v>0.0</v>
      </c>
      <c r="AD623" s="1" t="s">
        <v>971</v>
      </c>
      <c r="AG623" s="9" t="s">
        <v>2669</v>
      </c>
      <c r="AM623" s="1">
        <v>177693.0</v>
      </c>
      <c r="AN623" s="1">
        <v>33140.0</v>
      </c>
      <c r="AO623" s="1">
        <v>33140.0</v>
      </c>
      <c r="AP623" s="1">
        <v>12.695</v>
      </c>
      <c r="AR623" s="1">
        <v>1003.0</v>
      </c>
      <c r="AS623" s="1">
        <v>163.0</v>
      </c>
      <c r="AT623" s="1">
        <v>6.153</v>
      </c>
      <c r="AU623" s="1">
        <v>53.91</v>
      </c>
      <c r="AV623" s="1" t="s">
        <v>972</v>
      </c>
      <c r="AW623" s="1">
        <v>5.008</v>
      </c>
      <c r="AX623" s="1">
        <v>2.0</v>
      </c>
      <c r="AY623" s="1">
        <v>2.0</v>
      </c>
      <c r="AZ623" s="1">
        <v>1.0</v>
      </c>
      <c r="BA623" s="1">
        <v>1.0</v>
      </c>
      <c r="BB623" s="1">
        <v>1.0</v>
      </c>
      <c r="BC623" s="1">
        <v>0.0</v>
      </c>
      <c r="BD623" s="1">
        <v>0.13</v>
      </c>
      <c r="BE623" s="1">
        <v>130.0</v>
      </c>
      <c r="BF623" s="1">
        <v>45.0</v>
      </c>
      <c r="BG623" s="1">
        <v>0.0</v>
      </c>
      <c r="BH623" s="1">
        <v>20.0</v>
      </c>
      <c r="BI623" s="1">
        <v>12.0</v>
      </c>
      <c r="BJ623" s="1">
        <v>0.0</v>
      </c>
      <c r="BO623" s="1" t="s">
        <v>2673</v>
      </c>
      <c r="BP623" s="1">
        <v>1.025</v>
      </c>
      <c r="BU623" s="1" t="s">
        <v>974</v>
      </c>
      <c r="BV623" s="1">
        <v>1.1</v>
      </c>
      <c r="BW623" s="1">
        <v>31.0</v>
      </c>
      <c r="BX623" s="1">
        <v>3601.023</v>
      </c>
      <c r="BY623" s="1">
        <v>8410.572</v>
      </c>
      <c r="BZ623" s="1">
        <v>11851.082</v>
      </c>
      <c r="CA623" s="1">
        <v>20567.48</v>
      </c>
      <c r="CB623" s="1">
        <v>3091.5</v>
      </c>
      <c r="CC623" s="1">
        <v>0.002</v>
      </c>
      <c r="CD623" s="1">
        <v>709327.0</v>
      </c>
      <c r="CE623" s="1">
        <v>1950.0</v>
      </c>
      <c r="CF623" s="1">
        <v>170.0</v>
      </c>
      <c r="CG623" s="1">
        <v>2691228.0</v>
      </c>
      <c r="CH623" s="1">
        <v>33911.0</v>
      </c>
      <c r="CI623" s="1">
        <v>2.0</v>
      </c>
      <c r="CJ623" s="1">
        <v>66174.0</v>
      </c>
      <c r="CK623" s="1">
        <v>20.0</v>
      </c>
      <c r="CL623" s="1">
        <v>177146.0</v>
      </c>
      <c r="CM623" s="1">
        <v>41.0</v>
      </c>
      <c r="CN623" s="1">
        <v>1747800.0</v>
      </c>
      <c r="CO623" s="1">
        <v>68.0</v>
      </c>
      <c r="CP623" s="1">
        <v>640717.0</v>
      </c>
      <c r="CQ623" s="1">
        <v>10.0</v>
      </c>
      <c r="CR623" s="1">
        <v>0.0</v>
      </c>
      <c r="CS623" s="1">
        <v>0.0</v>
      </c>
      <c r="CT623" s="1">
        <v>25480.0</v>
      </c>
      <c r="CU623" s="1">
        <v>29.0</v>
      </c>
      <c r="CV623" s="1">
        <v>1833802.0</v>
      </c>
      <c r="CW623" s="1">
        <v>72.0</v>
      </c>
      <c r="DC623" s="1">
        <v>0.0</v>
      </c>
      <c r="DD623" s="1">
        <v>5075.0</v>
      </c>
      <c r="DE623" s="1">
        <v>0.0</v>
      </c>
      <c r="DF623" s="1">
        <v>3401.0</v>
      </c>
      <c r="DG623" s="1">
        <v>600.0</v>
      </c>
      <c r="DH623" s="1">
        <v>108261.0</v>
      </c>
      <c r="DI623" s="1">
        <v>1350.0</v>
      </c>
      <c r="DJ623" s="1">
        <v>592590.0</v>
      </c>
      <c r="DK623" s="1">
        <v>4611.453</v>
      </c>
      <c r="DL623" s="1" t="s">
        <v>975</v>
      </c>
      <c r="DM623" s="1">
        <v>8416.811</v>
      </c>
      <c r="DN623" s="1" t="s">
        <v>975</v>
      </c>
      <c r="DO623" s="1">
        <v>2690723.0</v>
      </c>
      <c r="DP623" s="1">
        <v>1.0</v>
      </c>
      <c r="DQ623" s="1" t="s">
        <v>976</v>
      </c>
      <c r="DR623" s="1" t="s">
        <v>1412</v>
      </c>
      <c r="DS623" s="1" t="s">
        <v>978</v>
      </c>
      <c r="DT623" s="1" t="s">
        <v>979</v>
      </c>
      <c r="DU623" s="1" t="s">
        <v>980</v>
      </c>
      <c r="DV623" s="1">
        <v>16723.0</v>
      </c>
      <c r="DX623" s="1">
        <v>5493.0</v>
      </c>
      <c r="DY623" s="1">
        <v>652792.0</v>
      </c>
      <c r="DZ623" s="1" t="s">
        <v>994</v>
      </c>
      <c r="EA623" s="1">
        <v>854.0</v>
      </c>
      <c r="EB623" s="1">
        <v>4453.0</v>
      </c>
      <c r="EC623" s="1">
        <v>35.0</v>
      </c>
      <c r="ED623" s="1">
        <v>26492.0</v>
      </c>
      <c r="EF623" s="1">
        <v>215.0</v>
      </c>
      <c r="EG623" s="1" t="s">
        <v>1032</v>
      </c>
      <c r="EH623" s="1">
        <v>100.0</v>
      </c>
      <c r="EK623" s="1">
        <v>100.0</v>
      </c>
      <c r="EQ623" s="9" t="s">
        <v>2669</v>
      </c>
      <c r="ER623" s="21">
        <v>46045.29895833333</v>
      </c>
    </row>
    <row r="624">
      <c r="A624" s="9" t="s">
        <v>2674</v>
      </c>
      <c r="B624" s="20" t="str">
        <f>IFERROR(__xludf.DUMMYFUNCTION("REGEXREPLACE(A624, ""^https?://[^/]+"", """")"),"/news-events/sales-xceleration-grows-with-strategic-acquisition-of-quintegra-resourcing/")</f>
        <v>/news-events/sales-xceleration-grows-with-strategic-acquisition-of-quintegra-resourcing/</v>
      </c>
      <c r="C624" s="1" t="s">
        <v>2675</v>
      </c>
      <c r="D624" s="1" t="s">
        <v>2676</v>
      </c>
      <c r="E624" s="1" t="s">
        <v>1172</v>
      </c>
      <c r="F624" s="1" t="s">
        <v>965</v>
      </c>
      <c r="G624" s="1">
        <v>200.0</v>
      </c>
      <c r="H624" s="1" t="s">
        <v>966</v>
      </c>
      <c r="I624" s="1" t="s">
        <v>967</v>
      </c>
      <c r="K624" s="1" t="s">
        <v>2677</v>
      </c>
      <c r="L624" s="1">
        <v>94.0</v>
      </c>
      <c r="M624" s="1">
        <v>842.0</v>
      </c>
      <c r="O624" s="1">
        <v>0.0</v>
      </c>
      <c r="P624" s="1">
        <v>0.0</v>
      </c>
      <c r="Q624" s="1" t="s">
        <v>2678</v>
      </c>
      <c r="R624" s="1">
        <v>158.0</v>
      </c>
      <c r="S624" s="1">
        <v>965.0</v>
      </c>
      <c r="U624" s="1">
        <v>0.0</v>
      </c>
      <c r="V624" s="1" t="s">
        <v>2675</v>
      </c>
      <c r="W624" s="1">
        <v>74.0</v>
      </c>
      <c r="Y624" s="1">
        <v>0.0</v>
      </c>
      <c r="Z624" s="1" t="s">
        <v>2676</v>
      </c>
      <c r="AA624" s="1">
        <v>30.0</v>
      </c>
      <c r="AB624" s="1" t="s">
        <v>1172</v>
      </c>
      <c r="AC624" s="1">
        <v>23.0</v>
      </c>
      <c r="AD624" s="1" t="s">
        <v>971</v>
      </c>
      <c r="AG624" s="9" t="s">
        <v>2674</v>
      </c>
      <c r="AM624" s="1">
        <v>175422.0</v>
      </c>
      <c r="AN624" s="1">
        <v>32701.0</v>
      </c>
      <c r="AO624" s="1">
        <v>32701.0</v>
      </c>
      <c r="AP624" s="1">
        <v>12.527</v>
      </c>
      <c r="AR624" s="1">
        <v>978.0</v>
      </c>
      <c r="AS624" s="1">
        <v>159.0</v>
      </c>
      <c r="AT624" s="1">
        <v>6.151</v>
      </c>
      <c r="AU624" s="1">
        <v>58.554</v>
      </c>
      <c r="AV624" s="1" t="s">
        <v>972</v>
      </c>
      <c r="AW624" s="1">
        <v>4.913</v>
      </c>
      <c r="AX624" s="1">
        <v>2.0</v>
      </c>
      <c r="AY624" s="1">
        <v>2.0</v>
      </c>
      <c r="AZ624" s="1">
        <v>1.0</v>
      </c>
      <c r="BA624" s="1">
        <v>1.0</v>
      </c>
      <c r="BB624" s="1">
        <v>1.0</v>
      </c>
      <c r="BC624" s="1">
        <v>0.0</v>
      </c>
      <c r="BD624" s="1">
        <v>0.13</v>
      </c>
      <c r="BE624" s="1">
        <v>128.0</v>
      </c>
      <c r="BF624" s="1">
        <v>45.0</v>
      </c>
      <c r="BG624" s="1">
        <v>0.0</v>
      </c>
      <c r="BH624" s="1">
        <v>16.0</v>
      </c>
      <c r="BI624" s="1">
        <v>8.0</v>
      </c>
      <c r="BJ624" s="1">
        <v>0.0</v>
      </c>
      <c r="BO624" s="1" t="s">
        <v>2679</v>
      </c>
      <c r="BP624" s="1">
        <v>0.966</v>
      </c>
      <c r="BU624" s="1" t="s">
        <v>974</v>
      </c>
      <c r="BV624" s="1">
        <v>1.1</v>
      </c>
      <c r="BW624" s="1">
        <v>51.0</v>
      </c>
      <c r="BX624" s="1">
        <v>4051.033</v>
      </c>
      <c r="BY624" s="1">
        <v>6511.646</v>
      </c>
      <c r="BZ624" s="1">
        <v>8701.075</v>
      </c>
      <c r="CA624" s="1">
        <v>20231.168</v>
      </c>
      <c r="CB624" s="1">
        <v>417.5</v>
      </c>
      <c r="CC624" s="1">
        <v>0.0</v>
      </c>
      <c r="CD624" s="1">
        <v>708861.0</v>
      </c>
      <c r="CE624" s="1">
        <v>1500.0</v>
      </c>
      <c r="CF624" s="1">
        <v>169.0</v>
      </c>
      <c r="CG624" s="1">
        <v>2688921.0</v>
      </c>
      <c r="CH624" s="1">
        <v>33583.0</v>
      </c>
      <c r="CI624" s="1">
        <v>2.0</v>
      </c>
      <c r="CJ624" s="1">
        <v>66186.0</v>
      </c>
      <c r="CK624" s="1">
        <v>20.0</v>
      </c>
      <c r="CL624" s="1">
        <v>175423.0</v>
      </c>
      <c r="CM624" s="1">
        <v>41.0</v>
      </c>
      <c r="CN624" s="1">
        <v>1747725.0</v>
      </c>
      <c r="CO624" s="1">
        <v>68.0</v>
      </c>
      <c r="CP624" s="1">
        <v>640725.0</v>
      </c>
      <c r="CQ624" s="1">
        <v>10.0</v>
      </c>
      <c r="CR624" s="1">
        <v>0.0</v>
      </c>
      <c r="CS624" s="1">
        <v>0.0</v>
      </c>
      <c r="CT624" s="1">
        <v>25279.0</v>
      </c>
      <c r="CU624" s="1">
        <v>28.0</v>
      </c>
      <c r="CV624" s="1">
        <v>1831707.0</v>
      </c>
      <c r="CW624" s="1">
        <v>71.0</v>
      </c>
      <c r="DC624" s="1">
        <v>0.0</v>
      </c>
      <c r="DD624" s="1">
        <v>5077.0</v>
      </c>
      <c r="DE624" s="1">
        <v>0.0</v>
      </c>
      <c r="DF624" s="1">
        <v>3396.0</v>
      </c>
      <c r="DG624" s="1">
        <v>450.0</v>
      </c>
      <c r="DH624" s="1">
        <v>108282.0</v>
      </c>
      <c r="DI624" s="1">
        <v>1050.0</v>
      </c>
      <c r="DJ624" s="1">
        <v>592106.0</v>
      </c>
      <c r="DK624" s="1">
        <v>1783.872</v>
      </c>
      <c r="DL624" s="1" t="s">
        <v>975</v>
      </c>
      <c r="DM624" s="1">
        <v>3094.418</v>
      </c>
      <c r="DN624" s="1" t="s">
        <v>975</v>
      </c>
      <c r="DO624" s="1">
        <v>2688416.0</v>
      </c>
      <c r="DP624" s="1">
        <v>1.0</v>
      </c>
      <c r="DQ624" s="1" t="s">
        <v>976</v>
      </c>
      <c r="DR624" s="1" t="s">
        <v>1085</v>
      </c>
      <c r="DS624" s="1" t="s">
        <v>978</v>
      </c>
      <c r="DT624" s="1" t="s">
        <v>979</v>
      </c>
      <c r="DU624" s="1" t="s">
        <v>980</v>
      </c>
      <c r="DV624" s="1">
        <v>17145.0</v>
      </c>
      <c r="DX624" s="1">
        <v>3336.0</v>
      </c>
      <c r="DY624" s="1">
        <v>652803.0</v>
      </c>
      <c r="DZ624" s="1" t="s">
        <v>981</v>
      </c>
      <c r="EA624" s="1">
        <v>843.0</v>
      </c>
      <c r="EB624" s="1">
        <v>4453.0</v>
      </c>
      <c r="EC624" s="1">
        <v>5.0</v>
      </c>
      <c r="ED624" s="1">
        <v>26492.0</v>
      </c>
      <c r="EF624" s="1">
        <v>385.0</v>
      </c>
      <c r="EG624" s="1" t="s">
        <v>1032</v>
      </c>
      <c r="EH624" s="1">
        <v>100.0</v>
      </c>
      <c r="EK624" s="1">
        <v>100.0</v>
      </c>
      <c r="EQ624" s="9" t="s">
        <v>2674</v>
      </c>
      <c r="ER624" s="21">
        <v>46045.29896990741</v>
      </c>
    </row>
    <row r="625">
      <c r="A625" s="9" t="s">
        <v>2680</v>
      </c>
      <c r="B625" s="20" t="str">
        <f>IFERROR(__xludf.DUMMYFUNCTION("REGEXREPLACE(A625, ""^https?://[^/]+"", """")"),"/news-events/sales-xcelerations-outsourced-vps-of-sales-ready-to-impact-small-to-mid-size-businesses/")</f>
        <v>/news-events/sales-xcelerations-outsourced-vps-of-sales-ready-to-impact-small-to-mid-size-businesses/</v>
      </c>
      <c r="C625" s="1" t="s">
        <v>2681</v>
      </c>
      <c r="F625" s="1" t="s">
        <v>965</v>
      </c>
      <c r="G625" s="1">
        <v>200.0</v>
      </c>
      <c r="H625" s="1" t="s">
        <v>966</v>
      </c>
      <c r="I625" s="1" t="s">
        <v>967</v>
      </c>
      <c r="K625" s="1" t="s">
        <v>2682</v>
      </c>
      <c r="L625" s="1">
        <v>108.0</v>
      </c>
      <c r="M625" s="1">
        <v>983.0</v>
      </c>
      <c r="O625" s="1">
        <v>0.0</v>
      </c>
      <c r="P625" s="1">
        <v>0.0</v>
      </c>
      <c r="Q625" s="1" t="s">
        <v>2683</v>
      </c>
      <c r="R625" s="1">
        <v>157.0</v>
      </c>
      <c r="S625" s="1">
        <v>986.0</v>
      </c>
      <c r="U625" s="1">
        <v>0.0</v>
      </c>
      <c r="V625" s="1" t="s">
        <v>2681</v>
      </c>
      <c r="W625" s="1">
        <v>88.0</v>
      </c>
      <c r="Y625" s="1">
        <v>0.0</v>
      </c>
      <c r="AA625" s="1">
        <v>0.0</v>
      </c>
      <c r="AC625" s="1">
        <v>0.0</v>
      </c>
      <c r="AD625" s="1" t="s">
        <v>971</v>
      </c>
      <c r="AG625" s="9" t="s">
        <v>2680</v>
      </c>
      <c r="AM625" s="1">
        <v>179548.0</v>
      </c>
      <c r="AN625" s="1">
        <v>33591.0</v>
      </c>
      <c r="AO625" s="1">
        <v>33591.0</v>
      </c>
      <c r="AP625" s="1">
        <v>12.868</v>
      </c>
      <c r="AR625" s="1">
        <v>1133.0</v>
      </c>
      <c r="AS625" s="1">
        <v>177.0</v>
      </c>
      <c r="AT625" s="1">
        <v>6.401</v>
      </c>
      <c r="AU625" s="1">
        <v>54.509</v>
      </c>
      <c r="AV625" s="1" t="s">
        <v>972</v>
      </c>
      <c r="AW625" s="1">
        <v>5.468</v>
      </c>
      <c r="AX625" s="1">
        <v>2.0</v>
      </c>
      <c r="AY625" s="1">
        <v>2.0</v>
      </c>
      <c r="AZ625" s="1">
        <v>1.0</v>
      </c>
      <c r="BA625" s="1">
        <v>1.0</v>
      </c>
      <c r="BB625" s="1">
        <v>1.0</v>
      </c>
      <c r="BC625" s="1">
        <v>0.0</v>
      </c>
      <c r="BD625" s="1">
        <v>0.13</v>
      </c>
      <c r="BE625" s="1">
        <v>130.0</v>
      </c>
      <c r="BF625" s="1">
        <v>44.0</v>
      </c>
      <c r="BG625" s="1">
        <v>0.0</v>
      </c>
      <c r="BH625" s="1">
        <v>24.0</v>
      </c>
      <c r="BI625" s="1">
        <v>16.0</v>
      </c>
      <c r="BJ625" s="1">
        <v>0.0</v>
      </c>
      <c r="BO625" s="1" t="s">
        <v>2684</v>
      </c>
      <c r="BP625" s="1">
        <v>0.992</v>
      </c>
      <c r="BU625" s="1" t="s">
        <v>974</v>
      </c>
      <c r="BV625" s="1">
        <v>1.1</v>
      </c>
      <c r="BW625" s="1">
        <v>49.0</v>
      </c>
      <c r="BX625" s="1">
        <v>4501.036</v>
      </c>
      <c r="BY625" s="1">
        <v>6942.964</v>
      </c>
      <c r="BZ625" s="1">
        <v>10051.084</v>
      </c>
      <c r="CA625" s="1">
        <v>19428.197</v>
      </c>
      <c r="CB625" s="1">
        <v>449.5</v>
      </c>
      <c r="CC625" s="1">
        <v>0.0</v>
      </c>
      <c r="CD625" s="1">
        <v>708570.0</v>
      </c>
      <c r="CE625" s="1">
        <v>1350.0</v>
      </c>
      <c r="CF625" s="1">
        <v>171.0</v>
      </c>
      <c r="CG625" s="1">
        <v>2691732.0</v>
      </c>
      <c r="CH625" s="1">
        <v>34301.0</v>
      </c>
      <c r="CI625" s="1">
        <v>2.0</v>
      </c>
      <c r="CJ625" s="1">
        <v>66871.0</v>
      </c>
      <c r="CK625" s="1">
        <v>21.0</v>
      </c>
      <c r="CL625" s="1">
        <v>176280.0</v>
      </c>
      <c r="CM625" s="1">
        <v>41.0</v>
      </c>
      <c r="CN625" s="1">
        <v>1747656.0</v>
      </c>
      <c r="CO625" s="1">
        <v>68.0</v>
      </c>
      <c r="CP625" s="1">
        <v>640735.0</v>
      </c>
      <c r="CQ625" s="1">
        <v>10.0</v>
      </c>
      <c r="CR625" s="1">
        <v>0.0</v>
      </c>
      <c r="CS625" s="1">
        <v>0.0</v>
      </c>
      <c r="CT625" s="1">
        <v>25889.0</v>
      </c>
      <c r="CU625" s="1">
        <v>29.0</v>
      </c>
      <c r="CV625" s="1">
        <v>1832809.0</v>
      </c>
      <c r="CW625" s="1">
        <v>72.0</v>
      </c>
      <c r="DC625" s="1">
        <v>0.0</v>
      </c>
      <c r="DD625" s="1">
        <v>5075.0</v>
      </c>
      <c r="DE625" s="1">
        <v>0.0</v>
      </c>
      <c r="DF625" s="1">
        <v>3396.0</v>
      </c>
      <c r="DG625" s="1">
        <v>600.0</v>
      </c>
      <c r="DH625" s="1">
        <v>108245.0</v>
      </c>
      <c r="DI625" s="1">
        <v>750.0</v>
      </c>
      <c r="DJ625" s="1">
        <v>591854.0</v>
      </c>
      <c r="DK625" s="1">
        <v>1673.795</v>
      </c>
      <c r="DL625" s="1" t="s">
        <v>975</v>
      </c>
      <c r="DM625" s="1">
        <v>3033.754</v>
      </c>
      <c r="DN625" s="1" t="s">
        <v>975</v>
      </c>
      <c r="DO625" s="1">
        <v>2691227.0</v>
      </c>
      <c r="DP625" s="1">
        <v>1.0</v>
      </c>
      <c r="DQ625" s="1" t="s">
        <v>976</v>
      </c>
      <c r="DR625" s="1" t="s">
        <v>1014</v>
      </c>
      <c r="DS625" s="1" t="s">
        <v>978</v>
      </c>
      <c r="DT625" s="1" t="s">
        <v>979</v>
      </c>
      <c r="DU625" s="1" t="s">
        <v>980</v>
      </c>
      <c r="DV625" s="1">
        <v>17144.0</v>
      </c>
      <c r="DX625" s="1">
        <v>3888.0</v>
      </c>
      <c r="DY625" s="1">
        <v>652790.0</v>
      </c>
      <c r="DZ625" s="1" t="s">
        <v>981</v>
      </c>
      <c r="EA625" s="1">
        <v>880.0</v>
      </c>
      <c r="EB625" s="1">
        <v>4453.0</v>
      </c>
      <c r="EC625" s="1">
        <v>1.0</v>
      </c>
      <c r="ED625" s="1">
        <v>26492.0</v>
      </c>
      <c r="EF625" s="1">
        <v>235.0</v>
      </c>
      <c r="EG625" s="1" t="s">
        <v>1032</v>
      </c>
      <c r="EH625" s="1">
        <v>100.0</v>
      </c>
      <c r="EK625" s="1">
        <v>100.0</v>
      </c>
      <c r="EQ625" s="9" t="s">
        <v>2680</v>
      </c>
      <c r="ER625" s="21">
        <v>46045.29896990741</v>
      </c>
    </row>
    <row r="626">
      <c r="A626" s="9" t="s">
        <v>2685</v>
      </c>
      <c r="B626" s="20" t="str">
        <f>IFERROR(__xludf.DUMMYFUNCTION("REGEXREPLACE(A626, ""^https?://[^/]+"", """")"),"/news-events/sales-xceleration-welcomes-new-fractional-sales-leaders/")</f>
        <v>/news-events/sales-xceleration-welcomes-new-fractional-sales-leaders/</v>
      </c>
      <c r="C626" s="1" t="s">
        <v>2686</v>
      </c>
      <c r="F626" s="1" t="s">
        <v>965</v>
      </c>
      <c r="G626" s="1">
        <v>200.0</v>
      </c>
      <c r="H626" s="1" t="s">
        <v>966</v>
      </c>
      <c r="I626" s="1" t="s">
        <v>967</v>
      </c>
      <c r="K626" s="1" t="s">
        <v>2687</v>
      </c>
      <c r="L626" s="1">
        <v>75.0</v>
      </c>
      <c r="M626" s="1">
        <v>696.0</v>
      </c>
      <c r="O626" s="1">
        <v>0.0</v>
      </c>
      <c r="P626" s="1">
        <v>0.0</v>
      </c>
      <c r="Q626" s="1" t="s">
        <v>2688</v>
      </c>
      <c r="R626" s="1">
        <v>156.0</v>
      </c>
      <c r="S626" s="1">
        <v>967.0</v>
      </c>
      <c r="U626" s="1">
        <v>0.0</v>
      </c>
      <c r="V626" s="1" t="s">
        <v>2686</v>
      </c>
      <c r="W626" s="1">
        <v>55.0</v>
      </c>
      <c r="Y626" s="1">
        <v>0.0</v>
      </c>
      <c r="AA626" s="1">
        <v>0.0</v>
      </c>
      <c r="AC626" s="1">
        <v>0.0</v>
      </c>
      <c r="AD626" s="1" t="s">
        <v>971</v>
      </c>
      <c r="AG626" s="9" t="s">
        <v>2685</v>
      </c>
      <c r="AM626" s="1">
        <v>174657.0</v>
      </c>
      <c r="AN626" s="1">
        <v>32610.0</v>
      </c>
      <c r="AO626" s="1">
        <v>32610.0</v>
      </c>
      <c r="AP626" s="1">
        <v>12.492</v>
      </c>
      <c r="AR626" s="1">
        <v>886.0</v>
      </c>
      <c r="AS626" s="1">
        <v>149.0</v>
      </c>
      <c r="AT626" s="1">
        <v>5.946</v>
      </c>
      <c r="AU626" s="1">
        <v>62.25</v>
      </c>
      <c r="AV626" s="1" t="s">
        <v>990</v>
      </c>
      <c r="AW626" s="1">
        <v>4.531</v>
      </c>
      <c r="AX626" s="1">
        <v>2.0</v>
      </c>
      <c r="AY626" s="1">
        <v>2.0</v>
      </c>
      <c r="AZ626" s="1">
        <v>1.0</v>
      </c>
      <c r="BA626" s="1">
        <v>1.0</v>
      </c>
      <c r="BB626" s="1">
        <v>1.0</v>
      </c>
      <c r="BC626" s="1">
        <v>0.0</v>
      </c>
      <c r="BD626" s="1">
        <v>0.13</v>
      </c>
      <c r="BE626" s="1">
        <v>129.0</v>
      </c>
      <c r="BF626" s="1">
        <v>47.0</v>
      </c>
      <c r="BG626" s="1">
        <v>0.0</v>
      </c>
      <c r="BH626" s="1">
        <v>19.0</v>
      </c>
      <c r="BI626" s="1">
        <v>11.0</v>
      </c>
      <c r="BJ626" s="1">
        <v>0.0</v>
      </c>
      <c r="BO626" s="1" t="s">
        <v>2689</v>
      </c>
      <c r="BP626" s="1">
        <v>0.975</v>
      </c>
      <c r="BU626" s="1" t="s">
        <v>974</v>
      </c>
      <c r="BV626" s="1">
        <v>1.1</v>
      </c>
      <c r="BW626" s="1">
        <v>53.0</v>
      </c>
      <c r="BX626" s="1">
        <v>4951.038</v>
      </c>
      <c r="BY626" s="1">
        <v>6966.92</v>
      </c>
      <c r="BZ626" s="1">
        <v>10801.086</v>
      </c>
      <c r="CA626" s="1">
        <v>20443.9</v>
      </c>
      <c r="CB626" s="1">
        <v>308.212</v>
      </c>
      <c r="CC626" s="1">
        <v>0.0</v>
      </c>
      <c r="CD626" s="1">
        <v>710464.0</v>
      </c>
      <c r="CE626" s="1">
        <v>1650.0</v>
      </c>
      <c r="CF626" s="1">
        <v>169.0</v>
      </c>
      <c r="CG626" s="1">
        <v>2688927.0</v>
      </c>
      <c r="CH626" s="1">
        <v>33417.0</v>
      </c>
      <c r="CI626" s="1">
        <v>2.0</v>
      </c>
      <c r="CJ626" s="1">
        <v>66178.0</v>
      </c>
      <c r="CK626" s="1">
        <v>20.0</v>
      </c>
      <c r="CL626" s="1">
        <v>175408.0</v>
      </c>
      <c r="CM626" s="1">
        <v>41.0</v>
      </c>
      <c r="CN626" s="1">
        <v>1748005.0</v>
      </c>
      <c r="CO626" s="1">
        <v>68.0</v>
      </c>
      <c r="CP626" s="1">
        <v>640725.0</v>
      </c>
      <c r="CQ626" s="1">
        <v>10.0</v>
      </c>
      <c r="CR626" s="1">
        <v>0.0</v>
      </c>
      <c r="CS626" s="1">
        <v>0.0</v>
      </c>
      <c r="CT626" s="1">
        <v>25194.0</v>
      </c>
      <c r="CU626" s="1">
        <v>28.0</v>
      </c>
      <c r="CV626" s="1">
        <v>1832018.0</v>
      </c>
      <c r="CW626" s="1">
        <v>71.0</v>
      </c>
      <c r="DC626" s="1">
        <v>150.0</v>
      </c>
      <c r="DD626" s="1">
        <v>5075.0</v>
      </c>
      <c r="DE626" s="1">
        <v>0.0</v>
      </c>
      <c r="DF626" s="1">
        <v>3396.0</v>
      </c>
      <c r="DG626" s="1">
        <v>450.0</v>
      </c>
      <c r="DH626" s="1">
        <v>108319.0</v>
      </c>
      <c r="DI626" s="1">
        <v>1050.0</v>
      </c>
      <c r="DJ626" s="1">
        <v>593674.0</v>
      </c>
      <c r="DK626" s="1">
        <v>1356.589</v>
      </c>
      <c r="DL626" s="1" t="s">
        <v>975</v>
      </c>
      <c r="DM626" s="1">
        <v>2615.749</v>
      </c>
      <c r="DN626" s="1" t="s">
        <v>975</v>
      </c>
      <c r="DO626" s="1">
        <v>2688422.0</v>
      </c>
      <c r="DP626" s="1">
        <v>1.0</v>
      </c>
      <c r="DQ626" s="1" t="s">
        <v>976</v>
      </c>
      <c r="DR626" s="1" t="s">
        <v>2545</v>
      </c>
      <c r="DS626" s="1" t="s">
        <v>978</v>
      </c>
      <c r="DT626" s="1" t="s">
        <v>979</v>
      </c>
      <c r="DU626" s="1" t="s">
        <v>980</v>
      </c>
      <c r="DV626" s="1">
        <v>17296.0</v>
      </c>
      <c r="DX626" s="1">
        <v>3702.0</v>
      </c>
      <c r="DY626" s="1">
        <v>652813.0</v>
      </c>
      <c r="DZ626" s="1" t="s">
        <v>981</v>
      </c>
      <c r="EA626" s="1">
        <v>841.0</v>
      </c>
      <c r="EB626" s="1">
        <v>4453.0</v>
      </c>
      <c r="EC626" s="1">
        <v>1.0</v>
      </c>
      <c r="ED626" s="1">
        <v>26492.0</v>
      </c>
      <c r="EF626" s="1">
        <v>215.0</v>
      </c>
      <c r="EG626" s="1" t="s">
        <v>1032</v>
      </c>
      <c r="EH626" s="1">
        <v>100.0</v>
      </c>
      <c r="EK626" s="1">
        <v>100.0</v>
      </c>
      <c r="EQ626" s="9" t="s">
        <v>2685</v>
      </c>
      <c r="ER626" s="21">
        <v>46045.29896990741</v>
      </c>
    </row>
    <row r="627">
      <c r="A627" s="9" t="s">
        <v>2690</v>
      </c>
      <c r="B627" s="20" t="str">
        <f>IFERROR(__xludf.DUMMYFUNCTION("REGEXREPLACE(A627, ""^https?://[^/]+"", """")"),"/news-events/survey-reveals-small-to-mid-sized-businesses-are-struggling-and-need-a-plan-for-re-entry-after-covid-19/")</f>
        <v>/news-events/survey-reveals-small-to-mid-sized-businesses-are-struggling-and-need-a-plan-for-re-entry-after-covid-19/</v>
      </c>
      <c r="C627" s="1" t="s">
        <v>2691</v>
      </c>
      <c r="F627" s="1" t="s">
        <v>965</v>
      </c>
      <c r="G627" s="1">
        <v>200.0</v>
      </c>
      <c r="H627" s="1" t="s">
        <v>966</v>
      </c>
      <c r="I627" s="1" t="s">
        <v>967</v>
      </c>
      <c r="K627" s="1" t="s">
        <v>2692</v>
      </c>
      <c r="L627" s="1">
        <v>123.0</v>
      </c>
      <c r="M627" s="1">
        <v>1117.0</v>
      </c>
      <c r="O627" s="1">
        <v>0.0</v>
      </c>
      <c r="P627" s="1">
        <v>0.0</v>
      </c>
      <c r="Q627" s="1" t="s">
        <v>2693</v>
      </c>
      <c r="R627" s="1">
        <v>156.0</v>
      </c>
      <c r="S627" s="1">
        <v>979.0</v>
      </c>
      <c r="U627" s="1">
        <v>0.0</v>
      </c>
      <c r="V627" s="1" t="s">
        <v>2691</v>
      </c>
      <c r="W627" s="1">
        <v>103.0</v>
      </c>
      <c r="Y627" s="1">
        <v>0.0</v>
      </c>
      <c r="AA627" s="1">
        <v>0.0</v>
      </c>
      <c r="AC627" s="1">
        <v>0.0</v>
      </c>
      <c r="AD627" s="1" t="s">
        <v>971</v>
      </c>
      <c r="AG627" s="9" t="s">
        <v>2690</v>
      </c>
      <c r="AM627" s="1">
        <v>176471.0</v>
      </c>
      <c r="AN627" s="1">
        <v>32859.0</v>
      </c>
      <c r="AO627" s="1">
        <v>32859.0</v>
      </c>
      <c r="AP627" s="1">
        <v>12.588</v>
      </c>
      <c r="AR627" s="1">
        <v>889.0</v>
      </c>
      <c r="AS627" s="1">
        <v>156.0</v>
      </c>
      <c r="AT627" s="1">
        <v>5.699</v>
      </c>
      <c r="AU627" s="1">
        <v>62.969</v>
      </c>
      <c r="AV627" s="1" t="s">
        <v>990</v>
      </c>
      <c r="AW627" s="1">
        <v>4.496</v>
      </c>
      <c r="AX627" s="1">
        <v>2.0</v>
      </c>
      <c r="AY627" s="1">
        <v>2.0</v>
      </c>
      <c r="AZ627" s="1">
        <v>1.0</v>
      </c>
      <c r="BA627" s="1">
        <v>1.0</v>
      </c>
      <c r="BB627" s="1">
        <v>1.0</v>
      </c>
      <c r="BC627" s="1">
        <v>0.0</v>
      </c>
      <c r="BD627" s="1">
        <v>0.13</v>
      </c>
      <c r="BE627" s="1">
        <v>128.0</v>
      </c>
      <c r="BF627" s="1">
        <v>45.0</v>
      </c>
      <c r="BG627" s="1">
        <v>0.0</v>
      </c>
      <c r="BH627" s="1">
        <v>16.0</v>
      </c>
      <c r="BI627" s="1">
        <v>8.0</v>
      </c>
      <c r="BJ627" s="1">
        <v>0.0</v>
      </c>
      <c r="BO627" s="1" t="s">
        <v>2694</v>
      </c>
      <c r="BP627" s="1">
        <v>1.002</v>
      </c>
      <c r="BU627" s="1" t="s">
        <v>974</v>
      </c>
      <c r="BV627" s="1">
        <v>1.1</v>
      </c>
      <c r="BW627" s="1">
        <v>46.0</v>
      </c>
      <c r="BX627" s="1">
        <v>4501.05</v>
      </c>
      <c r="BY627" s="1">
        <v>7057.731</v>
      </c>
      <c r="BZ627" s="1">
        <v>9976.114</v>
      </c>
      <c r="CA627" s="1">
        <v>20033.939</v>
      </c>
      <c r="CB627" s="1">
        <v>544.0</v>
      </c>
      <c r="CC627" s="1">
        <v>0.0</v>
      </c>
      <c r="CD627" s="1">
        <v>709485.0</v>
      </c>
      <c r="CE627" s="1">
        <v>1350.0</v>
      </c>
      <c r="CF627" s="1">
        <v>170.0</v>
      </c>
      <c r="CG627" s="1">
        <v>2689069.0</v>
      </c>
      <c r="CH627" s="1">
        <v>33480.0</v>
      </c>
      <c r="CI627" s="1">
        <v>2.0</v>
      </c>
      <c r="CJ627" s="1">
        <v>66207.0</v>
      </c>
      <c r="CK627" s="1">
        <v>20.0</v>
      </c>
      <c r="CL627" s="1">
        <v>175416.0</v>
      </c>
      <c r="CM627" s="1">
        <v>41.0</v>
      </c>
      <c r="CN627" s="1">
        <v>1747962.0</v>
      </c>
      <c r="CO627" s="1">
        <v>68.0</v>
      </c>
      <c r="CP627" s="1">
        <v>640719.0</v>
      </c>
      <c r="CQ627" s="1">
        <v>10.0</v>
      </c>
      <c r="CR627" s="1">
        <v>0.0</v>
      </c>
      <c r="CS627" s="1">
        <v>0.0</v>
      </c>
      <c r="CT627" s="1">
        <v>25285.0</v>
      </c>
      <c r="CU627" s="1">
        <v>29.0</v>
      </c>
      <c r="CV627" s="1">
        <v>1831794.0</v>
      </c>
      <c r="CW627" s="1">
        <v>72.0</v>
      </c>
      <c r="DC627" s="1">
        <v>0.0</v>
      </c>
      <c r="DD627" s="1">
        <v>5075.0</v>
      </c>
      <c r="DE627" s="1">
        <v>0.0</v>
      </c>
      <c r="DF627" s="1">
        <v>3396.0</v>
      </c>
      <c r="DG627" s="1">
        <v>450.0</v>
      </c>
      <c r="DH627" s="1">
        <v>108320.0</v>
      </c>
      <c r="DI627" s="1">
        <v>900.0</v>
      </c>
      <c r="DJ627" s="1">
        <v>592694.0</v>
      </c>
      <c r="DK627" s="1">
        <v>2037.307</v>
      </c>
      <c r="DL627" s="1" t="s">
        <v>975</v>
      </c>
      <c r="DM627" s="1">
        <v>3651.677</v>
      </c>
      <c r="DN627" s="1" t="s">
        <v>975</v>
      </c>
      <c r="DO627" s="1">
        <v>2688564.0</v>
      </c>
      <c r="DP627" s="1">
        <v>1.0</v>
      </c>
      <c r="DQ627" s="1" t="s">
        <v>976</v>
      </c>
      <c r="DR627" s="1" t="s">
        <v>1266</v>
      </c>
      <c r="DS627" s="1" t="s">
        <v>978</v>
      </c>
      <c r="DT627" s="1" t="s">
        <v>979</v>
      </c>
      <c r="DU627" s="1" t="s">
        <v>980</v>
      </c>
      <c r="DV627" s="1">
        <v>17145.0</v>
      </c>
      <c r="DX627" s="1">
        <v>4011.0</v>
      </c>
      <c r="DY627" s="1">
        <v>652808.0</v>
      </c>
      <c r="DZ627" s="1" t="s">
        <v>981</v>
      </c>
      <c r="EA627" s="1">
        <v>886.0</v>
      </c>
      <c r="EB627" s="1">
        <v>4453.0</v>
      </c>
      <c r="EC627" s="1">
        <v>1.0</v>
      </c>
      <c r="ED627" s="1">
        <v>26492.0</v>
      </c>
      <c r="EF627" s="1">
        <v>250.0</v>
      </c>
      <c r="EG627" s="1" t="s">
        <v>1032</v>
      </c>
      <c r="EH627" s="1">
        <v>100.0</v>
      </c>
      <c r="EK627" s="1">
        <v>100.0</v>
      </c>
      <c r="EQ627" s="9" t="s">
        <v>2690</v>
      </c>
      <c r="ER627" s="21">
        <v>46045.29896990741</v>
      </c>
    </row>
    <row r="628">
      <c r="A628" s="9" t="s">
        <v>2695</v>
      </c>
      <c r="B628" s="20" t="str">
        <f>IFERROR(__xludf.DUMMYFUNCTION("REGEXREPLACE(A628, ""^https?://[^/]+"", """")"),"/news-events/sales-xceleration-introduces-newest-fractional-vps-of-sales-to-propel-business-growth/")</f>
        <v>/news-events/sales-xceleration-introduces-newest-fractional-vps-of-sales-to-propel-business-growth/</v>
      </c>
      <c r="C628" s="1" t="s">
        <v>2696</v>
      </c>
      <c r="D628" s="1" t="s">
        <v>2697</v>
      </c>
      <c r="F628" s="1" t="s">
        <v>965</v>
      </c>
      <c r="G628" s="1">
        <v>200.0</v>
      </c>
      <c r="H628" s="1" t="s">
        <v>966</v>
      </c>
      <c r="I628" s="1" t="s">
        <v>967</v>
      </c>
      <c r="K628" s="1" t="s">
        <v>2698</v>
      </c>
      <c r="L628" s="1">
        <v>105.0</v>
      </c>
      <c r="M628" s="1">
        <v>952.0</v>
      </c>
      <c r="O628" s="1">
        <v>0.0</v>
      </c>
      <c r="P628" s="1">
        <v>0.0</v>
      </c>
      <c r="Q628" s="1" t="s">
        <v>2699</v>
      </c>
      <c r="R628" s="1">
        <v>153.0</v>
      </c>
      <c r="S628" s="1">
        <v>940.0</v>
      </c>
      <c r="U628" s="1">
        <v>0.0</v>
      </c>
      <c r="V628" s="1" t="s">
        <v>2696</v>
      </c>
      <c r="W628" s="1">
        <v>85.0</v>
      </c>
      <c r="Y628" s="1">
        <v>0.0</v>
      </c>
      <c r="Z628" s="1" t="s">
        <v>2697</v>
      </c>
      <c r="AA628" s="1">
        <v>24.0</v>
      </c>
      <c r="AC628" s="1">
        <v>0.0</v>
      </c>
      <c r="AD628" s="1" t="s">
        <v>971</v>
      </c>
      <c r="AG628" s="9" t="s">
        <v>2695</v>
      </c>
      <c r="AM628" s="1">
        <v>181752.0</v>
      </c>
      <c r="AN628" s="1">
        <v>34122.0</v>
      </c>
      <c r="AO628" s="1">
        <v>34122.0</v>
      </c>
      <c r="AP628" s="1">
        <v>13.071</v>
      </c>
      <c r="AR628" s="1">
        <v>1269.0</v>
      </c>
      <c r="AS628" s="1">
        <v>193.0</v>
      </c>
      <c r="AT628" s="1">
        <v>6.575</v>
      </c>
      <c r="AU628" s="1">
        <v>50.495</v>
      </c>
      <c r="AV628" s="1" t="s">
        <v>972</v>
      </c>
      <c r="AW628" s="1">
        <v>5.967</v>
      </c>
      <c r="AX628" s="1">
        <v>2.0</v>
      </c>
      <c r="AY628" s="1">
        <v>2.0</v>
      </c>
      <c r="AZ628" s="1">
        <v>1.0</v>
      </c>
      <c r="BA628" s="1">
        <v>1.0</v>
      </c>
      <c r="BB628" s="1">
        <v>1.0</v>
      </c>
      <c r="BC628" s="1">
        <v>0.0</v>
      </c>
      <c r="BD628" s="1">
        <v>0.13</v>
      </c>
      <c r="BE628" s="1">
        <v>128.0</v>
      </c>
      <c r="BF628" s="1">
        <v>44.0</v>
      </c>
      <c r="BG628" s="1">
        <v>0.0</v>
      </c>
      <c r="BH628" s="1">
        <v>27.0</v>
      </c>
      <c r="BI628" s="1">
        <v>19.0</v>
      </c>
      <c r="BJ628" s="1">
        <v>0.0</v>
      </c>
      <c r="BO628" s="1" t="s">
        <v>2700</v>
      </c>
      <c r="BP628" s="1">
        <v>1.003</v>
      </c>
      <c r="BU628" s="1" t="s">
        <v>974</v>
      </c>
      <c r="BV628" s="1">
        <v>1.1</v>
      </c>
      <c r="BW628" s="1">
        <v>51.0</v>
      </c>
      <c r="BX628" s="1">
        <v>4051.043</v>
      </c>
      <c r="BY628" s="1">
        <v>6192.671</v>
      </c>
      <c r="BZ628" s="1">
        <v>11101.123</v>
      </c>
      <c r="CA628" s="1">
        <v>19395.178</v>
      </c>
      <c r="CB628" s="1">
        <v>430.0</v>
      </c>
      <c r="CC628" s="1">
        <v>0.02</v>
      </c>
      <c r="CD628" s="1">
        <v>710573.0</v>
      </c>
      <c r="CE628" s="1">
        <v>1650.0</v>
      </c>
      <c r="CF628" s="1">
        <v>166.0</v>
      </c>
      <c r="CG628" s="1">
        <v>2691412.0</v>
      </c>
      <c r="CH628" s="1">
        <v>34789.0</v>
      </c>
      <c r="CI628" s="1">
        <v>2.0</v>
      </c>
      <c r="CJ628" s="1">
        <v>65690.0</v>
      </c>
      <c r="CK628" s="1">
        <v>16.0</v>
      </c>
      <c r="CL628" s="1">
        <v>176288.0</v>
      </c>
      <c r="CM628" s="1">
        <v>41.0</v>
      </c>
      <c r="CN628" s="1">
        <v>1748283.0</v>
      </c>
      <c r="CO628" s="1">
        <v>68.0</v>
      </c>
      <c r="CP628" s="1">
        <v>640731.0</v>
      </c>
      <c r="CQ628" s="1">
        <v>10.0</v>
      </c>
      <c r="CR628" s="1">
        <v>0.0</v>
      </c>
      <c r="CS628" s="1">
        <v>0.0</v>
      </c>
      <c r="CT628" s="1">
        <v>25631.0</v>
      </c>
      <c r="CU628" s="1">
        <v>29.0</v>
      </c>
      <c r="CV628" s="1">
        <v>1832944.0</v>
      </c>
      <c r="CW628" s="1">
        <v>68.0</v>
      </c>
      <c r="DC628" s="1">
        <v>0.0</v>
      </c>
      <c r="DD628" s="1">
        <v>5075.0</v>
      </c>
      <c r="DE628" s="1">
        <v>0.0</v>
      </c>
      <c r="DF628" s="1">
        <v>3401.0</v>
      </c>
      <c r="DG628" s="1">
        <v>600.0</v>
      </c>
      <c r="DH628" s="1">
        <v>108204.0</v>
      </c>
      <c r="DI628" s="1">
        <v>1050.0</v>
      </c>
      <c r="DJ628" s="1">
        <v>593893.0</v>
      </c>
      <c r="DK628" s="1">
        <v>1875.806</v>
      </c>
      <c r="DL628" s="1" t="s">
        <v>975</v>
      </c>
      <c r="DM628" s="1">
        <v>3287.898</v>
      </c>
      <c r="DN628" s="1" t="s">
        <v>975</v>
      </c>
      <c r="DO628" s="1">
        <v>2691413.0</v>
      </c>
      <c r="DP628" s="1">
        <v>1.0</v>
      </c>
      <c r="DQ628" s="1" t="s">
        <v>976</v>
      </c>
      <c r="DR628" s="1" t="s">
        <v>2545</v>
      </c>
      <c r="DS628" s="1" t="s">
        <v>978</v>
      </c>
      <c r="DT628" s="1" t="s">
        <v>979</v>
      </c>
      <c r="DU628" s="1" t="s">
        <v>980</v>
      </c>
      <c r="DV628" s="1">
        <v>17145.0</v>
      </c>
      <c r="DX628" s="1">
        <v>3876.0</v>
      </c>
      <c r="DY628" s="1">
        <v>652800.0</v>
      </c>
      <c r="DZ628" s="1" t="s">
        <v>981</v>
      </c>
      <c r="EA628" s="1">
        <v>896.0</v>
      </c>
      <c r="EB628" s="1">
        <v>4453.0</v>
      </c>
      <c r="EC628" s="1">
        <v>34.0</v>
      </c>
      <c r="ED628" s="1">
        <v>26492.0</v>
      </c>
      <c r="EF628" s="1">
        <v>205.0</v>
      </c>
      <c r="EG628" s="1" t="s">
        <v>1032</v>
      </c>
      <c r="EH628" s="1">
        <v>100.0</v>
      </c>
      <c r="EK628" s="1">
        <v>100.0</v>
      </c>
      <c r="EQ628" s="9" t="s">
        <v>2695</v>
      </c>
      <c r="ER628" s="21">
        <v>46045.29896990741</v>
      </c>
    </row>
    <row r="629">
      <c r="A629" s="9" t="s">
        <v>2701</v>
      </c>
      <c r="B629" s="20" t="str">
        <f>IFERROR(__xludf.DUMMYFUNCTION("REGEXREPLACE(A629, ""^https?://[^/]+"", """")"),"/news-events/sales-xceleration-we-are-more-than-a-consulting-company-we-become-a-part-of-your-team-working-to-build-a-sustainable-sales-program-that-drives-revenue/")</f>
        <v>/news-events/sales-xceleration-we-are-more-than-a-consulting-company-we-become-a-part-of-your-team-working-to-build-a-sustainable-sales-program-that-drives-revenue/</v>
      </c>
      <c r="C629" s="1" t="s">
        <v>2702</v>
      </c>
      <c r="F629" s="1" t="s">
        <v>965</v>
      </c>
      <c r="G629" s="1">
        <v>200.0</v>
      </c>
      <c r="H629" s="1" t="s">
        <v>966</v>
      </c>
      <c r="I629" s="1" t="s">
        <v>967</v>
      </c>
      <c r="K629" s="1" t="s">
        <v>2703</v>
      </c>
      <c r="L629" s="1">
        <v>173.0</v>
      </c>
      <c r="M629" s="1">
        <v>1578.0</v>
      </c>
      <c r="O629" s="1">
        <v>0.0</v>
      </c>
      <c r="P629" s="1">
        <v>0.0</v>
      </c>
      <c r="Q629" s="1" t="s">
        <v>2704</v>
      </c>
      <c r="R629" s="1">
        <v>150.0</v>
      </c>
      <c r="S629" s="1">
        <v>919.0</v>
      </c>
      <c r="U629" s="1">
        <v>0.0</v>
      </c>
      <c r="V629" s="1" t="s">
        <v>2702</v>
      </c>
      <c r="W629" s="1">
        <v>153.0</v>
      </c>
      <c r="Y629" s="1">
        <v>0.0</v>
      </c>
      <c r="AA629" s="1">
        <v>0.0</v>
      </c>
      <c r="AC629" s="1">
        <v>0.0</v>
      </c>
      <c r="AD629" s="1" t="s">
        <v>971</v>
      </c>
      <c r="AG629" s="9" t="s">
        <v>2701</v>
      </c>
      <c r="AM629" s="1">
        <v>174662.0</v>
      </c>
      <c r="AN629" s="1">
        <v>31991.0</v>
      </c>
      <c r="AO629" s="1">
        <v>31991.0</v>
      </c>
      <c r="AP629" s="1">
        <v>12.255</v>
      </c>
      <c r="AR629" s="1">
        <v>665.0</v>
      </c>
      <c r="AS629" s="1">
        <v>112.0</v>
      </c>
      <c r="AT629" s="1">
        <v>5.938</v>
      </c>
      <c r="AU629" s="1">
        <v>62.268</v>
      </c>
      <c r="AV629" s="1" t="s">
        <v>990</v>
      </c>
      <c r="AW629" s="1">
        <v>3.699</v>
      </c>
      <c r="AX629" s="1">
        <v>2.0</v>
      </c>
      <c r="AY629" s="1">
        <v>2.0</v>
      </c>
      <c r="AZ629" s="1">
        <v>1.0</v>
      </c>
      <c r="BA629" s="1">
        <v>1.0</v>
      </c>
      <c r="BB629" s="1">
        <v>1.0</v>
      </c>
      <c r="BC629" s="1">
        <v>0.0</v>
      </c>
      <c r="BD629" s="1">
        <v>0.13</v>
      </c>
      <c r="BE629" s="1">
        <v>125.0</v>
      </c>
      <c r="BF629" s="1">
        <v>43.0</v>
      </c>
      <c r="BG629" s="1">
        <v>0.0</v>
      </c>
      <c r="BH629" s="1">
        <v>17.0</v>
      </c>
      <c r="BI629" s="1">
        <v>9.0</v>
      </c>
      <c r="BJ629" s="1">
        <v>0.0</v>
      </c>
      <c r="BO629" s="1" t="s">
        <v>2705</v>
      </c>
      <c r="BP629" s="1">
        <v>0.992</v>
      </c>
      <c r="BU629" s="1" t="s">
        <v>974</v>
      </c>
      <c r="BV629" s="1">
        <v>1.1</v>
      </c>
      <c r="BW629" s="1">
        <v>52.0</v>
      </c>
      <c r="BX629" s="1">
        <v>4801.024</v>
      </c>
      <c r="BY629" s="1">
        <v>7265.397</v>
      </c>
      <c r="BZ629" s="1">
        <v>10951.059</v>
      </c>
      <c r="CA629" s="1">
        <v>19823.914</v>
      </c>
      <c r="CB629" s="1">
        <v>310.5</v>
      </c>
      <c r="CC629" s="1">
        <v>0.015</v>
      </c>
      <c r="CD629" s="1">
        <v>710690.0</v>
      </c>
      <c r="CE629" s="1">
        <v>1800.0</v>
      </c>
      <c r="CF629" s="1">
        <v>176.0</v>
      </c>
      <c r="CG629" s="1">
        <v>2751558.0</v>
      </c>
      <c r="CH629" s="1">
        <v>32676.0</v>
      </c>
      <c r="CI629" s="1">
        <v>2.0</v>
      </c>
      <c r="CJ629" s="1">
        <v>127107.0</v>
      </c>
      <c r="CK629" s="1">
        <v>27.0</v>
      </c>
      <c r="CL629" s="1">
        <v>177143.0</v>
      </c>
      <c r="CM629" s="1">
        <v>41.0</v>
      </c>
      <c r="CN629" s="1">
        <v>1748346.0</v>
      </c>
      <c r="CO629" s="1">
        <v>68.0</v>
      </c>
      <c r="CP629" s="1">
        <v>640725.0</v>
      </c>
      <c r="CQ629" s="1">
        <v>10.0</v>
      </c>
      <c r="CR629" s="1">
        <v>0.0</v>
      </c>
      <c r="CS629" s="1">
        <v>0.0</v>
      </c>
      <c r="CT629" s="1">
        <v>25561.0</v>
      </c>
      <c r="CU629" s="1">
        <v>28.0</v>
      </c>
      <c r="CV629" s="1">
        <v>1834012.0</v>
      </c>
      <c r="CW629" s="1">
        <v>71.0</v>
      </c>
      <c r="DC629" s="1">
        <v>150.0</v>
      </c>
      <c r="DD629" s="1">
        <v>5075.0</v>
      </c>
      <c r="DE629" s="1">
        <v>0.0</v>
      </c>
      <c r="DF629" s="1">
        <v>3396.0</v>
      </c>
      <c r="DG629" s="1">
        <v>600.0</v>
      </c>
      <c r="DH629" s="1">
        <v>108319.0</v>
      </c>
      <c r="DI629" s="1">
        <v>1050.0</v>
      </c>
      <c r="DJ629" s="1">
        <v>593900.0</v>
      </c>
      <c r="DK629" s="1">
        <v>1589.982</v>
      </c>
      <c r="DL629" s="1" t="s">
        <v>975</v>
      </c>
      <c r="DM629" s="1">
        <v>2823.856</v>
      </c>
      <c r="DN629" s="1" t="s">
        <v>975</v>
      </c>
      <c r="DO629" s="1">
        <v>2751053.0</v>
      </c>
      <c r="DP629" s="1">
        <v>1.0</v>
      </c>
      <c r="DQ629" s="1" t="s">
        <v>976</v>
      </c>
      <c r="DR629" s="1" t="s">
        <v>1298</v>
      </c>
      <c r="DS629" s="1" t="s">
        <v>978</v>
      </c>
      <c r="DT629" s="1" t="s">
        <v>979</v>
      </c>
      <c r="DU629" s="1" t="s">
        <v>980</v>
      </c>
      <c r="DV629" s="1">
        <v>17325.0</v>
      </c>
      <c r="DX629" s="1">
        <v>3906.0</v>
      </c>
      <c r="DY629" s="1">
        <v>677164.0</v>
      </c>
      <c r="DZ629" s="1" t="s">
        <v>981</v>
      </c>
      <c r="EA629" s="1">
        <v>820.0</v>
      </c>
      <c r="EB629" s="1">
        <v>31882.0</v>
      </c>
      <c r="EC629" s="1">
        <v>1.0</v>
      </c>
      <c r="ED629" s="1">
        <v>26492.0</v>
      </c>
      <c r="EF629" s="1">
        <v>230.0</v>
      </c>
      <c r="EG629" s="1" t="s">
        <v>1032</v>
      </c>
      <c r="EH629" s="1">
        <v>100.0</v>
      </c>
      <c r="EK629" s="1">
        <v>100.0</v>
      </c>
      <c r="EQ629" s="9" t="s">
        <v>2701</v>
      </c>
      <c r="ER629" s="21">
        <v>46045.29898148148</v>
      </c>
    </row>
    <row r="630">
      <c r="A630" s="9" t="s">
        <v>2706</v>
      </c>
      <c r="B630" s="20" t="str">
        <f>IFERROR(__xludf.DUMMYFUNCTION("REGEXREPLACE(A630, ""^https?://[^/]+"", """")"),"/news-events/five-join-sales-xceleration-in-october/")</f>
        <v>/news-events/five-join-sales-xceleration-in-october/</v>
      </c>
      <c r="C630" s="1" t="s">
        <v>2707</v>
      </c>
      <c r="F630" s="1" t="s">
        <v>965</v>
      </c>
      <c r="G630" s="1">
        <v>200.0</v>
      </c>
      <c r="H630" s="1" t="s">
        <v>966</v>
      </c>
      <c r="I630" s="1" t="s">
        <v>967</v>
      </c>
      <c r="K630" s="1" t="s">
        <v>2708</v>
      </c>
      <c r="L630" s="1">
        <v>67.0</v>
      </c>
      <c r="M630" s="1">
        <v>598.0</v>
      </c>
      <c r="O630" s="1">
        <v>0.0</v>
      </c>
      <c r="P630" s="1">
        <v>0.0</v>
      </c>
      <c r="Q630" s="1" t="s">
        <v>2709</v>
      </c>
      <c r="R630" s="1">
        <v>158.0</v>
      </c>
      <c r="S630" s="1">
        <v>1001.0</v>
      </c>
      <c r="U630" s="1">
        <v>0.0</v>
      </c>
      <c r="V630" s="1" t="s">
        <v>2707</v>
      </c>
      <c r="W630" s="1">
        <v>47.0</v>
      </c>
      <c r="Y630" s="1">
        <v>0.0</v>
      </c>
      <c r="AA630" s="1">
        <v>0.0</v>
      </c>
      <c r="AC630" s="1">
        <v>0.0</v>
      </c>
      <c r="AD630" s="1" t="s">
        <v>971</v>
      </c>
      <c r="AG630" s="9" t="s">
        <v>2706</v>
      </c>
      <c r="AM630" s="1">
        <v>175930.0</v>
      </c>
      <c r="AN630" s="1">
        <v>32719.0</v>
      </c>
      <c r="AO630" s="1">
        <v>32719.0</v>
      </c>
      <c r="AP630" s="1">
        <v>12.534</v>
      </c>
      <c r="AR630" s="1">
        <v>842.0</v>
      </c>
      <c r="AS630" s="1">
        <v>143.0</v>
      </c>
      <c r="AT630" s="1">
        <v>5.888</v>
      </c>
      <c r="AU630" s="1">
        <v>60.193</v>
      </c>
      <c r="AV630" s="1" t="s">
        <v>990</v>
      </c>
      <c r="AW630" s="1">
        <v>4.357</v>
      </c>
      <c r="AX630" s="1">
        <v>2.0</v>
      </c>
      <c r="AY630" s="1">
        <v>2.0</v>
      </c>
      <c r="AZ630" s="1">
        <v>1.0</v>
      </c>
      <c r="BA630" s="1">
        <v>1.0</v>
      </c>
      <c r="BB630" s="1">
        <v>1.0</v>
      </c>
      <c r="BC630" s="1">
        <v>0.0</v>
      </c>
      <c r="BD630" s="1">
        <v>0.13</v>
      </c>
      <c r="BE630" s="1">
        <v>129.0</v>
      </c>
      <c r="BF630" s="1">
        <v>47.0</v>
      </c>
      <c r="BG630" s="1">
        <v>0.0</v>
      </c>
      <c r="BH630" s="1">
        <v>21.0</v>
      </c>
      <c r="BI630" s="1">
        <v>13.0</v>
      </c>
      <c r="BJ630" s="1">
        <v>0.0</v>
      </c>
      <c r="BO630" s="1" t="s">
        <v>2710</v>
      </c>
      <c r="BP630" s="1">
        <v>0.998</v>
      </c>
      <c r="BU630" s="1" t="s">
        <v>974</v>
      </c>
      <c r="BV630" s="1">
        <v>1.1</v>
      </c>
      <c r="BW630" s="1">
        <v>53.0</v>
      </c>
      <c r="BX630" s="1">
        <v>3603.459</v>
      </c>
      <c r="BY630" s="1">
        <v>7112.155</v>
      </c>
      <c r="BZ630" s="1">
        <v>11634.438</v>
      </c>
      <c r="CA630" s="1">
        <v>20023.098</v>
      </c>
      <c r="CB630" s="1">
        <v>353.0</v>
      </c>
      <c r="CC630" s="1">
        <v>0.002</v>
      </c>
      <c r="CD630" s="1">
        <v>708806.0</v>
      </c>
      <c r="CE630" s="1">
        <v>1950.0</v>
      </c>
      <c r="CF630" s="1">
        <v>170.0</v>
      </c>
      <c r="CG630" s="1">
        <v>2702098.0</v>
      </c>
      <c r="CH630" s="1">
        <v>33478.0</v>
      </c>
      <c r="CI630" s="1">
        <v>2.0</v>
      </c>
      <c r="CJ630" s="1">
        <v>78698.0</v>
      </c>
      <c r="CK630" s="1">
        <v>21.0</v>
      </c>
      <c r="CL630" s="1">
        <v>176276.0</v>
      </c>
      <c r="CM630" s="1">
        <v>41.0</v>
      </c>
      <c r="CN630" s="1">
        <v>1748154.0</v>
      </c>
      <c r="CO630" s="1">
        <v>68.0</v>
      </c>
      <c r="CP630" s="1">
        <v>640723.0</v>
      </c>
      <c r="CQ630" s="1">
        <v>10.0</v>
      </c>
      <c r="CR630" s="1">
        <v>0.0</v>
      </c>
      <c r="CS630" s="1">
        <v>0.0</v>
      </c>
      <c r="CT630" s="1">
        <v>24769.0</v>
      </c>
      <c r="CU630" s="1">
        <v>28.0</v>
      </c>
      <c r="CV630" s="1">
        <v>1832630.0</v>
      </c>
      <c r="CW630" s="1">
        <v>71.0</v>
      </c>
      <c r="DC630" s="1">
        <v>150.0</v>
      </c>
      <c r="DD630" s="1">
        <v>5075.0</v>
      </c>
      <c r="DE630" s="1">
        <v>0.0</v>
      </c>
      <c r="DF630" s="1">
        <v>3396.0</v>
      </c>
      <c r="DG630" s="1">
        <v>600.0</v>
      </c>
      <c r="DH630" s="1">
        <v>108320.0</v>
      </c>
      <c r="DI630" s="1">
        <v>1200.0</v>
      </c>
      <c r="DJ630" s="1">
        <v>592015.0</v>
      </c>
      <c r="DK630" s="1">
        <v>1619.305</v>
      </c>
      <c r="DL630" s="1" t="s">
        <v>975</v>
      </c>
      <c r="DM630" s="1">
        <v>2955.004</v>
      </c>
      <c r="DN630" s="1" t="s">
        <v>975</v>
      </c>
      <c r="DO630" s="1">
        <v>2701593.0</v>
      </c>
      <c r="DP630" s="1">
        <v>1.0</v>
      </c>
      <c r="DQ630" s="1" t="s">
        <v>976</v>
      </c>
      <c r="DR630" s="1" t="s">
        <v>993</v>
      </c>
      <c r="DS630" s="1" t="s">
        <v>978</v>
      </c>
      <c r="DT630" s="1" t="s">
        <v>979</v>
      </c>
      <c r="DU630" s="1" t="s">
        <v>980</v>
      </c>
      <c r="DV630" s="1">
        <v>16723.0</v>
      </c>
      <c r="DX630" s="1">
        <v>3795.0</v>
      </c>
      <c r="DY630" s="1">
        <v>657805.0</v>
      </c>
      <c r="DZ630" s="1" t="s">
        <v>994</v>
      </c>
      <c r="EA630" s="1">
        <v>845.0</v>
      </c>
      <c r="EB630" s="1">
        <v>0.0</v>
      </c>
      <c r="EC630" s="1">
        <v>1.0</v>
      </c>
      <c r="ED630" s="1">
        <v>26492.0</v>
      </c>
      <c r="EF630" s="1">
        <v>215.0</v>
      </c>
      <c r="EG630" s="1" t="s">
        <v>1032</v>
      </c>
      <c r="EH630" s="1">
        <v>100.0</v>
      </c>
      <c r="EK630" s="1">
        <v>100.0</v>
      </c>
      <c r="EQ630" s="9" t="s">
        <v>2706</v>
      </c>
      <c r="ER630" s="21">
        <v>46045.29898148148</v>
      </c>
    </row>
    <row r="631">
      <c r="A631" s="9" t="s">
        <v>2711</v>
      </c>
      <c r="B631" s="20" t="str">
        <f>IFERROR(__xludf.DUMMYFUNCTION("REGEXREPLACE(A631, ""^https?://[^/]+"", """")"),"/news-events/sales-xceleration-is-named-to-the-inc-5000-list-for-the-3rd-year-in-a-row/")</f>
        <v>/news-events/sales-xceleration-is-named-to-the-inc-5000-list-for-the-3rd-year-in-a-row/</v>
      </c>
      <c r="C631" s="1" t="s">
        <v>2712</v>
      </c>
      <c r="F631" s="1" t="s">
        <v>965</v>
      </c>
      <c r="G631" s="1">
        <v>200.0</v>
      </c>
      <c r="H631" s="1" t="s">
        <v>966</v>
      </c>
      <c r="I631" s="1" t="s">
        <v>967</v>
      </c>
      <c r="K631" s="1" t="s">
        <v>2713</v>
      </c>
      <c r="L631" s="1">
        <v>95.0</v>
      </c>
      <c r="M631" s="1">
        <v>826.0</v>
      </c>
      <c r="O631" s="1">
        <v>0.0</v>
      </c>
      <c r="P631" s="1">
        <v>0.0</v>
      </c>
      <c r="Q631" s="1" t="s">
        <v>2714</v>
      </c>
      <c r="R631" s="1">
        <v>156.0</v>
      </c>
      <c r="S631" s="1">
        <v>969.0</v>
      </c>
      <c r="U631" s="1">
        <v>0.0</v>
      </c>
      <c r="V631" s="1" t="s">
        <v>2712</v>
      </c>
      <c r="W631" s="1">
        <v>75.0</v>
      </c>
      <c r="Y631" s="1">
        <v>0.0</v>
      </c>
      <c r="AA631" s="1">
        <v>0.0</v>
      </c>
      <c r="AC631" s="1">
        <v>0.0</v>
      </c>
      <c r="AD631" s="1" t="s">
        <v>971</v>
      </c>
      <c r="AG631" s="9" t="s">
        <v>2711</v>
      </c>
      <c r="AM631" s="1">
        <v>176074.0</v>
      </c>
      <c r="AN631" s="1">
        <v>32734.0</v>
      </c>
      <c r="AO631" s="1">
        <v>32734.0</v>
      </c>
      <c r="AP631" s="1">
        <v>12.54</v>
      </c>
      <c r="AR631" s="1">
        <v>879.0</v>
      </c>
      <c r="AS631" s="1">
        <v>155.0</v>
      </c>
      <c r="AT631" s="1">
        <v>5.671</v>
      </c>
      <c r="AU631" s="1">
        <v>64.025</v>
      </c>
      <c r="AV631" s="1" t="s">
        <v>990</v>
      </c>
      <c r="AW631" s="1">
        <v>4.474</v>
      </c>
      <c r="AX631" s="1">
        <v>2.0</v>
      </c>
      <c r="AY631" s="1">
        <v>2.0</v>
      </c>
      <c r="AZ631" s="1">
        <v>1.0</v>
      </c>
      <c r="BA631" s="1">
        <v>1.0</v>
      </c>
      <c r="BB631" s="1">
        <v>1.0</v>
      </c>
      <c r="BC631" s="1">
        <v>0.0</v>
      </c>
      <c r="BD631" s="1">
        <v>0.13</v>
      </c>
      <c r="BE631" s="1">
        <v>129.0</v>
      </c>
      <c r="BF631" s="1">
        <v>47.0</v>
      </c>
      <c r="BG631" s="1">
        <v>0.0</v>
      </c>
      <c r="BH631" s="1">
        <v>17.0</v>
      </c>
      <c r="BI631" s="1">
        <v>9.0</v>
      </c>
      <c r="BJ631" s="1">
        <v>0.0</v>
      </c>
      <c r="BO631" s="1" t="s">
        <v>2715</v>
      </c>
      <c r="BP631" s="1">
        <v>1.012</v>
      </c>
      <c r="BU631" s="1" t="s">
        <v>974</v>
      </c>
      <c r="BV631" s="1">
        <v>1.1</v>
      </c>
      <c r="BW631" s="1">
        <v>57.0</v>
      </c>
      <c r="BX631" s="1">
        <v>4801.024</v>
      </c>
      <c r="BY631" s="1">
        <v>7372.963</v>
      </c>
      <c r="BZ631" s="1">
        <v>10276.055</v>
      </c>
      <c r="CA631" s="1">
        <v>19578.66</v>
      </c>
      <c r="CB631" s="1">
        <v>134.0</v>
      </c>
      <c r="CC631" s="1">
        <v>0.021</v>
      </c>
      <c r="CD631" s="1">
        <v>711009.0</v>
      </c>
      <c r="CE631" s="1">
        <v>1200.0</v>
      </c>
      <c r="CF631" s="1">
        <v>170.0</v>
      </c>
      <c r="CG631" s="1">
        <v>2692290.0</v>
      </c>
      <c r="CH631" s="1">
        <v>33496.0</v>
      </c>
      <c r="CI631" s="1">
        <v>2.0</v>
      </c>
      <c r="CJ631" s="1">
        <v>66478.0</v>
      </c>
      <c r="CK631" s="1">
        <v>20.0</v>
      </c>
      <c r="CL631" s="1">
        <v>177157.0</v>
      </c>
      <c r="CM631" s="1">
        <v>41.0</v>
      </c>
      <c r="CN631" s="1">
        <v>1748322.0</v>
      </c>
      <c r="CO631" s="1">
        <v>68.0</v>
      </c>
      <c r="CP631" s="1">
        <v>640732.0</v>
      </c>
      <c r="CQ631" s="1">
        <v>10.0</v>
      </c>
      <c r="CR631" s="1">
        <v>0.0</v>
      </c>
      <c r="CS631" s="1">
        <v>0.0</v>
      </c>
      <c r="CT631" s="1">
        <v>26105.0</v>
      </c>
      <c r="CU631" s="1">
        <v>29.0</v>
      </c>
      <c r="CV631" s="1">
        <v>1834310.0</v>
      </c>
      <c r="CW631" s="1">
        <v>72.0</v>
      </c>
      <c r="DC631" s="1">
        <v>0.0</v>
      </c>
      <c r="DD631" s="1">
        <v>5075.0</v>
      </c>
      <c r="DE631" s="1">
        <v>0.0</v>
      </c>
      <c r="DF631" s="1">
        <v>3396.0</v>
      </c>
      <c r="DG631" s="1">
        <v>450.0</v>
      </c>
      <c r="DH631" s="1">
        <v>108302.0</v>
      </c>
      <c r="DI631" s="1">
        <v>750.0</v>
      </c>
      <c r="DJ631" s="1">
        <v>594236.0</v>
      </c>
      <c r="DK631" s="1">
        <v>1081.087</v>
      </c>
      <c r="DL631" s="1" t="s">
        <v>992</v>
      </c>
      <c r="DM631" s="1">
        <v>2076.365</v>
      </c>
      <c r="DN631" s="1" t="s">
        <v>975</v>
      </c>
      <c r="DO631" s="1">
        <v>2691785.0</v>
      </c>
      <c r="DP631" s="1">
        <v>1.0</v>
      </c>
      <c r="DQ631" s="1" t="s">
        <v>976</v>
      </c>
      <c r="DR631" s="1" t="s">
        <v>1464</v>
      </c>
      <c r="DS631" s="1" t="s">
        <v>978</v>
      </c>
      <c r="DT631" s="1" t="s">
        <v>979</v>
      </c>
      <c r="DU631" s="1" t="s">
        <v>980</v>
      </c>
      <c r="DV631" s="1">
        <v>17296.0</v>
      </c>
      <c r="DX631" s="1">
        <v>3742.0</v>
      </c>
      <c r="DY631" s="1">
        <v>653071.0</v>
      </c>
      <c r="DZ631" s="1" t="s">
        <v>981</v>
      </c>
      <c r="EA631" s="1">
        <v>838.0</v>
      </c>
      <c r="EB631" s="1">
        <v>4453.0</v>
      </c>
      <c r="EC631" s="1">
        <v>2.0</v>
      </c>
      <c r="ED631" s="1">
        <v>26492.0</v>
      </c>
      <c r="EF631" s="1">
        <v>665.0</v>
      </c>
      <c r="EG631" s="1" t="s">
        <v>1032</v>
      </c>
      <c r="EH631" s="1">
        <v>100.0</v>
      </c>
      <c r="EK631" s="1">
        <v>100.0</v>
      </c>
      <c r="EQ631" s="9" t="s">
        <v>2711</v>
      </c>
      <c r="ER631" s="21">
        <v>46045.29898148148</v>
      </c>
    </row>
    <row r="632">
      <c r="A632" s="9" t="s">
        <v>2716</v>
      </c>
      <c r="B632" s="20" t="str">
        <f>IFERROR(__xludf.DUMMYFUNCTION("REGEXREPLACE(A632, ""^https?://[^/]+"", """")"),"/news-events/new-fractional-sales-leaders-join-sales-xceleration-to-drive-sales-success/")</f>
        <v>/news-events/new-fractional-sales-leaders-join-sales-xceleration-to-drive-sales-success/</v>
      </c>
      <c r="C632" s="1" t="s">
        <v>2717</v>
      </c>
      <c r="F632" s="1" t="s">
        <v>965</v>
      </c>
      <c r="G632" s="1">
        <v>200.0</v>
      </c>
      <c r="H632" s="1" t="s">
        <v>966</v>
      </c>
      <c r="I632" s="1" t="s">
        <v>967</v>
      </c>
      <c r="K632" s="1" t="s">
        <v>2718</v>
      </c>
      <c r="L632" s="1">
        <v>94.0</v>
      </c>
      <c r="M632" s="1">
        <v>847.0</v>
      </c>
      <c r="O632" s="1">
        <v>0.0</v>
      </c>
      <c r="P632" s="1">
        <v>0.0</v>
      </c>
      <c r="Q632" s="1" t="s">
        <v>2719</v>
      </c>
      <c r="R632" s="1">
        <v>154.0</v>
      </c>
      <c r="S632" s="1">
        <v>960.0</v>
      </c>
      <c r="U632" s="1">
        <v>0.0</v>
      </c>
      <c r="V632" s="1" t="s">
        <v>2717</v>
      </c>
      <c r="W632" s="1">
        <v>74.0</v>
      </c>
      <c r="Y632" s="1">
        <v>0.0</v>
      </c>
      <c r="AA632" s="1">
        <v>0.0</v>
      </c>
      <c r="AC632" s="1">
        <v>0.0</v>
      </c>
      <c r="AD632" s="1" t="s">
        <v>971</v>
      </c>
      <c r="AG632" s="9" t="s">
        <v>2716</v>
      </c>
      <c r="AM632" s="1">
        <v>179030.0</v>
      </c>
      <c r="AN632" s="1">
        <v>33396.0</v>
      </c>
      <c r="AO632" s="1">
        <v>33396.0</v>
      </c>
      <c r="AP632" s="1">
        <v>12.793</v>
      </c>
      <c r="AR632" s="1">
        <v>1072.0</v>
      </c>
      <c r="AS632" s="1">
        <v>167.0</v>
      </c>
      <c r="AT632" s="1">
        <v>6.419</v>
      </c>
      <c r="AU632" s="1">
        <v>52.901</v>
      </c>
      <c r="AV632" s="1" t="s">
        <v>972</v>
      </c>
      <c r="AW632" s="1">
        <v>5.319</v>
      </c>
      <c r="AX632" s="1">
        <v>2.0</v>
      </c>
      <c r="AY632" s="1">
        <v>2.0</v>
      </c>
      <c r="AZ632" s="1">
        <v>1.0</v>
      </c>
      <c r="BA632" s="1">
        <v>1.0</v>
      </c>
      <c r="BB632" s="1">
        <v>1.0</v>
      </c>
      <c r="BC632" s="1">
        <v>0.0</v>
      </c>
      <c r="BD632" s="1">
        <v>0.13</v>
      </c>
      <c r="BE632" s="1">
        <v>129.0</v>
      </c>
      <c r="BF632" s="1">
        <v>44.0</v>
      </c>
      <c r="BG632" s="1">
        <v>0.0</v>
      </c>
      <c r="BH632" s="1">
        <v>23.0</v>
      </c>
      <c r="BI632" s="1">
        <v>15.0</v>
      </c>
      <c r="BJ632" s="1">
        <v>0.0</v>
      </c>
      <c r="BO632" s="1" t="s">
        <v>2720</v>
      </c>
      <c r="BP632" s="1">
        <v>0.982</v>
      </c>
      <c r="BU632" s="1" t="s">
        <v>974</v>
      </c>
      <c r="BV632" s="1">
        <v>1.1</v>
      </c>
      <c r="BW632" s="1">
        <v>52.0</v>
      </c>
      <c r="BX632" s="1">
        <v>4801.055</v>
      </c>
      <c r="BY632" s="1">
        <v>6665.167</v>
      </c>
      <c r="BZ632" s="1">
        <v>11026.13</v>
      </c>
      <c r="CA632" s="1">
        <v>21062.619</v>
      </c>
      <c r="CB632" s="1">
        <v>354.5</v>
      </c>
      <c r="CC632" s="1">
        <v>0.0</v>
      </c>
      <c r="CD632" s="1">
        <v>710314.0</v>
      </c>
      <c r="CE632" s="1">
        <v>1650.0</v>
      </c>
      <c r="CF632" s="1">
        <v>169.0</v>
      </c>
      <c r="CG632" s="1">
        <v>2690053.0</v>
      </c>
      <c r="CH632" s="1">
        <v>34187.0</v>
      </c>
      <c r="CI632" s="1">
        <v>2.0</v>
      </c>
      <c r="CJ632" s="1">
        <v>66177.0</v>
      </c>
      <c r="CK632" s="1">
        <v>20.0</v>
      </c>
      <c r="CL632" s="1">
        <v>175414.0</v>
      </c>
      <c r="CM632" s="1">
        <v>41.0</v>
      </c>
      <c r="CN632" s="1">
        <v>1748262.0</v>
      </c>
      <c r="CO632" s="1">
        <v>68.0</v>
      </c>
      <c r="CP632" s="1">
        <v>640727.0</v>
      </c>
      <c r="CQ632" s="1">
        <v>10.0</v>
      </c>
      <c r="CR632" s="1">
        <v>0.0</v>
      </c>
      <c r="CS632" s="1">
        <v>0.0</v>
      </c>
      <c r="CT632" s="1">
        <v>25286.0</v>
      </c>
      <c r="CU632" s="1">
        <v>28.0</v>
      </c>
      <c r="CV632" s="1">
        <v>1832262.0</v>
      </c>
      <c r="CW632" s="1">
        <v>71.0</v>
      </c>
      <c r="DC632" s="1">
        <v>150.0</v>
      </c>
      <c r="DD632" s="1">
        <v>5075.0</v>
      </c>
      <c r="DE632" s="1">
        <v>0.0</v>
      </c>
      <c r="DF632" s="1">
        <v>3396.0</v>
      </c>
      <c r="DG632" s="1">
        <v>450.0</v>
      </c>
      <c r="DH632" s="1">
        <v>108245.0</v>
      </c>
      <c r="DI632" s="1">
        <v>1050.0</v>
      </c>
      <c r="DJ632" s="1">
        <v>593598.0</v>
      </c>
      <c r="DK632" s="1">
        <v>1455.734</v>
      </c>
      <c r="DL632" s="1" t="s">
        <v>975</v>
      </c>
      <c r="DM632" s="1">
        <v>2747.262</v>
      </c>
      <c r="DN632" s="1" t="s">
        <v>975</v>
      </c>
      <c r="DO632" s="1">
        <v>2689548.0</v>
      </c>
      <c r="DP632" s="1">
        <v>1.0</v>
      </c>
      <c r="DQ632" s="1" t="s">
        <v>976</v>
      </c>
      <c r="DR632" s="1" t="s">
        <v>993</v>
      </c>
      <c r="DS632" s="1" t="s">
        <v>978</v>
      </c>
      <c r="DT632" s="1" t="s">
        <v>979</v>
      </c>
      <c r="DU632" s="1" t="s">
        <v>980</v>
      </c>
      <c r="DV632" s="1">
        <v>17297.0</v>
      </c>
      <c r="DX632" s="1">
        <v>3186.0</v>
      </c>
      <c r="DY632" s="1">
        <v>652792.0</v>
      </c>
      <c r="DZ632" s="1" t="s">
        <v>981</v>
      </c>
      <c r="EA632" s="1">
        <v>875.0</v>
      </c>
      <c r="EB632" s="1">
        <v>4453.0</v>
      </c>
      <c r="EC632" s="1">
        <v>0.0</v>
      </c>
      <c r="ED632" s="1">
        <v>26492.0</v>
      </c>
      <c r="EF632" s="1">
        <v>240.0</v>
      </c>
      <c r="EG632" s="1" t="s">
        <v>1032</v>
      </c>
      <c r="EH632" s="1">
        <v>100.0</v>
      </c>
      <c r="EK632" s="1">
        <v>100.0</v>
      </c>
      <c r="EQ632" s="9" t="s">
        <v>2716</v>
      </c>
      <c r="ER632" s="21">
        <v>46045.29898148148</v>
      </c>
    </row>
    <row r="633">
      <c r="A633" s="9" t="s">
        <v>2721</v>
      </c>
      <c r="B633" s="20" t="str">
        <f>IFERROR(__xludf.DUMMYFUNCTION("REGEXREPLACE(A633, ""^https?://[^/]+"", """")"),"/news-events/five-sales-leaders-join-sales-xceleration-to-build-a-path-to-more-sales/")</f>
        <v>/news-events/five-sales-leaders-join-sales-xceleration-to-build-a-path-to-more-sales/</v>
      </c>
      <c r="C633" s="1" t="s">
        <v>2722</v>
      </c>
      <c r="F633" s="1" t="s">
        <v>965</v>
      </c>
      <c r="G633" s="1">
        <v>200.0</v>
      </c>
      <c r="H633" s="1" t="s">
        <v>966</v>
      </c>
      <c r="I633" s="1" t="s">
        <v>967</v>
      </c>
      <c r="K633" s="1" t="s">
        <v>2723</v>
      </c>
      <c r="L633" s="1">
        <v>91.0</v>
      </c>
      <c r="M633" s="1">
        <v>806.0</v>
      </c>
      <c r="O633" s="1">
        <v>0.0</v>
      </c>
      <c r="P633" s="1">
        <v>0.0</v>
      </c>
      <c r="Q633" s="1" t="s">
        <v>2724</v>
      </c>
      <c r="R633" s="1">
        <v>154.0</v>
      </c>
      <c r="S633" s="1">
        <v>979.0</v>
      </c>
      <c r="U633" s="1">
        <v>0.0</v>
      </c>
      <c r="V633" s="1" t="s">
        <v>2722</v>
      </c>
      <c r="W633" s="1">
        <v>71.0</v>
      </c>
      <c r="Y633" s="1">
        <v>0.0</v>
      </c>
      <c r="AA633" s="1">
        <v>0.0</v>
      </c>
      <c r="AC633" s="1">
        <v>0.0</v>
      </c>
      <c r="AD633" s="1" t="s">
        <v>971</v>
      </c>
      <c r="AG633" s="9" t="s">
        <v>2721</v>
      </c>
      <c r="AM633" s="1">
        <v>178198.0</v>
      </c>
      <c r="AN633" s="1">
        <v>32886.0</v>
      </c>
      <c r="AO633" s="1">
        <v>32886.0</v>
      </c>
      <c r="AP633" s="1">
        <v>12.598</v>
      </c>
      <c r="AR633" s="1">
        <v>858.0</v>
      </c>
      <c r="AS633" s="1">
        <v>142.0</v>
      </c>
      <c r="AT633" s="1">
        <v>6.042</v>
      </c>
      <c r="AU633" s="1">
        <v>60.59</v>
      </c>
      <c r="AV633" s="1" t="s">
        <v>990</v>
      </c>
      <c r="AW633" s="1">
        <v>4.339</v>
      </c>
      <c r="AX633" s="1">
        <v>2.0</v>
      </c>
      <c r="AY633" s="1">
        <v>2.0</v>
      </c>
      <c r="AZ633" s="1">
        <v>1.0</v>
      </c>
      <c r="BA633" s="1">
        <v>1.0</v>
      </c>
      <c r="BB633" s="1">
        <v>1.0</v>
      </c>
      <c r="BC633" s="1">
        <v>0.0</v>
      </c>
      <c r="BD633" s="1">
        <v>0.13</v>
      </c>
      <c r="BE633" s="1">
        <v>131.0</v>
      </c>
      <c r="BF633" s="1">
        <v>45.0</v>
      </c>
      <c r="BG633" s="1">
        <v>0.0</v>
      </c>
      <c r="BH633" s="1">
        <v>21.0</v>
      </c>
      <c r="BI633" s="1">
        <v>13.0</v>
      </c>
      <c r="BJ633" s="1">
        <v>0.0</v>
      </c>
      <c r="BO633" s="1" t="s">
        <v>2725</v>
      </c>
      <c r="BP633" s="1">
        <v>1.003</v>
      </c>
      <c r="BU633" s="1" t="s">
        <v>974</v>
      </c>
      <c r="BV633" s="1">
        <v>1.1</v>
      </c>
      <c r="BW633" s="1">
        <v>57.0</v>
      </c>
      <c r="BX633" s="1">
        <v>4801.034</v>
      </c>
      <c r="BY633" s="1">
        <v>7515.444</v>
      </c>
      <c r="BZ633" s="1">
        <v>11401.085</v>
      </c>
      <c r="CA633" s="1">
        <v>19471.293</v>
      </c>
      <c r="CB633" s="1">
        <v>106.0</v>
      </c>
      <c r="CC633" s="1">
        <v>0.021</v>
      </c>
      <c r="CD633" s="1">
        <v>710175.0</v>
      </c>
      <c r="CE633" s="1">
        <v>1500.0</v>
      </c>
      <c r="CF633" s="1">
        <v>169.0</v>
      </c>
      <c r="CG633" s="1">
        <v>2691167.0</v>
      </c>
      <c r="CH633" s="1">
        <v>33576.0</v>
      </c>
      <c r="CI633" s="1">
        <v>2.0</v>
      </c>
      <c r="CJ633" s="1">
        <v>66173.0</v>
      </c>
      <c r="CK633" s="1">
        <v>20.0</v>
      </c>
      <c r="CL633" s="1">
        <v>177144.0</v>
      </c>
      <c r="CM633" s="1">
        <v>41.0</v>
      </c>
      <c r="CN633" s="1">
        <v>1748260.0</v>
      </c>
      <c r="CO633" s="1">
        <v>68.0</v>
      </c>
      <c r="CP633" s="1">
        <v>640728.0</v>
      </c>
      <c r="CQ633" s="1">
        <v>10.0</v>
      </c>
      <c r="CR633" s="1">
        <v>0.0</v>
      </c>
      <c r="CS633" s="1">
        <v>0.0</v>
      </c>
      <c r="CT633" s="1">
        <v>25286.0</v>
      </c>
      <c r="CU633" s="1">
        <v>28.0</v>
      </c>
      <c r="CV633" s="1">
        <v>1834011.0</v>
      </c>
      <c r="CW633" s="1">
        <v>71.0</v>
      </c>
      <c r="DC633" s="1">
        <v>0.0</v>
      </c>
      <c r="DD633" s="1">
        <v>5075.0</v>
      </c>
      <c r="DE633" s="1">
        <v>0.0</v>
      </c>
      <c r="DF633" s="1">
        <v>3396.0</v>
      </c>
      <c r="DG633" s="1">
        <v>450.0</v>
      </c>
      <c r="DH633" s="1">
        <v>108319.0</v>
      </c>
      <c r="DI633" s="1">
        <v>1050.0</v>
      </c>
      <c r="DJ633" s="1">
        <v>593385.0</v>
      </c>
      <c r="DK633" s="1">
        <v>880.32</v>
      </c>
      <c r="DL633" s="1" t="s">
        <v>992</v>
      </c>
      <c r="DM633" s="1">
        <v>1702.675</v>
      </c>
      <c r="DN633" s="1" t="s">
        <v>992</v>
      </c>
      <c r="DO633" s="1">
        <v>2690662.0</v>
      </c>
      <c r="DP633" s="1">
        <v>1.0</v>
      </c>
      <c r="DQ633" s="1" t="s">
        <v>976</v>
      </c>
      <c r="DR633" s="1" t="s">
        <v>1464</v>
      </c>
      <c r="DS633" s="1" t="s">
        <v>978</v>
      </c>
      <c r="DT633" s="1" t="s">
        <v>979</v>
      </c>
      <c r="DU633" s="1" t="s">
        <v>980</v>
      </c>
      <c r="DV633" s="1">
        <v>17298.0</v>
      </c>
      <c r="DX633" s="1">
        <v>3664.0</v>
      </c>
      <c r="DY633" s="1">
        <v>652794.0</v>
      </c>
      <c r="DZ633" s="1" t="s">
        <v>981</v>
      </c>
      <c r="EA633" s="1">
        <v>875.0</v>
      </c>
      <c r="EB633" s="1">
        <v>4453.0</v>
      </c>
      <c r="EC633" s="1">
        <v>0.0</v>
      </c>
      <c r="ED633" s="1">
        <v>26492.0</v>
      </c>
      <c r="EF633" s="1">
        <v>250.0</v>
      </c>
      <c r="EG633" s="1" t="s">
        <v>1032</v>
      </c>
      <c r="EH633" s="1">
        <v>100.0</v>
      </c>
      <c r="EK633" s="1">
        <v>100.0</v>
      </c>
      <c r="EQ633" s="9" t="s">
        <v>2721</v>
      </c>
      <c r="ER633" s="21">
        <v>46045.29898148148</v>
      </c>
    </row>
    <row r="634">
      <c r="A634" s="9" t="s">
        <v>2726</v>
      </c>
      <c r="B634" s="20" t="str">
        <f>IFERROR(__xludf.DUMMYFUNCTION("REGEXREPLACE(A634, ""^https?://[^/]+"", """")"),"/news-events/using-metrics-to-accelerate-sales/")</f>
        <v>/news-events/using-metrics-to-accelerate-sales/</v>
      </c>
      <c r="C634" s="1" t="s">
        <v>2727</v>
      </c>
      <c r="F634" s="1" t="s">
        <v>965</v>
      </c>
      <c r="G634" s="1">
        <v>200.0</v>
      </c>
      <c r="H634" s="1" t="s">
        <v>966</v>
      </c>
      <c r="I634" s="1" t="s">
        <v>967</v>
      </c>
      <c r="K634" s="1" t="s">
        <v>2728</v>
      </c>
      <c r="L634" s="1">
        <v>53.0</v>
      </c>
      <c r="M634" s="1">
        <v>471.0</v>
      </c>
      <c r="O634" s="1">
        <v>0.0</v>
      </c>
      <c r="P634" s="1">
        <v>0.0</v>
      </c>
      <c r="Q634" s="1" t="s">
        <v>2729</v>
      </c>
      <c r="R634" s="1">
        <v>151.0</v>
      </c>
      <c r="S634" s="1">
        <v>952.0</v>
      </c>
      <c r="U634" s="1">
        <v>0.0</v>
      </c>
      <c r="V634" s="1" t="s">
        <v>2727</v>
      </c>
      <c r="W634" s="1">
        <v>33.0</v>
      </c>
      <c r="Y634" s="1">
        <v>0.0</v>
      </c>
      <c r="AA634" s="1">
        <v>0.0</v>
      </c>
      <c r="AC634" s="1">
        <v>0.0</v>
      </c>
      <c r="AD634" s="1" t="s">
        <v>971</v>
      </c>
      <c r="AG634" s="9" t="s">
        <v>2726</v>
      </c>
      <c r="AM634" s="1">
        <v>172468.0</v>
      </c>
      <c r="AN634" s="1">
        <v>31885.0</v>
      </c>
      <c r="AO634" s="1">
        <v>31885.0</v>
      </c>
      <c r="AP634" s="1">
        <v>12.215</v>
      </c>
      <c r="AR634" s="1">
        <v>733.0</v>
      </c>
      <c r="AS634" s="1">
        <v>119.0</v>
      </c>
      <c r="AT634" s="1">
        <v>6.16</v>
      </c>
      <c r="AU634" s="1">
        <v>60.699</v>
      </c>
      <c r="AV634" s="1" t="s">
        <v>990</v>
      </c>
      <c r="AW634" s="1">
        <v>4.02</v>
      </c>
      <c r="AX634" s="1">
        <v>2.0</v>
      </c>
      <c r="AY634" s="1">
        <v>2.0</v>
      </c>
      <c r="AZ634" s="1">
        <v>1.0</v>
      </c>
      <c r="BA634" s="1">
        <v>1.0</v>
      </c>
      <c r="BB634" s="1">
        <v>1.0</v>
      </c>
      <c r="BC634" s="1">
        <v>0.0</v>
      </c>
      <c r="BD634" s="1">
        <v>0.13</v>
      </c>
      <c r="BE634" s="1">
        <v>126.0</v>
      </c>
      <c r="BF634" s="1">
        <v>44.0</v>
      </c>
      <c r="BG634" s="1">
        <v>0.0</v>
      </c>
      <c r="BH634" s="1">
        <v>16.0</v>
      </c>
      <c r="BI634" s="1">
        <v>8.0</v>
      </c>
      <c r="BJ634" s="1">
        <v>0.0</v>
      </c>
      <c r="BO634" s="1" t="s">
        <v>2730</v>
      </c>
      <c r="BP634" s="1">
        <v>1.023</v>
      </c>
      <c r="BU634" s="1" t="s">
        <v>974</v>
      </c>
      <c r="BV634" s="1">
        <v>1.1</v>
      </c>
      <c r="BW634" s="1">
        <v>41.0</v>
      </c>
      <c r="BX634" s="1">
        <v>4801.058</v>
      </c>
      <c r="BY634" s="1">
        <v>7380.578</v>
      </c>
      <c r="BZ634" s="1">
        <v>11551.144</v>
      </c>
      <c r="CA634" s="1">
        <v>20091.443</v>
      </c>
      <c r="CB634" s="1">
        <v>745.0</v>
      </c>
      <c r="CC634" s="1">
        <v>0.0</v>
      </c>
      <c r="CD634" s="1">
        <v>709112.0</v>
      </c>
      <c r="CE634" s="1">
        <v>1800.0</v>
      </c>
      <c r="CF634" s="1">
        <v>177.0</v>
      </c>
      <c r="CG634" s="1">
        <v>2749978.0</v>
      </c>
      <c r="CH634" s="1">
        <v>32616.0</v>
      </c>
      <c r="CI634" s="1">
        <v>2.0</v>
      </c>
      <c r="CJ634" s="1">
        <v>127075.0</v>
      </c>
      <c r="CK634" s="1">
        <v>27.0</v>
      </c>
      <c r="CL634" s="1">
        <v>176272.0</v>
      </c>
      <c r="CM634" s="1">
        <v>41.0</v>
      </c>
      <c r="CN634" s="1">
        <v>1748293.0</v>
      </c>
      <c r="CO634" s="1">
        <v>68.0</v>
      </c>
      <c r="CP634" s="1">
        <v>640731.0</v>
      </c>
      <c r="CQ634" s="1">
        <v>10.0</v>
      </c>
      <c r="CR634" s="1">
        <v>0.0</v>
      </c>
      <c r="CS634" s="1">
        <v>0.0</v>
      </c>
      <c r="CT634" s="1">
        <v>24991.0</v>
      </c>
      <c r="CU634" s="1">
        <v>29.0</v>
      </c>
      <c r="CV634" s="1">
        <v>1833051.0</v>
      </c>
      <c r="CW634" s="1">
        <v>72.0</v>
      </c>
      <c r="DC634" s="1">
        <v>0.0</v>
      </c>
      <c r="DD634" s="1">
        <v>5075.0</v>
      </c>
      <c r="DE634" s="1">
        <v>150.0</v>
      </c>
      <c r="DF634" s="1">
        <v>3396.0</v>
      </c>
      <c r="DG634" s="1">
        <v>750.0</v>
      </c>
      <c r="DH634" s="1">
        <v>108319.0</v>
      </c>
      <c r="DI634" s="1">
        <v>900.0</v>
      </c>
      <c r="DJ634" s="1">
        <v>592322.0</v>
      </c>
      <c r="DK634" s="1">
        <v>2145.354</v>
      </c>
      <c r="DL634" s="1" t="s">
        <v>975</v>
      </c>
      <c r="DM634" s="1">
        <v>3833.651</v>
      </c>
      <c r="DN634" s="1" t="s">
        <v>975</v>
      </c>
      <c r="DO634" s="1">
        <v>2749473.0</v>
      </c>
      <c r="DP634" s="1">
        <v>1.0</v>
      </c>
      <c r="DQ634" s="1" t="s">
        <v>976</v>
      </c>
      <c r="DR634" s="1" t="s">
        <v>1014</v>
      </c>
      <c r="DS634" s="1" t="s">
        <v>978</v>
      </c>
      <c r="DT634" s="1" t="s">
        <v>979</v>
      </c>
      <c r="DU634" s="1" t="s">
        <v>980</v>
      </c>
      <c r="DV634" s="1">
        <v>17295.0</v>
      </c>
      <c r="DX634" s="1">
        <v>4096.0</v>
      </c>
      <c r="DY634" s="1">
        <v>677149.0</v>
      </c>
      <c r="DZ634" s="1" t="s">
        <v>981</v>
      </c>
      <c r="EA634" s="1">
        <v>820.0</v>
      </c>
      <c r="EB634" s="1">
        <v>27429.0</v>
      </c>
      <c r="EC634" s="1">
        <v>7.0</v>
      </c>
      <c r="ED634" s="1">
        <v>26492.0</v>
      </c>
      <c r="EF634" s="1">
        <v>215.0</v>
      </c>
      <c r="EG634" s="1" t="s">
        <v>1032</v>
      </c>
      <c r="EH634" s="1">
        <v>100.0</v>
      </c>
      <c r="EK634" s="1">
        <v>100.0</v>
      </c>
      <c r="EQ634" s="9" t="s">
        <v>2726</v>
      </c>
      <c r="ER634" s="21">
        <v>46045.29900462963</v>
      </c>
    </row>
    <row r="635">
      <c r="A635" s="9" t="s">
        <v>2731</v>
      </c>
      <c r="B635" s="20" t="str">
        <f>IFERROR(__xludf.DUMMYFUNCTION("REGEXREPLACE(A635, ""^https?://[^/]+"", """")"),"/news-events/hope-realized-book-honored-as-silver-stevie-award-winner-in-2021-american-business-awards/")</f>
        <v>/news-events/hope-realized-book-honored-as-silver-stevie-award-winner-in-2021-american-business-awards/</v>
      </c>
      <c r="C635" s="1" t="s">
        <v>2732</v>
      </c>
      <c r="F635" s="1" t="s">
        <v>965</v>
      </c>
      <c r="G635" s="1">
        <v>200.0</v>
      </c>
      <c r="H635" s="1" t="s">
        <v>966</v>
      </c>
      <c r="I635" s="1" t="s">
        <v>967</v>
      </c>
      <c r="K635" s="1" t="s">
        <v>2733</v>
      </c>
      <c r="L635" s="1">
        <v>111.0</v>
      </c>
      <c r="M635" s="1">
        <v>1051.0</v>
      </c>
      <c r="O635" s="1">
        <v>0.0</v>
      </c>
      <c r="P635" s="1">
        <v>0.0</v>
      </c>
      <c r="Q635" s="1" t="s">
        <v>2734</v>
      </c>
      <c r="R635" s="1">
        <v>151.0</v>
      </c>
      <c r="S635" s="1">
        <v>954.0</v>
      </c>
      <c r="U635" s="1">
        <v>0.0</v>
      </c>
      <c r="V635" s="1" t="s">
        <v>2732</v>
      </c>
      <c r="W635" s="1">
        <v>91.0</v>
      </c>
      <c r="Y635" s="1">
        <v>0.0</v>
      </c>
      <c r="AA635" s="1">
        <v>0.0</v>
      </c>
      <c r="AC635" s="1">
        <v>0.0</v>
      </c>
      <c r="AD635" s="1" t="s">
        <v>971</v>
      </c>
      <c r="AG635" s="9" t="s">
        <v>2731</v>
      </c>
      <c r="AM635" s="1">
        <v>179513.0</v>
      </c>
      <c r="AN635" s="1">
        <v>33749.0</v>
      </c>
      <c r="AO635" s="1">
        <v>33749.0</v>
      </c>
      <c r="AP635" s="1">
        <v>12.929</v>
      </c>
      <c r="AR635" s="1">
        <v>1194.0</v>
      </c>
      <c r="AS635" s="1">
        <v>196.0</v>
      </c>
      <c r="AT635" s="1">
        <v>6.092</v>
      </c>
      <c r="AU635" s="1">
        <v>60.077</v>
      </c>
      <c r="AV635" s="1" t="s">
        <v>990</v>
      </c>
      <c r="AW635" s="1">
        <v>5.555</v>
      </c>
      <c r="AX635" s="1">
        <v>2.0</v>
      </c>
      <c r="AY635" s="1">
        <v>2.0</v>
      </c>
      <c r="AZ635" s="1">
        <v>1.0</v>
      </c>
      <c r="BA635" s="1">
        <v>1.0</v>
      </c>
      <c r="BB635" s="1">
        <v>1.0</v>
      </c>
      <c r="BC635" s="1">
        <v>0.0</v>
      </c>
      <c r="BD635" s="1">
        <v>0.13</v>
      </c>
      <c r="BE635" s="1">
        <v>130.0</v>
      </c>
      <c r="BF635" s="1">
        <v>44.0</v>
      </c>
      <c r="BG635" s="1">
        <v>0.0</v>
      </c>
      <c r="BH635" s="1">
        <v>20.0</v>
      </c>
      <c r="BI635" s="1">
        <v>12.0</v>
      </c>
      <c r="BJ635" s="1">
        <v>0.0</v>
      </c>
      <c r="BO635" s="1" t="s">
        <v>2735</v>
      </c>
      <c r="BP635" s="1">
        <v>0.976</v>
      </c>
      <c r="BU635" s="1" t="s">
        <v>974</v>
      </c>
      <c r="BV635" s="1">
        <v>1.1</v>
      </c>
      <c r="BW635" s="1">
        <v>55.0</v>
      </c>
      <c r="BX635" s="1">
        <v>4951.044</v>
      </c>
      <c r="BY635" s="1">
        <v>6420.555</v>
      </c>
      <c r="BZ635" s="1">
        <v>10951.101</v>
      </c>
      <c r="CA635" s="1">
        <v>20985.215</v>
      </c>
      <c r="CB635" s="1">
        <v>273.566</v>
      </c>
      <c r="CC635" s="1">
        <v>0.0</v>
      </c>
      <c r="CD635" s="1">
        <v>710804.0</v>
      </c>
      <c r="CE635" s="1">
        <v>1500.0</v>
      </c>
      <c r="CF635" s="1">
        <v>170.0</v>
      </c>
      <c r="CG635" s="1">
        <v>2736928.0</v>
      </c>
      <c r="CH635" s="1">
        <v>34484.0</v>
      </c>
      <c r="CI635" s="1">
        <v>2.0</v>
      </c>
      <c r="CJ635" s="1">
        <v>66454.0</v>
      </c>
      <c r="CK635" s="1">
        <v>20.0</v>
      </c>
      <c r="CL635" s="1">
        <v>177158.0</v>
      </c>
      <c r="CM635" s="1">
        <v>41.0</v>
      </c>
      <c r="CN635" s="1">
        <v>1747822.0</v>
      </c>
      <c r="CO635" s="1">
        <v>68.0</v>
      </c>
      <c r="CP635" s="1">
        <v>685266.0</v>
      </c>
      <c r="CQ635" s="1">
        <v>11.0</v>
      </c>
      <c r="CR635" s="1">
        <v>0.0</v>
      </c>
      <c r="CS635" s="1">
        <v>0.0</v>
      </c>
      <c r="CT635" s="1">
        <v>25744.0</v>
      </c>
      <c r="CU635" s="1">
        <v>28.0</v>
      </c>
      <c r="CV635" s="1">
        <v>1833420.0</v>
      </c>
      <c r="CW635" s="1">
        <v>71.0</v>
      </c>
      <c r="DC635" s="1">
        <v>0.0</v>
      </c>
      <c r="DD635" s="1">
        <v>5075.0</v>
      </c>
      <c r="DE635" s="1">
        <v>0.0</v>
      </c>
      <c r="DF635" s="1">
        <v>3396.0</v>
      </c>
      <c r="DG635" s="1">
        <v>450.0</v>
      </c>
      <c r="DH635" s="1">
        <v>108321.0</v>
      </c>
      <c r="DI635" s="1">
        <v>1050.0</v>
      </c>
      <c r="DJ635" s="1">
        <v>594012.0</v>
      </c>
      <c r="DK635" s="1">
        <v>1458.694</v>
      </c>
      <c r="DL635" s="1" t="s">
        <v>975</v>
      </c>
      <c r="DM635" s="1">
        <v>2636.427</v>
      </c>
      <c r="DN635" s="1" t="s">
        <v>975</v>
      </c>
      <c r="DO635" s="1">
        <v>2736423.0</v>
      </c>
      <c r="DP635" s="1">
        <v>1.0</v>
      </c>
      <c r="DQ635" s="1" t="s">
        <v>976</v>
      </c>
      <c r="DR635" s="1" t="s">
        <v>993</v>
      </c>
      <c r="DS635" s="1" t="s">
        <v>978</v>
      </c>
      <c r="DT635" s="1" t="s">
        <v>979</v>
      </c>
      <c r="DU635" s="1" t="s">
        <v>980</v>
      </c>
      <c r="DV635" s="1">
        <v>17296.0</v>
      </c>
      <c r="DX635" s="1">
        <v>3745.0</v>
      </c>
      <c r="DY635" s="1">
        <v>670880.0</v>
      </c>
      <c r="DZ635" s="1" t="s">
        <v>981</v>
      </c>
      <c r="EA635" s="1">
        <v>860.0</v>
      </c>
      <c r="EB635" s="1">
        <v>4453.0</v>
      </c>
      <c r="EC635" s="1">
        <v>1.0</v>
      </c>
      <c r="ED635" s="1">
        <v>26492.0</v>
      </c>
      <c r="EF635" s="1">
        <v>225.0</v>
      </c>
      <c r="EG635" s="1" t="s">
        <v>1032</v>
      </c>
      <c r="EH635" s="1">
        <v>100.0</v>
      </c>
      <c r="EK635" s="1">
        <v>100.0</v>
      </c>
      <c r="EQ635" s="9" t="s">
        <v>2731</v>
      </c>
      <c r="ER635" s="21">
        <v>46045.29900462963</v>
      </c>
    </row>
    <row r="636">
      <c r="A636" s="9" t="s">
        <v>2736</v>
      </c>
      <c r="B636" s="20" t="str">
        <f>IFERROR(__xludf.DUMMYFUNCTION("REGEXREPLACE(A636, ""^https?://[^/]+"", """")"),"/news-events/eight-sales-pros-join-sales-xceleration/")</f>
        <v>/news-events/eight-sales-pros-join-sales-xceleration/</v>
      </c>
      <c r="C636" s="1" t="s">
        <v>2737</v>
      </c>
      <c r="F636" s="1" t="s">
        <v>965</v>
      </c>
      <c r="G636" s="1">
        <v>200.0</v>
      </c>
      <c r="H636" s="1" t="s">
        <v>966</v>
      </c>
      <c r="I636" s="1" t="s">
        <v>967</v>
      </c>
      <c r="K636" s="1" t="s">
        <v>2738</v>
      </c>
      <c r="L636" s="1">
        <v>59.0</v>
      </c>
      <c r="M636" s="1">
        <v>520.0</v>
      </c>
      <c r="O636" s="1">
        <v>0.0</v>
      </c>
      <c r="P636" s="1">
        <v>0.0</v>
      </c>
      <c r="Q636" s="1" t="s">
        <v>2739</v>
      </c>
      <c r="R636" s="1">
        <v>155.0</v>
      </c>
      <c r="S636" s="1">
        <v>959.0</v>
      </c>
      <c r="U636" s="1">
        <v>0.0</v>
      </c>
      <c r="V636" s="1" t="s">
        <v>2737</v>
      </c>
      <c r="W636" s="1">
        <v>39.0</v>
      </c>
      <c r="Y636" s="1">
        <v>0.0</v>
      </c>
      <c r="AA636" s="1">
        <v>0.0</v>
      </c>
      <c r="AC636" s="1">
        <v>0.0</v>
      </c>
      <c r="AD636" s="1" t="s">
        <v>971</v>
      </c>
      <c r="AG636" s="9" t="s">
        <v>2736</v>
      </c>
      <c r="AM636" s="1">
        <v>176299.0</v>
      </c>
      <c r="AN636" s="1">
        <v>32372.0</v>
      </c>
      <c r="AO636" s="1">
        <v>32372.0</v>
      </c>
      <c r="AP636" s="1">
        <v>12.401</v>
      </c>
      <c r="AR636" s="1">
        <v>787.0</v>
      </c>
      <c r="AS636" s="1">
        <v>135.0</v>
      </c>
      <c r="AT636" s="1">
        <v>5.83</v>
      </c>
      <c r="AU636" s="1">
        <v>62.462</v>
      </c>
      <c r="AV636" s="1" t="s">
        <v>990</v>
      </c>
      <c r="AW636" s="1">
        <v>4.135</v>
      </c>
      <c r="AX636" s="1">
        <v>2.0</v>
      </c>
      <c r="AY636" s="1">
        <v>2.0</v>
      </c>
      <c r="AZ636" s="1">
        <v>1.0</v>
      </c>
      <c r="BA636" s="1">
        <v>1.0</v>
      </c>
      <c r="BB636" s="1">
        <v>1.0</v>
      </c>
      <c r="BC636" s="1">
        <v>0.0</v>
      </c>
      <c r="BD636" s="1">
        <v>0.13</v>
      </c>
      <c r="BE636" s="1">
        <v>128.0</v>
      </c>
      <c r="BF636" s="1">
        <v>45.0</v>
      </c>
      <c r="BG636" s="1">
        <v>0.0</v>
      </c>
      <c r="BH636" s="1">
        <v>16.0</v>
      </c>
      <c r="BI636" s="1">
        <v>8.0</v>
      </c>
      <c r="BJ636" s="1">
        <v>0.0</v>
      </c>
      <c r="BO636" s="1" t="s">
        <v>2740</v>
      </c>
      <c r="BP636" s="1">
        <v>1.001</v>
      </c>
      <c r="BU636" s="1" t="s">
        <v>974</v>
      </c>
      <c r="BV636" s="1">
        <v>1.1</v>
      </c>
      <c r="BW636" s="1">
        <v>50.0</v>
      </c>
      <c r="BX636" s="1">
        <v>4801.037</v>
      </c>
      <c r="BY636" s="1">
        <v>7443.936</v>
      </c>
      <c r="BZ636" s="1">
        <v>10351.083</v>
      </c>
      <c r="CA636" s="1">
        <v>20719.4</v>
      </c>
      <c r="CB636" s="1">
        <v>379.0</v>
      </c>
      <c r="CC636" s="1">
        <v>0.0</v>
      </c>
      <c r="CD636" s="1">
        <v>709639.0</v>
      </c>
      <c r="CE636" s="1">
        <v>1800.0</v>
      </c>
      <c r="CF636" s="1">
        <v>174.0</v>
      </c>
      <c r="CG636" s="1">
        <v>2706884.0</v>
      </c>
      <c r="CH636" s="1">
        <v>33112.0</v>
      </c>
      <c r="CI636" s="1">
        <v>2.0</v>
      </c>
      <c r="CJ636" s="1">
        <v>82860.0</v>
      </c>
      <c r="CK636" s="1">
        <v>25.0</v>
      </c>
      <c r="CL636" s="1">
        <v>176282.0</v>
      </c>
      <c r="CM636" s="1">
        <v>41.0</v>
      </c>
      <c r="CN636" s="1">
        <v>1748226.0</v>
      </c>
      <c r="CO636" s="1">
        <v>68.0</v>
      </c>
      <c r="CP636" s="1">
        <v>640729.0</v>
      </c>
      <c r="CQ636" s="1">
        <v>10.0</v>
      </c>
      <c r="CR636" s="1">
        <v>0.0</v>
      </c>
      <c r="CS636" s="1">
        <v>0.0</v>
      </c>
      <c r="CT636" s="1">
        <v>25675.0</v>
      </c>
      <c r="CU636" s="1">
        <v>28.0</v>
      </c>
      <c r="CV636" s="1">
        <v>1833383.0</v>
      </c>
      <c r="CW636" s="1">
        <v>71.0</v>
      </c>
      <c r="DC636" s="1">
        <v>150.0</v>
      </c>
      <c r="DD636" s="1">
        <v>5075.0</v>
      </c>
      <c r="DE636" s="1">
        <v>0.0</v>
      </c>
      <c r="DF636" s="1">
        <v>3396.0</v>
      </c>
      <c r="DG636" s="1">
        <v>600.0</v>
      </c>
      <c r="DH636" s="1">
        <v>108319.0</v>
      </c>
      <c r="DI636" s="1">
        <v>1050.0</v>
      </c>
      <c r="DJ636" s="1">
        <v>592849.0</v>
      </c>
      <c r="DK636" s="1">
        <v>1395.463</v>
      </c>
      <c r="DL636" s="1" t="s">
        <v>975</v>
      </c>
      <c r="DM636" s="1">
        <v>2723.204</v>
      </c>
      <c r="DN636" s="1" t="s">
        <v>975</v>
      </c>
      <c r="DO636" s="1">
        <v>2706379.0</v>
      </c>
      <c r="DP636" s="1">
        <v>1.0</v>
      </c>
      <c r="DQ636" s="1" t="s">
        <v>976</v>
      </c>
      <c r="DR636" s="1" t="s">
        <v>2545</v>
      </c>
      <c r="DS636" s="1" t="s">
        <v>978</v>
      </c>
      <c r="DT636" s="1" t="s">
        <v>979</v>
      </c>
      <c r="DU636" s="1" t="s">
        <v>980</v>
      </c>
      <c r="DV636" s="1">
        <v>17296.0</v>
      </c>
      <c r="DX636" s="1">
        <v>3678.0</v>
      </c>
      <c r="DY636" s="1">
        <v>659466.0</v>
      </c>
      <c r="DZ636" s="1" t="s">
        <v>981</v>
      </c>
      <c r="EA636" s="1">
        <v>841.0</v>
      </c>
      <c r="EB636" s="1">
        <v>0.0</v>
      </c>
      <c r="EC636" s="1">
        <v>64.0</v>
      </c>
      <c r="ED636" s="1">
        <v>26492.0</v>
      </c>
      <c r="EF636" s="1">
        <v>230.0</v>
      </c>
      <c r="EG636" s="1" t="s">
        <v>1032</v>
      </c>
      <c r="EH636" s="1">
        <v>100.0</v>
      </c>
      <c r="EK636" s="1">
        <v>100.0</v>
      </c>
      <c r="EQ636" s="9" t="s">
        <v>2736</v>
      </c>
      <c r="ER636" s="21">
        <v>46045.29900462963</v>
      </c>
    </row>
    <row r="637">
      <c r="A637" s="9" t="s">
        <v>2741</v>
      </c>
      <c r="B637" s="20" t="str">
        <f>IFERROR(__xludf.DUMMYFUNCTION("REGEXREPLACE(A637, ""^https?://[^/]+"", """")"),"/news-events/sales-xceleration-advisor-john-lee-brings-sales-insights-attendees-ima-april-cpe-dinner/")</f>
        <v>/news-events/sales-xceleration-advisor-john-lee-brings-sales-insights-attendees-ima-april-cpe-dinner/</v>
      </c>
      <c r="C637" s="1" t="s">
        <v>2742</v>
      </c>
      <c r="F637" s="1" t="s">
        <v>965</v>
      </c>
      <c r="G637" s="1">
        <v>200.0</v>
      </c>
      <c r="H637" s="1" t="s">
        <v>966</v>
      </c>
      <c r="I637" s="1" t="s">
        <v>967</v>
      </c>
      <c r="K637" s="1" t="s">
        <v>2743</v>
      </c>
      <c r="L637" s="1">
        <v>113.0</v>
      </c>
      <c r="M637" s="1">
        <v>1010.0</v>
      </c>
      <c r="O637" s="1">
        <v>0.0</v>
      </c>
      <c r="P637" s="1">
        <v>0.0</v>
      </c>
      <c r="Q637" s="1" t="s">
        <v>2744</v>
      </c>
      <c r="R637" s="1">
        <v>271.0</v>
      </c>
      <c r="S637" s="1">
        <v>1674.0</v>
      </c>
      <c r="U637" s="1">
        <v>0.0</v>
      </c>
      <c r="V637" s="1" t="s">
        <v>2742</v>
      </c>
      <c r="W637" s="1">
        <v>93.0</v>
      </c>
      <c r="Y637" s="1">
        <v>0.0</v>
      </c>
      <c r="AA637" s="1">
        <v>0.0</v>
      </c>
      <c r="AC637" s="1">
        <v>0.0</v>
      </c>
      <c r="AD637" s="1" t="s">
        <v>971</v>
      </c>
      <c r="AG637" s="9" t="s">
        <v>2741</v>
      </c>
      <c r="AM637" s="1">
        <v>175145.0</v>
      </c>
      <c r="AN637" s="1">
        <v>32360.0</v>
      </c>
      <c r="AO637" s="1">
        <v>32360.0</v>
      </c>
      <c r="AP637" s="1">
        <v>12.397</v>
      </c>
      <c r="AR637" s="1">
        <v>801.0</v>
      </c>
      <c r="AS637" s="1">
        <v>125.0</v>
      </c>
      <c r="AT637" s="1">
        <v>6.408</v>
      </c>
      <c r="AU637" s="1">
        <v>61.971</v>
      </c>
      <c r="AV637" s="1" t="s">
        <v>990</v>
      </c>
      <c r="AW637" s="1">
        <v>4.212</v>
      </c>
      <c r="AX637" s="1">
        <v>2.0</v>
      </c>
      <c r="AY637" s="1">
        <v>2.0</v>
      </c>
      <c r="AZ637" s="1">
        <v>1.0</v>
      </c>
      <c r="BA637" s="1">
        <v>1.0</v>
      </c>
      <c r="BB637" s="1">
        <v>1.0</v>
      </c>
      <c r="BC637" s="1">
        <v>0.0</v>
      </c>
      <c r="BD637" s="1">
        <v>0.13</v>
      </c>
      <c r="BE637" s="1">
        <v>129.0</v>
      </c>
      <c r="BF637" s="1">
        <v>45.0</v>
      </c>
      <c r="BG637" s="1">
        <v>0.0</v>
      </c>
      <c r="BH637" s="1">
        <v>16.0</v>
      </c>
      <c r="BI637" s="1">
        <v>8.0</v>
      </c>
      <c r="BJ637" s="1">
        <v>0.0</v>
      </c>
      <c r="BO637" s="1" t="s">
        <v>2745</v>
      </c>
      <c r="BP637" s="1">
        <v>1.022</v>
      </c>
      <c r="BU637" s="1" t="s">
        <v>974</v>
      </c>
      <c r="BV637" s="1">
        <v>1.1</v>
      </c>
      <c r="BW637" s="1">
        <v>56.0</v>
      </c>
      <c r="BX637" s="1">
        <v>4651.022</v>
      </c>
      <c r="BY637" s="1">
        <v>7222.8</v>
      </c>
      <c r="BZ637" s="1">
        <v>10051.05</v>
      </c>
      <c r="CA637" s="1">
        <v>20684.365</v>
      </c>
      <c r="CB637" s="1">
        <v>168.0</v>
      </c>
      <c r="CC637" s="1">
        <v>0.0</v>
      </c>
      <c r="CD637" s="1">
        <v>707500.0</v>
      </c>
      <c r="CE637" s="1">
        <v>1650.0</v>
      </c>
      <c r="CF637" s="1">
        <v>182.0</v>
      </c>
      <c r="CG637" s="1">
        <v>2720137.0</v>
      </c>
      <c r="CH637" s="1">
        <v>33044.0</v>
      </c>
      <c r="CI637" s="1">
        <v>2.0</v>
      </c>
      <c r="CJ637" s="1">
        <v>95184.0</v>
      </c>
      <c r="CK637" s="1">
        <v>33.0</v>
      </c>
      <c r="CL637" s="1">
        <v>177146.0</v>
      </c>
      <c r="CM637" s="1">
        <v>41.0</v>
      </c>
      <c r="CN637" s="1">
        <v>1748203.0</v>
      </c>
      <c r="CO637" s="1">
        <v>68.0</v>
      </c>
      <c r="CP637" s="1">
        <v>640725.0</v>
      </c>
      <c r="CQ637" s="1">
        <v>10.0</v>
      </c>
      <c r="CR637" s="1">
        <v>0.0</v>
      </c>
      <c r="CS637" s="1">
        <v>0.0</v>
      </c>
      <c r="CT637" s="1">
        <v>25835.0</v>
      </c>
      <c r="CU637" s="1">
        <v>28.0</v>
      </c>
      <c r="CV637" s="1">
        <v>1835403.0</v>
      </c>
      <c r="CW637" s="1">
        <v>78.0</v>
      </c>
      <c r="DC637" s="1">
        <v>150.0</v>
      </c>
      <c r="DD637" s="1">
        <v>5075.0</v>
      </c>
      <c r="DE637" s="1">
        <v>0.0</v>
      </c>
      <c r="DF637" s="1">
        <v>3396.0</v>
      </c>
      <c r="DG637" s="1">
        <v>600.0</v>
      </c>
      <c r="DH637" s="1">
        <v>108310.0</v>
      </c>
      <c r="DI637" s="1">
        <v>900.0</v>
      </c>
      <c r="DJ637" s="1">
        <v>590719.0</v>
      </c>
      <c r="DK637" s="1">
        <v>1316.3</v>
      </c>
      <c r="DL637" s="1" t="s">
        <v>975</v>
      </c>
      <c r="DM637" s="1">
        <v>2525.009</v>
      </c>
      <c r="DN637" s="1" t="s">
        <v>975</v>
      </c>
      <c r="DO637" s="1">
        <v>2719513.0</v>
      </c>
      <c r="DP637" s="1">
        <v>1.0</v>
      </c>
      <c r="DQ637" s="1" t="s">
        <v>976</v>
      </c>
      <c r="DR637" s="1" t="s">
        <v>1055</v>
      </c>
      <c r="DS637" s="1" t="s">
        <v>978</v>
      </c>
      <c r="DT637" s="1" t="s">
        <v>979</v>
      </c>
      <c r="DU637" s="1" t="s">
        <v>980</v>
      </c>
      <c r="DV637" s="1">
        <v>17324.0</v>
      </c>
      <c r="DX637" s="1">
        <v>3509.0</v>
      </c>
      <c r="DY637" s="1">
        <v>665354.0</v>
      </c>
      <c r="DZ637" s="1" t="s">
        <v>981</v>
      </c>
      <c r="EA637" s="1">
        <v>827.0</v>
      </c>
      <c r="EB637" s="1">
        <v>0.0</v>
      </c>
      <c r="EC637" s="1">
        <v>0.0</v>
      </c>
      <c r="ED637" s="1">
        <v>26492.0</v>
      </c>
      <c r="EF637" s="1">
        <v>235.0</v>
      </c>
      <c r="EG637" s="1" t="s">
        <v>1032</v>
      </c>
      <c r="EH637" s="1">
        <v>100.0</v>
      </c>
      <c r="EK637" s="1">
        <v>100.0</v>
      </c>
      <c r="EQ637" s="9" t="s">
        <v>2741</v>
      </c>
      <c r="ER637" s="21">
        <v>46045.29900462963</v>
      </c>
    </row>
    <row r="638">
      <c r="A638" s="9" t="s">
        <v>2746</v>
      </c>
      <c r="B638" s="20" t="str">
        <f>IFERROR(__xludf.DUMMYFUNCTION("REGEXREPLACE(A638, ""^https?://[^/]+"", """")"),"/news-events/game-changing-sales-leaders-join-sales-xceleration-to-increase-smb-revenue/")</f>
        <v>/news-events/game-changing-sales-leaders-join-sales-xceleration-to-increase-smb-revenue/</v>
      </c>
      <c r="C638" s="1" t="s">
        <v>2747</v>
      </c>
      <c r="F638" s="1" t="s">
        <v>965</v>
      </c>
      <c r="G638" s="1">
        <v>200.0</v>
      </c>
      <c r="H638" s="1" t="s">
        <v>966</v>
      </c>
      <c r="I638" s="1" t="s">
        <v>967</v>
      </c>
      <c r="K638" s="1" t="s">
        <v>2748</v>
      </c>
      <c r="L638" s="1">
        <v>94.0</v>
      </c>
      <c r="M638" s="1">
        <v>882.0</v>
      </c>
      <c r="O638" s="1">
        <v>0.0</v>
      </c>
      <c r="P638" s="1">
        <v>0.0</v>
      </c>
      <c r="Q638" s="1" t="s">
        <v>2749</v>
      </c>
      <c r="R638" s="1">
        <v>153.0</v>
      </c>
      <c r="S638" s="1">
        <v>973.0</v>
      </c>
      <c r="U638" s="1">
        <v>0.0</v>
      </c>
      <c r="V638" s="1" t="s">
        <v>2747</v>
      </c>
      <c r="W638" s="1">
        <v>74.0</v>
      </c>
      <c r="Y638" s="1">
        <v>0.0</v>
      </c>
      <c r="AA638" s="1">
        <v>0.0</v>
      </c>
      <c r="AC638" s="1">
        <v>0.0</v>
      </c>
      <c r="AD638" s="1" t="s">
        <v>971</v>
      </c>
      <c r="AG638" s="9" t="s">
        <v>2746</v>
      </c>
      <c r="AM638" s="1">
        <v>180131.0</v>
      </c>
      <c r="AN638" s="1">
        <v>33629.0</v>
      </c>
      <c r="AO638" s="1">
        <v>33629.0</v>
      </c>
      <c r="AP638" s="1">
        <v>12.883</v>
      </c>
      <c r="AR638" s="1">
        <v>1146.0</v>
      </c>
      <c r="AS638" s="1">
        <v>182.0</v>
      </c>
      <c r="AT638" s="1">
        <v>6.297</v>
      </c>
      <c r="AU638" s="1">
        <v>48.666</v>
      </c>
      <c r="AV638" s="1" t="s">
        <v>1075</v>
      </c>
      <c r="AW638" s="1">
        <v>5.675</v>
      </c>
      <c r="AX638" s="1">
        <v>2.0</v>
      </c>
      <c r="AY638" s="1">
        <v>2.0</v>
      </c>
      <c r="AZ638" s="1">
        <v>1.0</v>
      </c>
      <c r="BA638" s="1">
        <v>1.0</v>
      </c>
      <c r="BB638" s="1">
        <v>1.0</v>
      </c>
      <c r="BC638" s="1">
        <v>0.0</v>
      </c>
      <c r="BD638" s="1">
        <v>0.13</v>
      </c>
      <c r="BE638" s="1">
        <v>128.0</v>
      </c>
      <c r="BF638" s="1">
        <v>44.0</v>
      </c>
      <c r="BG638" s="1">
        <v>0.0</v>
      </c>
      <c r="BH638" s="1">
        <v>25.0</v>
      </c>
      <c r="BI638" s="1">
        <v>17.0</v>
      </c>
      <c r="BJ638" s="1">
        <v>0.0</v>
      </c>
      <c r="BO638" s="1" t="s">
        <v>2750</v>
      </c>
      <c r="BP638" s="1">
        <v>1.094</v>
      </c>
      <c r="BU638" s="1" t="s">
        <v>974</v>
      </c>
      <c r="BV638" s="1">
        <v>1.1</v>
      </c>
      <c r="BW638" s="1">
        <v>49.0</v>
      </c>
      <c r="BX638" s="1">
        <v>4501.043</v>
      </c>
      <c r="BY638" s="1">
        <v>6750.638</v>
      </c>
      <c r="BZ638" s="1">
        <v>8701.087</v>
      </c>
      <c r="CA638" s="1">
        <v>19994.121</v>
      </c>
      <c r="CB638" s="1">
        <v>467.5</v>
      </c>
      <c r="CC638" s="1">
        <v>0.004</v>
      </c>
      <c r="CD638" s="1">
        <v>710756.0</v>
      </c>
      <c r="CE638" s="1">
        <v>1350.0</v>
      </c>
      <c r="CF638" s="1">
        <v>169.0</v>
      </c>
      <c r="CG638" s="1">
        <v>2735426.0</v>
      </c>
      <c r="CH638" s="1">
        <v>34389.0</v>
      </c>
      <c r="CI638" s="1">
        <v>2.0</v>
      </c>
      <c r="CJ638" s="1">
        <v>65908.0</v>
      </c>
      <c r="CK638" s="1">
        <v>18.0</v>
      </c>
      <c r="CL638" s="1">
        <v>177147.0</v>
      </c>
      <c r="CM638" s="1">
        <v>41.0</v>
      </c>
      <c r="CN638" s="1">
        <v>1747909.0</v>
      </c>
      <c r="CO638" s="1">
        <v>68.0</v>
      </c>
      <c r="CP638" s="1">
        <v>684509.0</v>
      </c>
      <c r="CQ638" s="1">
        <v>11.0</v>
      </c>
      <c r="CR638" s="1">
        <v>0.0</v>
      </c>
      <c r="CS638" s="1">
        <v>0.0</v>
      </c>
      <c r="CT638" s="1">
        <v>25564.0</v>
      </c>
      <c r="CU638" s="1">
        <v>29.0</v>
      </c>
      <c r="CV638" s="1">
        <v>1877437.0</v>
      </c>
      <c r="CW638" s="1">
        <v>71.0</v>
      </c>
      <c r="DC638" s="1">
        <v>0.0</v>
      </c>
      <c r="DD638" s="1">
        <v>5075.0</v>
      </c>
      <c r="DE638" s="1">
        <v>0.0</v>
      </c>
      <c r="DF638" s="1">
        <v>3396.0</v>
      </c>
      <c r="DG638" s="1">
        <v>300.0</v>
      </c>
      <c r="DH638" s="1">
        <v>108245.0</v>
      </c>
      <c r="DI638" s="1">
        <v>1050.0</v>
      </c>
      <c r="DJ638" s="1">
        <v>594040.0</v>
      </c>
      <c r="DK638" s="1">
        <v>1878.39</v>
      </c>
      <c r="DL638" s="1" t="s">
        <v>975</v>
      </c>
      <c r="DM638" s="1">
        <v>3225.343</v>
      </c>
      <c r="DN638" s="1" t="s">
        <v>975</v>
      </c>
      <c r="DO638" s="1">
        <v>2735187.0</v>
      </c>
      <c r="DP638" s="1">
        <v>1.0</v>
      </c>
      <c r="DQ638" s="1" t="s">
        <v>976</v>
      </c>
      <c r="DR638" s="1" t="s">
        <v>993</v>
      </c>
      <c r="DS638" s="1" t="s">
        <v>978</v>
      </c>
      <c r="DT638" s="1" t="s">
        <v>979</v>
      </c>
      <c r="DU638" s="1" t="s">
        <v>980</v>
      </c>
      <c r="DV638" s="1">
        <v>17144.0</v>
      </c>
      <c r="DX638" s="1">
        <v>3788.0</v>
      </c>
      <c r="DY638" s="1">
        <v>652818.0</v>
      </c>
      <c r="DZ638" s="1" t="s">
        <v>981</v>
      </c>
      <c r="EA638" s="1">
        <v>870.0</v>
      </c>
      <c r="EB638" s="1">
        <v>4453.0</v>
      </c>
      <c r="EC638" s="1">
        <v>41.0</v>
      </c>
      <c r="ED638" s="1">
        <v>26492.0</v>
      </c>
      <c r="EF638" s="1">
        <v>235.0</v>
      </c>
      <c r="EG638" s="1" t="s">
        <v>1032</v>
      </c>
      <c r="EH638" s="1">
        <v>100.0</v>
      </c>
      <c r="EK638" s="1">
        <v>100.0</v>
      </c>
      <c r="EQ638" s="9" t="s">
        <v>2746</v>
      </c>
      <c r="ER638" s="21">
        <v>46045.29900462963</v>
      </c>
    </row>
    <row r="639">
      <c r="A639" s="9" t="s">
        <v>2751</v>
      </c>
      <c r="B639" s="20" t="str">
        <f>IFERROR(__xludf.DUMMYFUNCTION("REGEXREPLACE(A639, ""^https?://[^/]+"", """")"),"/news-events/sales-xceleration-gains-five-new-sales-advisors/")</f>
        <v>/news-events/sales-xceleration-gains-five-new-sales-advisors/</v>
      </c>
      <c r="C639" s="1" t="s">
        <v>2752</v>
      </c>
      <c r="F639" s="1" t="s">
        <v>965</v>
      </c>
      <c r="G639" s="1">
        <v>200.0</v>
      </c>
      <c r="H639" s="1" t="s">
        <v>966</v>
      </c>
      <c r="I639" s="1" t="s">
        <v>967</v>
      </c>
      <c r="K639" s="1" t="s">
        <v>2753</v>
      </c>
      <c r="L639" s="1">
        <v>67.0</v>
      </c>
      <c r="M639" s="1">
        <v>606.0</v>
      </c>
      <c r="O639" s="1">
        <v>0.0</v>
      </c>
      <c r="P639" s="1">
        <v>0.0</v>
      </c>
      <c r="Q639" s="1" t="s">
        <v>2754</v>
      </c>
      <c r="R639" s="1">
        <v>155.0</v>
      </c>
      <c r="S639" s="1">
        <v>950.0</v>
      </c>
      <c r="U639" s="1">
        <v>0.0</v>
      </c>
      <c r="V639" s="1" t="s">
        <v>2752</v>
      </c>
      <c r="W639" s="1">
        <v>47.0</v>
      </c>
      <c r="Y639" s="1">
        <v>0.0</v>
      </c>
      <c r="AA639" s="1">
        <v>0.0</v>
      </c>
      <c r="AC639" s="1">
        <v>0.0</v>
      </c>
      <c r="AD639" s="1" t="s">
        <v>971</v>
      </c>
      <c r="AG639" s="9" t="s">
        <v>2751</v>
      </c>
      <c r="AM639" s="1">
        <v>178056.0</v>
      </c>
      <c r="AN639" s="1">
        <v>32587.0</v>
      </c>
      <c r="AO639" s="1">
        <v>32587.0</v>
      </c>
      <c r="AP639" s="1">
        <v>12.483</v>
      </c>
      <c r="AR639" s="1">
        <v>785.0</v>
      </c>
      <c r="AS639" s="1">
        <v>132.0</v>
      </c>
      <c r="AT639" s="1">
        <v>5.947</v>
      </c>
      <c r="AU639" s="1">
        <v>59.727</v>
      </c>
      <c r="AV639" s="1" t="s">
        <v>972</v>
      </c>
      <c r="AW639" s="1">
        <v>4.109</v>
      </c>
      <c r="AX639" s="1">
        <v>2.0</v>
      </c>
      <c r="AY639" s="1">
        <v>2.0</v>
      </c>
      <c r="AZ639" s="1">
        <v>1.0</v>
      </c>
      <c r="BA639" s="1">
        <v>1.0</v>
      </c>
      <c r="BB639" s="1">
        <v>1.0</v>
      </c>
      <c r="BC639" s="1">
        <v>0.0</v>
      </c>
      <c r="BD639" s="1">
        <v>0.13</v>
      </c>
      <c r="BE639" s="1">
        <v>129.0</v>
      </c>
      <c r="BF639" s="1">
        <v>45.0</v>
      </c>
      <c r="BG639" s="1">
        <v>0.0</v>
      </c>
      <c r="BH639" s="1">
        <v>16.0</v>
      </c>
      <c r="BI639" s="1">
        <v>8.0</v>
      </c>
      <c r="BJ639" s="1">
        <v>0.0</v>
      </c>
      <c r="BO639" s="1" t="s">
        <v>2755</v>
      </c>
      <c r="BP639" s="1">
        <v>1.058</v>
      </c>
      <c r="BU639" s="1" t="s">
        <v>974</v>
      </c>
      <c r="BV639" s="1">
        <v>1.1</v>
      </c>
      <c r="BW639" s="1">
        <v>56.0</v>
      </c>
      <c r="BX639" s="1">
        <v>4951.034</v>
      </c>
      <c r="BY639" s="1">
        <v>7454.953</v>
      </c>
      <c r="BZ639" s="1">
        <v>11026.077</v>
      </c>
      <c r="CA639" s="1">
        <v>19449.732</v>
      </c>
      <c r="CB639" s="1">
        <v>125.0</v>
      </c>
      <c r="CC639" s="1">
        <v>0.0</v>
      </c>
      <c r="CD639" s="1">
        <v>711035.0</v>
      </c>
      <c r="CE639" s="1">
        <v>1350.0</v>
      </c>
      <c r="CF639" s="1">
        <v>169.0</v>
      </c>
      <c r="CG639" s="1">
        <v>2690102.0</v>
      </c>
      <c r="CH639" s="1">
        <v>33430.0</v>
      </c>
      <c r="CI639" s="1">
        <v>2.0</v>
      </c>
      <c r="CJ639" s="1">
        <v>66469.0</v>
      </c>
      <c r="CK639" s="1">
        <v>20.0</v>
      </c>
      <c r="CL639" s="1">
        <v>175414.0</v>
      </c>
      <c r="CM639" s="1">
        <v>41.0</v>
      </c>
      <c r="CN639" s="1">
        <v>1748087.0</v>
      </c>
      <c r="CO639" s="1">
        <v>68.0</v>
      </c>
      <c r="CP639" s="1">
        <v>640731.0</v>
      </c>
      <c r="CQ639" s="1">
        <v>10.0</v>
      </c>
      <c r="CR639" s="1">
        <v>0.0</v>
      </c>
      <c r="CS639" s="1">
        <v>0.0</v>
      </c>
      <c r="CT639" s="1">
        <v>25971.0</v>
      </c>
      <c r="CU639" s="1">
        <v>28.0</v>
      </c>
      <c r="CV639" s="1">
        <v>1832119.0</v>
      </c>
      <c r="CW639" s="1">
        <v>71.0</v>
      </c>
      <c r="DC639" s="1">
        <v>0.0</v>
      </c>
      <c r="DD639" s="1">
        <v>5075.0</v>
      </c>
      <c r="DE639" s="1">
        <v>0.0</v>
      </c>
      <c r="DF639" s="1">
        <v>3401.0</v>
      </c>
      <c r="DG639" s="1">
        <v>450.0</v>
      </c>
      <c r="DH639" s="1">
        <v>108319.0</v>
      </c>
      <c r="DI639" s="1">
        <v>900.0</v>
      </c>
      <c r="DJ639" s="1">
        <v>594240.0</v>
      </c>
      <c r="DK639" s="1">
        <v>1004.018</v>
      </c>
      <c r="DL639" s="1" t="s">
        <v>992</v>
      </c>
      <c r="DM639" s="1">
        <v>1948.507</v>
      </c>
      <c r="DN639" s="1" t="s">
        <v>992</v>
      </c>
      <c r="DO639" s="1">
        <v>2689597.0</v>
      </c>
      <c r="DP639" s="1">
        <v>1.0</v>
      </c>
      <c r="DQ639" s="1" t="s">
        <v>976</v>
      </c>
      <c r="DR639" s="1" t="s">
        <v>1014</v>
      </c>
      <c r="DS639" s="1" t="s">
        <v>978</v>
      </c>
      <c r="DT639" s="1" t="s">
        <v>979</v>
      </c>
      <c r="DU639" s="1" t="s">
        <v>980</v>
      </c>
      <c r="DV639" s="1">
        <v>17324.0</v>
      </c>
      <c r="DX639" s="1">
        <v>3635.0</v>
      </c>
      <c r="DY639" s="1">
        <v>653053.0</v>
      </c>
      <c r="DZ639" s="1" t="s">
        <v>981</v>
      </c>
      <c r="EA639" s="1">
        <v>883.0</v>
      </c>
      <c r="EB639" s="1">
        <v>4453.0</v>
      </c>
      <c r="EC639" s="1">
        <v>0.0</v>
      </c>
      <c r="ED639" s="1">
        <v>26492.0</v>
      </c>
      <c r="EF639" s="1">
        <v>230.0</v>
      </c>
      <c r="EG639" s="1" t="s">
        <v>1032</v>
      </c>
      <c r="EH639" s="1">
        <v>100.0</v>
      </c>
      <c r="EK639" s="1">
        <v>100.0</v>
      </c>
      <c r="EQ639" s="9" t="s">
        <v>2751</v>
      </c>
      <c r="ER639" s="21">
        <v>46045.2990162037</v>
      </c>
    </row>
    <row r="640">
      <c r="A640" s="9" t="s">
        <v>2756</v>
      </c>
      <c r="B640" s="20" t="str">
        <f>IFERROR(__xludf.DUMMYFUNCTION("REGEXREPLACE(A640, ""^https?://[^/]+"", """")"),"/news-events/small-and-medium-size-businesses-embrace-benefits-of-utilizing-fractional-sales-leaders/")</f>
        <v>/news-events/small-and-medium-size-businesses-embrace-benefits-of-utilizing-fractional-sales-leaders/</v>
      </c>
      <c r="C640" s="1" t="s">
        <v>2757</v>
      </c>
      <c r="F640" s="1" t="s">
        <v>965</v>
      </c>
      <c r="G640" s="1">
        <v>200.0</v>
      </c>
      <c r="H640" s="1" t="s">
        <v>966</v>
      </c>
      <c r="I640" s="1" t="s">
        <v>967</v>
      </c>
      <c r="K640" s="1" t="s">
        <v>2758</v>
      </c>
      <c r="L640" s="1">
        <v>107.0</v>
      </c>
      <c r="M640" s="1">
        <v>975.0</v>
      </c>
      <c r="O640" s="1">
        <v>0.0</v>
      </c>
      <c r="P640" s="1">
        <v>0.0</v>
      </c>
      <c r="Q640" s="1" t="s">
        <v>2759</v>
      </c>
      <c r="R640" s="1">
        <v>158.0</v>
      </c>
      <c r="S640" s="1">
        <v>984.0</v>
      </c>
      <c r="U640" s="1">
        <v>0.0</v>
      </c>
      <c r="V640" s="1" t="s">
        <v>2757</v>
      </c>
      <c r="W640" s="1">
        <v>87.0</v>
      </c>
      <c r="Y640" s="1">
        <v>0.0</v>
      </c>
      <c r="AA640" s="1">
        <v>0.0</v>
      </c>
      <c r="AC640" s="1">
        <v>0.0</v>
      </c>
      <c r="AD640" s="1" t="s">
        <v>971</v>
      </c>
      <c r="AG640" s="9" t="s">
        <v>2756</v>
      </c>
      <c r="AM640" s="1">
        <v>177057.0</v>
      </c>
      <c r="AN640" s="1">
        <v>32857.0</v>
      </c>
      <c r="AO640" s="1">
        <v>32857.0</v>
      </c>
      <c r="AP640" s="1">
        <v>12.587</v>
      </c>
      <c r="AR640" s="1">
        <v>847.0</v>
      </c>
      <c r="AS640" s="1">
        <v>141.0</v>
      </c>
      <c r="AT640" s="1">
        <v>6.007</v>
      </c>
      <c r="AU640" s="1">
        <v>60.504</v>
      </c>
      <c r="AV640" s="1" t="s">
        <v>990</v>
      </c>
      <c r="AW640" s="1">
        <v>4.319</v>
      </c>
      <c r="AX640" s="1">
        <v>2.0</v>
      </c>
      <c r="AY640" s="1">
        <v>2.0</v>
      </c>
      <c r="AZ640" s="1">
        <v>1.0</v>
      </c>
      <c r="BA640" s="1">
        <v>1.0</v>
      </c>
      <c r="BB640" s="1">
        <v>1.0</v>
      </c>
      <c r="BC640" s="1">
        <v>0.0</v>
      </c>
      <c r="BD640" s="1">
        <v>0.13</v>
      </c>
      <c r="BE640" s="1">
        <v>129.0</v>
      </c>
      <c r="BF640" s="1">
        <v>47.0</v>
      </c>
      <c r="BG640" s="1">
        <v>0.0</v>
      </c>
      <c r="BH640" s="1">
        <v>20.0</v>
      </c>
      <c r="BI640" s="1">
        <v>12.0</v>
      </c>
      <c r="BJ640" s="1">
        <v>0.0</v>
      </c>
      <c r="BO640" s="1" t="s">
        <v>2760</v>
      </c>
      <c r="BP640" s="1">
        <v>1.017</v>
      </c>
      <c r="BU640" s="1" t="s">
        <v>974</v>
      </c>
      <c r="BV640" s="1">
        <v>1.1</v>
      </c>
      <c r="BW640" s="1">
        <v>53.0</v>
      </c>
      <c r="BX640" s="1">
        <v>4201.039</v>
      </c>
      <c r="BY640" s="1">
        <v>7861.37</v>
      </c>
      <c r="BZ640" s="1">
        <v>8701.083</v>
      </c>
      <c r="CA640" s="1">
        <v>19760.111</v>
      </c>
      <c r="CB640" s="1">
        <v>301.5</v>
      </c>
      <c r="CC640" s="1">
        <v>0.004</v>
      </c>
      <c r="CD640" s="1">
        <v>709751.0</v>
      </c>
      <c r="CE640" s="1">
        <v>1350.0</v>
      </c>
      <c r="CF640" s="1">
        <v>169.0</v>
      </c>
      <c r="CG640" s="1">
        <v>2690308.0</v>
      </c>
      <c r="CH640" s="1">
        <v>33423.0</v>
      </c>
      <c r="CI640" s="1">
        <v>2.0</v>
      </c>
      <c r="CJ640" s="1">
        <v>66174.0</v>
      </c>
      <c r="CK640" s="1">
        <v>20.0</v>
      </c>
      <c r="CL640" s="1">
        <v>176282.0</v>
      </c>
      <c r="CM640" s="1">
        <v>41.0</v>
      </c>
      <c r="CN640" s="1">
        <v>1748133.0</v>
      </c>
      <c r="CO640" s="1">
        <v>68.0</v>
      </c>
      <c r="CP640" s="1">
        <v>640740.0</v>
      </c>
      <c r="CQ640" s="1">
        <v>10.0</v>
      </c>
      <c r="CR640" s="1">
        <v>0.0</v>
      </c>
      <c r="CS640" s="1">
        <v>0.0</v>
      </c>
      <c r="CT640" s="1">
        <v>25556.0</v>
      </c>
      <c r="CU640" s="1">
        <v>28.0</v>
      </c>
      <c r="CV640" s="1">
        <v>1832971.0</v>
      </c>
      <c r="CW640" s="1">
        <v>71.0</v>
      </c>
      <c r="DC640" s="1">
        <v>0.0</v>
      </c>
      <c r="DD640" s="1">
        <v>5075.0</v>
      </c>
      <c r="DE640" s="1">
        <v>0.0</v>
      </c>
      <c r="DF640" s="1">
        <v>3396.0</v>
      </c>
      <c r="DG640" s="1">
        <v>300.0</v>
      </c>
      <c r="DH640" s="1">
        <v>108320.0</v>
      </c>
      <c r="DI640" s="1">
        <v>1050.0</v>
      </c>
      <c r="DJ640" s="1">
        <v>592960.0</v>
      </c>
      <c r="DK640" s="1">
        <v>1621.517</v>
      </c>
      <c r="DL640" s="1" t="s">
        <v>975</v>
      </c>
      <c r="DM640" s="1">
        <v>2840.915</v>
      </c>
      <c r="DN640" s="1" t="s">
        <v>975</v>
      </c>
      <c r="DO640" s="1">
        <v>2689803.0</v>
      </c>
      <c r="DP640" s="1">
        <v>1.0</v>
      </c>
      <c r="DQ640" s="1" t="s">
        <v>976</v>
      </c>
      <c r="DR640" s="1" t="s">
        <v>1055</v>
      </c>
      <c r="DS640" s="1" t="s">
        <v>978</v>
      </c>
      <c r="DT640" s="1" t="s">
        <v>979</v>
      </c>
      <c r="DU640" s="1" t="s">
        <v>980</v>
      </c>
      <c r="DV640" s="1">
        <v>17144.0</v>
      </c>
      <c r="DX640" s="1">
        <v>4090.0</v>
      </c>
      <c r="DY640" s="1">
        <v>652785.0</v>
      </c>
      <c r="DZ640" s="1" t="s">
        <v>981</v>
      </c>
      <c r="EA640" s="1">
        <v>843.0</v>
      </c>
      <c r="EB640" s="1">
        <v>4453.0</v>
      </c>
      <c r="EC640" s="1">
        <v>32.0</v>
      </c>
      <c r="ED640" s="1">
        <v>26492.0</v>
      </c>
      <c r="EF640" s="1">
        <v>230.0</v>
      </c>
      <c r="EG640" s="1" t="s">
        <v>1032</v>
      </c>
      <c r="EH640" s="1">
        <v>100.0</v>
      </c>
      <c r="EK640" s="1">
        <v>100.0</v>
      </c>
      <c r="EQ640" s="9" t="s">
        <v>2756</v>
      </c>
      <c r="ER640" s="21">
        <v>46045.2990162037</v>
      </c>
    </row>
    <row r="641">
      <c r="A641" s="9" t="s">
        <v>2761</v>
      </c>
      <c r="B641" s="20" t="str">
        <f>IFERROR(__xludf.DUMMYFUNCTION("REGEXREPLACE(A641, ""^https?://[^/]+"", """")"),"/news-events/great-sales-organizations/")</f>
        <v>/news-events/great-sales-organizations/</v>
      </c>
      <c r="C641" s="1" t="s">
        <v>2762</v>
      </c>
      <c r="F641" s="1" t="s">
        <v>965</v>
      </c>
      <c r="G641" s="1">
        <v>200.0</v>
      </c>
      <c r="H641" s="1" t="s">
        <v>966</v>
      </c>
      <c r="I641" s="1" t="s">
        <v>967</v>
      </c>
      <c r="K641" s="1" t="s">
        <v>2763</v>
      </c>
      <c r="L641" s="1">
        <v>55.0</v>
      </c>
      <c r="M641" s="1">
        <v>485.0</v>
      </c>
      <c r="O641" s="1">
        <v>0.0</v>
      </c>
      <c r="P641" s="1">
        <v>0.0</v>
      </c>
      <c r="Q641" s="1" t="s">
        <v>2764</v>
      </c>
      <c r="R641" s="1">
        <v>128.0</v>
      </c>
      <c r="S641" s="1">
        <v>781.0</v>
      </c>
      <c r="U641" s="1">
        <v>0.0</v>
      </c>
      <c r="V641" s="1" t="s">
        <v>2762</v>
      </c>
      <c r="W641" s="1">
        <v>35.0</v>
      </c>
      <c r="Y641" s="1">
        <v>0.0</v>
      </c>
      <c r="AA641" s="1">
        <v>0.0</v>
      </c>
      <c r="AC641" s="1">
        <v>0.0</v>
      </c>
      <c r="AD641" s="1" t="s">
        <v>971</v>
      </c>
      <c r="AG641" s="9" t="s">
        <v>2761</v>
      </c>
      <c r="AM641" s="1">
        <v>172584.0</v>
      </c>
      <c r="AN641" s="1">
        <v>31894.0</v>
      </c>
      <c r="AO641" s="1">
        <v>31894.0</v>
      </c>
      <c r="AP641" s="1">
        <v>12.218</v>
      </c>
      <c r="AR641" s="1">
        <v>742.0</v>
      </c>
      <c r="AS641" s="1">
        <v>121.0</v>
      </c>
      <c r="AT641" s="1">
        <v>6.132</v>
      </c>
      <c r="AU641" s="1">
        <v>59.003</v>
      </c>
      <c r="AV641" s="1" t="s">
        <v>972</v>
      </c>
      <c r="AW641" s="1">
        <v>4.096</v>
      </c>
      <c r="AX641" s="1">
        <v>2.0</v>
      </c>
      <c r="AY641" s="1">
        <v>2.0</v>
      </c>
      <c r="AZ641" s="1">
        <v>1.0</v>
      </c>
      <c r="BA641" s="1">
        <v>1.0</v>
      </c>
      <c r="BB641" s="1">
        <v>1.0</v>
      </c>
      <c r="BC641" s="1">
        <v>0.0</v>
      </c>
      <c r="BD641" s="1">
        <v>0.13</v>
      </c>
      <c r="BE641" s="1">
        <v>126.0</v>
      </c>
      <c r="BF641" s="1">
        <v>44.0</v>
      </c>
      <c r="BG641" s="1">
        <v>0.0</v>
      </c>
      <c r="BH641" s="1">
        <v>16.0</v>
      </c>
      <c r="BI641" s="1">
        <v>8.0</v>
      </c>
      <c r="BJ641" s="1">
        <v>0.0</v>
      </c>
      <c r="BO641" s="1" t="s">
        <v>2765</v>
      </c>
      <c r="BP641" s="1">
        <v>0.977</v>
      </c>
      <c r="BU641" s="1" t="s">
        <v>974</v>
      </c>
      <c r="BV641" s="1">
        <v>1.1</v>
      </c>
      <c r="BW641" s="1">
        <v>56.0</v>
      </c>
      <c r="BX641" s="1">
        <v>4951.031</v>
      </c>
      <c r="BY641" s="1">
        <v>7749.021</v>
      </c>
      <c r="BZ641" s="1">
        <v>10951.07</v>
      </c>
      <c r="CA641" s="1">
        <v>20311.182</v>
      </c>
      <c r="CB641" s="1">
        <v>156.0</v>
      </c>
      <c r="CC641" s="1">
        <v>0.0</v>
      </c>
      <c r="CD641" s="1">
        <v>709050.0</v>
      </c>
      <c r="CE641" s="1">
        <v>1650.0</v>
      </c>
      <c r="CF641" s="1">
        <v>176.0</v>
      </c>
      <c r="CG641" s="1">
        <v>2750887.0</v>
      </c>
      <c r="CH641" s="1">
        <v>32716.0</v>
      </c>
      <c r="CI641" s="1">
        <v>2.0</v>
      </c>
      <c r="CJ641" s="1">
        <v>127082.0</v>
      </c>
      <c r="CK641" s="1">
        <v>27.0</v>
      </c>
      <c r="CL641" s="1">
        <v>177144.0</v>
      </c>
      <c r="CM641" s="1">
        <v>41.0</v>
      </c>
      <c r="CN641" s="1">
        <v>1748142.0</v>
      </c>
      <c r="CO641" s="1">
        <v>68.0</v>
      </c>
      <c r="CP641" s="1">
        <v>640719.0</v>
      </c>
      <c r="CQ641" s="1">
        <v>10.0</v>
      </c>
      <c r="CR641" s="1">
        <v>0.0</v>
      </c>
      <c r="CS641" s="1">
        <v>0.0</v>
      </c>
      <c r="CT641" s="1">
        <v>25084.0</v>
      </c>
      <c r="CU641" s="1">
        <v>28.0</v>
      </c>
      <c r="CV641" s="1">
        <v>1833850.0</v>
      </c>
      <c r="CW641" s="1">
        <v>71.0</v>
      </c>
      <c r="DC641" s="1">
        <v>150.0</v>
      </c>
      <c r="DD641" s="1">
        <v>5075.0</v>
      </c>
      <c r="DE641" s="1">
        <v>0.0</v>
      </c>
      <c r="DF641" s="1">
        <v>3396.0</v>
      </c>
      <c r="DG641" s="1">
        <v>600.0</v>
      </c>
      <c r="DH641" s="1">
        <v>108302.0</v>
      </c>
      <c r="DI641" s="1">
        <v>900.0</v>
      </c>
      <c r="DJ641" s="1">
        <v>592277.0</v>
      </c>
      <c r="DK641" s="1">
        <v>1271.96</v>
      </c>
      <c r="DL641" s="1" t="s">
        <v>992</v>
      </c>
      <c r="DM641" s="1">
        <v>2357.688</v>
      </c>
      <c r="DN641" s="1" t="s">
        <v>975</v>
      </c>
      <c r="DO641" s="1">
        <v>2750382.0</v>
      </c>
      <c r="DP641" s="1">
        <v>1.0</v>
      </c>
      <c r="DQ641" s="1" t="s">
        <v>976</v>
      </c>
      <c r="DR641" s="1" t="s">
        <v>993</v>
      </c>
      <c r="DS641" s="1" t="s">
        <v>978</v>
      </c>
      <c r="DT641" s="1" t="s">
        <v>979</v>
      </c>
      <c r="DU641" s="1" t="s">
        <v>980</v>
      </c>
      <c r="DV641" s="1">
        <v>17296.0</v>
      </c>
      <c r="DX641" s="1">
        <v>3754.0</v>
      </c>
      <c r="DY641" s="1">
        <v>677152.0</v>
      </c>
      <c r="DZ641" s="1" t="s">
        <v>981</v>
      </c>
      <c r="EA641" s="1">
        <v>824.0</v>
      </c>
      <c r="EB641" s="1">
        <v>27429.0</v>
      </c>
      <c r="EC641" s="1">
        <v>5.0</v>
      </c>
      <c r="ED641" s="1">
        <v>26492.0</v>
      </c>
      <c r="EF641" s="1">
        <v>660.0</v>
      </c>
      <c r="EG641" s="1" t="s">
        <v>1032</v>
      </c>
      <c r="EH641" s="1">
        <v>100.0</v>
      </c>
      <c r="EK641" s="1">
        <v>100.0</v>
      </c>
      <c r="EQ641" s="9" t="s">
        <v>2761</v>
      </c>
      <c r="ER641" s="21">
        <v>46045.2990162037</v>
      </c>
    </row>
    <row r="642">
      <c r="A642" s="9" t="s">
        <v>2766</v>
      </c>
      <c r="B642" s="20" t="str">
        <f>IFERROR(__xludf.DUMMYFUNCTION("REGEXREPLACE(A642, ""^https?://[^/]+"", """")"),"/news-events/mike-dugan-presents-hampton-roads-va-business-leaders/")</f>
        <v>/news-events/mike-dugan-presents-hampton-roads-va-business-leaders/</v>
      </c>
      <c r="C642" s="1" t="s">
        <v>2767</v>
      </c>
      <c r="F642" s="1" t="s">
        <v>965</v>
      </c>
      <c r="G642" s="1">
        <v>200.0</v>
      </c>
      <c r="H642" s="1" t="s">
        <v>966</v>
      </c>
      <c r="I642" s="1" t="s">
        <v>967</v>
      </c>
      <c r="K642" s="1" t="s">
        <v>2767</v>
      </c>
      <c r="L642" s="1">
        <v>57.0</v>
      </c>
      <c r="M642" s="1">
        <v>558.0</v>
      </c>
      <c r="O642" s="1">
        <v>0.0</v>
      </c>
      <c r="P642" s="1">
        <v>0.0</v>
      </c>
      <c r="Q642" s="1" t="s">
        <v>2768</v>
      </c>
      <c r="R642" s="1">
        <v>129.0</v>
      </c>
      <c r="S642" s="1">
        <v>824.0</v>
      </c>
      <c r="U642" s="1">
        <v>0.0</v>
      </c>
      <c r="V642" s="1" t="s">
        <v>2767</v>
      </c>
      <c r="W642" s="1">
        <v>57.0</v>
      </c>
      <c r="Y642" s="1">
        <v>0.0</v>
      </c>
      <c r="AA642" s="1">
        <v>0.0</v>
      </c>
      <c r="AC642" s="1">
        <v>0.0</v>
      </c>
      <c r="AD642" s="1" t="s">
        <v>971</v>
      </c>
      <c r="AG642" s="9" t="s">
        <v>2766</v>
      </c>
      <c r="AM642" s="1">
        <v>173642.0</v>
      </c>
      <c r="AN642" s="1">
        <v>32136.0</v>
      </c>
      <c r="AO642" s="1">
        <v>32136.0</v>
      </c>
      <c r="AP642" s="1">
        <v>12.311</v>
      </c>
      <c r="AR642" s="1">
        <v>777.0</v>
      </c>
      <c r="AS642" s="1">
        <v>124.0</v>
      </c>
      <c r="AT642" s="1">
        <v>6.266</v>
      </c>
      <c r="AU642" s="1">
        <v>59.257</v>
      </c>
      <c r="AV642" s="1" t="s">
        <v>972</v>
      </c>
      <c r="AW642" s="1">
        <v>4.186</v>
      </c>
      <c r="AX642" s="1">
        <v>2.0</v>
      </c>
      <c r="AY642" s="1">
        <v>2.0</v>
      </c>
      <c r="AZ642" s="1">
        <v>1.0</v>
      </c>
      <c r="BA642" s="1">
        <v>1.0</v>
      </c>
      <c r="BB642" s="1">
        <v>1.0</v>
      </c>
      <c r="BC642" s="1">
        <v>0.0</v>
      </c>
      <c r="BD642" s="1">
        <v>0.13</v>
      </c>
      <c r="BE642" s="1">
        <v>128.0</v>
      </c>
      <c r="BF642" s="1">
        <v>44.0</v>
      </c>
      <c r="BG642" s="1">
        <v>0.0</v>
      </c>
      <c r="BH642" s="1">
        <v>16.0</v>
      </c>
      <c r="BI642" s="1">
        <v>8.0</v>
      </c>
      <c r="BJ642" s="1">
        <v>0.0</v>
      </c>
      <c r="BO642" s="1" t="s">
        <v>2769</v>
      </c>
      <c r="BP642" s="1">
        <v>0.974</v>
      </c>
      <c r="BU642" s="1" t="s">
        <v>974</v>
      </c>
      <c r="BV642" s="1">
        <v>1.1</v>
      </c>
      <c r="BW642" s="1">
        <v>48.0</v>
      </c>
      <c r="BX642" s="1">
        <v>4951.039</v>
      </c>
      <c r="BY642" s="1">
        <v>6781.457</v>
      </c>
      <c r="BZ642" s="1">
        <v>9901.081</v>
      </c>
      <c r="CA642" s="1">
        <v>21042.865</v>
      </c>
      <c r="CB642" s="1">
        <v>465.0</v>
      </c>
      <c r="CC642" s="1">
        <v>0.0</v>
      </c>
      <c r="CD642" s="1">
        <v>709071.0</v>
      </c>
      <c r="CE642" s="1">
        <v>1350.0</v>
      </c>
      <c r="CF642" s="1">
        <v>175.0</v>
      </c>
      <c r="CG642" s="1">
        <v>2739033.0</v>
      </c>
      <c r="CH642" s="1">
        <v>32874.0</v>
      </c>
      <c r="CI642" s="1">
        <v>2.0</v>
      </c>
      <c r="CJ642" s="1">
        <v>115605.0</v>
      </c>
      <c r="CK642" s="1">
        <v>26.0</v>
      </c>
      <c r="CL642" s="1">
        <v>176286.0</v>
      </c>
      <c r="CM642" s="1">
        <v>41.0</v>
      </c>
      <c r="CN642" s="1">
        <v>1748049.0</v>
      </c>
      <c r="CO642" s="1">
        <v>68.0</v>
      </c>
      <c r="CP642" s="1">
        <v>640732.0</v>
      </c>
      <c r="CQ642" s="1">
        <v>10.0</v>
      </c>
      <c r="CR642" s="1">
        <v>0.0</v>
      </c>
      <c r="CS642" s="1">
        <v>0.0</v>
      </c>
      <c r="CT642" s="1">
        <v>25487.0</v>
      </c>
      <c r="CU642" s="1">
        <v>28.0</v>
      </c>
      <c r="CV642" s="1">
        <v>1832930.0</v>
      </c>
      <c r="CW642" s="1">
        <v>71.0</v>
      </c>
      <c r="DC642" s="1">
        <v>0.0</v>
      </c>
      <c r="DD642" s="1">
        <v>5075.0</v>
      </c>
      <c r="DE642" s="1">
        <v>0.0</v>
      </c>
      <c r="DF642" s="1">
        <v>3396.0</v>
      </c>
      <c r="DG642" s="1">
        <v>450.0</v>
      </c>
      <c r="DH642" s="1">
        <v>108302.0</v>
      </c>
      <c r="DI642" s="1">
        <v>900.0</v>
      </c>
      <c r="DJ642" s="1">
        <v>592298.0</v>
      </c>
      <c r="DK642" s="1">
        <v>1894.198</v>
      </c>
      <c r="DL642" s="1" t="s">
        <v>975</v>
      </c>
      <c r="DM642" s="1">
        <v>3421.118</v>
      </c>
      <c r="DN642" s="1" t="s">
        <v>975</v>
      </c>
      <c r="DO642" s="1">
        <v>2738528.0</v>
      </c>
      <c r="DP642" s="1">
        <v>1.0</v>
      </c>
      <c r="DQ642" s="1" t="s">
        <v>976</v>
      </c>
      <c r="DR642" s="1" t="s">
        <v>1055</v>
      </c>
      <c r="DS642" s="1" t="s">
        <v>978</v>
      </c>
      <c r="DT642" s="1" t="s">
        <v>979</v>
      </c>
      <c r="DU642" s="1" t="s">
        <v>980</v>
      </c>
      <c r="DV642" s="1">
        <v>17295.0</v>
      </c>
      <c r="DX642" s="1">
        <v>3890.0</v>
      </c>
      <c r="DY642" s="1">
        <v>672563.0</v>
      </c>
      <c r="EA642" s="1">
        <v>829.0</v>
      </c>
      <c r="EB642" s="1">
        <v>27429.0</v>
      </c>
      <c r="EC642" s="1">
        <v>1.0</v>
      </c>
      <c r="ED642" s="1">
        <v>26492.0</v>
      </c>
      <c r="EF642" s="1">
        <v>360.0</v>
      </c>
      <c r="EG642" s="1" t="s">
        <v>1032</v>
      </c>
      <c r="EH642" s="1">
        <v>100.0</v>
      </c>
      <c r="EK642" s="1">
        <v>100.0</v>
      </c>
      <c r="EQ642" s="9" t="s">
        <v>2766</v>
      </c>
      <c r="ER642" s="21">
        <v>46045.2990162037</v>
      </c>
    </row>
    <row r="643">
      <c r="A643" s="9" t="s">
        <v>2770</v>
      </c>
      <c r="B643" s="20" t="str">
        <f>IFERROR(__xludf.DUMMYFUNCTION("REGEXREPLACE(A643, ""^https?://[^/]+"", """")"),"/news-events/great-sales-organizations-made-learn-sales-driven/")</f>
        <v>/news-events/great-sales-organizations-made-learn-sales-driven/</v>
      </c>
      <c r="C643" s="1" t="s">
        <v>2771</v>
      </c>
      <c r="F643" s="1" t="s">
        <v>965</v>
      </c>
      <c r="G643" s="1">
        <v>200.0</v>
      </c>
      <c r="H643" s="1" t="s">
        <v>966</v>
      </c>
      <c r="I643" s="1" t="s">
        <v>967</v>
      </c>
      <c r="K643" s="1" t="s">
        <v>2772</v>
      </c>
      <c r="L643" s="1">
        <v>59.0</v>
      </c>
      <c r="M643" s="1">
        <v>528.0</v>
      </c>
      <c r="O643" s="1">
        <v>0.0</v>
      </c>
      <c r="P643" s="1">
        <v>0.0</v>
      </c>
      <c r="Q643" s="1" t="s">
        <v>2773</v>
      </c>
      <c r="R643" s="1">
        <v>144.0</v>
      </c>
      <c r="S643" s="1">
        <v>904.0</v>
      </c>
      <c r="U643" s="1">
        <v>0.0</v>
      </c>
      <c r="V643" s="1" t="s">
        <v>2771</v>
      </c>
      <c r="W643" s="1">
        <v>61.0</v>
      </c>
      <c r="Y643" s="1">
        <v>0.0</v>
      </c>
      <c r="AA643" s="1">
        <v>0.0</v>
      </c>
      <c r="AC643" s="1">
        <v>0.0</v>
      </c>
      <c r="AD643" s="1" t="s">
        <v>971</v>
      </c>
      <c r="AG643" s="9" t="s">
        <v>2770</v>
      </c>
      <c r="AM643" s="1">
        <v>173648.0</v>
      </c>
      <c r="AN643" s="1">
        <v>32214.0</v>
      </c>
      <c r="AO643" s="1">
        <v>32214.0</v>
      </c>
      <c r="AP643" s="1">
        <v>12.341</v>
      </c>
      <c r="AR643" s="1">
        <v>822.0</v>
      </c>
      <c r="AS643" s="1">
        <v>129.0</v>
      </c>
      <c r="AT643" s="1">
        <v>6.372</v>
      </c>
      <c r="AU643" s="1">
        <v>59.779</v>
      </c>
      <c r="AV643" s="1" t="s">
        <v>972</v>
      </c>
      <c r="AW643" s="1">
        <v>4.324</v>
      </c>
      <c r="AX643" s="1">
        <v>2.0</v>
      </c>
      <c r="AY643" s="1">
        <v>2.0</v>
      </c>
      <c r="AZ643" s="1">
        <v>1.0</v>
      </c>
      <c r="BA643" s="1">
        <v>1.0</v>
      </c>
      <c r="BB643" s="1">
        <v>1.0</v>
      </c>
      <c r="BC643" s="1">
        <v>0.0</v>
      </c>
      <c r="BD643" s="1">
        <v>0.13</v>
      </c>
      <c r="BE643" s="1">
        <v>126.0</v>
      </c>
      <c r="BF643" s="1">
        <v>44.0</v>
      </c>
      <c r="BG643" s="1">
        <v>0.0</v>
      </c>
      <c r="BH643" s="1">
        <v>16.0</v>
      </c>
      <c r="BI643" s="1">
        <v>8.0</v>
      </c>
      <c r="BJ643" s="1">
        <v>0.0</v>
      </c>
      <c r="BO643" s="1" t="s">
        <v>2774</v>
      </c>
      <c r="BP643" s="1">
        <v>1.003</v>
      </c>
      <c r="BU643" s="1" t="s">
        <v>974</v>
      </c>
      <c r="BV643" s="1">
        <v>1.1</v>
      </c>
      <c r="BW643" s="1">
        <v>55.0</v>
      </c>
      <c r="BX643" s="1">
        <v>4501.043</v>
      </c>
      <c r="BY643" s="1">
        <v>7629.816</v>
      </c>
      <c r="BZ643" s="1">
        <v>10651.105</v>
      </c>
      <c r="CA643" s="1">
        <v>20221.318</v>
      </c>
      <c r="CB643" s="1">
        <v>218.0</v>
      </c>
      <c r="CC643" s="1">
        <v>0.0</v>
      </c>
      <c r="CD643" s="1">
        <v>708738.0</v>
      </c>
      <c r="CE643" s="1">
        <v>1350.0</v>
      </c>
      <c r="CF643" s="1">
        <v>175.0</v>
      </c>
      <c r="CG643" s="1">
        <v>2739556.0</v>
      </c>
      <c r="CH643" s="1">
        <v>32925.0</v>
      </c>
      <c r="CI643" s="1">
        <v>2.0</v>
      </c>
      <c r="CJ643" s="1">
        <v>115607.0</v>
      </c>
      <c r="CK643" s="1">
        <v>26.0</v>
      </c>
      <c r="CL643" s="1">
        <v>177142.0</v>
      </c>
      <c r="CM643" s="1">
        <v>41.0</v>
      </c>
      <c r="CN643" s="1">
        <v>1747951.0</v>
      </c>
      <c r="CO643" s="1">
        <v>68.0</v>
      </c>
      <c r="CP643" s="1">
        <v>640735.0</v>
      </c>
      <c r="CQ643" s="1">
        <v>10.0</v>
      </c>
      <c r="CR643" s="1">
        <v>0.0</v>
      </c>
      <c r="CS643" s="1">
        <v>0.0</v>
      </c>
      <c r="CT643" s="1">
        <v>25196.0</v>
      </c>
      <c r="CU643" s="1">
        <v>28.0</v>
      </c>
      <c r="CV643" s="1">
        <v>1833698.0</v>
      </c>
      <c r="CW643" s="1">
        <v>71.0</v>
      </c>
      <c r="DC643" s="1">
        <v>0.0</v>
      </c>
      <c r="DD643" s="1">
        <v>5075.0</v>
      </c>
      <c r="DE643" s="1">
        <v>0.0</v>
      </c>
      <c r="DF643" s="1">
        <v>3396.0</v>
      </c>
      <c r="DG643" s="1">
        <v>450.0</v>
      </c>
      <c r="DH643" s="1">
        <v>108320.0</v>
      </c>
      <c r="DI643" s="1">
        <v>900.0</v>
      </c>
      <c r="DJ643" s="1">
        <v>591947.0</v>
      </c>
      <c r="DK643" s="1">
        <v>1369.62</v>
      </c>
      <c r="DL643" s="1" t="s">
        <v>975</v>
      </c>
      <c r="DM643" s="1">
        <v>2550.754</v>
      </c>
      <c r="DN643" s="1" t="s">
        <v>975</v>
      </c>
      <c r="DO643" s="1">
        <v>2739051.0</v>
      </c>
      <c r="DP643" s="1">
        <v>1.0</v>
      </c>
      <c r="DQ643" s="1" t="s">
        <v>976</v>
      </c>
      <c r="DR643" s="1" t="s">
        <v>993</v>
      </c>
      <c r="DS643" s="1" t="s">
        <v>978</v>
      </c>
      <c r="DT643" s="1" t="s">
        <v>979</v>
      </c>
      <c r="DU643" s="1" t="s">
        <v>980</v>
      </c>
      <c r="DV643" s="1">
        <v>17144.0</v>
      </c>
      <c r="DX643" s="1">
        <v>3841.0</v>
      </c>
      <c r="DY643" s="1">
        <v>672559.0</v>
      </c>
      <c r="DZ643" s="1" t="s">
        <v>981</v>
      </c>
      <c r="EA643" s="1">
        <v>825.0</v>
      </c>
      <c r="EB643" s="1">
        <v>27429.0</v>
      </c>
      <c r="EC643" s="1">
        <v>1.0</v>
      </c>
      <c r="ED643" s="1">
        <v>26492.0</v>
      </c>
      <c r="EF643" s="1">
        <v>245.0</v>
      </c>
      <c r="EG643" s="1" t="s">
        <v>1032</v>
      </c>
      <c r="EH643" s="1">
        <v>100.0</v>
      </c>
      <c r="EK643" s="1">
        <v>100.0</v>
      </c>
      <c r="EQ643" s="9" t="s">
        <v>2770</v>
      </c>
      <c r="ER643" s="21">
        <v>46045.2990162037</v>
      </c>
    </row>
    <row r="644">
      <c r="A644" s="9" t="s">
        <v>2775</v>
      </c>
      <c r="B644" s="20" t="str">
        <f>IFERROR(__xludf.DUMMYFUNCTION("REGEXREPLACE(A644, ""^https?://[^/]+"", """")"),"/news-events/sales-xceleration-expands-their-national-presence-into-eight-new-markets/")</f>
        <v>/news-events/sales-xceleration-expands-their-national-presence-into-eight-new-markets/</v>
      </c>
      <c r="C644" s="1" t="s">
        <v>2776</v>
      </c>
      <c r="F644" s="1" t="s">
        <v>965</v>
      </c>
      <c r="G644" s="1">
        <v>200.0</v>
      </c>
      <c r="H644" s="1" t="s">
        <v>966</v>
      </c>
      <c r="I644" s="1" t="s">
        <v>967</v>
      </c>
      <c r="K644" s="1" t="s">
        <v>2777</v>
      </c>
      <c r="L644" s="1">
        <v>92.0</v>
      </c>
      <c r="M644" s="1">
        <v>839.0</v>
      </c>
      <c r="O644" s="1">
        <v>0.0</v>
      </c>
      <c r="P644" s="1">
        <v>0.0</v>
      </c>
      <c r="Q644" s="1" t="s">
        <v>2778</v>
      </c>
      <c r="R644" s="1">
        <v>155.0</v>
      </c>
      <c r="S644" s="1">
        <v>947.0</v>
      </c>
      <c r="U644" s="1">
        <v>0.0</v>
      </c>
      <c r="V644" s="1" t="s">
        <v>2776</v>
      </c>
      <c r="W644" s="1">
        <v>72.0</v>
      </c>
      <c r="Y644" s="1">
        <v>0.0</v>
      </c>
      <c r="AA644" s="1">
        <v>0.0</v>
      </c>
      <c r="AC644" s="1">
        <v>0.0</v>
      </c>
      <c r="AD644" s="1" t="s">
        <v>971</v>
      </c>
      <c r="AG644" s="9" t="s">
        <v>2775</v>
      </c>
      <c r="AM644" s="1">
        <v>172305.0</v>
      </c>
      <c r="AN644" s="1">
        <v>31441.0</v>
      </c>
      <c r="AO644" s="1">
        <v>31441.0</v>
      </c>
      <c r="AP644" s="1">
        <v>12.044</v>
      </c>
      <c r="AR644" s="1">
        <v>577.0</v>
      </c>
      <c r="AS644" s="1">
        <v>104.0</v>
      </c>
      <c r="AT644" s="1">
        <v>5.548</v>
      </c>
      <c r="AU644" s="1">
        <v>61.035</v>
      </c>
      <c r="AV644" s="1" t="s">
        <v>990</v>
      </c>
      <c r="AW644" s="1">
        <v>3.479</v>
      </c>
      <c r="AX644" s="1">
        <v>2.0</v>
      </c>
      <c r="AY644" s="1">
        <v>2.0</v>
      </c>
      <c r="AZ644" s="1">
        <v>1.0</v>
      </c>
      <c r="BA644" s="1">
        <v>1.0</v>
      </c>
      <c r="BB644" s="1">
        <v>1.0</v>
      </c>
      <c r="BC644" s="1">
        <v>0.0</v>
      </c>
      <c r="BD644" s="1">
        <v>0.13</v>
      </c>
      <c r="BE644" s="1">
        <v>125.0</v>
      </c>
      <c r="BF644" s="1">
        <v>43.0</v>
      </c>
      <c r="BG644" s="1">
        <v>0.0</v>
      </c>
      <c r="BH644" s="1">
        <v>18.0</v>
      </c>
      <c r="BI644" s="1">
        <v>9.0</v>
      </c>
      <c r="BJ644" s="1">
        <v>0.0</v>
      </c>
      <c r="BO644" s="1" t="s">
        <v>2779</v>
      </c>
      <c r="BP644" s="1">
        <v>0.977</v>
      </c>
      <c r="BU644" s="1" t="s">
        <v>974</v>
      </c>
      <c r="BV644" s="1">
        <v>1.1</v>
      </c>
      <c r="BW644" s="1">
        <v>53.0</v>
      </c>
      <c r="BX644" s="1">
        <v>4951.034</v>
      </c>
      <c r="BY644" s="1">
        <v>7657.272</v>
      </c>
      <c r="BZ644" s="1">
        <v>6901.048</v>
      </c>
      <c r="CA644" s="1">
        <v>20271.691</v>
      </c>
      <c r="CB644" s="1">
        <v>305.0</v>
      </c>
      <c r="CC644" s="1">
        <v>0.0</v>
      </c>
      <c r="CD644" s="1">
        <v>710359.0</v>
      </c>
      <c r="CE644" s="1">
        <v>900.0</v>
      </c>
      <c r="CF644" s="1">
        <v>176.0</v>
      </c>
      <c r="CG644" s="1">
        <v>2749408.0</v>
      </c>
      <c r="CH644" s="1">
        <v>32204.0</v>
      </c>
      <c r="CI644" s="1">
        <v>2.0</v>
      </c>
      <c r="CJ644" s="1">
        <v>127106.0</v>
      </c>
      <c r="CK644" s="1">
        <v>27.0</v>
      </c>
      <c r="CL644" s="1">
        <v>176286.0</v>
      </c>
      <c r="CM644" s="1">
        <v>41.0</v>
      </c>
      <c r="CN644" s="1">
        <v>1747816.0</v>
      </c>
      <c r="CO644" s="1">
        <v>68.0</v>
      </c>
      <c r="CP644" s="1">
        <v>640733.0</v>
      </c>
      <c r="CQ644" s="1">
        <v>10.0</v>
      </c>
      <c r="CR644" s="1">
        <v>0.0</v>
      </c>
      <c r="CS644" s="1">
        <v>0.0</v>
      </c>
      <c r="CT644" s="1">
        <v>25263.0</v>
      </c>
      <c r="CU644" s="1">
        <v>28.0</v>
      </c>
      <c r="CV644" s="1">
        <v>1832684.0</v>
      </c>
      <c r="CW644" s="1">
        <v>71.0</v>
      </c>
      <c r="DC644" s="1">
        <v>0.0</v>
      </c>
      <c r="DD644" s="1">
        <v>5075.0</v>
      </c>
      <c r="DE644" s="1">
        <v>0.0</v>
      </c>
      <c r="DF644" s="1">
        <v>3396.0</v>
      </c>
      <c r="DG644" s="1">
        <v>450.0</v>
      </c>
      <c r="DH644" s="1">
        <v>108320.0</v>
      </c>
      <c r="DI644" s="1">
        <v>450.0</v>
      </c>
      <c r="DJ644" s="1">
        <v>593568.0</v>
      </c>
      <c r="DK644" s="1">
        <v>1225.918</v>
      </c>
      <c r="DL644" s="1" t="s">
        <v>992</v>
      </c>
      <c r="DM644" s="1">
        <v>2352.505</v>
      </c>
      <c r="DN644" s="1" t="s">
        <v>975</v>
      </c>
      <c r="DO644" s="1">
        <v>2748903.0</v>
      </c>
      <c r="DP644" s="1">
        <v>1.0</v>
      </c>
      <c r="DQ644" s="1" t="s">
        <v>976</v>
      </c>
      <c r="DR644" s="1" t="s">
        <v>1464</v>
      </c>
      <c r="DS644" s="1" t="s">
        <v>978</v>
      </c>
      <c r="DT644" s="1" t="s">
        <v>979</v>
      </c>
      <c r="DU644" s="1" t="s">
        <v>980</v>
      </c>
      <c r="DV644" s="1">
        <v>17296.0</v>
      </c>
      <c r="DX644" s="1">
        <v>4034.0</v>
      </c>
      <c r="DY644" s="1">
        <v>677161.0</v>
      </c>
      <c r="EA644" s="1">
        <v>822.0</v>
      </c>
      <c r="EB644" s="1">
        <v>31882.0</v>
      </c>
      <c r="EC644" s="1">
        <v>3.0</v>
      </c>
      <c r="ED644" s="1">
        <v>26492.0</v>
      </c>
      <c r="EF644" s="1">
        <v>230.0</v>
      </c>
      <c r="EG644" s="1" t="s">
        <v>1032</v>
      </c>
      <c r="EH644" s="1">
        <v>100.0</v>
      </c>
      <c r="EK644" s="1">
        <v>100.0</v>
      </c>
      <c r="EQ644" s="9" t="s">
        <v>2775</v>
      </c>
      <c r="ER644" s="21">
        <v>46045.29902777778</v>
      </c>
    </row>
    <row r="645">
      <c r="A645" s="9" t="s">
        <v>2780</v>
      </c>
      <c r="B645" s="20" t="str">
        <f>IFERROR(__xludf.DUMMYFUNCTION("REGEXREPLACE(A645, ""^https?://[^/]+"", """")"),"/news-events/three-new-sales-leaders-providing-sales-expertise-at-a-fraction-of-the-cost/")</f>
        <v>/news-events/three-new-sales-leaders-providing-sales-expertise-at-a-fraction-of-the-cost/</v>
      </c>
      <c r="C645" s="1" t="s">
        <v>2781</v>
      </c>
      <c r="F645" s="1" t="s">
        <v>965</v>
      </c>
      <c r="G645" s="1">
        <v>200.0</v>
      </c>
      <c r="H645" s="1" t="s">
        <v>966</v>
      </c>
      <c r="I645" s="1" t="s">
        <v>967</v>
      </c>
      <c r="K645" s="1" t="s">
        <v>2782</v>
      </c>
      <c r="L645" s="1">
        <v>96.0</v>
      </c>
      <c r="M645" s="1">
        <v>854.0</v>
      </c>
      <c r="O645" s="1">
        <v>0.0</v>
      </c>
      <c r="P645" s="1">
        <v>0.0</v>
      </c>
      <c r="Q645" s="1" t="s">
        <v>2783</v>
      </c>
      <c r="R645" s="1">
        <v>155.0</v>
      </c>
      <c r="S645" s="1">
        <v>970.0</v>
      </c>
      <c r="U645" s="1">
        <v>0.0</v>
      </c>
      <c r="V645" s="1" t="s">
        <v>2781</v>
      </c>
      <c r="W645" s="1">
        <v>76.0</v>
      </c>
      <c r="Y645" s="1">
        <v>0.0</v>
      </c>
      <c r="AA645" s="1">
        <v>0.0</v>
      </c>
      <c r="AC645" s="1">
        <v>0.0</v>
      </c>
      <c r="AD645" s="1" t="s">
        <v>971</v>
      </c>
      <c r="AG645" s="9" t="s">
        <v>2780</v>
      </c>
      <c r="AM645" s="1">
        <v>175870.0</v>
      </c>
      <c r="AN645" s="1">
        <v>32615.0</v>
      </c>
      <c r="AO645" s="1">
        <v>32615.0</v>
      </c>
      <c r="AP645" s="1">
        <v>12.494</v>
      </c>
      <c r="AR645" s="1">
        <v>806.0</v>
      </c>
      <c r="AS645" s="1">
        <v>139.0</v>
      </c>
      <c r="AT645" s="1">
        <v>5.799</v>
      </c>
      <c r="AU645" s="1">
        <v>61.244</v>
      </c>
      <c r="AV645" s="1" t="s">
        <v>990</v>
      </c>
      <c r="AW645" s="1">
        <v>4.225</v>
      </c>
      <c r="AX645" s="1">
        <v>2.0</v>
      </c>
      <c r="AY645" s="1">
        <v>2.0</v>
      </c>
      <c r="AZ645" s="1">
        <v>1.0</v>
      </c>
      <c r="BA645" s="1">
        <v>1.0</v>
      </c>
      <c r="BB645" s="1">
        <v>1.0</v>
      </c>
      <c r="BC645" s="1">
        <v>0.0</v>
      </c>
      <c r="BD645" s="1">
        <v>0.13</v>
      </c>
      <c r="BE645" s="1">
        <v>129.0</v>
      </c>
      <c r="BF645" s="1">
        <v>47.0</v>
      </c>
      <c r="BG645" s="1">
        <v>0.0</v>
      </c>
      <c r="BH645" s="1">
        <v>19.0</v>
      </c>
      <c r="BI645" s="1">
        <v>11.0</v>
      </c>
      <c r="BJ645" s="1">
        <v>0.0</v>
      </c>
      <c r="BO645" s="1" t="s">
        <v>2784</v>
      </c>
      <c r="BP645" s="1">
        <v>0.962</v>
      </c>
      <c r="BU645" s="1" t="s">
        <v>974</v>
      </c>
      <c r="BV645" s="1">
        <v>1.1</v>
      </c>
      <c r="BW645" s="1">
        <v>45.0</v>
      </c>
      <c r="BX645" s="1">
        <v>3451.044</v>
      </c>
      <c r="BY645" s="1">
        <v>7174.22</v>
      </c>
      <c r="BZ645" s="1">
        <v>11551.157</v>
      </c>
      <c r="CA645" s="1">
        <v>20026.371</v>
      </c>
      <c r="CB645" s="1">
        <v>683.5</v>
      </c>
      <c r="CC645" s="1">
        <v>0.029</v>
      </c>
      <c r="CD645" s="1">
        <v>708847.0</v>
      </c>
      <c r="CE645" s="1">
        <v>1800.0</v>
      </c>
      <c r="CF645" s="1">
        <v>173.0</v>
      </c>
      <c r="CG645" s="1">
        <v>2706392.0</v>
      </c>
      <c r="CH645" s="1">
        <v>33353.0</v>
      </c>
      <c r="CI645" s="1">
        <v>2.0</v>
      </c>
      <c r="CJ645" s="1">
        <v>82871.0</v>
      </c>
      <c r="CK645" s="1">
        <v>25.0</v>
      </c>
      <c r="CL645" s="1">
        <v>176286.0</v>
      </c>
      <c r="CM645" s="1">
        <v>41.0</v>
      </c>
      <c r="CN645" s="1">
        <v>1748303.0</v>
      </c>
      <c r="CO645" s="1">
        <v>68.0</v>
      </c>
      <c r="CP645" s="1">
        <v>640719.0</v>
      </c>
      <c r="CQ645" s="1">
        <v>10.0</v>
      </c>
      <c r="CR645" s="1">
        <v>0.0</v>
      </c>
      <c r="CS645" s="1">
        <v>0.0</v>
      </c>
      <c r="CT645" s="1">
        <v>24860.0</v>
      </c>
      <c r="CU645" s="1">
        <v>27.0</v>
      </c>
      <c r="CV645" s="1">
        <v>1832462.0</v>
      </c>
      <c r="CW645" s="1">
        <v>70.0</v>
      </c>
      <c r="DC645" s="1">
        <v>0.0</v>
      </c>
      <c r="DD645" s="1">
        <v>5075.0</v>
      </c>
      <c r="DE645" s="1">
        <v>150.0</v>
      </c>
      <c r="DF645" s="1">
        <v>3401.0</v>
      </c>
      <c r="DG645" s="1">
        <v>600.0</v>
      </c>
      <c r="DH645" s="1">
        <v>108321.0</v>
      </c>
      <c r="DI645" s="1">
        <v>1050.0</v>
      </c>
      <c r="DJ645" s="1">
        <v>592050.0</v>
      </c>
      <c r="DK645" s="1">
        <v>2121.164</v>
      </c>
      <c r="DL645" s="1" t="s">
        <v>975</v>
      </c>
      <c r="DM645" s="1">
        <v>3876.828</v>
      </c>
      <c r="DN645" s="1" t="s">
        <v>975</v>
      </c>
      <c r="DO645" s="1">
        <v>2705887.0</v>
      </c>
      <c r="DP645" s="1">
        <v>1.0</v>
      </c>
      <c r="DQ645" s="1" t="s">
        <v>976</v>
      </c>
      <c r="DR645" s="1" t="s">
        <v>993</v>
      </c>
      <c r="DS645" s="1" t="s">
        <v>978</v>
      </c>
      <c r="DT645" s="1" t="s">
        <v>979</v>
      </c>
      <c r="DU645" s="1" t="s">
        <v>980</v>
      </c>
      <c r="DV645" s="1">
        <v>16695.0</v>
      </c>
      <c r="DX645" s="1">
        <v>3532.0</v>
      </c>
      <c r="DY645" s="1">
        <v>659462.0</v>
      </c>
      <c r="DZ645" s="1" t="s">
        <v>994</v>
      </c>
      <c r="EA645" s="1">
        <v>841.0</v>
      </c>
      <c r="EB645" s="1">
        <v>4453.0</v>
      </c>
      <c r="EC645" s="1">
        <v>19.0</v>
      </c>
      <c r="ED645" s="1">
        <v>26492.0</v>
      </c>
      <c r="EF645" s="1">
        <v>240.0</v>
      </c>
      <c r="EG645" s="1" t="s">
        <v>1032</v>
      </c>
      <c r="EH645" s="1">
        <v>100.0</v>
      </c>
      <c r="EK645" s="1">
        <v>100.0</v>
      </c>
      <c r="EQ645" s="9" t="s">
        <v>2780</v>
      </c>
      <c r="ER645" s="21">
        <v>46045.29902777778</v>
      </c>
    </row>
    <row r="646">
      <c r="A646" s="9" t="s">
        <v>2785</v>
      </c>
      <c r="B646" s="20" t="str">
        <f>IFERROR(__xludf.DUMMYFUNCTION("REGEXREPLACE(A646, ""^https?://[^/]+"", """")"),"/news-events/sales-xceleration-announces-a-partnership-with-claritysoft/")</f>
        <v>/news-events/sales-xceleration-announces-a-partnership-with-claritysoft/</v>
      </c>
      <c r="C646" s="1" t="s">
        <v>2786</v>
      </c>
      <c r="F646" s="1" t="s">
        <v>965</v>
      </c>
      <c r="G646" s="1">
        <v>200.0</v>
      </c>
      <c r="H646" s="1" t="s">
        <v>966</v>
      </c>
      <c r="I646" s="1" t="s">
        <v>967</v>
      </c>
      <c r="K646" s="1" t="s">
        <v>2787</v>
      </c>
      <c r="L646" s="1">
        <v>78.0</v>
      </c>
      <c r="M646" s="1">
        <v>696.0</v>
      </c>
      <c r="O646" s="1">
        <v>0.0</v>
      </c>
      <c r="P646" s="1">
        <v>0.0</v>
      </c>
      <c r="Q646" s="1" t="s">
        <v>2788</v>
      </c>
      <c r="R646" s="1">
        <v>158.0</v>
      </c>
      <c r="S646" s="1">
        <v>1013.0</v>
      </c>
      <c r="U646" s="1">
        <v>0.0</v>
      </c>
      <c r="V646" s="1" t="s">
        <v>2786</v>
      </c>
      <c r="W646" s="1">
        <v>58.0</v>
      </c>
      <c r="Y646" s="1">
        <v>0.0</v>
      </c>
      <c r="AA646" s="1">
        <v>0.0</v>
      </c>
      <c r="AC646" s="1">
        <v>0.0</v>
      </c>
      <c r="AD646" s="1" t="s">
        <v>971</v>
      </c>
      <c r="AG646" s="9" t="s">
        <v>2785</v>
      </c>
      <c r="AM646" s="1">
        <v>174785.0</v>
      </c>
      <c r="AN646" s="1">
        <v>32524.0</v>
      </c>
      <c r="AO646" s="1">
        <v>32524.0</v>
      </c>
      <c r="AP646" s="1">
        <v>12.459</v>
      </c>
      <c r="AR646" s="1">
        <v>873.0</v>
      </c>
      <c r="AS646" s="1">
        <v>147.0</v>
      </c>
      <c r="AT646" s="1">
        <v>5.939</v>
      </c>
      <c r="AU646" s="1">
        <v>59.42</v>
      </c>
      <c r="AV646" s="1" t="s">
        <v>972</v>
      </c>
      <c r="AW646" s="1">
        <v>4.536</v>
      </c>
      <c r="AX646" s="1">
        <v>2.0</v>
      </c>
      <c r="AY646" s="1">
        <v>2.0</v>
      </c>
      <c r="AZ646" s="1">
        <v>1.0</v>
      </c>
      <c r="BA646" s="1">
        <v>1.0</v>
      </c>
      <c r="BB646" s="1">
        <v>1.0</v>
      </c>
      <c r="BC646" s="1">
        <v>0.0</v>
      </c>
      <c r="BD646" s="1">
        <v>0.13</v>
      </c>
      <c r="BE646" s="1">
        <v>129.0</v>
      </c>
      <c r="BF646" s="1">
        <v>46.0</v>
      </c>
      <c r="BG646" s="1">
        <v>0.0</v>
      </c>
      <c r="BH646" s="1">
        <v>18.0</v>
      </c>
      <c r="BI646" s="1">
        <v>10.0</v>
      </c>
      <c r="BJ646" s="1">
        <v>0.0</v>
      </c>
      <c r="BO646" s="1" t="s">
        <v>2789</v>
      </c>
      <c r="BP646" s="1">
        <v>0.976</v>
      </c>
      <c r="BU646" s="1" t="s">
        <v>974</v>
      </c>
      <c r="BV646" s="1">
        <v>1.1</v>
      </c>
      <c r="BW646" s="1">
        <v>54.0</v>
      </c>
      <c r="BX646" s="1">
        <v>4501.045</v>
      </c>
      <c r="BY646" s="1">
        <v>7508.865</v>
      </c>
      <c r="BZ646" s="1">
        <v>8401.088</v>
      </c>
      <c r="CA646" s="1">
        <v>19292.773</v>
      </c>
      <c r="CB646" s="1">
        <v>278.0</v>
      </c>
      <c r="CC646" s="1">
        <v>0.0</v>
      </c>
      <c r="CD646" s="1">
        <v>710111.0</v>
      </c>
      <c r="CE646" s="1">
        <v>1500.0</v>
      </c>
      <c r="CF646" s="1">
        <v>169.0</v>
      </c>
      <c r="CG646" s="1">
        <v>2689620.0</v>
      </c>
      <c r="CH646" s="1">
        <v>33355.0</v>
      </c>
      <c r="CI646" s="1">
        <v>2.0</v>
      </c>
      <c r="CJ646" s="1">
        <v>66214.0</v>
      </c>
      <c r="CK646" s="1">
        <v>20.0</v>
      </c>
      <c r="CL646" s="1">
        <v>176278.0</v>
      </c>
      <c r="CM646" s="1">
        <v>41.0</v>
      </c>
      <c r="CN646" s="1">
        <v>1747803.0</v>
      </c>
      <c r="CO646" s="1">
        <v>68.0</v>
      </c>
      <c r="CP646" s="1">
        <v>640730.0</v>
      </c>
      <c r="CQ646" s="1">
        <v>10.0</v>
      </c>
      <c r="CR646" s="1">
        <v>0.0</v>
      </c>
      <c r="CS646" s="1">
        <v>0.0</v>
      </c>
      <c r="CT646" s="1">
        <v>25240.0</v>
      </c>
      <c r="CU646" s="1">
        <v>28.0</v>
      </c>
      <c r="CV646" s="1">
        <v>1832678.0</v>
      </c>
      <c r="CW646" s="1">
        <v>71.0</v>
      </c>
      <c r="DC646" s="1">
        <v>150.0</v>
      </c>
      <c r="DD646" s="1">
        <v>5075.0</v>
      </c>
      <c r="DE646" s="1">
        <v>0.0</v>
      </c>
      <c r="DF646" s="1">
        <v>3396.0</v>
      </c>
      <c r="DG646" s="1">
        <v>300.0</v>
      </c>
      <c r="DH646" s="1">
        <v>108320.0</v>
      </c>
      <c r="DI646" s="1">
        <v>1050.0</v>
      </c>
      <c r="DJ646" s="1">
        <v>593320.0</v>
      </c>
      <c r="DK646" s="1">
        <v>1527.077</v>
      </c>
      <c r="DL646" s="1" t="s">
        <v>975</v>
      </c>
      <c r="DM646" s="1">
        <v>2747.998</v>
      </c>
      <c r="DN646" s="1" t="s">
        <v>975</v>
      </c>
      <c r="DO646" s="1">
        <v>2689115.0</v>
      </c>
      <c r="DP646" s="1">
        <v>1.0</v>
      </c>
      <c r="DQ646" s="1" t="s">
        <v>976</v>
      </c>
      <c r="DR646" s="1" t="s">
        <v>1064</v>
      </c>
      <c r="DS646" s="1" t="s">
        <v>978</v>
      </c>
      <c r="DT646" s="1" t="s">
        <v>979</v>
      </c>
      <c r="DU646" s="1" t="s">
        <v>980</v>
      </c>
      <c r="DV646" s="1">
        <v>17151.0</v>
      </c>
      <c r="DX646" s="1">
        <v>3785.0</v>
      </c>
      <c r="DY646" s="1">
        <v>652807.0</v>
      </c>
      <c r="DZ646" s="1" t="s">
        <v>981</v>
      </c>
      <c r="EA646" s="1">
        <v>840.0</v>
      </c>
      <c r="EB646" s="1">
        <v>4453.0</v>
      </c>
      <c r="EC646" s="1">
        <v>24.0</v>
      </c>
      <c r="ED646" s="1">
        <v>26492.0</v>
      </c>
      <c r="EF646" s="1">
        <v>355.0</v>
      </c>
      <c r="EG646" s="1" t="s">
        <v>1032</v>
      </c>
      <c r="EH646" s="1">
        <v>100.0</v>
      </c>
      <c r="EK646" s="1">
        <v>100.0</v>
      </c>
      <c r="EQ646" s="9" t="s">
        <v>2785</v>
      </c>
      <c r="ER646" s="21">
        <v>46045.29902777778</v>
      </c>
    </row>
    <row r="647">
      <c r="A647" s="9" t="s">
        <v>2790</v>
      </c>
      <c r="B647" s="20" t="str">
        <f>IFERROR(__xludf.DUMMYFUNCTION("REGEXREPLACE(A647, ""^https?://[^/]+"", """")"),"/news-events/sales-xceleration-announces-presidents-club-and-first-annual-presidents-circle-winners/")</f>
        <v>/news-events/sales-xceleration-announces-presidents-club-and-first-annual-presidents-circle-winners/</v>
      </c>
      <c r="C647" s="1" t="s">
        <v>2791</v>
      </c>
      <c r="F647" s="1" t="s">
        <v>965</v>
      </c>
      <c r="G647" s="1">
        <v>200.0</v>
      </c>
      <c r="H647" s="1" t="s">
        <v>966</v>
      </c>
      <c r="I647" s="1" t="s">
        <v>967</v>
      </c>
      <c r="K647" s="1" t="s">
        <v>2792</v>
      </c>
      <c r="L647" s="1">
        <v>109.0</v>
      </c>
      <c r="M647" s="1">
        <v>985.0</v>
      </c>
      <c r="O647" s="1">
        <v>0.0</v>
      </c>
      <c r="P647" s="1">
        <v>0.0</v>
      </c>
      <c r="Q647" s="1" t="s">
        <v>2793</v>
      </c>
      <c r="R647" s="1">
        <v>158.0</v>
      </c>
      <c r="S647" s="1">
        <v>977.0</v>
      </c>
      <c r="U647" s="1">
        <v>0.0</v>
      </c>
      <c r="V647" s="1" t="s">
        <v>2791</v>
      </c>
      <c r="W647" s="1">
        <v>89.0</v>
      </c>
      <c r="Y647" s="1">
        <v>0.0</v>
      </c>
      <c r="AA647" s="1">
        <v>0.0</v>
      </c>
      <c r="AC647" s="1">
        <v>0.0</v>
      </c>
      <c r="AD647" s="1" t="s">
        <v>971</v>
      </c>
      <c r="AG647" s="9" t="s">
        <v>2790</v>
      </c>
      <c r="AM647" s="1">
        <v>185820.0</v>
      </c>
      <c r="AN647" s="1">
        <v>34385.0</v>
      </c>
      <c r="AO647" s="1">
        <v>34385.0</v>
      </c>
      <c r="AP647" s="1">
        <v>13.172</v>
      </c>
      <c r="AR647" s="1">
        <v>1179.0</v>
      </c>
      <c r="AS647" s="1">
        <v>194.0</v>
      </c>
      <c r="AT647" s="1">
        <v>6.077</v>
      </c>
      <c r="AU647" s="1">
        <v>53.28</v>
      </c>
      <c r="AV647" s="1" t="s">
        <v>972</v>
      </c>
      <c r="AW647" s="1">
        <v>5.466</v>
      </c>
      <c r="AX647" s="1">
        <v>2.0</v>
      </c>
      <c r="AY647" s="1">
        <v>2.0</v>
      </c>
      <c r="AZ647" s="1">
        <v>1.0</v>
      </c>
      <c r="BA647" s="1">
        <v>1.0</v>
      </c>
      <c r="BB647" s="1">
        <v>1.0</v>
      </c>
      <c r="BC647" s="1">
        <v>0.0</v>
      </c>
      <c r="BD647" s="1">
        <v>0.13</v>
      </c>
      <c r="BE647" s="1">
        <v>129.0</v>
      </c>
      <c r="BF647" s="1">
        <v>45.0</v>
      </c>
      <c r="BG647" s="1">
        <v>0.0</v>
      </c>
      <c r="BH647" s="1">
        <v>55.0</v>
      </c>
      <c r="BI647" s="1">
        <v>41.0</v>
      </c>
      <c r="BJ647" s="1">
        <v>0.0</v>
      </c>
      <c r="BO647" s="1" t="s">
        <v>2794</v>
      </c>
      <c r="BP647" s="1">
        <v>1.03</v>
      </c>
      <c r="BU647" s="1" t="s">
        <v>974</v>
      </c>
      <c r="BV647" s="1">
        <v>1.1</v>
      </c>
      <c r="BW647" s="1">
        <v>40.0</v>
      </c>
      <c r="BX647" s="1">
        <v>3451.044</v>
      </c>
      <c r="BY647" s="1">
        <v>7375.315</v>
      </c>
      <c r="BZ647" s="1">
        <v>11476.158</v>
      </c>
      <c r="CA647" s="1">
        <v>20367.1</v>
      </c>
      <c r="CB647" s="1">
        <v>1004.0</v>
      </c>
      <c r="CC647" s="1">
        <v>0.028</v>
      </c>
      <c r="CD647" s="1">
        <v>709288.0</v>
      </c>
      <c r="CE647" s="1">
        <v>1650.0</v>
      </c>
      <c r="CF647" s="1">
        <v>167.0</v>
      </c>
      <c r="CG647" s="1">
        <v>2691966.0</v>
      </c>
      <c r="CH647" s="1">
        <v>35086.0</v>
      </c>
      <c r="CI647" s="1">
        <v>2.0</v>
      </c>
      <c r="CJ647" s="1">
        <v>66389.0</v>
      </c>
      <c r="CK647" s="1">
        <v>17.0</v>
      </c>
      <c r="CL647" s="1">
        <v>176282.0</v>
      </c>
      <c r="CM647" s="1">
        <v>41.0</v>
      </c>
      <c r="CN647" s="1">
        <v>1747889.0</v>
      </c>
      <c r="CO647" s="1">
        <v>68.0</v>
      </c>
      <c r="CP647" s="1">
        <v>640739.0</v>
      </c>
      <c r="CQ647" s="1">
        <v>10.0</v>
      </c>
      <c r="CR647" s="1">
        <v>0.0</v>
      </c>
      <c r="CS647" s="1">
        <v>0.0</v>
      </c>
      <c r="CT647" s="1">
        <v>25581.0</v>
      </c>
      <c r="CU647" s="1">
        <v>29.0</v>
      </c>
      <c r="CV647" s="1">
        <v>1832501.0</v>
      </c>
      <c r="CW647" s="1">
        <v>68.0</v>
      </c>
      <c r="DC647" s="1">
        <v>150.0</v>
      </c>
      <c r="DD647" s="1">
        <v>5075.0</v>
      </c>
      <c r="DE647" s="1">
        <v>0.0</v>
      </c>
      <c r="DF647" s="1">
        <v>3401.0</v>
      </c>
      <c r="DG647" s="1">
        <v>450.0</v>
      </c>
      <c r="DH647" s="1">
        <v>108304.0</v>
      </c>
      <c r="DI647" s="1">
        <v>1050.0</v>
      </c>
      <c r="DJ647" s="1">
        <v>592508.0</v>
      </c>
      <c r="DK647" s="1">
        <v>2591.724</v>
      </c>
      <c r="DL647" s="1" t="s">
        <v>975</v>
      </c>
      <c r="DM647" s="1">
        <v>4707.954</v>
      </c>
      <c r="DN647" s="1" t="s">
        <v>975</v>
      </c>
      <c r="DO647" s="1">
        <v>2691967.0</v>
      </c>
      <c r="DP647" s="1">
        <v>1.0</v>
      </c>
      <c r="DQ647" s="1" t="s">
        <v>976</v>
      </c>
      <c r="DR647" s="1" t="s">
        <v>1014</v>
      </c>
      <c r="DS647" s="1" t="s">
        <v>978</v>
      </c>
      <c r="DT647" s="1" t="s">
        <v>979</v>
      </c>
      <c r="DU647" s="1" t="s">
        <v>980</v>
      </c>
      <c r="DV647" s="1">
        <v>16694.0</v>
      </c>
      <c r="DX647" s="1">
        <v>3920.0</v>
      </c>
      <c r="DY647" s="1">
        <v>652806.0</v>
      </c>
      <c r="DZ647" s="1" t="s">
        <v>994</v>
      </c>
      <c r="EA647" s="1">
        <v>1004.0</v>
      </c>
      <c r="EB647" s="1">
        <v>4453.0</v>
      </c>
      <c r="EC647" s="1">
        <v>53.0</v>
      </c>
      <c r="ED647" s="1">
        <v>26492.0</v>
      </c>
      <c r="EF647" s="1">
        <v>230.0</v>
      </c>
      <c r="EG647" s="1" t="s">
        <v>1032</v>
      </c>
      <c r="EH647" s="1">
        <v>100.0</v>
      </c>
      <c r="EK647" s="1">
        <v>100.0</v>
      </c>
      <c r="EQ647" s="9" t="s">
        <v>2790</v>
      </c>
      <c r="ER647" s="21">
        <v>46045.29902777778</v>
      </c>
    </row>
    <row r="648">
      <c r="A648" s="9" t="s">
        <v>2795</v>
      </c>
      <c r="B648" s="20" t="str">
        <f>IFERROR(__xludf.DUMMYFUNCTION("REGEXREPLACE(A648, ""^https?://[^/]+"", """")"),"/news-events/sales-xceleration-expands-adding-eleven-sales-leadership-consultants/")</f>
        <v>/news-events/sales-xceleration-expands-adding-eleven-sales-leadership-consultants/</v>
      </c>
      <c r="C648" s="1" t="s">
        <v>2796</v>
      </c>
      <c r="F648" s="1" t="s">
        <v>965</v>
      </c>
      <c r="G648" s="1">
        <v>200.0</v>
      </c>
      <c r="H648" s="1" t="s">
        <v>966</v>
      </c>
      <c r="I648" s="1" t="s">
        <v>967</v>
      </c>
      <c r="K648" s="1" t="s">
        <v>2797</v>
      </c>
      <c r="L648" s="1">
        <v>89.0</v>
      </c>
      <c r="M648" s="1">
        <v>812.0</v>
      </c>
      <c r="O648" s="1">
        <v>0.0</v>
      </c>
      <c r="P648" s="1">
        <v>0.0</v>
      </c>
      <c r="Q648" s="1" t="s">
        <v>2798</v>
      </c>
      <c r="R648" s="1">
        <v>156.0</v>
      </c>
      <c r="S648" s="1">
        <v>988.0</v>
      </c>
      <c r="U648" s="1">
        <v>0.0</v>
      </c>
      <c r="V648" s="1" t="s">
        <v>2796</v>
      </c>
      <c r="W648" s="1">
        <v>69.0</v>
      </c>
      <c r="Y648" s="1">
        <v>0.0</v>
      </c>
      <c r="AA648" s="1">
        <v>0.0</v>
      </c>
      <c r="AC648" s="1">
        <v>0.0</v>
      </c>
      <c r="AD648" s="1" t="s">
        <v>971</v>
      </c>
      <c r="AG648" s="9" t="s">
        <v>2795</v>
      </c>
      <c r="AM648" s="1">
        <v>178795.0</v>
      </c>
      <c r="AN648" s="1">
        <v>32892.0</v>
      </c>
      <c r="AO648" s="1">
        <v>32892.0</v>
      </c>
      <c r="AP648" s="1">
        <v>12.6</v>
      </c>
      <c r="AR648" s="1">
        <v>849.0</v>
      </c>
      <c r="AS648" s="1">
        <v>136.0</v>
      </c>
      <c r="AT648" s="1">
        <v>6.243</v>
      </c>
      <c r="AU648" s="1">
        <v>60.894</v>
      </c>
      <c r="AV648" s="1" t="s">
        <v>990</v>
      </c>
      <c r="AW648" s="1">
        <v>4.308</v>
      </c>
      <c r="AX648" s="1">
        <v>2.0</v>
      </c>
      <c r="AY648" s="1">
        <v>2.0</v>
      </c>
      <c r="AZ648" s="1">
        <v>1.0</v>
      </c>
      <c r="BA648" s="1">
        <v>1.0</v>
      </c>
      <c r="BB648" s="1">
        <v>1.0</v>
      </c>
      <c r="BC648" s="1">
        <v>0.0</v>
      </c>
      <c r="BD648" s="1">
        <v>0.13</v>
      </c>
      <c r="BE648" s="1">
        <v>129.0</v>
      </c>
      <c r="BF648" s="1">
        <v>46.0</v>
      </c>
      <c r="BG648" s="1">
        <v>0.0</v>
      </c>
      <c r="BH648" s="1">
        <v>20.0</v>
      </c>
      <c r="BI648" s="1">
        <v>12.0</v>
      </c>
      <c r="BJ648" s="1">
        <v>0.0</v>
      </c>
      <c r="BO648" s="1" t="s">
        <v>2799</v>
      </c>
      <c r="BP648" s="1">
        <v>1.007</v>
      </c>
      <c r="BU648" s="1" t="s">
        <v>974</v>
      </c>
      <c r="BV648" s="1">
        <v>1.1</v>
      </c>
      <c r="BW648" s="1">
        <v>45.0</v>
      </c>
      <c r="BX648" s="1">
        <v>4201.075</v>
      </c>
      <c r="BY648" s="1">
        <v>6616.822</v>
      </c>
      <c r="BZ648" s="1">
        <v>9151.169</v>
      </c>
      <c r="CA648" s="1">
        <v>19926.465</v>
      </c>
      <c r="CB648" s="1">
        <v>653.5</v>
      </c>
      <c r="CC648" s="1">
        <v>0.001</v>
      </c>
      <c r="CD648" s="1">
        <v>711089.0</v>
      </c>
      <c r="CE648" s="1">
        <v>1500.0</v>
      </c>
      <c r="CF648" s="1">
        <v>170.0</v>
      </c>
      <c r="CG648" s="1">
        <v>2689872.0</v>
      </c>
      <c r="CH648" s="1">
        <v>33597.0</v>
      </c>
      <c r="CI648" s="1">
        <v>2.0</v>
      </c>
      <c r="CJ648" s="1">
        <v>66175.0</v>
      </c>
      <c r="CK648" s="1">
        <v>20.0</v>
      </c>
      <c r="CL648" s="1">
        <v>175412.0</v>
      </c>
      <c r="CM648" s="1">
        <v>41.0</v>
      </c>
      <c r="CN648" s="1">
        <v>1748176.0</v>
      </c>
      <c r="CO648" s="1">
        <v>68.0</v>
      </c>
      <c r="CP648" s="1">
        <v>640725.0</v>
      </c>
      <c r="CQ648" s="1">
        <v>10.0</v>
      </c>
      <c r="CR648" s="1">
        <v>0.0</v>
      </c>
      <c r="CS648" s="1">
        <v>0.0</v>
      </c>
      <c r="CT648" s="1">
        <v>25787.0</v>
      </c>
      <c r="CU648" s="1">
        <v>29.0</v>
      </c>
      <c r="CV648" s="1">
        <v>1832731.0</v>
      </c>
      <c r="CW648" s="1">
        <v>72.0</v>
      </c>
      <c r="DC648" s="1">
        <v>150.0</v>
      </c>
      <c r="DD648" s="1">
        <v>5075.0</v>
      </c>
      <c r="DE648" s="1">
        <v>0.0</v>
      </c>
      <c r="DF648" s="1">
        <v>3396.0</v>
      </c>
      <c r="DG648" s="1">
        <v>300.0</v>
      </c>
      <c r="DH648" s="1">
        <v>108321.0</v>
      </c>
      <c r="DI648" s="1">
        <v>1050.0</v>
      </c>
      <c r="DJ648" s="1">
        <v>594297.0</v>
      </c>
      <c r="DK648" s="1">
        <v>2203.109</v>
      </c>
      <c r="DL648" s="1" t="s">
        <v>975</v>
      </c>
      <c r="DM648" s="1">
        <v>3996.122</v>
      </c>
      <c r="DN648" s="1" t="s">
        <v>975</v>
      </c>
      <c r="DO648" s="1">
        <v>2689367.0</v>
      </c>
      <c r="DP648" s="1">
        <v>1.0</v>
      </c>
      <c r="DQ648" s="1" t="s">
        <v>976</v>
      </c>
      <c r="DR648" s="1" t="s">
        <v>1064</v>
      </c>
      <c r="DS648" s="1" t="s">
        <v>978</v>
      </c>
      <c r="DT648" s="1" t="s">
        <v>979</v>
      </c>
      <c r="DU648" s="1" t="s">
        <v>980</v>
      </c>
      <c r="DV648" s="1">
        <v>17145.0</v>
      </c>
      <c r="DX648" s="1">
        <v>3783.0</v>
      </c>
      <c r="DY648" s="1">
        <v>652793.0</v>
      </c>
      <c r="DZ648" s="1" t="s">
        <v>994</v>
      </c>
      <c r="EA648" s="1">
        <v>843.0</v>
      </c>
      <c r="EB648" s="1">
        <v>4453.0</v>
      </c>
      <c r="EC648" s="1">
        <v>35.0</v>
      </c>
      <c r="ED648" s="1">
        <v>26492.0</v>
      </c>
      <c r="EF648" s="1">
        <v>230.0</v>
      </c>
      <c r="EG648" s="1" t="s">
        <v>1032</v>
      </c>
      <c r="EH648" s="1">
        <v>100.0</v>
      </c>
      <c r="EK648" s="1">
        <v>100.0</v>
      </c>
      <c r="EQ648" s="9" t="s">
        <v>2795</v>
      </c>
      <c r="ER648" s="21">
        <v>46045.29902777778</v>
      </c>
    </row>
    <row r="649">
      <c r="A649" s="9" t="s">
        <v>2800</v>
      </c>
      <c r="B649" s="20" t="str">
        <f>IFERROR(__xludf.DUMMYFUNCTION("REGEXREPLACE(A649, ""^https?://[^/]+"", """")"),"/news-events/sales-xceleration-expands-expertise-with-the-introduction-of-dynamic-sales-growth-leaders/")</f>
        <v>/news-events/sales-xceleration-expands-expertise-with-the-introduction-of-dynamic-sales-growth-leaders/</v>
      </c>
      <c r="C649" s="1" t="s">
        <v>2801</v>
      </c>
      <c r="D649" s="1" t="s">
        <v>2697</v>
      </c>
      <c r="F649" s="1" t="s">
        <v>965</v>
      </c>
      <c r="G649" s="1">
        <v>200.0</v>
      </c>
      <c r="H649" s="1" t="s">
        <v>966</v>
      </c>
      <c r="I649" s="1" t="s">
        <v>967</v>
      </c>
      <c r="K649" s="1" t="s">
        <v>2802</v>
      </c>
      <c r="L649" s="1">
        <v>109.0</v>
      </c>
      <c r="M649" s="1">
        <v>990.0</v>
      </c>
      <c r="O649" s="1">
        <v>0.0</v>
      </c>
      <c r="P649" s="1">
        <v>0.0</v>
      </c>
      <c r="Q649" s="1" t="s">
        <v>2803</v>
      </c>
      <c r="R649" s="1">
        <v>156.0</v>
      </c>
      <c r="S649" s="1">
        <v>979.0</v>
      </c>
      <c r="U649" s="1">
        <v>0.0</v>
      </c>
      <c r="V649" s="1" t="s">
        <v>2801</v>
      </c>
      <c r="W649" s="1">
        <v>89.0</v>
      </c>
      <c r="Y649" s="1">
        <v>0.0</v>
      </c>
      <c r="Z649" s="1" t="s">
        <v>2697</v>
      </c>
      <c r="AA649" s="1">
        <v>24.0</v>
      </c>
      <c r="AC649" s="1">
        <v>0.0</v>
      </c>
      <c r="AD649" s="1" t="s">
        <v>971</v>
      </c>
      <c r="AG649" s="9" t="s">
        <v>2800</v>
      </c>
      <c r="AM649" s="1">
        <v>177045.0</v>
      </c>
      <c r="AN649" s="1">
        <v>32902.0</v>
      </c>
      <c r="AO649" s="1">
        <v>32902.0</v>
      </c>
      <c r="AP649" s="1">
        <v>12.604</v>
      </c>
      <c r="AR649" s="1">
        <v>914.0</v>
      </c>
      <c r="AS649" s="1">
        <v>148.0</v>
      </c>
      <c r="AT649" s="1">
        <v>6.176</v>
      </c>
      <c r="AU649" s="1">
        <v>54.136</v>
      </c>
      <c r="AV649" s="1" t="s">
        <v>972</v>
      </c>
      <c r="AW649" s="1">
        <v>4.718</v>
      </c>
      <c r="AX649" s="1">
        <v>2.0</v>
      </c>
      <c r="AY649" s="1">
        <v>2.0</v>
      </c>
      <c r="AZ649" s="1">
        <v>1.0</v>
      </c>
      <c r="BA649" s="1">
        <v>1.0</v>
      </c>
      <c r="BB649" s="1">
        <v>1.0</v>
      </c>
      <c r="BC649" s="1">
        <v>0.0</v>
      </c>
      <c r="BD649" s="1">
        <v>0.13</v>
      </c>
      <c r="BE649" s="1">
        <v>128.0</v>
      </c>
      <c r="BF649" s="1">
        <v>44.0</v>
      </c>
      <c r="BG649" s="1">
        <v>0.0</v>
      </c>
      <c r="BH649" s="1">
        <v>19.0</v>
      </c>
      <c r="BI649" s="1">
        <v>11.0</v>
      </c>
      <c r="BJ649" s="1">
        <v>0.0</v>
      </c>
      <c r="BO649" s="1" t="s">
        <v>2804</v>
      </c>
      <c r="BP649" s="1">
        <v>1.04</v>
      </c>
      <c r="BU649" s="1" t="s">
        <v>974</v>
      </c>
      <c r="BV649" s="1">
        <v>1.1</v>
      </c>
      <c r="BW649" s="1">
        <v>46.0</v>
      </c>
      <c r="BX649" s="1">
        <v>4951.048</v>
      </c>
      <c r="BY649" s="1">
        <v>8045.271</v>
      </c>
      <c r="BZ649" s="1">
        <v>9976.1</v>
      </c>
      <c r="CA649" s="1">
        <v>20894.324</v>
      </c>
      <c r="CB649" s="1">
        <v>465.5</v>
      </c>
      <c r="CC649" s="1">
        <v>0.02</v>
      </c>
      <c r="CD649" s="1">
        <v>709581.0</v>
      </c>
      <c r="CE649" s="1">
        <v>1200.0</v>
      </c>
      <c r="CF649" s="1">
        <v>169.0</v>
      </c>
      <c r="CG649" s="1">
        <v>2690180.0</v>
      </c>
      <c r="CH649" s="1">
        <v>33605.0</v>
      </c>
      <c r="CI649" s="1">
        <v>2.0</v>
      </c>
      <c r="CJ649" s="1">
        <v>66204.0</v>
      </c>
      <c r="CK649" s="1">
        <v>20.0</v>
      </c>
      <c r="CL649" s="1">
        <v>176280.0</v>
      </c>
      <c r="CM649" s="1">
        <v>41.0</v>
      </c>
      <c r="CN649" s="1">
        <v>1747800.0</v>
      </c>
      <c r="CO649" s="1">
        <v>68.0</v>
      </c>
      <c r="CP649" s="1">
        <v>640725.0</v>
      </c>
      <c r="CQ649" s="1">
        <v>10.0</v>
      </c>
      <c r="CR649" s="1">
        <v>0.0</v>
      </c>
      <c r="CS649" s="1">
        <v>0.0</v>
      </c>
      <c r="CT649" s="1">
        <v>25566.0</v>
      </c>
      <c r="CU649" s="1">
        <v>28.0</v>
      </c>
      <c r="CV649" s="1">
        <v>1832897.0</v>
      </c>
      <c r="CW649" s="1">
        <v>71.0</v>
      </c>
      <c r="DC649" s="1">
        <v>0.0</v>
      </c>
      <c r="DD649" s="1">
        <v>5075.0</v>
      </c>
      <c r="DE649" s="1">
        <v>0.0</v>
      </c>
      <c r="DF649" s="1">
        <v>3401.0</v>
      </c>
      <c r="DG649" s="1">
        <v>450.0</v>
      </c>
      <c r="DH649" s="1">
        <v>108203.0</v>
      </c>
      <c r="DI649" s="1">
        <v>750.0</v>
      </c>
      <c r="DJ649" s="1">
        <v>592902.0</v>
      </c>
      <c r="DK649" s="1">
        <v>1644.864</v>
      </c>
      <c r="DL649" s="1" t="s">
        <v>975</v>
      </c>
      <c r="DM649" s="1">
        <v>3028.499</v>
      </c>
      <c r="DN649" s="1" t="s">
        <v>975</v>
      </c>
      <c r="DO649" s="1">
        <v>2689675.0</v>
      </c>
      <c r="DP649" s="1">
        <v>1.0</v>
      </c>
      <c r="DQ649" s="1" t="s">
        <v>976</v>
      </c>
      <c r="DR649" s="1" t="s">
        <v>2805</v>
      </c>
      <c r="DS649" s="1" t="s">
        <v>978</v>
      </c>
      <c r="DT649" s="1" t="s">
        <v>979</v>
      </c>
      <c r="DU649" s="1" t="s">
        <v>980</v>
      </c>
      <c r="DV649" s="1">
        <v>17297.0</v>
      </c>
      <c r="DX649" s="1">
        <v>3969.0</v>
      </c>
      <c r="DY649" s="1">
        <v>652811.0</v>
      </c>
      <c r="DZ649" s="1" t="s">
        <v>981</v>
      </c>
      <c r="EA649" s="1">
        <v>844.0</v>
      </c>
      <c r="EB649" s="1">
        <v>4453.0</v>
      </c>
      <c r="EC649" s="1">
        <v>47.0</v>
      </c>
      <c r="ED649" s="1">
        <v>26492.0</v>
      </c>
      <c r="EF649" s="1">
        <v>230.0</v>
      </c>
      <c r="EG649" s="1" t="s">
        <v>1032</v>
      </c>
      <c r="EH649" s="1">
        <v>100.0</v>
      </c>
      <c r="EK649" s="1">
        <v>100.0</v>
      </c>
      <c r="EQ649" s="9" t="s">
        <v>2800</v>
      </c>
      <c r="ER649" s="21">
        <v>46045.29903935185</v>
      </c>
    </row>
    <row r="650">
      <c r="A650" s="9" t="s">
        <v>2806</v>
      </c>
      <c r="B650" s="20" t="str">
        <f>IFERROR(__xludf.DUMMYFUNCTION("REGEXREPLACE(A650, ""^https?://[^/]+"", """")"),"/news-events/sales-xceleration-reaches-milestone-of-100-consultants-and-launches-hero100-campaign/")</f>
        <v>/news-events/sales-xceleration-reaches-milestone-of-100-consultants-and-launches-hero100-campaign/</v>
      </c>
      <c r="C650" s="1" t="s">
        <v>2807</v>
      </c>
      <c r="F650" s="1" t="s">
        <v>965</v>
      </c>
      <c r="G650" s="1">
        <v>200.0</v>
      </c>
      <c r="H650" s="1" t="s">
        <v>966</v>
      </c>
      <c r="I650" s="1" t="s">
        <v>967</v>
      </c>
      <c r="K650" s="1" t="s">
        <v>2808</v>
      </c>
      <c r="L650" s="1">
        <v>105.0</v>
      </c>
      <c r="M650" s="1">
        <v>992.0</v>
      </c>
      <c r="O650" s="1">
        <v>0.0</v>
      </c>
      <c r="P650" s="1">
        <v>0.0</v>
      </c>
      <c r="Q650" s="1" t="s">
        <v>2809</v>
      </c>
      <c r="R650" s="1">
        <v>154.0</v>
      </c>
      <c r="S650" s="1">
        <v>984.0</v>
      </c>
      <c r="U650" s="1">
        <v>0.0</v>
      </c>
      <c r="V650" s="1" t="s">
        <v>2807</v>
      </c>
      <c r="W650" s="1">
        <v>85.0</v>
      </c>
      <c r="Y650" s="1">
        <v>0.0</v>
      </c>
      <c r="AA650" s="1">
        <v>0.0</v>
      </c>
      <c r="AC650" s="1">
        <v>0.0</v>
      </c>
      <c r="AD650" s="1" t="s">
        <v>971</v>
      </c>
      <c r="AG650" s="9" t="s">
        <v>2806</v>
      </c>
      <c r="AM650" s="1">
        <v>177900.0</v>
      </c>
      <c r="AN650" s="1">
        <v>33074.0</v>
      </c>
      <c r="AO650" s="1">
        <v>33074.0</v>
      </c>
      <c r="AP650" s="1">
        <v>12.67</v>
      </c>
      <c r="AR650" s="1">
        <v>1042.0</v>
      </c>
      <c r="AS650" s="1">
        <v>171.0</v>
      </c>
      <c r="AT650" s="1">
        <v>6.094</v>
      </c>
      <c r="AU650" s="1">
        <v>55.888</v>
      </c>
      <c r="AV650" s="1" t="s">
        <v>972</v>
      </c>
      <c r="AW650" s="1">
        <v>5.122</v>
      </c>
      <c r="AX650" s="1">
        <v>2.0</v>
      </c>
      <c r="AY650" s="1">
        <v>2.0</v>
      </c>
      <c r="AZ650" s="1">
        <v>1.0</v>
      </c>
      <c r="BA650" s="1">
        <v>1.0</v>
      </c>
      <c r="BB650" s="1">
        <v>1.0</v>
      </c>
      <c r="BC650" s="1">
        <v>0.0</v>
      </c>
      <c r="BD650" s="1">
        <v>0.13</v>
      </c>
      <c r="BE650" s="1">
        <v>128.0</v>
      </c>
      <c r="BF650" s="1">
        <v>44.0</v>
      </c>
      <c r="BG650" s="1">
        <v>0.0</v>
      </c>
      <c r="BH650" s="1">
        <v>17.0</v>
      </c>
      <c r="BI650" s="1">
        <v>9.0</v>
      </c>
      <c r="BJ650" s="1">
        <v>0.0</v>
      </c>
      <c r="BO650" s="1" t="s">
        <v>2810</v>
      </c>
      <c r="BP650" s="1">
        <v>1.077</v>
      </c>
      <c r="BU650" s="1" t="s">
        <v>974</v>
      </c>
      <c r="BV650" s="1">
        <v>1.1</v>
      </c>
      <c r="BW650" s="1">
        <v>55.0</v>
      </c>
      <c r="BX650" s="1">
        <v>4801.028</v>
      </c>
      <c r="BY650" s="1">
        <v>8137.649</v>
      </c>
      <c r="BZ650" s="1">
        <v>10726.065</v>
      </c>
      <c r="CA650" s="1">
        <v>20525.283</v>
      </c>
      <c r="CB650" s="1">
        <v>209.5</v>
      </c>
      <c r="CC650" s="1">
        <v>0.02</v>
      </c>
      <c r="CD650" s="1">
        <v>710844.0</v>
      </c>
      <c r="CE650" s="1">
        <v>1200.0</v>
      </c>
      <c r="CF650" s="1">
        <v>169.0</v>
      </c>
      <c r="CG650" s="1">
        <v>2691074.0</v>
      </c>
      <c r="CH650" s="1">
        <v>33861.0</v>
      </c>
      <c r="CI650" s="1">
        <v>2.0</v>
      </c>
      <c r="CJ650" s="1">
        <v>66466.0</v>
      </c>
      <c r="CK650" s="1">
        <v>20.0</v>
      </c>
      <c r="CL650" s="1">
        <v>176277.0</v>
      </c>
      <c r="CM650" s="1">
        <v>41.0</v>
      </c>
      <c r="CN650" s="1">
        <v>1747890.0</v>
      </c>
      <c r="CO650" s="1">
        <v>68.0</v>
      </c>
      <c r="CP650" s="1">
        <v>640723.0</v>
      </c>
      <c r="CQ650" s="1">
        <v>10.0</v>
      </c>
      <c r="CR650" s="1">
        <v>0.0</v>
      </c>
      <c r="CS650" s="1">
        <v>0.0</v>
      </c>
      <c r="CT650" s="1">
        <v>25857.0</v>
      </c>
      <c r="CU650" s="1">
        <v>28.0</v>
      </c>
      <c r="CV650" s="1">
        <v>1832736.0</v>
      </c>
      <c r="CW650" s="1">
        <v>71.0</v>
      </c>
      <c r="DC650" s="1">
        <v>0.0</v>
      </c>
      <c r="DD650" s="1">
        <v>5075.0</v>
      </c>
      <c r="DE650" s="1">
        <v>0.0</v>
      </c>
      <c r="DF650" s="1">
        <v>3396.0</v>
      </c>
      <c r="DG650" s="1">
        <v>300.0</v>
      </c>
      <c r="DH650" s="1">
        <v>108302.0</v>
      </c>
      <c r="DI650" s="1">
        <v>900.0</v>
      </c>
      <c r="DJ650" s="1">
        <v>594071.0</v>
      </c>
      <c r="DK650" s="1">
        <v>1370.194</v>
      </c>
      <c r="DL650" s="1" t="s">
        <v>975</v>
      </c>
      <c r="DM650" s="1">
        <v>2507.101</v>
      </c>
      <c r="DN650" s="1" t="s">
        <v>975</v>
      </c>
      <c r="DO650" s="1">
        <v>2690569.0</v>
      </c>
      <c r="DP650" s="1">
        <v>1.0</v>
      </c>
      <c r="DQ650" s="1" t="s">
        <v>976</v>
      </c>
      <c r="DR650" s="1" t="s">
        <v>1170</v>
      </c>
      <c r="DS650" s="1" t="s">
        <v>978</v>
      </c>
      <c r="DT650" s="1" t="s">
        <v>979</v>
      </c>
      <c r="DU650" s="1" t="s">
        <v>980</v>
      </c>
      <c r="DV650" s="1">
        <v>17296.0</v>
      </c>
      <c r="DX650" s="1">
        <v>4343.0</v>
      </c>
      <c r="DY650" s="1">
        <v>653070.0</v>
      </c>
      <c r="DZ650" s="1" t="s">
        <v>981</v>
      </c>
      <c r="EA650" s="1">
        <v>845.0</v>
      </c>
      <c r="EB650" s="1">
        <v>4453.0</v>
      </c>
      <c r="EC650" s="1">
        <v>2.0</v>
      </c>
      <c r="ED650" s="1">
        <v>26492.0</v>
      </c>
      <c r="EF650" s="1">
        <v>210.0</v>
      </c>
      <c r="EG650" s="1" t="s">
        <v>1032</v>
      </c>
      <c r="EH650" s="1">
        <v>100.0</v>
      </c>
      <c r="EK650" s="1">
        <v>100.0</v>
      </c>
      <c r="EQ650" s="9" t="s">
        <v>2806</v>
      </c>
      <c r="ER650" s="21">
        <v>46045.29903935185</v>
      </c>
    </row>
    <row r="651">
      <c r="A651" s="9" t="s">
        <v>2811</v>
      </c>
      <c r="B651" s="20" t="str">
        <f>IFERROR(__xludf.DUMMYFUNCTION("REGEXREPLACE(A651, ""^https?://[^/]+"", """")"),"/news-events/book-launch-beyond-the-mountaintop/")</f>
        <v>/news-events/book-launch-beyond-the-mountaintop/</v>
      </c>
      <c r="C651" s="1" t="s">
        <v>2812</v>
      </c>
      <c r="F651" s="1" t="s">
        <v>965</v>
      </c>
      <c r="G651" s="1">
        <v>200.0</v>
      </c>
      <c r="H651" s="1" t="s">
        <v>966</v>
      </c>
      <c r="I651" s="1" t="s">
        <v>967</v>
      </c>
      <c r="K651" s="1" t="s">
        <v>2813</v>
      </c>
      <c r="L651" s="1">
        <v>55.0</v>
      </c>
      <c r="M651" s="1">
        <v>517.0</v>
      </c>
      <c r="O651" s="1">
        <v>0.0</v>
      </c>
      <c r="P651" s="1">
        <v>0.0</v>
      </c>
      <c r="Q651" s="1" t="s">
        <v>2814</v>
      </c>
      <c r="R651" s="1">
        <v>156.0</v>
      </c>
      <c r="S651" s="1">
        <v>960.0</v>
      </c>
      <c r="U651" s="1">
        <v>0.0</v>
      </c>
      <c r="V651" s="1" t="s">
        <v>2812</v>
      </c>
      <c r="W651" s="1">
        <v>35.0</v>
      </c>
      <c r="Y651" s="1">
        <v>0.0</v>
      </c>
      <c r="AA651" s="1">
        <v>0.0</v>
      </c>
      <c r="AC651" s="1">
        <v>0.0</v>
      </c>
      <c r="AD651" s="1" t="s">
        <v>971</v>
      </c>
      <c r="AG651" s="9" t="s">
        <v>2811</v>
      </c>
      <c r="AM651" s="1">
        <v>172455.0</v>
      </c>
      <c r="AN651" s="1">
        <v>32191.0</v>
      </c>
      <c r="AO651" s="1">
        <v>32191.0</v>
      </c>
      <c r="AP651" s="1">
        <v>12.332</v>
      </c>
      <c r="AR651" s="1">
        <v>829.0</v>
      </c>
      <c r="AS651" s="1">
        <v>127.0</v>
      </c>
      <c r="AT651" s="1">
        <v>6.528</v>
      </c>
      <c r="AU651" s="1">
        <v>67.952</v>
      </c>
      <c r="AV651" s="1" t="s">
        <v>990</v>
      </c>
      <c r="AW651" s="1">
        <v>4.303</v>
      </c>
      <c r="AX651" s="1">
        <v>2.0</v>
      </c>
      <c r="AY651" s="1">
        <v>2.0</v>
      </c>
      <c r="AZ651" s="1">
        <v>1.0</v>
      </c>
      <c r="BA651" s="1">
        <v>1.0</v>
      </c>
      <c r="BB651" s="1">
        <v>1.0</v>
      </c>
      <c r="BC651" s="1">
        <v>0.0</v>
      </c>
      <c r="BD651" s="1">
        <v>0.13</v>
      </c>
      <c r="BE651" s="1">
        <v>125.0</v>
      </c>
      <c r="BF651" s="1">
        <v>43.0</v>
      </c>
      <c r="BG651" s="1">
        <v>0.0</v>
      </c>
      <c r="BH651" s="1">
        <v>20.0</v>
      </c>
      <c r="BI651" s="1">
        <v>12.0</v>
      </c>
      <c r="BJ651" s="1">
        <v>0.0</v>
      </c>
      <c r="BO651" s="1" t="s">
        <v>2815</v>
      </c>
      <c r="BP651" s="1">
        <v>0.968</v>
      </c>
      <c r="BU651" s="1" t="s">
        <v>974</v>
      </c>
      <c r="BV651" s="1">
        <v>1.1</v>
      </c>
      <c r="BW651" s="1">
        <v>44.0</v>
      </c>
      <c r="BX651" s="1">
        <v>4951.028</v>
      </c>
      <c r="BY651" s="1">
        <v>7562.506</v>
      </c>
      <c r="BZ651" s="1">
        <v>11551.069</v>
      </c>
      <c r="CA651" s="1">
        <v>20006.068</v>
      </c>
      <c r="CB651" s="1">
        <v>570.5</v>
      </c>
      <c r="CC651" s="1">
        <v>0.005</v>
      </c>
      <c r="CD651" s="1">
        <v>708509.0</v>
      </c>
      <c r="CE651" s="1">
        <v>1800.0</v>
      </c>
      <c r="CF651" s="1">
        <v>176.0</v>
      </c>
      <c r="CG651" s="1">
        <v>2739015.0</v>
      </c>
      <c r="CH651" s="1">
        <v>32896.0</v>
      </c>
      <c r="CI651" s="1">
        <v>2.0</v>
      </c>
      <c r="CJ651" s="1">
        <v>115637.0</v>
      </c>
      <c r="CK651" s="1">
        <v>26.0</v>
      </c>
      <c r="CL651" s="1">
        <v>176284.0</v>
      </c>
      <c r="CM651" s="1">
        <v>41.0</v>
      </c>
      <c r="CN651" s="1">
        <v>1748065.0</v>
      </c>
      <c r="CO651" s="1">
        <v>68.0</v>
      </c>
      <c r="CP651" s="1">
        <v>640727.0</v>
      </c>
      <c r="CQ651" s="1">
        <v>10.0</v>
      </c>
      <c r="CR651" s="1">
        <v>0.0</v>
      </c>
      <c r="CS651" s="1">
        <v>0.0</v>
      </c>
      <c r="CT651" s="1">
        <v>25406.0</v>
      </c>
      <c r="CU651" s="1">
        <v>29.0</v>
      </c>
      <c r="CV651" s="1">
        <v>1833199.0</v>
      </c>
      <c r="CW651" s="1">
        <v>72.0</v>
      </c>
      <c r="DC651" s="1">
        <v>0.0</v>
      </c>
      <c r="DD651" s="1">
        <v>5075.0</v>
      </c>
      <c r="DE651" s="1">
        <v>150.0</v>
      </c>
      <c r="DF651" s="1">
        <v>3396.0</v>
      </c>
      <c r="DG651" s="1">
        <v>600.0</v>
      </c>
      <c r="DH651" s="1">
        <v>108319.0</v>
      </c>
      <c r="DI651" s="1">
        <v>1050.0</v>
      </c>
      <c r="DJ651" s="1">
        <v>591719.0</v>
      </c>
      <c r="DK651" s="1">
        <v>1789.519</v>
      </c>
      <c r="DL651" s="1" t="s">
        <v>975</v>
      </c>
      <c r="DM651" s="1">
        <v>3102.076</v>
      </c>
      <c r="DN651" s="1" t="s">
        <v>975</v>
      </c>
      <c r="DO651" s="1">
        <v>2738510.0</v>
      </c>
      <c r="DP651" s="1">
        <v>1.0</v>
      </c>
      <c r="DQ651" s="1" t="s">
        <v>976</v>
      </c>
      <c r="DR651" s="1" t="s">
        <v>1085</v>
      </c>
      <c r="DS651" s="1" t="s">
        <v>978</v>
      </c>
      <c r="DT651" s="1" t="s">
        <v>979</v>
      </c>
      <c r="DU651" s="1" t="s">
        <v>980</v>
      </c>
      <c r="DV651" s="1">
        <v>17295.0</v>
      </c>
      <c r="DX651" s="1">
        <v>3715.0</v>
      </c>
      <c r="DY651" s="1">
        <v>672576.0</v>
      </c>
      <c r="DZ651" s="1" t="s">
        <v>981</v>
      </c>
      <c r="EA651" s="1">
        <v>830.0</v>
      </c>
      <c r="EB651" s="1">
        <v>31882.0</v>
      </c>
      <c r="EC651" s="1">
        <v>5.0</v>
      </c>
      <c r="ED651" s="1">
        <v>26492.0</v>
      </c>
      <c r="EF651" s="1">
        <v>235.0</v>
      </c>
      <c r="EG651" s="1" t="s">
        <v>1032</v>
      </c>
      <c r="EH651" s="1">
        <v>100.0</v>
      </c>
      <c r="EK651" s="1">
        <v>100.0</v>
      </c>
      <c r="EQ651" s="9" t="s">
        <v>2811</v>
      </c>
      <c r="ER651" s="21">
        <v>46045.29903935185</v>
      </c>
    </row>
    <row r="652">
      <c r="A652" s="9" t="s">
        <v>2816</v>
      </c>
      <c r="B652" s="20" t="str">
        <f>IFERROR(__xludf.DUMMYFUNCTION("REGEXREPLACE(A652, ""^https?://[^/]+"", """")"),"/news-events/sales-xceleration-adds-seven-new-sales-consultants-grows-to-75-outsourced-vps-of-sales/")</f>
        <v>/news-events/sales-xceleration-adds-seven-new-sales-consultants-grows-to-75-outsourced-vps-of-sales/</v>
      </c>
      <c r="C652" s="1" t="s">
        <v>2817</v>
      </c>
      <c r="F652" s="1" t="s">
        <v>965</v>
      </c>
      <c r="G652" s="1">
        <v>200.0</v>
      </c>
      <c r="H652" s="1" t="s">
        <v>966</v>
      </c>
      <c r="I652" s="1" t="s">
        <v>967</v>
      </c>
      <c r="K652" s="1" t="s">
        <v>2818</v>
      </c>
      <c r="L652" s="1">
        <v>106.0</v>
      </c>
      <c r="M652" s="1">
        <v>986.0</v>
      </c>
      <c r="O652" s="1">
        <v>0.0</v>
      </c>
      <c r="P652" s="1">
        <v>0.0</v>
      </c>
      <c r="Q652" s="1" t="s">
        <v>2819</v>
      </c>
      <c r="R652" s="1">
        <v>291.0</v>
      </c>
      <c r="S652" s="1">
        <v>1773.0</v>
      </c>
      <c r="U652" s="1">
        <v>0.0</v>
      </c>
      <c r="V652" s="1" t="s">
        <v>2817</v>
      </c>
      <c r="W652" s="1">
        <v>86.0</v>
      </c>
      <c r="Y652" s="1">
        <v>0.0</v>
      </c>
      <c r="AA652" s="1">
        <v>0.0</v>
      </c>
      <c r="AC652" s="1">
        <v>0.0</v>
      </c>
      <c r="AD652" s="1" t="s">
        <v>971</v>
      </c>
      <c r="AG652" s="9" t="s">
        <v>2816</v>
      </c>
      <c r="AM652" s="1">
        <v>174719.0</v>
      </c>
      <c r="AN652" s="1">
        <v>32477.0</v>
      </c>
      <c r="AO652" s="1">
        <v>32477.0</v>
      </c>
      <c r="AP652" s="1">
        <v>12.441</v>
      </c>
      <c r="AR652" s="1">
        <v>857.0</v>
      </c>
      <c r="AS652" s="1">
        <v>140.0</v>
      </c>
      <c r="AT652" s="1">
        <v>6.121</v>
      </c>
      <c r="AU652" s="1">
        <v>56.101</v>
      </c>
      <c r="AV652" s="1" t="s">
        <v>972</v>
      </c>
      <c r="AW652" s="1">
        <v>4.523</v>
      </c>
      <c r="AX652" s="1">
        <v>2.0</v>
      </c>
      <c r="AY652" s="1">
        <v>2.0</v>
      </c>
      <c r="AZ652" s="1">
        <v>1.0</v>
      </c>
      <c r="BA652" s="1">
        <v>1.0</v>
      </c>
      <c r="BB652" s="1">
        <v>1.0</v>
      </c>
      <c r="BC652" s="1">
        <v>0.0</v>
      </c>
      <c r="BD652" s="1">
        <v>0.13</v>
      </c>
      <c r="BE652" s="1">
        <v>131.0</v>
      </c>
      <c r="BF652" s="1">
        <v>46.0</v>
      </c>
      <c r="BG652" s="1">
        <v>0.0</v>
      </c>
      <c r="BH652" s="1">
        <v>16.0</v>
      </c>
      <c r="BI652" s="1">
        <v>8.0</v>
      </c>
      <c r="BJ652" s="1">
        <v>0.0</v>
      </c>
      <c r="BO652" s="1" t="s">
        <v>2820</v>
      </c>
      <c r="BP652" s="1">
        <v>1.072</v>
      </c>
      <c r="BU652" s="1" t="s">
        <v>974</v>
      </c>
      <c r="BV652" s="1">
        <v>1.1</v>
      </c>
      <c r="BW652" s="1">
        <v>43.0</v>
      </c>
      <c r="BX652" s="1">
        <v>4801.073</v>
      </c>
      <c r="BY652" s="1">
        <v>8830.197</v>
      </c>
      <c r="BZ652" s="1">
        <v>9751.154</v>
      </c>
      <c r="CA652" s="1">
        <v>19932.436</v>
      </c>
      <c r="CB652" s="1">
        <v>600.0</v>
      </c>
      <c r="CC652" s="1">
        <v>0.006</v>
      </c>
      <c r="CD652" s="1">
        <v>710752.0</v>
      </c>
      <c r="CE652" s="1">
        <v>1800.0</v>
      </c>
      <c r="CF652" s="1">
        <v>170.0</v>
      </c>
      <c r="CG652" s="1">
        <v>2689512.0</v>
      </c>
      <c r="CH652" s="1">
        <v>33181.0</v>
      </c>
      <c r="CI652" s="1">
        <v>2.0</v>
      </c>
      <c r="CJ652" s="1">
        <v>66205.0</v>
      </c>
      <c r="CK652" s="1">
        <v>20.0</v>
      </c>
      <c r="CL652" s="1">
        <v>175412.0</v>
      </c>
      <c r="CM652" s="1">
        <v>41.0</v>
      </c>
      <c r="CN652" s="1">
        <v>1748387.0</v>
      </c>
      <c r="CO652" s="1">
        <v>68.0</v>
      </c>
      <c r="CP652" s="1">
        <v>640731.0</v>
      </c>
      <c r="CQ652" s="1">
        <v>10.0</v>
      </c>
      <c r="CR652" s="1">
        <v>0.0</v>
      </c>
      <c r="CS652" s="1">
        <v>0.0</v>
      </c>
      <c r="CT652" s="1">
        <v>25596.0</v>
      </c>
      <c r="CU652" s="1">
        <v>29.0</v>
      </c>
      <c r="CV652" s="1">
        <v>1832674.0</v>
      </c>
      <c r="CW652" s="1">
        <v>72.0</v>
      </c>
      <c r="DC652" s="1">
        <v>150.0</v>
      </c>
      <c r="DD652" s="1">
        <v>5075.0</v>
      </c>
      <c r="DE652" s="1">
        <v>0.0</v>
      </c>
      <c r="DF652" s="1">
        <v>3396.0</v>
      </c>
      <c r="DG652" s="1">
        <v>300.0</v>
      </c>
      <c r="DH652" s="1">
        <v>108319.0</v>
      </c>
      <c r="DI652" s="1">
        <v>1350.0</v>
      </c>
      <c r="DJ652" s="1">
        <v>593962.0</v>
      </c>
      <c r="DK652" s="1">
        <v>2022.042</v>
      </c>
      <c r="DL652" s="1" t="s">
        <v>975</v>
      </c>
      <c r="DM652" s="1">
        <v>3729.205</v>
      </c>
      <c r="DN652" s="1" t="s">
        <v>975</v>
      </c>
      <c r="DO652" s="1">
        <v>2689007.0</v>
      </c>
      <c r="DP652" s="1">
        <v>1.0</v>
      </c>
      <c r="DQ652" s="1" t="s">
        <v>976</v>
      </c>
      <c r="DR652" s="1" t="s">
        <v>1376</v>
      </c>
      <c r="DS652" s="1" t="s">
        <v>978</v>
      </c>
      <c r="DT652" s="1" t="s">
        <v>979</v>
      </c>
      <c r="DU652" s="1" t="s">
        <v>980</v>
      </c>
      <c r="DV652" s="1">
        <v>18597.0</v>
      </c>
      <c r="DX652" s="1">
        <v>4572.0</v>
      </c>
      <c r="DY652" s="1">
        <v>652800.0</v>
      </c>
      <c r="DZ652" s="1" t="s">
        <v>994</v>
      </c>
      <c r="EA652" s="1">
        <v>834.0</v>
      </c>
      <c r="EB652" s="1">
        <v>4453.0</v>
      </c>
      <c r="EC652" s="1">
        <v>39.0</v>
      </c>
      <c r="ED652" s="1">
        <v>26492.0</v>
      </c>
      <c r="EF652" s="1">
        <v>250.0</v>
      </c>
      <c r="EG652" s="1" t="s">
        <v>1032</v>
      </c>
      <c r="EH652" s="1">
        <v>100.0</v>
      </c>
      <c r="EK652" s="1">
        <v>100.0</v>
      </c>
      <c r="EQ652" s="9" t="s">
        <v>2816</v>
      </c>
      <c r="ER652" s="21">
        <v>46045.299050925925</v>
      </c>
    </row>
    <row r="653">
      <c r="A653" s="9" t="s">
        <v>2821</v>
      </c>
      <c r="B653" s="20" t="str">
        <f>IFERROR(__xludf.DUMMYFUNCTION("REGEXREPLACE(A653, ""^https?://[^/]+"", """")"),"/news-events/yorcmo-and-sales-xceleration-forge-strategic-partnership/")</f>
        <v>/news-events/yorcmo-and-sales-xceleration-forge-strategic-partnership/</v>
      </c>
      <c r="C653" s="1" t="s">
        <v>2822</v>
      </c>
      <c r="D653" s="1" t="s">
        <v>1172</v>
      </c>
      <c r="E653" s="1" t="s">
        <v>2823</v>
      </c>
      <c r="F653" s="1" t="s">
        <v>965</v>
      </c>
      <c r="G653" s="1">
        <v>200.0</v>
      </c>
      <c r="H653" s="1" t="s">
        <v>966</v>
      </c>
      <c r="I653" s="1" t="s">
        <v>967</v>
      </c>
      <c r="K653" s="1" t="s">
        <v>2824</v>
      </c>
      <c r="L653" s="1">
        <v>77.0</v>
      </c>
      <c r="M653" s="1">
        <v>708.0</v>
      </c>
      <c r="O653" s="1">
        <v>0.0</v>
      </c>
      <c r="P653" s="1">
        <v>0.0</v>
      </c>
      <c r="Q653" s="1" t="s">
        <v>2825</v>
      </c>
      <c r="R653" s="1">
        <v>158.0</v>
      </c>
      <c r="S653" s="1">
        <v>960.0</v>
      </c>
      <c r="U653" s="1">
        <v>0.0</v>
      </c>
      <c r="V653" s="1" t="s">
        <v>2822</v>
      </c>
      <c r="W653" s="1">
        <v>57.0</v>
      </c>
      <c r="Y653" s="1">
        <v>0.0</v>
      </c>
      <c r="Z653" s="1" t="s">
        <v>1172</v>
      </c>
      <c r="AA653" s="1">
        <v>23.0</v>
      </c>
      <c r="AB653" s="1" t="s">
        <v>2823</v>
      </c>
      <c r="AC653" s="1">
        <v>12.0</v>
      </c>
      <c r="AD653" s="1" t="s">
        <v>971</v>
      </c>
      <c r="AG653" s="9" t="s">
        <v>2821</v>
      </c>
      <c r="AM653" s="1">
        <v>175895.0</v>
      </c>
      <c r="AN653" s="1">
        <v>32617.0</v>
      </c>
      <c r="AO653" s="1">
        <v>32617.0</v>
      </c>
      <c r="AP653" s="1">
        <v>12.495</v>
      </c>
      <c r="AR653" s="1">
        <v>913.0</v>
      </c>
      <c r="AS653" s="1">
        <v>149.0</v>
      </c>
      <c r="AT653" s="1">
        <v>6.128</v>
      </c>
      <c r="AU653" s="1">
        <v>49.021</v>
      </c>
      <c r="AV653" s="1" t="s">
        <v>1075</v>
      </c>
      <c r="AW653" s="1">
        <v>4.806</v>
      </c>
      <c r="AX653" s="1">
        <v>2.0</v>
      </c>
      <c r="AY653" s="1">
        <v>2.0</v>
      </c>
      <c r="AZ653" s="1">
        <v>1.0</v>
      </c>
      <c r="BA653" s="1">
        <v>1.0</v>
      </c>
      <c r="BB653" s="1">
        <v>1.0</v>
      </c>
      <c r="BC653" s="1">
        <v>0.0</v>
      </c>
      <c r="BD653" s="1">
        <v>0.13</v>
      </c>
      <c r="BE653" s="1">
        <v>128.0</v>
      </c>
      <c r="BF653" s="1">
        <v>45.0</v>
      </c>
      <c r="BG653" s="1">
        <v>0.0</v>
      </c>
      <c r="BH653" s="1">
        <v>16.0</v>
      </c>
      <c r="BI653" s="1">
        <v>8.0</v>
      </c>
      <c r="BJ653" s="1">
        <v>0.0</v>
      </c>
      <c r="BO653" s="1" t="s">
        <v>2826</v>
      </c>
      <c r="BP653" s="1">
        <v>1.062</v>
      </c>
      <c r="BU653" s="1" t="s">
        <v>974</v>
      </c>
      <c r="BV653" s="1">
        <v>1.1</v>
      </c>
      <c r="BW653" s="1">
        <v>48.0</v>
      </c>
      <c r="BX653" s="1">
        <v>4201.053</v>
      </c>
      <c r="BY653" s="1">
        <v>6433.327</v>
      </c>
      <c r="BZ653" s="1">
        <v>8101.106</v>
      </c>
      <c r="CA653" s="1">
        <v>20125.77</v>
      </c>
      <c r="CB653" s="1">
        <v>531.5</v>
      </c>
      <c r="CC653" s="1">
        <v>0.0</v>
      </c>
      <c r="CD653" s="1">
        <v>710407.0</v>
      </c>
      <c r="CE653" s="1">
        <v>1500.0</v>
      </c>
      <c r="CF653" s="1">
        <v>170.0</v>
      </c>
      <c r="CG653" s="1">
        <v>2689393.0</v>
      </c>
      <c r="CH653" s="1">
        <v>33331.0</v>
      </c>
      <c r="CI653" s="1">
        <v>2.0</v>
      </c>
      <c r="CJ653" s="1">
        <v>66181.0</v>
      </c>
      <c r="CK653" s="1">
        <v>20.0</v>
      </c>
      <c r="CL653" s="1">
        <v>175423.0</v>
      </c>
      <c r="CM653" s="1">
        <v>41.0</v>
      </c>
      <c r="CN653" s="1">
        <v>1747936.0</v>
      </c>
      <c r="CO653" s="1">
        <v>68.0</v>
      </c>
      <c r="CP653" s="1">
        <v>640733.0</v>
      </c>
      <c r="CQ653" s="1">
        <v>10.0</v>
      </c>
      <c r="CR653" s="1">
        <v>0.0</v>
      </c>
      <c r="CS653" s="1">
        <v>0.0</v>
      </c>
      <c r="CT653" s="1">
        <v>25789.0</v>
      </c>
      <c r="CU653" s="1">
        <v>29.0</v>
      </c>
      <c r="CV653" s="1">
        <v>1832513.0</v>
      </c>
      <c r="CW653" s="1">
        <v>72.0</v>
      </c>
      <c r="DC653" s="1">
        <v>0.0</v>
      </c>
      <c r="DD653" s="1">
        <v>5077.0</v>
      </c>
      <c r="DE653" s="1">
        <v>0.0</v>
      </c>
      <c r="DF653" s="1">
        <v>3396.0</v>
      </c>
      <c r="DG653" s="1">
        <v>450.0</v>
      </c>
      <c r="DH653" s="1">
        <v>108267.0</v>
      </c>
      <c r="DI653" s="1">
        <v>1050.0</v>
      </c>
      <c r="DJ653" s="1">
        <v>593667.0</v>
      </c>
      <c r="DK653" s="1">
        <v>2029.445</v>
      </c>
      <c r="DL653" s="1" t="s">
        <v>975</v>
      </c>
      <c r="DM653" s="1">
        <v>3497.236</v>
      </c>
      <c r="DN653" s="1" t="s">
        <v>975</v>
      </c>
      <c r="DO653" s="1">
        <v>2688888.0</v>
      </c>
      <c r="DP653" s="1">
        <v>1.0</v>
      </c>
      <c r="DQ653" s="1" t="s">
        <v>976</v>
      </c>
      <c r="DR653" s="1" t="s">
        <v>993</v>
      </c>
      <c r="DS653" s="1" t="s">
        <v>978</v>
      </c>
      <c r="DT653" s="1" t="s">
        <v>979</v>
      </c>
      <c r="DU653" s="1" t="s">
        <v>980</v>
      </c>
      <c r="DV653" s="1">
        <v>17174.0</v>
      </c>
      <c r="DX653" s="1">
        <v>3376.0</v>
      </c>
      <c r="DY653" s="1">
        <v>652795.0</v>
      </c>
      <c r="DZ653" s="1" t="s">
        <v>994</v>
      </c>
      <c r="EA653" s="1">
        <v>832.0</v>
      </c>
      <c r="EB653" s="1">
        <v>4453.0</v>
      </c>
      <c r="EC653" s="1">
        <v>63.0</v>
      </c>
      <c r="ED653" s="1">
        <v>26492.0</v>
      </c>
      <c r="EF653" s="1">
        <v>235.0</v>
      </c>
      <c r="EG653" s="1" t="s">
        <v>1032</v>
      </c>
      <c r="EH653" s="1">
        <v>100.0</v>
      </c>
      <c r="EK653" s="1">
        <v>100.0</v>
      </c>
      <c r="EQ653" s="9" t="s">
        <v>2821</v>
      </c>
      <c r="ER653" s="21">
        <v>46045.299050925925</v>
      </c>
    </row>
    <row r="654">
      <c r="A654" s="9" t="s">
        <v>2827</v>
      </c>
      <c r="B654" s="20" t="str">
        <f>IFERROR(__xludf.DUMMYFUNCTION("REGEXREPLACE(A654, ""^https?://[^/]+"", """")"),"/news-events/fifteen-new-outsourced-sales-vps-join-sales-xceleration-as-the-need-for-fractional-sales-leaders-sees-a-big-increase/")</f>
        <v>/news-events/fifteen-new-outsourced-sales-vps-join-sales-xceleration-as-the-need-for-fractional-sales-leaders-sees-a-big-increase/</v>
      </c>
      <c r="C654" s="1" t="s">
        <v>2828</v>
      </c>
      <c r="D654" s="1" t="s">
        <v>1172</v>
      </c>
      <c r="F654" s="1" t="s">
        <v>965</v>
      </c>
      <c r="G654" s="1">
        <v>200.0</v>
      </c>
      <c r="H654" s="1" t="s">
        <v>966</v>
      </c>
      <c r="I654" s="1" t="s">
        <v>967</v>
      </c>
      <c r="K654" s="1" t="s">
        <v>2829</v>
      </c>
      <c r="L654" s="1">
        <v>128.0</v>
      </c>
      <c r="M654" s="1">
        <v>1166.0</v>
      </c>
      <c r="O654" s="1">
        <v>0.0</v>
      </c>
      <c r="P654" s="1">
        <v>0.0</v>
      </c>
      <c r="Q654" s="1" t="s">
        <v>2830</v>
      </c>
      <c r="R654" s="1">
        <v>152.0</v>
      </c>
      <c r="S654" s="1">
        <v>938.0</v>
      </c>
      <c r="U654" s="1">
        <v>0.0</v>
      </c>
      <c r="V654" s="1" t="s">
        <v>2828</v>
      </c>
      <c r="W654" s="1">
        <v>108.0</v>
      </c>
      <c r="Y654" s="1">
        <v>0.0</v>
      </c>
      <c r="Z654" s="1" t="s">
        <v>1172</v>
      </c>
      <c r="AA654" s="1">
        <v>23.0</v>
      </c>
      <c r="AC654" s="1">
        <v>0.0</v>
      </c>
      <c r="AD654" s="1" t="s">
        <v>971</v>
      </c>
      <c r="AG654" s="9" t="s">
        <v>2827</v>
      </c>
      <c r="AM654" s="1">
        <v>181761.0</v>
      </c>
      <c r="AN654" s="1">
        <v>33485.0</v>
      </c>
      <c r="AO654" s="1">
        <v>33485.0</v>
      </c>
      <c r="AP654" s="1">
        <v>12.827</v>
      </c>
      <c r="AR654" s="1">
        <v>904.0</v>
      </c>
      <c r="AS654" s="1">
        <v>147.0</v>
      </c>
      <c r="AT654" s="1">
        <v>6.15</v>
      </c>
      <c r="AU654" s="1">
        <v>61.714</v>
      </c>
      <c r="AV654" s="1" t="s">
        <v>990</v>
      </c>
      <c r="AW654" s="1">
        <v>4.414</v>
      </c>
      <c r="AX654" s="1">
        <v>2.0</v>
      </c>
      <c r="AY654" s="1">
        <v>2.0</v>
      </c>
      <c r="AZ654" s="1">
        <v>1.0</v>
      </c>
      <c r="BA654" s="1">
        <v>1.0</v>
      </c>
      <c r="BB654" s="1">
        <v>1.0</v>
      </c>
      <c r="BC654" s="1">
        <v>0.0</v>
      </c>
      <c r="BD654" s="1">
        <v>0.13</v>
      </c>
      <c r="BE654" s="1">
        <v>129.0</v>
      </c>
      <c r="BF654" s="1">
        <v>46.0</v>
      </c>
      <c r="BG654" s="1">
        <v>0.0</v>
      </c>
      <c r="BH654" s="1">
        <v>23.0</v>
      </c>
      <c r="BI654" s="1">
        <v>15.0</v>
      </c>
      <c r="BJ654" s="1">
        <v>0.0</v>
      </c>
      <c r="BO654" s="1" t="s">
        <v>2831</v>
      </c>
      <c r="BP654" s="1">
        <v>1.045</v>
      </c>
      <c r="BU654" s="1" t="s">
        <v>974</v>
      </c>
      <c r="BV654" s="1">
        <v>1.1</v>
      </c>
      <c r="BW654" s="1">
        <v>45.0</v>
      </c>
      <c r="BX654" s="1">
        <v>4951.051</v>
      </c>
      <c r="BY654" s="1">
        <v>7332.237</v>
      </c>
      <c r="BZ654" s="1">
        <v>10201.108</v>
      </c>
      <c r="CA654" s="1">
        <v>19912.092</v>
      </c>
      <c r="CB654" s="1">
        <v>533.0</v>
      </c>
      <c r="CC654" s="1">
        <v>0.018</v>
      </c>
      <c r="CD654" s="1">
        <v>710499.0</v>
      </c>
      <c r="CE654" s="1">
        <v>1500.0</v>
      </c>
      <c r="CF654" s="1">
        <v>170.0</v>
      </c>
      <c r="CG654" s="1">
        <v>2690120.0</v>
      </c>
      <c r="CH654" s="1">
        <v>33940.0</v>
      </c>
      <c r="CI654" s="1">
        <v>2.0</v>
      </c>
      <c r="CJ654" s="1">
        <v>66206.0</v>
      </c>
      <c r="CK654" s="1">
        <v>20.0</v>
      </c>
      <c r="CL654" s="1">
        <v>175416.0</v>
      </c>
      <c r="CM654" s="1">
        <v>41.0</v>
      </c>
      <c r="CN654" s="1">
        <v>1748123.0</v>
      </c>
      <c r="CO654" s="1">
        <v>68.0</v>
      </c>
      <c r="CP654" s="1">
        <v>640729.0</v>
      </c>
      <c r="CQ654" s="1">
        <v>10.0</v>
      </c>
      <c r="CR654" s="1">
        <v>0.0</v>
      </c>
      <c r="CS654" s="1">
        <v>0.0</v>
      </c>
      <c r="CT654" s="1">
        <v>25706.0</v>
      </c>
      <c r="CU654" s="1">
        <v>29.0</v>
      </c>
      <c r="CV654" s="1">
        <v>1832391.0</v>
      </c>
      <c r="CW654" s="1">
        <v>72.0</v>
      </c>
      <c r="DC654" s="1">
        <v>150.0</v>
      </c>
      <c r="DD654" s="1">
        <v>5075.0</v>
      </c>
      <c r="DE654" s="1">
        <v>0.0</v>
      </c>
      <c r="DF654" s="1">
        <v>3396.0</v>
      </c>
      <c r="DG654" s="1">
        <v>450.0</v>
      </c>
      <c r="DH654" s="1">
        <v>108278.0</v>
      </c>
      <c r="DI654" s="1">
        <v>900.0</v>
      </c>
      <c r="DJ654" s="1">
        <v>593750.0</v>
      </c>
      <c r="DK654" s="1">
        <v>1944.038</v>
      </c>
      <c r="DL654" s="1" t="s">
        <v>975</v>
      </c>
      <c r="DM654" s="1">
        <v>3584.899</v>
      </c>
      <c r="DN654" s="1" t="s">
        <v>975</v>
      </c>
      <c r="DO654" s="1">
        <v>2689615.0</v>
      </c>
      <c r="DP654" s="1">
        <v>1.0</v>
      </c>
      <c r="DQ654" s="1" t="s">
        <v>976</v>
      </c>
      <c r="DR654" s="1" t="s">
        <v>1064</v>
      </c>
      <c r="DS654" s="1" t="s">
        <v>978</v>
      </c>
      <c r="DT654" s="1" t="s">
        <v>979</v>
      </c>
      <c r="DU654" s="1" t="s">
        <v>980</v>
      </c>
      <c r="DV654" s="1">
        <v>17297.0</v>
      </c>
      <c r="DX654" s="1">
        <v>4656.0</v>
      </c>
      <c r="DY654" s="1">
        <v>652807.0</v>
      </c>
      <c r="DZ654" s="1" t="s">
        <v>981</v>
      </c>
      <c r="EA654" s="1">
        <v>848.0</v>
      </c>
      <c r="EB654" s="1">
        <v>4453.0</v>
      </c>
      <c r="EC654" s="1">
        <v>26.0</v>
      </c>
      <c r="ED654" s="1">
        <v>26492.0</v>
      </c>
      <c r="EF654" s="1">
        <v>235.0</v>
      </c>
      <c r="EG654" s="1" t="s">
        <v>1032</v>
      </c>
      <c r="EH654" s="1">
        <v>100.0</v>
      </c>
      <c r="EK654" s="1">
        <v>100.0</v>
      </c>
      <c r="EQ654" s="9" t="s">
        <v>2827</v>
      </c>
      <c r="ER654" s="21">
        <v>46045.2990625</v>
      </c>
    </row>
    <row r="655">
      <c r="A655" s="9" t="s">
        <v>2832</v>
      </c>
      <c r="B655" s="20" t="str">
        <f>IFERROR(__xludf.DUMMYFUNCTION("REGEXREPLACE(A655, ""^https?://[^/]+"", """")"),"/news-events/4-tips-for-increasing-employee-engagement-in-2023/")</f>
        <v>/news-events/4-tips-for-increasing-employee-engagement-in-2023/</v>
      </c>
      <c r="C655" s="1" t="s">
        <v>2833</v>
      </c>
      <c r="F655" s="1" t="s">
        <v>965</v>
      </c>
      <c r="G655" s="1">
        <v>200.0</v>
      </c>
      <c r="H655" s="1" t="s">
        <v>966</v>
      </c>
      <c r="I655" s="1" t="s">
        <v>967</v>
      </c>
      <c r="K655" s="1" t="s">
        <v>2834</v>
      </c>
      <c r="L655" s="1">
        <v>84.0</v>
      </c>
      <c r="M655" s="1">
        <v>775.0</v>
      </c>
      <c r="O655" s="1">
        <v>0.0</v>
      </c>
      <c r="P655" s="1">
        <v>0.0</v>
      </c>
      <c r="Q655" s="1" t="s">
        <v>2835</v>
      </c>
      <c r="R655" s="1">
        <v>152.0</v>
      </c>
      <c r="S655" s="1">
        <v>924.0</v>
      </c>
      <c r="U655" s="1">
        <v>0.0</v>
      </c>
      <c r="V655" s="1" t="s">
        <v>2833</v>
      </c>
      <c r="W655" s="1">
        <v>64.0</v>
      </c>
      <c r="Y655" s="1">
        <v>0.0</v>
      </c>
      <c r="AA655" s="1">
        <v>0.0</v>
      </c>
      <c r="AC655" s="1">
        <v>0.0</v>
      </c>
      <c r="AD655" s="1" t="s">
        <v>971</v>
      </c>
      <c r="AG655" s="9" t="s">
        <v>2832</v>
      </c>
      <c r="AM655" s="1">
        <v>173212.0</v>
      </c>
      <c r="AN655" s="1">
        <v>31967.0</v>
      </c>
      <c r="AO655" s="1">
        <v>31967.0</v>
      </c>
      <c r="AP655" s="1">
        <v>12.246</v>
      </c>
      <c r="AR655" s="1">
        <v>643.0</v>
      </c>
      <c r="AS655" s="1">
        <v>116.0</v>
      </c>
      <c r="AT655" s="1">
        <v>5.543</v>
      </c>
      <c r="AU655" s="1">
        <v>63.059</v>
      </c>
      <c r="AV655" s="1" t="s">
        <v>990</v>
      </c>
      <c r="AW655" s="1">
        <v>3.676</v>
      </c>
      <c r="AX655" s="1">
        <v>2.0</v>
      </c>
      <c r="AY655" s="1">
        <v>2.0</v>
      </c>
      <c r="AZ655" s="1">
        <v>1.0</v>
      </c>
      <c r="BA655" s="1">
        <v>1.0</v>
      </c>
      <c r="BB655" s="1">
        <v>1.0</v>
      </c>
      <c r="BC655" s="1">
        <v>0.0</v>
      </c>
      <c r="BD655" s="1">
        <v>0.13</v>
      </c>
      <c r="BE655" s="1">
        <v>125.0</v>
      </c>
      <c r="BF655" s="1">
        <v>43.0</v>
      </c>
      <c r="BG655" s="1">
        <v>0.0</v>
      </c>
      <c r="BH655" s="1">
        <v>19.0</v>
      </c>
      <c r="BI655" s="1">
        <v>11.0</v>
      </c>
      <c r="BJ655" s="1">
        <v>0.0</v>
      </c>
      <c r="BO655" s="1" t="s">
        <v>2836</v>
      </c>
      <c r="BP655" s="1">
        <v>0.995</v>
      </c>
      <c r="BU655" s="1" t="s">
        <v>974</v>
      </c>
      <c r="BV655" s="1">
        <v>1.1</v>
      </c>
      <c r="BW655" s="1">
        <v>55.0</v>
      </c>
      <c r="BX655" s="1">
        <v>4801.04</v>
      </c>
      <c r="BY655" s="1">
        <v>7726.856</v>
      </c>
      <c r="BZ655" s="1">
        <v>9976.086</v>
      </c>
      <c r="CA655" s="1">
        <v>20148.055</v>
      </c>
      <c r="CB655" s="1">
        <v>215.5</v>
      </c>
      <c r="CC655" s="1">
        <v>0.0</v>
      </c>
      <c r="CD655" s="1">
        <v>709278.0</v>
      </c>
      <c r="CE655" s="1">
        <v>1350.0</v>
      </c>
      <c r="CF655" s="1">
        <v>176.0</v>
      </c>
      <c r="CG655" s="1">
        <v>2748990.0</v>
      </c>
      <c r="CH655" s="1">
        <v>32650.0</v>
      </c>
      <c r="CI655" s="1">
        <v>2.0</v>
      </c>
      <c r="CJ655" s="1">
        <v>127071.0</v>
      </c>
      <c r="CK655" s="1">
        <v>27.0</v>
      </c>
      <c r="CL655" s="1">
        <v>175420.0</v>
      </c>
      <c r="CM655" s="1">
        <v>41.0</v>
      </c>
      <c r="CN655" s="1">
        <v>1747916.0</v>
      </c>
      <c r="CO655" s="1">
        <v>68.0</v>
      </c>
      <c r="CP655" s="1">
        <v>640727.0</v>
      </c>
      <c r="CQ655" s="1">
        <v>10.0</v>
      </c>
      <c r="CR655" s="1">
        <v>0.0</v>
      </c>
      <c r="CS655" s="1">
        <v>0.0</v>
      </c>
      <c r="CT655" s="1">
        <v>25206.0</v>
      </c>
      <c r="CU655" s="1">
        <v>28.0</v>
      </c>
      <c r="CV655" s="1">
        <v>1831906.0</v>
      </c>
      <c r="CW655" s="1">
        <v>71.0</v>
      </c>
      <c r="DC655" s="1">
        <v>0.0</v>
      </c>
      <c r="DD655" s="1">
        <v>5075.0</v>
      </c>
      <c r="DE655" s="1">
        <v>0.0</v>
      </c>
      <c r="DF655" s="1">
        <v>3396.0</v>
      </c>
      <c r="DG655" s="1">
        <v>600.0</v>
      </c>
      <c r="DH655" s="1">
        <v>108319.0</v>
      </c>
      <c r="DI655" s="1">
        <v>750.0</v>
      </c>
      <c r="DJ655" s="1">
        <v>592488.0</v>
      </c>
      <c r="DK655" s="1">
        <v>1381.097</v>
      </c>
      <c r="DL655" s="1" t="s">
        <v>975</v>
      </c>
      <c r="DM655" s="1">
        <v>2503.123</v>
      </c>
      <c r="DN655" s="1" t="s">
        <v>975</v>
      </c>
      <c r="DO655" s="1">
        <v>2748485.0</v>
      </c>
      <c r="DP655" s="1">
        <v>1.0</v>
      </c>
      <c r="DQ655" s="1" t="s">
        <v>976</v>
      </c>
      <c r="DR655" s="1" t="s">
        <v>1085</v>
      </c>
      <c r="DS655" s="1" t="s">
        <v>978</v>
      </c>
      <c r="DT655" s="1" t="s">
        <v>979</v>
      </c>
      <c r="DU655" s="1" t="s">
        <v>980</v>
      </c>
      <c r="DV655" s="1">
        <v>17325.0</v>
      </c>
      <c r="DX655" s="1">
        <v>4471.0</v>
      </c>
      <c r="DY655" s="1">
        <v>677146.0</v>
      </c>
      <c r="DZ655" s="1" t="s">
        <v>981</v>
      </c>
      <c r="EA655" s="1">
        <v>821.0</v>
      </c>
      <c r="EB655" s="1">
        <v>31882.0</v>
      </c>
      <c r="EC655" s="1">
        <v>2.0</v>
      </c>
      <c r="ED655" s="1">
        <v>26492.0</v>
      </c>
      <c r="EF655" s="1">
        <v>235.0</v>
      </c>
      <c r="EG655" s="1" t="s">
        <v>1032</v>
      </c>
      <c r="EH655" s="1">
        <v>100.0</v>
      </c>
      <c r="EK655" s="1">
        <v>100.0</v>
      </c>
      <c r="EQ655" s="9" t="s">
        <v>2832</v>
      </c>
      <c r="ER655" s="21">
        <v>46045.2990625</v>
      </c>
    </row>
    <row r="656">
      <c r="A656" s="9" t="s">
        <v>2837</v>
      </c>
      <c r="B656" s="20" t="str">
        <f>IFERROR(__xludf.DUMMYFUNCTION("REGEXREPLACE(A656, ""^https?://[^/]+"", """")"),"/news-events/addressing-sales-challenges/")</f>
        <v>/news-events/addressing-sales-challenges/</v>
      </c>
      <c r="C656" s="1" t="s">
        <v>2838</v>
      </c>
      <c r="F656" s="1" t="s">
        <v>965</v>
      </c>
      <c r="G656" s="1">
        <v>200.0</v>
      </c>
      <c r="H656" s="1" t="s">
        <v>966</v>
      </c>
      <c r="I656" s="1" t="s">
        <v>967</v>
      </c>
      <c r="K656" s="1" t="s">
        <v>2839</v>
      </c>
      <c r="L656" s="1">
        <v>47.0</v>
      </c>
      <c r="M656" s="1">
        <v>429.0</v>
      </c>
      <c r="O656" s="1">
        <v>0.0</v>
      </c>
      <c r="P656" s="1">
        <v>0.0</v>
      </c>
      <c r="Q656" s="1" t="s">
        <v>2840</v>
      </c>
      <c r="R656" s="1">
        <v>143.0</v>
      </c>
      <c r="S656" s="1">
        <v>888.0</v>
      </c>
      <c r="U656" s="1">
        <v>0.0</v>
      </c>
      <c r="V656" s="1" t="s">
        <v>2838</v>
      </c>
      <c r="W656" s="1">
        <v>27.0</v>
      </c>
      <c r="Y656" s="1">
        <v>0.0</v>
      </c>
      <c r="AA656" s="1">
        <v>0.0</v>
      </c>
      <c r="AC656" s="1">
        <v>0.0</v>
      </c>
      <c r="AD656" s="1" t="s">
        <v>971</v>
      </c>
      <c r="AG656" s="9" t="s">
        <v>2837</v>
      </c>
      <c r="AM656" s="1">
        <v>172300.0</v>
      </c>
      <c r="AN656" s="1">
        <v>31753.0</v>
      </c>
      <c r="AO656" s="1">
        <v>31753.0</v>
      </c>
      <c r="AP656" s="1">
        <v>12.164</v>
      </c>
      <c r="AR656" s="1">
        <v>663.0</v>
      </c>
      <c r="AS656" s="1">
        <v>109.0</v>
      </c>
      <c r="AT656" s="1">
        <v>6.083</v>
      </c>
      <c r="AU656" s="1">
        <v>60.682</v>
      </c>
      <c r="AV656" s="1" t="s">
        <v>990</v>
      </c>
      <c r="AW656" s="1">
        <v>3.786</v>
      </c>
      <c r="AX656" s="1">
        <v>2.0</v>
      </c>
      <c r="AY656" s="1">
        <v>2.0</v>
      </c>
      <c r="AZ656" s="1">
        <v>1.0</v>
      </c>
      <c r="BA656" s="1">
        <v>1.0</v>
      </c>
      <c r="BB656" s="1">
        <v>1.0</v>
      </c>
      <c r="BC656" s="1">
        <v>0.0</v>
      </c>
      <c r="BD656" s="1">
        <v>0.13</v>
      </c>
      <c r="BE656" s="1">
        <v>127.0</v>
      </c>
      <c r="BF656" s="1">
        <v>45.0</v>
      </c>
      <c r="BG656" s="1">
        <v>0.0</v>
      </c>
      <c r="BH656" s="1">
        <v>16.0</v>
      </c>
      <c r="BI656" s="1">
        <v>8.0</v>
      </c>
      <c r="BJ656" s="1">
        <v>0.0</v>
      </c>
      <c r="BO656" s="1" t="s">
        <v>2841</v>
      </c>
      <c r="BP656" s="1">
        <v>1.059</v>
      </c>
      <c r="BU656" s="1" t="s">
        <v>974</v>
      </c>
      <c r="BV656" s="1">
        <v>1.1</v>
      </c>
      <c r="BW656" s="1">
        <v>47.0</v>
      </c>
      <c r="BX656" s="1">
        <v>3601.027</v>
      </c>
      <c r="BY656" s="1">
        <v>7332.635</v>
      </c>
      <c r="BZ656" s="1">
        <v>11476.091</v>
      </c>
      <c r="CA656" s="1">
        <v>19860.861</v>
      </c>
      <c r="CB656" s="1">
        <v>543.0</v>
      </c>
      <c r="CC656" s="1">
        <v>0.002</v>
      </c>
      <c r="CD656" s="1">
        <v>708081.0</v>
      </c>
      <c r="CE656" s="1">
        <v>1350.0</v>
      </c>
      <c r="CF656" s="1">
        <v>175.0</v>
      </c>
      <c r="CG656" s="1">
        <v>2748648.0</v>
      </c>
      <c r="CH656" s="1">
        <v>32529.0</v>
      </c>
      <c r="CI656" s="1">
        <v>2.0</v>
      </c>
      <c r="CJ656" s="1">
        <v>127100.0</v>
      </c>
      <c r="CK656" s="1">
        <v>27.0</v>
      </c>
      <c r="CL656" s="1">
        <v>175420.0</v>
      </c>
      <c r="CM656" s="1">
        <v>41.0</v>
      </c>
      <c r="CN656" s="1">
        <v>1748194.0</v>
      </c>
      <c r="CO656" s="1">
        <v>68.0</v>
      </c>
      <c r="CP656" s="1">
        <v>640723.0</v>
      </c>
      <c r="CQ656" s="1">
        <v>10.0</v>
      </c>
      <c r="CR656" s="1">
        <v>0.0</v>
      </c>
      <c r="CS656" s="1">
        <v>0.0</v>
      </c>
      <c r="CT656" s="1">
        <v>24682.0</v>
      </c>
      <c r="CU656" s="1">
        <v>27.0</v>
      </c>
      <c r="CV656" s="1">
        <v>1831534.0</v>
      </c>
      <c r="CW656" s="1">
        <v>70.0</v>
      </c>
      <c r="DC656" s="1">
        <v>0.0</v>
      </c>
      <c r="DD656" s="1">
        <v>5075.0</v>
      </c>
      <c r="DE656" s="1">
        <v>0.0</v>
      </c>
      <c r="DF656" s="1">
        <v>3396.0</v>
      </c>
      <c r="DG656" s="1">
        <v>600.0</v>
      </c>
      <c r="DH656" s="1">
        <v>108319.0</v>
      </c>
      <c r="DI656" s="1">
        <v>750.0</v>
      </c>
      <c r="DJ656" s="1">
        <v>591291.0</v>
      </c>
      <c r="DK656" s="1">
        <v>2085.199</v>
      </c>
      <c r="DL656" s="1" t="s">
        <v>975</v>
      </c>
      <c r="DM656" s="1">
        <v>3483.664</v>
      </c>
      <c r="DN656" s="1" t="s">
        <v>975</v>
      </c>
      <c r="DO656" s="1">
        <v>2748143.0</v>
      </c>
      <c r="DP656" s="1">
        <v>1.0</v>
      </c>
      <c r="DQ656" s="1" t="s">
        <v>976</v>
      </c>
      <c r="DR656" s="1" t="s">
        <v>993</v>
      </c>
      <c r="DS656" s="1" t="s">
        <v>978</v>
      </c>
      <c r="DT656" s="1" t="s">
        <v>979</v>
      </c>
      <c r="DU656" s="1" t="s">
        <v>980</v>
      </c>
      <c r="DV656" s="1">
        <v>16694.0</v>
      </c>
      <c r="DX656" s="1">
        <v>3894.0</v>
      </c>
      <c r="DY656" s="1">
        <v>677151.0</v>
      </c>
      <c r="DZ656" s="1" t="s">
        <v>994</v>
      </c>
      <c r="EA656" s="1">
        <v>822.0</v>
      </c>
      <c r="EB656" s="1">
        <v>31882.0</v>
      </c>
      <c r="EC656" s="1">
        <v>35.0</v>
      </c>
      <c r="ED656" s="1">
        <v>26492.0</v>
      </c>
      <c r="EF656" s="1">
        <v>210.0</v>
      </c>
      <c r="EG656" s="1" t="s">
        <v>1032</v>
      </c>
      <c r="EH656" s="1">
        <v>100.0</v>
      </c>
      <c r="EK656" s="1">
        <v>100.0</v>
      </c>
      <c r="EQ656" s="9" t="s">
        <v>2837</v>
      </c>
      <c r="ER656" s="21">
        <v>46045.2990625</v>
      </c>
    </row>
    <row r="657">
      <c r="A657" s="9" t="s">
        <v>2842</v>
      </c>
      <c r="B657" s="20" t="str">
        <f>IFERROR(__xludf.DUMMYFUNCTION("REGEXREPLACE(A657, ""^https?://[^/]+"", """")"),"/news-events/sales-xceleration-consultants-grow-in-the-u-s-and-expand-into-the-u-k/")</f>
        <v>/news-events/sales-xceleration-consultants-grow-in-the-u-s-and-expand-into-the-u-k/</v>
      </c>
      <c r="C657" s="1" t="s">
        <v>2843</v>
      </c>
      <c r="D657" s="1" t="s">
        <v>1172</v>
      </c>
      <c r="F657" s="1" t="s">
        <v>965</v>
      </c>
      <c r="G657" s="1">
        <v>200.0</v>
      </c>
      <c r="H657" s="1" t="s">
        <v>966</v>
      </c>
      <c r="I657" s="1" t="s">
        <v>967</v>
      </c>
      <c r="K657" s="1" t="s">
        <v>2844</v>
      </c>
      <c r="L657" s="1">
        <v>91.0</v>
      </c>
      <c r="M657" s="1">
        <v>808.0</v>
      </c>
      <c r="O657" s="1">
        <v>0.0</v>
      </c>
      <c r="P657" s="1">
        <v>0.0</v>
      </c>
      <c r="Q657" s="1" t="s">
        <v>2845</v>
      </c>
      <c r="R657" s="1">
        <v>148.0</v>
      </c>
      <c r="S657" s="1">
        <v>937.0</v>
      </c>
      <c r="U657" s="1">
        <v>0.0</v>
      </c>
      <c r="V657" s="1" t="s">
        <v>2843</v>
      </c>
      <c r="W657" s="1">
        <v>71.0</v>
      </c>
      <c r="Y657" s="1">
        <v>0.0</v>
      </c>
      <c r="Z657" s="1" t="s">
        <v>1172</v>
      </c>
      <c r="AA657" s="1">
        <v>23.0</v>
      </c>
      <c r="AC657" s="1">
        <v>0.0</v>
      </c>
      <c r="AD657" s="1" t="s">
        <v>971</v>
      </c>
      <c r="AG657" s="9" t="s">
        <v>2842</v>
      </c>
      <c r="AM657" s="1">
        <v>177903.0</v>
      </c>
      <c r="AN657" s="1">
        <v>33086.0</v>
      </c>
      <c r="AO657" s="1">
        <v>33086.0</v>
      </c>
      <c r="AP657" s="1">
        <v>12.675</v>
      </c>
      <c r="AR657" s="1">
        <v>885.0</v>
      </c>
      <c r="AS657" s="1">
        <v>149.0</v>
      </c>
      <c r="AT657" s="1">
        <v>5.94</v>
      </c>
      <c r="AU657" s="1">
        <v>61.049</v>
      </c>
      <c r="AV657" s="1" t="s">
        <v>990</v>
      </c>
      <c r="AW657" s="1">
        <v>4.451</v>
      </c>
      <c r="AX657" s="1">
        <v>2.0</v>
      </c>
      <c r="AY657" s="1">
        <v>2.0</v>
      </c>
      <c r="AZ657" s="1">
        <v>1.0</v>
      </c>
      <c r="BA657" s="1">
        <v>1.0</v>
      </c>
      <c r="BB657" s="1">
        <v>1.0</v>
      </c>
      <c r="BC657" s="1">
        <v>0.0</v>
      </c>
      <c r="BD657" s="1">
        <v>0.13</v>
      </c>
      <c r="BE657" s="1">
        <v>130.0</v>
      </c>
      <c r="BF657" s="1">
        <v>47.0</v>
      </c>
      <c r="BG657" s="1">
        <v>0.0</v>
      </c>
      <c r="BH657" s="1">
        <v>22.0</v>
      </c>
      <c r="BI657" s="1">
        <v>14.0</v>
      </c>
      <c r="BJ657" s="1">
        <v>0.0</v>
      </c>
      <c r="BO657" s="1" t="s">
        <v>2846</v>
      </c>
      <c r="BP657" s="1">
        <v>0.98</v>
      </c>
      <c r="BU657" s="1" t="s">
        <v>974</v>
      </c>
      <c r="BV657" s="1">
        <v>1.1</v>
      </c>
      <c r="BW657" s="1">
        <v>56.0</v>
      </c>
      <c r="BX657" s="1">
        <v>3451.032</v>
      </c>
      <c r="BY657" s="1">
        <v>7526.068</v>
      </c>
      <c r="BZ657" s="1">
        <v>11626.115</v>
      </c>
      <c r="CA657" s="1">
        <v>19427.867</v>
      </c>
      <c r="CB657" s="1">
        <v>269.5</v>
      </c>
      <c r="CC657" s="1">
        <v>0.002</v>
      </c>
      <c r="CD657" s="1">
        <v>710159.0</v>
      </c>
      <c r="CE657" s="1">
        <v>1950.0</v>
      </c>
      <c r="CF657" s="1">
        <v>169.0</v>
      </c>
      <c r="CG657" s="1">
        <v>2691214.0</v>
      </c>
      <c r="CH657" s="1">
        <v>33729.0</v>
      </c>
      <c r="CI657" s="1">
        <v>2.0</v>
      </c>
      <c r="CJ657" s="1">
        <v>66474.0</v>
      </c>
      <c r="CK657" s="1">
        <v>20.0</v>
      </c>
      <c r="CL657" s="1">
        <v>176274.0</v>
      </c>
      <c r="CM657" s="1">
        <v>41.0</v>
      </c>
      <c r="CN657" s="1">
        <v>1748201.0</v>
      </c>
      <c r="CO657" s="1">
        <v>68.0</v>
      </c>
      <c r="CP657" s="1">
        <v>640725.0</v>
      </c>
      <c r="CQ657" s="1">
        <v>10.0</v>
      </c>
      <c r="CR657" s="1">
        <v>0.0</v>
      </c>
      <c r="CS657" s="1">
        <v>0.0</v>
      </c>
      <c r="CT657" s="1">
        <v>25811.0</v>
      </c>
      <c r="CU657" s="1">
        <v>28.0</v>
      </c>
      <c r="CV657" s="1">
        <v>1833078.0</v>
      </c>
      <c r="CW657" s="1">
        <v>71.0</v>
      </c>
      <c r="DC657" s="1">
        <v>150.0</v>
      </c>
      <c r="DD657" s="1">
        <v>5075.0</v>
      </c>
      <c r="DE657" s="1">
        <v>0.0</v>
      </c>
      <c r="DF657" s="1">
        <v>3396.0</v>
      </c>
      <c r="DG657" s="1">
        <v>750.0</v>
      </c>
      <c r="DH657" s="1">
        <v>108278.0</v>
      </c>
      <c r="DI657" s="1">
        <v>1050.0</v>
      </c>
      <c r="DJ657" s="1">
        <v>593410.0</v>
      </c>
      <c r="DK657" s="1">
        <v>1478.378</v>
      </c>
      <c r="DL657" s="1" t="s">
        <v>975</v>
      </c>
      <c r="DM657" s="1">
        <v>2722.963</v>
      </c>
      <c r="DN657" s="1" t="s">
        <v>975</v>
      </c>
      <c r="DO657" s="1">
        <v>2690709.0</v>
      </c>
      <c r="DP657" s="1">
        <v>1.0</v>
      </c>
      <c r="DQ657" s="1" t="s">
        <v>976</v>
      </c>
      <c r="DR657" s="1" t="s">
        <v>1298</v>
      </c>
      <c r="DS657" s="1" t="s">
        <v>978</v>
      </c>
      <c r="DT657" s="1" t="s">
        <v>979</v>
      </c>
      <c r="DU657" s="1" t="s">
        <v>980</v>
      </c>
      <c r="DV657" s="1">
        <v>16694.0</v>
      </c>
      <c r="DX657" s="1">
        <v>4133.0</v>
      </c>
      <c r="DY657" s="1">
        <v>653063.0</v>
      </c>
      <c r="DZ657" s="1" t="s">
        <v>994</v>
      </c>
      <c r="EA657" s="1">
        <v>847.0</v>
      </c>
      <c r="EB657" s="1">
        <v>4453.0</v>
      </c>
      <c r="EC657" s="1">
        <v>7.0</v>
      </c>
      <c r="ED657" s="1">
        <v>26492.0</v>
      </c>
      <c r="EF657" s="1">
        <v>225.0</v>
      </c>
      <c r="EG657" s="1" t="s">
        <v>1032</v>
      </c>
      <c r="EH657" s="1">
        <v>100.0</v>
      </c>
      <c r="EK657" s="1">
        <v>100.0</v>
      </c>
      <c r="EQ657" s="9" t="s">
        <v>2842</v>
      </c>
      <c r="ER657" s="21">
        <v>46045.2990625</v>
      </c>
    </row>
    <row r="658">
      <c r="A658" s="9" t="s">
        <v>2847</v>
      </c>
      <c r="B658" s="20" t="str">
        <f>IFERROR(__xludf.DUMMYFUNCTION("REGEXREPLACE(A658, ""^https?://[^/]+"", """")"),"/news-events/seven-new-outsourced-vps-of-sales-are-ready-to-build-a-path-to-more-sales/")</f>
        <v>/news-events/seven-new-outsourced-vps-of-sales-are-ready-to-build-a-path-to-more-sales/</v>
      </c>
      <c r="C658" s="1" t="s">
        <v>2848</v>
      </c>
      <c r="D658" s="1" t="s">
        <v>1172</v>
      </c>
      <c r="F658" s="1" t="s">
        <v>965</v>
      </c>
      <c r="G658" s="1">
        <v>200.0</v>
      </c>
      <c r="H658" s="1" t="s">
        <v>966</v>
      </c>
      <c r="I658" s="1" t="s">
        <v>967</v>
      </c>
      <c r="K658" s="1" t="s">
        <v>2849</v>
      </c>
      <c r="L658" s="1">
        <v>93.0</v>
      </c>
      <c r="M658" s="1">
        <v>855.0</v>
      </c>
      <c r="O658" s="1">
        <v>0.0</v>
      </c>
      <c r="P658" s="1">
        <v>0.0</v>
      </c>
      <c r="Q658" s="1" t="s">
        <v>2850</v>
      </c>
      <c r="R658" s="1">
        <v>156.0</v>
      </c>
      <c r="S658" s="1">
        <v>968.0</v>
      </c>
      <c r="U658" s="1">
        <v>0.0</v>
      </c>
      <c r="V658" s="1" t="s">
        <v>2848</v>
      </c>
      <c r="W658" s="1">
        <v>73.0</v>
      </c>
      <c r="Y658" s="1">
        <v>0.0</v>
      </c>
      <c r="Z658" s="1" t="s">
        <v>1172</v>
      </c>
      <c r="AA658" s="1">
        <v>23.0</v>
      </c>
      <c r="AC658" s="1">
        <v>0.0</v>
      </c>
      <c r="AD658" s="1" t="s">
        <v>971</v>
      </c>
      <c r="AG658" s="9" t="s">
        <v>2847</v>
      </c>
      <c r="AM658" s="1">
        <v>176288.0</v>
      </c>
      <c r="AN658" s="1">
        <v>32819.0</v>
      </c>
      <c r="AO658" s="1">
        <v>32819.0</v>
      </c>
      <c r="AP658" s="1">
        <v>12.572</v>
      </c>
      <c r="AR658" s="1">
        <v>862.0</v>
      </c>
      <c r="AS658" s="1">
        <v>141.0</v>
      </c>
      <c r="AT658" s="1">
        <v>6.113</v>
      </c>
      <c r="AU658" s="1">
        <v>62.149</v>
      </c>
      <c r="AV658" s="1" t="s">
        <v>990</v>
      </c>
      <c r="AW658" s="1">
        <v>4.402</v>
      </c>
      <c r="AX658" s="1">
        <v>2.0</v>
      </c>
      <c r="AY658" s="1">
        <v>2.0</v>
      </c>
      <c r="AZ658" s="1">
        <v>1.0</v>
      </c>
      <c r="BA658" s="1">
        <v>1.0</v>
      </c>
      <c r="BB658" s="1">
        <v>1.0</v>
      </c>
      <c r="BC658" s="1">
        <v>0.0</v>
      </c>
      <c r="BD658" s="1">
        <v>0.13</v>
      </c>
      <c r="BE658" s="1">
        <v>129.0</v>
      </c>
      <c r="BF658" s="1">
        <v>47.0</v>
      </c>
      <c r="BG658" s="1">
        <v>0.0</v>
      </c>
      <c r="BH658" s="1">
        <v>22.0</v>
      </c>
      <c r="BI658" s="1">
        <v>14.0</v>
      </c>
      <c r="BJ658" s="1">
        <v>0.0</v>
      </c>
      <c r="BO658" s="1" t="s">
        <v>2851</v>
      </c>
      <c r="BP658" s="1">
        <v>1.017</v>
      </c>
      <c r="BU658" s="1" t="s">
        <v>974</v>
      </c>
      <c r="BV658" s="1">
        <v>1.1</v>
      </c>
      <c r="BW658" s="1">
        <v>56.0</v>
      </c>
      <c r="BX658" s="1">
        <v>4051.157</v>
      </c>
      <c r="BY658" s="1">
        <v>7563.724</v>
      </c>
      <c r="BZ658" s="1">
        <v>6976.279</v>
      </c>
      <c r="CA658" s="1">
        <v>20022.389</v>
      </c>
      <c r="CB658" s="1">
        <v>227.0</v>
      </c>
      <c r="CC658" s="1">
        <v>0.029</v>
      </c>
      <c r="CD658" s="1">
        <v>710452.0</v>
      </c>
      <c r="CE658" s="1">
        <v>900.0</v>
      </c>
      <c r="CF658" s="1">
        <v>169.0</v>
      </c>
      <c r="CG658" s="1">
        <v>2690162.0</v>
      </c>
      <c r="CH658" s="1">
        <v>33571.0</v>
      </c>
      <c r="CI658" s="1">
        <v>2.0</v>
      </c>
      <c r="CJ658" s="1">
        <v>66179.0</v>
      </c>
      <c r="CK658" s="1">
        <v>20.0</v>
      </c>
      <c r="CL658" s="1">
        <v>176266.0</v>
      </c>
      <c r="CM658" s="1">
        <v>41.0</v>
      </c>
      <c r="CN658" s="1">
        <v>1748142.0</v>
      </c>
      <c r="CO658" s="1">
        <v>68.0</v>
      </c>
      <c r="CP658" s="1">
        <v>640737.0</v>
      </c>
      <c r="CQ658" s="1">
        <v>10.0</v>
      </c>
      <c r="CR658" s="1">
        <v>0.0</v>
      </c>
      <c r="CS658" s="1">
        <v>0.0</v>
      </c>
      <c r="CT658" s="1">
        <v>25267.0</v>
      </c>
      <c r="CU658" s="1">
        <v>28.0</v>
      </c>
      <c r="CV658" s="1">
        <v>1832992.0</v>
      </c>
      <c r="CW658" s="1">
        <v>71.0</v>
      </c>
      <c r="DC658" s="1">
        <v>0.0</v>
      </c>
      <c r="DD658" s="1">
        <v>5075.0</v>
      </c>
      <c r="DE658" s="1">
        <v>0.0</v>
      </c>
      <c r="DF658" s="1">
        <v>3396.0</v>
      </c>
      <c r="DG658" s="1">
        <v>300.0</v>
      </c>
      <c r="DH658" s="1">
        <v>108279.0</v>
      </c>
      <c r="DI658" s="1">
        <v>600.0</v>
      </c>
      <c r="DJ658" s="1">
        <v>593702.0</v>
      </c>
      <c r="DK658" s="1">
        <v>1420.589</v>
      </c>
      <c r="DL658" s="1" t="s">
        <v>975</v>
      </c>
      <c r="DM658" s="1">
        <v>2649.673</v>
      </c>
      <c r="DN658" s="1" t="s">
        <v>975</v>
      </c>
      <c r="DO658" s="1">
        <v>2689657.0</v>
      </c>
      <c r="DP658" s="1">
        <v>1.0</v>
      </c>
      <c r="DQ658" s="1" t="s">
        <v>976</v>
      </c>
      <c r="DR658" s="1" t="s">
        <v>1464</v>
      </c>
      <c r="DS658" s="1" t="s">
        <v>978</v>
      </c>
      <c r="DU658" s="1" t="s">
        <v>994</v>
      </c>
      <c r="DV658" s="1">
        <v>17145.0</v>
      </c>
      <c r="DX658" s="1">
        <v>3888.0</v>
      </c>
      <c r="DY658" s="1">
        <v>652782.0</v>
      </c>
      <c r="DZ658" s="1" t="s">
        <v>994</v>
      </c>
      <c r="EA658" s="1">
        <v>846.0</v>
      </c>
      <c r="EB658" s="1">
        <v>4453.0</v>
      </c>
      <c r="EC658" s="1">
        <v>6.0</v>
      </c>
      <c r="ED658" s="1">
        <v>26492.0</v>
      </c>
      <c r="EF658" s="1">
        <v>230.0</v>
      </c>
      <c r="EG658" s="1" t="s">
        <v>1032</v>
      </c>
      <c r="EH658" s="1">
        <v>100.0</v>
      </c>
      <c r="EK658" s="1">
        <v>100.0</v>
      </c>
      <c r="EQ658" s="9" t="s">
        <v>2847</v>
      </c>
      <c r="ER658" s="21">
        <v>46045.2990625</v>
      </c>
    </row>
    <row r="659">
      <c r="A659" s="9" t="s">
        <v>2852</v>
      </c>
      <c r="B659" s="20" t="str">
        <f>IFERROR(__xludf.DUMMYFUNCTION("REGEXREPLACE(A659, ""^https?://[^/]+"", """")"),"/news-events/author-mark-thacker-releases-new-book-hope-realized/")</f>
        <v>/news-events/author-mark-thacker-releases-new-book-hope-realized/</v>
      </c>
      <c r="C659" s="1" t="s">
        <v>2853</v>
      </c>
      <c r="F659" s="1" t="s">
        <v>965</v>
      </c>
      <c r="G659" s="1">
        <v>200.0</v>
      </c>
      <c r="H659" s="1" t="s">
        <v>966</v>
      </c>
      <c r="I659" s="1" t="s">
        <v>967</v>
      </c>
      <c r="K659" s="1" t="s">
        <v>2854</v>
      </c>
      <c r="L659" s="1">
        <v>128.0</v>
      </c>
      <c r="M659" s="1">
        <v>1227.0</v>
      </c>
      <c r="O659" s="1">
        <v>0.0</v>
      </c>
      <c r="P659" s="1">
        <v>0.0</v>
      </c>
      <c r="Q659" s="1" t="s">
        <v>2855</v>
      </c>
      <c r="R659" s="1">
        <v>146.0</v>
      </c>
      <c r="S659" s="1">
        <v>903.0</v>
      </c>
      <c r="U659" s="1">
        <v>0.0</v>
      </c>
      <c r="V659" s="1" t="s">
        <v>2853</v>
      </c>
      <c r="W659" s="1">
        <v>108.0</v>
      </c>
      <c r="Y659" s="1">
        <v>0.0</v>
      </c>
      <c r="AA659" s="1">
        <v>0.0</v>
      </c>
      <c r="AC659" s="1">
        <v>0.0</v>
      </c>
      <c r="AD659" s="1" t="s">
        <v>971</v>
      </c>
      <c r="AG659" s="9" t="s">
        <v>2852</v>
      </c>
      <c r="AM659" s="1">
        <v>175769.0</v>
      </c>
      <c r="AN659" s="1">
        <v>32971.0</v>
      </c>
      <c r="AO659" s="1">
        <v>32971.0</v>
      </c>
      <c r="AP659" s="1">
        <v>12.631</v>
      </c>
      <c r="AR659" s="1">
        <v>969.0</v>
      </c>
      <c r="AS659" s="1">
        <v>152.0</v>
      </c>
      <c r="AT659" s="1">
        <v>6.375</v>
      </c>
      <c r="AU659" s="1">
        <v>58.666</v>
      </c>
      <c r="AV659" s="1" t="s">
        <v>972</v>
      </c>
      <c r="AW659" s="1">
        <v>4.856</v>
      </c>
      <c r="AX659" s="1">
        <v>2.0</v>
      </c>
      <c r="AY659" s="1">
        <v>2.0</v>
      </c>
      <c r="AZ659" s="1">
        <v>1.0</v>
      </c>
      <c r="BA659" s="1">
        <v>1.0</v>
      </c>
      <c r="BB659" s="1">
        <v>1.0</v>
      </c>
      <c r="BC659" s="1">
        <v>0.0</v>
      </c>
      <c r="BD659" s="1">
        <v>0.13</v>
      </c>
      <c r="BE659" s="1">
        <v>127.0</v>
      </c>
      <c r="BF659" s="1">
        <v>44.0</v>
      </c>
      <c r="BG659" s="1">
        <v>0.0</v>
      </c>
      <c r="BH659" s="1">
        <v>17.0</v>
      </c>
      <c r="BI659" s="1">
        <v>9.0</v>
      </c>
      <c r="BJ659" s="1">
        <v>0.0</v>
      </c>
      <c r="BO659" s="1" t="s">
        <v>2856</v>
      </c>
      <c r="BP659" s="1">
        <v>0.972</v>
      </c>
      <c r="BU659" s="1" t="s">
        <v>974</v>
      </c>
      <c r="BV659" s="1">
        <v>1.1</v>
      </c>
      <c r="BW659" s="1">
        <v>56.0</v>
      </c>
      <c r="BX659" s="1">
        <v>4951.042</v>
      </c>
      <c r="BY659" s="1">
        <v>6752.933</v>
      </c>
      <c r="BZ659" s="1">
        <v>10801.094</v>
      </c>
      <c r="CA659" s="1">
        <v>20309.91</v>
      </c>
      <c r="CB659" s="1">
        <v>188.5</v>
      </c>
      <c r="CC659" s="1">
        <v>0.0</v>
      </c>
      <c r="CD659" s="1">
        <v>710713.0</v>
      </c>
      <c r="CE659" s="1">
        <v>1500.0</v>
      </c>
      <c r="CF659" s="1">
        <v>169.0</v>
      </c>
      <c r="CG659" s="1">
        <v>2689867.0</v>
      </c>
      <c r="CH659" s="1">
        <v>33687.0</v>
      </c>
      <c r="CI659" s="1">
        <v>2.0</v>
      </c>
      <c r="CJ659" s="1">
        <v>66172.0</v>
      </c>
      <c r="CK659" s="1">
        <v>20.0</v>
      </c>
      <c r="CL659" s="1">
        <v>175404.0</v>
      </c>
      <c r="CM659" s="1">
        <v>41.0</v>
      </c>
      <c r="CN659" s="1">
        <v>1748412.0</v>
      </c>
      <c r="CO659" s="1">
        <v>68.0</v>
      </c>
      <c r="CP659" s="1">
        <v>640723.0</v>
      </c>
      <c r="CQ659" s="1">
        <v>10.0</v>
      </c>
      <c r="CR659" s="1">
        <v>0.0</v>
      </c>
      <c r="CS659" s="1">
        <v>0.0</v>
      </c>
      <c r="CT659" s="1">
        <v>25469.0</v>
      </c>
      <c r="CU659" s="1">
        <v>28.0</v>
      </c>
      <c r="CV659" s="1">
        <v>1832372.0</v>
      </c>
      <c r="CW659" s="1">
        <v>71.0</v>
      </c>
      <c r="DC659" s="1">
        <v>0.0</v>
      </c>
      <c r="DD659" s="1">
        <v>5075.0</v>
      </c>
      <c r="DE659" s="1">
        <v>0.0</v>
      </c>
      <c r="DF659" s="1">
        <v>3396.0</v>
      </c>
      <c r="DG659" s="1">
        <v>450.0</v>
      </c>
      <c r="DH659" s="1">
        <v>108320.0</v>
      </c>
      <c r="DI659" s="1">
        <v>1050.0</v>
      </c>
      <c r="DJ659" s="1">
        <v>593922.0</v>
      </c>
      <c r="DK659" s="1">
        <v>1450.523</v>
      </c>
      <c r="DL659" s="1" t="s">
        <v>975</v>
      </c>
      <c r="DM659" s="1">
        <v>2651.188</v>
      </c>
      <c r="DN659" s="1" t="s">
        <v>975</v>
      </c>
      <c r="DO659" s="1">
        <v>2689362.0</v>
      </c>
      <c r="DP659" s="1">
        <v>1.0</v>
      </c>
      <c r="DQ659" s="1" t="s">
        <v>976</v>
      </c>
      <c r="DR659" s="1" t="s">
        <v>2545</v>
      </c>
      <c r="DS659" s="1" t="s">
        <v>978</v>
      </c>
      <c r="DT659" s="1" t="s">
        <v>979</v>
      </c>
      <c r="DU659" s="1" t="s">
        <v>980</v>
      </c>
      <c r="DV659" s="1">
        <v>17298.0</v>
      </c>
      <c r="DX659" s="1">
        <v>3705.0</v>
      </c>
      <c r="DY659" s="1">
        <v>652784.0</v>
      </c>
      <c r="DZ659" s="1" t="s">
        <v>981</v>
      </c>
      <c r="EA659" s="1">
        <v>851.0</v>
      </c>
      <c r="EB659" s="1">
        <v>4453.0</v>
      </c>
      <c r="EC659" s="1">
        <v>1.0</v>
      </c>
      <c r="ED659" s="1">
        <v>26492.0</v>
      </c>
      <c r="EF659" s="1">
        <v>225.0</v>
      </c>
      <c r="EG659" s="1" t="s">
        <v>1032</v>
      </c>
      <c r="EH659" s="1">
        <v>100.0</v>
      </c>
      <c r="EK659" s="1">
        <v>100.0</v>
      </c>
      <c r="EQ659" s="9" t="s">
        <v>2852</v>
      </c>
      <c r="ER659" s="21">
        <v>46045.29907407407</v>
      </c>
    </row>
    <row r="660">
      <c r="A660" s="9" t="s">
        <v>2857</v>
      </c>
      <c r="B660" s="20" t="str">
        <f>IFERROR(__xludf.DUMMYFUNCTION("REGEXREPLACE(A660, ""^https?://[^/]+"", """")"),"/news-events/sales-consultants-foster-smb-growth-in-the-gig-economy/")</f>
        <v>/news-events/sales-consultants-foster-smb-growth-in-the-gig-economy/</v>
      </c>
      <c r="C660" s="1" t="s">
        <v>2858</v>
      </c>
      <c r="F660" s="1" t="s">
        <v>965</v>
      </c>
      <c r="G660" s="1">
        <v>200.0</v>
      </c>
      <c r="H660" s="1" t="s">
        <v>966</v>
      </c>
      <c r="I660" s="1" t="s">
        <v>967</v>
      </c>
      <c r="K660" s="1" t="s">
        <v>2859</v>
      </c>
      <c r="L660" s="1">
        <v>74.0</v>
      </c>
      <c r="M660" s="1">
        <v>686.0</v>
      </c>
      <c r="O660" s="1">
        <v>0.0</v>
      </c>
      <c r="P660" s="1">
        <v>0.0</v>
      </c>
      <c r="Q660" s="1" t="s">
        <v>2860</v>
      </c>
      <c r="R660" s="1">
        <v>346.0</v>
      </c>
      <c r="S660" s="1">
        <v>2090.0</v>
      </c>
      <c r="U660" s="1">
        <v>0.0</v>
      </c>
      <c r="V660" s="1" t="s">
        <v>2858</v>
      </c>
      <c r="W660" s="1">
        <v>54.0</v>
      </c>
      <c r="Y660" s="1">
        <v>0.0</v>
      </c>
      <c r="AA660" s="1">
        <v>0.0</v>
      </c>
      <c r="AC660" s="1">
        <v>0.0</v>
      </c>
      <c r="AD660" s="1" t="s">
        <v>971</v>
      </c>
      <c r="AG660" s="9" t="s">
        <v>2857</v>
      </c>
      <c r="AM660" s="1">
        <v>177221.0</v>
      </c>
      <c r="AN660" s="1">
        <v>32567.0</v>
      </c>
      <c r="AO660" s="1">
        <v>32567.0</v>
      </c>
      <c r="AP660" s="1">
        <v>12.476</v>
      </c>
      <c r="AR660" s="1">
        <v>809.0</v>
      </c>
      <c r="AS660" s="1">
        <v>133.0</v>
      </c>
      <c r="AT660" s="1">
        <v>6.083</v>
      </c>
      <c r="AU660" s="1">
        <v>61.369</v>
      </c>
      <c r="AV660" s="1" t="s">
        <v>990</v>
      </c>
      <c r="AW660" s="1">
        <v>4.185</v>
      </c>
      <c r="AX660" s="1">
        <v>2.0</v>
      </c>
      <c r="AY660" s="1">
        <v>2.0</v>
      </c>
      <c r="AZ660" s="1">
        <v>1.0</v>
      </c>
      <c r="BA660" s="1">
        <v>1.0</v>
      </c>
      <c r="BB660" s="1">
        <v>1.0</v>
      </c>
      <c r="BC660" s="1">
        <v>0.0</v>
      </c>
      <c r="BD660" s="1">
        <v>0.13</v>
      </c>
      <c r="BE660" s="1">
        <v>129.0</v>
      </c>
      <c r="BF660" s="1">
        <v>45.0</v>
      </c>
      <c r="BG660" s="1">
        <v>0.0</v>
      </c>
      <c r="BH660" s="1">
        <v>16.0</v>
      </c>
      <c r="BI660" s="1">
        <v>8.0</v>
      </c>
      <c r="BJ660" s="1">
        <v>0.0</v>
      </c>
      <c r="BO660" s="1" t="s">
        <v>2861</v>
      </c>
      <c r="BP660" s="1">
        <v>0.995</v>
      </c>
      <c r="BU660" s="1" t="s">
        <v>974</v>
      </c>
      <c r="BV660" s="1">
        <v>1.1</v>
      </c>
      <c r="BW660" s="1">
        <v>44.0</v>
      </c>
      <c r="BX660" s="1">
        <v>4801.039</v>
      </c>
      <c r="BY660" s="1">
        <v>7792.453</v>
      </c>
      <c r="BZ660" s="1">
        <v>10951.093</v>
      </c>
      <c r="CA660" s="1">
        <v>20805.654</v>
      </c>
      <c r="CB660" s="1">
        <v>575.5</v>
      </c>
      <c r="CC660" s="1">
        <v>0.0</v>
      </c>
      <c r="CD660" s="1">
        <v>709460.0</v>
      </c>
      <c r="CE660" s="1">
        <v>1500.0</v>
      </c>
      <c r="CF660" s="1">
        <v>175.0</v>
      </c>
      <c r="CG660" s="1">
        <v>2707519.0</v>
      </c>
      <c r="CH660" s="1">
        <v>33111.0</v>
      </c>
      <c r="CI660" s="1">
        <v>2.0</v>
      </c>
      <c r="CJ660" s="1">
        <v>83166.0</v>
      </c>
      <c r="CK660" s="1">
        <v>25.0</v>
      </c>
      <c r="CL660" s="1">
        <v>176272.0</v>
      </c>
      <c r="CM660" s="1">
        <v>41.0</v>
      </c>
      <c r="CN660" s="1">
        <v>1747971.0</v>
      </c>
      <c r="CO660" s="1">
        <v>68.0</v>
      </c>
      <c r="CP660" s="1">
        <v>640717.0</v>
      </c>
      <c r="CQ660" s="1">
        <v>10.0</v>
      </c>
      <c r="CR660" s="1">
        <v>0.0</v>
      </c>
      <c r="CS660" s="1">
        <v>0.0</v>
      </c>
      <c r="CT660" s="1">
        <v>26282.0</v>
      </c>
      <c r="CU660" s="1">
        <v>29.0</v>
      </c>
      <c r="CV660" s="1">
        <v>1833101.0</v>
      </c>
      <c r="CW660" s="1">
        <v>72.0</v>
      </c>
      <c r="DC660" s="1">
        <v>0.0</v>
      </c>
      <c r="DD660" s="1">
        <v>5075.0</v>
      </c>
      <c r="DE660" s="1">
        <v>0.0</v>
      </c>
      <c r="DF660" s="1">
        <v>3396.0</v>
      </c>
      <c r="DG660" s="1">
        <v>450.0</v>
      </c>
      <c r="DH660" s="1">
        <v>108320.0</v>
      </c>
      <c r="DI660" s="1">
        <v>1050.0</v>
      </c>
      <c r="DJ660" s="1">
        <v>592669.0</v>
      </c>
      <c r="DK660" s="1">
        <v>2124.484</v>
      </c>
      <c r="DL660" s="1" t="s">
        <v>975</v>
      </c>
      <c r="DM660" s="1">
        <v>3617.274</v>
      </c>
      <c r="DN660" s="1" t="s">
        <v>975</v>
      </c>
      <c r="DO660" s="1">
        <v>2707014.0</v>
      </c>
      <c r="DP660" s="1">
        <v>1.0</v>
      </c>
      <c r="DQ660" s="1" t="s">
        <v>976</v>
      </c>
      <c r="DR660" s="1" t="s">
        <v>1055</v>
      </c>
      <c r="DS660" s="1" t="s">
        <v>978</v>
      </c>
      <c r="DT660" s="1" t="s">
        <v>979</v>
      </c>
      <c r="DU660" s="1" t="s">
        <v>980</v>
      </c>
      <c r="DV660" s="1">
        <v>17296.0</v>
      </c>
      <c r="DX660" s="1">
        <v>3978.0</v>
      </c>
      <c r="DY660" s="1">
        <v>659746.0</v>
      </c>
      <c r="DZ660" s="1" t="s">
        <v>981</v>
      </c>
      <c r="EA660" s="1">
        <v>835.0</v>
      </c>
      <c r="EB660" s="1">
        <v>0.0</v>
      </c>
      <c r="EC660" s="1">
        <v>1.0</v>
      </c>
      <c r="ED660" s="1">
        <v>26492.0</v>
      </c>
      <c r="EF660" s="1">
        <v>220.0</v>
      </c>
      <c r="EG660" s="1" t="s">
        <v>1032</v>
      </c>
      <c r="EH660" s="1">
        <v>100.0</v>
      </c>
      <c r="EK660" s="1">
        <v>100.0</v>
      </c>
      <c r="EQ660" s="9" t="s">
        <v>2857</v>
      </c>
      <c r="ER660" s="21">
        <v>46045.29907407407</v>
      </c>
    </row>
    <row r="661">
      <c r="A661" s="9" t="s">
        <v>2862</v>
      </c>
      <c r="B661" s="20" t="str">
        <f>IFERROR(__xludf.DUMMYFUNCTION("REGEXREPLACE(A661, ""^https?://[^/]+"", """")"),"/news-events/one-new-sales-pro-joins-the-sales-xceleration-team/")</f>
        <v>/news-events/one-new-sales-pro-joins-the-sales-xceleration-team/</v>
      </c>
      <c r="C661" s="1" t="s">
        <v>2863</v>
      </c>
      <c r="D661" s="1" t="s">
        <v>1172</v>
      </c>
      <c r="F661" s="1" t="s">
        <v>965</v>
      </c>
      <c r="G661" s="1">
        <v>200.0</v>
      </c>
      <c r="H661" s="1" t="s">
        <v>966</v>
      </c>
      <c r="I661" s="1" t="s">
        <v>967</v>
      </c>
      <c r="K661" s="1" t="s">
        <v>2864</v>
      </c>
      <c r="L661" s="1">
        <v>71.0</v>
      </c>
      <c r="M661" s="1">
        <v>663.0</v>
      </c>
      <c r="O661" s="1">
        <v>0.0</v>
      </c>
      <c r="P661" s="1">
        <v>0.0</v>
      </c>
      <c r="Q661" s="1" t="s">
        <v>2865</v>
      </c>
      <c r="R661" s="1">
        <v>156.0</v>
      </c>
      <c r="S661" s="1">
        <v>968.0</v>
      </c>
      <c r="U661" s="1">
        <v>0.0</v>
      </c>
      <c r="V661" s="1" t="s">
        <v>2863</v>
      </c>
      <c r="W661" s="1">
        <v>51.0</v>
      </c>
      <c r="Y661" s="1">
        <v>0.0</v>
      </c>
      <c r="Z661" s="1" t="s">
        <v>1172</v>
      </c>
      <c r="AA661" s="1">
        <v>23.0</v>
      </c>
      <c r="AC661" s="1">
        <v>0.0</v>
      </c>
      <c r="AD661" s="1" t="s">
        <v>971</v>
      </c>
      <c r="AG661" s="9" t="s">
        <v>2862</v>
      </c>
      <c r="AM661" s="1">
        <v>175669.0</v>
      </c>
      <c r="AN661" s="1">
        <v>32685.0</v>
      </c>
      <c r="AO661" s="1">
        <v>32685.0</v>
      </c>
      <c r="AP661" s="1">
        <v>12.521</v>
      </c>
      <c r="AR661" s="1">
        <v>850.0</v>
      </c>
      <c r="AS661" s="1">
        <v>140.0</v>
      </c>
      <c r="AT661" s="1">
        <v>6.071</v>
      </c>
      <c r="AU661" s="1">
        <v>60.535</v>
      </c>
      <c r="AV661" s="1" t="s">
        <v>990</v>
      </c>
      <c r="AW661" s="1">
        <v>4.39</v>
      </c>
      <c r="AX661" s="1">
        <v>2.0</v>
      </c>
      <c r="AY661" s="1">
        <v>2.0</v>
      </c>
      <c r="AZ661" s="1">
        <v>1.0</v>
      </c>
      <c r="BA661" s="1">
        <v>1.0</v>
      </c>
      <c r="BB661" s="1">
        <v>1.0</v>
      </c>
      <c r="BC661" s="1">
        <v>0.0</v>
      </c>
      <c r="BD661" s="1">
        <v>0.13</v>
      </c>
      <c r="BE661" s="1">
        <v>129.0</v>
      </c>
      <c r="BF661" s="1">
        <v>47.0</v>
      </c>
      <c r="BG661" s="1">
        <v>0.0</v>
      </c>
      <c r="BH661" s="1">
        <v>18.0</v>
      </c>
      <c r="BI661" s="1">
        <v>10.0</v>
      </c>
      <c r="BJ661" s="1">
        <v>0.0</v>
      </c>
      <c r="BO661" s="1" t="s">
        <v>2866</v>
      </c>
      <c r="BP661" s="1">
        <v>1.02</v>
      </c>
      <c r="BU661" s="1" t="s">
        <v>974</v>
      </c>
      <c r="BV661" s="1">
        <v>1.1</v>
      </c>
      <c r="BW661" s="1">
        <v>51.0</v>
      </c>
      <c r="BX661" s="1">
        <v>4501.061</v>
      </c>
      <c r="BY661" s="1">
        <v>8222.272</v>
      </c>
      <c r="BZ661" s="1">
        <v>8551.118</v>
      </c>
      <c r="CA661" s="1">
        <v>19420.914</v>
      </c>
      <c r="CB661" s="1">
        <v>333.5</v>
      </c>
      <c r="CC661" s="1">
        <v>0.005</v>
      </c>
      <c r="CD661" s="1">
        <v>709480.0</v>
      </c>
      <c r="CE661" s="1">
        <v>1350.0</v>
      </c>
      <c r="CF661" s="1">
        <v>169.0</v>
      </c>
      <c r="CG661" s="1">
        <v>2691122.0</v>
      </c>
      <c r="CH661" s="1">
        <v>33405.0</v>
      </c>
      <c r="CI661" s="1">
        <v>2.0</v>
      </c>
      <c r="CJ661" s="1">
        <v>66197.0</v>
      </c>
      <c r="CK661" s="1">
        <v>20.0</v>
      </c>
      <c r="CL661" s="1">
        <v>176270.0</v>
      </c>
      <c r="CM661" s="1">
        <v>41.0</v>
      </c>
      <c r="CN661" s="1">
        <v>1749069.0</v>
      </c>
      <c r="CO661" s="1">
        <v>68.0</v>
      </c>
      <c r="CP661" s="1">
        <v>640729.0</v>
      </c>
      <c r="CQ661" s="1">
        <v>10.0</v>
      </c>
      <c r="CR661" s="1">
        <v>0.0</v>
      </c>
      <c r="CS661" s="1">
        <v>0.0</v>
      </c>
      <c r="CT661" s="1">
        <v>25452.0</v>
      </c>
      <c r="CU661" s="1">
        <v>28.0</v>
      </c>
      <c r="CV661" s="1">
        <v>1833914.0</v>
      </c>
      <c r="CW661" s="1">
        <v>71.0</v>
      </c>
      <c r="DC661" s="1">
        <v>0.0</v>
      </c>
      <c r="DD661" s="1">
        <v>5075.0</v>
      </c>
      <c r="DE661" s="1">
        <v>0.0</v>
      </c>
      <c r="DF661" s="1">
        <v>3396.0</v>
      </c>
      <c r="DG661" s="1">
        <v>300.0</v>
      </c>
      <c r="DH661" s="1">
        <v>108274.0</v>
      </c>
      <c r="DI661" s="1">
        <v>1050.0</v>
      </c>
      <c r="DJ661" s="1">
        <v>592735.0</v>
      </c>
      <c r="DK661" s="1">
        <v>1603.28</v>
      </c>
      <c r="DL661" s="1" t="s">
        <v>975</v>
      </c>
      <c r="DM661" s="1">
        <v>2955.784</v>
      </c>
      <c r="DN661" s="1" t="s">
        <v>975</v>
      </c>
      <c r="DO661" s="1">
        <v>2690617.0</v>
      </c>
      <c r="DP661" s="1">
        <v>10.0</v>
      </c>
      <c r="DQ661" s="1" t="s">
        <v>976</v>
      </c>
      <c r="DR661" s="1" t="s">
        <v>1055</v>
      </c>
      <c r="DS661" s="1" t="s">
        <v>978</v>
      </c>
      <c r="DT661" s="1" t="s">
        <v>979</v>
      </c>
      <c r="DU661" s="1" t="s">
        <v>980</v>
      </c>
      <c r="DV661" s="1">
        <v>18443.0</v>
      </c>
      <c r="DX661" s="1">
        <v>4546.0</v>
      </c>
      <c r="DY661" s="1">
        <v>653998.0</v>
      </c>
      <c r="DZ661" s="1" t="s">
        <v>981</v>
      </c>
      <c r="EA661" s="1">
        <v>839.0</v>
      </c>
      <c r="EB661" s="1">
        <v>4453.0</v>
      </c>
      <c r="EC661" s="1">
        <v>33.0</v>
      </c>
      <c r="ED661" s="1">
        <v>26398.0</v>
      </c>
      <c r="EF661" s="1">
        <v>210.0</v>
      </c>
      <c r="EG661" s="1" t="s">
        <v>1032</v>
      </c>
      <c r="EH661" s="1">
        <v>100.0</v>
      </c>
      <c r="EK661" s="1">
        <v>100.0</v>
      </c>
      <c r="EQ661" s="9" t="s">
        <v>2862</v>
      </c>
      <c r="ER661" s="21">
        <v>46045.29907407407</v>
      </c>
    </row>
    <row r="662">
      <c r="A662" s="9" t="s">
        <v>2867</v>
      </c>
      <c r="B662" s="20" t="str">
        <f>IFERROR(__xludf.DUMMYFUNCTION("REGEXREPLACE(A662, ""^https?://[^/]+"", """")"),"/news-events/sales-agility-assessment/")</f>
        <v>/news-events/sales-agility-assessment/</v>
      </c>
      <c r="C662" s="1" t="s">
        <v>2868</v>
      </c>
      <c r="F662" s="1" t="s">
        <v>965</v>
      </c>
      <c r="G662" s="1">
        <v>200.0</v>
      </c>
      <c r="H662" s="1" t="s">
        <v>966</v>
      </c>
      <c r="I662" s="1" t="s">
        <v>967</v>
      </c>
      <c r="K662" s="1" t="s">
        <v>2869</v>
      </c>
      <c r="L662" s="1">
        <v>177.0</v>
      </c>
      <c r="M662" s="1">
        <v>1690.0</v>
      </c>
      <c r="O662" s="1">
        <v>0.0</v>
      </c>
      <c r="P662" s="1">
        <v>0.0</v>
      </c>
      <c r="Q662" s="1" t="s">
        <v>2870</v>
      </c>
      <c r="R662" s="1">
        <v>158.0</v>
      </c>
      <c r="S662" s="1">
        <v>1005.0</v>
      </c>
      <c r="U662" s="1">
        <v>0.0</v>
      </c>
      <c r="V662" s="1" t="s">
        <v>2868</v>
      </c>
      <c r="W662" s="1">
        <v>157.0</v>
      </c>
      <c r="Y662" s="1">
        <v>0.0</v>
      </c>
      <c r="AA662" s="1">
        <v>0.0</v>
      </c>
      <c r="AC662" s="1">
        <v>0.0</v>
      </c>
      <c r="AD662" s="1" t="s">
        <v>971</v>
      </c>
      <c r="AG662" s="9" t="s">
        <v>2867</v>
      </c>
      <c r="AM662" s="1">
        <v>174623.0</v>
      </c>
      <c r="AN662" s="1">
        <v>32528.0</v>
      </c>
      <c r="AO662" s="1">
        <v>32528.0</v>
      </c>
      <c r="AP662" s="1">
        <v>12.461</v>
      </c>
      <c r="AR662" s="1">
        <v>858.0</v>
      </c>
      <c r="AS662" s="1">
        <v>135.0</v>
      </c>
      <c r="AT662" s="1">
        <v>6.356</v>
      </c>
      <c r="AU662" s="1">
        <v>54.454</v>
      </c>
      <c r="AV662" s="1" t="s">
        <v>972</v>
      </c>
      <c r="AW662" s="1">
        <v>4.525</v>
      </c>
      <c r="AX662" s="1">
        <v>2.0</v>
      </c>
      <c r="AY662" s="1">
        <v>2.0</v>
      </c>
      <c r="AZ662" s="1">
        <v>1.0</v>
      </c>
      <c r="BA662" s="1">
        <v>1.0</v>
      </c>
      <c r="BB662" s="1">
        <v>1.0</v>
      </c>
      <c r="BC662" s="1">
        <v>0.0</v>
      </c>
      <c r="BD662" s="1">
        <v>0.13</v>
      </c>
      <c r="BE662" s="1">
        <v>129.0</v>
      </c>
      <c r="BF662" s="1">
        <v>45.0</v>
      </c>
      <c r="BG662" s="1">
        <v>0.0</v>
      </c>
      <c r="BH662" s="1">
        <v>17.0</v>
      </c>
      <c r="BI662" s="1">
        <v>9.0</v>
      </c>
      <c r="BJ662" s="1">
        <v>0.0</v>
      </c>
      <c r="BO662" s="1" t="s">
        <v>2871</v>
      </c>
      <c r="BP662" s="1">
        <v>0.981</v>
      </c>
      <c r="BU662" s="1" t="s">
        <v>974</v>
      </c>
      <c r="BV662" s="1">
        <v>1.1</v>
      </c>
      <c r="BW662" s="1">
        <v>53.0</v>
      </c>
      <c r="BX662" s="1">
        <v>5251.045</v>
      </c>
      <c r="BY662" s="1">
        <v>7834.325</v>
      </c>
      <c r="BZ662" s="1">
        <v>11851.104</v>
      </c>
      <c r="CA662" s="1">
        <v>20428.613</v>
      </c>
      <c r="CB662" s="1">
        <v>268.5</v>
      </c>
      <c r="CC662" s="1">
        <v>0.004</v>
      </c>
      <c r="CD662" s="1">
        <v>710100.0</v>
      </c>
      <c r="CE662" s="1">
        <v>1350.0</v>
      </c>
      <c r="CF662" s="1">
        <v>173.0</v>
      </c>
      <c r="CG662" s="1">
        <v>2876379.0</v>
      </c>
      <c r="CH662" s="1">
        <v>33235.0</v>
      </c>
      <c r="CI662" s="1">
        <v>2.0</v>
      </c>
      <c r="CJ662" s="1">
        <v>66142.0</v>
      </c>
      <c r="CK662" s="1">
        <v>20.0</v>
      </c>
      <c r="CL662" s="1">
        <v>176274.0</v>
      </c>
      <c r="CM662" s="1">
        <v>41.0</v>
      </c>
      <c r="CN662" s="1">
        <v>1747986.0</v>
      </c>
      <c r="CO662" s="1">
        <v>68.0</v>
      </c>
      <c r="CP662" s="1">
        <v>827637.0</v>
      </c>
      <c r="CQ662" s="1">
        <v>14.0</v>
      </c>
      <c r="CR662" s="1">
        <v>0.0</v>
      </c>
      <c r="CS662" s="1">
        <v>0.0</v>
      </c>
      <c r="CT662" s="1">
        <v>25105.0</v>
      </c>
      <c r="CU662" s="1">
        <v>28.0</v>
      </c>
      <c r="CV662" s="1">
        <v>1880459.0</v>
      </c>
      <c r="CW662" s="1">
        <v>72.0</v>
      </c>
      <c r="DC662" s="1">
        <v>0.0</v>
      </c>
      <c r="DD662" s="1">
        <v>5075.0</v>
      </c>
      <c r="DE662" s="1">
        <v>0.0</v>
      </c>
      <c r="DF662" s="1">
        <v>3401.0</v>
      </c>
      <c r="DG662" s="1">
        <v>450.0</v>
      </c>
      <c r="DH662" s="1">
        <v>108261.0</v>
      </c>
      <c r="DI662" s="1">
        <v>900.0</v>
      </c>
      <c r="DJ662" s="1">
        <v>593363.0</v>
      </c>
      <c r="DK662" s="1">
        <v>1277.77</v>
      </c>
      <c r="DL662" s="1" t="s">
        <v>992</v>
      </c>
      <c r="DM662" s="1">
        <v>2603.602</v>
      </c>
      <c r="DN662" s="1" t="s">
        <v>975</v>
      </c>
      <c r="DO662" s="1">
        <v>2875874.0</v>
      </c>
      <c r="DP662" s="1">
        <v>1.0</v>
      </c>
      <c r="DQ662" s="1" t="s">
        <v>976</v>
      </c>
      <c r="DR662" s="1" t="s">
        <v>1055</v>
      </c>
      <c r="DS662" s="1" t="s">
        <v>978</v>
      </c>
      <c r="DT662" s="1" t="s">
        <v>979</v>
      </c>
      <c r="DU662" s="1" t="s">
        <v>980</v>
      </c>
      <c r="DV662" s="1">
        <v>17296.0</v>
      </c>
      <c r="DX662" s="1">
        <v>4412.0</v>
      </c>
      <c r="DY662" s="1">
        <v>708462.0</v>
      </c>
      <c r="DZ662" s="1" t="s">
        <v>994</v>
      </c>
      <c r="EA662" s="1">
        <v>829.0</v>
      </c>
      <c r="EB662" s="1">
        <v>4453.0</v>
      </c>
      <c r="EC662" s="1">
        <v>1.0</v>
      </c>
      <c r="ED662" s="1">
        <v>26492.0</v>
      </c>
      <c r="EF662" s="1">
        <v>225.0</v>
      </c>
      <c r="EG662" s="1" t="s">
        <v>1032</v>
      </c>
      <c r="EH662" s="1">
        <v>100.0</v>
      </c>
      <c r="EK662" s="1">
        <v>100.0</v>
      </c>
      <c r="EQ662" s="9" t="s">
        <v>2867</v>
      </c>
      <c r="ER662" s="21">
        <v>46045.29907407407</v>
      </c>
    </row>
    <row r="663">
      <c r="A663" s="9" t="s">
        <v>2872</v>
      </c>
      <c r="B663" s="20" t="str">
        <f>IFERROR(__xludf.DUMMYFUNCTION("REGEXREPLACE(A663, ""^https?://[^/]+"", """")"),"/news-events/sales-xceleration-introduces-fractional-sales-leaders-in-multiple-key-markets/")</f>
        <v>/news-events/sales-xceleration-introduces-fractional-sales-leaders-in-multiple-key-markets/</v>
      </c>
      <c r="C663" s="1" t="s">
        <v>1146</v>
      </c>
      <c r="F663" s="1" t="s">
        <v>965</v>
      </c>
      <c r="G663" s="1">
        <v>200.0</v>
      </c>
      <c r="H663" s="1" t="s">
        <v>966</v>
      </c>
      <c r="I663" s="1" t="s">
        <v>967</v>
      </c>
      <c r="K663" s="1" t="s">
        <v>2873</v>
      </c>
      <c r="L663" s="1">
        <v>97.0</v>
      </c>
      <c r="M663" s="1">
        <v>865.0</v>
      </c>
      <c r="O663" s="1">
        <v>0.0</v>
      </c>
      <c r="P663" s="1">
        <v>0.0</v>
      </c>
      <c r="Q663" s="1" t="s">
        <v>2874</v>
      </c>
      <c r="R663" s="1">
        <v>158.0</v>
      </c>
      <c r="S663" s="1">
        <v>988.0</v>
      </c>
      <c r="U663" s="1">
        <v>0.0</v>
      </c>
      <c r="V663" s="1" t="s">
        <v>1146</v>
      </c>
      <c r="W663" s="1">
        <v>77.0</v>
      </c>
      <c r="Y663" s="1">
        <v>0.0</v>
      </c>
      <c r="AA663" s="1">
        <v>0.0</v>
      </c>
      <c r="AC663" s="1">
        <v>0.0</v>
      </c>
      <c r="AD663" s="1" t="s">
        <v>971</v>
      </c>
      <c r="AG663" s="9" t="s">
        <v>2872</v>
      </c>
      <c r="AM663" s="1">
        <v>176505.0</v>
      </c>
      <c r="AN663" s="1">
        <v>32801.0</v>
      </c>
      <c r="AO663" s="1">
        <v>32801.0</v>
      </c>
      <c r="AP663" s="1">
        <v>12.565</v>
      </c>
      <c r="AR663" s="1">
        <v>914.0</v>
      </c>
      <c r="AS663" s="1">
        <v>146.0</v>
      </c>
      <c r="AT663" s="1">
        <v>6.26</v>
      </c>
      <c r="AU663" s="1">
        <v>54.606</v>
      </c>
      <c r="AV663" s="1" t="s">
        <v>972</v>
      </c>
      <c r="AW663" s="1">
        <v>4.709</v>
      </c>
      <c r="AX663" s="1">
        <v>2.0</v>
      </c>
      <c r="AY663" s="1">
        <v>2.0</v>
      </c>
      <c r="AZ663" s="1">
        <v>1.0</v>
      </c>
      <c r="BA663" s="1">
        <v>1.0</v>
      </c>
      <c r="BB663" s="1">
        <v>1.0</v>
      </c>
      <c r="BC663" s="1">
        <v>0.0</v>
      </c>
      <c r="BD663" s="1">
        <v>0.13</v>
      </c>
      <c r="BE663" s="1">
        <v>127.0</v>
      </c>
      <c r="BF663" s="1">
        <v>44.0</v>
      </c>
      <c r="BG663" s="1">
        <v>0.0</v>
      </c>
      <c r="BH663" s="1">
        <v>19.0</v>
      </c>
      <c r="BI663" s="1">
        <v>11.0</v>
      </c>
      <c r="BJ663" s="1">
        <v>0.0</v>
      </c>
      <c r="BO663" s="1" t="s">
        <v>2875</v>
      </c>
      <c r="BP663" s="1">
        <v>0.987</v>
      </c>
      <c r="BU663" s="1" t="s">
        <v>974</v>
      </c>
      <c r="BV663" s="1">
        <v>1.1</v>
      </c>
      <c r="BW663" s="1">
        <v>43.0</v>
      </c>
      <c r="BX663" s="1">
        <v>3601.019</v>
      </c>
      <c r="BY663" s="1">
        <v>7692.01</v>
      </c>
      <c r="BZ663" s="1">
        <v>11626.066</v>
      </c>
      <c r="CA663" s="1">
        <v>20420.234</v>
      </c>
      <c r="CB663" s="1">
        <v>702.0</v>
      </c>
      <c r="CC663" s="1">
        <v>0.002</v>
      </c>
      <c r="CD663" s="1">
        <v>708708.0</v>
      </c>
      <c r="CE663" s="1">
        <v>1050.0</v>
      </c>
      <c r="CF663" s="1">
        <v>171.0</v>
      </c>
      <c r="CG663" s="1">
        <v>2733059.0</v>
      </c>
      <c r="CH663" s="1">
        <v>33585.0</v>
      </c>
      <c r="CI663" s="1">
        <v>2.0</v>
      </c>
      <c r="CJ663" s="1">
        <v>66204.0</v>
      </c>
      <c r="CK663" s="1">
        <v>20.0</v>
      </c>
      <c r="CL663" s="1">
        <v>175400.0</v>
      </c>
      <c r="CM663" s="1">
        <v>41.0</v>
      </c>
      <c r="CN663" s="1">
        <v>1747919.0</v>
      </c>
      <c r="CO663" s="1">
        <v>68.0</v>
      </c>
      <c r="CP663" s="1">
        <v>684502.0</v>
      </c>
      <c r="CQ663" s="1">
        <v>11.0</v>
      </c>
      <c r="CR663" s="1">
        <v>0.0</v>
      </c>
      <c r="CS663" s="1">
        <v>0.0</v>
      </c>
      <c r="CT663" s="1">
        <v>25449.0</v>
      </c>
      <c r="CU663" s="1">
        <v>29.0</v>
      </c>
      <c r="CV663" s="1">
        <v>1875575.0</v>
      </c>
      <c r="CW663" s="1">
        <v>73.0</v>
      </c>
      <c r="DC663" s="1">
        <v>0.0</v>
      </c>
      <c r="DD663" s="1">
        <v>5075.0</v>
      </c>
      <c r="DE663" s="1">
        <v>0.0</v>
      </c>
      <c r="DF663" s="1">
        <v>3401.0</v>
      </c>
      <c r="DG663" s="1">
        <v>300.0</v>
      </c>
      <c r="DH663" s="1">
        <v>108319.0</v>
      </c>
      <c r="DI663" s="1">
        <v>750.0</v>
      </c>
      <c r="DJ663" s="1">
        <v>591913.0</v>
      </c>
      <c r="DK663" s="1">
        <v>2416.744</v>
      </c>
      <c r="DL663" s="1" t="s">
        <v>975</v>
      </c>
      <c r="DM663" s="1">
        <v>4092.287</v>
      </c>
      <c r="DN663" s="1" t="s">
        <v>975</v>
      </c>
      <c r="DO663" s="1">
        <v>2732554.0</v>
      </c>
      <c r="DP663" s="1">
        <v>1.0</v>
      </c>
      <c r="DQ663" s="1" t="s">
        <v>976</v>
      </c>
      <c r="DR663" s="1" t="s">
        <v>1266</v>
      </c>
      <c r="DS663" s="1" t="s">
        <v>978</v>
      </c>
      <c r="DT663" s="1" t="s">
        <v>979</v>
      </c>
      <c r="DU663" s="1" t="s">
        <v>980</v>
      </c>
      <c r="DV663" s="1">
        <v>16694.0</v>
      </c>
      <c r="DX663" s="1">
        <v>3950.0</v>
      </c>
      <c r="DY663" s="1">
        <v>652793.0</v>
      </c>
      <c r="DZ663" s="1" t="s">
        <v>994</v>
      </c>
      <c r="EA663" s="1">
        <v>843.0</v>
      </c>
      <c r="EB663" s="1">
        <v>4453.0</v>
      </c>
      <c r="EC663" s="1">
        <v>43.0</v>
      </c>
      <c r="ED663" s="1">
        <v>26492.0</v>
      </c>
      <c r="EF663" s="1">
        <v>245.0</v>
      </c>
      <c r="EG663" s="1" t="s">
        <v>1032</v>
      </c>
      <c r="EH663" s="1">
        <v>100.0</v>
      </c>
      <c r="EK663" s="1">
        <v>100.0</v>
      </c>
      <c r="EQ663" s="9" t="s">
        <v>2872</v>
      </c>
      <c r="ER663" s="21">
        <v>46045.29907407407</v>
      </c>
    </row>
    <row r="664">
      <c r="A664" s="9" t="s">
        <v>2876</v>
      </c>
      <c r="B664" s="20" t="str">
        <f>IFERROR(__xludf.DUMMYFUNCTION("REGEXREPLACE(A664, ""^https?://[^/]+"", """")"),"/news-events/businesses-realize-benefit-of-utilizing-fractional-sales-vps/")</f>
        <v>/news-events/businesses-realize-benefit-of-utilizing-fractional-sales-vps/</v>
      </c>
      <c r="C664" s="1" t="s">
        <v>2877</v>
      </c>
      <c r="D664" s="1" t="s">
        <v>1172</v>
      </c>
      <c r="F664" s="1" t="s">
        <v>965</v>
      </c>
      <c r="G664" s="1">
        <v>200.0</v>
      </c>
      <c r="H664" s="1" t="s">
        <v>966</v>
      </c>
      <c r="I664" s="1" t="s">
        <v>967</v>
      </c>
      <c r="K664" s="1" t="s">
        <v>2878</v>
      </c>
      <c r="L664" s="1">
        <v>80.0</v>
      </c>
      <c r="M664" s="1">
        <v>700.0</v>
      </c>
      <c r="O664" s="1">
        <v>0.0</v>
      </c>
      <c r="P664" s="1">
        <v>0.0</v>
      </c>
      <c r="Q664" s="1" t="s">
        <v>2879</v>
      </c>
      <c r="R664" s="1">
        <v>154.0</v>
      </c>
      <c r="S664" s="1">
        <v>962.0</v>
      </c>
      <c r="U664" s="1">
        <v>0.0</v>
      </c>
      <c r="V664" s="1" t="s">
        <v>2877</v>
      </c>
      <c r="W664" s="1">
        <v>60.0</v>
      </c>
      <c r="Y664" s="1">
        <v>0.0</v>
      </c>
      <c r="Z664" s="1" t="s">
        <v>1172</v>
      </c>
      <c r="AA664" s="1">
        <v>23.0</v>
      </c>
      <c r="AC664" s="1">
        <v>0.0</v>
      </c>
      <c r="AD664" s="1" t="s">
        <v>971</v>
      </c>
      <c r="AG664" s="9" t="s">
        <v>2876</v>
      </c>
      <c r="AM664" s="1">
        <v>176639.0</v>
      </c>
      <c r="AN664" s="1">
        <v>32913.0</v>
      </c>
      <c r="AO664" s="1">
        <v>32913.0</v>
      </c>
      <c r="AP664" s="1">
        <v>12.608</v>
      </c>
      <c r="AR664" s="1">
        <v>891.0</v>
      </c>
      <c r="AS664" s="1">
        <v>146.0</v>
      </c>
      <c r="AT664" s="1">
        <v>6.103</v>
      </c>
      <c r="AU664" s="1">
        <v>61.445</v>
      </c>
      <c r="AV664" s="1" t="s">
        <v>990</v>
      </c>
      <c r="AW664" s="1">
        <v>4.495</v>
      </c>
      <c r="AX664" s="1">
        <v>2.0</v>
      </c>
      <c r="AY664" s="1">
        <v>2.0</v>
      </c>
      <c r="AZ664" s="1">
        <v>1.0</v>
      </c>
      <c r="BA664" s="1">
        <v>1.0</v>
      </c>
      <c r="BB664" s="1">
        <v>1.0</v>
      </c>
      <c r="BC664" s="1">
        <v>0.0</v>
      </c>
      <c r="BD664" s="1">
        <v>0.13</v>
      </c>
      <c r="BE664" s="1">
        <v>129.0</v>
      </c>
      <c r="BF664" s="1">
        <v>46.0</v>
      </c>
      <c r="BG664" s="1">
        <v>0.0</v>
      </c>
      <c r="BH664" s="1">
        <v>22.0</v>
      </c>
      <c r="BI664" s="1">
        <v>14.0</v>
      </c>
      <c r="BJ664" s="1">
        <v>0.0</v>
      </c>
      <c r="BO664" s="1" t="s">
        <v>2880</v>
      </c>
      <c r="BP664" s="1">
        <v>0.959</v>
      </c>
      <c r="BU664" s="1" t="s">
        <v>974</v>
      </c>
      <c r="BV664" s="1">
        <v>1.1</v>
      </c>
      <c r="BW664" s="1">
        <v>54.0</v>
      </c>
      <c r="BX664" s="1">
        <v>4801.046</v>
      </c>
      <c r="BY664" s="1">
        <v>7803.324</v>
      </c>
      <c r="BZ664" s="1">
        <v>10726.107</v>
      </c>
      <c r="CA664" s="1">
        <v>20312.924</v>
      </c>
      <c r="CB664" s="1">
        <v>231.5</v>
      </c>
      <c r="CC664" s="1">
        <v>0.0</v>
      </c>
      <c r="CD664" s="1">
        <v>710376.0</v>
      </c>
      <c r="CE664" s="1">
        <v>1200.0</v>
      </c>
      <c r="CF664" s="1">
        <v>169.0</v>
      </c>
      <c r="CG664" s="1">
        <v>2689091.0</v>
      </c>
      <c r="CH664" s="1">
        <v>33555.0</v>
      </c>
      <c r="CI664" s="1">
        <v>2.0</v>
      </c>
      <c r="CJ664" s="1">
        <v>66210.0</v>
      </c>
      <c r="CK664" s="1">
        <v>20.0</v>
      </c>
      <c r="CL664" s="1">
        <v>175406.0</v>
      </c>
      <c r="CM664" s="1">
        <v>41.0</v>
      </c>
      <c r="CN664" s="1">
        <v>1747986.0</v>
      </c>
      <c r="CO664" s="1">
        <v>68.0</v>
      </c>
      <c r="CP664" s="1">
        <v>640721.0</v>
      </c>
      <c r="CQ664" s="1">
        <v>10.0</v>
      </c>
      <c r="CR664" s="1">
        <v>0.0</v>
      </c>
      <c r="CS664" s="1">
        <v>0.0</v>
      </c>
      <c r="CT664" s="1">
        <v>25213.0</v>
      </c>
      <c r="CU664" s="1">
        <v>28.0</v>
      </c>
      <c r="CV664" s="1">
        <v>1831978.0</v>
      </c>
      <c r="CW664" s="1">
        <v>71.0</v>
      </c>
      <c r="DC664" s="1">
        <v>0.0</v>
      </c>
      <c r="DD664" s="1">
        <v>5075.0</v>
      </c>
      <c r="DE664" s="1">
        <v>0.0</v>
      </c>
      <c r="DF664" s="1">
        <v>3401.0</v>
      </c>
      <c r="DG664" s="1">
        <v>300.0</v>
      </c>
      <c r="DH664" s="1">
        <v>108278.0</v>
      </c>
      <c r="DI664" s="1">
        <v>900.0</v>
      </c>
      <c r="DJ664" s="1">
        <v>593622.0</v>
      </c>
      <c r="DK664" s="1">
        <v>1364.714</v>
      </c>
      <c r="DL664" s="1" t="s">
        <v>975</v>
      </c>
      <c r="DM664" s="1">
        <v>2655.102</v>
      </c>
      <c r="DN664" s="1" t="s">
        <v>975</v>
      </c>
      <c r="DO664" s="1">
        <v>2688586.0</v>
      </c>
      <c r="DP664" s="1">
        <v>1.0</v>
      </c>
      <c r="DQ664" s="1" t="s">
        <v>976</v>
      </c>
      <c r="DR664" s="1" t="s">
        <v>1055</v>
      </c>
      <c r="DS664" s="1" t="s">
        <v>978</v>
      </c>
      <c r="DT664" s="1" t="s">
        <v>979</v>
      </c>
      <c r="DU664" s="1" t="s">
        <v>980</v>
      </c>
      <c r="DV664" s="1">
        <v>17295.0</v>
      </c>
      <c r="DX664" s="1">
        <v>3753.0</v>
      </c>
      <c r="DY664" s="1">
        <v>652801.0</v>
      </c>
      <c r="DZ664" s="1" t="s">
        <v>981</v>
      </c>
      <c r="EA664" s="1">
        <v>847.0</v>
      </c>
      <c r="EB664" s="1">
        <v>4453.0</v>
      </c>
      <c r="EC664" s="1">
        <v>1.0</v>
      </c>
      <c r="ED664" s="1">
        <v>26492.0</v>
      </c>
      <c r="EF664" s="1">
        <v>230.0</v>
      </c>
      <c r="EG664" s="1" t="s">
        <v>1032</v>
      </c>
      <c r="EH664" s="1">
        <v>100.0</v>
      </c>
      <c r="EK664" s="1">
        <v>100.0</v>
      </c>
      <c r="EQ664" s="9" t="s">
        <v>2876</v>
      </c>
      <c r="ER664" s="21">
        <v>46045.29908564815</v>
      </c>
    </row>
    <row r="665">
      <c r="A665" s="9" t="s">
        <v>2881</v>
      </c>
      <c r="B665" s="20" t="str">
        <f>IFERROR(__xludf.DUMMYFUNCTION("REGEXREPLACE(A665, ""^https?://[^/]+"", """")"),"/news-events/sales-xceleration-2017-annual-conference-a-huge-success/")</f>
        <v>/news-events/sales-xceleration-2017-annual-conference-a-huge-success/</v>
      </c>
      <c r="C665" s="1" t="s">
        <v>2882</v>
      </c>
      <c r="F665" s="1" t="s">
        <v>965</v>
      </c>
      <c r="G665" s="1">
        <v>200.0</v>
      </c>
      <c r="H665" s="1" t="s">
        <v>966</v>
      </c>
      <c r="I665" s="1" t="s">
        <v>967</v>
      </c>
      <c r="K665" s="1" t="s">
        <v>2883</v>
      </c>
      <c r="L665" s="1">
        <v>78.0</v>
      </c>
      <c r="M665" s="1">
        <v>721.0</v>
      </c>
      <c r="O665" s="1">
        <v>0.0</v>
      </c>
      <c r="P665" s="1">
        <v>0.0</v>
      </c>
      <c r="Q665" s="1" t="s">
        <v>2884</v>
      </c>
      <c r="R665" s="1">
        <v>158.0</v>
      </c>
      <c r="S665" s="1">
        <v>975.0</v>
      </c>
      <c r="U665" s="1">
        <v>0.0</v>
      </c>
      <c r="V665" s="1" t="s">
        <v>2882</v>
      </c>
      <c r="W665" s="1">
        <v>58.0</v>
      </c>
      <c r="Y665" s="1">
        <v>0.0</v>
      </c>
      <c r="AA665" s="1">
        <v>0.0</v>
      </c>
      <c r="AC665" s="1">
        <v>0.0</v>
      </c>
      <c r="AD665" s="1" t="s">
        <v>971</v>
      </c>
      <c r="AG665" s="9" t="s">
        <v>2881</v>
      </c>
      <c r="AM665" s="1">
        <v>175051.0</v>
      </c>
      <c r="AN665" s="1">
        <v>32841.0</v>
      </c>
      <c r="AO665" s="1">
        <v>32841.0</v>
      </c>
      <c r="AP665" s="1">
        <v>12.581</v>
      </c>
      <c r="AR665" s="1">
        <v>1009.0</v>
      </c>
      <c r="AS665" s="1">
        <v>151.0</v>
      </c>
      <c r="AT665" s="1">
        <v>6.682</v>
      </c>
      <c r="AU665" s="1">
        <v>61.456</v>
      </c>
      <c r="AV665" s="1" t="s">
        <v>990</v>
      </c>
      <c r="AW665" s="1">
        <v>4.968</v>
      </c>
      <c r="AX665" s="1">
        <v>2.0</v>
      </c>
      <c r="AY665" s="1">
        <v>2.0</v>
      </c>
      <c r="AZ665" s="1">
        <v>1.0</v>
      </c>
      <c r="BA665" s="1">
        <v>1.0</v>
      </c>
      <c r="BB665" s="1">
        <v>1.0</v>
      </c>
      <c r="BC665" s="1">
        <v>0.0</v>
      </c>
      <c r="BD665" s="1">
        <v>0.13</v>
      </c>
      <c r="BE665" s="1">
        <v>130.0</v>
      </c>
      <c r="BF665" s="1">
        <v>46.0</v>
      </c>
      <c r="BG665" s="1">
        <v>0.0</v>
      </c>
      <c r="BH665" s="1">
        <v>19.0</v>
      </c>
      <c r="BI665" s="1">
        <v>11.0</v>
      </c>
      <c r="BJ665" s="1">
        <v>0.0</v>
      </c>
      <c r="BO665" s="1" t="s">
        <v>2885</v>
      </c>
      <c r="BP665" s="1">
        <v>0.953</v>
      </c>
      <c r="BU665" s="1" t="s">
        <v>974</v>
      </c>
      <c r="BV665" s="1">
        <v>1.1</v>
      </c>
      <c r="BW665" s="1">
        <v>52.0</v>
      </c>
      <c r="BX665" s="1">
        <v>4951.064</v>
      </c>
      <c r="BY665" s="1">
        <v>7331.405</v>
      </c>
      <c r="BZ665" s="1">
        <v>9976.133</v>
      </c>
      <c r="CA665" s="1">
        <v>20267.662</v>
      </c>
      <c r="CB665" s="1">
        <v>325.5</v>
      </c>
      <c r="CC665" s="1">
        <v>0.0</v>
      </c>
      <c r="CD665" s="1">
        <v>710611.0</v>
      </c>
      <c r="CE665" s="1">
        <v>1200.0</v>
      </c>
      <c r="CF665" s="1">
        <v>169.0</v>
      </c>
      <c r="CG665" s="1">
        <v>2690545.0</v>
      </c>
      <c r="CH665" s="1">
        <v>33693.0</v>
      </c>
      <c r="CI665" s="1">
        <v>2.0</v>
      </c>
      <c r="CJ665" s="1">
        <v>66169.0</v>
      </c>
      <c r="CK665" s="1">
        <v>20.0</v>
      </c>
      <c r="CL665" s="1">
        <v>176269.0</v>
      </c>
      <c r="CM665" s="1">
        <v>41.0</v>
      </c>
      <c r="CN665" s="1">
        <v>1748247.0</v>
      </c>
      <c r="CO665" s="1">
        <v>68.0</v>
      </c>
      <c r="CP665" s="1">
        <v>640723.0</v>
      </c>
      <c r="CQ665" s="1">
        <v>10.0</v>
      </c>
      <c r="CR665" s="1">
        <v>0.0</v>
      </c>
      <c r="CS665" s="1">
        <v>0.0</v>
      </c>
      <c r="CT665" s="1">
        <v>25444.0</v>
      </c>
      <c r="CU665" s="1">
        <v>28.0</v>
      </c>
      <c r="CV665" s="1">
        <v>1833098.0</v>
      </c>
      <c r="CW665" s="1">
        <v>71.0</v>
      </c>
      <c r="DC665" s="1">
        <v>0.0</v>
      </c>
      <c r="DD665" s="1">
        <v>5075.0</v>
      </c>
      <c r="DE665" s="1">
        <v>0.0</v>
      </c>
      <c r="DF665" s="1">
        <v>3396.0</v>
      </c>
      <c r="DG665" s="1">
        <v>450.0</v>
      </c>
      <c r="DH665" s="1">
        <v>108319.0</v>
      </c>
      <c r="DI665" s="1">
        <v>750.0</v>
      </c>
      <c r="DJ665" s="1">
        <v>593821.0</v>
      </c>
      <c r="DK665" s="1">
        <v>1528.918</v>
      </c>
      <c r="DL665" s="1" t="s">
        <v>975</v>
      </c>
      <c r="DM665" s="1">
        <v>2913.412</v>
      </c>
      <c r="DN665" s="1" t="s">
        <v>975</v>
      </c>
      <c r="DO665" s="1">
        <v>2690040.0</v>
      </c>
      <c r="DP665" s="1">
        <v>1.0</v>
      </c>
      <c r="DQ665" s="1" t="s">
        <v>976</v>
      </c>
      <c r="DR665" s="1" t="s">
        <v>2886</v>
      </c>
      <c r="DS665" s="1" t="s">
        <v>978</v>
      </c>
      <c r="DT665" s="1" t="s">
        <v>979</v>
      </c>
      <c r="DU665" s="1" t="s">
        <v>980</v>
      </c>
      <c r="DV665" s="1">
        <v>17296.0</v>
      </c>
      <c r="DX665" s="1">
        <v>3930.0</v>
      </c>
      <c r="DY665" s="1">
        <v>652787.0</v>
      </c>
      <c r="DZ665" s="1" t="s">
        <v>981</v>
      </c>
      <c r="EA665" s="1">
        <v>843.0</v>
      </c>
      <c r="EB665" s="1">
        <v>4453.0</v>
      </c>
      <c r="EC665" s="1">
        <v>1.0</v>
      </c>
      <c r="ED665" s="1">
        <v>26492.0</v>
      </c>
      <c r="EF665" s="1">
        <v>230.0</v>
      </c>
      <c r="EG665" s="1" t="s">
        <v>1032</v>
      </c>
      <c r="EH665" s="1">
        <v>100.0</v>
      </c>
      <c r="EK665" s="1">
        <v>100.0</v>
      </c>
      <c r="EQ665" s="9" t="s">
        <v>2881</v>
      </c>
      <c r="ER665" s="21">
        <v>46045.29908564815</v>
      </c>
    </row>
    <row r="666">
      <c r="A666" s="9" t="s">
        <v>2887</v>
      </c>
      <c r="B666" s="20" t="str">
        <f>IFERROR(__xludf.DUMMYFUNCTION("REGEXREPLACE(A666, ""^https?://[^/]+"", """")"),"/news-events/empowering-growth-sales-xceleration-welcomes-experienced-fractional-sales-experts/")</f>
        <v>/news-events/empowering-growth-sales-xceleration-welcomes-experienced-fractional-sales-experts/</v>
      </c>
      <c r="C666" s="1" t="s">
        <v>2888</v>
      </c>
      <c r="F666" s="1" t="s">
        <v>965</v>
      </c>
      <c r="G666" s="1">
        <v>200.0</v>
      </c>
      <c r="H666" s="1" t="s">
        <v>966</v>
      </c>
      <c r="I666" s="1" t="s">
        <v>967</v>
      </c>
      <c r="K666" s="1" t="s">
        <v>2889</v>
      </c>
      <c r="L666" s="1">
        <v>102.0</v>
      </c>
      <c r="M666" s="1">
        <v>951.0</v>
      </c>
      <c r="O666" s="1">
        <v>0.0</v>
      </c>
      <c r="P666" s="1">
        <v>0.0</v>
      </c>
      <c r="Q666" s="1" t="s">
        <v>2890</v>
      </c>
      <c r="R666" s="1">
        <v>157.0</v>
      </c>
      <c r="S666" s="1">
        <v>1000.0</v>
      </c>
      <c r="U666" s="1">
        <v>0.0</v>
      </c>
      <c r="V666" s="1" t="s">
        <v>2888</v>
      </c>
      <c r="W666" s="1">
        <v>82.0</v>
      </c>
      <c r="Y666" s="1">
        <v>0.0</v>
      </c>
      <c r="AA666" s="1">
        <v>0.0</v>
      </c>
      <c r="AC666" s="1">
        <v>0.0</v>
      </c>
      <c r="AD666" s="1" t="s">
        <v>971</v>
      </c>
      <c r="AG666" s="9" t="s">
        <v>2887</v>
      </c>
      <c r="AM666" s="1">
        <v>179565.0</v>
      </c>
      <c r="AN666" s="1">
        <v>33664.0</v>
      </c>
      <c r="AO666" s="1">
        <v>33664.0</v>
      </c>
      <c r="AP666" s="1">
        <v>12.896</v>
      </c>
      <c r="AR666" s="1">
        <v>1143.0</v>
      </c>
      <c r="AS666" s="1">
        <v>179.0</v>
      </c>
      <c r="AT666" s="1">
        <v>6.385</v>
      </c>
      <c r="AU666" s="1">
        <v>48.992</v>
      </c>
      <c r="AV666" s="1" t="s">
        <v>1075</v>
      </c>
      <c r="AW666" s="1">
        <v>5.642</v>
      </c>
      <c r="AX666" s="1">
        <v>2.0</v>
      </c>
      <c r="AY666" s="1">
        <v>2.0</v>
      </c>
      <c r="AZ666" s="1">
        <v>1.0</v>
      </c>
      <c r="BA666" s="1">
        <v>1.0</v>
      </c>
      <c r="BB666" s="1">
        <v>1.0</v>
      </c>
      <c r="BC666" s="1">
        <v>0.0</v>
      </c>
      <c r="BD666" s="1">
        <v>0.13</v>
      </c>
      <c r="BE666" s="1">
        <v>129.0</v>
      </c>
      <c r="BF666" s="1">
        <v>44.0</v>
      </c>
      <c r="BG666" s="1">
        <v>0.0</v>
      </c>
      <c r="BH666" s="1">
        <v>24.0</v>
      </c>
      <c r="BI666" s="1">
        <v>16.0</v>
      </c>
      <c r="BJ666" s="1">
        <v>0.0</v>
      </c>
      <c r="BO666" s="1" t="s">
        <v>2891</v>
      </c>
      <c r="BP666" s="1">
        <v>0.952</v>
      </c>
      <c r="BU666" s="1" t="s">
        <v>974</v>
      </c>
      <c r="BV666" s="1">
        <v>1.1</v>
      </c>
      <c r="BW666" s="1">
        <v>39.0</v>
      </c>
      <c r="BX666" s="1">
        <v>4951.115</v>
      </c>
      <c r="BY666" s="1">
        <v>7850.127</v>
      </c>
      <c r="BZ666" s="1">
        <v>9826.234</v>
      </c>
      <c r="CA666" s="1">
        <v>19929.838</v>
      </c>
      <c r="CB666" s="1">
        <v>845.5</v>
      </c>
      <c r="CC666" s="1">
        <v>0.0</v>
      </c>
      <c r="CD666" s="1">
        <v>708437.0</v>
      </c>
      <c r="CE666" s="1">
        <v>1800.0</v>
      </c>
      <c r="CF666" s="1">
        <v>170.0</v>
      </c>
      <c r="CG666" s="1">
        <v>2691425.0</v>
      </c>
      <c r="CH666" s="1">
        <v>34410.0</v>
      </c>
      <c r="CI666" s="1">
        <v>2.0</v>
      </c>
      <c r="CJ666" s="1">
        <v>66168.0</v>
      </c>
      <c r="CK666" s="1">
        <v>20.0</v>
      </c>
      <c r="CL666" s="1">
        <v>177130.0</v>
      </c>
      <c r="CM666" s="1">
        <v>41.0</v>
      </c>
      <c r="CN666" s="1">
        <v>1747791.0</v>
      </c>
      <c r="CO666" s="1">
        <v>68.0</v>
      </c>
      <c r="CP666" s="1">
        <v>640730.0</v>
      </c>
      <c r="CQ666" s="1">
        <v>10.0</v>
      </c>
      <c r="CR666" s="1">
        <v>0.0</v>
      </c>
      <c r="CS666" s="1">
        <v>0.0</v>
      </c>
      <c r="CT666" s="1">
        <v>25196.0</v>
      </c>
      <c r="CU666" s="1">
        <v>29.0</v>
      </c>
      <c r="CV666" s="1">
        <v>1833405.0</v>
      </c>
      <c r="CW666" s="1">
        <v>72.0</v>
      </c>
      <c r="DC666" s="1">
        <v>150.0</v>
      </c>
      <c r="DD666" s="1">
        <v>5075.0</v>
      </c>
      <c r="DE666" s="1">
        <v>0.0</v>
      </c>
      <c r="DF666" s="1">
        <v>3396.0</v>
      </c>
      <c r="DG666" s="1">
        <v>450.0</v>
      </c>
      <c r="DH666" s="1">
        <v>108243.0</v>
      </c>
      <c r="DI666" s="1">
        <v>1200.0</v>
      </c>
      <c r="DJ666" s="1">
        <v>591723.0</v>
      </c>
      <c r="DK666" s="1">
        <v>2658.531</v>
      </c>
      <c r="DL666" s="1" t="s">
        <v>975</v>
      </c>
      <c r="DM666" s="1">
        <v>4764.497</v>
      </c>
      <c r="DN666" s="1" t="s">
        <v>975</v>
      </c>
      <c r="DO666" s="1">
        <v>2690920.0</v>
      </c>
      <c r="DP666" s="1">
        <v>1.0</v>
      </c>
      <c r="DQ666" s="1" t="s">
        <v>976</v>
      </c>
      <c r="DR666" s="1" t="s">
        <v>2886</v>
      </c>
      <c r="DS666" s="1" t="s">
        <v>978</v>
      </c>
      <c r="DT666" s="1" t="s">
        <v>979</v>
      </c>
      <c r="DU666" s="1" t="s">
        <v>980</v>
      </c>
      <c r="DV666" s="1">
        <v>17295.0</v>
      </c>
      <c r="DX666" s="1">
        <v>4098.0</v>
      </c>
      <c r="DY666" s="1">
        <v>652786.0</v>
      </c>
      <c r="DZ666" s="1" t="s">
        <v>981</v>
      </c>
      <c r="EA666" s="1">
        <v>872.0</v>
      </c>
      <c r="EB666" s="1">
        <v>4453.0</v>
      </c>
      <c r="EC666" s="1">
        <v>65.0</v>
      </c>
      <c r="ED666" s="1">
        <v>26492.0</v>
      </c>
      <c r="EF666" s="1">
        <v>235.0</v>
      </c>
      <c r="EG666" s="1" t="s">
        <v>1032</v>
      </c>
      <c r="EH666" s="1">
        <v>100.0</v>
      </c>
      <c r="EK666" s="1">
        <v>100.0</v>
      </c>
      <c r="EQ666" s="9" t="s">
        <v>2887</v>
      </c>
      <c r="ER666" s="21">
        <v>46045.29908564815</v>
      </c>
    </row>
    <row r="667">
      <c r="A667" s="9" t="s">
        <v>2892</v>
      </c>
      <c r="B667" s="20" t="str">
        <f>IFERROR(__xludf.DUMMYFUNCTION("REGEXREPLACE(A667, ""^https?://[^/]+"", """")"),"/news-events/sales-xceleration-holds-1st-annual-conference/")</f>
        <v>/news-events/sales-xceleration-holds-1st-annual-conference/</v>
      </c>
      <c r="C667" s="1" t="s">
        <v>2893</v>
      </c>
      <c r="F667" s="1" t="s">
        <v>965</v>
      </c>
      <c r="G667" s="1">
        <v>200.0</v>
      </c>
      <c r="H667" s="1" t="s">
        <v>966</v>
      </c>
      <c r="I667" s="1" t="s">
        <v>967</v>
      </c>
      <c r="K667" s="1" t="s">
        <v>2894</v>
      </c>
      <c r="L667" s="1">
        <v>65.0</v>
      </c>
      <c r="M667" s="1">
        <v>591.0</v>
      </c>
      <c r="O667" s="1">
        <v>0.0</v>
      </c>
      <c r="P667" s="1">
        <v>0.0</v>
      </c>
      <c r="Q667" s="1" t="s">
        <v>2895</v>
      </c>
      <c r="R667" s="1">
        <v>131.0</v>
      </c>
      <c r="S667" s="1">
        <v>787.0</v>
      </c>
      <c r="U667" s="1">
        <v>0.0</v>
      </c>
      <c r="V667" s="1" t="s">
        <v>2893</v>
      </c>
      <c r="W667" s="1">
        <v>45.0</v>
      </c>
      <c r="Y667" s="1">
        <v>0.0</v>
      </c>
      <c r="AA667" s="1">
        <v>0.0</v>
      </c>
      <c r="AC667" s="1">
        <v>0.0</v>
      </c>
      <c r="AD667" s="1" t="s">
        <v>971</v>
      </c>
      <c r="AG667" s="9" t="s">
        <v>2892</v>
      </c>
      <c r="AM667" s="1">
        <v>176467.0</v>
      </c>
      <c r="AN667" s="1">
        <v>33258.0</v>
      </c>
      <c r="AO667" s="1">
        <v>33258.0</v>
      </c>
      <c r="AP667" s="1">
        <v>12.741</v>
      </c>
      <c r="AR667" s="1">
        <v>1153.0</v>
      </c>
      <c r="AS667" s="1">
        <v>171.0</v>
      </c>
      <c r="AT667" s="1">
        <v>6.743</v>
      </c>
      <c r="AU667" s="1">
        <v>60.141</v>
      </c>
      <c r="AV667" s="1" t="s">
        <v>990</v>
      </c>
      <c r="AW667" s="1">
        <v>5.462</v>
      </c>
      <c r="AX667" s="1">
        <v>2.0</v>
      </c>
      <c r="AY667" s="1">
        <v>2.0</v>
      </c>
      <c r="AZ667" s="1">
        <v>1.0</v>
      </c>
      <c r="BA667" s="1">
        <v>1.0</v>
      </c>
      <c r="BB667" s="1">
        <v>1.0</v>
      </c>
      <c r="BC667" s="1">
        <v>0.0</v>
      </c>
      <c r="BD667" s="1">
        <v>0.13</v>
      </c>
      <c r="BE667" s="1">
        <v>126.0</v>
      </c>
      <c r="BF667" s="1">
        <v>43.0</v>
      </c>
      <c r="BG667" s="1">
        <v>0.0</v>
      </c>
      <c r="BH667" s="1">
        <v>17.0</v>
      </c>
      <c r="BI667" s="1">
        <v>9.0</v>
      </c>
      <c r="BJ667" s="1">
        <v>0.0</v>
      </c>
      <c r="BO667" s="1" t="s">
        <v>2896</v>
      </c>
      <c r="BP667" s="1">
        <v>0.966</v>
      </c>
      <c r="BU667" s="1" t="s">
        <v>974</v>
      </c>
      <c r="BV667" s="1">
        <v>1.1</v>
      </c>
      <c r="BW667" s="1">
        <v>54.0</v>
      </c>
      <c r="BX667" s="1">
        <v>4801.029</v>
      </c>
      <c r="BY667" s="1">
        <v>6752.238</v>
      </c>
      <c r="BZ667" s="1">
        <v>10651.067</v>
      </c>
      <c r="CA667" s="1">
        <v>19910.035</v>
      </c>
      <c r="CB667" s="1">
        <v>266.0</v>
      </c>
      <c r="CC667" s="1">
        <v>0.001</v>
      </c>
      <c r="CD667" s="1">
        <v>710755.0</v>
      </c>
      <c r="CE667" s="1">
        <v>1800.0</v>
      </c>
      <c r="CF667" s="1">
        <v>169.0</v>
      </c>
      <c r="CG667" s="1">
        <v>2691727.0</v>
      </c>
      <c r="CH667" s="1">
        <v>34137.0</v>
      </c>
      <c r="CI667" s="1">
        <v>2.0</v>
      </c>
      <c r="CJ667" s="1">
        <v>66445.0</v>
      </c>
      <c r="CK667" s="1">
        <v>20.0</v>
      </c>
      <c r="CL667" s="1">
        <v>176272.0</v>
      </c>
      <c r="CM667" s="1">
        <v>41.0</v>
      </c>
      <c r="CN667" s="1">
        <v>1748435.0</v>
      </c>
      <c r="CO667" s="1">
        <v>68.0</v>
      </c>
      <c r="CP667" s="1">
        <v>640735.0</v>
      </c>
      <c r="CQ667" s="1">
        <v>10.0</v>
      </c>
      <c r="CR667" s="1">
        <v>0.0</v>
      </c>
      <c r="CS667" s="1">
        <v>0.0</v>
      </c>
      <c r="CT667" s="1">
        <v>25703.0</v>
      </c>
      <c r="CU667" s="1">
        <v>28.0</v>
      </c>
      <c r="CV667" s="1">
        <v>1833319.0</v>
      </c>
      <c r="CW667" s="1">
        <v>71.0</v>
      </c>
      <c r="DC667" s="1">
        <v>150.0</v>
      </c>
      <c r="DD667" s="1">
        <v>5075.0</v>
      </c>
      <c r="DE667" s="1">
        <v>0.0</v>
      </c>
      <c r="DF667" s="1">
        <v>3401.0</v>
      </c>
      <c r="DG667" s="1">
        <v>750.0</v>
      </c>
      <c r="DH667" s="1">
        <v>108320.0</v>
      </c>
      <c r="DI667" s="1">
        <v>900.0</v>
      </c>
      <c r="DJ667" s="1">
        <v>593959.0</v>
      </c>
      <c r="DK667" s="1">
        <v>1533.866</v>
      </c>
      <c r="DL667" s="1" t="s">
        <v>975</v>
      </c>
      <c r="DM667" s="1">
        <v>2846.464</v>
      </c>
      <c r="DN667" s="1" t="s">
        <v>975</v>
      </c>
      <c r="DO667" s="1">
        <v>2691222.0</v>
      </c>
      <c r="DP667" s="1">
        <v>1.0</v>
      </c>
      <c r="DQ667" s="1" t="s">
        <v>976</v>
      </c>
      <c r="DR667" s="1" t="s">
        <v>1055</v>
      </c>
      <c r="DS667" s="1" t="s">
        <v>978</v>
      </c>
      <c r="DT667" s="1" t="s">
        <v>979</v>
      </c>
      <c r="DU667" s="1" t="s">
        <v>980</v>
      </c>
      <c r="DV667" s="1">
        <v>17144.0</v>
      </c>
      <c r="DX667" s="1">
        <v>3682.0</v>
      </c>
      <c r="DY667" s="1">
        <v>653048.0</v>
      </c>
      <c r="DZ667" s="1" t="s">
        <v>981</v>
      </c>
      <c r="EA667" s="1">
        <v>844.0</v>
      </c>
      <c r="EB667" s="1">
        <v>4453.0</v>
      </c>
      <c r="EC667" s="1">
        <v>15.0</v>
      </c>
      <c r="ED667" s="1">
        <v>26492.0</v>
      </c>
      <c r="EF667" s="1">
        <v>205.0</v>
      </c>
      <c r="EG667" s="1" t="s">
        <v>1032</v>
      </c>
      <c r="EH667" s="1">
        <v>100.0</v>
      </c>
      <c r="EK667" s="1">
        <v>100.0</v>
      </c>
      <c r="EQ667" s="9" t="s">
        <v>2892</v>
      </c>
      <c r="ER667" s="21">
        <v>46045.299097222225</v>
      </c>
    </row>
    <row r="668">
      <c r="A668" s="9" t="s">
        <v>2897</v>
      </c>
      <c r="B668" s="20" t="str">
        <f>IFERROR(__xludf.DUMMYFUNCTION("REGEXREPLACE(A668, ""^https?://[^/]+"", """")"),"/news-events/outsourced-vps-of-sales-provide-additional-sales-expertise-in-two-markets/")</f>
        <v>/news-events/outsourced-vps-of-sales-provide-additional-sales-expertise-in-two-markets/</v>
      </c>
      <c r="C668" s="1" t="s">
        <v>2898</v>
      </c>
      <c r="F668" s="1" t="s">
        <v>965</v>
      </c>
      <c r="G668" s="1">
        <v>200.0</v>
      </c>
      <c r="H668" s="1" t="s">
        <v>966</v>
      </c>
      <c r="I668" s="1" t="s">
        <v>967</v>
      </c>
      <c r="K668" s="1" t="s">
        <v>2899</v>
      </c>
      <c r="L668" s="1">
        <v>93.0</v>
      </c>
      <c r="M668" s="1">
        <v>844.0</v>
      </c>
      <c r="O668" s="1">
        <v>0.0</v>
      </c>
      <c r="P668" s="1">
        <v>0.0</v>
      </c>
      <c r="Q668" s="1" t="s">
        <v>2900</v>
      </c>
      <c r="R668" s="1">
        <v>155.0</v>
      </c>
      <c r="S668" s="1">
        <v>946.0</v>
      </c>
      <c r="U668" s="1">
        <v>0.0</v>
      </c>
      <c r="V668" s="1" t="s">
        <v>2898</v>
      </c>
      <c r="W668" s="1">
        <v>73.0</v>
      </c>
      <c r="Y668" s="1">
        <v>0.0</v>
      </c>
      <c r="AA668" s="1">
        <v>0.0</v>
      </c>
      <c r="AC668" s="1">
        <v>0.0</v>
      </c>
      <c r="AD668" s="1" t="s">
        <v>971</v>
      </c>
      <c r="AG668" s="9" t="s">
        <v>2897</v>
      </c>
      <c r="AM668" s="1">
        <v>174698.0</v>
      </c>
      <c r="AN668" s="1">
        <v>32428.0</v>
      </c>
      <c r="AO668" s="1">
        <v>32428.0</v>
      </c>
      <c r="AP668" s="1">
        <v>12.423</v>
      </c>
      <c r="AR668" s="1">
        <v>797.0</v>
      </c>
      <c r="AS668" s="1">
        <v>135.0</v>
      </c>
      <c r="AT668" s="1">
        <v>5.904</v>
      </c>
      <c r="AU668" s="1">
        <v>58.604</v>
      </c>
      <c r="AV668" s="1" t="s">
        <v>972</v>
      </c>
      <c r="AW668" s="1">
        <v>4.253</v>
      </c>
      <c r="AX668" s="1">
        <v>2.0</v>
      </c>
      <c r="AY668" s="1">
        <v>2.0</v>
      </c>
      <c r="AZ668" s="1">
        <v>1.0</v>
      </c>
      <c r="BA668" s="1">
        <v>1.0</v>
      </c>
      <c r="BB668" s="1">
        <v>1.0</v>
      </c>
      <c r="BC668" s="1">
        <v>0.0</v>
      </c>
      <c r="BD668" s="1">
        <v>0.13</v>
      </c>
      <c r="BE668" s="1">
        <v>130.0</v>
      </c>
      <c r="BF668" s="1">
        <v>46.0</v>
      </c>
      <c r="BG668" s="1">
        <v>0.0</v>
      </c>
      <c r="BH668" s="1">
        <v>18.0</v>
      </c>
      <c r="BI668" s="1">
        <v>10.0</v>
      </c>
      <c r="BJ668" s="1">
        <v>0.0</v>
      </c>
      <c r="BO668" s="1" t="s">
        <v>2901</v>
      </c>
      <c r="BP668" s="1">
        <v>0.952</v>
      </c>
      <c r="BU668" s="1" t="s">
        <v>974</v>
      </c>
      <c r="BV668" s="1">
        <v>1.1</v>
      </c>
      <c r="BW668" s="1">
        <v>55.0</v>
      </c>
      <c r="BX668" s="1">
        <v>4201.02</v>
      </c>
      <c r="BY668" s="1">
        <v>7772.459</v>
      </c>
      <c r="BZ668" s="1">
        <v>9451.046</v>
      </c>
      <c r="CA668" s="1">
        <v>19791.834</v>
      </c>
      <c r="CB668" s="1">
        <v>226.5</v>
      </c>
      <c r="CC668" s="1">
        <v>0.003</v>
      </c>
      <c r="CD668" s="1">
        <v>709658.0</v>
      </c>
      <c r="CE668" s="1">
        <v>1350.0</v>
      </c>
      <c r="CF668" s="1">
        <v>175.0</v>
      </c>
      <c r="CG668" s="1">
        <v>2705966.0</v>
      </c>
      <c r="CH668" s="1">
        <v>33218.0</v>
      </c>
      <c r="CI668" s="1">
        <v>2.0</v>
      </c>
      <c r="CJ668" s="1">
        <v>82862.0</v>
      </c>
      <c r="CK668" s="1">
        <v>25.0</v>
      </c>
      <c r="CL668" s="1">
        <v>175400.0</v>
      </c>
      <c r="CM668" s="1">
        <v>41.0</v>
      </c>
      <c r="CN668" s="1">
        <v>1748182.0</v>
      </c>
      <c r="CO668" s="1">
        <v>68.0</v>
      </c>
      <c r="CP668" s="1">
        <v>640723.0</v>
      </c>
      <c r="CQ668" s="1">
        <v>10.0</v>
      </c>
      <c r="CR668" s="1">
        <v>0.0</v>
      </c>
      <c r="CS668" s="1">
        <v>0.0</v>
      </c>
      <c r="CT668" s="1">
        <v>25581.0</v>
      </c>
      <c r="CU668" s="1">
        <v>29.0</v>
      </c>
      <c r="CV668" s="1">
        <v>1832459.0</v>
      </c>
      <c r="CW668" s="1">
        <v>72.0</v>
      </c>
      <c r="DC668" s="1">
        <v>0.0</v>
      </c>
      <c r="DD668" s="1">
        <v>5075.0</v>
      </c>
      <c r="DE668" s="1">
        <v>0.0</v>
      </c>
      <c r="DF668" s="1">
        <v>3401.0</v>
      </c>
      <c r="DG668" s="1">
        <v>450.0</v>
      </c>
      <c r="DH668" s="1">
        <v>108319.0</v>
      </c>
      <c r="DI668" s="1">
        <v>900.0</v>
      </c>
      <c r="DJ668" s="1">
        <v>592863.0</v>
      </c>
      <c r="DK668" s="1">
        <v>1414.387</v>
      </c>
      <c r="DL668" s="1" t="s">
        <v>975</v>
      </c>
      <c r="DM668" s="1">
        <v>2548.019</v>
      </c>
      <c r="DN668" s="1" t="s">
        <v>975</v>
      </c>
      <c r="DO668" s="1">
        <v>2705461.0</v>
      </c>
      <c r="DP668" s="1">
        <v>1.0</v>
      </c>
      <c r="DQ668" s="1" t="s">
        <v>976</v>
      </c>
      <c r="DR668" s="1" t="s">
        <v>993</v>
      </c>
      <c r="DS668" s="1" t="s">
        <v>978</v>
      </c>
      <c r="DT668" s="1" t="s">
        <v>979</v>
      </c>
      <c r="DU668" s="1" t="s">
        <v>980</v>
      </c>
      <c r="DV668" s="1">
        <v>17298.0</v>
      </c>
      <c r="DX668" s="1">
        <v>3766.0</v>
      </c>
      <c r="DY668" s="1">
        <v>659461.0</v>
      </c>
      <c r="DZ668" s="1" t="s">
        <v>981</v>
      </c>
      <c r="EA668" s="1">
        <v>840.0</v>
      </c>
      <c r="EB668" s="1">
        <v>0.0</v>
      </c>
      <c r="EC668" s="1">
        <v>1.0</v>
      </c>
      <c r="ED668" s="1">
        <v>26492.0</v>
      </c>
      <c r="EF668" s="1">
        <v>210.0</v>
      </c>
      <c r="EG668" s="1" t="s">
        <v>1032</v>
      </c>
      <c r="EH668" s="1">
        <v>100.0</v>
      </c>
      <c r="EK668" s="1">
        <v>100.0</v>
      </c>
      <c r="EQ668" s="9" t="s">
        <v>2897</v>
      </c>
      <c r="ER668" s="21">
        <v>46045.299097222225</v>
      </c>
    </row>
    <row r="669">
      <c r="A669" s="9" t="s">
        <v>2902</v>
      </c>
      <c r="B669" s="20" t="str">
        <f>IFERROR(__xludf.DUMMYFUNCTION("REGEXREPLACE(A669, ""^https?://[^/]+"", """")"),"/news-events/new-fractional-sales-vps-providing-value-to-small-and-mid-sized-businesses/")</f>
        <v>/news-events/new-fractional-sales-vps-providing-value-to-small-and-mid-sized-businesses/</v>
      </c>
      <c r="C669" s="1" t="s">
        <v>2903</v>
      </c>
      <c r="F669" s="1" t="s">
        <v>965</v>
      </c>
      <c r="G669" s="1">
        <v>200.0</v>
      </c>
      <c r="H669" s="1" t="s">
        <v>966</v>
      </c>
      <c r="I669" s="1" t="s">
        <v>967</v>
      </c>
      <c r="K669" s="1" t="s">
        <v>2904</v>
      </c>
      <c r="L669" s="1">
        <v>94.0</v>
      </c>
      <c r="M669" s="1">
        <v>861.0</v>
      </c>
      <c r="O669" s="1">
        <v>0.0</v>
      </c>
      <c r="P669" s="1">
        <v>0.0</v>
      </c>
      <c r="Q669" s="1" t="s">
        <v>2905</v>
      </c>
      <c r="R669" s="1">
        <v>158.0</v>
      </c>
      <c r="S669" s="1">
        <v>1008.0</v>
      </c>
      <c r="U669" s="1">
        <v>0.0</v>
      </c>
      <c r="V669" s="1" t="s">
        <v>2903</v>
      </c>
      <c r="W669" s="1">
        <v>74.0</v>
      </c>
      <c r="Y669" s="1">
        <v>0.0</v>
      </c>
      <c r="AA669" s="1">
        <v>0.0</v>
      </c>
      <c r="AC669" s="1">
        <v>0.0</v>
      </c>
      <c r="AD669" s="1" t="s">
        <v>971</v>
      </c>
      <c r="AG669" s="9" t="s">
        <v>2902</v>
      </c>
      <c r="AM669" s="1">
        <v>177246.0</v>
      </c>
      <c r="AN669" s="1">
        <v>32869.0</v>
      </c>
      <c r="AO669" s="1">
        <v>32869.0</v>
      </c>
      <c r="AP669" s="1">
        <v>12.591</v>
      </c>
      <c r="AR669" s="1">
        <v>845.0</v>
      </c>
      <c r="AS669" s="1">
        <v>139.0</v>
      </c>
      <c r="AT669" s="1">
        <v>6.079</v>
      </c>
      <c r="AU669" s="1">
        <v>57.896</v>
      </c>
      <c r="AV669" s="1" t="s">
        <v>972</v>
      </c>
      <c r="AW669" s="1">
        <v>4.381</v>
      </c>
      <c r="AX669" s="1">
        <v>2.0</v>
      </c>
      <c r="AY669" s="1">
        <v>2.0</v>
      </c>
      <c r="AZ669" s="1">
        <v>1.0</v>
      </c>
      <c r="BA669" s="1">
        <v>1.0</v>
      </c>
      <c r="BB669" s="1">
        <v>1.0</v>
      </c>
      <c r="BC669" s="1">
        <v>0.0</v>
      </c>
      <c r="BD669" s="1">
        <v>0.13</v>
      </c>
      <c r="BE669" s="1">
        <v>132.0</v>
      </c>
      <c r="BF669" s="1">
        <v>46.0</v>
      </c>
      <c r="BG669" s="1">
        <v>0.0</v>
      </c>
      <c r="BH669" s="1">
        <v>18.0</v>
      </c>
      <c r="BI669" s="1">
        <v>10.0</v>
      </c>
      <c r="BJ669" s="1">
        <v>0.0</v>
      </c>
      <c r="BO669" s="1" t="s">
        <v>2906</v>
      </c>
      <c r="BP669" s="1">
        <v>0.96</v>
      </c>
      <c r="BU669" s="1" t="s">
        <v>974</v>
      </c>
      <c r="BV669" s="1">
        <v>1.1</v>
      </c>
      <c r="BW669" s="1">
        <v>46.0</v>
      </c>
      <c r="BX669" s="1">
        <v>4351.047</v>
      </c>
      <c r="BY669" s="1">
        <v>6786.126</v>
      </c>
      <c r="BZ669" s="1">
        <v>8551.096</v>
      </c>
      <c r="CA669" s="1">
        <v>19359.881</v>
      </c>
      <c r="CB669" s="1">
        <v>579.5</v>
      </c>
      <c r="CC669" s="1">
        <v>0.021</v>
      </c>
      <c r="CD669" s="1">
        <v>710630.0</v>
      </c>
      <c r="CE669" s="1">
        <v>1200.0</v>
      </c>
      <c r="CF669" s="1">
        <v>170.0</v>
      </c>
      <c r="CG669" s="1">
        <v>2691303.0</v>
      </c>
      <c r="CH669" s="1">
        <v>33595.0</v>
      </c>
      <c r="CI669" s="1">
        <v>2.0</v>
      </c>
      <c r="CJ669" s="1">
        <v>66178.0</v>
      </c>
      <c r="CK669" s="1">
        <v>20.0</v>
      </c>
      <c r="CL669" s="1">
        <v>177134.0</v>
      </c>
      <c r="CM669" s="1">
        <v>41.0</v>
      </c>
      <c r="CN669" s="1">
        <v>1748104.0</v>
      </c>
      <c r="CO669" s="1">
        <v>68.0</v>
      </c>
      <c r="CP669" s="1">
        <v>640725.0</v>
      </c>
      <c r="CQ669" s="1">
        <v>10.0</v>
      </c>
      <c r="CR669" s="1">
        <v>0.0</v>
      </c>
      <c r="CS669" s="1">
        <v>0.0</v>
      </c>
      <c r="CT669" s="1">
        <v>25567.0</v>
      </c>
      <c r="CU669" s="1">
        <v>29.0</v>
      </c>
      <c r="CV669" s="1">
        <v>1834093.0</v>
      </c>
      <c r="CW669" s="1">
        <v>72.0</v>
      </c>
      <c r="DC669" s="1">
        <v>0.0</v>
      </c>
      <c r="DD669" s="1">
        <v>5075.0</v>
      </c>
      <c r="DE669" s="1">
        <v>0.0</v>
      </c>
      <c r="DF669" s="1">
        <v>3401.0</v>
      </c>
      <c r="DG669" s="1">
        <v>300.0</v>
      </c>
      <c r="DH669" s="1">
        <v>108321.0</v>
      </c>
      <c r="DI669" s="1">
        <v>900.0</v>
      </c>
      <c r="DJ669" s="1">
        <v>593833.0</v>
      </c>
      <c r="DK669" s="1">
        <v>1927.163</v>
      </c>
      <c r="DL669" s="1" t="s">
        <v>975</v>
      </c>
      <c r="DM669" s="1">
        <v>3489.934</v>
      </c>
      <c r="DN669" s="1" t="s">
        <v>975</v>
      </c>
      <c r="DO669" s="1">
        <v>2690798.0</v>
      </c>
      <c r="DP669" s="1">
        <v>1.0</v>
      </c>
      <c r="DQ669" s="1" t="s">
        <v>976</v>
      </c>
      <c r="DR669" s="1" t="s">
        <v>993</v>
      </c>
      <c r="DS669" s="1" t="s">
        <v>978</v>
      </c>
      <c r="DT669" s="1" t="s">
        <v>979</v>
      </c>
      <c r="DU669" s="1" t="s">
        <v>980</v>
      </c>
      <c r="DV669" s="1">
        <v>17144.0</v>
      </c>
      <c r="DX669" s="1">
        <v>3820.0</v>
      </c>
      <c r="DY669" s="1">
        <v>652785.0</v>
      </c>
      <c r="DZ669" s="1" t="s">
        <v>981</v>
      </c>
      <c r="EA669" s="1">
        <v>865.0</v>
      </c>
      <c r="EB669" s="1">
        <v>4453.0</v>
      </c>
      <c r="EC669" s="1">
        <v>36.0</v>
      </c>
      <c r="ED669" s="1">
        <v>26492.0</v>
      </c>
      <c r="EF669" s="1">
        <v>675.0</v>
      </c>
      <c r="EG669" s="1" t="s">
        <v>1032</v>
      </c>
      <c r="EH669" s="1">
        <v>100.0</v>
      </c>
      <c r="EK669" s="1">
        <v>100.0</v>
      </c>
      <c r="EQ669" s="9" t="s">
        <v>2902</v>
      </c>
      <c r="ER669" s="21">
        <v>46045.299108796295</v>
      </c>
    </row>
    <row r="670">
      <c r="A670" s="9" t="s">
        <v>2907</v>
      </c>
      <c r="B670" s="20" t="str">
        <f>IFERROR(__xludf.DUMMYFUNCTION("REGEXREPLACE(A670, ""^https?://[^/]+"", """")"),"/news-events/sales-xceleration-launches-new-certified-sales-leader-training-program-that-is-guaranteed-to-pay-for-itself/")</f>
        <v>/news-events/sales-xceleration-launches-new-certified-sales-leader-training-program-that-is-guaranteed-to-pay-for-itself/</v>
      </c>
      <c r="C670" s="1" t="s">
        <v>2908</v>
      </c>
      <c r="F670" s="1" t="s">
        <v>965</v>
      </c>
      <c r="G670" s="1">
        <v>200.0</v>
      </c>
      <c r="H670" s="1" t="s">
        <v>966</v>
      </c>
      <c r="I670" s="1" t="s">
        <v>967</v>
      </c>
      <c r="K670" s="1" t="s">
        <v>2909</v>
      </c>
      <c r="L670" s="1">
        <v>128.0</v>
      </c>
      <c r="M670" s="1">
        <v>1149.0</v>
      </c>
      <c r="O670" s="1">
        <v>0.0</v>
      </c>
      <c r="P670" s="1">
        <v>0.0</v>
      </c>
      <c r="Q670" s="1" t="s">
        <v>2910</v>
      </c>
      <c r="R670" s="1">
        <v>70.0</v>
      </c>
      <c r="S670" s="1">
        <v>450.0</v>
      </c>
      <c r="U670" s="1">
        <v>0.0</v>
      </c>
      <c r="V670" s="1" t="s">
        <v>2908</v>
      </c>
      <c r="W670" s="1">
        <v>108.0</v>
      </c>
      <c r="Y670" s="1">
        <v>0.0</v>
      </c>
      <c r="AA670" s="1">
        <v>0.0</v>
      </c>
      <c r="AC670" s="1">
        <v>0.0</v>
      </c>
      <c r="AD670" s="1" t="s">
        <v>971</v>
      </c>
      <c r="AG670" s="9" t="s">
        <v>2907</v>
      </c>
      <c r="AM670" s="1">
        <v>181409.0</v>
      </c>
      <c r="AN670" s="1">
        <v>33727.0</v>
      </c>
      <c r="AO670" s="1">
        <v>33727.0</v>
      </c>
      <c r="AP670" s="1">
        <v>12.92</v>
      </c>
      <c r="AR670" s="1">
        <v>1140.0</v>
      </c>
      <c r="AS670" s="1">
        <v>199.0</v>
      </c>
      <c r="AT670" s="1">
        <v>5.729</v>
      </c>
      <c r="AU670" s="1">
        <v>62.915</v>
      </c>
      <c r="AV670" s="1" t="s">
        <v>990</v>
      </c>
      <c r="AW670" s="1">
        <v>5.266</v>
      </c>
      <c r="AX670" s="1">
        <v>2.0</v>
      </c>
      <c r="AY670" s="1">
        <v>2.0</v>
      </c>
      <c r="AZ670" s="1">
        <v>1.0</v>
      </c>
      <c r="BA670" s="1">
        <v>1.0</v>
      </c>
      <c r="BB670" s="1">
        <v>1.0</v>
      </c>
      <c r="BC670" s="1">
        <v>0.0</v>
      </c>
      <c r="BD670" s="1">
        <v>0.13</v>
      </c>
      <c r="BE670" s="1">
        <v>127.0</v>
      </c>
      <c r="BF670" s="1">
        <v>44.0</v>
      </c>
      <c r="BG670" s="1">
        <v>0.0</v>
      </c>
      <c r="BH670" s="1">
        <v>44.0</v>
      </c>
      <c r="BI670" s="1">
        <v>36.0</v>
      </c>
      <c r="BJ670" s="1">
        <v>0.0</v>
      </c>
      <c r="BO670" s="1" t="s">
        <v>2911</v>
      </c>
      <c r="BP670" s="1">
        <v>0.953</v>
      </c>
      <c r="BU670" s="1" t="s">
        <v>974</v>
      </c>
      <c r="BV670" s="1">
        <v>1.1</v>
      </c>
      <c r="BW670" s="1">
        <v>53.0</v>
      </c>
      <c r="BX670" s="1">
        <v>4501.056</v>
      </c>
      <c r="BY670" s="1">
        <v>7116.772</v>
      </c>
      <c r="BZ670" s="1">
        <v>8476.108</v>
      </c>
      <c r="CA670" s="1">
        <v>19830.949</v>
      </c>
      <c r="CB670" s="1">
        <v>321.5</v>
      </c>
      <c r="CC670" s="1">
        <v>0.0</v>
      </c>
      <c r="CD670" s="1">
        <v>709858.0</v>
      </c>
      <c r="CE670" s="1">
        <v>1200.0</v>
      </c>
      <c r="CF670" s="1">
        <v>168.0</v>
      </c>
      <c r="CG670" s="1">
        <v>2690597.0</v>
      </c>
      <c r="CH670" s="1">
        <v>34576.0</v>
      </c>
      <c r="CI670" s="1">
        <v>2.0</v>
      </c>
      <c r="CJ670" s="1">
        <v>66039.0</v>
      </c>
      <c r="CK670" s="1">
        <v>19.0</v>
      </c>
      <c r="CL670" s="1">
        <v>175402.0</v>
      </c>
      <c r="CM670" s="1">
        <v>41.0</v>
      </c>
      <c r="CN670" s="1">
        <v>1748186.0</v>
      </c>
      <c r="CO670" s="1">
        <v>68.0</v>
      </c>
      <c r="CP670" s="1">
        <v>640729.0</v>
      </c>
      <c r="CQ670" s="1">
        <v>10.0</v>
      </c>
      <c r="CR670" s="1">
        <v>0.0</v>
      </c>
      <c r="CS670" s="1">
        <v>0.0</v>
      </c>
      <c r="CT670" s="1">
        <v>25665.0</v>
      </c>
      <c r="CU670" s="1">
        <v>28.0</v>
      </c>
      <c r="CV670" s="1">
        <v>1831993.0</v>
      </c>
      <c r="CW670" s="1">
        <v>70.0</v>
      </c>
      <c r="DC670" s="1">
        <v>0.0</v>
      </c>
      <c r="DD670" s="1">
        <v>5075.0</v>
      </c>
      <c r="DE670" s="1">
        <v>0.0</v>
      </c>
      <c r="DF670" s="1">
        <v>3397.0</v>
      </c>
      <c r="DG670" s="1">
        <v>300.0</v>
      </c>
      <c r="DH670" s="1">
        <v>108303.0</v>
      </c>
      <c r="DI670" s="1">
        <v>900.0</v>
      </c>
      <c r="DJ670" s="1">
        <v>593083.0</v>
      </c>
      <c r="DK670" s="1">
        <v>1660.096</v>
      </c>
      <c r="DL670" s="1" t="s">
        <v>975</v>
      </c>
      <c r="DM670" s="1">
        <v>3014.814</v>
      </c>
      <c r="DN670" s="1" t="s">
        <v>975</v>
      </c>
      <c r="DO670" s="1">
        <v>2690260.0</v>
      </c>
      <c r="DP670" s="1">
        <v>1.0</v>
      </c>
      <c r="DQ670" s="1" t="s">
        <v>976</v>
      </c>
      <c r="DR670" s="1" t="s">
        <v>1085</v>
      </c>
      <c r="DS670" s="1" t="s">
        <v>978</v>
      </c>
      <c r="DT670" s="1" t="s">
        <v>979</v>
      </c>
      <c r="DU670" s="1" t="s">
        <v>980</v>
      </c>
      <c r="DV670" s="1">
        <v>17145.0</v>
      </c>
      <c r="DX670" s="1">
        <v>3828.0</v>
      </c>
      <c r="DY670" s="1">
        <v>652811.0</v>
      </c>
      <c r="DZ670" s="1" t="s">
        <v>981</v>
      </c>
      <c r="EA670" s="1">
        <v>914.0</v>
      </c>
      <c r="EB670" s="1">
        <v>4453.0</v>
      </c>
      <c r="EC670" s="1">
        <v>11.0</v>
      </c>
      <c r="ED670" s="1">
        <v>26492.0</v>
      </c>
      <c r="EF670" s="1">
        <v>240.0</v>
      </c>
      <c r="EG670" s="1" t="s">
        <v>1032</v>
      </c>
      <c r="EH670" s="1">
        <v>100.0</v>
      </c>
      <c r="EK670" s="1">
        <v>100.0</v>
      </c>
      <c r="EQ670" s="9" t="s">
        <v>2907</v>
      </c>
      <c r="ER670" s="21">
        <v>46045.299108796295</v>
      </c>
    </row>
    <row r="671">
      <c r="A671" s="9" t="s">
        <v>2912</v>
      </c>
      <c r="B671" s="20" t="str">
        <f>IFERROR(__xludf.DUMMYFUNCTION("REGEXREPLACE(A671, ""^https?://[^/]+"", """")"),"/news-events/sales-xceleration-named-to-selling-power-magazines-top-sales-training-companies-2023-list-for-csl-training/")</f>
        <v>/news-events/sales-xceleration-named-to-selling-power-magazines-top-sales-training-companies-2023-list-for-csl-training/</v>
      </c>
      <c r="C671" s="1" t="s">
        <v>2913</v>
      </c>
      <c r="F671" s="1" t="s">
        <v>965</v>
      </c>
      <c r="G671" s="1">
        <v>200.0</v>
      </c>
      <c r="H671" s="1" t="s">
        <v>966</v>
      </c>
      <c r="I671" s="1" t="s">
        <v>967</v>
      </c>
      <c r="K671" s="1" t="s">
        <v>2914</v>
      </c>
      <c r="L671" s="1">
        <v>127.0</v>
      </c>
      <c r="M671" s="1">
        <v>1166.0</v>
      </c>
      <c r="O671" s="1">
        <v>0.0</v>
      </c>
      <c r="P671" s="1">
        <v>0.0</v>
      </c>
      <c r="Q671" s="1" t="s">
        <v>2915</v>
      </c>
      <c r="R671" s="1">
        <v>156.0</v>
      </c>
      <c r="S671" s="1">
        <v>973.0</v>
      </c>
      <c r="U671" s="1">
        <v>0.0</v>
      </c>
      <c r="V671" s="1" t="s">
        <v>2913</v>
      </c>
      <c r="W671" s="1">
        <v>107.0</v>
      </c>
      <c r="Y671" s="1">
        <v>0.0</v>
      </c>
      <c r="AA671" s="1">
        <v>0.0</v>
      </c>
      <c r="AC671" s="1">
        <v>0.0</v>
      </c>
      <c r="AD671" s="1" t="s">
        <v>971</v>
      </c>
      <c r="AG671" s="9" t="s">
        <v>2912</v>
      </c>
      <c r="AM671" s="1">
        <v>175585.0</v>
      </c>
      <c r="AN671" s="1">
        <v>32745.0</v>
      </c>
      <c r="AO671" s="1">
        <v>32745.0</v>
      </c>
      <c r="AP671" s="1">
        <v>12.544</v>
      </c>
      <c r="AR671" s="1">
        <v>902.0</v>
      </c>
      <c r="AS671" s="1">
        <v>156.0</v>
      </c>
      <c r="AT671" s="1">
        <v>5.782</v>
      </c>
      <c r="AU671" s="1">
        <v>56.34</v>
      </c>
      <c r="AV671" s="1" t="s">
        <v>972</v>
      </c>
      <c r="AW671" s="1">
        <v>4.699</v>
      </c>
      <c r="AX671" s="1">
        <v>2.0</v>
      </c>
      <c r="AY671" s="1">
        <v>2.0</v>
      </c>
      <c r="AZ671" s="1">
        <v>1.0</v>
      </c>
      <c r="BA671" s="1">
        <v>1.0</v>
      </c>
      <c r="BB671" s="1">
        <v>1.0</v>
      </c>
      <c r="BC671" s="1">
        <v>0.0</v>
      </c>
      <c r="BD671" s="1">
        <v>0.13</v>
      </c>
      <c r="BE671" s="1">
        <v>128.0</v>
      </c>
      <c r="BF671" s="1">
        <v>46.0</v>
      </c>
      <c r="BG671" s="1">
        <v>0.0</v>
      </c>
      <c r="BH671" s="1">
        <v>18.0</v>
      </c>
      <c r="BI671" s="1">
        <v>10.0</v>
      </c>
      <c r="BJ671" s="1">
        <v>0.0</v>
      </c>
      <c r="BO671" s="1" t="s">
        <v>2916</v>
      </c>
      <c r="BP671" s="1">
        <v>0.976</v>
      </c>
      <c r="BU671" s="1" t="s">
        <v>974</v>
      </c>
      <c r="BV671" s="1">
        <v>1.1</v>
      </c>
      <c r="BW671" s="1">
        <v>47.0</v>
      </c>
      <c r="BX671" s="1">
        <v>4951.042</v>
      </c>
      <c r="BY671" s="1">
        <v>6573.563</v>
      </c>
      <c r="BZ671" s="1">
        <v>9901.087</v>
      </c>
      <c r="CA671" s="1">
        <v>20243.701</v>
      </c>
      <c r="CB671" s="1">
        <v>506.712</v>
      </c>
      <c r="CC671" s="1">
        <v>0.0</v>
      </c>
      <c r="CD671" s="1">
        <v>710393.0</v>
      </c>
      <c r="CE671" s="1">
        <v>1200.0</v>
      </c>
      <c r="CF671" s="1">
        <v>169.0</v>
      </c>
      <c r="CG671" s="1">
        <v>2690416.0</v>
      </c>
      <c r="CH671" s="1">
        <v>33494.0</v>
      </c>
      <c r="CI671" s="1">
        <v>2.0</v>
      </c>
      <c r="CJ671" s="1">
        <v>66213.0</v>
      </c>
      <c r="CK671" s="1">
        <v>20.0</v>
      </c>
      <c r="CL671" s="1">
        <v>176280.0</v>
      </c>
      <c r="CM671" s="1">
        <v>41.0</v>
      </c>
      <c r="CN671" s="1">
        <v>1748338.0</v>
      </c>
      <c r="CO671" s="1">
        <v>68.0</v>
      </c>
      <c r="CP671" s="1">
        <v>640721.0</v>
      </c>
      <c r="CQ671" s="1">
        <v>10.0</v>
      </c>
      <c r="CR671" s="1">
        <v>0.0</v>
      </c>
      <c r="CS671" s="1">
        <v>0.0</v>
      </c>
      <c r="CT671" s="1">
        <v>25370.0</v>
      </c>
      <c r="CU671" s="1">
        <v>28.0</v>
      </c>
      <c r="CV671" s="1">
        <v>1833179.0</v>
      </c>
      <c r="CW671" s="1">
        <v>71.0</v>
      </c>
      <c r="DC671" s="1">
        <v>0.0</v>
      </c>
      <c r="DD671" s="1">
        <v>5075.0</v>
      </c>
      <c r="DE671" s="1">
        <v>0.0</v>
      </c>
      <c r="DF671" s="1">
        <v>3396.0</v>
      </c>
      <c r="DG671" s="1">
        <v>450.0</v>
      </c>
      <c r="DH671" s="1">
        <v>108280.0</v>
      </c>
      <c r="DI671" s="1">
        <v>750.0</v>
      </c>
      <c r="DJ671" s="1">
        <v>593642.0</v>
      </c>
      <c r="DK671" s="1">
        <v>1906.139</v>
      </c>
      <c r="DL671" s="1" t="s">
        <v>975</v>
      </c>
      <c r="DM671" s="1">
        <v>3280.459</v>
      </c>
      <c r="DN671" s="1" t="s">
        <v>975</v>
      </c>
      <c r="DO671" s="1">
        <v>2689911.0</v>
      </c>
      <c r="DP671" s="1">
        <v>1.0</v>
      </c>
      <c r="DQ671" s="1" t="s">
        <v>976</v>
      </c>
      <c r="DR671" s="1" t="s">
        <v>993</v>
      </c>
      <c r="DS671" s="1" t="s">
        <v>978</v>
      </c>
      <c r="DT671" s="1" t="s">
        <v>979</v>
      </c>
      <c r="DU671" s="1" t="s">
        <v>980</v>
      </c>
      <c r="DV671" s="1">
        <v>17144.0</v>
      </c>
      <c r="DX671" s="1">
        <v>3861.0</v>
      </c>
      <c r="DY671" s="1">
        <v>652818.0</v>
      </c>
      <c r="DZ671" s="1" t="s">
        <v>981</v>
      </c>
      <c r="EA671" s="1">
        <v>840.0</v>
      </c>
      <c r="EB671" s="1">
        <v>4453.0</v>
      </c>
      <c r="EC671" s="1">
        <v>1.0</v>
      </c>
      <c r="ED671" s="1">
        <v>26492.0</v>
      </c>
      <c r="EF671" s="1">
        <v>230.0</v>
      </c>
      <c r="EG671" s="1" t="s">
        <v>1032</v>
      </c>
      <c r="EH671" s="1">
        <v>100.0</v>
      </c>
      <c r="EK671" s="1">
        <v>100.0</v>
      </c>
      <c r="EQ671" s="9" t="s">
        <v>2912</v>
      </c>
      <c r="ER671" s="21">
        <v>46045.299108796295</v>
      </c>
    </row>
    <row r="672">
      <c r="A672" s="9" t="s">
        <v>2917</v>
      </c>
      <c r="B672" s="20" t="str">
        <f>IFERROR(__xludf.DUMMYFUNCTION("REGEXREPLACE(A672, ""^https?://[^/]+"", """")"),"/news-events/sales-growth-planning-non-sales-executive-workshop-delivered-advisor-susan-tourville/")</f>
        <v>/news-events/sales-growth-planning-non-sales-executive-workshop-delivered-advisor-susan-tourville/</v>
      </c>
      <c r="C672" s="1" t="s">
        <v>2918</v>
      </c>
      <c r="F672" s="1" t="s">
        <v>965</v>
      </c>
      <c r="G672" s="1">
        <v>200.0</v>
      </c>
      <c r="H672" s="1" t="s">
        <v>966</v>
      </c>
      <c r="I672" s="1" t="s">
        <v>967</v>
      </c>
      <c r="K672" s="1" t="s">
        <v>2919</v>
      </c>
      <c r="L672" s="1">
        <v>117.0</v>
      </c>
      <c r="M672" s="1">
        <v>1060.0</v>
      </c>
      <c r="O672" s="1">
        <v>0.0</v>
      </c>
      <c r="P672" s="1">
        <v>0.0</v>
      </c>
      <c r="Q672" s="1" t="s">
        <v>2920</v>
      </c>
      <c r="R672" s="1">
        <v>192.0</v>
      </c>
      <c r="S672" s="1">
        <v>1183.0</v>
      </c>
      <c r="U672" s="1">
        <v>0.0</v>
      </c>
      <c r="V672" s="1" t="s">
        <v>2918</v>
      </c>
      <c r="W672" s="1">
        <v>97.0</v>
      </c>
      <c r="Y672" s="1">
        <v>0.0</v>
      </c>
      <c r="AA672" s="1">
        <v>0.0</v>
      </c>
      <c r="AC672" s="1">
        <v>0.0</v>
      </c>
      <c r="AD672" s="1" t="s">
        <v>971</v>
      </c>
      <c r="AG672" s="9" t="s">
        <v>2917</v>
      </c>
      <c r="AM672" s="1">
        <v>175009.0</v>
      </c>
      <c r="AN672" s="1">
        <v>32517.0</v>
      </c>
      <c r="AO672" s="1">
        <v>32517.0</v>
      </c>
      <c r="AP672" s="1">
        <v>12.457</v>
      </c>
      <c r="AR672" s="1">
        <v>847.0</v>
      </c>
      <c r="AS672" s="1">
        <v>134.0</v>
      </c>
      <c r="AT672" s="1">
        <v>6.321</v>
      </c>
      <c r="AU672" s="1">
        <v>59.386</v>
      </c>
      <c r="AV672" s="1" t="s">
        <v>972</v>
      </c>
      <c r="AW672" s="1">
        <v>4.419</v>
      </c>
      <c r="AX672" s="1">
        <v>2.0</v>
      </c>
      <c r="AY672" s="1">
        <v>2.0</v>
      </c>
      <c r="AZ672" s="1">
        <v>1.0</v>
      </c>
      <c r="BA672" s="1">
        <v>1.0</v>
      </c>
      <c r="BB672" s="1">
        <v>1.0</v>
      </c>
      <c r="BC672" s="1">
        <v>0.0</v>
      </c>
      <c r="BD672" s="1">
        <v>0.13</v>
      </c>
      <c r="BE672" s="1">
        <v>127.0</v>
      </c>
      <c r="BF672" s="1">
        <v>45.0</v>
      </c>
      <c r="BG672" s="1">
        <v>0.0</v>
      </c>
      <c r="BH672" s="1">
        <v>16.0</v>
      </c>
      <c r="BI672" s="1">
        <v>8.0</v>
      </c>
      <c r="BJ672" s="1">
        <v>0.0</v>
      </c>
      <c r="BO672" s="1" t="s">
        <v>2921</v>
      </c>
      <c r="BP672" s="1">
        <v>0.96</v>
      </c>
      <c r="BU672" s="1" t="s">
        <v>974</v>
      </c>
      <c r="BV672" s="1">
        <v>1.1</v>
      </c>
      <c r="BW672" s="1">
        <v>56.0</v>
      </c>
      <c r="BX672" s="1">
        <v>4801.067</v>
      </c>
      <c r="BY672" s="1">
        <v>7718.043</v>
      </c>
      <c r="BZ672" s="1">
        <v>10801.157</v>
      </c>
      <c r="CA672" s="1">
        <v>20506.178</v>
      </c>
      <c r="CB672" s="1">
        <v>156.0</v>
      </c>
      <c r="CC672" s="1">
        <v>0.02</v>
      </c>
      <c r="CD672" s="1">
        <v>708950.0</v>
      </c>
      <c r="CE672" s="1">
        <v>1650.0</v>
      </c>
      <c r="CF672" s="1">
        <v>174.0</v>
      </c>
      <c r="CG672" s="1">
        <v>2706446.0</v>
      </c>
      <c r="CH672" s="1">
        <v>33213.0</v>
      </c>
      <c r="CI672" s="1">
        <v>2.0</v>
      </c>
      <c r="CJ672" s="1">
        <v>82893.0</v>
      </c>
      <c r="CK672" s="1">
        <v>25.0</v>
      </c>
      <c r="CL672" s="1">
        <v>176268.0</v>
      </c>
      <c r="CM672" s="1">
        <v>41.0</v>
      </c>
      <c r="CN672" s="1">
        <v>1748041.0</v>
      </c>
      <c r="CO672" s="1">
        <v>68.0</v>
      </c>
      <c r="CP672" s="1">
        <v>640721.0</v>
      </c>
      <c r="CQ672" s="1">
        <v>10.0</v>
      </c>
      <c r="CR672" s="1">
        <v>0.0</v>
      </c>
      <c r="CS672" s="1">
        <v>0.0</v>
      </c>
      <c r="CT672" s="1">
        <v>25310.0</v>
      </c>
      <c r="CU672" s="1">
        <v>28.0</v>
      </c>
      <c r="CV672" s="1">
        <v>1832873.0</v>
      </c>
      <c r="CW672" s="1">
        <v>71.0</v>
      </c>
      <c r="DC672" s="1">
        <v>150.0</v>
      </c>
      <c r="DD672" s="1">
        <v>5075.0</v>
      </c>
      <c r="DE672" s="1">
        <v>0.0</v>
      </c>
      <c r="DF672" s="1">
        <v>3396.0</v>
      </c>
      <c r="DG672" s="1">
        <v>450.0</v>
      </c>
      <c r="DH672" s="1">
        <v>108319.0</v>
      </c>
      <c r="DI672" s="1">
        <v>1050.0</v>
      </c>
      <c r="DJ672" s="1">
        <v>592160.0</v>
      </c>
      <c r="DK672" s="1">
        <v>1341.971</v>
      </c>
      <c r="DL672" s="1" t="s">
        <v>975</v>
      </c>
      <c r="DM672" s="1">
        <v>2449.697</v>
      </c>
      <c r="DN672" s="1" t="s">
        <v>975</v>
      </c>
      <c r="DO672" s="1">
        <v>2705941.0</v>
      </c>
      <c r="DP672" s="1">
        <v>1.0</v>
      </c>
      <c r="DQ672" s="1" t="s">
        <v>976</v>
      </c>
      <c r="DR672" s="1" t="s">
        <v>1055</v>
      </c>
      <c r="DS672" s="1" t="s">
        <v>978</v>
      </c>
      <c r="DT672" s="1" t="s">
        <v>979</v>
      </c>
      <c r="DU672" s="1" t="s">
        <v>980</v>
      </c>
      <c r="DV672" s="1">
        <v>17295.0</v>
      </c>
      <c r="DX672" s="1">
        <v>3750.0</v>
      </c>
      <c r="DY672" s="1">
        <v>659475.0</v>
      </c>
      <c r="DZ672" s="1" t="s">
        <v>981</v>
      </c>
      <c r="EA672" s="1">
        <v>829.0</v>
      </c>
      <c r="EB672" s="1">
        <v>0.0</v>
      </c>
      <c r="EC672" s="1">
        <v>0.0</v>
      </c>
      <c r="ED672" s="1">
        <v>26492.0</v>
      </c>
      <c r="EF672" s="1">
        <v>255.0</v>
      </c>
      <c r="EG672" s="1" t="s">
        <v>1032</v>
      </c>
      <c r="EH672" s="1">
        <v>100.0</v>
      </c>
      <c r="EK672" s="1">
        <v>100.0</v>
      </c>
      <c r="EQ672" s="9" t="s">
        <v>2917</v>
      </c>
      <c r="ER672" s="21">
        <v>46045.299108796295</v>
      </c>
    </row>
    <row r="673">
      <c r="A673" s="9" t="s">
        <v>2922</v>
      </c>
      <c r="B673" s="20" t="str">
        <f>IFERROR(__xludf.DUMMYFUNCTION("REGEXREPLACE(A673, ""^https?://[^/]+"", """")"),"/news-events/press-mention-4-ways-social-media-marketing-drives-digital-connections-in-2022/")</f>
        <v>/news-events/press-mention-4-ways-social-media-marketing-drives-digital-connections-in-2022/</v>
      </c>
      <c r="C673" s="1" t="s">
        <v>2923</v>
      </c>
      <c r="F673" s="1" t="s">
        <v>965</v>
      </c>
      <c r="G673" s="1">
        <v>200.0</v>
      </c>
      <c r="H673" s="1" t="s">
        <v>966</v>
      </c>
      <c r="I673" s="1" t="s">
        <v>967</v>
      </c>
      <c r="K673" s="1" t="s">
        <v>2924</v>
      </c>
      <c r="L673" s="1">
        <v>99.0</v>
      </c>
      <c r="M673" s="1">
        <v>897.0</v>
      </c>
      <c r="O673" s="1">
        <v>0.0</v>
      </c>
      <c r="P673" s="1">
        <v>0.0</v>
      </c>
      <c r="Q673" s="1" t="s">
        <v>2925</v>
      </c>
      <c r="R673" s="1">
        <v>152.0</v>
      </c>
      <c r="S673" s="1">
        <v>940.0</v>
      </c>
      <c r="U673" s="1">
        <v>0.0</v>
      </c>
      <c r="V673" s="1" t="s">
        <v>2923</v>
      </c>
      <c r="W673" s="1">
        <v>79.0</v>
      </c>
      <c r="Y673" s="1">
        <v>0.0</v>
      </c>
      <c r="AA673" s="1">
        <v>0.0</v>
      </c>
      <c r="AC673" s="1">
        <v>0.0</v>
      </c>
      <c r="AD673" s="1" t="s">
        <v>971</v>
      </c>
      <c r="AG673" s="9" t="s">
        <v>2922</v>
      </c>
      <c r="AM673" s="1">
        <v>174460.0</v>
      </c>
      <c r="AN673" s="1">
        <v>32035.0</v>
      </c>
      <c r="AO673" s="1">
        <v>32035.0</v>
      </c>
      <c r="AP673" s="1">
        <v>12.272</v>
      </c>
      <c r="AR673" s="1">
        <v>650.0</v>
      </c>
      <c r="AS673" s="1">
        <v>111.0</v>
      </c>
      <c r="AT673" s="1">
        <v>5.856</v>
      </c>
      <c r="AU673" s="1">
        <v>61.366</v>
      </c>
      <c r="AV673" s="1" t="s">
        <v>990</v>
      </c>
      <c r="AW673" s="1">
        <v>3.655</v>
      </c>
      <c r="AX673" s="1">
        <v>2.0</v>
      </c>
      <c r="AY673" s="1">
        <v>2.0</v>
      </c>
      <c r="AZ673" s="1">
        <v>1.0</v>
      </c>
      <c r="BA673" s="1">
        <v>1.0</v>
      </c>
      <c r="BB673" s="1">
        <v>1.0</v>
      </c>
      <c r="BC673" s="1">
        <v>0.0</v>
      </c>
      <c r="BD673" s="1">
        <v>0.13</v>
      </c>
      <c r="BE673" s="1">
        <v>125.0</v>
      </c>
      <c r="BF673" s="1">
        <v>43.0</v>
      </c>
      <c r="BG673" s="1">
        <v>0.0</v>
      </c>
      <c r="BH673" s="1">
        <v>18.0</v>
      </c>
      <c r="BI673" s="1">
        <v>10.0</v>
      </c>
      <c r="BJ673" s="1">
        <v>0.0</v>
      </c>
      <c r="BO673" s="1" t="s">
        <v>2926</v>
      </c>
      <c r="BP673" s="1">
        <v>0.978</v>
      </c>
      <c r="BU673" s="1" t="s">
        <v>974</v>
      </c>
      <c r="BV673" s="1">
        <v>1.1</v>
      </c>
      <c r="BW673" s="1">
        <v>47.0</v>
      </c>
      <c r="BX673" s="1">
        <v>4501.039</v>
      </c>
      <c r="BY673" s="1">
        <v>6864.686</v>
      </c>
      <c r="BZ673" s="1">
        <v>8551.077</v>
      </c>
      <c r="CA673" s="1">
        <v>19956.355</v>
      </c>
      <c r="CB673" s="1">
        <v>521.5</v>
      </c>
      <c r="CC673" s="1">
        <v>0.0</v>
      </c>
      <c r="CD673" s="1">
        <v>709064.0</v>
      </c>
      <c r="CE673" s="1">
        <v>1500.0</v>
      </c>
      <c r="CF673" s="1">
        <v>176.0</v>
      </c>
      <c r="CG673" s="1">
        <v>2749645.0</v>
      </c>
      <c r="CH673" s="1">
        <v>32666.0</v>
      </c>
      <c r="CI673" s="1">
        <v>2.0</v>
      </c>
      <c r="CJ673" s="1">
        <v>127083.0</v>
      </c>
      <c r="CK673" s="1">
        <v>27.0</v>
      </c>
      <c r="CL673" s="1">
        <v>176271.0</v>
      </c>
      <c r="CM673" s="1">
        <v>41.0</v>
      </c>
      <c r="CN673" s="1">
        <v>1747995.0</v>
      </c>
      <c r="CO673" s="1">
        <v>68.0</v>
      </c>
      <c r="CP673" s="1">
        <v>640741.0</v>
      </c>
      <c r="CQ673" s="1">
        <v>10.0</v>
      </c>
      <c r="CR673" s="1">
        <v>0.0</v>
      </c>
      <c r="CS673" s="1">
        <v>0.0</v>
      </c>
      <c r="CT673" s="1">
        <v>24889.0</v>
      </c>
      <c r="CU673" s="1">
        <v>28.0</v>
      </c>
      <c r="CV673" s="1">
        <v>1832446.0</v>
      </c>
      <c r="CW673" s="1">
        <v>71.0</v>
      </c>
      <c r="DC673" s="1">
        <v>0.0</v>
      </c>
      <c r="DD673" s="1">
        <v>5075.0</v>
      </c>
      <c r="DE673" s="1">
        <v>0.0</v>
      </c>
      <c r="DF673" s="1">
        <v>3396.0</v>
      </c>
      <c r="DG673" s="1">
        <v>600.0</v>
      </c>
      <c r="DH673" s="1">
        <v>108319.0</v>
      </c>
      <c r="DI673" s="1">
        <v>900.0</v>
      </c>
      <c r="DJ673" s="1">
        <v>592274.0</v>
      </c>
      <c r="DK673" s="1">
        <v>1876.657</v>
      </c>
      <c r="DL673" s="1" t="s">
        <v>975</v>
      </c>
      <c r="DM673" s="1">
        <v>3360.531</v>
      </c>
      <c r="DN673" s="1" t="s">
        <v>975</v>
      </c>
      <c r="DO673" s="1">
        <v>2749140.0</v>
      </c>
      <c r="DP673" s="1">
        <v>1.0</v>
      </c>
      <c r="DQ673" s="1" t="s">
        <v>976</v>
      </c>
      <c r="DR673" s="1" t="s">
        <v>1014</v>
      </c>
      <c r="DS673" s="1" t="s">
        <v>978</v>
      </c>
      <c r="DT673" s="1" t="s">
        <v>979</v>
      </c>
      <c r="DU673" s="1" t="s">
        <v>980</v>
      </c>
      <c r="DV673" s="1">
        <v>17144.0</v>
      </c>
      <c r="DX673" s="1">
        <v>3891.0</v>
      </c>
      <c r="DY673" s="1">
        <v>677146.0</v>
      </c>
      <c r="DZ673" s="1" t="s">
        <v>981</v>
      </c>
      <c r="EA673" s="1">
        <v>821.0</v>
      </c>
      <c r="EB673" s="1">
        <v>31882.0</v>
      </c>
      <c r="EC673" s="1">
        <v>7.0</v>
      </c>
      <c r="ED673" s="1">
        <v>26492.0</v>
      </c>
      <c r="EF673" s="1">
        <v>225.0</v>
      </c>
      <c r="EG673" s="1" t="s">
        <v>1032</v>
      </c>
      <c r="EH673" s="1">
        <v>100.0</v>
      </c>
      <c r="EK673" s="1">
        <v>100.0</v>
      </c>
      <c r="EQ673" s="9" t="s">
        <v>2922</v>
      </c>
      <c r="ER673" s="21">
        <v>46045.299108796295</v>
      </c>
    </row>
    <row r="674">
      <c r="A674" s="9" t="s">
        <v>2927</v>
      </c>
      <c r="B674" s="20" t="str">
        <f>IFERROR(__xludf.DUMMYFUNCTION("REGEXREPLACE(A674, ""^https?://[^/]+"", """")"),"/wp-content/plugins/powerpack-elements/assets/css/min/widget-tiled-posts.min.css?ver=2.12.15")</f>
        <v>/wp-content/plugins/powerpack-elements/assets/css/min/widget-tiled-posts.min.css?ver=2.12.15</v>
      </c>
      <c r="F674" s="1" t="s">
        <v>1016</v>
      </c>
      <c r="G674" s="1">
        <v>200.0</v>
      </c>
      <c r="H674" s="1" t="s">
        <v>966</v>
      </c>
      <c r="I674" s="1" t="s">
        <v>967</v>
      </c>
      <c r="L674" s="1">
        <v>0.0</v>
      </c>
      <c r="M674" s="1">
        <v>0.0</v>
      </c>
      <c r="O674" s="1">
        <v>0.0</v>
      </c>
      <c r="P674" s="1">
        <v>0.0</v>
      </c>
      <c r="R674" s="1">
        <v>0.0</v>
      </c>
      <c r="S674" s="1">
        <v>0.0</v>
      </c>
      <c r="U674" s="1">
        <v>0.0</v>
      </c>
      <c r="W674" s="1">
        <v>0.0</v>
      </c>
      <c r="Y674" s="1">
        <v>0.0</v>
      </c>
      <c r="AA674" s="1">
        <v>0.0</v>
      </c>
      <c r="AC674" s="1">
        <v>0.0</v>
      </c>
      <c r="AM674" s="1">
        <v>745.0</v>
      </c>
      <c r="AN674" s="1">
        <v>745.0</v>
      </c>
      <c r="AO674" s="1">
        <v>745.0</v>
      </c>
      <c r="AP674" s="1">
        <v>0.285</v>
      </c>
      <c r="AR674" s="1">
        <v>0.0</v>
      </c>
      <c r="AW674" s="1">
        <v>0.0</v>
      </c>
      <c r="AX674" s="1">
        <v>2.0</v>
      </c>
      <c r="AY674" s="1">
        <v>6.0</v>
      </c>
      <c r="BA674" s="1">
        <v>0.0</v>
      </c>
      <c r="BB674" s="1">
        <v>0.0</v>
      </c>
      <c r="BC674" s="1">
        <v>0.0</v>
      </c>
      <c r="BD674" s="1">
        <v>0.0</v>
      </c>
      <c r="BE674" s="1">
        <v>0.0</v>
      </c>
      <c r="BF674" s="1">
        <v>0.0</v>
      </c>
      <c r="BG674" s="1">
        <v>0.0</v>
      </c>
      <c r="BH674" s="1">
        <v>0.0</v>
      </c>
      <c r="BI674" s="1">
        <v>0.0</v>
      </c>
      <c r="BJ674" s="1">
        <v>0.0</v>
      </c>
      <c r="BP674" s="1">
        <v>0.265</v>
      </c>
      <c r="BQ674" s="1" t="s">
        <v>1193</v>
      </c>
      <c r="BV674" s="1">
        <v>1.1</v>
      </c>
      <c r="EQ674" s="9" t="s">
        <v>2927</v>
      </c>
      <c r="ER674" s="21">
        <v>46045.29912037037</v>
      </c>
    </row>
    <row r="675">
      <c r="A675" s="9" t="s">
        <v>2928</v>
      </c>
      <c r="B675" s="20" t="str">
        <f>IFERROR(__xludf.DUMMYFUNCTION("REGEXREPLACE(A675, ""^https?://[^/]+"", """")"),"/wp-content/plugins/elementor-pro/assets/css/widget-call-to-action.min.css?ver=3.34.0")</f>
        <v>/wp-content/plugins/elementor-pro/assets/css/widget-call-to-action.min.css?ver=3.34.0</v>
      </c>
      <c r="F675" s="1" t="s">
        <v>1016</v>
      </c>
      <c r="G675" s="1">
        <v>200.0</v>
      </c>
      <c r="H675" s="1" t="s">
        <v>966</v>
      </c>
      <c r="I675" s="1" t="s">
        <v>967</v>
      </c>
      <c r="L675" s="1">
        <v>0.0</v>
      </c>
      <c r="M675" s="1">
        <v>0.0</v>
      </c>
      <c r="O675" s="1">
        <v>0.0</v>
      </c>
      <c r="P675" s="1">
        <v>0.0</v>
      </c>
      <c r="R675" s="1">
        <v>0.0</v>
      </c>
      <c r="S675" s="1">
        <v>0.0</v>
      </c>
      <c r="U675" s="1">
        <v>0.0</v>
      </c>
      <c r="W675" s="1">
        <v>0.0</v>
      </c>
      <c r="Y675" s="1">
        <v>0.0</v>
      </c>
      <c r="AA675" s="1">
        <v>0.0</v>
      </c>
      <c r="AC675" s="1">
        <v>0.0</v>
      </c>
      <c r="AM675" s="1">
        <v>1336.0</v>
      </c>
      <c r="AN675" s="1">
        <v>1336.0</v>
      </c>
      <c r="AO675" s="1">
        <v>1336.0</v>
      </c>
      <c r="AP675" s="1">
        <v>0.512</v>
      </c>
      <c r="AR675" s="1">
        <v>0.0</v>
      </c>
      <c r="AW675" s="1">
        <v>0.0</v>
      </c>
      <c r="AX675" s="1">
        <v>2.0</v>
      </c>
      <c r="AY675" s="1">
        <v>5.0</v>
      </c>
      <c r="BA675" s="1">
        <v>0.0</v>
      </c>
      <c r="BB675" s="1">
        <v>0.0</v>
      </c>
      <c r="BC675" s="1">
        <v>0.0</v>
      </c>
      <c r="BD675" s="1">
        <v>0.0</v>
      </c>
      <c r="BE675" s="1">
        <v>0.0</v>
      </c>
      <c r="BF675" s="1">
        <v>0.0</v>
      </c>
      <c r="BG675" s="1">
        <v>0.0</v>
      </c>
      <c r="BH675" s="1">
        <v>0.0</v>
      </c>
      <c r="BI675" s="1">
        <v>0.0</v>
      </c>
      <c r="BJ675" s="1">
        <v>0.0</v>
      </c>
      <c r="BP675" s="1">
        <v>0.266</v>
      </c>
      <c r="BQ675" s="1" t="s">
        <v>1041</v>
      </c>
      <c r="BV675" s="1">
        <v>1.1</v>
      </c>
      <c r="EQ675" s="9" t="s">
        <v>2928</v>
      </c>
      <c r="ER675" s="21">
        <v>46045.29912037037</v>
      </c>
    </row>
    <row r="676">
      <c r="A676" s="9" t="s">
        <v>2929</v>
      </c>
      <c r="B676" s="20" t="str">
        <f>IFERROR(__xludf.DUMMYFUNCTION("REGEXREPLACE(A676, ""^https?://[^/]+"", """")"),"/hiring-skills-assessment/")</f>
        <v>/hiring-skills-assessment/</v>
      </c>
      <c r="F676" s="1" t="s">
        <v>2930</v>
      </c>
      <c r="G676" s="1">
        <v>301.0</v>
      </c>
      <c r="H676" s="1" t="s">
        <v>1304</v>
      </c>
      <c r="I676" s="1" t="s">
        <v>1214</v>
      </c>
      <c r="J676" s="1" t="s">
        <v>1305</v>
      </c>
      <c r="L676" s="1">
        <v>0.0</v>
      </c>
      <c r="M676" s="1">
        <v>0.0</v>
      </c>
      <c r="O676" s="1">
        <v>0.0</v>
      </c>
      <c r="P676" s="1">
        <v>0.0</v>
      </c>
      <c r="R676" s="1">
        <v>0.0</v>
      </c>
      <c r="S676" s="1">
        <v>0.0</v>
      </c>
      <c r="U676" s="1">
        <v>0.0</v>
      </c>
      <c r="W676" s="1">
        <v>0.0</v>
      </c>
      <c r="Y676" s="1">
        <v>0.0</v>
      </c>
      <c r="AA676" s="1">
        <v>0.0</v>
      </c>
      <c r="AC676" s="1">
        <v>0.0</v>
      </c>
      <c r="AM676" s="1">
        <v>0.0</v>
      </c>
      <c r="AN676" s="1">
        <v>0.0</v>
      </c>
      <c r="AO676" s="1">
        <v>0.0</v>
      </c>
      <c r="AP676" s="1">
        <v>0.0</v>
      </c>
      <c r="AR676" s="1">
        <v>0.0</v>
      </c>
      <c r="AW676" s="1">
        <v>0.0</v>
      </c>
      <c r="AX676" s="1">
        <v>2.0</v>
      </c>
      <c r="AY676" s="1">
        <v>1.0</v>
      </c>
      <c r="BA676" s="1">
        <v>14.0</v>
      </c>
      <c r="BB676" s="1">
        <v>7.0</v>
      </c>
      <c r="BC676" s="1">
        <v>0.0</v>
      </c>
      <c r="BD676" s="1">
        <v>0.93</v>
      </c>
      <c r="BE676" s="1">
        <v>0.0</v>
      </c>
      <c r="BF676" s="1">
        <v>0.0</v>
      </c>
      <c r="BG676" s="1">
        <v>0.0</v>
      </c>
      <c r="BH676" s="1">
        <v>0.0</v>
      </c>
      <c r="BI676" s="1">
        <v>0.0</v>
      </c>
      <c r="BJ676" s="1">
        <v>0.0</v>
      </c>
      <c r="BP676" s="1">
        <v>0.242</v>
      </c>
      <c r="BR676" s="9" t="s">
        <v>2931</v>
      </c>
      <c r="BS676" s="1" t="s">
        <v>1307</v>
      </c>
      <c r="BV676" s="1">
        <v>1.1</v>
      </c>
      <c r="EQ676" s="9" t="s">
        <v>2929</v>
      </c>
      <c r="ER676" s="21">
        <v>46045.29912037037</v>
      </c>
    </row>
    <row r="677">
      <c r="A677" s="9" t="s">
        <v>2932</v>
      </c>
      <c r="B677" s="20" t="str">
        <f>IFERROR(__xludf.DUMMYFUNCTION("REGEXREPLACE(A677, ""^https?://[^/]+"", """")"),"/wp-content/plugins/elementor-pro/assets/css/conditionals/transitions.min.css?ver=3.34.0")</f>
        <v>/wp-content/plugins/elementor-pro/assets/css/conditionals/transitions.min.css?ver=3.34.0</v>
      </c>
      <c r="F677" s="1" t="s">
        <v>1016</v>
      </c>
      <c r="G677" s="1">
        <v>200.0</v>
      </c>
      <c r="H677" s="1" t="s">
        <v>966</v>
      </c>
      <c r="I677" s="1" t="s">
        <v>967</v>
      </c>
      <c r="L677" s="1">
        <v>0.0</v>
      </c>
      <c r="M677" s="1">
        <v>0.0</v>
      </c>
      <c r="O677" s="1">
        <v>0.0</v>
      </c>
      <c r="P677" s="1">
        <v>0.0</v>
      </c>
      <c r="R677" s="1">
        <v>0.0</v>
      </c>
      <c r="S677" s="1">
        <v>0.0</v>
      </c>
      <c r="U677" s="1">
        <v>0.0</v>
      </c>
      <c r="W677" s="1">
        <v>0.0</v>
      </c>
      <c r="Y677" s="1">
        <v>0.0</v>
      </c>
      <c r="AA677" s="1">
        <v>0.0</v>
      </c>
      <c r="AC677" s="1">
        <v>0.0</v>
      </c>
      <c r="AM677" s="1">
        <v>621.0</v>
      </c>
      <c r="AN677" s="1">
        <v>621.0</v>
      </c>
      <c r="AO677" s="1">
        <v>621.0</v>
      </c>
      <c r="AP677" s="1">
        <v>0.238</v>
      </c>
      <c r="AR677" s="1">
        <v>0.0</v>
      </c>
      <c r="AW677" s="1">
        <v>0.0</v>
      </c>
      <c r="AX677" s="1">
        <v>2.0</v>
      </c>
      <c r="AY677" s="1">
        <v>6.0</v>
      </c>
      <c r="BA677" s="1">
        <v>0.0</v>
      </c>
      <c r="BB677" s="1">
        <v>0.0</v>
      </c>
      <c r="BC677" s="1">
        <v>0.0</v>
      </c>
      <c r="BD677" s="1">
        <v>0.0</v>
      </c>
      <c r="BE677" s="1">
        <v>0.0</v>
      </c>
      <c r="BF677" s="1">
        <v>0.0</v>
      </c>
      <c r="BG677" s="1">
        <v>0.0</v>
      </c>
      <c r="BH677" s="1">
        <v>0.0</v>
      </c>
      <c r="BI677" s="1">
        <v>0.0</v>
      </c>
      <c r="BJ677" s="1">
        <v>0.0</v>
      </c>
      <c r="BP677" s="1">
        <v>0.265</v>
      </c>
      <c r="BQ677" s="1" t="s">
        <v>1041</v>
      </c>
      <c r="BV677" s="1">
        <v>1.1</v>
      </c>
      <c r="EQ677" s="9" t="s">
        <v>2932</v>
      </c>
      <c r="ER677" s="21">
        <v>46045.29913194444</v>
      </c>
    </row>
    <row r="678">
      <c r="A678" s="9" t="s">
        <v>2933</v>
      </c>
      <c r="B678" s="20" t="str">
        <f>IFERROR(__xludf.DUMMYFUNCTION("REGEXREPLACE(A678, ""^https?://[^/]+"", """")"),"/news-events/accelerating-success-with-sales-xcelerations-two-new-fractional-sales-leaders/")</f>
        <v>/news-events/accelerating-success-with-sales-xcelerations-two-new-fractional-sales-leaders/</v>
      </c>
      <c r="C678" s="1" t="s">
        <v>2934</v>
      </c>
      <c r="D678" s="1" t="s">
        <v>1172</v>
      </c>
      <c r="F678" s="1" t="s">
        <v>965</v>
      </c>
      <c r="G678" s="1">
        <v>200.0</v>
      </c>
      <c r="H678" s="1" t="s">
        <v>966</v>
      </c>
      <c r="I678" s="1" t="s">
        <v>967</v>
      </c>
      <c r="K678" s="1" t="s">
        <v>2935</v>
      </c>
      <c r="L678" s="1">
        <v>98.0</v>
      </c>
      <c r="M678" s="1">
        <v>893.0</v>
      </c>
      <c r="O678" s="1">
        <v>0.0</v>
      </c>
      <c r="P678" s="1">
        <v>0.0</v>
      </c>
      <c r="Q678" s="1" t="s">
        <v>2936</v>
      </c>
      <c r="R678" s="1">
        <v>154.0</v>
      </c>
      <c r="S678" s="1">
        <v>959.0</v>
      </c>
      <c r="U678" s="1">
        <v>0.0</v>
      </c>
      <c r="V678" s="1" t="s">
        <v>2934</v>
      </c>
      <c r="W678" s="1">
        <v>78.0</v>
      </c>
      <c r="Y678" s="1">
        <v>0.0</v>
      </c>
      <c r="Z678" s="1" t="s">
        <v>1172</v>
      </c>
      <c r="AA678" s="1">
        <v>23.0</v>
      </c>
      <c r="AC678" s="1">
        <v>0.0</v>
      </c>
      <c r="AD678" s="1" t="s">
        <v>971</v>
      </c>
      <c r="AG678" s="9" t="s">
        <v>2933</v>
      </c>
      <c r="AM678" s="1">
        <v>177700.0</v>
      </c>
      <c r="AN678" s="1">
        <v>33169.0</v>
      </c>
      <c r="AO678" s="1">
        <v>33169.0</v>
      </c>
      <c r="AP678" s="1">
        <v>12.706</v>
      </c>
      <c r="AR678" s="1">
        <v>987.0</v>
      </c>
      <c r="AS678" s="1">
        <v>160.0</v>
      </c>
      <c r="AT678" s="1">
        <v>6.169</v>
      </c>
      <c r="AU678" s="1">
        <v>53.574</v>
      </c>
      <c r="AV678" s="1" t="s">
        <v>972</v>
      </c>
      <c r="AW678" s="1">
        <v>4.948</v>
      </c>
      <c r="AX678" s="1">
        <v>2.0</v>
      </c>
      <c r="AY678" s="1">
        <v>2.0</v>
      </c>
      <c r="AZ678" s="1">
        <v>1.0</v>
      </c>
      <c r="BA678" s="1">
        <v>1.0</v>
      </c>
      <c r="BB678" s="1">
        <v>1.0</v>
      </c>
      <c r="BC678" s="1">
        <v>0.0</v>
      </c>
      <c r="BD678" s="1">
        <v>0.13</v>
      </c>
      <c r="BE678" s="1">
        <v>131.0</v>
      </c>
      <c r="BF678" s="1">
        <v>45.0</v>
      </c>
      <c r="BG678" s="1">
        <v>0.0</v>
      </c>
      <c r="BH678" s="1">
        <v>18.0</v>
      </c>
      <c r="BI678" s="1">
        <v>10.0</v>
      </c>
      <c r="BJ678" s="1">
        <v>0.0</v>
      </c>
      <c r="BO678" s="1" t="s">
        <v>2937</v>
      </c>
      <c r="BP678" s="1">
        <v>0.949</v>
      </c>
      <c r="BU678" s="1" t="s">
        <v>974</v>
      </c>
      <c r="BV678" s="1">
        <v>1.1</v>
      </c>
      <c r="BW678" s="1">
        <v>50.0</v>
      </c>
      <c r="BX678" s="1">
        <v>4801.043</v>
      </c>
      <c r="BY678" s="1">
        <v>7791.099</v>
      </c>
      <c r="BZ678" s="1">
        <v>11551.109</v>
      </c>
      <c r="CA678" s="1">
        <v>20169.016</v>
      </c>
      <c r="CB678" s="1">
        <v>350.0</v>
      </c>
      <c r="CC678" s="1">
        <v>0.0</v>
      </c>
      <c r="CD678" s="1">
        <v>710107.0</v>
      </c>
      <c r="CE678" s="1">
        <v>1350.0</v>
      </c>
      <c r="CF678" s="1">
        <v>169.0</v>
      </c>
      <c r="CG678" s="1">
        <v>2690842.0</v>
      </c>
      <c r="CH678" s="1">
        <v>33914.0</v>
      </c>
      <c r="CI678" s="1">
        <v>2.0</v>
      </c>
      <c r="CJ678" s="1">
        <v>66192.0</v>
      </c>
      <c r="CK678" s="1">
        <v>20.0</v>
      </c>
      <c r="CL678" s="1">
        <v>176272.0</v>
      </c>
      <c r="CM678" s="1">
        <v>41.0</v>
      </c>
      <c r="CN678" s="1">
        <v>1748191.0</v>
      </c>
      <c r="CO678" s="1">
        <v>68.0</v>
      </c>
      <c r="CP678" s="1">
        <v>640723.0</v>
      </c>
      <c r="CQ678" s="1">
        <v>10.0</v>
      </c>
      <c r="CR678" s="1">
        <v>0.0</v>
      </c>
      <c r="CS678" s="1">
        <v>0.0</v>
      </c>
      <c r="CT678" s="1">
        <v>25550.0</v>
      </c>
      <c r="CU678" s="1">
        <v>28.0</v>
      </c>
      <c r="CV678" s="1">
        <v>1833030.0</v>
      </c>
      <c r="CW678" s="1">
        <v>71.0</v>
      </c>
      <c r="DC678" s="1">
        <v>0.0</v>
      </c>
      <c r="DD678" s="1">
        <v>5075.0</v>
      </c>
      <c r="DE678" s="1">
        <v>0.0</v>
      </c>
      <c r="DF678" s="1">
        <v>3401.0</v>
      </c>
      <c r="DG678" s="1">
        <v>450.0</v>
      </c>
      <c r="DH678" s="1">
        <v>108261.0</v>
      </c>
      <c r="DI678" s="1">
        <v>900.0</v>
      </c>
      <c r="DJ678" s="1">
        <v>593370.0</v>
      </c>
      <c r="DK678" s="1">
        <v>1680.457</v>
      </c>
      <c r="DL678" s="1" t="s">
        <v>975</v>
      </c>
      <c r="DM678" s="1">
        <v>2989.237</v>
      </c>
      <c r="DN678" s="1" t="s">
        <v>975</v>
      </c>
      <c r="DO678" s="1">
        <v>2690337.0</v>
      </c>
      <c r="DP678" s="1">
        <v>1.0</v>
      </c>
      <c r="DQ678" s="1" t="s">
        <v>976</v>
      </c>
      <c r="DR678" s="1" t="s">
        <v>1055</v>
      </c>
      <c r="DS678" s="1" t="s">
        <v>978</v>
      </c>
      <c r="DT678" s="1" t="s">
        <v>979</v>
      </c>
      <c r="DU678" s="1" t="s">
        <v>980</v>
      </c>
      <c r="DV678" s="1">
        <v>17296.0</v>
      </c>
      <c r="DX678" s="1">
        <v>3731.0</v>
      </c>
      <c r="DY678" s="1">
        <v>652790.0</v>
      </c>
      <c r="DZ678" s="1" t="s">
        <v>981</v>
      </c>
      <c r="EA678" s="1">
        <v>844.0</v>
      </c>
      <c r="EB678" s="1">
        <v>4453.0</v>
      </c>
      <c r="EC678" s="1">
        <v>1.0</v>
      </c>
      <c r="ED678" s="1">
        <v>26492.0</v>
      </c>
      <c r="EF678" s="1">
        <v>250.0</v>
      </c>
      <c r="EG678" s="1" t="s">
        <v>1032</v>
      </c>
      <c r="EH678" s="1">
        <v>100.0</v>
      </c>
      <c r="EK678" s="1">
        <v>100.0</v>
      </c>
      <c r="EQ678" s="9" t="s">
        <v>2933</v>
      </c>
      <c r="ER678" s="21">
        <v>46045.29912037037</v>
      </c>
    </row>
    <row r="679">
      <c r="A679" s="9" t="s">
        <v>2938</v>
      </c>
      <c r="B679" s="20" t="str">
        <f>IFERROR(__xludf.DUMMYFUNCTION("REGEXREPLACE(A679, ""^https?://[^/]+"", """")"),"/wp-content/uploads/elementor/css/post-40429.css?ver=1768847962")</f>
        <v>/wp-content/uploads/elementor/css/post-40429.css?ver=1768847962</v>
      </c>
      <c r="F679" s="1" t="s">
        <v>1016</v>
      </c>
      <c r="G679" s="1">
        <v>200.0</v>
      </c>
      <c r="H679" s="1" t="s">
        <v>966</v>
      </c>
      <c r="I679" s="1" t="s">
        <v>967</v>
      </c>
      <c r="L679" s="1">
        <v>0.0</v>
      </c>
      <c r="M679" s="1">
        <v>0.0</v>
      </c>
      <c r="O679" s="1">
        <v>0.0</v>
      </c>
      <c r="P679" s="1">
        <v>0.0</v>
      </c>
      <c r="R679" s="1">
        <v>0.0</v>
      </c>
      <c r="S679" s="1">
        <v>0.0</v>
      </c>
      <c r="U679" s="1">
        <v>0.0</v>
      </c>
      <c r="W679" s="1">
        <v>0.0</v>
      </c>
      <c r="Y679" s="1">
        <v>0.0</v>
      </c>
      <c r="AA679" s="1">
        <v>0.0</v>
      </c>
      <c r="AC679" s="1">
        <v>0.0</v>
      </c>
      <c r="AM679" s="1">
        <v>966.0</v>
      </c>
      <c r="AN679" s="1">
        <v>966.0</v>
      </c>
      <c r="AO679" s="1">
        <v>966.0</v>
      </c>
      <c r="AP679" s="1">
        <v>0.37</v>
      </c>
      <c r="AR679" s="1">
        <v>0.0</v>
      </c>
      <c r="AW679" s="1">
        <v>0.0</v>
      </c>
      <c r="AX679" s="1">
        <v>2.0</v>
      </c>
      <c r="AY679" s="1">
        <v>4.0</v>
      </c>
      <c r="BA679" s="1">
        <v>0.0</v>
      </c>
      <c r="BB679" s="1">
        <v>0.0</v>
      </c>
      <c r="BC679" s="1">
        <v>0.0</v>
      </c>
      <c r="BD679" s="1">
        <v>0.0</v>
      </c>
      <c r="BE679" s="1">
        <v>0.0</v>
      </c>
      <c r="BF679" s="1">
        <v>0.0</v>
      </c>
      <c r="BG679" s="1">
        <v>0.0</v>
      </c>
      <c r="BH679" s="1">
        <v>0.0</v>
      </c>
      <c r="BI679" s="1">
        <v>0.0</v>
      </c>
      <c r="BJ679" s="1">
        <v>0.0</v>
      </c>
      <c r="BP679" s="1">
        <v>0.254</v>
      </c>
      <c r="BQ679" s="1" t="s">
        <v>2939</v>
      </c>
      <c r="BV679" s="1">
        <v>1.1</v>
      </c>
      <c r="EQ679" s="9" t="s">
        <v>2938</v>
      </c>
      <c r="ER679" s="21">
        <v>46045.29913194444</v>
      </c>
    </row>
    <row r="680">
      <c r="A680" s="9" t="s">
        <v>2940</v>
      </c>
      <c r="B680" s="20" t="str">
        <f>IFERROR(__xludf.DUMMYFUNCTION("REGEXREPLACE(A680, ""^https?://[^/]+"", """")"),"/news-events/sales-xceleration-welcomes-expert-sales-growth-leaders/")</f>
        <v>/news-events/sales-xceleration-welcomes-expert-sales-growth-leaders/</v>
      </c>
      <c r="C680" s="1" t="s">
        <v>2941</v>
      </c>
      <c r="F680" s="1" t="s">
        <v>965</v>
      </c>
      <c r="G680" s="1">
        <v>200.0</v>
      </c>
      <c r="H680" s="1" t="s">
        <v>966</v>
      </c>
      <c r="I680" s="1" t="s">
        <v>967</v>
      </c>
      <c r="K680" s="1" t="s">
        <v>2942</v>
      </c>
      <c r="L680" s="1">
        <v>74.0</v>
      </c>
      <c r="M680" s="1">
        <v>689.0</v>
      </c>
      <c r="O680" s="1">
        <v>0.0</v>
      </c>
      <c r="P680" s="1">
        <v>0.0</v>
      </c>
      <c r="Q680" s="1" t="s">
        <v>2943</v>
      </c>
      <c r="R680" s="1">
        <v>158.0</v>
      </c>
      <c r="S680" s="1">
        <v>987.0</v>
      </c>
      <c r="U680" s="1">
        <v>0.0</v>
      </c>
      <c r="V680" s="1" t="s">
        <v>2941</v>
      </c>
      <c r="W680" s="1">
        <v>54.0</v>
      </c>
      <c r="Y680" s="1">
        <v>0.0</v>
      </c>
      <c r="AA680" s="1">
        <v>0.0</v>
      </c>
      <c r="AC680" s="1">
        <v>0.0</v>
      </c>
      <c r="AD680" s="1" t="s">
        <v>971</v>
      </c>
      <c r="AG680" s="9" t="s">
        <v>2940</v>
      </c>
      <c r="AM680" s="1">
        <v>180059.0</v>
      </c>
      <c r="AN680" s="1">
        <v>33331.0</v>
      </c>
      <c r="AO680" s="1">
        <v>33331.0</v>
      </c>
      <c r="AP680" s="1">
        <v>12.768</v>
      </c>
      <c r="AR680" s="1">
        <v>1109.0</v>
      </c>
      <c r="AS680" s="1">
        <v>172.0</v>
      </c>
      <c r="AT680" s="1">
        <v>6.448</v>
      </c>
      <c r="AU680" s="1">
        <v>55.731</v>
      </c>
      <c r="AV680" s="1" t="s">
        <v>972</v>
      </c>
      <c r="AW680" s="1">
        <v>5.379</v>
      </c>
      <c r="AX680" s="1">
        <v>2.0</v>
      </c>
      <c r="AY680" s="1">
        <v>2.0</v>
      </c>
      <c r="AZ680" s="1">
        <v>1.0</v>
      </c>
      <c r="BA680" s="1">
        <v>1.0</v>
      </c>
      <c r="BB680" s="1">
        <v>1.0</v>
      </c>
      <c r="BC680" s="1">
        <v>0.0</v>
      </c>
      <c r="BD680" s="1">
        <v>0.13</v>
      </c>
      <c r="BE680" s="1">
        <v>128.0</v>
      </c>
      <c r="BF680" s="1">
        <v>44.0</v>
      </c>
      <c r="BG680" s="1">
        <v>0.0</v>
      </c>
      <c r="BH680" s="1">
        <v>25.0</v>
      </c>
      <c r="BI680" s="1">
        <v>17.0</v>
      </c>
      <c r="BJ680" s="1">
        <v>0.0</v>
      </c>
      <c r="BO680" s="1" t="s">
        <v>2944</v>
      </c>
      <c r="BP680" s="1">
        <v>0.951</v>
      </c>
      <c r="BU680" s="1" t="s">
        <v>974</v>
      </c>
      <c r="BV680" s="1">
        <v>1.1</v>
      </c>
      <c r="BW680" s="1">
        <v>54.0</v>
      </c>
      <c r="BX680" s="1">
        <v>4501.042</v>
      </c>
      <c r="BY680" s="1">
        <v>6799.334</v>
      </c>
      <c r="BZ680" s="1">
        <v>8851.086</v>
      </c>
      <c r="CA680" s="1">
        <v>20155.564</v>
      </c>
      <c r="CB680" s="1">
        <v>295.5</v>
      </c>
      <c r="CC680" s="1">
        <v>0.003</v>
      </c>
      <c r="CD680" s="1">
        <v>710408.0</v>
      </c>
      <c r="CE680" s="1">
        <v>1350.0</v>
      </c>
      <c r="CF680" s="1">
        <v>169.0</v>
      </c>
      <c r="CG680" s="1">
        <v>2691066.0</v>
      </c>
      <c r="CH680" s="1">
        <v>34031.0</v>
      </c>
      <c r="CI680" s="1">
        <v>2.0</v>
      </c>
      <c r="CJ680" s="1">
        <v>66179.0</v>
      </c>
      <c r="CK680" s="1">
        <v>20.0</v>
      </c>
      <c r="CL680" s="1">
        <v>177143.0</v>
      </c>
      <c r="CM680" s="1">
        <v>41.0</v>
      </c>
      <c r="CN680" s="1">
        <v>1747835.0</v>
      </c>
      <c r="CO680" s="1">
        <v>68.0</v>
      </c>
      <c r="CP680" s="1">
        <v>640723.0</v>
      </c>
      <c r="CQ680" s="1">
        <v>10.0</v>
      </c>
      <c r="CR680" s="1">
        <v>0.0</v>
      </c>
      <c r="CS680" s="1">
        <v>0.0</v>
      </c>
      <c r="CT680" s="1">
        <v>25155.0</v>
      </c>
      <c r="CU680" s="1">
        <v>28.0</v>
      </c>
      <c r="CV680" s="1">
        <v>1833523.0</v>
      </c>
      <c r="CW680" s="1">
        <v>71.0</v>
      </c>
      <c r="DC680" s="1">
        <v>0.0</v>
      </c>
      <c r="DD680" s="1">
        <v>5075.0</v>
      </c>
      <c r="DE680" s="1">
        <v>0.0</v>
      </c>
      <c r="DF680" s="1">
        <v>3401.0</v>
      </c>
      <c r="DG680" s="1">
        <v>300.0</v>
      </c>
      <c r="DH680" s="1">
        <v>108303.0</v>
      </c>
      <c r="DI680" s="1">
        <v>1050.0</v>
      </c>
      <c r="DJ680" s="1">
        <v>593629.0</v>
      </c>
      <c r="DK680" s="1">
        <v>1631.209</v>
      </c>
      <c r="DL680" s="1" t="s">
        <v>975</v>
      </c>
      <c r="DM680" s="1">
        <v>2916.349</v>
      </c>
      <c r="DN680" s="1" t="s">
        <v>975</v>
      </c>
      <c r="DO680" s="1">
        <v>2690561.0</v>
      </c>
      <c r="DP680" s="1">
        <v>1.0</v>
      </c>
      <c r="DQ680" s="1" t="s">
        <v>976</v>
      </c>
      <c r="DR680" s="1" t="s">
        <v>2945</v>
      </c>
      <c r="DS680" s="1" t="s">
        <v>978</v>
      </c>
      <c r="DT680" s="1" t="s">
        <v>979</v>
      </c>
      <c r="DU680" s="1" t="s">
        <v>980</v>
      </c>
      <c r="DV680" s="1">
        <v>17144.0</v>
      </c>
      <c r="DX680" s="1">
        <v>4023.0</v>
      </c>
      <c r="DY680" s="1">
        <v>652789.0</v>
      </c>
      <c r="DZ680" s="1" t="s">
        <v>981</v>
      </c>
      <c r="EA680" s="1">
        <v>886.0</v>
      </c>
      <c r="EB680" s="1">
        <v>4453.0</v>
      </c>
      <c r="EC680" s="1">
        <v>6.0</v>
      </c>
      <c r="ED680" s="1">
        <v>26492.0</v>
      </c>
      <c r="EF680" s="1">
        <v>230.0</v>
      </c>
      <c r="EG680" s="1" t="s">
        <v>1032</v>
      </c>
      <c r="EH680" s="1">
        <v>100.0</v>
      </c>
      <c r="EK680" s="1">
        <v>100.0</v>
      </c>
      <c r="EQ680" s="9" t="s">
        <v>2940</v>
      </c>
      <c r="ER680" s="21">
        <v>46045.29912037037</v>
      </c>
    </row>
    <row r="681">
      <c r="A681" s="9" t="s">
        <v>2946</v>
      </c>
      <c r="B681" s="20" t="str">
        <f>IFERROR(__xludf.DUMMYFUNCTION("REGEXREPLACE(A681, ""^https?://[^/]+"", """")"),"/news-events/outsourcing-sales-leadership-provides-focus-and-results-for-business-owners/")</f>
        <v>/news-events/outsourcing-sales-leadership-provides-focus-and-results-for-business-owners/</v>
      </c>
      <c r="C681" s="1" t="s">
        <v>2947</v>
      </c>
      <c r="D681" s="1" t="s">
        <v>1172</v>
      </c>
      <c r="F681" s="1" t="s">
        <v>965</v>
      </c>
      <c r="G681" s="1">
        <v>200.0</v>
      </c>
      <c r="H681" s="1" t="s">
        <v>966</v>
      </c>
      <c r="I681" s="1" t="s">
        <v>967</v>
      </c>
      <c r="K681" s="1" t="s">
        <v>2948</v>
      </c>
      <c r="L681" s="1">
        <v>95.0</v>
      </c>
      <c r="M681" s="1">
        <v>875.0</v>
      </c>
      <c r="O681" s="1">
        <v>0.0</v>
      </c>
      <c r="P681" s="1">
        <v>0.0</v>
      </c>
      <c r="Q681" s="1" t="s">
        <v>2949</v>
      </c>
      <c r="R681" s="1">
        <v>147.0</v>
      </c>
      <c r="S681" s="1">
        <v>909.0</v>
      </c>
      <c r="U681" s="1">
        <v>0.0</v>
      </c>
      <c r="V681" s="1" t="s">
        <v>2947</v>
      </c>
      <c r="W681" s="1">
        <v>75.0</v>
      </c>
      <c r="Y681" s="1">
        <v>0.0</v>
      </c>
      <c r="Z681" s="1" t="s">
        <v>1172</v>
      </c>
      <c r="AA681" s="1">
        <v>23.0</v>
      </c>
      <c r="AC681" s="1">
        <v>0.0</v>
      </c>
      <c r="AD681" s="1" t="s">
        <v>971</v>
      </c>
      <c r="AG681" s="9" t="s">
        <v>2946</v>
      </c>
      <c r="AM681" s="1">
        <v>176433.0</v>
      </c>
      <c r="AN681" s="1">
        <v>32772.0</v>
      </c>
      <c r="AO681" s="1">
        <v>32772.0</v>
      </c>
      <c r="AP681" s="1">
        <v>12.554</v>
      </c>
      <c r="AR681" s="1">
        <v>884.0</v>
      </c>
      <c r="AS681" s="1">
        <v>145.0</v>
      </c>
      <c r="AT681" s="1">
        <v>6.097</v>
      </c>
      <c r="AU681" s="1">
        <v>61.019</v>
      </c>
      <c r="AV681" s="1" t="s">
        <v>990</v>
      </c>
      <c r="AW681" s="1">
        <v>4.48</v>
      </c>
      <c r="AX681" s="1">
        <v>2.0</v>
      </c>
      <c r="AY681" s="1">
        <v>2.0</v>
      </c>
      <c r="AZ681" s="1">
        <v>1.0</v>
      </c>
      <c r="BA681" s="1">
        <v>1.0</v>
      </c>
      <c r="BB681" s="1">
        <v>1.0</v>
      </c>
      <c r="BC681" s="1">
        <v>0.0</v>
      </c>
      <c r="BD681" s="1">
        <v>0.13</v>
      </c>
      <c r="BE681" s="1">
        <v>130.0</v>
      </c>
      <c r="BF681" s="1">
        <v>46.0</v>
      </c>
      <c r="BG681" s="1">
        <v>0.0</v>
      </c>
      <c r="BH681" s="1">
        <v>20.0</v>
      </c>
      <c r="BI681" s="1">
        <v>12.0</v>
      </c>
      <c r="BJ681" s="1">
        <v>0.0</v>
      </c>
      <c r="BO681" s="1" t="s">
        <v>2950</v>
      </c>
      <c r="BP681" s="1">
        <v>0.937</v>
      </c>
      <c r="BU681" s="1" t="s">
        <v>974</v>
      </c>
      <c r="BV681" s="1">
        <v>1.1</v>
      </c>
      <c r="BW681" s="1">
        <v>45.0</v>
      </c>
      <c r="BX681" s="1">
        <v>4801.036</v>
      </c>
      <c r="BY681" s="1">
        <v>7120.932</v>
      </c>
      <c r="BZ681" s="1">
        <v>10276.081</v>
      </c>
      <c r="CA681" s="1">
        <v>20499.701</v>
      </c>
      <c r="CB681" s="1">
        <v>540.5</v>
      </c>
      <c r="CC681" s="1">
        <v>0.001</v>
      </c>
      <c r="CD681" s="1">
        <v>708850.0</v>
      </c>
      <c r="CE681" s="1">
        <v>1200.0</v>
      </c>
      <c r="CF681" s="1">
        <v>169.0</v>
      </c>
      <c r="CG681" s="1">
        <v>2689916.0</v>
      </c>
      <c r="CH681" s="1">
        <v>33566.0</v>
      </c>
      <c r="CI681" s="1">
        <v>2.0</v>
      </c>
      <c r="CJ681" s="1">
        <v>66170.0</v>
      </c>
      <c r="CK681" s="1">
        <v>20.0</v>
      </c>
      <c r="CL681" s="1">
        <v>176280.0</v>
      </c>
      <c r="CM681" s="1">
        <v>41.0</v>
      </c>
      <c r="CN681" s="1">
        <v>1747892.0</v>
      </c>
      <c r="CO681" s="1">
        <v>68.0</v>
      </c>
      <c r="CP681" s="1">
        <v>640734.0</v>
      </c>
      <c r="CQ681" s="1">
        <v>10.0</v>
      </c>
      <c r="CR681" s="1">
        <v>0.0</v>
      </c>
      <c r="CS681" s="1">
        <v>0.0</v>
      </c>
      <c r="CT681" s="1">
        <v>25274.0</v>
      </c>
      <c r="CU681" s="1">
        <v>28.0</v>
      </c>
      <c r="CV681" s="1">
        <v>1832742.0</v>
      </c>
      <c r="CW681" s="1">
        <v>71.0</v>
      </c>
      <c r="DC681" s="1">
        <v>0.0</v>
      </c>
      <c r="DD681" s="1">
        <v>5075.0</v>
      </c>
      <c r="DE681" s="1">
        <v>0.0</v>
      </c>
      <c r="DF681" s="1">
        <v>3396.0</v>
      </c>
      <c r="DG681" s="1">
        <v>450.0</v>
      </c>
      <c r="DH681" s="1">
        <v>108279.0</v>
      </c>
      <c r="DI681" s="1">
        <v>750.0</v>
      </c>
      <c r="DJ681" s="1">
        <v>592100.0</v>
      </c>
      <c r="DK681" s="1">
        <v>1811.519</v>
      </c>
      <c r="DL681" s="1" t="s">
        <v>975</v>
      </c>
      <c r="DM681" s="1">
        <v>3307.604</v>
      </c>
      <c r="DN681" s="1" t="s">
        <v>975</v>
      </c>
      <c r="DO681" s="1">
        <v>2689411.0</v>
      </c>
      <c r="DP681" s="1">
        <v>1.0</v>
      </c>
      <c r="DQ681" s="1" t="s">
        <v>976</v>
      </c>
      <c r="DR681" s="1" t="s">
        <v>1151</v>
      </c>
      <c r="DS681" s="1" t="s">
        <v>978</v>
      </c>
      <c r="DT681" s="1" t="s">
        <v>979</v>
      </c>
      <c r="DU681" s="1" t="s">
        <v>980</v>
      </c>
      <c r="DV681" s="1">
        <v>17296.0</v>
      </c>
      <c r="DX681" s="1">
        <v>4266.0</v>
      </c>
      <c r="DY681" s="1">
        <v>652784.0</v>
      </c>
      <c r="DZ681" s="1" t="s">
        <v>981</v>
      </c>
      <c r="EA681" s="1">
        <v>844.0</v>
      </c>
      <c r="EB681" s="1">
        <v>4453.0</v>
      </c>
      <c r="EC681" s="1">
        <v>1.0</v>
      </c>
      <c r="ED681" s="1">
        <v>26492.0</v>
      </c>
      <c r="EF681" s="1">
        <v>225.0</v>
      </c>
      <c r="EG681" s="1" t="s">
        <v>1032</v>
      </c>
      <c r="EH681" s="1">
        <v>100.0</v>
      </c>
      <c r="EK681" s="1">
        <v>100.0</v>
      </c>
      <c r="EQ681" s="9" t="s">
        <v>2946</v>
      </c>
      <c r="ER681" s="21">
        <v>46045.29912037037</v>
      </c>
    </row>
    <row r="682">
      <c r="A682" s="9" t="s">
        <v>2951</v>
      </c>
      <c r="B682" s="20" t="str">
        <f>IFERROR(__xludf.DUMMYFUNCTION("REGEXREPLACE(A682, ""^https?://[^/]+"", """")"),"/wp-content/plugins/elementor-pro/assets/lib/smartmenus/jquery.smartmenus.min.js?ver=1.2.1")</f>
        <v>/wp-content/plugins/elementor-pro/assets/lib/smartmenus/jquery.smartmenus.min.js?ver=1.2.1</v>
      </c>
      <c r="F682" s="1" t="s">
        <v>984</v>
      </c>
      <c r="G682" s="1">
        <v>200.0</v>
      </c>
      <c r="H682" s="1" t="s">
        <v>966</v>
      </c>
      <c r="I682" s="1" t="s">
        <v>967</v>
      </c>
      <c r="L682" s="1">
        <v>0.0</v>
      </c>
      <c r="M682" s="1">
        <v>0.0</v>
      </c>
      <c r="O682" s="1">
        <v>0.0</v>
      </c>
      <c r="P682" s="1">
        <v>0.0</v>
      </c>
      <c r="R682" s="1">
        <v>0.0</v>
      </c>
      <c r="S682" s="1">
        <v>0.0</v>
      </c>
      <c r="U682" s="1">
        <v>0.0</v>
      </c>
      <c r="W682" s="1">
        <v>0.0</v>
      </c>
      <c r="Y682" s="1">
        <v>0.0</v>
      </c>
      <c r="AA682" s="1">
        <v>0.0</v>
      </c>
      <c r="AC682" s="1">
        <v>0.0</v>
      </c>
      <c r="AM682" s="1">
        <v>7087.0</v>
      </c>
      <c r="AN682" s="1">
        <v>7087.0</v>
      </c>
      <c r="AO682" s="1">
        <v>7087.0</v>
      </c>
      <c r="AP682" s="1">
        <v>2.715</v>
      </c>
      <c r="AR682" s="1">
        <v>0.0</v>
      </c>
      <c r="AW682" s="1">
        <v>0.0</v>
      </c>
      <c r="AX682" s="1">
        <v>2.0</v>
      </c>
      <c r="AY682" s="1">
        <v>6.0</v>
      </c>
      <c r="BA682" s="1">
        <v>0.0</v>
      </c>
      <c r="BB682" s="1">
        <v>0.0</v>
      </c>
      <c r="BC682" s="1">
        <v>0.0</v>
      </c>
      <c r="BD682" s="1">
        <v>0.0</v>
      </c>
      <c r="BE682" s="1">
        <v>0.0</v>
      </c>
      <c r="BF682" s="1">
        <v>0.0</v>
      </c>
      <c r="BG682" s="1">
        <v>0.0</v>
      </c>
      <c r="BH682" s="1">
        <v>0.0</v>
      </c>
      <c r="BI682" s="1">
        <v>0.0</v>
      </c>
      <c r="BJ682" s="1">
        <v>0.0</v>
      </c>
      <c r="BP682" s="1">
        <v>0.256</v>
      </c>
      <c r="BQ682" s="1" t="s">
        <v>1041</v>
      </c>
      <c r="BV682" s="1">
        <v>1.1</v>
      </c>
      <c r="EQ682" s="9" t="s">
        <v>2951</v>
      </c>
      <c r="ER682" s="21">
        <v>46045.29913194444</v>
      </c>
    </row>
    <row r="683">
      <c r="A683" s="9" t="s">
        <v>2952</v>
      </c>
      <c r="B683" s="20" t="str">
        <f>IFERROR(__xludf.DUMMYFUNCTION("REGEXREPLACE(A683, ""^https?://[^/]+"", """")"),"/wp-content/uploads/elementor/css/post-46867.css?ver=1768850931")</f>
        <v>/wp-content/uploads/elementor/css/post-46867.css?ver=1768850931</v>
      </c>
      <c r="F683" s="1" t="s">
        <v>1016</v>
      </c>
      <c r="G683" s="1">
        <v>200.0</v>
      </c>
      <c r="H683" s="1" t="s">
        <v>966</v>
      </c>
      <c r="I683" s="1" t="s">
        <v>967</v>
      </c>
      <c r="L683" s="1">
        <v>0.0</v>
      </c>
      <c r="M683" s="1">
        <v>0.0</v>
      </c>
      <c r="O683" s="1">
        <v>0.0</v>
      </c>
      <c r="P683" s="1">
        <v>0.0</v>
      </c>
      <c r="R683" s="1">
        <v>0.0</v>
      </c>
      <c r="S683" s="1">
        <v>0.0</v>
      </c>
      <c r="U683" s="1">
        <v>0.0</v>
      </c>
      <c r="W683" s="1">
        <v>0.0</v>
      </c>
      <c r="Y683" s="1">
        <v>0.0</v>
      </c>
      <c r="AA683" s="1">
        <v>0.0</v>
      </c>
      <c r="AC683" s="1">
        <v>0.0</v>
      </c>
      <c r="AM683" s="1">
        <v>3707.0</v>
      </c>
      <c r="AN683" s="1">
        <v>3707.0</v>
      </c>
      <c r="AO683" s="1">
        <v>3707.0</v>
      </c>
      <c r="AP683" s="1">
        <v>1.42</v>
      </c>
      <c r="AR683" s="1">
        <v>0.0</v>
      </c>
      <c r="AW683" s="1">
        <v>0.0</v>
      </c>
      <c r="AX683" s="1">
        <v>2.0</v>
      </c>
      <c r="AY683" s="1">
        <v>4.0</v>
      </c>
      <c r="BA683" s="1">
        <v>0.0</v>
      </c>
      <c r="BB683" s="1">
        <v>0.0</v>
      </c>
      <c r="BC683" s="1">
        <v>0.0</v>
      </c>
      <c r="BD683" s="1">
        <v>0.0</v>
      </c>
      <c r="BE683" s="1">
        <v>0.0</v>
      </c>
      <c r="BF683" s="1">
        <v>0.0</v>
      </c>
      <c r="BG683" s="1">
        <v>0.0</v>
      </c>
      <c r="BH683" s="1">
        <v>0.0</v>
      </c>
      <c r="BI683" s="1">
        <v>0.0</v>
      </c>
      <c r="BJ683" s="1">
        <v>0.0</v>
      </c>
      <c r="BP683" s="1">
        <v>0.283</v>
      </c>
      <c r="BQ683" s="1" t="s">
        <v>2953</v>
      </c>
      <c r="BV683" s="1">
        <v>1.1</v>
      </c>
      <c r="EQ683" s="9" t="s">
        <v>2952</v>
      </c>
      <c r="ER683" s="21">
        <v>46045.29913194444</v>
      </c>
    </row>
    <row r="684">
      <c r="A684" s="9" t="s">
        <v>2954</v>
      </c>
      <c r="B684" s="20" t="str">
        <f>IFERROR(__xludf.DUMMYFUNCTION("REGEXREPLACE(A684, ""^https?://[^/]+"", """")"),"/wp-content/uploads/2024/05/logo-sx.png.webp")</f>
        <v>/wp-content/uploads/2024/05/logo-sx.png.webp</v>
      </c>
      <c r="F684" s="1" t="s">
        <v>1575</v>
      </c>
      <c r="G684" s="1">
        <v>200.0</v>
      </c>
      <c r="H684" s="1" t="s">
        <v>966</v>
      </c>
      <c r="I684" s="1" t="s">
        <v>967</v>
      </c>
      <c r="L684" s="1">
        <v>0.0</v>
      </c>
      <c r="M684" s="1">
        <v>0.0</v>
      </c>
      <c r="O684" s="1">
        <v>0.0</v>
      </c>
      <c r="P684" s="1">
        <v>0.0</v>
      </c>
      <c r="R684" s="1">
        <v>0.0</v>
      </c>
      <c r="S684" s="1">
        <v>0.0</v>
      </c>
      <c r="U684" s="1">
        <v>0.0</v>
      </c>
      <c r="W684" s="1">
        <v>0.0</v>
      </c>
      <c r="Y684" s="1">
        <v>0.0</v>
      </c>
      <c r="AA684" s="1">
        <v>0.0</v>
      </c>
      <c r="AC684" s="1">
        <v>0.0</v>
      </c>
      <c r="AM684" s="1">
        <v>7416.0</v>
      </c>
      <c r="AN684" s="1">
        <v>7416.0</v>
      </c>
      <c r="AO684" s="1">
        <v>7416.0</v>
      </c>
      <c r="AP684" s="1">
        <v>2.841</v>
      </c>
      <c r="AR684" s="1">
        <v>0.0</v>
      </c>
      <c r="AW684" s="1">
        <v>0.0</v>
      </c>
      <c r="AX684" s="1">
        <v>2.0</v>
      </c>
      <c r="AY684" s="1">
        <v>4.0</v>
      </c>
      <c r="BA684" s="1">
        <v>0.0</v>
      </c>
      <c r="BB684" s="1">
        <v>0.0</v>
      </c>
      <c r="BC684" s="1">
        <v>0.0</v>
      </c>
      <c r="BD684" s="1">
        <v>0.0</v>
      </c>
      <c r="BE684" s="1">
        <v>0.0</v>
      </c>
      <c r="BF684" s="1">
        <v>0.0</v>
      </c>
      <c r="BG684" s="1">
        <v>0.0</v>
      </c>
      <c r="BH684" s="1">
        <v>0.0</v>
      </c>
      <c r="BI684" s="1">
        <v>0.0</v>
      </c>
      <c r="BJ684" s="1">
        <v>0.0</v>
      </c>
      <c r="BP684" s="1">
        <v>0.431</v>
      </c>
      <c r="BQ684" s="1" t="s">
        <v>2955</v>
      </c>
      <c r="BV684" s="1">
        <v>1.1</v>
      </c>
      <c r="EQ684" s="9" t="s">
        <v>2954</v>
      </c>
      <c r="ER684" s="21">
        <v>46045.29913194444</v>
      </c>
    </row>
    <row r="685">
      <c r="A685" s="9" t="s">
        <v>2956</v>
      </c>
      <c r="B685" s="20" t="str">
        <f>IFERROR(__xludf.DUMMYFUNCTION("REGEXREPLACE(A685, ""^https?://[^/]+"", """")"),"/case-study/it-professional-services-building-a-sustainable-sales-strategy-for-accelerated-growth/")</f>
        <v>/case-study/it-professional-services-building-a-sustainable-sales-strategy-for-accelerated-growth/</v>
      </c>
      <c r="C685" s="1" t="s">
        <v>2957</v>
      </c>
      <c r="D685" s="1" t="s">
        <v>1050</v>
      </c>
      <c r="E685" s="1" t="s">
        <v>1051</v>
      </c>
      <c r="F685" s="1" t="s">
        <v>965</v>
      </c>
      <c r="G685" s="1">
        <v>200.0</v>
      </c>
      <c r="H685" s="1" t="s">
        <v>966</v>
      </c>
      <c r="I685" s="1" t="s">
        <v>967</v>
      </c>
      <c r="K685" s="1" t="s">
        <v>2958</v>
      </c>
      <c r="L685" s="1">
        <v>124.0</v>
      </c>
      <c r="M685" s="1">
        <v>1103.0</v>
      </c>
      <c r="O685" s="1">
        <v>0.0</v>
      </c>
      <c r="P685" s="1">
        <v>0.0</v>
      </c>
      <c r="Q685" s="1" t="s">
        <v>2959</v>
      </c>
      <c r="R685" s="1">
        <v>153.0</v>
      </c>
      <c r="S685" s="1">
        <v>966.0</v>
      </c>
      <c r="U685" s="1">
        <v>0.0</v>
      </c>
      <c r="V685" s="1" t="s">
        <v>2957</v>
      </c>
      <c r="W685" s="1">
        <v>86.0</v>
      </c>
      <c r="Y685" s="1">
        <v>0.0</v>
      </c>
      <c r="Z685" s="1" t="s">
        <v>1050</v>
      </c>
      <c r="AA685" s="1">
        <v>17.0</v>
      </c>
      <c r="AB685" s="1" t="s">
        <v>1051</v>
      </c>
      <c r="AC685" s="1">
        <v>11.0</v>
      </c>
      <c r="AD685" s="1" t="s">
        <v>971</v>
      </c>
      <c r="AG685" s="9" t="s">
        <v>2956</v>
      </c>
      <c r="AM685" s="1">
        <v>186987.0</v>
      </c>
      <c r="AN685" s="1">
        <v>32265.0</v>
      </c>
      <c r="AO685" s="1">
        <v>32265.0</v>
      </c>
      <c r="AP685" s="1">
        <v>12.36</v>
      </c>
      <c r="AR685" s="1">
        <v>934.0</v>
      </c>
      <c r="AS685" s="1">
        <v>149.0</v>
      </c>
      <c r="AT685" s="1">
        <v>6.268</v>
      </c>
      <c r="AU685" s="1">
        <v>56.272</v>
      </c>
      <c r="AV685" s="1" t="s">
        <v>972</v>
      </c>
      <c r="AW685" s="1">
        <v>4.458</v>
      </c>
      <c r="AX685" s="1">
        <v>2.0</v>
      </c>
      <c r="AY685" s="1">
        <v>2.0</v>
      </c>
      <c r="AZ685" s="1">
        <v>6.0</v>
      </c>
      <c r="BA685" s="1">
        <v>9.0</v>
      </c>
      <c r="BB685" s="1">
        <v>8.0</v>
      </c>
      <c r="BC685" s="1">
        <v>0.0</v>
      </c>
      <c r="BD685" s="1">
        <v>1.06</v>
      </c>
      <c r="BE685" s="1">
        <v>129.0</v>
      </c>
      <c r="BF685" s="1">
        <v>48.0</v>
      </c>
      <c r="BG685" s="1">
        <v>0.0</v>
      </c>
      <c r="BH685" s="1">
        <v>16.0</v>
      </c>
      <c r="BI685" s="1">
        <v>8.0</v>
      </c>
      <c r="BJ685" s="1">
        <v>0.0</v>
      </c>
      <c r="BO685" s="1" t="s">
        <v>2960</v>
      </c>
      <c r="BP685" s="1">
        <v>0.954</v>
      </c>
      <c r="BU685" s="1" t="s">
        <v>974</v>
      </c>
      <c r="BV685" s="1">
        <v>1.1</v>
      </c>
      <c r="BW685" s="1">
        <v>54.0</v>
      </c>
      <c r="BX685" s="1">
        <v>3601.069</v>
      </c>
      <c r="BY685" s="1">
        <v>6417.633</v>
      </c>
      <c r="BZ685" s="1">
        <v>8851.179</v>
      </c>
      <c r="CA685" s="1">
        <v>18209.814</v>
      </c>
      <c r="CB685" s="1">
        <v>356.5</v>
      </c>
      <c r="CC685" s="1">
        <v>0.0</v>
      </c>
      <c r="CD685" s="1">
        <v>653064.0</v>
      </c>
      <c r="CE685" s="1">
        <v>1050.0</v>
      </c>
      <c r="CF685" s="1">
        <v>174.0</v>
      </c>
      <c r="CG685" s="1">
        <v>2502808.0</v>
      </c>
      <c r="CH685" s="1">
        <v>33184.0</v>
      </c>
      <c r="CI685" s="1">
        <v>2.0</v>
      </c>
      <c r="CJ685" s="1">
        <v>184901.0</v>
      </c>
      <c r="CK685" s="1">
        <v>23.0</v>
      </c>
      <c r="CL685" s="1">
        <v>119954.0</v>
      </c>
      <c r="CM685" s="1">
        <v>44.0</v>
      </c>
      <c r="CN685" s="1">
        <v>1749643.0</v>
      </c>
      <c r="CO685" s="1">
        <v>69.0</v>
      </c>
      <c r="CP685" s="1">
        <v>389280.0</v>
      </c>
      <c r="CQ685" s="1">
        <v>7.0</v>
      </c>
      <c r="CR685" s="1">
        <v>0.0</v>
      </c>
      <c r="CS685" s="1">
        <v>1.0</v>
      </c>
      <c r="CT685" s="1">
        <v>25846.0</v>
      </c>
      <c r="CU685" s="1">
        <v>28.0</v>
      </c>
      <c r="CV685" s="1">
        <v>1504422.0</v>
      </c>
      <c r="CW685" s="1">
        <v>68.0</v>
      </c>
      <c r="DC685" s="1">
        <v>0.0</v>
      </c>
      <c r="DD685" s="1">
        <v>5075.0</v>
      </c>
      <c r="DE685" s="1">
        <v>0.0</v>
      </c>
      <c r="DF685" s="1">
        <v>3396.0</v>
      </c>
      <c r="DG685" s="1">
        <v>150.0</v>
      </c>
      <c r="DH685" s="1">
        <v>50524.0</v>
      </c>
      <c r="DI685" s="1">
        <v>900.0</v>
      </c>
      <c r="DJ685" s="1">
        <v>594069.0</v>
      </c>
      <c r="DK685" s="1">
        <v>1776.007</v>
      </c>
      <c r="DL685" s="1" t="s">
        <v>975</v>
      </c>
      <c r="DM685" s="1">
        <v>3254.166</v>
      </c>
      <c r="DN685" s="1" t="s">
        <v>975</v>
      </c>
      <c r="DO685" s="1">
        <v>2502809.0</v>
      </c>
      <c r="DP685" s="1">
        <v>1.0</v>
      </c>
      <c r="DQ685" s="1" t="s">
        <v>976</v>
      </c>
      <c r="DR685" s="1" t="s">
        <v>1151</v>
      </c>
      <c r="DS685" s="1" t="s">
        <v>978</v>
      </c>
      <c r="DT685" s="1" t="s">
        <v>979</v>
      </c>
      <c r="DU685" s="1" t="s">
        <v>980</v>
      </c>
      <c r="DV685" s="1">
        <v>13698.0</v>
      </c>
      <c r="DX685" s="1">
        <v>3937.0</v>
      </c>
      <c r="DY685" s="1">
        <v>709191.0</v>
      </c>
      <c r="DZ685" s="1" t="s">
        <v>981</v>
      </c>
      <c r="EA685" s="1">
        <v>930.0</v>
      </c>
      <c r="EB685" s="1">
        <v>94438.0</v>
      </c>
      <c r="EC685" s="1">
        <v>1.0</v>
      </c>
      <c r="ED685" s="1">
        <v>26492.0</v>
      </c>
      <c r="EF685" s="1">
        <v>225.0</v>
      </c>
      <c r="EG685" s="1" t="s">
        <v>982</v>
      </c>
      <c r="EH685" s="1">
        <v>100.0</v>
      </c>
      <c r="EK685" s="1">
        <v>100.0</v>
      </c>
      <c r="EQ685" s="9" t="s">
        <v>2956</v>
      </c>
      <c r="ER685" s="21">
        <v>46045.29912037037</v>
      </c>
    </row>
    <row r="686">
      <c r="A686" s="9" t="s">
        <v>2961</v>
      </c>
      <c r="B686" s="20" t="str">
        <f>IFERROR(__xludf.DUMMYFUNCTION("REGEXREPLACE(A686, ""^https?://[^/]+"", """")"),"/wp-content/uploads/elementor/css/post-34460.css?ver=1768847962")</f>
        <v>/wp-content/uploads/elementor/css/post-34460.css?ver=1768847962</v>
      </c>
      <c r="F686" s="1" t="s">
        <v>1016</v>
      </c>
      <c r="G686" s="1">
        <v>200.0</v>
      </c>
      <c r="H686" s="1" t="s">
        <v>966</v>
      </c>
      <c r="I686" s="1" t="s">
        <v>967</v>
      </c>
      <c r="L686" s="1">
        <v>0.0</v>
      </c>
      <c r="M686" s="1">
        <v>0.0</v>
      </c>
      <c r="O686" s="1">
        <v>0.0</v>
      </c>
      <c r="P686" s="1">
        <v>0.0</v>
      </c>
      <c r="R686" s="1">
        <v>0.0</v>
      </c>
      <c r="S686" s="1">
        <v>0.0</v>
      </c>
      <c r="U686" s="1">
        <v>0.0</v>
      </c>
      <c r="W686" s="1">
        <v>0.0</v>
      </c>
      <c r="Y686" s="1">
        <v>0.0</v>
      </c>
      <c r="AA686" s="1">
        <v>0.0</v>
      </c>
      <c r="AC686" s="1">
        <v>0.0</v>
      </c>
      <c r="AM686" s="1">
        <v>292.0</v>
      </c>
      <c r="AN686" s="1">
        <v>292.0</v>
      </c>
      <c r="AO686" s="1">
        <v>292.0</v>
      </c>
      <c r="AP686" s="1">
        <v>0.112</v>
      </c>
      <c r="AR686" s="1">
        <v>0.0</v>
      </c>
      <c r="AW686" s="1">
        <v>0.0</v>
      </c>
      <c r="AX686" s="1">
        <v>2.0</v>
      </c>
      <c r="AY686" s="1">
        <v>4.0</v>
      </c>
      <c r="BA686" s="1">
        <v>0.0</v>
      </c>
      <c r="BB686" s="1">
        <v>0.0</v>
      </c>
      <c r="BC686" s="1">
        <v>0.0</v>
      </c>
      <c r="BD686" s="1">
        <v>0.0</v>
      </c>
      <c r="BE686" s="1">
        <v>0.0</v>
      </c>
      <c r="BF686" s="1">
        <v>0.0</v>
      </c>
      <c r="BG686" s="1">
        <v>0.0</v>
      </c>
      <c r="BH686" s="1">
        <v>0.0</v>
      </c>
      <c r="BI686" s="1">
        <v>0.0</v>
      </c>
      <c r="BJ686" s="1">
        <v>0.0</v>
      </c>
      <c r="BP686" s="1">
        <v>0.272</v>
      </c>
      <c r="BQ686" s="1" t="s">
        <v>2939</v>
      </c>
      <c r="BV686" s="1">
        <v>1.1</v>
      </c>
      <c r="EQ686" s="9" t="s">
        <v>2961</v>
      </c>
      <c r="ER686" s="21">
        <v>46045.29914351852</v>
      </c>
    </row>
    <row r="687">
      <c r="A687" s="9" t="s">
        <v>2962</v>
      </c>
      <c r="B687" s="20" t="str">
        <f>IFERROR(__xludf.DUMMYFUNCTION("REGEXREPLACE(A687, ""^https?://[^/]+"", """")"),"/wp-content/themes/salesxceleratione/assets/css/style.css?ver=1769123323")</f>
        <v>/wp-content/themes/salesxceleratione/assets/css/style.css?ver=1769123323</v>
      </c>
      <c r="F687" s="1" t="s">
        <v>1016</v>
      </c>
      <c r="G687" s="1">
        <v>200.0</v>
      </c>
      <c r="H687" s="1" t="s">
        <v>966</v>
      </c>
      <c r="I687" s="1" t="s">
        <v>967</v>
      </c>
      <c r="L687" s="1">
        <v>0.0</v>
      </c>
      <c r="M687" s="1">
        <v>0.0</v>
      </c>
      <c r="O687" s="1">
        <v>0.0</v>
      </c>
      <c r="P687" s="1">
        <v>0.0</v>
      </c>
      <c r="R687" s="1">
        <v>0.0</v>
      </c>
      <c r="S687" s="1">
        <v>0.0</v>
      </c>
      <c r="U687" s="1">
        <v>0.0</v>
      </c>
      <c r="W687" s="1">
        <v>0.0</v>
      </c>
      <c r="Y687" s="1">
        <v>0.0</v>
      </c>
      <c r="AA687" s="1">
        <v>0.0</v>
      </c>
      <c r="AC687" s="1">
        <v>0.0</v>
      </c>
      <c r="AM687" s="1">
        <v>17704.0</v>
      </c>
      <c r="AN687" s="1">
        <v>17704.0</v>
      </c>
      <c r="AO687" s="1">
        <v>17704.0</v>
      </c>
      <c r="AP687" s="1">
        <v>6.782</v>
      </c>
      <c r="AR687" s="1">
        <v>0.0</v>
      </c>
      <c r="AW687" s="1">
        <v>0.0</v>
      </c>
      <c r="AX687" s="1">
        <v>2.0</v>
      </c>
      <c r="AY687" s="1">
        <v>5.0</v>
      </c>
      <c r="BA687" s="1">
        <v>0.0</v>
      </c>
      <c r="BB687" s="1">
        <v>0.0</v>
      </c>
      <c r="BC687" s="1">
        <v>0.0</v>
      </c>
      <c r="BD687" s="1">
        <v>0.0</v>
      </c>
      <c r="BE687" s="1">
        <v>0.0</v>
      </c>
      <c r="BF687" s="1">
        <v>0.0</v>
      </c>
      <c r="BG687" s="1">
        <v>0.0</v>
      </c>
      <c r="BH687" s="1">
        <v>0.0</v>
      </c>
      <c r="BI687" s="1">
        <v>0.0</v>
      </c>
      <c r="BJ687" s="1">
        <v>0.0</v>
      </c>
      <c r="BP687" s="1">
        <v>0.267</v>
      </c>
      <c r="BQ687" s="1" t="s">
        <v>2963</v>
      </c>
      <c r="BV687" s="1">
        <v>1.1</v>
      </c>
      <c r="EQ687" s="9" t="s">
        <v>2962</v>
      </c>
      <c r="ER687" s="21">
        <v>46045.29914351852</v>
      </c>
    </row>
    <row r="688">
      <c r="A688" s="9" t="s">
        <v>2964</v>
      </c>
      <c r="B688" s="20" t="str">
        <f>IFERROR(__xludf.DUMMYFUNCTION("REGEXREPLACE(A688, ""^https?://[^/]+"", """")"),"/wp-content/plugins/elementor-pro/assets/css/widget-nav-menu.min.css?ver=3.34.0")</f>
        <v>/wp-content/plugins/elementor-pro/assets/css/widget-nav-menu.min.css?ver=3.34.0</v>
      </c>
      <c r="F688" s="1" t="s">
        <v>1016</v>
      </c>
      <c r="G688" s="1">
        <v>200.0</v>
      </c>
      <c r="H688" s="1" t="s">
        <v>966</v>
      </c>
      <c r="I688" s="1" t="s">
        <v>967</v>
      </c>
      <c r="L688" s="1">
        <v>0.0</v>
      </c>
      <c r="M688" s="1">
        <v>0.0</v>
      </c>
      <c r="O688" s="1">
        <v>0.0</v>
      </c>
      <c r="P688" s="1">
        <v>0.0</v>
      </c>
      <c r="R688" s="1">
        <v>0.0</v>
      </c>
      <c r="S688" s="1">
        <v>0.0</v>
      </c>
      <c r="U688" s="1">
        <v>0.0</v>
      </c>
      <c r="W688" s="1">
        <v>0.0</v>
      </c>
      <c r="Y688" s="1">
        <v>0.0</v>
      </c>
      <c r="AA688" s="1">
        <v>0.0</v>
      </c>
      <c r="AC688" s="1">
        <v>0.0</v>
      </c>
      <c r="AM688" s="1">
        <v>3450.0</v>
      </c>
      <c r="AN688" s="1">
        <v>3450.0</v>
      </c>
      <c r="AO688" s="1">
        <v>3450.0</v>
      </c>
      <c r="AP688" s="1">
        <v>1.322</v>
      </c>
      <c r="AR688" s="1">
        <v>0.0</v>
      </c>
      <c r="AW688" s="1">
        <v>0.0</v>
      </c>
      <c r="AX688" s="1">
        <v>2.0</v>
      </c>
      <c r="AY688" s="1">
        <v>5.0</v>
      </c>
      <c r="BA688" s="1">
        <v>0.0</v>
      </c>
      <c r="BB688" s="1">
        <v>0.0</v>
      </c>
      <c r="BC688" s="1">
        <v>0.0</v>
      </c>
      <c r="BD688" s="1">
        <v>0.0</v>
      </c>
      <c r="BE688" s="1">
        <v>0.0</v>
      </c>
      <c r="BF688" s="1">
        <v>0.0</v>
      </c>
      <c r="BG688" s="1">
        <v>0.0</v>
      </c>
      <c r="BH688" s="1">
        <v>0.0</v>
      </c>
      <c r="BI688" s="1">
        <v>0.0</v>
      </c>
      <c r="BJ688" s="1">
        <v>0.0</v>
      </c>
      <c r="BP688" s="1">
        <v>0.265</v>
      </c>
      <c r="BQ688" s="1" t="s">
        <v>1041</v>
      </c>
      <c r="BV688" s="1">
        <v>1.1</v>
      </c>
      <c r="EQ688" s="9" t="s">
        <v>2964</v>
      </c>
      <c r="ER688" s="21">
        <v>46045.29914351852</v>
      </c>
    </row>
    <row r="689">
      <c r="A689" s="9" t="s">
        <v>2965</v>
      </c>
      <c r="B689" s="20" t="str">
        <f>IFERROR(__xludf.DUMMYFUNCTION("REGEXREPLACE(A689, ""^https?://[^/]+"", """")"),"/wp-content/uploads/2024/07/Sales-Team-Effectiveness-1024x683.jpg")</f>
        <v>/wp-content/uploads/2024/07/Sales-Team-Effectiveness-1024x683.jpg</v>
      </c>
      <c r="F689" s="1" t="s">
        <v>1004</v>
      </c>
      <c r="G689" s="1">
        <v>200.0</v>
      </c>
      <c r="H689" s="1" t="s">
        <v>966</v>
      </c>
      <c r="I689" s="1" t="s">
        <v>967</v>
      </c>
      <c r="L689" s="1">
        <v>0.0</v>
      </c>
      <c r="M689" s="1">
        <v>0.0</v>
      </c>
      <c r="O689" s="1">
        <v>0.0</v>
      </c>
      <c r="P689" s="1">
        <v>0.0</v>
      </c>
      <c r="R689" s="1">
        <v>0.0</v>
      </c>
      <c r="S689" s="1">
        <v>0.0</v>
      </c>
      <c r="U689" s="1">
        <v>0.0</v>
      </c>
      <c r="W689" s="1">
        <v>0.0</v>
      </c>
      <c r="Y689" s="1">
        <v>0.0</v>
      </c>
      <c r="AA689" s="1">
        <v>0.0</v>
      </c>
      <c r="AC689" s="1">
        <v>0.0</v>
      </c>
      <c r="AM689" s="1">
        <v>88012.0</v>
      </c>
      <c r="AN689" s="1">
        <v>88012.0</v>
      </c>
      <c r="AO689" s="1">
        <v>88012.0</v>
      </c>
      <c r="AP689" s="1">
        <v>33.716</v>
      </c>
      <c r="AR689" s="1">
        <v>0.0</v>
      </c>
      <c r="AW689" s="1">
        <v>0.0</v>
      </c>
      <c r="AX689" s="1">
        <v>2.0</v>
      </c>
      <c r="AY689" s="1">
        <v>4.0</v>
      </c>
      <c r="BA689" s="1">
        <v>0.0</v>
      </c>
      <c r="BB689" s="1">
        <v>0.0</v>
      </c>
      <c r="BC689" s="1">
        <v>0.0</v>
      </c>
      <c r="BD689" s="1">
        <v>0.0</v>
      </c>
      <c r="BE689" s="1">
        <v>0.0</v>
      </c>
      <c r="BF689" s="1">
        <v>0.0</v>
      </c>
      <c r="BG689" s="1">
        <v>0.0</v>
      </c>
      <c r="BH689" s="1">
        <v>0.0</v>
      </c>
      <c r="BI689" s="1">
        <v>0.0</v>
      </c>
      <c r="BJ689" s="1">
        <v>0.0</v>
      </c>
      <c r="BP689" s="1">
        <v>0.262</v>
      </c>
      <c r="BQ689" s="1" t="s">
        <v>2966</v>
      </c>
      <c r="BV689" s="1">
        <v>1.1</v>
      </c>
      <c r="EQ689" s="9" t="s">
        <v>2965</v>
      </c>
      <c r="ER689" s="21">
        <v>46045.29914351852</v>
      </c>
    </row>
    <row r="690">
      <c r="A690" s="9" t="s">
        <v>2967</v>
      </c>
      <c r="B690" s="20" t="str">
        <f>IFERROR(__xludf.DUMMYFUNCTION("REGEXREPLACE(A690, ""^https?://[^/]+"", """")"),"/wp-content/uploads/2024/07/Sales-Transformation-1024x683.jpg")</f>
        <v>/wp-content/uploads/2024/07/Sales-Transformation-1024x683.jpg</v>
      </c>
      <c r="F690" s="1" t="s">
        <v>1004</v>
      </c>
      <c r="G690" s="1">
        <v>200.0</v>
      </c>
      <c r="H690" s="1" t="s">
        <v>966</v>
      </c>
      <c r="I690" s="1" t="s">
        <v>967</v>
      </c>
      <c r="L690" s="1">
        <v>0.0</v>
      </c>
      <c r="M690" s="1">
        <v>0.0</v>
      </c>
      <c r="O690" s="1">
        <v>0.0</v>
      </c>
      <c r="P690" s="1">
        <v>0.0</v>
      </c>
      <c r="R690" s="1">
        <v>0.0</v>
      </c>
      <c r="S690" s="1">
        <v>0.0</v>
      </c>
      <c r="U690" s="1">
        <v>0.0</v>
      </c>
      <c r="W690" s="1">
        <v>0.0</v>
      </c>
      <c r="Y690" s="1">
        <v>0.0</v>
      </c>
      <c r="AA690" s="1">
        <v>0.0</v>
      </c>
      <c r="AC690" s="1">
        <v>0.0</v>
      </c>
      <c r="AM690" s="1">
        <v>80967.0</v>
      </c>
      <c r="AN690" s="1">
        <v>80967.0</v>
      </c>
      <c r="AO690" s="1">
        <v>80967.0</v>
      </c>
      <c r="AP690" s="1">
        <v>31.017</v>
      </c>
      <c r="AR690" s="1">
        <v>0.0</v>
      </c>
      <c r="AW690" s="1">
        <v>0.0</v>
      </c>
      <c r="AX690" s="1">
        <v>2.0</v>
      </c>
      <c r="AY690" s="1">
        <v>4.0</v>
      </c>
      <c r="BA690" s="1">
        <v>0.0</v>
      </c>
      <c r="BB690" s="1">
        <v>0.0</v>
      </c>
      <c r="BC690" s="1">
        <v>0.0</v>
      </c>
      <c r="BD690" s="1">
        <v>0.0</v>
      </c>
      <c r="BE690" s="1">
        <v>0.0</v>
      </c>
      <c r="BF690" s="1">
        <v>0.0</v>
      </c>
      <c r="BG690" s="1">
        <v>0.0</v>
      </c>
      <c r="BH690" s="1">
        <v>0.0</v>
      </c>
      <c r="BI690" s="1">
        <v>0.0</v>
      </c>
      <c r="BJ690" s="1">
        <v>0.0</v>
      </c>
      <c r="BP690" s="1">
        <v>0.274</v>
      </c>
      <c r="BQ690" s="1" t="s">
        <v>2968</v>
      </c>
      <c r="BV690" s="1">
        <v>1.1</v>
      </c>
      <c r="EQ690" s="9" t="s">
        <v>2967</v>
      </c>
      <c r="ER690" s="21">
        <v>46045.29914351852</v>
      </c>
    </row>
    <row r="691">
      <c r="A691" s="9" t="s">
        <v>2969</v>
      </c>
      <c r="B691" s="20" t="str">
        <f>IFERROR(__xludf.DUMMYFUNCTION("REGEXREPLACE(A691, ""^https?://[^/]+"", """")"),"/wp-content/plugins/powerpack-elements/assets/css/min/widget-info-box.min.css?ver=2.12.15")</f>
        <v>/wp-content/plugins/powerpack-elements/assets/css/min/widget-info-box.min.css?ver=2.12.15</v>
      </c>
      <c r="F691" s="1" t="s">
        <v>1016</v>
      </c>
      <c r="G691" s="1">
        <v>200.0</v>
      </c>
      <c r="H691" s="1" t="s">
        <v>966</v>
      </c>
      <c r="I691" s="1" t="s">
        <v>967</v>
      </c>
      <c r="L691" s="1">
        <v>0.0</v>
      </c>
      <c r="M691" s="1">
        <v>0.0</v>
      </c>
      <c r="O691" s="1">
        <v>0.0</v>
      </c>
      <c r="P691" s="1">
        <v>0.0</v>
      </c>
      <c r="R691" s="1">
        <v>0.0</v>
      </c>
      <c r="S691" s="1">
        <v>0.0</v>
      </c>
      <c r="U691" s="1">
        <v>0.0</v>
      </c>
      <c r="W691" s="1">
        <v>0.0</v>
      </c>
      <c r="Y691" s="1">
        <v>0.0</v>
      </c>
      <c r="AA691" s="1">
        <v>0.0</v>
      </c>
      <c r="AC691" s="1">
        <v>0.0</v>
      </c>
      <c r="AM691" s="1">
        <v>998.0</v>
      </c>
      <c r="AN691" s="1">
        <v>998.0</v>
      </c>
      <c r="AO691" s="1">
        <v>998.0</v>
      </c>
      <c r="AP691" s="1">
        <v>0.382</v>
      </c>
      <c r="AR691" s="1">
        <v>0.0</v>
      </c>
      <c r="AW691" s="1">
        <v>0.0</v>
      </c>
      <c r="AX691" s="1">
        <v>2.0</v>
      </c>
      <c r="AY691" s="1">
        <v>6.0</v>
      </c>
      <c r="BA691" s="1">
        <v>0.0</v>
      </c>
      <c r="BB691" s="1">
        <v>0.0</v>
      </c>
      <c r="BC691" s="1">
        <v>0.0</v>
      </c>
      <c r="BD691" s="1">
        <v>0.0</v>
      </c>
      <c r="BE691" s="1">
        <v>0.0</v>
      </c>
      <c r="BF691" s="1">
        <v>0.0</v>
      </c>
      <c r="BG691" s="1">
        <v>0.0</v>
      </c>
      <c r="BH691" s="1">
        <v>0.0</v>
      </c>
      <c r="BI691" s="1">
        <v>0.0</v>
      </c>
      <c r="BJ691" s="1">
        <v>0.0</v>
      </c>
      <c r="BP691" s="1">
        <v>0.265</v>
      </c>
      <c r="BQ691" s="1" t="s">
        <v>1193</v>
      </c>
      <c r="BV691" s="1">
        <v>1.1</v>
      </c>
      <c r="EQ691" s="9" t="s">
        <v>2969</v>
      </c>
      <c r="ER691" s="21">
        <v>46045.29914351852</v>
      </c>
    </row>
    <row r="692">
      <c r="A692" s="9" t="s">
        <v>2970</v>
      </c>
      <c r="B692" s="20" t="str">
        <f>IFERROR(__xludf.DUMMYFUNCTION("REGEXREPLACE(A692, ""^https?://[^/]+"", """")"),"/wp-content/uploads/2025/08/The-AI-Security-Playbook-1-768x1062.jpg")</f>
        <v>/wp-content/uploads/2025/08/The-AI-Security-Playbook-1-768x1062.jpg</v>
      </c>
      <c r="F692" s="1" t="s">
        <v>1004</v>
      </c>
      <c r="G692" s="1">
        <v>200.0</v>
      </c>
      <c r="H692" s="1" t="s">
        <v>966</v>
      </c>
      <c r="I692" s="1" t="s">
        <v>967</v>
      </c>
      <c r="L692" s="1">
        <v>0.0</v>
      </c>
      <c r="M692" s="1">
        <v>0.0</v>
      </c>
      <c r="O692" s="1">
        <v>0.0</v>
      </c>
      <c r="P692" s="1">
        <v>0.0</v>
      </c>
      <c r="R692" s="1">
        <v>0.0</v>
      </c>
      <c r="S692" s="1">
        <v>0.0</v>
      </c>
      <c r="U692" s="1">
        <v>0.0</v>
      </c>
      <c r="W692" s="1">
        <v>0.0</v>
      </c>
      <c r="Y692" s="1">
        <v>0.0</v>
      </c>
      <c r="AA692" s="1">
        <v>0.0</v>
      </c>
      <c r="AC692" s="1">
        <v>0.0</v>
      </c>
      <c r="AM692" s="1">
        <v>125588.0</v>
      </c>
      <c r="AN692" s="1">
        <v>125588.0</v>
      </c>
      <c r="AO692" s="1">
        <v>125588.0</v>
      </c>
      <c r="AP692" s="1">
        <v>48.11</v>
      </c>
      <c r="AR692" s="1">
        <v>0.0</v>
      </c>
      <c r="AW692" s="1">
        <v>0.0</v>
      </c>
      <c r="AX692" s="1">
        <v>2.0</v>
      </c>
      <c r="AY692" s="1">
        <v>4.0</v>
      </c>
      <c r="BA692" s="1">
        <v>0.0</v>
      </c>
      <c r="BB692" s="1">
        <v>0.0</v>
      </c>
      <c r="BC692" s="1">
        <v>0.0</v>
      </c>
      <c r="BD692" s="1">
        <v>0.0</v>
      </c>
      <c r="BE692" s="1">
        <v>0.0</v>
      </c>
      <c r="BF692" s="1">
        <v>0.0</v>
      </c>
      <c r="BG692" s="1">
        <v>0.0</v>
      </c>
      <c r="BH692" s="1">
        <v>0.0</v>
      </c>
      <c r="BI692" s="1">
        <v>0.0</v>
      </c>
      <c r="BJ692" s="1">
        <v>0.0</v>
      </c>
      <c r="BP692" s="1">
        <v>0.265</v>
      </c>
      <c r="BQ692" s="1" t="s">
        <v>2971</v>
      </c>
      <c r="BV692" s="1">
        <v>1.1</v>
      </c>
      <c r="EQ692" s="9" t="s">
        <v>2970</v>
      </c>
      <c r="ER692" s="21">
        <v>46045.299155092594</v>
      </c>
    </row>
    <row r="693">
      <c r="A693" s="9" t="s">
        <v>2972</v>
      </c>
      <c r="B693" s="20" t="str">
        <f>IFERROR(__xludf.DUMMYFUNCTION("REGEXREPLACE(A693, ""^https?://[^/]+"", """")"),"/wp-content/uploads/2024/05/Building-a-Sales-Pipeline-with-AI-768x994.jpg")</f>
        <v>/wp-content/uploads/2024/05/Building-a-Sales-Pipeline-with-AI-768x994.jpg</v>
      </c>
      <c r="F693" s="1" t="s">
        <v>1004</v>
      </c>
      <c r="G693" s="1">
        <v>200.0</v>
      </c>
      <c r="H693" s="1" t="s">
        <v>966</v>
      </c>
      <c r="I693" s="1" t="s">
        <v>967</v>
      </c>
      <c r="L693" s="1">
        <v>0.0</v>
      </c>
      <c r="M693" s="1">
        <v>0.0</v>
      </c>
      <c r="O693" s="1">
        <v>0.0</v>
      </c>
      <c r="P693" s="1">
        <v>0.0</v>
      </c>
      <c r="R693" s="1">
        <v>0.0</v>
      </c>
      <c r="S693" s="1">
        <v>0.0</v>
      </c>
      <c r="U693" s="1">
        <v>0.0</v>
      </c>
      <c r="W693" s="1">
        <v>0.0</v>
      </c>
      <c r="Y693" s="1">
        <v>0.0</v>
      </c>
      <c r="AA693" s="1">
        <v>0.0</v>
      </c>
      <c r="AC693" s="1">
        <v>0.0</v>
      </c>
      <c r="AM693" s="1">
        <v>87801.0</v>
      </c>
      <c r="AN693" s="1">
        <v>87801.0</v>
      </c>
      <c r="AO693" s="1">
        <v>87801.0</v>
      </c>
      <c r="AP693" s="1">
        <v>33.635</v>
      </c>
      <c r="AR693" s="1">
        <v>0.0</v>
      </c>
      <c r="AW693" s="1">
        <v>0.0</v>
      </c>
      <c r="AX693" s="1">
        <v>2.0</v>
      </c>
      <c r="AY693" s="1">
        <v>4.0</v>
      </c>
      <c r="BA693" s="1">
        <v>0.0</v>
      </c>
      <c r="BB693" s="1">
        <v>0.0</v>
      </c>
      <c r="BC693" s="1">
        <v>0.0</v>
      </c>
      <c r="BD693" s="1">
        <v>0.0</v>
      </c>
      <c r="BE693" s="1">
        <v>0.0</v>
      </c>
      <c r="BF693" s="1">
        <v>0.0</v>
      </c>
      <c r="BG693" s="1">
        <v>0.0</v>
      </c>
      <c r="BH693" s="1">
        <v>0.0</v>
      </c>
      <c r="BI693" s="1">
        <v>0.0</v>
      </c>
      <c r="BJ693" s="1">
        <v>0.0</v>
      </c>
      <c r="BP693" s="1">
        <v>0.267</v>
      </c>
      <c r="BQ693" s="1" t="s">
        <v>2973</v>
      </c>
      <c r="BV693" s="1">
        <v>1.1</v>
      </c>
      <c r="EQ693" s="9" t="s">
        <v>2972</v>
      </c>
      <c r="ER693" s="21">
        <v>46045.299155092594</v>
      </c>
    </row>
    <row r="694">
      <c r="A694" s="9" t="s">
        <v>2974</v>
      </c>
      <c r="B694" s="20" t="str">
        <f>IFERROR(__xludf.DUMMYFUNCTION("REGEXREPLACE(A694, ""^https?://[^/]+"", """")"),"/case-study/data-and-analytics-maintaining-sales-momentum-amidst-transition/")</f>
        <v>/case-study/data-and-analytics-maintaining-sales-momentum-amidst-transition/</v>
      </c>
      <c r="C694" s="1" t="s">
        <v>2975</v>
      </c>
      <c r="D694" s="1" t="s">
        <v>1050</v>
      </c>
      <c r="E694" s="1" t="s">
        <v>1051</v>
      </c>
      <c r="F694" s="1" t="s">
        <v>965</v>
      </c>
      <c r="G694" s="1">
        <v>200.0</v>
      </c>
      <c r="H694" s="1" t="s">
        <v>966</v>
      </c>
      <c r="I694" s="1" t="s">
        <v>967</v>
      </c>
      <c r="K694" s="1" t="s">
        <v>2976</v>
      </c>
      <c r="L694" s="1">
        <v>64.0</v>
      </c>
      <c r="M694" s="1">
        <v>625.0</v>
      </c>
      <c r="O694" s="1">
        <v>0.0</v>
      </c>
      <c r="P694" s="1">
        <v>0.0</v>
      </c>
      <c r="Q694" s="1" t="s">
        <v>2977</v>
      </c>
      <c r="R694" s="1">
        <v>162.0</v>
      </c>
      <c r="S694" s="1">
        <v>1041.0</v>
      </c>
      <c r="U694" s="1">
        <v>0.0</v>
      </c>
      <c r="V694" s="1" t="s">
        <v>2975</v>
      </c>
      <c r="W694" s="1">
        <v>64.0</v>
      </c>
      <c r="Y694" s="1">
        <v>0.0</v>
      </c>
      <c r="Z694" s="1" t="s">
        <v>1050</v>
      </c>
      <c r="AA694" s="1">
        <v>17.0</v>
      </c>
      <c r="AB694" s="1" t="s">
        <v>1051</v>
      </c>
      <c r="AC694" s="1">
        <v>11.0</v>
      </c>
      <c r="AD694" s="1" t="s">
        <v>971</v>
      </c>
      <c r="AG694" s="9" t="s">
        <v>2974</v>
      </c>
      <c r="AM694" s="1">
        <v>181469.0</v>
      </c>
      <c r="AN694" s="1">
        <v>32102.0</v>
      </c>
      <c r="AO694" s="1">
        <v>32102.0</v>
      </c>
      <c r="AP694" s="1">
        <v>12.298</v>
      </c>
      <c r="AR694" s="1">
        <v>894.0</v>
      </c>
      <c r="AS694" s="1">
        <v>147.0</v>
      </c>
      <c r="AT694" s="1">
        <v>6.082</v>
      </c>
      <c r="AU694" s="1">
        <v>54.363</v>
      </c>
      <c r="AV694" s="1" t="s">
        <v>972</v>
      </c>
      <c r="AW694" s="1">
        <v>4.503</v>
      </c>
      <c r="AX694" s="1">
        <v>2.0</v>
      </c>
      <c r="AY694" s="1">
        <v>2.0</v>
      </c>
      <c r="AZ694" s="1">
        <v>3.0</v>
      </c>
      <c r="BA694" s="1">
        <v>4.0</v>
      </c>
      <c r="BB694" s="1">
        <v>3.0</v>
      </c>
      <c r="BC694" s="1">
        <v>0.0</v>
      </c>
      <c r="BD694" s="1">
        <v>0.4</v>
      </c>
      <c r="BE694" s="1">
        <v>129.0</v>
      </c>
      <c r="BF694" s="1">
        <v>48.0</v>
      </c>
      <c r="BG694" s="1">
        <v>0.0</v>
      </c>
      <c r="BH694" s="1">
        <v>16.0</v>
      </c>
      <c r="BI694" s="1">
        <v>8.0</v>
      </c>
      <c r="BJ694" s="1">
        <v>0.0</v>
      </c>
      <c r="BO694" s="1" t="s">
        <v>2978</v>
      </c>
      <c r="BP694" s="1">
        <v>0.989</v>
      </c>
      <c r="BU694" s="1" t="s">
        <v>974</v>
      </c>
      <c r="BV694" s="1">
        <v>1.1</v>
      </c>
      <c r="BW694" s="1">
        <v>52.0</v>
      </c>
      <c r="BX694" s="1">
        <v>3151.031</v>
      </c>
      <c r="BY694" s="1">
        <v>7159.864</v>
      </c>
      <c r="BZ694" s="1">
        <v>10352.108</v>
      </c>
      <c r="CA694" s="1">
        <v>18305.508</v>
      </c>
      <c r="CB694" s="1">
        <v>415.5</v>
      </c>
      <c r="CC694" s="1">
        <v>0.0</v>
      </c>
      <c r="CD694" s="1">
        <v>653339.0</v>
      </c>
      <c r="CE694" s="1">
        <v>1950.0</v>
      </c>
      <c r="CF694" s="1">
        <v>175.0</v>
      </c>
      <c r="CG694" s="1">
        <v>2470536.0</v>
      </c>
      <c r="CH694" s="1">
        <v>33018.0</v>
      </c>
      <c r="CI694" s="1">
        <v>2.0</v>
      </c>
      <c r="CJ694" s="1">
        <v>154524.0</v>
      </c>
      <c r="CK694" s="1">
        <v>24.0</v>
      </c>
      <c r="CL694" s="1">
        <v>118876.0</v>
      </c>
      <c r="CM694" s="1">
        <v>44.0</v>
      </c>
      <c r="CN694" s="1">
        <v>1749942.0</v>
      </c>
      <c r="CO694" s="1">
        <v>69.0</v>
      </c>
      <c r="CP694" s="1">
        <v>389280.0</v>
      </c>
      <c r="CQ694" s="1">
        <v>7.0</v>
      </c>
      <c r="CR694" s="1">
        <v>0.0</v>
      </c>
      <c r="CS694" s="1">
        <v>1.0</v>
      </c>
      <c r="CT694" s="1">
        <v>24896.0</v>
      </c>
      <c r="CU694" s="1">
        <v>28.0</v>
      </c>
      <c r="CV694" s="1">
        <v>1504074.0</v>
      </c>
      <c r="CW694" s="1">
        <v>69.0</v>
      </c>
      <c r="DC694" s="1">
        <v>300.0</v>
      </c>
      <c r="DD694" s="1">
        <v>5075.0</v>
      </c>
      <c r="DE694" s="1">
        <v>0.0</v>
      </c>
      <c r="DF694" s="1">
        <v>3396.0</v>
      </c>
      <c r="DG694" s="1">
        <v>300.0</v>
      </c>
      <c r="DH694" s="1">
        <v>50551.0</v>
      </c>
      <c r="DI694" s="1">
        <v>1350.0</v>
      </c>
      <c r="DJ694" s="1">
        <v>594317.0</v>
      </c>
      <c r="DK694" s="1">
        <v>1954.402</v>
      </c>
      <c r="DL694" s="1" t="s">
        <v>975</v>
      </c>
      <c r="DM694" s="1">
        <v>3575.405</v>
      </c>
      <c r="DN694" s="1" t="s">
        <v>975</v>
      </c>
      <c r="DO694" s="1">
        <v>2469995.0</v>
      </c>
      <c r="DP694" s="1">
        <v>1.0</v>
      </c>
      <c r="DQ694" s="1" t="s">
        <v>976</v>
      </c>
      <c r="DR694" s="1" t="s">
        <v>993</v>
      </c>
      <c r="DS694" s="1" t="s">
        <v>978</v>
      </c>
      <c r="DT694" s="1" t="s">
        <v>979</v>
      </c>
      <c r="DU694" s="1" t="s">
        <v>980</v>
      </c>
      <c r="DV694" s="1">
        <v>13398.0</v>
      </c>
      <c r="DX694" s="1">
        <v>4007.0</v>
      </c>
      <c r="DY694" s="1">
        <v>696741.0</v>
      </c>
      <c r="DZ694" s="1" t="s">
        <v>981</v>
      </c>
      <c r="EA694" s="1">
        <v>886.0</v>
      </c>
      <c r="EB694" s="1">
        <v>60115.0</v>
      </c>
      <c r="EC694" s="1">
        <v>65.0</v>
      </c>
      <c r="ED694" s="1">
        <v>26492.0</v>
      </c>
      <c r="EF694" s="1">
        <v>215.0</v>
      </c>
      <c r="EG694" s="1" t="s">
        <v>982</v>
      </c>
      <c r="EH694" s="1">
        <v>100.0</v>
      </c>
      <c r="EK694" s="1">
        <v>100.0</v>
      </c>
      <c r="EQ694" s="9" t="s">
        <v>2974</v>
      </c>
      <c r="ER694" s="21">
        <v>46045.29914351852</v>
      </c>
    </row>
    <row r="695">
      <c r="A695" s="9" t="s">
        <v>2979</v>
      </c>
      <c r="B695" s="20" t="str">
        <f>IFERROR(__xludf.DUMMYFUNCTION("REGEXREPLACE(A695, ""^https?://[^/]+"", """")"),"/infographics-cat/marketing/")</f>
        <v>/infographics-cat/marketing/</v>
      </c>
      <c r="F695" s="1" t="s">
        <v>965</v>
      </c>
      <c r="G695" s="1">
        <v>302.0</v>
      </c>
      <c r="H695" s="1" t="s">
        <v>2980</v>
      </c>
      <c r="I695" s="1" t="s">
        <v>1214</v>
      </c>
      <c r="J695" s="1" t="s">
        <v>1305</v>
      </c>
      <c r="L695" s="1">
        <v>0.0</v>
      </c>
      <c r="M695" s="1">
        <v>0.0</v>
      </c>
      <c r="O695" s="1">
        <v>0.0</v>
      </c>
      <c r="P695" s="1">
        <v>0.0</v>
      </c>
      <c r="R695" s="1">
        <v>0.0</v>
      </c>
      <c r="S695" s="1">
        <v>0.0</v>
      </c>
      <c r="U695" s="1">
        <v>0.0</v>
      </c>
      <c r="W695" s="1">
        <v>0.0</v>
      </c>
      <c r="Y695" s="1">
        <v>0.0</v>
      </c>
      <c r="AA695" s="1">
        <v>0.0</v>
      </c>
      <c r="AC695" s="1">
        <v>0.0</v>
      </c>
      <c r="AM695" s="1">
        <v>0.0</v>
      </c>
      <c r="AN695" s="1">
        <v>0.0</v>
      </c>
      <c r="AO695" s="1">
        <v>0.0</v>
      </c>
      <c r="AP695" s="1">
        <v>0.0</v>
      </c>
      <c r="AR695" s="1">
        <v>0.0</v>
      </c>
      <c r="AW695" s="1">
        <v>0.0</v>
      </c>
      <c r="AX695" s="1">
        <v>2.0</v>
      </c>
      <c r="AY695" s="1">
        <v>2.0</v>
      </c>
      <c r="BA695" s="1">
        <v>1.0</v>
      </c>
      <c r="BB695" s="1">
        <v>1.0</v>
      </c>
      <c r="BC695" s="1">
        <v>0.0</v>
      </c>
      <c r="BD695" s="1">
        <v>0.13</v>
      </c>
      <c r="BE695" s="1">
        <v>0.0</v>
      </c>
      <c r="BF695" s="1">
        <v>0.0</v>
      </c>
      <c r="BG695" s="1">
        <v>0.0</v>
      </c>
      <c r="BH695" s="1">
        <v>0.0</v>
      </c>
      <c r="BI695" s="1">
        <v>0.0</v>
      </c>
      <c r="BJ695" s="1">
        <v>0.0</v>
      </c>
      <c r="BP695" s="1">
        <v>0.616</v>
      </c>
      <c r="BR695" s="9" t="s">
        <v>2981</v>
      </c>
      <c r="BS695" s="1" t="s">
        <v>1307</v>
      </c>
      <c r="BV695" s="1">
        <v>1.1</v>
      </c>
      <c r="EQ695" s="9" t="s">
        <v>2979</v>
      </c>
      <c r="ER695" s="21">
        <v>46045.299155092594</v>
      </c>
    </row>
    <row r="696">
      <c r="A696" s="9" t="s">
        <v>2982</v>
      </c>
      <c r="B696" s="20" t="str">
        <f>IFERROR(__xludf.DUMMYFUNCTION("REGEXREPLACE(A696, ""^https?://[^/]+"", """")"),"/infographics/how-to-leverage-ai-to-optimize-b2b-lead-generation/")</f>
        <v>/infographics/how-to-leverage-ai-to-optimize-b2b-lead-generation/</v>
      </c>
      <c r="F696" s="1" t="s">
        <v>965</v>
      </c>
      <c r="G696" s="1">
        <v>302.0</v>
      </c>
      <c r="H696" s="1" t="s">
        <v>2980</v>
      </c>
      <c r="I696" s="1" t="s">
        <v>1214</v>
      </c>
      <c r="J696" s="1" t="s">
        <v>1305</v>
      </c>
      <c r="L696" s="1">
        <v>0.0</v>
      </c>
      <c r="M696" s="1">
        <v>0.0</v>
      </c>
      <c r="O696" s="1">
        <v>0.0</v>
      </c>
      <c r="P696" s="1">
        <v>0.0</v>
      </c>
      <c r="R696" s="1">
        <v>0.0</v>
      </c>
      <c r="S696" s="1">
        <v>0.0</v>
      </c>
      <c r="U696" s="1">
        <v>0.0</v>
      </c>
      <c r="W696" s="1">
        <v>0.0</v>
      </c>
      <c r="Y696" s="1">
        <v>0.0</v>
      </c>
      <c r="AA696" s="1">
        <v>0.0</v>
      </c>
      <c r="AC696" s="1">
        <v>0.0</v>
      </c>
      <c r="AM696" s="1">
        <v>0.0</v>
      </c>
      <c r="AN696" s="1">
        <v>0.0</v>
      </c>
      <c r="AO696" s="1">
        <v>0.0</v>
      </c>
      <c r="AP696" s="1">
        <v>0.0</v>
      </c>
      <c r="AR696" s="1">
        <v>0.0</v>
      </c>
      <c r="AW696" s="1">
        <v>0.0</v>
      </c>
      <c r="AX696" s="1">
        <v>2.0</v>
      </c>
      <c r="AY696" s="1">
        <v>2.0</v>
      </c>
      <c r="BA696" s="1">
        <v>7.0</v>
      </c>
      <c r="BB696" s="1">
        <v>3.0</v>
      </c>
      <c r="BC696" s="1">
        <v>0.0</v>
      </c>
      <c r="BD696" s="1">
        <v>0.4</v>
      </c>
      <c r="BE696" s="1">
        <v>0.0</v>
      </c>
      <c r="BF696" s="1">
        <v>0.0</v>
      </c>
      <c r="BG696" s="1">
        <v>0.0</v>
      </c>
      <c r="BH696" s="1">
        <v>0.0</v>
      </c>
      <c r="BI696" s="1">
        <v>0.0</v>
      </c>
      <c r="BJ696" s="1">
        <v>0.0</v>
      </c>
      <c r="BP696" s="1">
        <v>0.554</v>
      </c>
      <c r="BR696" s="9" t="s">
        <v>2981</v>
      </c>
      <c r="BS696" s="1" t="s">
        <v>1307</v>
      </c>
      <c r="BV696" s="1">
        <v>1.1</v>
      </c>
      <c r="EQ696" s="9" t="s">
        <v>2982</v>
      </c>
      <c r="ER696" s="21">
        <v>46045.299155092594</v>
      </c>
    </row>
    <row r="697">
      <c r="A697" s="9" t="s">
        <v>2983</v>
      </c>
      <c r="B697" s="20" t="str">
        <f>IFERROR(__xludf.DUMMYFUNCTION("REGEXREPLACE(A697, ""^https?://[^/]+"", """")"),"/infographics/implementing-a-sales-data-analytics-strategy/")</f>
        <v>/infographics/implementing-a-sales-data-analytics-strategy/</v>
      </c>
      <c r="F697" s="1" t="s">
        <v>965</v>
      </c>
      <c r="G697" s="1">
        <v>302.0</v>
      </c>
      <c r="H697" s="1" t="s">
        <v>2980</v>
      </c>
      <c r="I697" s="1" t="s">
        <v>1214</v>
      </c>
      <c r="J697" s="1" t="s">
        <v>1305</v>
      </c>
      <c r="L697" s="1">
        <v>0.0</v>
      </c>
      <c r="M697" s="1">
        <v>0.0</v>
      </c>
      <c r="O697" s="1">
        <v>0.0</v>
      </c>
      <c r="P697" s="1">
        <v>0.0</v>
      </c>
      <c r="R697" s="1">
        <v>0.0</v>
      </c>
      <c r="S697" s="1">
        <v>0.0</v>
      </c>
      <c r="U697" s="1">
        <v>0.0</v>
      </c>
      <c r="W697" s="1">
        <v>0.0</v>
      </c>
      <c r="Y697" s="1">
        <v>0.0</v>
      </c>
      <c r="AA697" s="1">
        <v>0.0</v>
      </c>
      <c r="AC697" s="1">
        <v>0.0</v>
      </c>
      <c r="AM697" s="1">
        <v>0.0</v>
      </c>
      <c r="AN697" s="1">
        <v>0.0</v>
      </c>
      <c r="AO697" s="1">
        <v>0.0</v>
      </c>
      <c r="AP697" s="1">
        <v>0.0</v>
      </c>
      <c r="AR697" s="1">
        <v>0.0</v>
      </c>
      <c r="AW697" s="1">
        <v>0.0</v>
      </c>
      <c r="AX697" s="1">
        <v>2.0</v>
      </c>
      <c r="AY697" s="1">
        <v>2.0</v>
      </c>
      <c r="BA697" s="1">
        <v>3.0</v>
      </c>
      <c r="BB697" s="1">
        <v>1.0</v>
      </c>
      <c r="BC697" s="1">
        <v>0.0</v>
      </c>
      <c r="BD697" s="1">
        <v>0.13</v>
      </c>
      <c r="BE697" s="1">
        <v>0.0</v>
      </c>
      <c r="BF697" s="1">
        <v>0.0</v>
      </c>
      <c r="BG697" s="1">
        <v>0.0</v>
      </c>
      <c r="BH697" s="1">
        <v>0.0</v>
      </c>
      <c r="BI697" s="1">
        <v>0.0</v>
      </c>
      <c r="BJ697" s="1">
        <v>0.0</v>
      </c>
      <c r="BP697" s="1">
        <v>0.601</v>
      </c>
      <c r="BR697" s="9" t="s">
        <v>2984</v>
      </c>
      <c r="BS697" s="1" t="s">
        <v>1307</v>
      </c>
      <c r="BV697" s="1">
        <v>1.1</v>
      </c>
      <c r="EQ697" s="9" t="s">
        <v>2983</v>
      </c>
      <c r="ER697" s="21">
        <v>46045.299155092594</v>
      </c>
    </row>
    <row r="698">
      <c r="A698" s="9" t="s">
        <v>2985</v>
      </c>
      <c r="B698" s="20" t="str">
        <f>IFERROR(__xludf.DUMMYFUNCTION("REGEXREPLACE(A698, ""^https?://[^/]+"", """")"),"/infographics-cat/sales-strategy/")</f>
        <v>/infographics-cat/sales-strategy/</v>
      </c>
      <c r="F698" s="1" t="s">
        <v>965</v>
      </c>
      <c r="G698" s="1">
        <v>302.0</v>
      </c>
      <c r="H698" s="1" t="s">
        <v>2980</v>
      </c>
      <c r="I698" s="1" t="s">
        <v>1214</v>
      </c>
      <c r="J698" s="1" t="s">
        <v>1305</v>
      </c>
      <c r="L698" s="1">
        <v>0.0</v>
      </c>
      <c r="M698" s="1">
        <v>0.0</v>
      </c>
      <c r="O698" s="1">
        <v>0.0</v>
      </c>
      <c r="P698" s="1">
        <v>0.0</v>
      </c>
      <c r="R698" s="1">
        <v>0.0</v>
      </c>
      <c r="S698" s="1">
        <v>0.0</v>
      </c>
      <c r="U698" s="1">
        <v>0.0</v>
      </c>
      <c r="W698" s="1">
        <v>0.0</v>
      </c>
      <c r="Y698" s="1">
        <v>0.0</v>
      </c>
      <c r="AA698" s="1">
        <v>0.0</v>
      </c>
      <c r="AC698" s="1">
        <v>0.0</v>
      </c>
      <c r="AM698" s="1">
        <v>0.0</v>
      </c>
      <c r="AN698" s="1">
        <v>0.0</v>
      </c>
      <c r="AO698" s="1">
        <v>0.0</v>
      </c>
      <c r="AP698" s="1">
        <v>0.0</v>
      </c>
      <c r="AR698" s="1">
        <v>0.0</v>
      </c>
      <c r="AW698" s="1">
        <v>0.0</v>
      </c>
      <c r="AX698" s="1">
        <v>2.0</v>
      </c>
      <c r="AY698" s="1">
        <v>2.0</v>
      </c>
      <c r="BA698" s="1">
        <v>7.0</v>
      </c>
      <c r="BB698" s="1">
        <v>1.0</v>
      </c>
      <c r="BC698" s="1">
        <v>0.0</v>
      </c>
      <c r="BD698" s="1">
        <v>0.13</v>
      </c>
      <c r="BE698" s="1">
        <v>0.0</v>
      </c>
      <c r="BF698" s="1">
        <v>0.0</v>
      </c>
      <c r="BG698" s="1">
        <v>0.0</v>
      </c>
      <c r="BH698" s="1">
        <v>0.0</v>
      </c>
      <c r="BI698" s="1">
        <v>0.0</v>
      </c>
      <c r="BJ698" s="1">
        <v>0.0</v>
      </c>
      <c r="BP698" s="1">
        <v>0.609</v>
      </c>
      <c r="BR698" s="9" t="s">
        <v>2986</v>
      </c>
      <c r="BS698" s="1" t="s">
        <v>1307</v>
      </c>
      <c r="BV698" s="1">
        <v>1.1</v>
      </c>
      <c r="EQ698" s="9" t="s">
        <v>2985</v>
      </c>
      <c r="ER698" s="21">
        <v>46045.299155092594</v>
      </c>
    </row>
    <row r="699">
      <c r="A699" s="9" t="s">
        <v>2987</v>
      </c>
      <c r="B699" s="20" t="str">
        <f>IFERROR(__xludf.DUMMYFUNCTION("REGEXREPLACE(A699, ""^https?://[^/]+"", """")"),"/wp-content/uploads/2025/03/Top-Sales-Drivers-to-Implement-for-Sales-Success-1-768x976.jpg")</f>
        <v>/wp-content/uploads/2025/03/Top-Sales-Drivers-to-Implement-for-Sales-Success-1-768x976.jpg</v>
      </c>
      <c r="F699" s="1" t="s">
        <v>1004</v>
      </c>
      <c r="G699" s="1">
        <v>200.0</v>
      </c>
      <c r="H699" s="1" t="s">
        <v>966</v>
      </c>
      <c r="I699" s="1" t="s">
        <v>967</v>
      </c>
      <c r="L699" s="1">
        <v>0.0</v>
      </c>
      <c r="M699" s="1">
        <v>0.0</v>
      </c>
      <c r="O699" s="1">
        <v>0.0</v>
      </c>
      <c r="P699" s="1">
        <v>0.0</v>
      </c>
      <c r="R699" s="1">
        <v>0.0</v>
      </c>
      <c r="S699" s="1">
        <v>0.0</v>
      </c>
      <c r="U699" s="1">
        <v>0.0</v>
      </c>
      <c r="W699" s="1">
        <v>0.0</v>
      </c>
      <c r="Y699" s="1">
        <v>0.0</v>
      </c>
      <c r="AA699" s="1">
        <v>0.0</v>
      </c>
      <c r="AC699" s="1">
        <v>0.0</v>
      </c>
      <c r="AM699" s="1">
        <v>110335.0</v>
      </c>
      <c r="AN699" s="1">
        <v>110335.0</v>
      </c>
      <c r="AO699" s="1">
        <v>110335.0</v>
      </c>
      <c r="AP699" s="1">
        <v>42.267</v>
      </c>
      <c r="AR699" s="1">
        <v>0.0</v>
      </c>
      <c r="AW699" s="1">
        <v>0.0</v>
      </c>
      <c r="AX699" s="1">
        <v>2.0</v>
      </c>
      <c r="AY699" s="1">
        <v>4.0</v>
      </c>
      <c r="BA699" s="1">
        <v>0.0</v>
      </c>
      <c r="BB699" s="1">
        <v>0.0</v>
      </c>
      <c r="BC699" s="1">
        <v>0.0</v>
      </c>
      <c r="BD699" s="1">
        <v>0.0</v>
      </c>
      <c r="BE699" s="1">
        <v>0.0</v>
      </c>
      <c r="BF699" s="1">
        <v>0.0</v>
      </c>
      <c r="BG699" s="1">
        <v>0.0</v>
      </c>
      <c r="BH699" s="1">
        <v>0.0</v>
      </c>
      <c r="BI699" s="1">
        <v>0.0</v>
      </c>
      <c r="BJ699" s="1">
        <v>0.0</v>
      </c>
      <c r="BP699" s="1">
        <v>0.271</v>
      </c>
      <c r="BQ699" s="1" t="s">
        <v>2988</v>
      </c>
      <c r="BV699" s="1">
        <v>1.1</v>
      </c>
      <c r="EQ699" s="9" t="s">
        <v>2987</v>
      </c>
      <c r="ER699" s="21">
        <v>46045.299166666664</v>
      </c>
    </row>
    <row r="700">
      <c r="A700" s="9" t="s">
        <v>2989</v>
      </c>
      <c r="B700" s="20" t="str">
        <f>IFERROR(__xludf.DUMMYFUNCTION("REGEXREPLACE(A700, ""^https?://[^/]+"", """")"),"/wp-content/uploads/2025/04/Sales-SWOT-Worksheet-768x994.jpg")</f>
        <v>/wp-content/uploads/2025/04/Sales-SWOT-Worksheet-768x994.jpg</v>
      </c>
      <c r="F700" s="1" t="s">
        <v>1004</v>
      </c>
      <c r="G700" s="1">
        <v>200.0</v>
      </c>
      <c r="H700" s="1" t="s">
        <v>966</v>
      </c>
      <c r="I700" s="1" t="s">
        <v>967</v>
      </c>
      <c r="L700" s="1">
        <v>0.0</v>
      </c>
      <c r="M700" s="1">
        <v>0.0</v>
      </c>
      <c r="O700" s="1">
        <v>0.0</v>
      </c>
      <c r="P700" s="1">
        <v>0.0</v>
      </c>
      <c r="R700" s="1">
        <v>0.0</v>
      </c>
      <c r="S700" s="1">
        <v>0.0</v>
      </c>
      <c r="U700" s="1">
        <v>0.0</v>
      </c>
      <c r="W700" s="1">
        <v>0.0</v>
      </c>
      <c r="Y700" s="1">
        <v>0.0</v>
      </c>
      <c r="AA700" s="1">
        <v>0.0</v>
      </c>
      <c r="AC700" s="1">
        <v>0.0</v>
      </c>
      <c r="AM700" s="1">
        <v>61593.0</v>
      </c>
      <c r="AN700" s="1">
        <v>61593.0</v>
      </c>
      <c r="AO700" s="1">
        <v>61593.0</v>
      </c>
      <c r="AP700" s="1">
        <v>23.595</v>
      </c>
      <c r="AR700" s="1">
        <v>0.0</v>
      </c>
      <c r="AW700" s="1">
        <v>0.0</v>
      </c>
      <c r="AX700" s="1">
        <v>2.0</v>
      </c>
      <c r="AY700" s="1">
        <v>4.0</v>
      </c>
      <c r="BA700" s="1">
        <v>0.0</v>
      </c>
      <c r="BB700" s="1">
        <v>0.0</v>
      </c>
      <c r="BC700" s="1">
        <v>0.0</v>
      </c>
      <c r="BD700" s="1">
        <v>0.0</v>
      </c>
      <c r="BE700" s="1">
        <v>0.0</v>
      </c>
      <c r="BF700" s="1">
        <v>0.0</v>
      </c>
      <c r="BG700" s="1">
        <v>0.0</v>
      </c>
      <c r="BH700" s="1">
        <v>0.0</v>
      </c>
      <c r="BI700" s="1">
        <v>0.0</v>
      </c>
      <c r="BJ700" s="1">
        <v>0.0</v>
      </c>
      <c r="BP700" s="1">
        <v>0.266</v>
      </c>
      <c r="BQ700" s="1" t="s">
        <v>2990</v>
      </c>
      <c r="BV700" s="1">
        <v>1.1</v>
      </c>
      <c r="EQ700" s="9" t="s">
        <v>2989</v>
      </c>
      <c r="ER700" s="21">
        <v>46045.299166666664</v>
      </c>
    </row>
    <row r="701">
      <c r="A701" s="9" t="s">
        <v>2991</v>
      </c>
      <c r="B701" s="20" t="str">
        <f>IFERROR(__xludf.DUMMYFUNCTION("REGEXREPLACE(A701, ""^https?://[^/]+"", """")"),"/wp-content/uploads/elementor/css/post-27658.css?ver=1768846883")</f>
        <v>/wp-content/uploads/elementor/css/post-27658.css?ver=1768846883</v>
      </c>
      <c r="F701" s="1" t="s">
        <v>1016</v>
      </c>
      <c r="G701" s="1">
        <v>200.0</v>
      </c>
      <c r="H701" s="1" t="s">
        <v>966</v>
      </c>
      <c r="I701" s="1" t="s">
        <v>967</v>
      </c>
      <c r="L701" s="1">
        <v>0.0</v>
      </c>
      <c r="M701" s="1">
        <v>0.0</v>
      </c>
      <c r="O701" s="1">
        <v>0.0</v>
      </c>
      <c r="P701" s="1">
        <v>0.0</v>
      </c>
      <c r="R701" s="1">
        <v>0.0</v>
      </c>
      <c r="S701" s="1">
        <v>0.0</v>
      </c>
      <c r="U701" s="1">
        <v>0.0</v>
      </c>
      <c r="W701" s="1">
        <v>0.0</v>
      </c>
      <c r="Y701" s="1">
        <v>0.0</v>
      </c>
      <c r="AA701" s="1">
        <v>0.0</v>
      </c>
      <c r="AC701" s="1">
        <v>0.0</v>
      </c>
      <c r="AM701" s="1">
        <v>1130.0</v>
      </c>
      <c r="AN701" s="1">
        <v>1130.0</v>
      </c>
      <c r="AO701" s="1">
        <v>1130.0</v>
      </c>
      <c r="AP701" s="1">
        <v>0.433</v>
      </c>
      <c r="AR701" s="1">
        <v>0.0</v>
      </c>
      <c r="AW701" s="1">
        <v>0.0</v>
      </c>
      <c r="AX701" s="1">
        <v>2.0</v>
      </c>
      <c r="AY701" s="1">
        <v>4.0</v>
      </c>
      <c r="BA701" s="1">
        <v>0.0</v>
      </c>
      <c r="BB701" s="1">
        <v>0.0</v>
      </c>
      <c r="BC701" s="1">
        <v>0.0</v>
      </c>
      <c r="BD701" s="1">
        <v>0.0</v>
      </c>
      <c r="BE701" s="1">
        <v>0.0</v>
      </c>
      <c r="BF701" s="1">
        <v>0.0</v>
      </c>
      <c r="BG701" s="1">
        <v>0.0</v>
      </c>
      <c r="BH701" s="1">
        <v>0.0</v>
      </c>
      <c r="BI701" s="1">
        <v>0.0</v>
      </c>
      <c r="BJ701" s="1">
        <v>0.0</v>
      </c>
      <c r="BP701" s="1">
        <v>0.263</v>
      </c>
      <c r="BQ701" s="1" t="s">
        <v>2992</v>
      </c>
      <c r="BV701" s="1">
        <v>1.1</v>
      </c>
      <c r="EQ701" s="9" t="s">
        <v>2991</v>
      </c>
      <c r="ER701" s="21">
        <v>46045.299166666664</v>
      </c>
    </row>
    <row r="702">
      <c r="A702" s="9" t="s">
        <v>2993</v>
      </c>
      <c r="B702" s="20" t="str">
        <f>IFERROR(__xludf.DUMMYFUNCTION("REGEXREPLACE(A702, ""^https?://[^/]+"", """")"),"/infographics/top-sales-drivers-to-implement-for-sales-success/")</f>
        <v>/infographics/top-sales-drivers-to-implement-for-sales-success/</v>
      </c>
      <c r="F702" s="1" t="s">
        <v>965</v>
      </c>
      <c r="G702" s="1">
        <v>302.0</v>
      </c>
      <c r="H702" s="1" t="s">
        <v>2980</v>
      </c>
      <c r="I702" s="1" t="s">
        <v>1214</v>
      </c>
      <c r="J702" s="1" t="s">
        <v>1305</v>
      </c>
      <c r="L702" s="1">
        <v>0.0</v>
      </c>
      <c r="M702" s="1">
        <v>0.0</v>
      </c>
      <c r="O702" s="1">
        <v>0.0</v>
      </c>
      <c r="P702" s="1">
        <v>0.0</v>
      </c>
      <c r="R702" s="1">
        <v>0.0</v>
      </c>
      <c r="S702" s="1">
        <v>0.0</v>
      </c>
      <c r="U702" s="1">
        <v>0.0</v>
      </c>
      <c r="W702" s="1">
        <v>0.0</v>
      </c>
      <c r="Y702" s="1">
        <v>0.0</v>
      </c>
      <c r="AA702" s="1">
        <v>0.0</v>
      </c>
      <c r="AC702" s="1">
        <v>0.0</v>
      </c>
      <c r="AM702" s="1">
        <v>0.0</v>
      </c>
      <c r="AN702" s="1">
        <v>0.0</v>
      </c>
      <c r="AO702" s="1">
        <v>0.0</v>
      </c>
      <c r="AP702" s="1">
        <v>0.0</v>
      </c>
      <c r="AR702" s="1">
        <v>0.0</v>
      </c>
      <c r="AW702" s="1">
        <v>0.0</v>
      </c>
      <c r="AX702" s="1">
        <v>2.0</v>
      </c>
      <c r="AY702" s="1">
        <v>2.0</v>
      </c>
      <c r="BA702" s="1">
        <v>6.0</v>
      </c>
      <c r="BB702" s="1">
        <v>1.0</v>
      </c>
      <c r="BC702" s="1">
        <v>0.0</v>
      </c>
      <c r="BD702" s="1">
        <v>0.13</v>
      </c>
      <c r="BE702" s="1">
        <v>0.0</v>
      </c>
      <c r="BF702" s="1">
        <v>0.0</v>
      </c>
      <c r="BG702" s="1">
        <v>0.0</v>
      </c>
      <c r="BH702" s="1">
        <v>0.0</v>
      </c>
      <c r="BI702" s="1">
        <v>0.0</v>
      </c>
      <c r="BJ702" s="1">
        <v>0.0</v>
      </c>
      <c r="BP702" s="1">
        <v>0.552</v>
      </c>
      <c r="BR702" s="9" t="s">
        <v>2994</v>
      </c>
      <c r="BS702" s="1" t="s">
        <v>1307</v>
      </c>
      <c r="BV702" s="1">
        <v>1.1</v>
      </c>
      <c r="EQ702" s="9" t="s">
        <v>2993</v>
      </c>
      <c r="ER702" s="21">
        <v>46045.299166666664</v>
      </c>
    </row>
    <row r="703">
      <c r="A703" s="9" t="s">
        <v>2995</v>
      </c>
      <c r="B703" s="20" t="str">
        <f>IFERROR(__xludf.DUMMYFUNCTION("REGEXREPLACE(A703, ""^https?://[^/]+"", """")"),"/wp-content/uploads/2025/02/Implementing-a-Sales-Data-Analytics-Strategy-1-768x994.jpg")</f>
        <v>/wp-content/uploads/2025/02/Implementing-a-Sales-Data-Analytics-Strategy-1-768x994.jpg</v>
      </c>
      <c r="F703" s="1" t="s">
        <v>1004</v>
      </c>
      <c r="G703" s="1">
        <v>200.0</v>
      </c>
      <c r="H703" s="1" t="s">
        <v>966</v>
      </c>
      <c r="I703" s="1" t="s">
        <v>967</v>
      </c>
      <c r="L703" s="1">
        <v>0.0</v>
      </c>
      <c r="M703" s="1">
        <v>0.0</v>
      </c>
      <c r="O703" s="1">
        <v>0.0</v>
      </c>
      <c r="P703" s="1">
        <v>0.0</v>
      </c>
      <c r="R703" s="1">
        <v>0.0</v>
      </c>
      <c r="S703" s="1">
        <v>0.0</v>
      </c>
      <c r="U703" s="1">
        <v>0.0</v>
      </c>
      <c r="W703" s="1">
        <v>0.0</v>
      </c>
      <c r="Y703" s="1">
        <v>0.0</v>
      </c>
      <c r="AA703" s="1">
        <v>0.0</v>
      </c>
      <c r="AC703" s="1">
        <v>0.0</v>
      </c>
      <c r="AM703" s="1">
        <v>86777.0</v>
      </c>
      <c r="AN703" s="1">
        <v>86777.0</v>
      </c>
      <c r="AO703" s="1">
        <v>86777.0</v>
      </c>
      <c r="AP703" s="1">
        <v>33.243</v>
      </c>
      <c r="AR703" s="1">
        <v>0.0</v>
      </c>
      <c r="AW703" s="1">
        <v>0.0</v>
      </c>
      <c r="AX703" s="1">
        <v>2.0</v>
      </c>
      <c r="AY703" s="1">
        <v>4.0</v>
      </c>
      <c r="BA703" s="1">
        <v>0.0</v>
      </c>
      <c r="BB703" s="1">
        <v>0.0</v>
      </c>
      <c r="BC703" s="1">
        <v>0.0</v>
      </c>
      <c r="BD703" s="1">
        <v>0.0</v>
      </c>
      <c r="BE703" s="1">
        <v>0.0</v>
      </c>
      <c r="BF703" s="1">
        <v>0.0</v>
      </c>
      <c r="BG703" s="1">
        <v>0.0</v>
      </c>
      <c r="BH703" s="1">
        <v>0.0</v>
      </c>
      <c r="BI703" s="1">
        <v>0.0</v>
      </c>
      <c r="BJ703" s="1">
        <v>0.0</v>
      </c>
      <c r="BP703" s="1">
        <v>0.275</v>
      </c>
      <c r="BQ703" s="1" t="s">
        <v>2996</v>
      </c>
      <c r="BV703" s="1">
        <v>1.1</v>
      </c>
      <c r="EQ703" s="9" t="s">
        <v>2995</v>
      </c>
      <c r="ER703" s="21">
        <v>46045.299166666664</v>
      </c>
    </row>
    <row r="704">
      <c r="A704" s="9" t="s">
        <v>2997</v>
      </c>
      <c r="B704" s="20" t="str">
        <f>IFERROR(__xludf.DUMMYFUNCTION("REGEXREPLACE(A704, ""^https?://[^/]+"", """")"),"/infographics/building-a-sales-pipeline-with-ai/")</f>
        <v>/infographics/building-a-sales-pipeline-with-ai/</v>
      </c>
      <c r="F704" s="1" t="s">
        <v>965</v>
      </c>
      <c r="G704" s="1">
        <v>302.0</v>
      </c>
      <c r="H704" s="1" t="s">
        <v>2980</v>
      </c>
      <c r="I704" s="1" t="s">
        <v>1214</v>
      </c>
      <c r="J704" s="1" t="s">
        <v>1305</v>
      </c>
      <c r="L704" s="1">
        <v>0.0</v>
      </c>
      <c r="M704" s="1">
        <v>0.0</v>
      </c>
      <c r="O704" s="1">
        <v>0.0</v>
      </c>
      <c r="P704" s="1">
        <v>0.0</v>
      </c>
      <c r="R704" s="1">
        <v>0.0</v>
      </c>
      <c r="S704" s="1">
        <v>0.0</v>
      </c>
      <c r="U704" s="1">
        <v>0.0</v>
      </c>
      <c r="W704" s="1">
        <v>0.0</v>
      </c>
      <c r="Y704" s="1">
        <v>0.0</v>
      </c>
      <c r="AA704" s="1">
        <v>0.0</v>
      </c>
      <c r="AC704" s="1">
        <v>0.0</v>
      </c>
      <c r="AM704" s="1">
        <v>0.0</v>
      </c>
      <c r="AN704" s="1">
        <v>0.0</v>
      </c>
      <c r="AO704" s="1">
        <v>0.0</v>
      </c>
      <c r="AP704" s="1">
        <v>0.0</v>
      </c>
      <c r="AR704" s="1">
        <v>0.0</v>
      </c>
      <c r="AW704" s="1">
        <v>0.0</v>
      </c>
      <c r="AX704" s="1">
        <v>2.0</v>
      </c>
      <c r="AY704" s="1">
        <v>2.0</v>
      </c>
      <c r="BA704" s="1">
        <v>3.0</v>
      </c>
      <c r="BB704" s="1">
        <v>1.0</v>
      </c>
      <c r="BC704" s="1">
        <v>0.0</v>
      </c>
      <c r="BD704" s="1">
        <v>0.13</v>
      </c>
      <c r="BE704" s="1">
        <v>0.0</v>
      </c>
      <c r="BF704" s="1">
        <v>0.0</v>
      </c>
      <c r="BG704" s="1">
        <v>0.0</v>
      </c>
      <c r="BH704" s="1">
        <v>0.0</v>
      </c>
      <c r="BI704" s="1">
        <v>0.0</v>
      </c>
      <c r="BJ704" s="1">
        <v>0.0</v>
      </c>
      <c r="BP704" s="1">
        <v>0.543</v>
      </c>
      <c r="BR704" s="9" t="s">
        <v>2986</v>
      </c>
      <c r="BS704" s="1" t="s">
        <v>1307</v>
      </c>
      <c r="BV704" s="1">
        <v>1.1</v>
      </c>
      <c r="EQ704" s="9" t="s">
        <v>2997</v>
      </c>
      <c r="ER704" s="21">
        <v>46045.299166666664</v>
      </c>
    </row>
    <row r="705">
      <c r="A705" s="9" t="s">
        <v>2998</v>
      </c>
      <c r="B705" s="20" t="str">
        <f>IFERROR(__xludf.DUMMYFUNCTION("REGEXREPLACE(A705, ""^https?://[^/]+"", """")"),"/wp-content/uploads/2025/03/How-to-Leverage-AI-to-Optimize-B2B-Lead-Generation-1-768x994.jpg")</f>
        <v>/wp-content/uploads/2025/03/How-to-Leverage-AI-to-Optimize-B2B-Lead-Generation-1-768x994.jpg</v>
      </c>
      <c r="F705" s="1" t="s">
        <v>1004</v>
      </c>
      <c r="G705" s="1">
        <v>200.0</v>
      </c>
      <c r="H705" s="1" t="s">
        <v>966</v>
      </c>
      <c r="I705" s="1" t="s">
        <v>967</v>
      </c>
      <c r="L705" s="1">
        <v>0.0</v>
      </c>
      <c r="M705" s="1">
        <v>0.0</v>
      </c>
      <c r="O705" s="1">
        <v>0.0</v>
      </c>
      <c r="P705" s="1">
        <v>0.0</v>
      </c>
      <c r="R705" s="1">
        <v>0.0</v>
      </c>
      <c r="S705" s="1">
        <v>0.0</v>
      </c>
      <c r="U705" s="1">
        <v>0.0</v>
      </c>
      <c r="W705" s="1">
        <v>0.0</v>
      </c>
      <c r="Y705" s="1">
        <v>0.0</v>
      </c>
      <c r="AA705" s="1">
        <v>0.0</v>
      </c>
      <c r="AC705" s="1">
        <v>0.0</v>
      </c>
      <c r="AM705" s="1">
        <v>95825.0</v>
      </c>
      <c r="AN705" s="1">
        <v>95825.0</v>
      </c>
      <c r="AO705" s="1">
        <v>95825.0</v>
      </c>
      <c r="AP705" s="1">
        <v>36.709</v>
      </c>
      <c r="AR705" s="1">
        <v>0.0</v>
      </c>
      <c r="AW705" s="1">
        <v>0.0</v>
      </c>
      <c r="AX705" s="1">
        <v>2.0</v>
      </c>
      <c r="AY705" s="1">
        <v>4.0</v>
      </c>
      <c r="BA705" s="1">
        <v>0.0</v>
      </c>
      <c r="BB705" s="1">
        <v>0.0</v>
      </c>
      <c r="BC705" s="1">
        <v>0.0</v>
      </c>
      <c r="BD705" s="1">
        <v>0.0</v>
      </c>
      <c r="BE705" s="1">
        <v>0.0</v>
      </c>
      <c r="BF705" s="1">
        <v>0.0</v>
      </c>
      <c r="BG705" s="1">
        <v>0.0</v>
      </c>
      <c r="BH705" s="1">
        <v>0.0</v>
      </c>
      <c r="BI705" s="1">
        <v>0.0</v>
      </c>
      <c r="BJ705" s="1">
        <v>0.0</v>
      </c>
      <c r="BP705" s="1">
        <v>0.332</v>
      </c>
      <c r="BQ705" s="1" t="s">
        <v>2999</v>
      </c>
      <c r="BV705" s="1">
        <v>1.1</v>
      </c>
      <c r="EQ705" s="9" t="s">
        <v>2998</v>
      </c>
      <c r="ER705" s="21">
        <v>46045.299166666664</v>
      </c>
    </row>
    <row r="706">
      <c r="A706" s="9" t="s">
        <v>3000</v>
      </c>
      <c r="B706" s="20" t="str">
        <f>IFERROR(__xludf.DUMMYFUNCTION("REGEXREPLACE(A706, ""^https?://[^/]+"", """")"),"/infographics/the-ai-security-playbook-6-essentials-every-sales-organization-needs/")</f>
        <v>/infographics/the-ai-security-playbook-6-essentials-every-sales-organization-needs/</v>
      </c>
      <c r="F706" s="1" t="s">
        <v>965</v>
      </c>
      <c r="G706" s="1">
        <v>302.0</v>
      </c>
      <c r="H706" s="1" t="s">
        <v>2980</v>
      </c>
      <c r="I706" s="1" t="s">
        <v>1214</v>
      </c>
      <c r="J706" s="1" t="s">
        <v>1305</v>
      </c>
      <c r="L706" s="1">
        <v>0.0</v>
      </c>
      <c r="M706" s="1">
        <v>0.0</v>
      </c>
      <c r="O706" s="1">
        <v>0.0</v>
      </c>
      <c r="P706" s="1">
        <v>0.0</v>
      </c>
      <c r="R706" s="1">
        <v>0.0</v>
      </c>
      <c r="S706" s="1">
        <v>0.0</v>
      </c>
      <c r="U706" s="1">
        <v>0.0</v>
      </c>
      <c r="W706" s="1">
        <v>0.0</v>
      </c>
      <c r="Y706" s="1">
        <v>0.0</v>
      </c>
      <c r="AA706" s="1">
        <v>0.0</v>
      </c>
      <c r="AC706" s="1">
        <v>0.0</v>
      </c>
      <c r="AM706" s="1">
        <v>0.0</v>
      </c>
      <c r="AN706" s="1">
        <v>0.0</v>
      </c>
      <c r="AO706" s="1">
        <v>0.0</v>
      </c>
      <c r="AP706" s="1">
        <v>0.0</v>
      </c>
      <c r="AR706" s="1">
        <v>0.0</v>
      </c>
      <c r="AW706" s="1">
        <v>0.0</v>
      </c>
      <c r="AX706" s="1">
        <v>2.0</v>
      </c>
      <c r="AY706" s="1">
        <v>2.0</v>
      </c>
      <c r="BA706" s="1">
        <v>9.0</v>
      </c>
      <c r="BB706" s="1">
        <v>2.0</v>
      </c>
      <c r="BC706" s="1">
        <v>0.0</v>
      </c>
      <c r="BD706" s="1">
        <v>0.27</v>
      </c>
      <c r="BE706" s="1">
        <v>0.0</v>
      </c>
      <c r="BF706" s="1">
        <v>0.0</v>
      </c>
      <c r="BG706" s="1">
        <v>0.0</v>
      </c>
      <c r="BH706" s="1">
        <v>0.0</v>
      </c>
      <c r="BI706" s="1">
        <v>0.0</v>
      </c>
      <c r="BJ706" s="1">
        <v>0.0</v>
      </c>
      <c r="BP706" s="1">
        <v>0.589</v>
      </c>
      <c r="BR706" s="9" t="s">
        <v>3001</v>
      </c>
      <c r="BS706" s="1" t="s">
        <v>1307</v>
      </c>
      <c r="BV706" s="1">
        <v>1.1</v>
      </c>
      <c r="EQ706" s="9" t="s">
        <v>3000</v>
      </c>
      <c r="ER706" s="21">
        <v>46045.299166666664</v>
      </c>
    </row>
    <row r="707">
      <c r="A707" s="9" t="s">
        <v>3002</v>
      </c>
      <c r="B707" s="20" t="str">
        <f>IFERROR(__xludf.DUMMYFUNCTION("REGEXREPLACE(A707, ""^https?://[^/]+"", """")"),"/infographics/sales-swot-worksheet/")</f>
        <v>/infographics/sales-swot-worksheet/</v>
      </c>
      <c r="F707" s="1" t="s">
        <v>965</v>
      </c>
      <c r="G707" s="1">
        <v>302.0</v>
      </c>
      <c r="H707" s="1" t="s">
        <v>2980</v>
      </c>
      <c r="I707" s="1" t="s">
        <v>1214</v>
      </c>
      <c r="J707" s="1" t="s">
        <v>1305</v>
      </c>
      <c r="L707" s="1">
        <v>0.0</v>
      </c>
      <c r="M707" s="1">
        <v>0.0</v>
      </c>
      <c r="O707" s="1">
        <v>0.0</v>
      </c>
      <c r="P707" s="1">
        <v>0.0</v>
      </c>
      <c r="R707" s="1">
        <v>0.0</v>
      </c>
      <c r="S707" s="1">
        <v>0.0</v>
      </c>
      <c r="U707" s="1">
        <v>0.0</v>
      </c>
      <c r="W707" s="1">
        <v>0.0</v>
      </c>
      <c r="Y707" s="1">
        <v>0.0</v>
      </c>
      <c r="AA707" s="1">
        <v>0.0</v>
      </c>
      <c r="AC707" s="1">
        <v>0.0</v>
      </c>
      <c r="AM707" s="1">
        <v>0.0</v>
      </c>
      <c r="AN707" s="1">
        <v>0.0</v>
      </c>
      <c r="AO707" s="1">
        <v>0.0</v>
      </c>
      <c r="AP707" s="1">
        <v>0.0</v>
      </c>
      <c r="AR707" s="1">
        <v>0.0</v>
      </c>
      <c r="AW707" s="1">
        <v>0.0</v>
      </c>
      <c r="AX707" s="1">
        <v>2.0</v>
      </c>
      <c r="AY707" s="1">
        <v>2.0</v>
      </c>
      <c r="BA707" s="1">
        <v>3.0</v>
      </c>
      <c r="BB707" s="1">
        <v>1.0</v>
      </c>
      <c r="BC707" s="1">
        <v>0.0</v>
      </c>
      <c r="BD707" s="1">
        <v>0.13</v>
      </c>
      <c r="BE707" s="1">
        <v>0.0</v>
      </c>
      <c r="BF707" s="1">
        <v>0.0</v>
      </c>
      <c r="BG707" s="1">
        <v>0.0</v>
      </c>
      <c r="BH707" s="1">
        <v>0.0</v>
      </c>
      <c r="BI707" s="1">
        <v>0.0</v>
      </c>
      <c r="BJ707" s="1">
        <v>0.0</v>
      </c>
      <c r="BP707" s="1">
        <v>0.585</v>
      </c>
      <c r="BR707" s="9" t="s">
        <v>3003</v>
      </c>
      <c r="BS707" s="1" t="s">
        <v>1307</v>
      </c>
      <c r="BV707" s="1">
        <v>1.1</v>
      </c>
      <c r="EQ707" s="9" t="s">
        <v>3002</v>
      </c>
      <c r="ER707" s="21">
        <v>46045.299166666664</v>
      </c>
    </row>
    <row r="708">
      <c r="A708" s="9" t="s">
        <v>3004</v>
      </c>
      <c r="B708" s="20" t="str">
        <f>IFERROR(__xludf.DUMMYFUNCTION("REGEXREPLACE(A708, ""^https?://[^/]+"", """")"),"/wp-content/uploads/2024/09/Maura-Kautsky.jpg")</f>
        <v>/wp-content/uploads/2024/09/Maura-Kautsky.jpg</v>
      </c>
      <c r="F708" s="1" t="s">
        <v>1004</v>
      </c>
      <c r="G708" s="1">
        <v>200.0</v>
      </c>
      <c r="H708" s="1" t="s">
        <v>966</v>
      </c>
      <c r="I708" s="1" t="s">
        <v>967</v>
      </c>
      <c r="L708" s="1">
        <v>0.0</v>
      </c>
      <c r="M708" s="1">
        <v>0.0</v>
      </c>
      <c r="O708" s="1">
        <v>0.0</v>
      </c>
      <c r="P708" s="1">
        <v>0.0</v>
      </c>
      <c r="R708" s="1">
        <v>0.0</v>
      </c>
      <c r="S708" s="1">
        <v>0.0</v>
      </c>
      <c r="U708" s="1">
        <v>0.0</v>
      </c>
      <c r="W708" s="1">
        <v>0.0</v>
      </c>
      <c r="Y708" s="1">
        <v>0.0</v>
      </c>
      <c r="AA708" s="1">
        <v>0.0</v>
      </c>
      <c r="AC708" s="1">
        <v>0.0</v>
      </c>
      <c r="AM708" s="1">
        <v>33282.0</v>
      </c>
      <c r="AN708" s="1">
        <v>33282.0</v>
      </c>
      <c r="AO708" s="1">
        <v>33282.0</v>
      </c>
      <c r="AP708" s="1">
        <v>12.75</v>
      </c>
      <c r="AR708" s="1">
        <v>0.0</v>
      </c>
      <c r="AW708" s="1">
        <v>0.0</v>
      </c>
      <c r="AX708" s="1">
        <v>2.0</v>
      </c>
      <c r="AY708" s="1">
        <v>4.0</v>
      </c>
      <c r="BA708" s="1">
        <v>0.0</v>
      </c>
      <c r="BB708" s="1">
        <v>0.0</v>
      </c>
      <c r="BC708" s="1">
        <v>0.0</v>
      </c>
      <c r="BD708" s="1">
        <v>0.0</v>
      </c>
      <c r="BE708" s="1">
        <v>0.0</v>
      </c>
      <c r="BF708" s="1">
        <v>0.0</v>
      </c>
      <c r="BG708" s="1">
        <v>0.0</v>
      </c>
      <c r="BH708" s="1">
        <v>0.0</v>
      </c>
      <c r="BI708" s="1">
        <v>0.0</v>
      </c>
      <c r="BJ708" s="1">
        <v>0.0</v>
      </c>
      <c r="BP708" s="1">
        <v>0.27</v>
      </c>
      <c r="BQ708" s="1" t="s">
        <v>3005</v>
      </c>
      <c r="BV708" s="1">
        <v>1.1</v>
      </c>
      <c r="EQ708" s="9" t="s">
        <v>3004</v>
      </c>
      <c r="ER708" s="21">
        <v>46045.299166666664</v>
      </c>
    </row>
    <row r="709">
      <c r="A709" s="9" t="s">
        <v>3006</v>
      </c>
      <c r="B709" s="20" t="str">
        <f>IFERROR(__xludf.DUMMYFUNCTION("REGEXREPLACE(A709, ""^https?://[^/]+"", """")"),"/wp-content/uploads/2024/09/Daniel-Steyn.jpg")</f>
        <v>/wp-content/uploads/2024/09/Daniel-Steyn.jpg</v>
      </c>
      <c r="F709" s="1" t="s">
        <v>1004</v>
      </c>
      <c r="G709" s="1">
        <v>200.0</v>
      </c>
      <c r="H709" s="1" t="s">
        <v>966</v>
      </c>
      <c r="I709" s="1" t="s">
        <v>967</v>
      </c>
      <c r="L709" s="1">
        <v>0.0</v>
      </c>
      <c r="M709" s="1">
        <v>0.0</v>
      </c>
      <c r="O709" s="1">
        <v>0.0</v>
      </c>
      <c r="P709" s="1">
        <v>0.0</v>
      </c>
      <c r="R709" s="1">
        <v>0.0</v>
      </c>
      <c r="S709" s="1">
        <v>0.0</v>
      </c>
      <c r="U709" s="1">
        <v>0.0</v>
      </c>
      <c r="W709" s="1">
        <v>0.0</v>
      </c>
      <c r="Y709" s="1">
        <v>0.0</v>
      </c>
      <c r="AA709" s="1">
        <v>0.0</v>
      </c>
      <c r="AC709" s="1">
        <v>0.0</v>
      </c>
      <c r="AM709" s="1">
        <v>65428.0</v>
      </c>
      <c r="AN709" s="1">
        <v>65428.0</v>
      </c>
      <c r="AO709" s="1">
        <v>65428.0</v>
      </c>
      <c r="AP709" s="1">
        <v>25.064</v>
      </c>
      <c r="AR709" s="1">
        <v>0.0</v>
      </c>
      <c r="AW709" s="1">
        <v>0.0</v>
      </c>
      <c r="AX709" s="1">
        <v>2.0</v>
      </c>
      <c r="AY709" s="1">
        <v>4.0</v>
      </c>
      <c r="BA709" s="1">
        <v>0.0</v>
      </c>
      <c r="BB709" s="1">
        <v>0.0</v>
      </c>
      <c r="BC709" s="1">
        <v>0.0</v>
      </c>
      <c r="BD709" s="1">
        <v>0.0</v>
      </c>
      <c r="BE709" s="1">
        <v>0.0</v>
      </c>
      <c r="BF709" s="1">
        <v>0.0</v>
      </c>
      <c r="BG709" s="1">
        <v>0.0</v>
      </c>
      <c r="BH709" s="1">
        <v>0.0</v>
      </c>
      <c r="BI709" s="1">
        <v>0.0</v>
      </c>
      <c r="BJ709" s="1">
        <v>0.0</v>
      </c>
      <c r="BP709" s="1">
        <v>0.286</v>
      </c>
      <c r="BQ709" s="1" t="s">
        <v>3007</v>
      </c>
      <c r="BV709" s="1">
        <v>1.1</v>
      </c>
      <c r="EQ709" s="9" t="s">
        <v>3006</v>
      </c>
      <c r="ER709" s="21">
        <v>46045.299166666664</v>
      </c>
    </row>
    <row r="710">
      <c r="A710" s="9" t="s">
        <v>3008</v>
      </c>
      <c r="B710" s="20" t="str">
        <f>IFERROR(__xludf.DUMMYFUNCTION("REGEXREPLACE(A710, ""^https?://[^/]+"", """")"),"/wp-content/uploads/elementor/css/post-19907.css?ver=1768848344")</f>
        <v>/wp-content/uploads/elementor/css/post-19907.css?ver=1768848344</v>
      </c>
      <c r="F710" s="1" t="s">
        <v>1016</v>
      </c>
      <c r="G710" s="1">
        <v>200.0</v>
      </c>
      <c r="H710" s="1" t="s">
        <v>966</v>
      </c>
      <c r="I710" s="1" t="s">
        <v>967</v>
      </c>
      <c r="L710" s="1">
        <v>0.0</v>
      </c>
      <c r="M710" s="1">
        <v>0.0</v>
      </c>
      <c r="O710" s="1">
        <v>0.0</v>
      </c>
      <c r="P710" s="1">
        <v>0.0</v>
      </c>
      <c r="R710" s="1">
        <v>0.0</v>
      </c>
      <c r="S710" s="1">
        <v>0.0</v>
      </c>
      <c r="U710" s="1">
        <v>0.0</v>
      </c>
      <c r="W710" s="1">
        <v>0.0</v>
      </c>
      <c r="Y710" s="1">
        <v>0.0</v>
      </c>
      <c r="AA710" s="1">
        <v>0.0</v>
      </c>
      <c r="AC710" s="1">
        <v>0.0</v>
      </c>
      <c r="AM710" s="1">
        <v>1345.0</v>
      </c>
      <c r="AN710" s="1">
        <v>1345.0</v>
      </c>
      <c r="AO710" s="1">
        <v>1345.0</v>
      </c>
      <c r="AP710" s="1">
        <v>0.515</v>
      </c>
      <c r="AR710" s="1">
        <v>0.0</v>
      </c>
      <c r="AW710" s="1">
        <v>0.0</v>
      </c>
      <c r="AX710" s="1">
        <v>2.0</v>
      </c>
      <c r="AY710" s="1">
        <v>4.0</v>
      </c>
      <c r="BA710" s="1">
        <v>0.0</v>
      </c>
      <c r="BB710" s="1">
        <v>0.0</v>
      </c>
      <c r="BC710" s="1">
        <v>0.0</v>
      </c>
      <c r="BD710" s="1">
        <v>0.0</v>
      </c>
      <c r="BE710" s="1">
        <v>0.0</v>
      </c>
      <c r="BF710" s="1">
        <v>0.0</v>
      </c>
      <c r="BG710" s="1">
        <v>0.0</v>
      </c>
      <c r="BH710" s="1">
        <v>0.0</v>
      </c>
      <c r="BI710" s="1">
        <v>0.0</v>
      </c>
      <c r="BJ710" s="1">
        <v>0.0</v>
      </c>
      <c r="BP710" s="1">
        <v>0.251</v>
      </c>
      <c r="BQ710" s="1" t="s">
        <v>3009</v>
      </c>
      <c r="BV710" s="1">
        <v>1.1</v>
      </c>
      <c r="EQ710" s="9" t="s">
        <v>3008</v>
      </c>
      <c r="ER710" s="21">
        <v>46045.29917824074</v>
      </c>
    </row>
    <row r="711">
      <c r="A711" s="9" t="s">
        <v>3010</v>
      </c>
      <c r="B711" s="20" t="str">
        <f>IFERROR(__xludf.DUMMYFUNCTION("REGEXREPLACE(A711, ""^https?://[^/]+"", """")"),"/wp-content/uploads/2024/09/Kendall.jpeg")</f>
        <v>/wp-content/uploads/2024/09/Kendall.jpeg</v>
      </c>
      <c r="F711" s="1" t="s">
        <v>1004</v>
      </c>
      <c r="G711" s="1">
        <v>200.0</v>
      </c>
      <c r="H711" s="1" t="s">
        <v>966</v>
      </c>
      <c r="I711" s="1" t="s">
        <v>967</v>
      </c>
      <c r="L711" s="1">
        <v>0.0</v>
      </c>
      <c r="M711" s="1">
        <v>0.0</v>
      </c>
      <c r="O711" s="1">
        <v>0.0</v>
      </c>
      <c r="P711" s="1">
        <v>0.0</v>
      </c>
      <c r="R711" s="1">
        <v>0.0</v>
      </c>
      <c r="S711" s="1">
        <v>0.0</v>
      </c>
      <c r="U711" s="1">
        <v>0.0</v>
      </c>
      <c r="W711" s="1">
        <v>0.0</v>
      </c>
      <c r="Y711" s="1">
        <v>0.0</v>
      </c>
      <c r="AA711" s="1">
        <v>0.0</v>
      </c>
      <c r="AC711" s="1">
        <v>0.0</v>
      </c>
      <c r="AM711" s="1">
        <v>384898.0</v>
      </c>
      <c r="AN711" s="1">
        <v>384898.0</v>
      </c>
      <c r="AO711" s="1">
        <v>384898.0</v>
      </c>
      <c r="AP711" s="1">
        <v>147.447</v>
      </c>
      <c r="AR711" s="1">
        <v>0.0</v>
      </c>
      <c r="AW711" s="1">
        <v>0.0</v>
      </c>
      <c r="AX711" s="1">
        <v>2.0</v>
      </c>
      <c r="AY711" s="1">
        <v>4.0</v>
      </c>
      <c r="BA711" s="1">
        <v>0.0</v>
      </c>
      <c r="BB711" s="1">
        <v>0.0</v>
      </c>
      <c r="BC711" s="1">
        <v>0.0</v>
      </c>
      <c r="BD711" s="1">
        <v>0.0</v>
      </c>
      <c r="BE711" s="1">
        <v>0.0</v>
      </c>
      <c r="BF711" s="1">
        <v>0.0</v>
      </c>
      <c r="BG711" s="1">
        <v>0.0</v>
      </c>
      <c r="BH711" s="1">
        <v>0.0</v>
      </c>
      <c r="BI711" s="1">
        <v>0.0</v>
      </c>
      <c r="BJ711" s="1">
        <v>0.0</v>
      </c>
      <c r="BP711" s="1">
        <v>0.262</v>
      </c>
      <c r="BQ711" s="1" t="s">
        <v>3011</v>
      </c>
      <c r="BV711" s="1">
        <v>1.1</v>
      </c>
      <c r="EQ711" s="9" t="s">
        <v>3010</v>
      </c>
      <c r="ER711" s="21">
        <v>46045.29917824074</v>
      </c>
    </row>
    <row r="712">
      <c r="A712" s="9" t="s">
        <v>3012</v>
      </c>
      <c r="B712" s="20" t="str">
        <f>IFERROR(__xludf.DUMMYFUNCTION("REGEXREPLACE(A712, ""^https?://[^/]+"", """")"),"/wp-content/uploads/2024/09/Michael-Nolan.jpg")</f>
        <v>/wp-content/uploads/2024/09/Michael-Nolan.jpg</v>
      </c>
      <c r="F712" s="1" t="s">
        <v>1004</v>
      </c>
      <c r="G712" s="1">
        <v>200.0</v>
      </c>
      <c r="H712" s="1" t="s">
        <v>966</v>
      </c>
      <c r="I712" s="1" t="s">
        <v>967</v>
      </c>
      <c r="L712" s="1">
        <v>0.0</v>
      </c>
      <c r="M712" s="1">
        <v>0.0</v>
      </c>
      <c r="O712" s="1">
        <v>0.0</v>
      </c>
      <c r="P712" s="1">
        <v>0.0</v>
      </c>
      <c r="R712" s="1">
        <v>0.0</v>
      </c>
      <c r="S712" s="1">
        <v>0.0</v>
      </c>
      <c r="U712" s="1">
        <v>0.0</v>
      </c>
      <c r="W712" s="1">
        <v>0.0</v>
      </c>
      <c r="Y712" s="1">
        <v>0.0</v>
      </c>
      <c r="AA712" s="1">
        <v>0.0</v>
      </c>
      <c r="AC712" s="1">
        <v>0.0</v>
      </c>
      <c r="AM712" s="1">
        <v>60367.0</v>
      </c>
      <c r="AN712" s="1">
        <v>60367.0</v>
      </c>
      <c r="AO712" s="1">
        <v>60367.0</v>
      </c>
      <c r="AP712" s="1">
        <v>23.125</v>
      </c>
      <c r="AR712" s="1">
        <v>0.0</v>
      </c>
      <c r="AW712" s="1">
        <v>0.0</v>
      </c>
      <c r="AX712" s="1">
        <v>2.0</v>
      </c>
      <c r="AY712" s="1">
        <v>4.0</v>
      </c>
      <c r="BA712" s="1">
        <v>0.0</v>
      </c>
      <c r="BB712" s="1">
        <v>0.0</v>
      </c>
      <c r="BC712" s="1">
        <v>0.0</v>
      </c>
      <c r="BD712" s="1">
        <v>0.0</v>
      </c>
      <c r="BE712" s="1">
        <v>0.0</v>
      </c>
      <c r="BF712" s="1">
        <v>0.0</v>
      </c>
      <c r="BG712" s="1">
        <v>0.0</v>
      </c>
      <c r="BH712" s="1">
        <v>0.0</v>
      </c>
      <c r="BI712" s="1">
        <v>0.0</v>
      </c>
      <c r="BJ712" s="1">
        <v>0.0</v>
      </c>
      <c r="BP712" s="1">
        <v>0.269</v>
      </c>
      <c r="BQ712" s="1" t="s">
        <v>3013</v>
      </c>
      <c r="BV712" s="1">
        <v>1.1</v>
      </c>
      <c r="EQ712" s="9" t="s">
        <v>3012</v>
      </c>
      <c r="ER712" s="21">
        <v>46045.29917824074</v>
      </c>
    </row>
    <row r="713">
      <c r="A713" s="9" t="s">
        <v>3014</v>
      </c>
      <c r="B713" s="20" t="str">
        <f>IFERROR(__xludf.DUMMYFUNCTION("REGEXREPLACE(A713, ""^https?://[^/]+"", """")"),"/wp-content/uploads/2025/06/lee-brumbaugh.jpg")</f>
        <v>/wp-content/uploads/2025/06/lee-brumbaugh.jpg</v>
      </c>
      <c r="F713" s="1" t="s">
        <v>1004</v>
      </c>
      <c r="G713" s="1">
        <v>200.0</v>
      </c>
      <c r="H713" s="1" t="s">
        <v>966</v>
      </c>
      <c r="I713" s="1" t="s">
        <v>967</v>
      </c>
      <c r="L713" s="1">
        <v>0.0</v>
      </c>
      <c r="M713" s="1">
        <v>0.0</v>
      </c>
      <c r="O713" s="1">
        <v>0.0</v>
      </c>
      <c r="P713" s="1">
        <v>0.0</v>
      </c>
      <c r="R713" s="1">
        <v>0.0</v>
      </c>
      <c r="S713" s="1">
        <v>0.0</v>
      </c>
      <c r="U713" s="1">
        <v>0.0</v>
      </c>
      <c r="W713" s="1">
        <v>0.0</v>
      </c>
      <c r="Y713" s="1">
        <v>0.0</v>
      </c>
      <c r="AA713" s="1">
        <v>0.0</v>
      </c>
      <c r="AC713" s="1">
        <v>0.0</v>
      </c>
      <c r="AM713" s="1">
        <v>267987.0</v>
      </c>
      <c r="AN713" s="1">
        <v>267987.0</v>
      </c>
      <c r="AO713" s="1">
        <v>267987.0</v>
      </c>
      <c r="AP713" s="1">
        <v>102.661</v>
      </c>
      <c r="AR713" s="1">
        <v>0.0</v>
      </c>
      <c r="AW713" s="1">
        <v>0.0</v>
      </c>
      <c r="AX713" s="1">
        <v>2.0</v>
      </c>
      <c r="AY713" s="1">
        <v>4.0</v>
      </c>
      <c r="BA713" s="1">
        <v>0.0</v>
      </c>
      <c r="BB713" s="1">
        <v>0.0</v>
      </c>
      <c r="BC713" s="1">
        <v>0.0</v>
      </c>
      <c r="BD713" s="1">
        <v>0.0</v>
      </c>
      <c r="BE713" s="1">
        <v>0.0</v>
      </c>
      <c r="BF713" s="1">
        <v>0.0</v>
      </c>
      <c r="BG713" s="1">
        <v>0.0</v>
      </c>
      <c r="BH713" s="1">
        <v>0.0</v>
      </c>
      <c r="BI713" s="1">
        <v>0.0</v>
      </c>
      <c r="BJ713" s="1">
        <v>0.0</v>
      </c>
      <c r="BP713" s="1">
        <v>0.278</v>
      </c>
      <c r="BQ713" s="1" t="s">
        <v>3015</v>
      </c>
      <c r="BV713" s="1">
        <v>1.1</v>
      </c>
      <c r="EQ713" s="9" t="s">
        <v>3014</v>
      </c>
      <c r="ER713" s="21">
        <v>46045.29917824074</v>
      </c>
    </row>
    <row r="714">
      <c r="A714" s="9" t="s">
        <v>3016</v>
      </c>
      <c r="B714" s="20" t="str">
        <f>IFERROR(__xludf.DUMMYFUNCTION("REGEXREPLACE(A714, ""^https?://[^/]+"", """")"),"/wp-content/uploads/2024/09/Alison-Palmer.jpg")</f>
        <v>/wp-content/uploads/2024/09/Alison-Palmer.jpg</v>
      </c>
      <c r="F714" s="1" t="s">
        <v>1004</v>
      </c>
      <c r="G714" s="1">
        <v>200.0</v>
      </c>
      <c r="H714" s="1" t="s">
        <v>966</v>
      </c>
      <c r="I714" s="1" t="s">
        <v>967</v>
      </c>
      <c r="L714" s="1">
        <v>0.0</v>
      </c>
      <c r="M714" s="1">
        <v>0.0</v>
      </c>
      <c r="O714" s="1">
        <v>0.0</v>
      </c>
      <c r="P714" s="1">
        <v>0.0</v>
      </c>
      <c r="R714" s="1">
        <v>0.0</v>
      </c>
      <c r="S714" s="1">
        <v>0.0</v>
      </c>
      <c r="U714" s="1">
        <v>0.0</v>
      </c>
      <c r="W714" s="1">
        <v>0.0</v>
      </c>
      <c r="Y714" s="1">
        <v>0.0</v>
      </c>
      <c r="AA714" s="1">
        <v>0.0</v>
      </c>
      <c r="AC714" s="1">
        <v>0.0</v>
      </c>
      <c r="AM714" s="1">
        <v>123914.0</v>
      </c>
      <c r="AN714" s="1">
        <v>123914.0</v>
      </c>
      <c r="AO714" s="1">
        <v>123914.0</v>
      </c>
      <c r="AP714" s="1">
        <v>47.469</v>
      </c>
      <c r="AR714" s="1">
        <v>0.0</v>
      </c>
      <c r="AW714" s="1">
        <v>0.0</v>
      </c>
      <c r="AX714" s="1">
        <v>2.0</v>
      </c>
      <c r="AY714" s="1">
        <v>4.0</v>
      </c>
      <c r="BA714" s="1">
        <v>0.0</v>
      </c>
      <c r="BB714" s="1">
        <v>0.0</v>
      </c>
      <c r="BC714" s="1">
        <v>0.0</v>
      </c>
      <c r="BD714" s="1">
        <v>0.0</v>
      </c>
      <c r="BE714" s="1">
        <v>0.0</v>
      </c>
      <c r="BF714" s="1">
        <v>0.0</v>
      </c>
      <c r="BG714" s="1">
        <v>0.0</v>
      </c>
      <c r="BH714" s="1">
        <v>0.0</v>
      </c>
      <c r="BI714" s="1">
        <v>0.0</v>
      </c>
      <c r="BJ714" s="1">
        <v>0.0</v>
      </c>
      <c r="BP714" s="1">
        <v>0.274</v>
      </c>
      <c r="BQ714" s="1" t="s">
        <v>3017</v>
      </c>
      <c r="BV714" s="1">
        <v>1.1</v>
      </c>
      <c r="EQ714" s="9" t="s">
        <v>3016</v>
      </c>
      <c r="ER714" s="21">
        <v>46045.29917824074</v>
      </c>
    </row>
    <row r="715">
      <c r="A715" s="9" t="s">
        <v>3018</v>
      </c>
      <c r="B715" s="20" t="str">
        <f>IFERROR(__xludf.DUMMYFUNCTION("REGEXREPLACE(A715, ""^https?://[^/]+"", """")"),"/wp-content/uploads/2024/09/Curt-Wible.jpg")</f>
        <v>/wp-content/uploads/2024/09/Curt-Wible.jpg</v>
      </c>
      <c r="F715" s="1" t="s">
        <v>1004</v>
      </c>
      <c r="G715" s="1">
        <v>200.0</v>
      </c>
      <c r="H715" s="1" t="s">
        <v>966</v>
      </c>
      <c r="I715" s="1" t="s">
        <v>967</v>
      </c>
      <c r="L715" s="1">
        <v>0.0</v>
      </c>
      <c r="M715" s="1">
        <v>0.0</v>
      </c>
      <c r="O715" s="1">
        <v>0.0</v>
      </c>
      <c r="P715" s="1">
        <v>0.0</v>
      </c>
      <c r="R715" s="1">
        <v>0.0</v>
      </c>
      <c r="S715" s="1">
        <v>0.0</v>
      </c>
      <c r="U715" s="1">
        <v>0.0</v>
      </c>
      <c r="W715" s="1">
        <v>0.0</v>
      </c>
      <c r="Y715" s="1">
        <v>0.0</v>
      </c>
      <c r="AA715" s="1">
        <v>0.0</v>
      </c>
      <c r="AC715" s="1">
        <v>0.0</v>
      </c>
      <c r="AM715" s="1">
        <v>65248.0</v>
      </c>
      <c r="AN715" s="1">
        <v>65248.0</v>
      </c>
      <c r="AO715" s="1">
        <v>65248.0</v>
      </c>
      <c r="AP715" s="1">
        <v>24.995</v>
      </c>
      <c r="AR715" s="1">
        <v>0.0</v>
      </c>
      <c r="AW715" s="1">
        <v>0.0</v>
      </c>
      <c r="AX715" s="1">
        <v>2.0</v>
      </c>
      <c r="AY715" s="1">
        <v>4.0</v>
      </c>
      <c r="BA715" s="1">
        <v>0.0</v>
      </c>
      <c r="BB715" s="1">
        <v>0.0</v>
      </c>
      <c r="BC715" s="1">
        <v>0.0</v>
      </c>
      <c r="BD715" s="1">
        <v>0.0</v>
      </c>
      <c r="BE715" s="1">
        <v>0.0</v>
      </c>
      <c r="BF715" s="1">
        <v>0.0</v>
      </c>
      <c r="BG715" s="1">
        <v>0.0</v>
      </c>
      <c r="BH715" s="1">
        <v>0.0</v>
      </c>
      <c r="BI715" s="1">
        <v>0.0</v>
      </c>
      <c r="BJ715" s="1">
        <v>0.0</v>
      </c>
      <c r="BP715" s="1">
        <v>0.266</v>
      </c>
      <c r="BQ715" s="1" t="s">
        <v>3019</v>
      </c>
      <c r="BV715" s="1">
        <v>1.1</v>
      </c>
      <c r="EQ715" s="9" t="s">
        <v>3018</v>
      </c>
      <c r="ER715" s="21">
        <v>46045.29917824074</v>
      </c>
    </row>
    <row r="716">
      <c r="A716" s="9" t="s">
        <v>3020</v>
      </c>
      <c r="B716" s="20" t="str">
        <f>IFERROR(__xludf.DUMMYFUNCTION("REGEXREPLACE(A716, ""^https?://[^/]+"", """")"),"/wp-content/uploads/2021/11/1343118326.jpg")</f>
        <v>/wp-content/uploads/2021/11/1343118326.jpg</v>
      </c>
      <c r="F716" s="1" t="s">
        <v>1004</v>
      </c>
      <c r="G716" s="1">
        <v>200.0</v>
      </c>
      <c r="H716" s="1" t="s">
        <v>966</v>
      </c>
      <c r="I716" s="1" t="s">
        <v>967</v>
      </c>
      <c r="L716" s="1">
        <v>0.0</v>
      </c>
      <c r="M716" s="1">
        <v>0.0</v>
      </c>
      <c r="O716" s="1">
        <v>0.0</v>
      </c>
      <c r="P716" s="1">
        <v>0.0</v>
      </c>
      <c r="R716" s="1">
        <v>0.0</v>
      </c>
      <c r="S716" s="1">
        <v>0.0</v>
      </c>
      <c r="U716" s="1">
        <v>0.0</v>
      </c>
      <c r="W716" s="1">
        <v>0.0</v>
      </c>
      <c r="Y716" s="1">
        <v>0.0</v>
      </c>
      <c r="AA716" s="1">
        <v>0.0</v>
      </c>
      <c r="AC716" s="1">
        <v>0.0</v>
      </c>
      <c r="AM716" s="1">
        <v>51609.0</v>
      </c>
      <c r="AN716" s="1">
        <v>51609.0</v>
      </c>
      <c r="AO716" s="1">
        <v>51609.0</v>
      </c>
      <c r="AP716" s="1">
        <v>19.77</v>
      </c>
      <c r="AR716" s="1">
        <v>0.0</v>
      </c>
      <c r="AW716" s="1">
        <v>0.0</v>
      </c>
      <c r="AX716" s="1">
        <v>2.0</v>
      </c>
      <c r="AY716" s="1">
        <v>4.0</v>
      </c>
      <c r="BA716" s="1">
        <v>0.0</v>
      </c>
      <c r="BB716" s="1">
        <v>0.0</v>
      </c>
      <c r="BC716" s="1">
        <v>0.0</v>
      </c>
      <c r="BD716" s="1">
        <v>0.0</v>
      </c>
      <c r="BE716" s="1">
        <v>0.0</v>
      </c>
      <c r="BF716" s="1">
        <v>0.0</v>
      </c>
      <c r="BG716" s="1">
        <v>0.0</v>
      </c>
      <c r="BH716" s="1">
        <v>0.0</v>
      </c>
      <c r="BI716" s="1">
        <v>0.0</v>
      </c>
      <c r="BJ716" s="1">
        <v>0.0</v>
      </c>
      <c r="BP716" s="1">
        <v>0.27</v>
      </c>
      <c r="BQ716" s="1" t="s">
        <v>3021</v>
      </c>
      <c r="BV716" s="1">
        <v>1.1</v>
      </c>
      <c r="EQ716" s="9" t="s">
        <v>3020</v>
      </c>
      <c r="ER716" s="21">
        <v>46045.29917824074</v>
      </c>
    </row>
    <row r="717">
      <c r="A717" s="9" t="s">
        <v>3022</v>
      </c>
      <c r="B717" s="20" t="str">
        <f>IFERROR(__xludf.DUMMYFUNCTION("REGEXREPLACE(A717, ""^https?://[^/]+"", """")"),"/wp-content/uploads/elementor/thumbs/Tom-Gardner-e1748540699702-r6j7gq8ctkq8owymb64s55bsmb5dkk0jb38mk96ql0.jpg")</f>
        <v>/wp-content/uploads/elementor/thumbs/Tom-Gardner-e1748540699702-r6j7gq8ctkq8owymb64s55bsmb5dkk0jb38mk96ql0.jpg</v>
      </c>
      <c r="F717" s="1" t="s">
        <v>1004</v>
      </c>
      <c r="G717" s="1">
        <v>200.0</v>
      </c>
      <c r="H717" s="1" t="s">
        <v>966</v>
      </c>
      <c r="I717" s="1" t="s">
        <v>967</v>
      </c>
      <c r="L717" s="1">
        <v>0.0</v>
      </c>
      <c r="M717" s="1">
        <v>0.0</v>
      </c>
      <c r="O717" s="1">
        <v>0.0</v>
      </c>
      <c r="P717" s="1">
        <v>0.0</v>
      </c>
      <c r="R717" s="1">
        <v>0.0</v>
      </c>
      <c r="S717" s="1">
        <v>0.0</v>
      </c>
      <c r="U717" s="1">
        <v>0.0</v>
      </c>
      <c r="W717" s="1">
        <v>0.0</v>
      </c>
      <c r="Y717" s="1">
        <v>0.0</v>
      </c>
      <c r="AA717" s="1">
        <v>0.0</v>
      </c>
      <c r="AC717" s="1">
        <v>0.0</v>
      </c>
      <c r="AM717" s="1">
        <v>17285.0</v>
      </c>
      <c r="AN717" s="1">
        <v>17285.0</v>
      </c>
      <c r="AO717" s="1">
        <v>17285.0</v>
      </c>
      <c r="AP717" s="1">
        <v>6.622</v>
      </c>
      <c r="AR717" s="1">
        <v>0.0</v>
      </c>
      <c r="AW717" s="1">
        <v>0.0</v>
      </c>
      <c r="AX717" s="1">
        <v>2.0</v>
      </c>
      <c r="AY717" s="1">
        <v>4.0</v>
      </c>
      <c r="BA717" s="1">
        <v>0.0</v>
      </c>
      <c r="BB717" s="1">
        <v>0.0</v>
      </c>
      <c r="BC717" s="1">
        <v>0.0</v>
      </c>
      <c r="BD717" s="1">
        <v>0.0</v>
      </c>
      <c r="BE717" s="1">
        <v>0.0</v>
      </c>
      <c r="BF717" s="1">
        <v>0.0</v>
      </c>
      <c r="BG717" s="1">
        <v>0.0</v>
      </c>
      <c r="BH717" s="1">
        <v>0.0</v>
      </c>
      <c r="BI717" s="1">
        <v>0.0</v>
      </c>
      <c r="BJ717" s="1">
        <v>0.0</v>
      </c>
      <c r="BP717" s="1">
        <v>0.273</v>
      </c>
      <c r="BQ717" s="1" t="s">
        <v>3023</v>
      </c>
      <c r="BV717" s="1">
        <v>1.1</v>
      </c>
      <c r="EQ717" s="9" t="s">
        <v>3022</v>
      </c>
      <c r="ER717" s="21">
        <v>46045.29917824074</v>
      </c>
    </row>
    <row r="718">
      <c r="A718" s="9" t="s">
        <v>3024</v>
      </c>
      <c r="B718" s="20" t="str">
        <f>IFERROR(__xludf.DUMMYFUNCTION("REGEXREPLACE(A718, ""^https?://[^/]+"", """")"),"/wp-content/uploads/2024/09/Brandi-Johnson.jpg")</f>
        <v>/wp-content/uploads/2024/09/Brandi-Johnson.jpg</v>
      </c>
      <c r="F718" s="1" t="s">
        <v>1004</v>
      </c>
      <c r="G718" s="1">
        <v>200.0</v>
      </c>
      <c r="H718" s="1" t="s">
        <v>966</v>
      </c>
      <c r="I718" s="1" t="s">
        <v>967</v>
      </c>
      <c r="L718" s="1">
        <v>0.0</v>
      </c>
      <c r="M718" s="1">
        <v>0.0</v>
      </c>
      <c r="O718" s="1">
        <v>0.0</v>
      </c>
      <c r="P718" s="1">
        <v>0.0</v>
      </c>
      <c r="R718" s="1">
        <v>0.0</v>
      </c>
      <c r="S718" s="1">
        <v>0.0</v>
      </c>
      <c r="U718" s="1">
        <v>0.0</v>
      </c>
      <c r="W718" s="1">
        <v>0.0</v>
      </c>
      <c r="Y718" s="1">
        <v>0.0</v>
      </c>
      <c r="AA718" s="1">
        <v>0.0</v>
      </c>
      <c r="AC718" s="1">
        <v>0.0</v>
      </c>
      <c r="AM718" s="1">
        <v>97679.0</v>
      </c>
      <c r="AN718" s="1">
        <v>97679.0</v>
      </c>
      <c r="AO718" s="1">
        <v>97679.0</v>
      </c>
      <c r="AP718" s="1">
        <v>37.419</v>
      </c>
      <c r="AR718" s="1">
        <v>0.0</v>
      </c>
      <c r="AW718" s="1">
        <v>0.0</v>
      </c>
      <c r="AX718" s="1">
        <v>2.0</v>
      </c>
      <c r="AY718" s="1">
        <v>4.0</v>
      </c>
      <c r="BA718" s="1">
        <v>0.0</v>
      </c>
      <c r="BB718" s="1">
        <v>0.0</v>
      </c>
      <c r="BC718" s="1">
        <v>0.0</v>
      </c>
      <c r="BD718" s="1">
        <v>0.0</v>
      </c>
      <c r="BE718" s="1">
        <v>0.0</v>
      </c>
      <c r="BF718" s="1">
        <v>0.0</v>
      </c>
      <c r="BG718" s="1">
        <v>0.0</v>
      </c>
      <c r="BH718" s="1">
        <v>0.0</v>
      </c>
      <c r="BI718" s="1">
        <v>0.0</v>
      </c>
      <c r="BJ718" s="1">
        <v>0.0</v>
      </c>
      <c r="BP718" s="1">
        <v>0.28</v>
      </c>
      <c r="BQ718" s="1" t="s">
        <v>3025</v>
      </c>
      <c r="BV718" s="1">
        <v>1.1</v>
      </c>
      <c r="EQ718" s="9" t="s">
        <v>3024</v>
      </c>
      <c r="ER718" s="21">
        <v>46045.29917824074</v>
      </c>
    </row>
    <row r="719">
      <c r="A719" s="9" t="s">
        <v>3026</v>
      </c>
      <c r="B719" s="20" t="str">
        <f>IFERROR(__xludf.DUMMYFUNCTION("REGEXREPLACE(A719, ""^https?://[^/]+"", """")"),"/wp-content/uploads/2025/07/salesx_certified_sales_leader_logo-300x125.png.webp")</f>
        <v>/wp-content/uploads/2025/07/salesx_certified_sales_leader_logo-300x125.png.webp</v>
      </c>
      <c r="F719" s="1" t="s">
        <v>1575</v>
      </c>
      <c r="G719" s="1">
        <v>200.0</v>
      </c>
      <c r="H719" s="1" t="s">
        <v>966</v>
      </c>
      <c r="I719" s="1" t="s">
        <v>967</v>
      </c>
      <c r="L719" s="1">
        <v>0.0</v>
      </c>
      <c r="M719" s="1">
        <v>0.0</v>
      </c>
      <c r="O719" s="1">
        <v>0.0</v>
      </c>
      <c r="P719" s="1">
        <v>0.0</v>
      </c>
      <c r="R719" s="1">
        <v>0.0</v>
      </c>
      <c r="S719" s="1">
        <v>0.0</v>
      </c>
      <c r="U719" s="1">
        <v>0.0</v>
      </c>
      <c r="W719" s="1">
        <v>0.0</v>
      </c>
      <c r="Y719" s="1">
        <v>0.0</v>
      </c>
      <c r="AA719" s="1">
        <v>0.0</v>
      </c>
      <c r="AC719" s="1">
        <v>0.0</v>
      </c>
      <c r="AM719" s="1">
        <v>7976.0</v>
      </c>
      <c r="AN719" s="1">
        <v>7976.0</v>
      </c>
      <c r="AO719" s="1">
        <v>7976.0</v>
      </c>
      <c r="AP719" s="1">
        <v>3.055</v>
      </c>
      <c r="AR719" s="1">
        <v>0.0</v>
      </c>
      <c r="AW719" s="1">
        <v>0.0</v>
      </c>
      <c r="AX719" s="1">
        <v>2.0</v>
      </c>
      <c r="AY719" s="1">
        <v>4.0</v>
      </c>
      <c r="BA719" s="1">
        <v>0.0</v>
      </c>
      <c r="BB719" s="1">
        <v>0.0</v>
      </c>
      <c r="BC719" s="1">
        <v>0.0</v>
      </c>
      <c r="BD719" s="1">
        <v>0.0</v>
      </c>
      <c r="BE719" s="1">
        <v>0.0</v>
      </c>
      <c r="BF719" s="1">
        <v>0.0</v>
      </c>
      <c r="BG719" s="1">
        <v>0.0</v>
      </c>
      <c r="BH719" s="1">
        <v>0.0</v>
      </c>
      <c r="BI719" s="1">
        <v>0.0</v>
      </c>
      <c r="BJ719" s="1">
        <v>0.0</v>
      </c>
      <c r="BP719" s="1">
        <v>0.262</v>
      </c>
      <c r="BQ719" s="1" t="s">
        <v>3027</v>
      </c>
      <c r="BV719" s="1">
        <v>1.1</v>
      </c>
      <c r="EQ719" s="9" t="s">
        <v>3026</v>
      </c>
      <c r="ER719" s="21">
        <v>46045.29917824074</v>
      </c>
    </row>
    <row r="720">
      <c r="A720" s="9" t="s">
        <v>3028</v>
      </c>
      <c r="B720" s="20" t="str">
        <f>IFERROR(__xludf.DUMMYFUNCTION("REGEXREPLACE(A720, ""^https?://[^/]+"", """")"),"/wp-content/uploads/elementor/css/post-19774.css?ver=1768857108")</f>
        <v>/wp-content/uploads/elementor/css/post-19774.css?ver=1768857108</v>
      </c>
      <c r="F720" s="1" t="s">
        <v>1016</v>
      </c>
      <c r="G720" s="1">
        <v>200.0</v>
      </c>
      <c r="H720" s="1" t="s">
        <v>966</v>
      </c>
      <c r="I720" s="1" t="s">
        <v>967</v>
      </c>
      <c r="L720" s="1">
        <v>0.0</v>
      </c>
      <c r="M720" s="1">
        <v>0.0</v>
      </c>
      <c r="O720" s="1">
        <v>0.0</v>
      </c>
      <c r="P720" s="1">
        <v>0.0</v>
      </c>
      <c r="R720" s="1">
        <v>0.0</v>
      </c>
      <c r="S720" s="1">
        <v>0.0</v>
      </c>
      <c r="U720" s="1">
        <v>0.0</v>
      </c>
      <c r="W720" s="1">
        <v>0.0</v>
      </c>
      <c r="Y720" s="1">
        <v>0.0</v>
      </c>
      <c r="AA720" s="1">
        <v>0.0</v>
      </c>
      <c r="AC720" s="1">
        <v>0.0</v>
      </c>
      <c r="AM720" s="1">
        <v>2969.0</v>
      </c>
      <c r="AN720" s="1">
        <v>2969.0</v>
      </c>
      <c r="AO720" s="1">
        <v>2969.0</v>
      </c>
      <c r="AP720" s="1">
        <v>1.137</v>
      </c>
      <c r="AR720" s="1">
        <v>0.0</v>
      </c>
      <c r="AW720" s="1">
        <v>0.0</v>
      </c>
      <c r="AX720" s="1">
        <v>2.0</v>
      </c>
      <c r="AY720" s="1">
        <v>4.0</v>
      </c>
      <c r="BA720" s="1">
        <v>0.0</v>
      </c>
      <c r="BB720" s="1">
        <v>0.0</v>
      </c>
      <c r="BC720" s="1">
        <v>0.0</v>
      </c>
      <c r="BD720" s="1">
        <v>0.0</v>
      </c>
      <c r="BE720" s="1">
        <v>0.0</v>
      </c>
      <c r="BF720" s="1">
        <v>0.0</v>
      </c>
      <c r="BG720" s="1">
        <v>0.0</v>
      </c>
      <c r="BH720" s="1">
        <v>0.0</v>
      </c>
      <c r="BI720" s="1">
        <v>0.0</v>
      </c>
      <c r="BJ720" s="1">
        <v>0.0</v>
      </c>
      <c r="BP720" s="1">
        <v>0.267</v>
      </c>
      <c r="BQ720" s="1" t="s">
        <v>3029</v>
      </c>
      <c r="BV720" s="1">
        <v>1.1</v>
      </c>
      <c r="EQ720" s="9" t="s">
        <v>3028</v>
      </c>
      <c r="ER720" s="21">
        <v>46045.29917824074</v>
      </c>
    </row>
    <row r="721">
      <c r="A721" s="9" t="s">
        <v>3030</v>
      </c>
      <c r="B721" s="20" t="str">
        <f>IFERROR(__xludf.DUMMYFUNCTION("REGEXREPLACE(A721, ""^https?://[^/]+"", """")"),"/wp-content/uploads/2025/07/Infrastructure_Header-2-e1752526593732.jpg")</f>
        <v>/wp-content/uploads/2025/07/Infrastructure_Header-2-e1752526593732.jpg</v>
      </c>
      <c r="F721" s="1" t="s">
        <v>1004</v>
      </c>
      <c r="G721" s="1">
        <v>200.0</v>
      </c>
      <c r="H721" s="1" t="s">
        <v>966</v>
      </c>
      <c r="I721" s="1" t="s">
        <v>967</v>
      </c>
      <c r="L721" s="1">
        <v>0.0</v>
      </c>
      <c r="M721" s="1">
        <v>0.0</v>
      </c>
      <c r="O721" s="1">
        <v>0.0</v>
      </c>
      <c r="P721" s="1">
        <v>0.0</v>
      </c>
      <c r="R721" s="1">
        <v>0.0</v>
      </c>
      <c r="S721" s="1">
        <v>0.0</v>
      </c>
      <c r="U721" s="1">
        <v>0.0</v>
      </c>
      <c r="W721" s="1">
        <v>0.0</v>
      </c>
      <c r="Y721" s="1">
        <v>0.0</v>
      </c>
      <c r="AA721" s="1">
        <v>0.0</v>
      </c>
      <c r="AC721" s="1">
        <v>0.0</v>
      </c>
      <c r="AM721" s="1">
        <v>116213.0</v>
      </c>
      <c r="AN721" s="1">
        <v>116213.0</v>
      </c>
      <c r="AO721" s="1">
        <v>116213.0</v>
      </c>
      <c r="AP721" s="1">
        <v>44.519</v>
      </c>
      <c r="AR721" s="1">
        <v>0.0</v>
      </c>
      <c r="AW721" s="1">
        <v>0.0</v>
      </c>
      <c r="AX721" s="1">
        <v>2.0</v>
      </c>
      <c r="AY721" s="1">
        <v>4.0</v>
      </c>
      <c r="BA721" s="1">
        <v>0.0</v>
      </c>
      <c r="BB721" s="1">
        <v>0.0</v>
      </c>
      <c r="BC721" s="1">
        <v>0.0</v>
      </c>
      <c r="BD721" s="1">
        <v>0.0</v>
      </c>
      <c r="BE721" s="1">
        <v>0.0</v>
      </c>
      <c r="BF721" s="1">
        <v>0.0</v>
      </c>
      <c r="BG721" s="1">
        <v>0.0</v>
      </c>
      <c r="BH721" s="1">
        <v>0.0</v>
      </c>
      <c r="BI721" s="1">
        <v>0.0</v>
      </c>
      <c r="BJ721" s="1">
        <v>0.0</v>
      </c>
      <c r="BP721" s="1">
        <v>0.289</v>
      </c>
      <c r="BQ721" s="1" t="s">
        <v>3031</v>
      </c>
      <c r="BV721" s="1">
        <v>1.1</v>
      </c>
      <c r="EQ721" s="9" t="s">
        <v>3030</v>
      </c>
      <c r="ER721" s="21">
        <v>46045.29917824074</v>
      </c>
    </row>
    <row r="722">
      <c r="A722" s="9" t="s">
        <v>3032</v>
      </c>
      <c r="B722" s="20" t="str">
        <f>IFERROR(__xludf.DUMMYFUNCTION("REGEXREPLACE(A722, ""^https?://[^/]+"", """")"),"/wp-content/uploads/2025/07/presentation-meeting-planning-with-senior-business-man-talking-his-strategy-team-boardroom-work-training-workshop-seminar-with-professional-corporate-colleagues_590464-78692-e1752591969302.avif")</f>
        <v>/wp-content/uploads/2025/07/presentation-meeting-planning-with-senior-business-man-talking-his-strategy-team-boardroom-work-training-workshop-seminar-with-professional-corporate-colleagues_590464-78692-e1752591969302.avif</v>
      </c>
      <c r="G722" s="1">
        <v>200.0</v>
      </c>
      <c r="H722" s="1" t="s">
        <v>966</v>
      </c>
      <c r="I722" s="1" t="s">
        <v>967</v>
      </c>
      <c r="L722" s="1">
        <v>0.0</v>
      </c>
      <c r="M722" s="1">
        <v>0.0</v>
      </c>
      <c r="O722" s="1">
        <v>0.0</v>
      </c>
      <c r="P722" s="1">
        <v>0.0</v>
      </c>
      <c r="R722" s="1">
        <v>0.0</v>
      </c>
      <c r="S722" s="1">
        <v>0.0</v>
      </c>
      <c r="U722" s="1">
        <v>0.0</v>
      </c>
      <c r="W722" s="1">
        <v>0.0</v>
      </c>
      <c r="Y722" s="1">
        <v>0.0</v>
      </c>
      <c r="AA722" s="1">
        <v>0.0</v>
      </c>
      <c r="AC722" s="1">
        <v>0.0</v>
      </c>
      <c r="AM722" s="1">
        <v>27061.0</v>
      </c>
      <c r="AN722" s="1">
        <v>27061.0</v>
      </c>
      <c r="AO722" s="1">
        <v>27061.0</v>
      </c>
      <c r="AP722" s="1">
        <v>10.367</v>
      </c>
      <c r="AR722" s="1">
        <v>0.0</v>
      </c>
      <c r="AW722" s="1">
        <v>0.0</v>
      </c>
      <c r="AX722" s="1">
        <v>2.0</v>
      </c>
      <c r="AY722" s="1">
        <v>4.0</v>
      </c>
      <c r="BA722" s="1">
        <v>0.0</v>
      </c>
      <c r="BB722" s="1">
        <v>0.0</v>
      </c>
      <c r="BC722" s="1">
        <v>0.0</v>
      </c>
      <c r="BD722" s="1">
        <v>0.0</v>
      </c>
      <c r="BE722" s="1">
        <v>0.0</v>
      </c>
      <c r="BF722" s="1">
        <v>0.0</v>
      </c>
      <c r="BG722" s="1">
        <v>0.0</v>
      </c>
      <c r="BH722" s="1">
        <v>0.0</v>
      </c>
      <c r="BI722" s="1">
        <v>0.0</v>
      </c>
      <c r="BJ722" s="1">
        <v>0.0</v>
      </c>
      <c r="BO722" s="1" t="s">
        <v>3033</v>
      </c>
      <c r="BP722" s="1">
        <v>0.275</v>
      </c>
      <c r="BQ722" s="1" t="s">
        <v>3034</v>
      </c>
      <c r="BV722" s="1">
        <v>1.1</v>
      </c>
      <c r="EQ722" s="9" t="s">
        <v>3032</v>
      </c>
      <c r="ER722" s="21">
        <v>46045.29917824074</v>
      </c>
    </row>
    <row r="723">
      <c r="A723" s="9" t="s">
        <v>3035</v>
      </c>
      <c r="B723" s="20" t="str">
        <f>IFERROR(__xludf.DUMMYFUNCTION("REGEXREPLACE(A723, ""^https?://[^/]+"", """")"),"/wp-content/uploads/2025/07/shutterstock_633365168-scaled-1-1-e1752526054729.jpg")</f>
        <v>/wp-content/uploads/2025/07/shutterstock_633365168-scaled-1-1-e1752526054729.jpg</v>
      </c>
      <c r="F723" s="1" t="s">
        <v>1004</v>
      </c>
      <c r="G723" s="1">
        <v>200.0</v>
      </c>
      <c r="H723" s="1" t="s">
        <v>966</v>
      </c>
      <c r="I723" s="1" t="s">
        <v>967</v>
      </c>
      <c r="L723" s="1">
        <v>0.0</v>
      </c>
      <c r="M723" s="1">
        <v>0.0</v>
      </c>
      <c r="O723" s="1">
        <v>0.0</v>
      </c>
      <c r="P723" s="1">
        <v>0.0</v>
      </c>
      <c r="R723" s="1">
        <v>0.0</v>
      </c>
      <c r="S723" s="1">
        <v>0.0</v>
      </c>
      <c r="U723" s="1">
        <v>0.0</v>
      </c>
      <c r="W723" s="1">
        <v>0.0</v>
      </c>
      <c r="Y723" s="1">
        <v>0.0</v>
      </c>
      <c r="AA723" s="1">
        <v>0.0</v>
      </c>
      <c r="AC723" s="1">
        <v>0.0</v>
      </c>
      <c r="AM723" s="1">
        <v>148347.0</v>
      </c>
      <c r="AN723" s="1">
        <v>148347.0</v>
      </c>
      <c r="AO723" s="1">
        <v>148347.0</v>
      </c>
      <c r="AP723" s="1">
        <v>56.829</v>
      </c>
      <c r="AR723" s="1">
        <v>0.0</v>
      </c>
      <c r="AW723" s="1">
        <v>0.0</v>
      </c>
      <c r="AX723" s="1">
        <v>2.0</v>
      </c>
      <c r="AY723" s="1">
        <v>4.0</v>
      </c>
      <c r="BA723" s="1">
        <v>0.0</v>
      </c>
      <c r="BB723" s="1">
        <v>0.0</v>
      </c>
      <c r="BC723" s="1">
        <v>0.0</v>
      </c>
      <c r="BD723" s="1">
        <v>0.0</v>
      </c>
      <c r="BE723" s="1">
        <v>0.0</v>
      </c>
      <c r="BF723" s="1">
        <v>0.0</v>
      </c>
      <c r="BG723" s="1">
        <v>0.0</v>
      </c>
      <c r="BH723" s="1">
        <v>0.0</v>
      </c>
      <c r="BI723" s="1">
        <v>0.0</v>
      </c>
      <c r="BJ723" s="1">
        <v>0.0</v>
      </c>
      <c r="BP723" s="1">
        <v>0.264</v>
      </c>
      <c r="BQ723" s="1" t="s">
        <v>3036</v>
      </c>
      <c r="BV723" s="1">
        <v>1.1</v>
      </c>
      <c r="EQ723" s="9" t="s">
        <v>3035</v>
      </c>
      <c r="ER723" s="21">
        <v>46045.29918981482</v>
      </c>
    </row>
    <row r="724">
      <c r="A724" s="9" t="s">
        <v>3037</v>
      </c>
      <c r="B724" s="20" t="str">
        <f>IFERROR(__xludf.DUMMYFUNCTION("REGEXREPLACE(A724, ""^https?://[^/]+"", """")"),"/wp-content/themes/salesxceleratione/assets/css/style.css?ver=1769123324")</f>
        <v>/wp-content/themes/salesxceleratione/assets/css/style.css?ver=1769123324</v>
      </c>
      <c r="F724" s="1" t="s">
        <v>1016</v>
      </c>
      <c r="G724" s="1">
        <v>200.0</v>
      </c>
      <c r="H724" s="1" t="s">
        <v>966</v>
      </c>
      <c r="I724" s="1" t="s">
        <v>967</v>
      </c>
      <c r="L724" s="1">
        <v>0.0</v>
      </c>
      <c r="M724" s="1">
        <v>0.0</v>
      </c>
      <c r="O724" s="1">
        <v>0.0</v>
      </c>
      <c r="P724" s="1">
        <v>0.0</v>
      </c>
      <c r="R724" s="1">
        <v>0.0</v>
      </c>
      <c r="S724" s="1">
        <v>0.0</v>
      </c>
      <c r="U724" s="1">
        <v>0.0</v>
      </c>
      <c r="W724" s="1">
        <v>0.0</v>
      </c>
      <c r="Y724" s="1">
        <v>0.0</v>
      </c>
      <c r="AA724" s="1">
        <v>0.0</v>
      </c>
      <c r="AC724" s="1">
        <v>0.0</v>
      </c>
      <c r="AM724" s="1">
        <v>17704.0</v>
      </c>
      <c r="AN724" s="1">
        <v>17704.0</v>
      </c>
      <c r="AO724" s="1">
        <v>17704.0</v>
      </c>
      <c r="AP724" s="1">
        <v>6.782</v>
      </c>
      <c r="AR724" s="1">
        <v>0.0</v>
      </c>
      <c r="AW724" s="1">
        <v>0.0</v>
      </c>
      <c r="AX724" s="1">
        <v>2.0</v>
      </c>
      <c r="AY724" s="1">
        <v>5.0</v>
      </c>
      <c r="BA724" s="1">
        <v>0.0</v>
      </c>
      <c r="BB724" s="1">
        <v>0.0</v>
      </c>
      <c r="BC724" s="1">
        <v>0.0</v>
      </c>
      <c r="BD724" s="1">
        <v>0.0</v>
      </c>
      <c r="BE724" s="1">
        <v>0.0</v>
      </c>
      <c r="BF724" s="1">
        <v>0.0</v>
      </c>
      <c r="BG724" s="1">
        <v>0.0</v>
      </c>
      <c r="BH724" s="1">
        <v>0.0</v>
      </c>
      <c r="BI724" s="1">
        <v>0.0</v>
      </c>
      <c r="BJ724" s="1">
        <v>0.0</v>
      </c>
      <c r="BP724" s="1">
        <v>0.24</v>
      </c>
      <c r="BQ724" s="1" t="s">
        <v>3038</v>
      </c>
      <c r="BV724" s="1">
        <v>1.1</v>
      </c>
      <c r="EQ724" s="9" t="s">
        <v>3037</v>
      </c>
      <c r="ER724" s="21">
        <v>46045.29918981482</v>
      </c>
    </row>
    <row r="725">
      <c r="A725" s="9" t="s">
        <v>3039</v>
      </c>
      <c r="B725" s="20" t="str">
        <f>IFERROR(__xludf.DUMMYFUNCTION("REGEXREPLACE(A725, ""^https?://[^/]+"", """")"),"/resources/state-of-sales/")</f>
        <v>/resources/state-of-sales/</v>
      </c>
      <c r="F725" s="1" t="s">
        <v>965</v>
      </c>
      <c r="G725" s="1">
        <v>301.0</v>
      </c>
      <c r="H725" s="1" t="s">
        <v>1304</v>
      </c>
      <c r="I725" s="1" t="s">
        <v>1214</v>
      </c>
      <c r="J725" s="1" t="s">
        <v>1305</v>
      </c>
      <c r="L725" s="1">
        <v>0.0</v>
      </c>
      <c r="M725" s="1">
        <v>0.0</v>
      </c>
      <c r="O725" s="1">
        <v>0.0</v>
      </c>
      <c r="P725" s="1">
        <v>0.0</v>
      </c>
      <c r="R725" s="1">
        <v>0.0</v>
      </c>
      <c r="S725" s="1">
        <v>0.0</v>
      </c>
      <c r="U725" s="1">
        <v>0.0</v>
      </c>
      <c r="W725" s="1">
        <v>0.0</v>
      </c>
      <c r="Y725" s="1">
        <v>0.0</v>
      </c>
      <c r="AA725" s="1">
        <v>0.0</v>
      </c>
      <c r="AC725" s="1">
        <v>0.0</v>
      </c>
      <c r="AM725" s="1">
        <v>0.0</v>
      </c>
      <c r="AN725" s="1">
        <v>0.0</v>
      </c>
      <c r="AO725" s="1">
        <v>0.0</v>
      </c>
      <c r="AP725" s="1">
        <v>0.0</v>
      </c>
      <c r="AR725" s="1">
        <v>0.0</v>
      </c>
      <c r="AW725" s="1">
        <v>0.0</v>
      </c>
      <c r="AX725" s="1">
        <v>2.0</v>
      </c>
      <c r="AY725" s="1">
        <v>2.0</v>
      </c>
      <c r="BA725" s="1">
        <v>3.0</v>
      </c>
      <c r="BB725" s="1">
        <v>3.0</v>
      </c>
      <c r="BC725" s="1">
        <v>0.0</v>
      </c>
      <c r="BD725" s="1">
        <v>0.4</v>
      </c>
      <c r="BE725" s="1">
        <v>0.0</v>
      </c>
      <c r="BF725" s="1">
        <v>0.0</v>
      </c>
      <c r="BG725" s="1">
        <v>0.0</v>
      </c>
      <c r="BH725" s="1">
        <v>0.0</v>
      </c>
      <c r="BI725" s="1">
        <v>0.0</v>
      </c>
      <c r="BJ725" s="1">
        <v>0.0</v>
      </c>
      <c r="BP725" s="1">
        <v>0.636</v>
      </c>
      <c r="BR725" s="9" t="s">
        <v>32</v>
      </c>
      <c r="BS725" s="1" t="s">
        <v>1307</v>
      </c>
      <c r="BV725" s="1">
        <v>1.1</v>
      </c>
      <c r="EQ725" s="9" t="s">
        <v>3039</v>
      </c>
      <c r="ER725" s="21">
        <v>46045.29918981482</v>
      </c>
    </row>
    <row r="726">
      <c r="A726" s="9" t="s">
        <v>3040</v>
      </c>
      <c r="B726" s="20" t="str">
        <f>IFERROR(__xludf.DUMMYFUNCTION("REGEXREPLACE(A726, ""^https?://[^/]+"", """")"),"/amplify-recruiting/")</f>
        <v>/amplify-recruiting/</v>
      </c>
      <c r="F726" s="1" t="s">
        <v>965</v>
      </c>
      <c r="G726" s="1">
        <v>301.0</v>
      </c>
      <c r="H726" s="1" t="s">
        <v>1304</v>
      </c>
      <c r="I726" s="1" t="s">
        <v>1214</v>
      </c>
      <c r="J726" s="1" t="s">
        <v>1305</v>
      </c>
      <c r="L726" s="1">
        <v>0.0</v>
      </c>
      <c r="M726" s="1">
        <v>0.0</v>
      </c>
      <c r="O726" s="1">
        <v>0.0</v>
      </c>
      <c r="P726" s="1">
        <v>0.0</v>
      </c>
      <c r="R726" s="1">
        <v>0.0</v>
      </c>
      <c r="S726" s="1">
        <v>0.0</v>
      </c>
      <c r="U726" s="1">
        <v>0.0</v>
      </c>
      <c r="W726" s="1">
        <v>0.0</v>
      </c>
      <c r="Y726" s="1">
        <v>0.0</v>
      </c>
      <c r="AA726" s="1">
        <v>0.0</v>
      </c>
      <c r="AC726" s="1">
        <v>0.0</v>
      </c>
      <c r="AM726" s="1">
        <v>0.0</v>
      </c>
      <c r="AN726" s="1">
        <v>0.0</v>
      </c>
      <c r="AO726" s="1">
        <v>0.0</v>
      </c>
      <c r="AP726" s="1">
        <v>0.0</v>
      </c>
      <c r="AR726" s="1">
        <v>0.0</v>
      </c>
      <c r="AW726" s="1">
        <v>0.0</v>
      </c>
      <c r="AX726" s="1">
        <v>2.0</v>
      </c>
      <c r="AY726" s="1">
        <v>1.0</v>
      </c>
      <c r="BA726" s="1">
        <v>4.0</v>
      </c>
      <c r="BB726" s="1">
        <v>3.0</v>
      </c>
      <c r="BC726" s="1">
        <v>0.0</v>
      </c>
      <c r="BD726" s="1">
        <v>0.4</v>
      </c>
      <c r="BE726" s="1">
        <v>0.0</v>
      </c>
      <c r="BF726" s="1">
        <v>0.0</v>
      </c>
      <c r="BG726" s="1">
        <v>0.0</v>
      </c>
      <c r="BH726" s="1">
        <v>0.0</v>
      </c>
      <c r="BI726" s="1">
        <v>0.0</v>
      </c>
      <c r="BJ726" s="1">
        <v>0.0</v>
      </c>
      <c r="BP726" s="1">
        <v>0.62</v>
      </c>
      <c r="BR726" s="9" t="s">
        <v>1101</v>
      </c>
      <c r="BS726" s="1" t="s">
        <v>1307</v>
      </c>
      <c r="BV726" s="1">
        <v>1.1</v>
      </c>
      <c r="EQ726" s="9" t="s">
        <v>3040</v>
      </c>
      <c r="ER726" s="21">
        <v>46045.29918981482</v>
      </c>
    </row>
    <row r="727">
      <c r="A727" s="9" t="s">
        <v>3041</v>
      </c>
      <c r="B727" s="20" t="str">
        <f>IFERROR(__xludf.DUMMYFUNCTION("REGEXREPLACE(A727, ""^https?://[^/]+"", """")"),"/wp-content/uploads/elementor/css/post-47725.css?ver=1768856114")</f>
        <v>/wp-content/uploads/elementor/css/post-47725.css?ver=1768856114</v>
      </c>
      <c r="F727" s="1" t="s">
        <v>1016</v>
      </c>
      <c r="G727" s="1">
        <v>200.0</v>
      </c>
      <c r="H727" s="1" t="s">
        <v>966</v>
      </c>
      <c r="I727" s="1" t="s">
        <v>967</v>
      </c>
      <c r="L727" s="1">
        <v>0.0</v>
      </c>
      <c r="M727" s="1">
        <v>0.0</v>
      </c>
      <c r="O727" s="1">
        <v>0.0</v>
      </c>
      <c r="P727" s="1">
        <v>0.0</v>
      </c>
      <c r="R727" s="1">
        <v>0.0</v>
      </c>
      <c r="S727" s="1">
        <v>0.0</v>
      </c>
      <c r="U727" s="1">
        <v>0.0</v>
      </c>
      <c r="W727" s="1">
        <v>0.0</v>
      </c>
      <c r="Y727" s="1">
        <v>0.0</v>
      </c>
      <c r="AA727" s="1">
        <v>0.0</v>
      </c>
      <c r="AC727" s="1">
        <v>0.0</v>
      </c>
      <c r="AM727" s="1">
        <v>3477.0</v>
      </c>
      <c r="AN727" s="1">
        <v>3477.0</v>
      </c>
      <c r="AO727" s="1">
        <v>3477.0</v>
      </c>
      <c r="AP727" s="1">
        <v>1.332</v>
      </c>
      <c r="AR727" s="1">
        <v>0.0</v>
      </c>
      <c r="AW727" s="1">
        <v>0.0</v>
      </c>
      <c r="AX727" s="1">
        <v>2.0</v>
      </c>
      <c r="AY727" s="1">
        <v>4.0</v>
      </c>
      <c r="BA727" s="1">
        <v>0.0</v>
      </c>
      <c r="BB727" s="1">
        <v>0.0</v>
      </c>
      <c r="BC727" s="1">
        <v>0.0</v>
      </c>
      <c r="BD727" s="1">
        <v>0.0</v>
      </c>
      <c r="BE727" s="1">
        <v>0.0</v>
      </c>
      <c r="BF727" s="1">
        <v>0.0</v>
      </c>
      <c r="BG727" s="1">
        <v>0.0</v>
      </c>
      <c r="BH727" s="1">
        <v>0.0</v>
      </c>
      <c r="BI727" s="1">
        <v>0.0</v>
      </c>
      <c r="BJ727" s="1">
        <v>0.0</v>
      </c>
      <c r="BP727" s="1">
        <v>0.254</v>
      </c>
      <c r="BQ727" s="1" t="s">
        <v>3042</v>
      </c>
      <c r="BV727" s="1">
        <v>1.1</v>
      </c>
      <c r="EQ727" s="9" t="s">
        <v>3041</v>
      </c>
      <c r="ER727" s="21">
        <v>46045.29920138889</v>
      </c>
    </row>
    <row r="728">
      <c r="A728" s="9" t="s">
        <v>3043</v>
      </c>
      <c r="B728" s="20" t="str">
        <f>IFERROR(__xludf.DUMMYFUNCTION("REGEXREPLACE(A728, ""^https?://[^/]+"", """")"),"/resource-sitemap/")</f>
        <v>/resource-sitemap/</v>
      </c>
      <c r="C728" s="1" t="s">
        <v>3044</v>
      </c>
      <c r="F728" s="1" t="s">
        <v>965</v>
      </c>
      <c r="G728" s="1">
        <v>200.0</v>
      </c>
      <c r="H728" s="1" t="s">
        <v>966</v>
      </c>
      <c r="I728" s="1" t="s">
        <v>967</v>
      </c>
      <c r="K728" s="1" t="s">
        <v>3045</v>
      </c>
      <c r="L728" s="1">
        <v>36.0</v>
      </c>
      <c r="M728" s="1">
        <v>334.0</v>
      </c>
      <c r="O728" s="1">
        <v>0.0</v>
      </c>
      <c r="P728" s="1">
        <v>0.0</v>
      </c>
      <c r="Q728" s="9" t="s">
        <v>3046</v>
      </c>
      <c r="R728" s="1">
        <v>109.0</v>
      </c>
      <c r="S728" s="1">
        <v>727.0</v>
      </c>
      <c r="U728" s="1">
        <v>0.0</v>
      </c>
      <c r="V728" s="1" t="s">
        <v>3044</v>
      </c>
      <c r="W728" s="1">
        <v>16.0</v>
      </c>
      <c r="Y728" s="1">
        <v>0.0</v>
      </c>
      <c r="AA728" s="1">
        <v>0.0</v>
      </c>
      <c r="AC728" s="1">
        <v>0.0</v>
      </c>
      <c r="AD728" s="1" t="s">
        <v>971</v>
      </c>
      <c r="AG728" s="9" t="s">
        <v>3043</v>
      </c>
      <c r="AM728" s="1">
        <v>149776.0</v>
      </c>
      <c r="AN728" s="1">
        <v>29892.0</v>
      </c>
      <c r="AO728" s="1">
        <v>29892.0</v>
      </c>
      <c r="AP728" s="1">
        <v>11.451</v>
      </c>
      <c r="AR728" s="1">
        <v>614.0</v>
      </c>
      <c r="AS728" s="1">
        <v>241.0</v>
      </c>
      <c r="AT728" s="1">
        <v>2.548</v>
      </c>
      <c r="AU728" s="1">
        <v>0.0</v>
      </c>
      <c r="AV728" s="1" t="s">
        <v>3047</v>
      </c>
      <c r="AW728" s="1">
        <v>5.704</v>
      </c>
      <c r="AX728" s="1">
        <v>2.0</v>
      </c>
      <c r="AY728" s="1">
        <v>1.0</v>
      </c>
      <c r="AZ728" s="1">
        <v>1.0</v>
      </c>
      <c r="BA728" s="1">
        <v>1.0</v>
      </c>
      <c r="BB728" s="1">
        <v>1.0</v>
      </c>
      <c r="BC728" s="1">
        <v>0.0</v>
      </c>
      <c r="BD728" s="1">
        <v>0.13</v>
      </c>
      <c r="BE728" s="1">
        <v>122.0</v>
      </c>
      <c r="BF728" s="1">
        <v>42.0</v>
      </c>
      <c r="BG728" s="1">
        <v>0.0</v>
      </c>
      <c r="BH728" s="1">
        <v>16.0</v>
      </c>
      <c r="BI728" s="1">
        <v>8.0</v>
      </c>
      <c r="BJ728" s="1">
        <v>0.0</v>
      </c>
      <c r="BO728" s="1" t="s">
        <v>3048</v>
      </c>
      <c r="BP728" s="1">
        <v>1.021</v>
      </c>
      <c r="BU728" s="1" t="s">
        <v>974</v>
      </c>
      <c r="BV728" s="1">
        <v>1.1</v>
      </c>
      <c r="BW728" s="1">
        <v>49.0</v>
      </c>
      <c r="BX728" s="1">
        <v>3751.03</v>
      </c>
      <c r="BY728" s="1">
        <v>6130.254</v>
      </c>
      <c r="BZ728" s="1">
        <v>6001.05</v>
      </c>
      <c r="CA728" s="1">
        <v>17915.5</v>
      </c>
      <c r="CB728" s="1">
        <v>672.5</v>
      </c>
      <c r="CC728" s="1">
        <v>0.0</v>
      </c>
      <c r="CD728" s="1">
        <v>650717.0</v>
      </c>
      <c r="CE728" s="1">
        <v>1200.0</v>
      </c>
      <c r="CF728" s="1">
        <v>154.0</v>
      </c>
      <c r="CG728" s="1">
        <v>2175264.0</v>
      </c>
      <c r="CH728" s="1">
        <v>31219.0</v>
      </c>
      <c r="CI728" s="1">
        <v>2.0</v>
      </c>
      <c r="CJ728" s="1">
        <v>17567.0</v>
      </c>
      <c r="CK728" s="1">
        <v>16.0</v>
      </c>
      <c r="CL728" s="1">
        <v>109768.0</v>
      </c>
      <c r="CM728" s="1">
        <v>36.0</v>
      </c>
      <c r="CN728" s="1">
        <v>1747591.0</v>
      </c>
      <c r="CO728" s="1">
        <v>67.0</v>
      </c>
      <c r="CP728" s="1">
        <v>244251.0</v>
      </c>
      <c r="CQ728" s="1">
        <v>5.0</v>
      </c>
      <c r="CR728" s="1">
        <v>0.0</v>
      </c>
      <c r="CS728" s="1">
        <v>0.0</v>
      </c>
      <c r="CT728" s="1">
        <v>24868.0</v>
      </c>
      <c r="CU728" s="1">
        <v>28.0</v>
      </c>
      <c r="CV728" s="1">
        <v>1503537.0</v>
      </c>
      <c r="CW728" s="1">
        <v>65.0</v>
      </c>
      <c r="DC728" s="1">
        <v>0.0</v>
      </c>
      <c r="DD728" s="1">
        <v>5075.0</v>
      </c>
      <c r="DE728" s="1">
        <v>0.0</v>
      </c>
      <c r="DF728" s="1">
        <v>3396.0</v>
      </c>
      <c r="DG728" s="1">
        <v>600.0</v>
      </c>
      <c r="DH728" s="1">
        <v>50541.0</v>
      </c>
      <c r="DI728" s="1">
        <v>600.0</v>
      </c>
      <c r="DJ728" s="1">
        <v>591705.0</v>
      </c>
      <c r="DK728" s="1">
        <v>2153.14</v>
      </c>
      <c r="DL728" s="1" t="s">
        <v>975</v>
      </c>
      <c r="DM728" s="1">
        <v>3856.89</v>
      </c>
      <c r="DN728" s="1" t="s">
        <v>975</v>
      </c>
      <c r="DO728" s="1">
        <v>2175182.0</v>
      </c>
      <c r="DP728" s="1">
        <v>1.0</v>
      </c>
      <c r="DQ728" s="1" t="s">
        <v>976</v>
      </c>
      <c r="DR728" s="1" t="s">
        <v>1055</v>
      </c>
      <c r="DS728" s="1" t="s">
        <v>978</v>
      </c>
      <c r="DU728" s="1" t="s">
        <v>994</v>
      </c>
      <c r="DV728" s="1">
        <v>12819.0</v>
      </c>
      <c r="DX728" s="1">
        <v>4023.0</v>
      </c>
      <c r="DY728" s="1">
        <v>579571.0</v>
      </c>
      <c r="EA728" s="1">
        <v>787.0</v>
      </c>
      <c r="EB728" s="1">
        <v>4453.0</v>
      </c>
      <c r="EC728" s="1">
        <v>41.0</v>
      </c>
      <c r="ED728" s="1">
        <v>26492.0</v>
      </c>
      <c r="EF728" s="1">
        <v>230.0</v>
      </c>
      <c r="EG728" s="1" t="s">
        <v>982</v>
      </c>
      <c r="EH728" s="1">
        <v>100.0</v>
      </c>
      <c r="EK728" s="1">
        <v>100.0</v>
      </c>
      <c r="EQ728" s="9" t="s">
        <v>3043</v>
      </c>
      <c r="ER728" s="21">
        <v>46045.29918981482</v>
      </c>
    </row>
    <row r="729">
      <c r="A729" s="9" t="s">
        <v>3049</v>
      </c>
      <c r="B729" s="20" t="str">
        <f>IFERROR(__xludf.DUMMYFUNCTION("REGEXREPLACE(A729, ""^https?://[^/]+"", """")"),"/wp-content/uploads/2025/07/AdobeStock_1581977588.jpeg")</f>
        <v>/wp-content/uploads/2025/07/AdobeStock_1581977588.jpeg</v>
      </c>
      <c r="F729" s="1" t="s">
        <v>1004</v>
      </c>
      <c r="G729" s="1">
        <v>200.0</v>
      </c>
      <c r="H729" s="1" t="s">
        <v>966</v>
      </c>
      <c r="I729" s="1" t="s">
        <v>967</v>
      </c>
      <c r="L729" s="1">
        <v>0.0</v>
      </c>
      <c r="M729" s="1">
        <v>0.0</v>
      </c>
      <c r="O729" s="1">
        <v>0.0</v>
      </c>
      <c r="P729" s="1">
        <v>0.0</v>
      </c>
      <c r="R729" s="1">
        <v>0.0</v>
      </c>
      <c r="S729" s="1">
        <v>0.0</v>
      </c>
      <c r="U729" s="1">
        <v>0.0</v>
      </c>
      <c r="W729" s="1">
        <v>0.0</v>
      </c>
      <c r="Y729" s="1">
        <v>0.0</v>
      </c>
      <c r="AA729" s="1">
        <v>0.0</v>
      </c>
      <c r="AC729" s="1">
        <v>0.0</v>
      </c>
      <c r="AM729" s="1">
        <v>94111.0</v>
      </c>
      <c r="AN729" s="1">
        <v>94111.0</v>
      </c>
      <c r="AO729" s="1">
        <v>94111.0</v>
      </c>
      <c r="AP729" s="1">
        <v>36.052</v>
      </c>
      <c r="AR729" s="1">
        <v>0.0</v>
      </c>
      <c r="AW729" s="1">
        <v>0.0</v>
      </c>
      <c r="AX729" s="1">
        <v>2.0</v>
      </c>
      <c r="AY729" s="1">
        <v>4.0</v>
      </c>
      <c r="BA729" s="1">
        <v>0.0</v>
      </c>
      <c r="BB729" s="1">
        <v>0.0</v>
      </c>
      <c r="BC729" s="1">
        <v>0.0</v>
      </c>
      <c r="BD729" s="1">
        <v>0.0</v>
      </c>
      <c r="BE729" s="1">
        <v>0.0</v>
      </c>
      <c r="BF729" s="1">
        <v>0.0</v>
      </c>
      <c r="BG729" s="1">
        <v>0.0</v>
      </c>
      <c r="BH729" s="1">
        <v>0.0</v>
      </c>
      <c r="BI729" s="1">
        <v>0.0</v>
      </c>
      <c r="BJ729" s="1">
        <v>0.0</v>
      </c>
      <c r="BP729" s="1">
        <v>0.275</v>
      </c>
      <c r="BQ729" s="1" t="s">
        <v>3050</v>
      </c>
      <c r="BV729" s="1">
        <v>1.1</v>
      </c>
      <c r="EQ729" s="9" t="s">
        <v>3049</v>
      </c>
      <c r="ER729" s="21">
        <v>46045.29920138889</v>
      </c>
    </row>
    <row r="730">
      <c r="A730" s="9" t="s">
        <v>3051</v>
      </c>
      <c r="B730" s="20" t="str">
        <f>IFERROR(__xludf.DUMMYFUNCTION("REGEXREPLACE(A730, ""^https?://[^/]+"", """")"),"/client-solutions")</f>
        <v>/client-solutions</v>
      </c>
      <c r="F730" s="1" t="s">
        <v>965</v>
      </c>
      <c r="G730" s="1">
        <v>301.0</v>
      </c>
      <c r="H730" s="1" t="s">
        <v>1304</v>
      </c>
      <c r="I730" s="1" t="s">
        <v>1214</v>
      </c>
      <c r="J730" s="1" t="s">
        <v>1305</v>
      </c>
      <c r="L730" s="1">
        <v>0.0</v>
      </c>
      <c r="M730" s="1">
        <v>0.0</v>
      </c>
      <c r="O730" s="1">
        <v>0.0</v>
      </c>
      <c r="P730" s="1">
        <v>0.0</v>
      </c>
      <c r="R730" s="1">
        <v>0.0</v>
      </c>
      <c r="S730" s="1">
        <v>0.0</v>
      </c>
      <c r="U730" s="1">
        <v>0.0</v>
      </c>
      <c r="W730" s="1">
        <v>0.0</v>
      </c>
      <c r="Y730" s="1">
        <v>0.0</v>
      </c>
      <c r="AA730" s="1">
        <v>0.0</v>
      </c>
      <c r="AC730" s="1">
        <v>0.0</v>
      </c>
      <c r="AM730" s="1">
        <v>0.0</v>
      </c>
      <c r="AN730" s="1">
        <v>0.0</v>
      </c>
      <c r="AO730" s="1">
        <v>0.0</v>
      </c>
      <c r="AP730" s="1">
        <v>0.0</v>
      </c>
      <c r="AR730" s="1">
        <v>0.0</v>
      </c>
      <c r="AW730" s="1">
        <v>0.0</v>
      </c>
      <c r="AX730" s="1">
        <v>2.0</v>
      </c>
      <c r="AY730" s="1">
        <v>0.0</v>
      </c>
      <c r="BA730" s="1">
        <v>2.0</v>
      </c>
      <c r="BB730" s="1">
        <v>2.0</v>
      </c>
      <c r="BC730" s="1">
        <v>0.0</v>
      </c>
      <c r="BD730" s="1">
        <v>0.27</v>
      </c>
      <c r="BE730" s="1">
        <v>0.0</v>
      </c>
      <c r="BF730" s="1">
        <v>0.0</v>
      </c>
      <c r="BG730" s="1">
        <v>0.0</v>
      </c>
      <c r="BH730" s="1">
        <v>0.0</v>
      </c>
      <c r="BI730" s="1">
        <v>0.0</v>
      </c>
      <c r="BJ730" s="1">
        <v>0.0</v>
      </c>
      <c r="BP730" s="1">
        <v>0.598</v>
      </c>
      <c r="BR730" s="9" t="s">
        <v>23</v>
      </c>
      <c r="BS730" s="1" t="s">
        <v>1307</v>
      </c>
      <c r="BV730" s="1">
        <v>1.1</v>
      </c>
      <c r="EQ730" s="9" t="s">
        <v>3051</v>
      </c>
      <c r="ER730" s="21">
        <v>46045.29920138889</v>
      </c>
    </row>
    <row r="731">
      <c r="A731" s="9" t="s">
        <v>3052</v>
      </c>
      <c r="B731" s="20" t="str">
        <f>IFERROR(__xludf.DUMMYFUNCTION("REGEXREPLACE(A731, ""^https?://[^/]+"", """")"),"/wp-content/uploads/2025/07/AdobeStock_278047235.jpeg")</f>
        <v>/wp-content/uploads/2025/07/AdobeStock_278047235.jpeg</v>
      </c>
      <c r="F731" s="1" t="s">
        <v>1004</v>
      </c>
      <c r="G731" s="1">
        <v>200.0</v>
      </c>
      <c r="H731" s="1" t="s">
        <v>966</v>
      </c>
      <c r="I731" s="1" t="s">
        <v>967</v>
      </c>
      <c r="L731" s="1">
        <v>0.0</v>
      </c>
      <c r="M731" s="1">
        <v>0.0</v>
      </c>
      <c r="O731" s="1">
        <v>0.0</v>
      </c>
      <c r="P731" s="1">
        <v>0.0</v>
      </c>
      <c r="R731" s="1">
        <v>0.0</v>
      </c>
      <c r="S731" s="1">
        <v>0.0</v>
      </c>
      <c r="U731" s="1">
        <v>0.0</v>
      </c>
      <c r="W731" s="1">
        <v>0.0</v>
      </c>
      <c r="Y731" s="1">
        <v>0.0</v>
      </c>
      <c r="AA731" s="1">
        <v>0.0</v>
      </c>
      <c r="AC731" s="1">
        <v>0.0</v>
      </c>
      <c r="AM731" s="1">
        <v>305992.0</v>
      </c>
      <c r="AN731" s="1">
        <v>305992.0</v>
      </c>
      <c r="AO731" s="1">
        <v>305992.0</v>
      </c>
      <c r="AP731" s="1">
        <v>117.22</v>
      </c>
      <c r="AR731" s="1">
        <v>0.0</v>
      </c>
      <c r="AW731" s="1">
        <v>0.0</v>
      </c>
      <c r="AX731" s="1">
        <v>2.0</v>
      </c>
      <c r="AY731" s="1">
        <v>4.0</v>
      </c>
      <c r="BA731" s="1">
        <v>0.0</v>
      </c>
      <c r="BB731" s="1">
        <v>0.0</v>
      </c>
      <c r="BC731" s="1">
        <v>0.0</v>
      </c>
      <c r="BD731" s="1">
        <v>0.0</v>
      </c>
      <c r="BE731" s="1">
        <v>0.0</v>
      </c>
      <c r="BF731" s="1">
        <v>0.0</v>
      </c>
      <c r="BG731" s="1">
        <v>0.0</v>
      </c>
      <c r="BH731" s="1">
        <v>0.0</v>
      </c>
      <c r="BI731" s="1">
        <v>0.0</v>
      </c>
      <c r="BJ731" s="1">
        <v>0.0</v>
      </c>
      <c r="BP731" s="1">
        <v>0.26</v>
      </c>
      <c r="BQ731" s="1" t="s">
        <v>3053</v>
      </c>
      <c r="BV731" s="1">
        <v>1.1</v>
      </c>
      <c r="EQ731" s="9" t="s">
        <v>3052</v>
      </c>
      <c r="ER731" s="21">
        <v>46045.29920138889</v>
      </c>
    </row>
    <row r="732">
      <c r="A732" s="9" t="s">
        <v>3054</v>
      </c>
      <c r="B732" s="20" t="str">
        <f>IFERROR(__xludf.DUMMYFUNCTION("REGEXREPLACE(A732, ""^https?://[^/]+"", """")"),"/wp-content/uploads/2025/07/AdobeStock_1544365320.jpeg")</f>
        <v>/wp-content/uploads/2025/07/AdobeStock_1544365320.jpeg</v>
      </c>
      <c r="F732" s="1" t="s">
        <v>1004</v>
      </c>
      <c r="G732" s="1">
        <v>200.0</v>
      </c>
      <c r="H732" s="1" t="s">
        <v>966</v>
      </c>
      <c r="I732" s="1" t="s">
        <v>967</v>
      </c>
      <c r="L732" s="1">
        <v>0.0</v>
      </c>
      <c r="M732" s="1">
        <v>0.0</v>
      </c>
      <c r="O732" s="1">
        <v>0.0</v>
      </c>
      <c r="P732" s="1">
        <v>0.0</v>
      </c>
      <c r="R732" s="1">
        <v>0.0</v>
      </c>
      <c r="S732" s="1">
        <v>0.0</v>
      </c>
      <c r="U732" s="1">
        <v>0.0</v>
      </c>
      <c r="W732" s="1">
        <v>0.0</v>
      </c>
      <c r="Y732" s="1">
        <v>0.0</v>
      </c>
      <c r="AA732" s="1">
        <v>0.0</v>
      </c>
      <c r="AC732" s="1">
        <v>0.0</v>
      </c>
      <c r="AM732" s="1">
        <v>196861.0</v>
      </c>
      <c r="AN732" s="1">
        <v>196861.0</v>
      </c>
      <c r="AO732" s="1">
        <v>196861.0</v>
      </c>
      <c r="AP732" s="1">
        <v>75.414</v>
      </c>
      <c r="AR732" s="1">
        <v>0.0</v>
      </c>
      <c r="AW732" s="1">
        <v>0.0</v>
      </c>
      <c r="AX732" s="1">
        <v>2.0</v>
      </c>
      <c r="AY732" s="1">
        <v>4.0</v>
      </c>
      <c r="BA732" s="1">
        <v>0.0</v>
      </c>
      <c r="BB732" s="1">
        <v>0.0</v>
      </c>
      <c r="BC732" s="1">
        <v>0.0</v>
      </c>
      <c r="BD732" s="1">
        <v>0.0</v>
      </c>
      <c r="BE732" s="1">
        <v>0.0</v>
      </c>
      <c r="BF732" s="1">
        <v>0.0</v>
      </c>
      <c r="BG732" s="1">
        <v>0.0</v>
      </c>
      <c r="BH732" s="1">
        <v>0.0</v>
      </c>
      <c r="BI732" s="1">
        <v>0.0</v>
      </c>
      <c r="BJ732" s="1">
        <v>0.0</v>
      </c>
      <c r="BP732" s="1">
        <v>0.255</v>
      </c>
      <c r="BQ732" s="1" t="s">
        <v>3055</v>
      </c>
      <c r="BV732" s="1">
        <v>1.1</v>
      </c>
      <c r="EQ732" s="9" t="s">
        <v>3054</v>
      </c>
      <c r="ER732" s="21">
        <v>46045.29920138889</v>
      </c>
    </row>
    <row r="733">
      <c r="A733" s="9" t="s">
        <v>3056</v>
      </c>
      <c r="B733" s="20" t="str">
        <f>IFERROR(__xludf.DUMMYFUNCTION("REGEXREPLACE(A733, ""^https?://[^/]+"", """")"),"/case-study/food-and-beverage-driving-25-higher-topline-revenue-for-a-compostable-packaging-company/")</f>
        <v>/case-study/food-and-beverage-driving-25-higher-topline-revenue-for-a-compostable-packaging-company/</v>
      </c>
      <c r="C733" s="1" t="s">
        <v>3057</v>
      </c>
      <c r="D733" s="1" t="s">
        <v>1417</v>
      </c>
      <c r="E733" s="1" t="s">
        <v>1418</v>
      </c>
      <c r="F733" s="1" t="s">
        <v>965</v>
      </c>
      <c r="G733" s="1">
        <v>200.0</v>
      </c>
      <c r="H733" s="1" t="s">
        <v>966</v>
      </c>
      <c r="I733" s="1" t="s">
        <v>967</v>
      </c>
      <c r="K733" s="1" t="s">
        <v>3058</v>
      </c>
      <c r="L733" s="1">
        <v>127.0</v>
      </c>
      <c r="M733" s="1">
        <v>1194.0</v>
      </c>
      <c r="O733" s="1">
        <v>0.0</v>
      </c>
      <c r="P733" s="1">
        <v>0.0</v>
      </c>
      <c r="Q733" s="1" t="s">
        <v>3059</v>
      </c>
      <c r="R733" s="1">
        <v>157.0</v>
      </c>
      <c r="S733" s="1">
        <v>954.0</v>
      </c>
      <c r="U733" s="1">
        <v>0.0</v>
      </c>
      <c r="V733" s="1" t="s">
        <v>3057</v>
      </c>
      <c r="W733" s="1">
        <v>89.0</v>
      </c>
      <c r="Y733" s="1">
        <v>0.0</v>
      </c>
      <c r="Z733" s="1" t="s">
        <v>1417</v>
      </c>
      <c r="AA733" s="1">
        <v>15.0</v>
      </c>
      <c r="AB733" s="1" t="s">
        <v>1418</v>
      </c>
      <c r="AC733" s="1">
        <v>22.0</v>
      </c>
      <c r="AD733" s="1" t="s">
        <v>971</v>
      </c>
      <c r="AG733" s="9" t="s">
        <v>3056</v>
      </c>
      <c r="AM733" s="1">
        <v>184442.0</v>
      </c>
      <c r="AN733" s="1">
        <v>32730.0</v>
      </c>
      <c r="AO733" s="1">
        <v>32730.0</v>
      </c>
      <c r="AP733" s="1">
        <v>12.538</v>
      </c>
      <c r="AR733" s="1">
        <v>1134.0</v>
      </c>
      <c r="AS733" s="1">
        <v>190.0</v>
      </c>
      <c r="AT733" s="1">
        <v>5.968</v>
      </c>
      <c r="AU733" s="1">
        <v>50.228</v>
      </c>
      <c r="AV733" s="1" t="s">
        <v>972</v>
      </c>
      <c r="AW733" s="1">
        <v>5.398</v>
      </c>
      <c r="AX733" s="1">
        <v>2.0</v>
      </c>
      <c r="AY733" s="1">
        <v>2.0</v>
      </c>
      <c r="AZ733" s="1">
        <v>2.0</v>
      </c>
      <c r="BA733" s="1">
        <v>6.0</v>
      </c>
      <c r="BB733" s="1">
        <v>3.0</v>
      </c>
      <c r="BC733" s="1">
        <v>0.0</v>
      </c>
      <c r="BD733" s="1">
        <v>0.4</v>
      </c>
      <c r="BE733" s="1">
        <v>128.0</v>
      </c>
      <c r="BF733" s="1">
        <v>48.0</v>
      </c>
      <c r="BG733" s="1">
        <v>0.0</v>
      </c>
      <c r="BH733" s="1">
        <v>16.0</v>
      </c>
      <c r="BI733" s="1">
        <v>8.0</v>
      </c>
      <c r="BJ733" s="1">
        <v>0.0</v>
      </c>
      <c r="BO733" s="1" t="s">
        <v>3060</v>
      </c>
      <c r="BP733" s="1">
        <v>0.989</v>
      </c>
      <c r="BU733" s="1" t="s">
        <v>974</v>
      </c>
      <c r="BV733" s="1">
        <v>1.1</v>
      </c>
      <c r="BW733" s="1">
        <v>43.0</v>
      </c>
      <c r="BX733" s="1">
        <v>3751.07</v>
      </c>
      <c r="BY733" s="1">
        <v>6558.849</v>
      </c>
      <c r="BZ733" s="1">
        <v>7951.154</v>
      </c>
      <c r="CA733" s="1">
        <v>18103.568</v>
      </c>
      <c r="CB733" s="1">
        <v>786.0</v>
      </c>
      <c r="CC733" s="1">
        <v>0.0</v>
      </c>
      <c r="CD733" s="1">
        <v>651182.0</v>
      </c>
      <c r="CE733" s="1">
        <v>1500.0</v>
      </c>
      <c r="CF733" s="1">
        <v>167.0</v>
      </c>
      <c r="CG733" s="1">
        <v>2308778.0</v>
      </c>
      <c r="CH733" s="1">
        <v>33451.0</v>
      </c>
      <c r="CI733" s="1">
        <v>2.0</v>
      </c>
      <c r="CJ733" s="1">
        <v>97736.0</v>
      </c>
      <c r="CK733" s="1">
        <v>20.0</v>
      </c>
      <c r="CL733" s="1">
        <v>119063.0</v>
      </c>
      <c r="CM733" s="1">
        <v>43.0</v>
      </c>
      <c r="CN733" s="1">
        <v>1747895.0</v>
      </c>
      <c r="CO733" s="1">
        <v>68.0</v>
      </c>
      <c r="CP733" s="1">
        <v>284722.0</v>
      </c>
      <c r="CQ733" s="1">
        <v>6.0</v>
      </c>
      <c r="CR733" s="1">
        <v>0.0</v>
      </c>
      <c r="CS733" s="1">
        <v>0.0</v>
      </c>
      <c r="CT733" s="1">
        <v>25911.0</v>
      </c>
      <c r="CU733" s="1">
        <v>28.0</v>
      </c>
      <c r="CV733" s="1">
        <v>1504471.0</v>
      </c>
      <c r="CW733" s="1">
        <v>63.0</v>
      </c>
      <c r="DC733" s="1">
        <v>0.0</v>
      </c>
      <c r="DD733" s="1">
        <v>5075.0</v>
      </c>
      <c r="DE733" s="1">
        <v>0.0</v>
      </c>
      <c r="DF733" s="1">
        <v>3396.0</v>
      </c>
      <c r="DG733" s="1">
        <v>300.0</v>
      </c>
      <c r="DH733" s="1">
        <v>50534.0</v>
      </c>
      <c r="DI733" s="1">
        <v>1200.0</v>
      </c>
      <c r="DJ733" s="1">
        <v>592177.0</v>
      </c>
      <c r="DK733" s="1">
        <v>2185.582</v>
      </c>
      <c r="DL733" s="1" t="s">
        <v>975</v>
      </c>
      <c r="DM733" s="1">
        <v>3912.025</v>
      </c>
      <c r="DN733" s="1" t="s">
        <v>975</v>
      </c>
      <c r="DO733" s="1">
        <v>2308648.0</v>
      </c>
      <c r="DP733" s="1">
        <v>1.0</v>
      </c>
      <c r="DQ733" s="1" t="s">
        <v>976</v>
      </c>
      <c r="DR733" s="1" t="s">
        <v>1055</v>
      </c>
      <c r="DS733" s="1" t="s">
        <v>978</v>
      </c>
      <c r="DT733" s="1" t="s">
        <v>979</v>
      </c>
      <c r="DU733" s="1" t="s">
        <v>980</v>
      </c>
      <c r="DV733" s="1">
        <v>13696.0</v>
      </c>
      <c r="DX733" s="1">
        <v>4052.0</v>
      </c>
      <c r="DY733" s="1">
        <v>631432.0</v>
      </c>
      <c r="EA733" s="1">
        <v>921.0</v>
      </c>
      <c r="EB733" s="1">
        <v>4453.0</v>
      </c>
      <c r="EC733" s="1">
        <v>24.0</v>
      </c>
      <c r="ED733" s="1">
        <v>26492.0</v>
      </c>
      <c r="EF733" s="1">
        <v>370.0</v>
      </c>
      <c r="EG733" s="1" t="s">
        <v>982</v>
      </c>
      <c r="EH733" s="1">
        <v>100.0</v>
      </c>
      <c r="EK733" s="1">
        <v>100.0</v>
      </c>
      <c r="EQ733" s="9" t="s">
        <v>3056</v>
      </c>
      <c r="ER733" s="21">
        <v>46045.29920138889</v>
      </c>
    </row>
    <row r="734">
      <c r="A734" s="9" t="s">
        <v>3061</v>
      </c>
      <c r="B734" s="20" t="str">
        <f>IFERROR(__xludf.DUMMYFUNCTION("REGEXREPLACE(A734, ""^https?://[^/]+"", """")"),"/case-study/plastic-manufacturing-22-sales-growth-achieved-with-expert-sales-leadership/")</f>
        <v>/case-study/plastic-manufacturing-22-sales-growth-achieved-with-expert-sales-leadership/</v>
      </c>
      <c r="C734" s="1" t="s">
        <v>3062</v>
      </c>
      <c r="D734" s="1" t="s">
        <v>1417</v>
      </c>
      <c r="E734" s="1" t="s">
        <v>1418</v>
      </c>
      <c r="F734" s="1" t="s">
        <v>965</v>
      </c>
      <c r="G734" s="1">
        <v>200.0</v>
      </c>
      <c r="H734" s="1" t="s">
        <v>966</v>
      </c>
      <c r="I734" s="1" t="s">
        <v>967</v>
      </c>
      <c r="K734" s="1" t="s">
        <v>3063</v>
      </c>
      <c r="L734" s="1">
        <v>115.0</v>
      </c>
      <c r="M734" s="1">
        <v>1052.0</v>
      </c>
      <c r="O734" s="1">
        <v>0.0</v>
      </c>
      <c r="P734" s="1">
        <v>0.0</v>
      </c>
      <c r="Q734" s="1" t="s">
        <v>3064</v>
      </c>
      <c r="R734" s="1">
        <v>148.0</v>
      </c>
      <c r="S734" s="1">
        <v>937.0</v>
      </c>
      <c r="U734" s="1">
        <v>0.0</v>
      </c>
      <c r="V734" s="1" t="s">
        <v>3062</v>
      </c>
      <c r="W734" s="1">
        <v>77.0</v>
      </c>
      <c r="Y734" s="1">
        <v>0.0</v>
      </c>
      <c r="Z734" s="1" t="s">
        <v>1417</v>
      </c>
      <c r="AA734" s="1">
        <v>15.0</v>
      </c>
      <c r="AB734" s="1" t="s">
        <v>1418</v>
      </c>
      <c r="AC734" s="1">
        <v>22.0</v>
      </c>
      <c r="AD734" s="1" t="s">
        <v>971</v>
      </c>
      <c r="AG734" s="9" t="s">
        <v>3061</v>
      </c>
      <c r="AM734" s="1">
        <v>186657.0</v>
      </c>
      <c r="AN734" s="1">
        <v>32639.0</v>
      </c>
      <c r="AO734" s="1">
        <v>32639.0</v>
      </c>
      <c r="AP734" s="1">
        <v>12.503</v>
      </c>
      <c r="AR734" s="1">
        <v>1095.0</v>
      </c>
      <c r="AS734" s="1">
        <v>170.0</v>
      </c>
      <c r="AT734" s="1">
        <v>6.441</v>
      </c>
      <c r="AU734" s="1">
        <v>51.957</v>
      </c>
      <c r="AV734" s="1" t="s">
        <v>972</v>
      </c>
      <c r="AW734" s="1">
        <v>5.122</v>
      </c>
      <c r="AX734" s="1">
        <v>2.0</v>
      </c>
      <c r="AY734" s="1">
        <v>2.0</v>
      </c>
      <c r="AZ734" s="1">
        <v>2.0</v>
      </c>
      <c r="BA734" s="1">
        <v>5.0</v>
      </c>
      <c r="BB734" s="1">
        <v>3.0</v>
      </c>
      <c r="BC734" s="1">
        <v>0.0</v>
      </c>
      <c r="BD734" s="1">
        <v>0.4</v>
      </c>
      <c r="BE734" s="1">
        <v>132.0</v>
      </c>
      <c r="BF734" s="1">
        <v>48.0</v>
      </c>
      <c r="BG734" s="1">
        <v>0.0</v>
      </c>
      <c r="BH734" s="1">
        <v>16.0</v>
      </c>
      <c r="BI734" s="1">
        <v>8.0</v>
      </c>
      <c r="BJ734" s="1">
        <v>0.0</v>
      </c>
      <c r="BO734" s="1" t="s">
        <v>3065</v>
      </c>
      <c r="BP734" s="1">
        <v>1.085</v>
      </c>
      <c r="BU734" s="1" t="s">
        <v>974</v>
      </c>
      <c r="BV734" s="1">
        <v>1.1</v>
      </c>
      <c r="BW734" s="1">
        <v>50.0</v>
      </c>
      <c r="BX734" s="1">
        <v>3751.022</v>
      </c>
      <c r="BY734" s="1">
        <v>6635.069</v>
      </c>
      <c r="BZ734" s="1">
        <v>8251.051</v>
      </c>
      <c r="CA734" s="1">
        <v>18582.021</v>
      </c>
      <c r="CB734" s="1">
        <v>487.5</v>
      </c>
      <c r="CC734" s="1">
        <v>0.0</v>
      </c>
      <c r="CD734" s="1">
        <v>651844.0</v>
      </c>
      <c r="CE734" s="1">
        <v>1500.0</v>
      </c>
      <c r="CF734" s="1">
        <v>168.0</v>
      </c>
      <c r="CG734" s="1">
        <v>2320767.0</v>
      </c>
      <c r="CH734" s="1">
        <v>33506.0</v>
      </c>
      <c r="CI734" s="1">
        <v>2.0</v>
      </c>
      <c r="CJ734" s="1">
        <v>109195.0</v>
      </c>
      <c r="CK734" s="1">
        <v>20.0</v>
      </c>
      <c r="CL734" s="1">
        <v>120036.0</v>
      </c>
      <c r="CM734" s="1">
        <v>44.0</v>
      </c>
      <c r="CN734" s="1">
        <v>1748134.0</v>
      </c>
      <c r="CO734" s="1">
        <v>68.0</v>
      </c>
      <c r="CP734" s="1">
        <v>284722.0</v>
      </c>
      <c r="CQ734" s="1">
        <v>6.0</v>
      </c>
      <c r="CR734" s="1">
        <v>0.0</v>
      </c>
      <c r="CS734" s="1">
        <v>0.0</v>
      </c>
      <c r="CT734" s="1">
        <v>25174.0</v>
      </c>
      <c r="CU734" s="1">
        <v>28.0</v>
      </c>
      <c r="CV734" s="1">
        <v>1504346.0</v>
      </c>
      <c r="CW734" s="1">
        <v>63.0</v>
      </c>
      <c r="DC734" s="1">
        <v>150.0</v>
      </c>
      <c r="DD734" s="1">
        <v>5075.0</v>
      </c>
      <c r="DE734" s="1">
        <v>0.0</v>
      </c>
      <c r="DF734" s="1">
        <v>3396.0</v>
      </c>
      <c r="DG734" s="1">
        <v>300.0</v>
      </c>
      <c r="DH734" s="1">
        <v>50531.0</v>
      </c>
      <c r="DI734" s="1">
        <v>1050.0</v>
      </c>
      <c r="DJ734" s="1">
        <v>592842.0</v>
      </c>
      <c r="DK734" s="1">
        <v>1938.58</v>
      </c>
      <c r="DL734" s="1" t="s">
        <v>975</v>
      </c>
      <c r="DM734" s="1">
        <v>3534.319</v>
      </c>
      <c r="DN734" s="1" t="s">
        <v>975</v>
      </c>
      <c r="DO734" s="1">
        <v>2320637.0</v>
      </c>
      <c r="DP734" s="1">
        <v>1.0</v>
      </c>
      <c r="DQ734" s="1" t="s">
        <v>976</v>
      </c>
      <c r="DR734" s="1" t="s">
        <v>1464</v>
      </c>
      <c r="DS734" s="1" t="s">
        <v>978</v>
      </c>
      <c r="DT734" s="1" t="s">
        <v>979</v>
      </c>
      <c r="DU734" s="1" t="s">
        <v>980</v>
      </c>
      <c r="DV734" s="1">
        <v>13847.0</v>
      </c>
      <c r="DX734" s="1">
        <v>3446.0</v>
      </c>
      <c r="DY734" s="1">
        <v>636402.0</v>
      </c>
      <c r="EA734" s="1">
        <v>928.0</v>
      </c>
      <c r="EB734" s="1">
        <v>0.0</v>
      </c>
      <c r="EC734" s="1">
        <v>1.0</v>
      </c>
      <c r="ED734" s="1">
        <v>26492.0</v>
      </c>
      <c r="EF734" s="1">
        <v>270.0</v>
      </c>
      <c r="EG734" s="1" t="s">
        <v>982</v>
      </c>
      <c r="EH734" s="1">
        <v>100.0</v>
      </c>
      <c r="EK734" s="1">
        <v>100.0</v>
      </c>
      <c r="EQ734" s="9" t="s">
        <v>3061</v>
      </c>
      <c r="ER734" s="21">
        <v>46045.29920138889</v>
      </c>
    </row>
    <row r="735">
      <c r="A735" s="9" t="s">
        <v>3066</v>
      </c>
      <c r="B735" s="20" t="str">
        <f>IFERROR(__xludf.DUMMYFUNCTION("REGEXREPLACE(A735, ""^https?://[^/]+"", """")"),"/wp-content/uploads/2024/04/Getting-Started-with-Social-Media-eBook-791x1024.jpg")</f>
        <v>/wp-content/uploads/2024/04/Getting-Started-with-Social-Media-eBook-791x1024.jpg</v>
      </c>
      <c r="F735" s="1" t="s">
        <v>1004</v>
      </c>
      <c r="G735" s="1">
        <v>200.0</v>
      </c>
      <c r="H735" s="1" t="s">
        <v>966</v>
      </c>
      <c r="I735" s="1" t="s">
        <v>967</v>
      </c>
      <c r="L735" s="1">
        <v>0.0</v>
      </c>
      <c r="M735" s="1">
        <v>0.0</v>
      </c>
      <c r="O735" s="1">
        <v>0.0</v>
      </c>
      <c r="P735" s="1">
        <v>0.0</v>
      </c>
      <c r="R735" s="1">
        <v>0.0</v>
      </c>
      <c r="S735" s="1">
        <v>0.0</v>
      </c>
      <c r="U735" s="1">
        <v>0.0</v>
      </c>
      <c r="W735" s="1">
        <v>0.0</v>
      </c>
      <c r="Y735" s="1">
        <v>0.0</v>
      </c>
      <c r="AA735" s="1">
        <v>0.0</v>
      </c>
      <c r="AC735" s="1">
        <v>0.0</v>
      </c>
      <c r="AM735" s="1">
        <v>108067.0</v>
      </c>
      <c r="AN735" s="1">
        <v>108067.0</v>
      </c>
      <c r="AO735" s="1">
        <v>108067.0</v>
      </c>
      <c r="AP735" s="1">
        <v>41.398</v>
      </c>
      <c r="AR735" s="1">
        <v>0.0</v>
      </c>
      <c r="AW735" s="1">
        <v>0.0</v>
      </c>
      <c r="AX735" s="1">
        <v>2.0</v>
      </c>
      <c r="AY735" s="1">
        <v>4.0</v>
      </c>
      <c r="BA735" s="1">
        <v>0.0</v>
      </c>
      <c r="BB735" s="1">
        <v>0.0</v>
      </c>
      <c r="BC735" s="1">
        <v>0.0</v>
      </c>
      <c r="BD735" s="1">
        <v>0.0</v>
      </c>
      <c r="BE735" s="1">
        <v>0.0</v>
      </c>
      <c r="BF735" s="1">
        <v>0.0</v>
      </c>
      <c r="BG735" s="1">
        <v>0.0</v>
      </c>
      <c r="BH735" s="1">
        <v>0.0</v>
      </c>
      <c r="BI735" s="1">
        <v>0.0</v>
      </c>
      <c r="BJ735" s="1">
        <v>0.0</v>
      </c>
      <c r="BP735" s="1">
        <v>0.28</v>
      </c>
      <c r="BQ735" s="1" t="s">
        <v>3067</v>
      </c>
      <c r="BV735" s="1">
        <v>1.1</v>
      </c>
      <c r="EQ735" s="9" t="s">
        <v>3066</v>
      </c>
      <c r="ER735" s="21">
        <v>46045.299212962964</v>
      </c>
    </row>
    <row r="736">
      <c r="A736" s="9" t="s">
        <v>3068</v>
      </c>
      <c r="B736" s="20" t="str">
        <f>IFERROR(__xludf.DUMMYFUNCTION("REGEXREPLACE(A736, ""^https?://[^/]+"", """")"),"/case-study/solving-gaps-in-sales-infrastructure-and-processes/")</f>
        <v>/case-study/solving-gaps-in-sales-infrastructure-and-processes/</v>
      </c>
      <c r="C736" s="1" t="s">
        <v>3069</v>
      </c>
      <c r="D736" s="1" t="s">
        <v>1050</v>
      </c>
      <c r="E736" s="1" t="s">
        <v>1051</v>
      </c>
      <c r="F736" s="1" t="s">
        <v>965</v>
      </c>
      <c r="G736" s="1">
        <v>200.0</v>
      </c>
      <c r="H736" s="1" t="s">
        <v>966</v>
      </c>
      <c r="I736" s="1" t="s">
        <v>967</v>
      </c>
      <c r="K736" s="1" t="s">
        <v>3070</v>
      </c>
      <c r="L736" s="1">
        <v>107.0</v>
      </c>
      <c r="M736" s="1">
        <v>966.0</v>
      </c>
      <c r="O736" s="1">
        <v>0.0</v>
      </c>
      <c r="P736" s="1">
        <v>0.0</v>
      </c>
      <c r="Q736" s="1" t="s">
        <v>3071</v>
      </c>
      <c r="R736" s="1">
        <v>155.0</v>
      </c>
      <c r="S736" s="1">
        <v>986.0</v>
      </c>
      <c r="U736" s="1">
        <v>0.0</v>
      </c>
      <c r="V736" s="1" t="s">
        <v>3069</v>
      </c>
      <c r="W736" s="1">
        <v>69.0</v>
      </c>
      <c r="Y736" s="1">
        <v>0.0</v>
      </c>
      <c r="Z736" s="1" t="s">
        <v>1050</v>
      </c>
      <c r="AA736" s="1">
        <v>17.0</v>
      </c>
      <c r="AB736" s="1" t="s">
        <v>1051</v>
      </c>
      <c r="AC736" s="1">
        <v>11.0</v>
      </c>
      <c r="AD736" s="1" t="s">
        <v>971</v>
      </c>
      <c r="AG736" s="9" t="s">
        <v>3068</v>
      </c>
      <c r="AM736" s="1">
        <v>182203.0</v>
      </c>
      <c r="AN736" s="1">
        <v>31773.0</v>
      </c>
      <c r="AO736" s="1">
        <v>31773.0</v>
      </c>
      <c r="AP736" s="1">
        <v>12.172</v>
      </c>
      <c r="AR736" s="1">
        <v>996.0</v>
      </c>
      <c r="AS736" s="1">
        <v>161.0</v>
      </c>
      <c r="AT736" s="1">
        <v>6.186</v>
      </c>
      <c r="AU736" s="1">
        <v>63.293</v>
      </c>
      <c r="AV736" s="1" t="s">
        <v>990</v>
      </c>
      <c r="AW736" s="1">
        <v>4.69</v>
      </c>
      <c r="AX736" s="1">
        <v>2.0</v>
      </c>
      <c r="AY736" s="1">
        <v>2.0</v>
      </c>
      <c r="AZ736" s="1">
        <v>2.0</v>
      </c>
      <c r="BA736" s="1">
        <v>2.0</v>
      </c>
      <c r="BB736" s="1">
        <v>2.0</v>
      </c>
      <c r="BC736" s="1">
        <v>0.0</v>
      </c>
      <c r="BD736" s="1">
        <v>0.27</v>
      </c>
      <c r="BE736" s="1">
        <v>130.0</v>
      </c>
      <c r="BF736" s="1">
        <v>48.0</v>
      </c>
      <c r="BG736" s="1">
        <v>0.0</v>
      </c>
      <c r="BH736" s="1">
        <v>16.0</v>
      </c>
      <c r="BI736" s="1">
        <v>8.0</v>
      </c>
      <c r="BJ736" s="1">
        <v>0.0</v>
      </c>
      <c r="BO736" s="1" t="s">
        <v>3072</v>
      </c>
      <c r="BP736" s="1">
        <v>1.135</v>
      </c>
      <c r="BU736" s="1" t="s">
        <v>974</v>
      </c>
      <c r="BV736" s="1">
        <v>1.1</v>
      </c>
      <c r="BW736" s="1">
        <v>55.0</v>
      </c>
      <c r="BX736" s="1">
        <v>4051.054</v>
      </c>
      <c r="BY736" s="1">
        <v>7141.563</v>
      </c>
      <c r="BZ736" s="1">
        <v>8701.12</v>
      </c>
      <c r="CA736" s="1">
        <v>18220.34</v>
      </c>
      <c r="CB736" s="1">
        <v>283.5</v>
      </c>
      <c r="CC736" s="1">
        <v>0.0</v>
      </c>
      <c r="CD736" s="1">
        <v>653165.0</v>
      </c>
      <c r="CE736" s="1">
        <v>1200.0</v>
      </c>
      <c r="CF736" s="1">
        <v>164.0</v>
      </c>
      <c r="CG736" s="1">
        <v>2306951.0</v>
      </c>
      <c r="CH736" s="1">
        <v>32885.0</v>
      </c>
      <c r="CI736" s="1">
        <v>2.0</v>
      </c>
      <c r="CJ736" s="1">
        <v>98070.0</v>
      </c>
      <c r="CK736" s="1">
        <v>17.0</v>
      </c>
      <c r="CL736" s="1">
        <v>118274.0</v>
      </c>
      <c r="CM736" s="1">
        <v>43.0</v>
      </c>
      <c r="CN736" s="1">
        <v>1748176.0</v>
      </c>
      <c r="CO736" s="1">
        <v>68.0</v>
      </c>
      <c r="CP736" s="1">
        <v>284722.0</v>
      </c>
      <c r="CQ736" s="1">
        <v>6.0</v>
      </c>
      <c r="CR736" s="1">
        <v>0.0</v>
      </c>
      <c r="CS736" s="1">
        <v>0.0</v>
      </c>
      <c r="CT736" s="1">
        <v>24824.0</v>
      </c>
      <c r="CU736" s="1">
        <v>28.0</v>
      </c>
      <c r="CV736" s="1">
        <v>1503924.0</v>
      </c>
      <c r="CW736" s="1">
        <v>63.0</v>
      </c>
      <c r="DC736" s="1">
        <v>0.0</v>
      </c>
      <c r="DD736" s="1">
        <v>5075.0</v>
      </c>
      <c r="DE736" s="1">
        <v>0.0</v>
      </c>
      <c r="DF736" s="1">
        <v>3396.0</v>
      </c>
      <c r="DG736" s="1">
        <v>150.0</v>
      </c>
      <c r="DH736" s="1">
        <v>50530.0</v>
      </c>
      <c r="DI736" s="1">
        <v>1050.0</v>
      </c>
      <c r="DJ736" s="1">
        <v>594164.0</v>
      </c>
      <c r="DK736" s="1">
        <v>1308.526</v>
      </c>
      <c r="DL736" s="1" t="s">
        <v>975</v>
      </c>
      <c r="DM736" s="1">
        <v>2384.79</v>
      </c>
      <c r="DN736" s="1" t="s">
        <v>975</v>
      </c>
      <c r="DO736" s="1">
        <v>2306410.0</v>
      </c>
      <c r="DP736" s="1">
        <v>1.0</v>
      </c>
      <c r="DQ736" s="1" t="s">
        <v>976</v>
      </c>
      <c r="DR736" s="1" t="s">
        <v>1170</v>
      </c>
      <c r="DS736" s="1" t="s">
        <v>978</v>
      </c>
      <c r="DT736" s="1" t="s">
        <v>979</v>
      </c>
      <c r="DU736" s="1" t="s">
        <v>980</v>
      </c>
      <c r="DV736" s="1">
        <v>13848.0</v>
      </c>
      <c r="DX736" s="1">
        <v>3872.0</v>
      </c>
      <c r="DY736" s="1">
        <v>631412.0</v>
      </c>
      <c r="EA736" s="1">
        <v>914.0</v>
      </c>
      <c r="EB736" s="1">
        <v>4453.0</v>
      </c>
      <c r="EC736" s="1">
        <v>5.0</v>
      </c>
      <c r="ED736" s="1">
        <v>26492.0</v>
      </c>
      <c r="EF736" s="1">
        <v>230.0</v>
      </c>
      <c r="EG736" s="1" t="s">
        <v>982</v>
      </c>
      <c r="EH736" s="1">
        <v>100.0</v>
      </c>
      <c r="EK736" s="1">
        <v>100.0</v>
      </c>
      <c r="EQ736" s="9" t="s">
        <v>3068</v>
      </c>
      <c r="ER736" s="21">
        <v>46045.29920138889</v>
      </c>
    </row>
    <row r="737">
      <c r="A737" s="9" t="s">
        <v>3073</v>
      </c>
      <c r="B737" s="20" t="str">
        <f>IFERROR(__xludf.DUMMYFUNCTION("REGEXREPLACE(A737, ""^https?://[^/]+"", """")"),"/wp-content/uploads/2022/08/Amplify-Recruiting-eBook_Page_01.jpg")</f>
        <v>/wp-content/uploads/2022/08/Amplify-Recruiting-eBook_Page_01.jpg</v>
      </c>
      <c r="F737" s="1" t="s">
        <v>1004</v>
      </c>
      <c r="G737" s="1">
        <v>200.0</v>
      </c>
      <c r="H737" s="1" t="s">
        <v>966</v>
      </c>
      <c r="I737" s="1" t="s">
        <v>967</v>
      </c>
      <c r="L737" s="1">
        <v>0.0</v>
      </c>
      <c r="M737" s="1">
        <v>0.0</v>
      </c>
      <c r="O737" s="1">
        <v>0.0</v>
      </c>
      <c r="P737" s="1">
        <v>0.0</v>
      </c>
      <c r="R737" s="1">
        <v>0.0</v>
      </c>
      <c r="S737" s="1">
        <v>0.0</v>
      </c>
      <c r="U737" s="1">
        <v>0.0</v>
      </c>
      <c r="W737" s="1">
        <v>0.0</v>
      </c>
      <c r="Y737" s="1">
        <v>0.0</v>
      </c>
      <c r="AA737" s="1">
        <v>0.0</v>
      </c>
      <c r="AC737" s="1">
        <v>0.0</v>
      </c>
      <c r="AM737" s="1">
        <v>124270.0</v>
      </c>
      <c r="AN737" s="1">
        <v>124270.0</v>
      </c>
      <c r="AO737" s="1">
        <v>124270.0</v>
      </c>
      <c r="AP737" s="1">
        <v>47.605</v>
      </c>
      <c r="AR737" s="1">
        <v>0.0</v>
      </c>
      <c r="AW737" s="1">
        <v>0.0</v>
      </c>
      <c r="AX737" s="1">
        <v>2.0</v>
      </c>
      <c r="AY737" s="1">
        <v>4.0</v>
      </c>
      <c r="BA737" s="1">
        <v>0.0</v>
      </c>
      <c r="BB737" s="1">
        <v>0.0</v>
      </c>
      <c r="BC737" s="1">
        <v>0.0</v>
      </c>
      <c r="BD737" s="1">
        <v>0.0</v>
      </c>
      <c r="BE737" s="1">
        <v>0.0</v>
      </c>
      <c r="BF737" s="1">
        <v>0.0</v>
      </c>
      <c r="BG737" s="1">
        <v>0.0</v>
      </c>
      <c r="BH737" s="1">
        <v>0.0</v>
      </c>
      <c r="BI737" s="1">
        <v>0.0</v>
      </c>
      <c r="BJ737" s="1">
        <v>0.0</v>
      </c>
      <c r="BP737" s="1">
        <v>0.308</v>
      </c>
      <c r="BQ737" s="1" t="s">
        <v>3074</v>
      </c>
      <c r="BV737" s="1">
        <v>1.1</v>
      </c>
      <c r="EQ737" s="9" t="s">
        <v>3073</v>
      </c>
      <c r="ER737" s="21">
        <v>46045.299212962964</v>
      </c>
    </row>
    <row r="738">
      <c r="A738" s="9" t="s">
        <v>3075</v>
      </c>
      <c r="B738" s="20" t="str">
        <f>IFERROR(__xludf.DUMMYFUNCTION("REGEXREPLACE(A738, ""^https?://[^/]+"", """")"),"/wp-content/uploads/2011/03/Highly-Effective-Sales-Structure-Cover-scaled-1-791x1024.jpg")</f>
        <v>/wp-content/uploads/2011/03/Highly-Effective-Sales-Structure-Cover-scaled-1-791x1024.jpg</v>
      </c>
      <c r="F738" s="1" t="s">
        <v>1004</v>
      </c>
      <c r="G738" s="1">
        <v>200.0</v>
      </c>
      <c r="H738" s="1" t="s">
        <v>966</v>
      </c>
      <c r="I738" s="1" t="s">
        <v>967</v>
      </c>
      <c r="L738" s="1">
        <v>0.0</v>
      </c>
      <c r="M738" s="1">
        <v>0.0</v>
      </c>
      <c r="O738" s="1">
        <v>0.0</v>
      </c>
      <c r="P738" s="1">
        <v>0.0</v>
      </c>
      <c r="R738" s="1">
        <v>0.0</v>
      </c>
      <c r="S738" s="1">
        <v>0.0</v>
      </c>
      <c r="U738" s="1">
        <v>0.0</v>
      </c>
      <c r="W738" s="1">
        <v>0.0</v>
      </c>
      <c r="Y738" s="1">
        <v>0.0</v>
      </c>
      <c r="AA738" s="1">
        <v>0.0</v>
      </c>
      <c r="AC738" s="1">
        <v>0.0</v>
      </c>
      <c r="AM738" s="1">
        <v>58928.0</v>
      </c>
      <c r="AN738" s="1">
        <v>58928.0</v>
      </c>
      <c r="AO738" s="1">
        <v>58928.0</v>
      </c>
      <c r="AP738" s="1">
        <v>22.574</v>
      </c>
      <c r="AR738" s="1">
        <v>0.0</v>
      </c>
      <c r="AW738" s="1">
        <v>0.0</v>
      </c>
      <c r="AX738" s="1">
        <v>2.0</v>
      </c>
      <c r="AY738" s="1">
        <v>4.0</v>
      </c>
      <c r="BA738" s="1">
        <v>0.0</v>
      </c>
      <c r="BB738" s="1">
        <v>0.0</v>
      </c>
      <c r="BC738" s="1">
        <v>0.0</v>
      </c>
      <c r="BD738" s="1">
        <v>0.0</v>
      </c>
      <c r="BE738" s="1">
        <v>0.0</v>
      </c>
      <c r="BF738" s="1">
        <v>0.0</v>
      </c>
      <c r="BG738" s="1">
        <v>0.0</v>
      </c>
      <c r="BH738" s="1">
        <v>0.0</v>
      </c>
      <c r="BI738" s="1">
        <v>0.0</v>
      </c>
      <c r="BJ738" s="1">
        <v>0.0</v>
      </c>
      <c r="BP738" s="1">
        <v>0.281</v>
      </c>
      <c r="BQ738" s="1" t="s">
        <v>3076</v>
      </c>
      <c r="BV738" s="1">
        <v>1.1</v>
      </c>
      <c r="EQ738" s="9" t="s">
        <v>3075</v>
      </c>
      <c r="ER738" s="21">
        <v>46045.299212962964</v>
      </c>
    </row>
    <row r="739">
      <c r="A739" s="9" t="s">
        <v>3077</v>
      </c>
      <c r="B739" s="20" t="str">
        <f>IFERROR(__xludf.DUMMYFUNCTION("REGEXREPLACE(A739, ""^https?://[^/]+"", """")"),"/books/four-painful-manufacturing-sales-challenges/")</f>
        <v>/books/four-painful-manufacturing-sales-challenges/</v>
      </c>
      <c r="C739" s="1" t="s">
        <v>3078</v>
      </c>
      <c r="F739" s="1" t="s">
        <v>965</v>
      </c>
      <c r="G739" s="1">
        <v>200.0</v>
      </c>
      <c r="H739" s="1" t="s">
        <v>966</v>
      </c>
      <c r="I739" s="1" t="s">
        <v>967</v>
      </c>
      <c r="K739" s="1" t="s">
        <v>3079</v>
      </c>
      <c r="L739" s="1">
        <v>76.0</v>
      </c>
      <c r="M739" s="1">
        <v>691.0</v>
      </c>
      <c r="O739" s="1">
        <v>0.0</v>
      </c>
      <c r="P739" s="1">
        <v>0.0</v>
      </c>
      <c r="Q739" s="1" t="s">
        <v>3080</v>
      </c>
      <c r="R739" s="1">
        <v>137.0</v>
      </c>
      <c r="S739" s="1">
        <v>868.0</v>
      </c>
      <c r="U739" s="1">
        <v>0.0</v>
      </c>
      <c r="V739" s="1" t="s">
        <v>3078</v>
      </c>
      <c r="W739" s="1">
        <v>43.0</v>
      </c>
      <c r="Y739" s="1">
        <v>0.0</v>
      </c>
      <c r="AA739" s="1">
        <v>0.0</v>
      </c>
      <c r="AC739" s="1">
        <v>0.0</v>
      </c>
      <c r="AD739" s="1" t="s">
        <v>971</v>
      </c>
      <c r="AG739" s="9" t="s">
        <v>3077</v>
      </c>
      <c r="AM739" s="1">
        <v>177218.0</v>
      </c>
      <c r="AN739" s="1">
        <v>35544.0</v>
      </c>
      <c r="AO739" s="1">
        <v>35544.0</v>
      </c>
      <c r="AP739" s="1">
        <v>13.616</v>
      </c>
      <c r="AR739" s="1">
        <v>578.0</v>
      </c>
      <c r="AS739" s="1">
        <v>103.0</v>
      </c>
      <c r="AT739" s="1">
        <v>5.612</v>
      </c>
      <c r="AU739" s="1">
        <v>60.92</v>
      </c>
      <c r="AV739" s="1" t="s">
        <v>990</v>
      </c>
      <c r="AW739" s="1">
        <v>3.377</v>
      </c>
      <c r="AX739" s="1">
        <v>2.0</v>
      </c>
      <c r="AY739" s="1">
        <v>2.0</v>
      </c>
      <c r="AZ739" s="1">
        <v>1.0</v>
      </c>
      <c r="BA739" s="1">
        <v>1.0</v>
      </c>
      <c r="BB739" s="1">
        <v>1.0</v>
      </c>
      <c r="BC739" s="1">
        <v>0.0</v>
      </c>
      <c r="BD739" s="1">
        <v>0.13</v>
      </c>
      <c r="BE739" s="1">
        <v>122.0</v>
      </c>
      <c r="BF739" s="1">
        <v>42.0</v>
      </c>
      <c r="BG739" s="1">
        <v>0.0</v>
      </c>
      <c r="BH739" s="1">
        <v>16.0</v>
      </c>
      <c r="BI739" s="1">
        <v>8.0</v>
      </c>
      <c r="BJ739" s="1">
        <v>0.0</v>
      </c>
      <c r="BO739" s="1" t="s">
        <v>3081</v>
      </c>
      <c r="BP739" s="1">
        <v>0.987</v>
      </c>
      <c r="BU739" s="1" t="s">
        <v>974</v>
      </c>
      <c r="BV739" s="1">
        <v>1.1</v>
      </c>
      <c r="BW739" s="1">
        <v>42.0</v>
      </c>
      <c r="BX739" s="1">
        <v>3451.03</v>
      </c>
      <c r="BY739" s="1">
        <v>7102.86</v>
      </c>
      <c r="BZ739" s="1">
        <v>10201.093</v>
      </c>
      <c r="CA739" s="1">
        <v>21821.406</v>
      </c>
      <c r="CB739" s="1">
        <v>825.0</v>
      </c>
      <c r="CC739" s="1">
        <v>0.0</v>
      </c>
      <c r="CD739" s="1">
        <v>1254994.0</v>
      </c>
      <c r="CE739" s="1">
        <v>1800.0</v>
      </c>
      <c r="CF739" s="1">
        <v>193.0</v>
      </c>
      <c r="CG739" s="1">
        <v>3716942.0</v>
      </c>
      <c r="CH739" s="1">
        <v>90348.0</v>
      </c>
      <c r="CI739" s="1">
        <v>4.0</v>
      </c>
      <c r="CJ739" s="1">
        <v>154946.0</v>
      </c>
      <c r="CK739" s="1">
        <v>28.0</v>
      </c>
      <c r="CL739" s="1">
        <v>229333.0</v>
      </c>
      <c r="CM739" s="1">
        <v>45.0</v>
      </c>
      <c r="CN739" s="1">
        <v>2536227.0</v>
      </c>
      <c r="CO739" s="1">
        <v>79.0</v>
      </c>
      <c r="CP739" s="1">
        <v>315210.0</v>
      </c>
      <c r="CQ739" s="1">
        <v>7.0</v>
      </c>
      <c r="CR739" s="1">
        <v>0.0</v>
      </c>
      <c r="CS739" s="1">
        <v>0.0</v>
      </c>
      <c r="CT739" s="1">
        <v>390878.0</v>
      </c>
      <c r="CU739" s="1">
        <v>30.0</v>
      </c>
      <c r="CV739" s="1">
        <v>2819829.0</v>
      </c>
      <c r="CW739" s="1">
        <v>81.0</v>
      </c>
      <c r="DC739" s="1">
        <v>150.0</v>
      </c>
      <c r="DD739" s="1">
        <v>5075.0</v>
      </c>
      <c r="DE739" s="1">
        <v>0.0</v>
      </c>
      <c r="DF739" s="1">
        <v>3396.0</v>
      </c>
      <c r="DG739" s="1">
        <v>450.0</v>
      </c>
      <c r="DH739" s="1">
        <v>68294.0</v>
      </c>
      <c r="DI739" s="1">
        <v>1200.0</v>
      </c>
      <c r="DJ739" s="1">
        <v>1178229.0</v>
      </c>
      <c r="DK739" s="1">
        <v>2835.27</v>
      </c>
      <c r="DL739" s="1" t="s">
        <v>975</v>
      </c>
      <c r="DM739" s="1">
        <v>4415.556</v>
      </c>
      <c r="DN739" s="1" t="s">
        <v>975</v>
      </c>
      <c r="DO739" s="1">
        <v>3716437.0</v>
      </c>
      <c r="DP739" s="1">
        <v>1.0</v>
      </c>
      <c r="DQ739" s="1" t="s">
        <v>976</v>
      </c>
      <c r="DR739" s="1" t="s">
        <v>1376</v>
      </c>
      <c r="DS739" s="1" t="s">
        <v>978</v>
      </c>
      <c r="DU739" s="1" t="s">
        <v>980</v>
      </c>
      <c r="DV739" s="1">
        <v>14296.0</v>
      </c>
      <c r="DX739" s="1">
        <v>3937.0</v>
      </c>
      <c r="DY739" s="1">
        <v>668292.0</v>
      </c>
      <c r="DZ739" s="1" t="s">
        <v>981</v>
      </c>
      <c r="EA739" s="1">
        <v>860.0</v>
      </c>
      <c r="EB739" s="1">
        <v>23800.0</v>
      </c>
      <c r="EC739" s="1">
        <v>24.0</v>
      </c>
      <c r="ED739" s="1">
        <v>26492.0</v>
      </c>
      <c r="EF739" s="1">
        <v>235.0</v>
      </c>
      <c r="EG739" s="1" t="s">
        <v>982</v>
      </c>
      <c r="EH739" s="1">
        <v>100.0</v>
      </c>
      <c r="EK739" s="1">
        <v>100.0</v>
      </c>
      <c r="EQ739" s="9" t="s">
        <v>3077</v>
      </c>
      <c r="ER739" s="21">
        <v>46045.299212962964</v>
      </c>
    </row>
    <row r="740">
      <c r="A740" s="9" t="s">
        <v>3082</v>
      </c>
      <c r="B740" s="20" t="str">
        <f>IFERROR(__xludf.DUMMYFUNCTION("REGEXREPLACE(A740, ""^https?://[^/]+"", """")"),"/wp-content/uploads/elementor/css/post-19807.css?ver=1768847459")</f>
        <v>/wp-content/uploads/elementor/css/post-19807.css?ver=1768847459</v>
      </c>
      <c r="F740" s="1" t="s">
        <v>1016</v>
      </c>
      <c r="G740" s="1">
        <v>200.0</v>
      </c>
      <c r="H740" s="1" t="s">
        <v>966</v>
      </c>
      <c r="I740" s="1" t="s">
        <v>967</v>
      </c>
      <c r="L740" s="1">
        <v>0.0</v>
      </c>
      <c r="M740" s="1">
        <v>0.0</v>
      </c>
      <c r="O740" s="1">
        <v>0.0</v>
      </c>
      <c r="P740" s="1">
        <v>0.0</v>
      </c>
      <c r="R740" s="1">
        <v>0.0</v>
      </c>
      <c r="S740" s="1">
        <v>0.0</v>
      </c>
      <c r="U740" s="1">
        <v>0.0</v>
      </c>
      <c r="W740" s="1">
        <v>0.0</v>
      </c>
      <c r="Y740" s="1">
        <v>0.0</v>
      </c>
      <c r="AA740" s="1">
        <v>0.0</v>
      </c>
      <c r="AC740" s="1">
        <v>0.0</v>
      </c>
      <c r="AM740" s="1">
        <v>1525.0</v>
      </c>
      <c r="AN740" s="1">
        <v>1525.0</v>
      </c>
      <c r="AO740" s="1">
        <v>1525.0</v>
      </c>
      <c r="AP740" s="1">
        <v>0.584</v>
      </c>
      <c r="AR740" s="1">
        <v>0.0</v>
      </c>
      <c r="AW740" s="1">
        <v>0.0</v>
      </c>
      <c r="AX740" s="1">
        <v>2.0</v>
      </c>
      <c r="AY740" s="1">
        <v>4.0</v>
      </c>
      <c r="BA740" s="1">
        <v>0.0</v>
      </c>
      <c r="BB740" s="1">
        <v>0.0</v>
      </c>
      <c r="BC740" s="1">
        <v>0.0</v>
      </c>
      <c r="BD740" s="1">
        <v>0.0</v>
      </c>
      <c r="BE740" s="1">
        <v>0.0</v>
      </c>
      <c r="BF740" s="1">
        <v>0.0</v>
      </c>
      <c r="BG740" s="1">
        <v>0.0</v>
      </c>
      <c r="BH740" s="1">
        <v>0.0</v>
      </c>
      <c r="BI740" s="1">
        <v>0.0</v>
      </c>
      <c r="BJ740" s="1">
        <v>0.0</v>
      </c>
      <c r="BP740" s="1">
        <v>0.254</v>
      </c>
      <c r="BQ740" s="1" t="s">
        <v>3083</v>
      </c>
      <c r="BV740" s="1">
        <v>1.1</v>
      </c>
      <c r="EQ740" s="9" t="s">
        <v>3082</v>
      </c>
      <c r="ER740" s="21">
        <v>46045.29922453704</v>
      </c>
    </row>
    <row r="741">
      <c r="A741" s="9" t="s">
        <v>3084</v>
      </c>
      <c r="B741" s="20" t="str">
        <f>IFERROR(__xludf.DUMMYFUNCTION("REGEXREPLACE(A741, ""^https?://[^/]+"", """")"),"/books/how-our-proven-process-improved-sales-for-a-promotional-products-company/")</f>
        <v>/books/how-our-proven-process-improved-sales-for-a-promotional-products-company/</v>
      </c>
      <c r="C741" s="1" t="s">
        <v>3085</v>
      </c>
      <c r="F741" s="1" t="s">
        <v>965</v>
      </c>
      <c r="G741" s="1">
        <v>200.0</v>
      </c>
      <c r="H741" s="1" t="s">
        <v>966</v>
      </c>
      <c r="I741" s="1" t="s">
        <v>967</v>
      </c>
      <c r="K741" s="1" t="s">
        <v>3086</v>
      </c>
      <c r="L741" s="1">
        <v>105.0</v>
      </c>
      <c r="M741" s="1">
        <v>990.0</v>
      </c>
      <c r="O741" s="1">
        <v>0.0</v>
      </c>
      <c r="P741" s="1">
        <v>0.0</v>
      </c>
      <c r="Q741" s="1" t="s">
        <v>3087</v>
      </c>
      <c r="R741" s="1">
        <v>126.0</v>
      </c>
      <c r="S741" s="1">
        <v>814.0</v>
      </c>
      <c r="U741" s="1">
        <v>0.0</v>
      </c>
      <c r="V741" s="1" t="s">
        <v>3085</v>
      </c>
      <c r="W741" s="1">
        <v>72.0</v>
      </c>
      <c r="Y741" s="1">
        <v>0.0</v>
      </c>
      <c r="AA741" s="1">
        <v>0.0</v>
      </c>
      <c r="AC741" s="1">
        <v>0.0</v>
      </c>
      <c r="AD741" s="1" t="s">
        <v>971</v>
      </c>
      <c r="AG741" s="9" t="s">
        <v>3084</v>
      </c>
      <c r="AM741" s="1">
        <v>178045.0</v>
      </c>
      <c r="AN741" s="1">
        <v>35658.0</v>
      </c>
      <c r="AO741" s="1">
        <v>35658.0</v>
      </c>
      <c r="AP741" s="1">
        <v>13.66</v>
      </c>
      <c r="AR741" s="1">
        <v>584.0</v>
      </c>
      <c r="AS741" s="1">
        <v>103.0</v>
      </c>
      <c r="AT741" s="1">
        <v>5.67</v>
      </c>
      <c r="AU741" s="1">
        <v>61.287</v>
      </c>
      <c r="AV741" s="1" t="s">
        <v>990</v>
      </c>
      <c r="AW741" s="1">
        <v>3.378</v>
      </c>
      <c r="AX741" s="1">
        <v>2.0</v>
      </c>
      <c r="AY741" s="1">
        <v>2.0</v>
      </c>
      <c r="AZ741" s="1">
        <v>1.0</v>
      </c>
      <c r="BA741" s="1">
        <v>1.0</v>
      </c>
      <c r="BB741" s="1">
        <v>1.0</v>
      </c>
      <c r="BC741" s="1">
        <v>0.0</v>
      </c>
      <c r="BD741" s="1">
        <v>0.13</v>
      </c>
      <c r="BE741" s="1">
        <v>122.0</v>
      </c>
      <c r="BF741" s="1">
        <v>42.0</v>
      </c>
      <c r="BG741" s="1">
        <v>0.0</v>
      </c>
      <c r="BH741" s="1">
        <v>16.0</v>
      </c>
      <c r="BI741" s="1">
        <v>8.0</v>
      </c>
      <c r="BJ741" s="1">
        <v>0.0</v>
      </c>
      <c r="BO741" s="1" t="s">
        <v>3088</v>
      </c>
      <c r="BP741" s="1">
        <v>1.052</v>
      </c>
      <c r="BU741" s="1" t="s">
        <v>974</v>
      </c>
      <c r="BV741" s="1">
        <v>1.1</v>
      </c>
      <c r="BW741" s="1">
        <v>57.0</v>
      </c>
      <c r="BX741" s="1">
        <v>3451.019</v>
      </c>
      <c r="BY741" s="1">
        <v>7740.017</v>
      </c>
      <c r="BZ741" s="1">
        <v>8251.048</v>
      </c>
      <c r="CA741" s="1">
        <v>20890.412</v>
      </c>
      <c r="CB741" s="1">
        <v>213.0</v>
      </c>
      <c r="CC741" s="1">
        <v>0.02</v>
      </c>
      <c r="CD741" s="1">
        <v>1254321.0</v>
      </c>
      <c r="CE741" s="1">
        <v>1350.0</v>
      </c>
      <c r="CF741" s="1">
        <v>187.0</v>
      </c>
      <c r="CG741" s="1">
        <v>3699580.0</v>
      </c>
      <c r="CH741" s="1">
        <v>91416.0</v>
      </c>
      <c r="CI741" s="1">
        <v>4.0</v>
      </c>
      <c r="CJ741" s="1">
        <v>137880.0</v>
      </c>
      <c r="CK741" s="1">
        <v>23.0</v>
      </c>
      <c r="CL741" s="1">
        <v>228348.0</v>
      </c>
      <c r="CM741" s="1">
        <v>45.0</v>
      </c>
      <c r="CN741" s="1">
        <v>2536063.0</v>
      </c>
      <c r="CO741" s="1">
        <v>79.0</v>
      </c>
      <c r="CP741" s="1">
        <v>315209.0</v>
      </c>
      <c r="CQ741" s="1">
        <v>7.0</v>
      </c>
      <c r="CR741" s="1">
        <v>0.0</v>
      </c>
      <c r="CS741" s="1">
        <v>0.0</v>
      </c>
      <c r="CT741" s="1">
        <v>390664.0</v>
      </c>
      <c r="CU741" s="1">
        <v>29.0</v>
      </c>
      <c r="CV741" s="1">
        <v>2819370.0</v>
      </c>
      <c r="CW741" s="1">
        <v>80.0</v>
      </c>
      <c r="DC741" s="1">
        <v>0.0</v>
      </c>
      <c r="DD741" s="1">
        <v>5077.0</v>
      </c>
      <c r="DE741" s="1">
        <v>0.0</v>
      </c>
      <c r="DF741" s="1">
        <v>3396.0</v>
      </c>
      <c r="DG741" s="1">
        <v>300.0</v>
      </c>
      <c r="DH741" s="1">
        <v>68299.0</v>
      </c>
      <c r="DI741" s="1">
        <v>1050.0</v>
      </c>
      <c r="DJ741" s="1">
        <v>1177549.0</v>
      </c>
      <c r="DK741" s="1">
        <v>1621.145</v>
      </c>
      <c r="DL741" s="1" t="s">
        <v>975</v>
      </c>
      <c r="DM741" s="1">
        <v>2764.297</v>
      </c>
      <c r="DN741" s="1" t="s">
        <v>975</v>
      </c>
      <c r="DO741" s="1">
        <v>3699075.0</v>
      </c>
      <c r="DP741" s="1">
        <v>1.0</v>
      </c>
      <c r="DQ741" s="1" t="s">
        <v>976</v>
      </c>
      <c r="DR741" s="1" t="s">
        <v>1055</v>
      </c>
      <c r="DS741" s="1" t="s">
        <v>978</v>
      </c>
      <c r="DT741" s="1" t="s">
        <v>979</v>
      </c>
      <c r="DU741" s="1" t="s">
        <v>980</v>
      </c>
      <c r="DV741" s="1">
        <v>14296.0</v>
      </c>
      <c r="DX741" s="1">
        <v>3757.0</v>
      </c>
      <c r="DY741" s="1">
        <v>661419.0</v>
      </c>
      <c r="DZ741" s="1" t="s">
        <v>981</v>
      </c>
      <c r="EA741" s="1">
        <v>864.0</v>
      </c>
      <c r="EB741" s="1">
        <v>28839.0</v>
      </c>
      <c r="EC741" s="1">
        <v>0.0</v>
      </c>
      <c r="ED741" s="1">
        <v>26492.0</v>
      </c>
      <c r="EF741" s="1">
        <v>675.0</v>
      </c>
      <c r="EG741" s="1" t="s">
        <v>982</v>
      </c>
      <c r="EH741" s="1">
        <v>100.0</v>
      </c>
      <c r="EK741" s="1">
        <v>100.0</v>
      </c>
      <c r="EQ741" s="9" t="s">
        <v>3084</v>
      </c>
      <c r="ER741" s="21">
        <v>46045.299212962964</v>
      </c>
    </row>
    <row r="742">
      <c r="A742" s="9" t="s">
        <v>3089</v>
      </c>
      <c r="B742" s="20" t="str">
        <f>IFERROR(__xludf.DUMMYFUNCTION("REGEXREPLACE(A742, ""^https?://[^/]+"", """")"),"/wp-content/uploads/2025/09/AI-Sales-Integration_A-Practical-Guide-for-Sales-Growth-1-819x1024.jpg")</f>
        <v>/wp-content/uploads/2025/09/AI-Sales-Integration_A-Practical-Guide-for-Sales-Growth-1-819x1024.jpg</v>
      </c>
      <c r="F742" s="1" t="s">
        <v>1004</v>
      </c>
      <c r="G742" s="1">
        <v>200.0</v>
      </c>
      <c r="H742" s="1" t="s">
        <v>966</v>
      </c>
      <c r="I742" s="1" t="s">
        <v>967</v>
      </c>
      <c r="L742" s="1">
        <v>0.0</v>
      </c>
      <c r="M742" s="1">
        <v>0.0</v>
      </c>
      <c r="O742" s="1">
        <v>0.0</v>
      </c>
      <c r="P742" s="1">
        <v>0.0</v>
      </c>
      <c r="R742" s="1">
        <v>0.0</v>
      </c>
      <c r="S742" s="1">
        <v>0.0</v>
      </c>
      <c r="U742" s="1">
        <v>0.0</v>
      </c>
      <c r="W742" s="1">
        <v>0.0</v>
      </c>
      <c r="Y742" s="1">
        <v>0.0</v>
      </c>
      <c r="AA742" s="1">
        <v>0.0</v>
      </c>
      <c r="AC742" s="1">
        <v>0.0</v>
      </c>
      <c r="AM742" s="1">
        <v>66782.0</v>
      </c>
      <c r="AN742" s="1">
        <v>66782.0</v>
      </c>
      <c r="AO742" s="1">
        <v>66782.0</v>
      </c>
      <c r="AP742" s="1">
        <v>25.583</v>
      </c>
      <c r="AR742" s="1">
        <v>0.0</v>
      </c>
      <c r="AW742" s="1">
        <v>0.0</v>
      </c>
      <c r="AX742" s="1">
        <v>2.0</v>
      </c>
      <c r="AY742" s="1">
        <v>4.0</v>
      </c>
      <c r="BA742" s="1">
        <v>0.0</v>
      </c>
      <c r="BB742" s="1">
        <v>0.0</v>
      </c>
      <c r="BC742" s="1">
        <v>0.0</v>
      </c>
      <c r="BD742" s="1">
        <v>0.0</v>
      </c>
      <c r="BE742" s="1">
        <v>0.0</v>
      </c>
      <c r="BF742" s="1">
        <v>0.0</v>
      </c>
      <c r="BG742" s="1">
        <v>0.0</v>
      </c>
      <c r="BH742" s="1">
        <v>0.0</v>
      </c>
      <c r="BI742" s="1">
        <v>0.0</v>
      </c>
      <c r="BJ742" s="1">
        <v>0.0</v>
      </c>
      <c r="BP742" s="1">
        <v>0.273</v>
      </c>
      <c r="BQ742" s="1" t="s">
        <v>3090</v>
      </c>
      <c r="BV742" s="1">
        <v>1.1</v>
      </c>
      <c r="EQ742" s="9" t="s">
        <v>3089</v>
      </c>
      <c r="ER742" s="21">
        <v>46045.29922453704</v>
      </c>
    </row>
    <row r="743">
      <c r="A743" s="9" t="s">
        <v>3091</v>
      </c>
      <c r="B743" s="20" t="str">
        <f>IFERROR(__xludf.DUMMYFUNCTION("REGEXREPLACE(A743, ""^https?://[^/]+"", """")"),"/wp-content/uploads/2020/02/immediate-impact.jpg")</f>
        <v>/wp-content/uploads/2020/02/immediate-impact.jpg</v>
      </c>
      <c r="F743" s="1" t="s">
        <v>1004</v>
      </c>
      <c r="G743" s="1">
        <v>200.0</v>
      </c>
      <c r="H743" s="1" t="s">
        <v>966</v>
      </c>
      <c r="I743" s="1" t="s">
        <v>967</v>
      </c>
      <c r="L743" s="1">
        <v>0.0</v>
      </c>
      <c r="M743" s="1">
        <v>0.0</v>
      </c>
      <c r="O743" s="1">
        <v>0.0</v>
      </c>
      <c r="P743" s="1">
        <v>0.0</v>
      </c>
      <c r="R743" s="1">
        <v>0.0</v>
      </c>
      <c r="S743" s="1">
        <v>0.0</v>
      </c>
      <c r="U743" s="1">
        <v>0.0</v>
      </c>
      <c r="W743" s="1">
        <v>0.0</v>
      </c>
      <c r="Y743" s="1">
        <v>0.0</v>
      </c>
      <c r="AA743" s="1">
        <v>0.0</v>
      </c>
      <c r="AC743" s="1">
        <v>0.0</v>
      </c>
      <c r="AM743" s="1">
        <v>49549.0</v>
      </c>
      <c r="AN743" s="1">
        <v>49549.0</v>
      </c>
      <c r="AO743" s="1">
        <v>49549.0</v>
      </c>
      <c r="AP743" s="1">
        <v>18.981</v>
      </c>
      <c r="AR743" s="1">
        <v>0.0</v>
      </c>
      <c r="AW743" s="1">
        <v>0.0</v>
      </c>
      <c r="AX743" s="1">
        <v>2.0</v>
      </c>
      <c r="AY743" s="1">
        <v>4.0</v>
      </c>
      <c r="BA743" s="1">
        <v>0.0</v>
      </c>
      <c r="BB743" s="1">
        <v>0.0</v>
      </c>
      <c r="BC743" s="1">
        <v>0.0</v>
      </c>
      <c r="BD743" s="1">
        <v>0.0</v>
      </c>
      <c r="BE743" s="1">
        <v>0.0</v>
      </c>
      <c r="BF743" s="1">
        <v>0.0</v>
      </c>
      <c r="BG743" s="1">
        <v>0.0</v>
      </c>
      <c r="BH743" s="1">
        <v>0.0</v>
      </c>
      <c r="BI743" s="1">
        <v>0.0</v>
      </c>
      <c r="BJ743" s="1">
        <v>0.0</v>
      </c>
      <c r="BP743" s="1">
        <v>0.267</v>
      </c>
      <c r="BQ743" s="1" t="s">
        <v>3092</v>
      </c>
      <c r="BV743" s="1">
        <v>1.1</v>
      </c>
      <c r="EQ743" s="9" t="s">
        <v>3091</v>
      </c>
      <c r="ER743" s="21">
        <v>46045.29922453704</v>
      </c>
    </row>
    <row r="744">
      <c r="A744" s="9" t="s">
        <v>3093</v>
      </c>
      <c r="B744" s="20" t="str">
        <f>IFERROR(__xludf.DUMMYFUNCTION("REGEXREPLACE(A744, ""^https?://[^/]+"", """")"),"/books/ai-sales-integration")</f>
        <v>/books/ai-sales-integration</v>
      </c>
      <c r="F744" s="1" t="s">
        <v>965</v>
      </c>
      <c r="G744" s="1">
        <v>301.0</v>
      </c>
      <c r="H744" s="1" t="s">
        <v>1304</v>
      </c>
      <c r="I744" s="1" t="s">
        <v>1214</v>
      </c>
      <c r="J744" s="1" t="s">
        <v>1305</v>
      </c>
      <c r="L744" s="1">
        <v>0.0</v>
      </c>
      <c r="M744" s="1">
        <v>0.0</v>
      </c>
      <c r="O744" s="1">
        <v>0.0</v>
      </c>
      <c r="P744" s="1">
        <v>0.0</v>
      </c>
      <c r="R744" s="1">
        <v>0.0</v>
      </c>
      <c r="S744" s="1">
        <v>0.0</v>
      </c>
      <c r="U744" s="1">
        <v>0.0</v>
      </c>
      <c r="W744" s="1">
        <v>0.0</v>
      </c>
      <c r="Y744" s="1">
        <v>0.0</v>
      </c>
      <c r="AA744" s="1">
        <v>0.0</v>
      </c>
      <c r="AC744" s="1">
        <v>0.0</v>
      </c>
      <c r="AM744" s="1">
        <v>0.0</v>
      </c>
      <c r="AN744" s="1">
        <v>0.0</v>
      </c>
      <c r="AO744" s="1">
        <v>0.0</v>
      </c>
      <c r="AP744" s="1">
        <v>0.0</v>
      </c>
      <c r="AR744" s="1">
        <v>0.0</v>
      </c>
      <c r="AW744" s="1">
        <v>0.0</v>
      </c>
      <c r="AX744" s="1">
        <v>2.0</v>
      </c>
      <c r="AY744" s="1">
        <v>1.0</v>
      </c>
      <c r="BA744" s="1">
        <v>1.0</v>
      </c>
      <c r="BB744" s="1">
        <v>1.0</v>
      </c>
      <c r="BC744" s="1">
        <v>0.0</v>
      </c>
      <c r="BD744" s="1">
        <v>0.13</v>
      </c>
      <c r="BE744" s="1">
        <v>0.0</v>
      </c>
      <c r="BF744" s="1">
        <v>0.0</v>
      </c>
      <c r="BG744" s="1">
        <v>0.0</v>
      </c>
      <c r="BH744" s="1">
        <v>0.0</v>
      </c>
      <c r="BI744" s="1">
        <v>0.0</v>
      </c>
      <c r="BJ744" s="1">
        <v>0.0</v>
      </c>
      <c r="BP744" s="1">
        <v>0.567</v>
      </c>
      <c r="BR744" s="9" t="s">
        <v>3094</v>
      </c>
      <c r="BS744" s="1" t="s">
        <v>1307</v>
      </c>
      <c r="BV744" s="1">
        <v>1.1</v>
      </c>
      <c r="EQ744" s="9" t="s">
        <v>3093</v>
      </c>
      <c r="ER744" s="21">
        <v>46045.29922453704</v>
      </c>
    </row>
    <row r="745">
      <c r="A745" s="9" t="s">
        <v>3095</v>
      </c>
      <c r="B745" s="20" t="str">
        <f>IFERROR(__xludf.DUMMYFUNCTION("REGEXREPLACE(A745, ""^https?://[^/]+"", """")"),"/wp-content/uploads/2022/07/2022-SX-eBook-Before-and-After-1-791x1024.jpg")</f>
        <v>/wp-content/uploads/2022/07/2022-SX-eBook-Before-and-After-1-791x1024.jpg</v>
      </c>
      <c r="F745" s="1" t="s">
        <v>1004</v>
      </c>
      <c r="G745" s="1">
        <v>200.0</v>
      </c>
      <c r="H745" s="1" t="s">
        <v>966</v>
      </c>
      <c r="I745" s="1" t="s">
        <v>967</v>
      </c>
      <c r="L745" s="1">
        <v>0.0</v>
      </c>
      <c r="M745" s="1">
        <v>0.0</v>
      </c>
      <c r="O745" s="1">
        <v>0.0</v>
      </c>
      <c r="P745" s="1">
        <v>0.0</v>
      </c>
      <c r="R745" s="1">
        <v>0.0</v>
      </c>
      <c r="S745" s="1">
        <v>0.0</v>
      </c>
      <c r="U745" s="1">
        <v>0.0</v>
      </c>
      <c r="W745" s="1">
        <v>0.0</v>
      </c>
      <c r="Y745" s="1">
        <v>0.0</v>
      </c>
      <c r="AA745" s="1">
        <v>0.0</v>
      </c>
      <c r="AC745" s="1">
        <v>0.0</v>
      </c>
      <c r="AM745" s="1">
        <v>162555.0</v>
      </c>
      <c r="AN745" s="1">
        <v>162555.0</v>
      </c>
      <c r="AO745" s="1">
        <v>162555.0</v>
      </c>
      <c r="AP745" s="1">
        <v>62.272</v>
      </c>
      <c r="AR745" s="1">
        <v>0.0</v>
      </c>
      <c r="AW745" s="1">
        <v>0.0</v>
      </c>
      <c r="AX745" s="1">
        <v>2.0</v>
      </c>
      <c r="AY745" s="1">
        <v>4.0</v>
      </c>
      <c r="BA745" s="1">
        <v>0.0</v>
      </c>
      <c r="BB745" s="1">
        <v>0.0</v>
      </c>
      <c r="BC745" s="1">
        <v>0.0</v>
      </c>
      <c r="BD745" s="1">
        <v>0.0</v>
      </c>
      <c r="BE745" s="1">
        <v>0.0</v>
      </c>
      <c r="BF745" s="1">
        <v>0.0</v>
      </c>
      <c r="BG745" s="1">
        <v>0.0</v>
      </c>
      <c r="BH745" s="1">
        <v>0.0</v>
      </c>
      <c r="BI745" s="1">
        <v>0.0</v>
      </c>
      <c r="BJ745" s="1">
        <v>0.0</v>
      </c>
      <c r="BP745" s="1">
        <v>0.276</v>
      </c>
      <c r="BQ745" s="1" t="s">
        <v>3096</v>
      </c>
      <c r="BV745" s="1">
        <v>1.1</v>
      </c>
      <c r="EQ745" s="9" t="s">
        <v>3095</v>
      </c>
      <c r="ER745" s="21">
        <v>46045.29922453704</v>
      </c>
    </row>
    <row r="746">
      <c r="A746" s="9" t="s">
        <v>3097</v>
      </c>
      <c r="B746" s="20" t="str">
        <f>IFERROR(__xludf.DUMMYFUNCTION("REGEXREPLACE(A746, ""^https?://[^/]+"", """")"),"/books/intelligent-sales-pipeline/")</f>
        <v>/books/intelligent-sales-pipeline/</v>
      </c>
      <c r="C746" s="1" t="s">
        <v>3098</v>
      </c>
      <c r="F746" s="1" t="s">
        <v>965</v>
      </c>
      <c r="G746" s="1">
        <v>200.0</v>
      </c>
      <c r="H746" s="1" t="s">
        <v>966</v>
      </c>
      <c r="I746" s="1" t="s">
        <v>967</v>
      </c>
      <c r="K746" s="1" t="s">
        <v>3099</v>
      </c>
      <c r="L746" s="1">
        <v>92.0</v>
      </c>
      <c r="M746" s="1">
        <v>842.0</v>
      </c>
      <c r="O746" s="1">
        <v>0.0</v>
      </c>
      <c r="P746" s="1">
        <v>0.0</v>
      </c>
      <c r="Q746" s="1" t="s">
        <v>3100</v>
      </c>
      <c r="R746" s="1">
        <v>155.0</v>
      </c>
      <c r="S746" s="1">
        <v>962.0</v>
      </c>
      <c r="U746" s="1">
        <v>0.0</v>
      </c>
      <c r="V746" s="1" t="s">
        <v>3098</v>
      </c>
      <c r="W746" s="1">
        <v>59.0</v>
      </c>
      <c r="Y746" s="1">
        <v>0.0</v>
      </c>
      <c r="AA746" s="1">
        <v>0.0</v>
      </c>
      <c r="AC746" s="1">
        <v>0.0</v>
      </c>
      <c r="AD746" s="1" t="s">
        <v>971</v>
      </c>
      <c r="AG746" s="9" t="s">
        <v>3097</v>
      </c>
      <c r="AM746" s="1">
        <v>175734.0</v>
      </c>
      <c r="AN746" s="1">
        <v>35509.0</v>
      </c>
      <c r="AO746" s="1">
        <v>35509.0</v>
      </c>
      <c r="AP746" s="1">
        <v>13.603</v>
      </c>
      <c r="AR746" s="1">
        <v>580.0</v>
      </c>
      <c r="AS746" s="1">
        <v>103.0</v>
      </c>
      <c r="AT746" s="1">
        <v>5.631</v>
      </c>
      <c r="AU746" s="1">
        <v>60.508</v>
      </c>
      <c r="AV746" s="1" t="s">
        <v>990</v>
      </c>
      <c r="AW746" s="1">
        <v>3.417</v>
      </c>
      <c r="AX746" s="1">
        <v>2.0</v>
      </c>
      <c r="AY746" s="1">
        <v>2.0</v>
      </c>
      <c r="AZ746" s="1">
        <v>1.0</v>
      </c>
      <c r="BA746" s="1">
        <v>1.0</v>
      </c>
      <c r="BB746" s="1">
        <v>1.0</v>
      </c>
      <c r="BC746" s="1">
        <v>0.0</v>
      </c>
      <c r="BD746" s="1">
        <v>0.13</v>
      </c>
      <c r="BE746" s="1">
        <v>122.0</v>
      </c>
      <c r="BF746" s="1">
        <v>42.0</v>
      </c>
      <c r="BG746" s="1">
        <v>0.0</v>
      </c>
      <c r="BH746" s="1">
        <v>16.0</v>
      </c>
      <c r="BI746" s="1">
        <v>8.0</v>
      </c>
      <c r="BJ746" s="1">
        <v>0.0</v>
      </c>
      <c r="BO746" s="1" t="s">
        <v>3101</v>
      </c>
      <c r="BP746" s="1">
        <v>0.993</v>
      </c>
      <c r="BU746" s="1" t="s">
        <v>974</v>
      </c>
      <c r="BV746" s="1">
        <v>1.1</v>
      </c>
      <c r="BW746" s="1">
        <v>38.0</v>
      </c>
      <c r="BX746" s="1">
        <v>3601.039</v>
      </c>
      <c r="BY746" s="1">
        <v>7362.809</v>
      </c>
      <c r="BZ746" s="1">
        <v>8101.092</v>
      </c>
      <c r="CA746" s="1">
        <v>21880.393</v>
      </c>
      <c r="CB746" s="1">
        <v>1176.838</v>
      </c>
      <c r="CC746" s="1">
        <v>0.0</v>
      </c>
      <c r="CD746" s="1">
        <v>1255082.0</v>
      </c>
      <c r="CE746" s="1">
        <v>1350.0</v>
      </c>
      <c r="CF746" s="1">
        <v>189.0</v>
      </c>
      <c r="CG746" s="1">
        <v>3677051.0</v>
      </c>
      <c r="CH746" s="1">
        <v>90206.0</v>
      </c>
      <c r="CI746" s="1">
        <v>4.0</v>
      </c>
      <c r="CJ746" s="1">
        <v>114113.0</v>
      </c>
      <c r="CK746" s="1">
        <v>24.0</v>
      </c>
      <c r="CL746" s="1">
        <v>230183.0</v>
      </c>
      <c r="CM746" s="1">
        <v>45.0</v>
      </c>
      <c r="CN746" s="1">
        <v>2536524.0</v>
      </c>
      <c r="CO746" s="1">
        <v>79.0</v>
      </c>
      <c r="CP746" s="1">
        <v>315211.0</v>
      </c>
      <c r="CQ746" s="1">
        <v>7.0</v>
      </c>
      <c r="CR746" s="1">
        <v>0.0</v>
      </c>
      <c r="CS746" s="1">
        <v>0.0</v>
      </c>
      <c r="CT746" s="1">
        <v>390814.0</v>
      </c>
      <c r="CU746" s="1">
        <v>30.0</v>
      </c>
      <c r="CV746" s="1">
        <v>2820823.0</v>
      </c>
      <c r="CW746" s="1">
        <v>81.0</v>
      </c>
      <c r="DC746" s="1">
        <v>0.0</v>
      </c>
      <c r="DD746" s="1">
        <v>5075.0</v>
      </c>
      <c r="DE746" s="1">
        <v>0.0</v>
      </c>
      <c r="DF746" s="1">
        <v>3396.0</v>
      </c>
      <c r="DG746" s="1">
        <v>300.0</v>
      </c>
      <c r="DH746" s="1">
        <v>68293.0</v>
      </c>
      <c r="DI746" s="1">
        <v>1050.0</v>
      </c>
      <c r="DJ746" s="1">
        <v>1178318.0</v>
      </c>
      <c r="DK746" s="1">
        <v>3450.88</v>
      </c>
      <c r="DL746" s="1" t="s">
        <v>975</v>
      </c>
      <c r="DM746" s="1">
        <v>5431.671</v>
      </c>
      <c r="DN746" s="1" t="s">
        <v>975</v>
      </c>
      <c r="DO746" s="1">
        <v>3676546.0</v>
      </c>
      <c r="DP746" s="1">
        <v>1.0</v>
      </c>
      <c r="DQ746" s="1" t="s">
        <v>976</v>
      </c>
      <c r="DR746" s="1" t="s">
        <v>1014</v>
      </c>
      <c r="DS746" s="1" t="s">
        <v>978</v>
      </c>
      <c r="DT746" s="1" t="s">
        <v>979</v>
      </c>
      <c r="DU746" s="1" t="s">
        <v>980</v>
      </c>
      <c r="DV746" s="1">
        <v>14297.0</v>
      </c>
      <c r="DX746" s="1">
        <v>3673.0</v>
      </c>
      <c r="DY746" s="1">
        <v>651951.0</v>
      </c>
      <c r="DZ746" s="1" t="s">
        <v>981</v>
      </c>
      <c r="EA746" s="1">
        <v>860.0</v>
      </c>
      <c r="EB746" s="1">
        <v>0.0</v>
      </c>
      <c r="EC746" s="1">
        <v>29.0</v>
      </c>
      <c r="ED746" s="1">
        <v>26492.0</v>
      </c>
      <c r="EF746" s="1">
        <v>390.0</v>
      </c>
      <c r="EG746" s="1" t="s">
        <v>982</v>
      </c>
      <c r="EH746" s="1">
        <v>100.0</v>
      </c>
      <c r="EK746" s="1">
        <v>100.0</v>
      </c>
      <c r="EQ746" s="9" t="s">
        <v>3097</v>
      </c>
      <c r="ER746" s="21">
        <v>46045.299212962964</v>
      </c>
    </row>
    <row r="747">
      <c r="A747" s="9" t="s">
        <v>3102</v>
      </c>
      <c r="B747" s="20" t="str">
        <f>IFERROR(__xludf.DUMMYFUNCTION("REGEXREPLACE(A747, ""^https?://[^/]+"", """")"),"/wp-content/uploads/2022/05/Manufacturing-Sales-Challenges-791x1024.jpg")</f>
        <v>/wp-content/uploads/2022/05/Manufacturing-Sales-Challenges-791x1024.jpg</v>
      </c>
      <c r="F747" s="1" t="s">
        <v>1004</v>
      </c>
      <c r="G747" s="1">
        <v>200.0</v>
      </c>
      <c r="H747" s="1" t="s">
        <v>966</v>
      </c>
      <c r="I747" s="1" t="s">
        <v>967</v>
      </c>
      <c r="L747" s="1">
        <v>0.0</v>
      </c>
      <c r="M747" s="1">
        <v>0.0</v>
      </c>
      <c r="O747" s="1">
        <v>0.0</v>
      </c>
      <c r="P747" s="1">
        <v>0.0</v>
      </c>
      <c r="R747" s="1">
        <v>0.0</v>
      </c>
      <c r="S747" s="1">
        <v>0.0</v>
      </c>
      <c r="U747" s="1">
        <v>0.0</v>
      </c>
      <c r="W747" s="1">
        <v>0.0</v>
      </c>
      <c r="Y747" s="1">
        <v>0.0</v>
      </c>
      <c r="AA747" s="1">
        <v>0.0</v>
      </c>
      <c r="AC747" s="1">
        <v>0.0</v>
      </c>
      <c r="AM747" s="1">
        <v>167726.0</v>
      </c>
      <c r="AN747" s="1">
        <v>167726.0</v>
      </c>
      <c r="AO747" s="1">
        <v>167726.0</v>
      </c>
      <c r="AP747" s="1">
        <v>64.253</v>
      </c>
      <c r="AR747" s="1">
        <v>0.0</v>
      </c>
      <c r="AW747" s="1">
        <v>0.0</v>
      </c>
      <c r="AX747" s="1">
        <v>2.0</v>
      </c>
      <c r="AY747" s="1">
        <v>4.0</v>
      </c>
      <c r="BA747" s="1">
        <v>0.0</v>
      </c>
      <c r="BB747" s="1">
        <v>0.0</v>
      </c>
      <c r="BC747" s="1">
        <v>0.0</v>
      </c>
      <c r="BD747" s="1">
        <v>0.0</v>
      </c>
      <c r="BE747" s="1">
        <v>0.0</v>
      </c>
      <c r="BF747" s="1">
        <v>0.0</v>
      </c>
      <c r="BG747" s="1">
        <v>0.0</v>
      </c>
      <c r="BH747" s="1">
        <v>0.0</v>
      </c>
      <c r="BI747" s="1">
        <v>0.0</v>
      </c>
      <c r="BJ747" s="1">
        <v>0.0</v>
      </c>
      <c r="BP747" s="1">
        <v>0.265</v>
      </c>
      <c r="BQ747" s="1" t="s">
        <v>3103</v>
      </c>
      <c r="BV747" s="1">
        <v>1.1</v>
      </c>
      <c r="EQ747" s="9" t="s">
        <v>3102</v>
      </c>
      <c r="ER747" s="21">
        <v>46045.29922453704</v>
      </c>
    </row>
    <row r="748">
      <c r="A748" s="9" t="s">
        <v>3104</v>
      </c>
      <c r="B748" s="20" t="str">
        <f>IFERROR(__xludf.DUMMYFUNCTION("REGEXREPLACE(A748, ""^https?://[^/]+"", """")"),"/books/how-to-build-a-highly-efficient-sales-structure/")</f>
        <v>/books/how-to-build-a-highly-efficient-sales-structure/</v>
      </c>
      <c r="C748" s="1" t="s">
        <v>3105</v>
      </c>
      <c r="F748" s="1" t="s">
        <v>965</v>
      </c>
      <c r="G748" s="1">
        <v>200.0</v>
      </c>
      <c r="H748" s="1" t="s">
        <v>966</v>
      </c>
      <c r="I748" s="1" t="s">
        <v>967</v>
      </c>
      <c r="K748" s="1" t="s">
        <v>3106</v>
      </c>
      <c r="L748" s="1">
        <v>80.0</v>
      </c>
      <c r="M748" s="1">
        <v>699.0</v>
      </c>
      <c r="O748" s="1">
        <v>0.0</v>
      </c>
      <c r="P748" s="1">
        <v>0.0</v>
      </c>
      <c r="Q748" s="1" t="s">
        <v>3107</v>
      </c>
      <c r="R748" s="1">
        <v>153.0</v>
      </c>
      <c r="S748" s="1">
        <v>940.0</v>
      </c>
      <c r="U748" s="1">
        <v>0.0</v>
      </c>
      <c r="V748" s="1" t="s">
        <v>3105</v>
      </c>
      <c r="W748" s="1">
        <v>47.0</v>
      </c>
      <c r="Y748" s="1">
        <v>0.0</v>
      </c>
      <c r="AA748" s="1">
        <v>0.0</v>
      </c>
      <c r="AC748" s="1">
        <v>0.0</v>
      </c>
      <c r="AD748" s="1" t="s">
        <v>971</v>
      </c>
      <c r="AG748" s="9" t="s">
        <v>3104</v>
      </c>
      <c r="AM748" s="1">
        <v>178149.0</v>
      </c>
      <c r="AN748" s="1">
        <v>35718.0</v>
      </c>
      <c r="AO748" s="1">
        <v>35718.0</v>
      </c>
      <c r="AP748" s="1">
        <v>13.683</v>
      </c>
      <c r="AR748" s="1">
        <v>581.0</v>
      </c>
      <c r="AS748" s="1">
        <v>103.0</v>
      </c>
      <c r="AT748" s="1">
        <v>5.641</v>
      </c>
      <c r="AU748" s="1">
        <v>61.76</v>
      </c>
      <c r="AV748" s="1" t="s">
        <v>990</v>
      </c>
      <c r="AW748" s="1">
        <v>3.36</v>
      </c>
      <c r="AX748" s="1">
        <v>2.0</v>
      </c>
      <c r="AY748" s="1">
        <v>2.0</v>
      </c>
      <c r="AZ748" s="1">
        <v>1.0</v>
      </c>
      <c r="BA748" s="1">
        <v>1.0</v>
      </c>
      <c r="BB748" s="1">
        <v>1.0</v>
      </c>
      <c r="BC748" s="1">
        <v>0.0</v>
      </c>
      <c r="BD748" s="1">
        <v>0.13</v>
      </c>
      <c r="BE748" s="1">
        <v>122.0</v>
      </c>
      <c r="BF748" s="1">
        <v>42.0</v>
      </c>
      <c r="BG748" s="1">
        <v>0.0</v>
      </c>
      <c r="BH748" s="1">
        <v>16.0</v>
      </c>
      <c r="BI748" s="1">
        <v>8.0</v>
      </c>
      <c r="BJ748" s="1">
        <v>0.0</v>
      </c>
      <c r="BO748" s="1" t="s">
        <v>3108</v>
      </c>
      <c r="BP748" s="1">
        <v>0.988</v>
      </c>
      <c r="BU748" s="1" t="s">
        <v>974</v>
      </c>
      <c r="BV748" s="1">
        <v>1.1</v>
      </c>
      <c r="BW748" s="1">
        <v>41.0</v>
      </c>
      <c r="BX748" s="1">
        <v>2854.715</v>
      </c>
      <c r="BY748" s="1">
        <v>7705.251</v>
      </c>
      <c r="BZ748" s="1">
        <v>9901.085</v>
      </c>
      <c r="CA748" s="1">
        <v>21925.609</v>
      </c>
      <c r="CB748" s="1">
        <v>1041.0</v>
      </c>
      <c r="CC748" s="1">
        <v>0.0</v>
      </c>
      <c r="CD748" s="1">
        <v>1255400.0</v>
      </c>
      <c r="CE748" s="1">
        <v>1350.0</v>
      </c>
      <c r="CF748" s="1">
        <v>193.0</v>
      </c>
      <c r="CG748" s="1">
        <v>3674358.0</v>
      </c>
      <c r="CH748" s="1">
        <v>90424.0</v>
      </c>
      <c r="CI748" s="1">
        <v>4.0</v>
      </c>
      <c r="CJ748" s="1">
        <v>111419.0</v>
      </c>
      <c r="CK748" s="1">
        <v>28.0</v>
      </c>
      <c r="CL748" s="1">
        <v>229333.0</v>
      </c>
      <c r="CM748" s="1">
        <v>45.0</v>
      </c>
      <c r="CN748" s="1">
        <v>2536016.0</v>
      </c>
      <c r="CO748" s="1">
        <v>79.0</v>
      </c>
      <c r="CP748" s="1">
        <v>315209.0</v>
      </c>
      <c r="CQ748" s="1">
        <v>7.0</v>
      </c>
      <c r="CR748" s="1">
        <v>0.0</v>
      </c>
      <c r="CS748" s="1">
        <v>0.0</v>
      </c>
      <c r="CT748" s="1">
        <v>391957.0</v>
      </c>
      <c r="CU748" s="1">
        <v>30.0</v>
      </c>
      <c r="CV748" s="1">
        <v>2819742.0</v>
      </c>
      <c r="CW748" s="1">
        <v>81.0</v>
      </c>
      <c r="DC748" s="1">
        <v>0.0</v>
      </c>
      <c r="DD748" s="1">
        <v>5075.0</v>
      </c>
      <c r="DE748" s="1">
        <v>0.0</v>
      </c>
      <c r="DF748" s="1">
        <v>3396.0</v>
      </c>
      <c r="DG748" s="1">
        <v>300.0</v>
      </c>
      <c r="DH748" s="1">
        <v>68294.0</v>
      </c>
      <c r="DI748" s="1">
        <v>1050.0</v>
      </c>
      <c r="DJ748" s="1">
        <v>1178635.0</v>
      </c>
      <c r="DK748" s="1">
        <v>3007.243</v>
      </c>
      <c r="DL748" s="1" t="s">
        <v>975</v>
      </c>
      <c r="DM748" s="1">
        <v>4764.38</v>
      </c>
      <c r="DN748" s="1" t="s">
        <v>975</v>
      </c>
      <c r="DO748" s="1">
        <v>3673853.0</v>
      </c>
      <c r="DP748" s="1">
        <v>1.0</v>
      </c>
      <c r="DQ748" s="1" t="s">
        <v>976</v>
      </c>
      <c r="DR748" s="1" t="s">
        <v>1014</v>
      </c>
      <c r="DS748" s="1" t="s">
        <v>978</v>
      </c>
      <c r="DU748" s="1" t="s">
        <v>980</v>
      </c>
      <c r="DV748" s="1">
        <v>14146.0</v>
      </c>
      <c r="DX748" s="1">
        <v>4128.0</v>
      </c>
      <c r="DY748" s="1">
        <v>651049.0</v>
      </c>
      <c r="DZ748" s="1" t="s">
        <v>981</v>
      </c>
      <c r="EA748" s="1">
        <v>860.0</v>
      </c>
      <c r="EB748" s="1">
        <v>4453.0</v>
      </c>
      <c r="EC748" s="1">
        <v>20.0</v>
      </c>
      <c r="ED748" s="1">
        <v>26492.0</v>
      </c>
      <c r="EF748" s="1">
        <v>230.0</v>
      </c>
      <c r="EG748" s="1" t="s">
        <v>982</v>
      </c>
      <c r="EH748" s="1">
        <v>100.0</v>
      </c>
      <c r="EK748" s="1">
        <v>100.0</v>
      </c>
      <c r="EQ748" s="9" t="s">
        <v>3104</v>
      </c>
      <c r="ER748" s="21">
        <v>46045.29922453704</v>
      </c>
    </row>
    <row r="749">
      <c r="A749" s="9" t="s">
        <v>3109</v>
      </c>
      <c r="B749" s="20" t="str">
        <f>IFERROR(__xludf.DUMMYFUNCTION("REGEXREPLACE(A749, ""^https?://[^/]+"", """")"),"/wp-content/uploads/2019/05/2019-05-28_152123-2.jpg")</f>
        <v>/wp-content/uploads/2019/05/2019-05-28_152123-2.jpg</v>
      </c>
      <c r="F749" s="1" t="s">
        <v>1004</v>
      </c>
      <c r="G749" s="1">
        <v>200.0</v>
      </c>
      <c r="H749" s="1" t="s">
        <v>966</v>
      </c>
      <c r="I749" s="1" t="s">
        <v>967</v>
      </c>
      <c r="L749" s="1">
        <v>0.0</v>
      </c>
      <c r="M749" s="1">
        <v>0.0</v>
      </c>
      <c r="O749" s="1">
        <v>0.0</v>
      </c>
      <c r="P749" s="1">
        <v>0.0</v>
      </c>
      <c r="R749" s="1">
        <v>0.0</v>
      </c>
      <c r="S749" s="1">
        <v>0.0</v>
      </c>
      <c r="U749" s="1">
        <v>0.0</v>
      </c>
      <c r="W749" s="1">
        <v>0.0</v>
      </c>
      <c r="Y749" s="1">
        <v>0.0</v>
      </c>
      <c r="AA749" s="1">
        <v>0.0</v>
      </c>
      <c r="AC749" s="1">
        <v>0.0</v>
      </c>
      <c r="AM749" s="1">
        <v>84041.0</v>
      </c>
      <c r="AN749" s="1">
        <v>84041.0</v>
      </c>
      <c r="AO749" s="1">
        <v>84041.0</v>
      </c>
      <c r="AP749" s="1">
        <v>32.195</v>
      </c>
      <c r="AR749" s="1">
        <v>0.0</v>
      </c>
      <c r="AW749" s="1">
        <v>0.0</v>
      </c>
      <c r="AX749" s="1">
        <v>2.0</v>
      </c>
      <c r="AY749" s="1">
        <v>4.0</v>
      </c>
      <c r="BA749" s="1">
        <v>0.0</v>
      </c>
      <c r="BB749" s="1">
        <v>0.0</v>
      </c>
      <c r="BC749" s="1">
        <v>0.0</v>
      </c>
      <c r="BD749" s="1">
        <v>0.0</v>
      </c>
      <c r="BE749" s="1">
        <v>0.0</v>
      </c>
      <c r="BF749" s="1">
        <v>0.0</v>
      </c>
      <c r="BG749" s="1">
        <v>0.0</v>
      </c>
      <c r="BH749" s="1">
        <v>0.0</v>
      </c>
      <c r="BI749" s="1">
        <v>0.0</v>
      </c>
      <c r="BJ749" s="1">
        <v>0.0</v>
      </c>
      <c r="BP749" s="1">
        <v>0.264</v>
      </c>
      <c r="BQ749" s="1" t="s">
        <v>3110</v>
      </c>
      <c r="BV749" s="1">
        <v>1.1</v>
      </c>
      <c r="EQ749" s="9" t="s">
        <v>3109</v>
      </c>
      <c r="ER749" s="21">
        <v>46045.29923611111</v>
      </c>
    </row>
    <row r="750">
      <c r="A750" s="9" t="s">
        <v>3111</v>
      </c>
      <c r="B750" s="20" t="str">
        <f>IFERROR(__xludf.DUMMYFUNCTION("REGEXREPLACE(A750, ""^https?://[^/]+"", """")"),"/wp-content/themes/salesxceleratione/assets/css/style.css?ver=1769123325")</f>
        <v>/wp-content/themes/salesxceleratione/assets/css/style.css?ver=1769123325</v>
      </c>
      <c r="F750" s="1" t="s">
        <v>1016</v>
      </c>
      <c r="G750" s="1">
        <v>200.0</v>
      </c>
      <c r="H750" s="1" t="s">
        <v>966</v>
      </c>
      <c r="I750" s="1" t="s">
        <v>967</v>
      </c>
      <c r="L750" s="1">
        <v>0.0</v>
      </c>
      <c r="M750" s="1">
        <v>0.0</v>
      </c>
      <c r="O750" s="1">
        <v>0.0</v>
      </c>
      <c r="P750" s="1">
        <v>0.0</v>
      </c>
      <c r="R750" s="1">
        <v>0.0</v>
      </c>
      <c r="S750" s="1">
        <v>0.0</v>
      </c>
      <c r="U750" s="1">
        <v>0.0</v>
      </c>
      <c r="W750" s="1">
        <v>0.0</v>
      </c>
      <c r="Y750" s="1">
        <v>0.0</v>
      </c>
      <c r="AA750" s="1">
        <v>0.0</v>
      </c>
      <c r="AC750" s="1">
        <v>0.0</v>
      </c>
      <c r="AM750" s="1">
        <v>17704.0</v>
      </c>
      <c r="AN750" s="1">
        <v>17704.0</v>
      </c>
      <c r="AO750" s="1">
        <v>17704.0</v>
      </c>
      <c r="AP750" s="1">
        <v>6.782</v>
      </c>
      <c r="AR750" s="1">
        <v>0.0</v>
      </c>
      <c r="AW750" s="1">
        <v>0.0</v>
      </c>
      <c r="AX750" s="1">
        <v>2.0</v>
      </c>
      <c r="AY750" s="1">
        <v>5.0</v>
      </c>
      <c r="BA750" s="1">
        <v>0.0</v>
      </c>
      <c r="BB750" s="1">
        <v>0.0</v>
      </c>
      <c r="BC750" s="1">
        <v>0.0</v>
      </c>
      <c r="BD750" s="1">
        <v>0.0</v>
      </c>
      <c r="BE750" s="1">
        <v>0.0</v>
      </c>
      <c r="BF750" s="1">
        <v>0.0</v>
      </c>
      <c r="BG750" s="1">
        <v>0.0</v>
      </c>
      <c r="BH750" s="1">
        <v>0.0</v>
      </c>
      <c r="BI750" s="1">
        <v>0.0</v>
      </c>
      <c r="BJ750" s="1">
        <v>0.0</v>
      </c>
      <c r="BP750" s="1">
        <v>0.282</v>
      </c>
      <c r="BQ750" s="1" t="s">
        <v>3112</v>
      </c>
      <c r="BV750" s="1">
        <v>1.1</v>
      </c>
      <c r="EQ750" s="9" t="s">
        <v>3111</v>
      </c>
      <c r="ER750" s="21">
        <v>46045.29923611111</v>
      </c>
    </row>
    <row r="751">
      <c r="A751" s="9" t="s">
        <v>3113</v>
      </c>
      <c r="B751" s="20" t="str">
        <f>IFERROR(__xludf.DUMMYFUNCTION("REGEXREPLACE(A751, ""^https?://[^/]+"", """")"),"/wp-content/uploads/2024/12/From-Stagnant-Growth-to-Doubling-Revenue_Sales-Xceleration-807x1024.jpg")</f>
        <v>/wp-content/uploads/2024/12/From-Stagnant-Growth-to-Doubling-Revenue_Sales-Xceleration-807x1024.jpg</v>
      </c>
      <c r="F751" s="1" t="s">
        <v>1004</v>
      </c>
      <c r="G751" s="1">
        <v>200.0</v>
      </c>
      <c r="H751" s="1" t="s">
        <v>966</v>
      </c>
      <c r="I751" s="1" t="s">
        <v>967</v>
      </c>
      <c r="L751" s="1">
        <v>0.0</v>
      </c>
      <c r="M751" s="1">
        <v>0.0</v>
      </c>
      <c r="O751" s="1">
        <v>0.0</v>
      </c>
      <c r="P751" s="1">
        <v>0.0</v>
      </c>
      <c r="R751" s="1">
        <v>0.0</v>
      </c>
      <c r="S751" s="1">
        <v>0.0</v>
      </c>
      <c r="U751" s="1">
        <v>0.0</v>
      </c>
      <c r="W751" s="1">
        <v>0.0</v>
      </c>
      <c r="Y751" s="1">
        <v>0.0</v>
      </c>
      <c r="AA751" s="1">
        <v>0.0</v>
      </c>
      <c r="AC751" s="1">
        <v>0.0</v>
      </c>
      <c r="AM751" s="1">
        <v>118166.0</v>
      </c>
      <c r="AN751" s="1">
        <v>118166.0</v>
      </c>
      <c r="AO751" s="1">
        <v>118166.0</v>
      </c>
      <c r="AP751" s="1">
        <v>45.267</v>
      </c>
      <c r="AR751" s="1">
        <v>0.0</v>
      </c>
      <c r="AW751" s="1">
        <v>0.0</v>
      </c>
      <c r="AX751" s="1">
        <v>2.0</v>
      </c>
      <c r="AY751" s="1">
        <v>4.0</v>
      </c>
      <c r="BA751" s="1">
        <v>0.0</v>
      </c>
      <c r="BB751" s="1">
        <v>0.0</v>
      </c>
      <c r="BC751" s="1">
        <v>0.0</v>
      </c>
      <c r="BD751" s="1">
        <v>0.0</v>
      </c>
      <c r="BE751" s="1">
        <v>0.0</v>
      </c>
      <c r="BF751" s="1">
        <v>0.0</v>
      </c>
      <c r="BG751" s="1">
        <v>0.0</v>
      </c>
      <c r="BH751" s="1">
        <v>0.0</v>
      </c>
      <c r="BI751" s="1">
        <v>0.0</v>
      </c>
      <c r="BJ751" s="1">
        <v>0.0</v>
      </c>
      <c r="BP751" s="1">
        <v>0.258</v>
      </c>
      <c r="BQ751" s="1" t="s">
        <v>3114</v>
      </c>
      <c r="BV751" s="1">
        <v>1.1</v>
      </c>
      <c r="EQ751" s="9" t="s">
        <v>3113</v>
      </c>
      <c r="ER751" s="21">
        <v>46045.29923611111</v>
      </c>
    </row>
    <row r="752">
      <c r="A752" s="9" t="s">
        <v>3115</v>
      </c>
      <c r="B752" s="20" t="str">
        <f>IFERROR(__xludf.DUMMYFUNCTION("REGEXREPLACE(A752, ""^https?://[^/]+"", """")"),"/books/how-a-sales-consultant-made-an-immediate-impact-on-a-beverage-companys-sales-organization-in-only-three-months/")</f>
        <v>/books/how-a-sales-consultant-made-an-immediate-impact-on-a-beverage-companys-sales-organization-in-only-three-months/</v>
      </c>
      <c r="C752" s="1" t="s">
        <v>3116</v>
      </c>
      <c r="F752" s="1" t="s">
        <v>965</v>
      </c>
      <c r="G752" s="1">
        <v>200.0</v>
      </c>
      <c r="H752" s="1" t="s">
        <v>966</v>
      </c>
      <c r="I752" s="1" t="s">
        <v>967</v>
      </c>
      <c r="K752" s="1" t="s">
        <v>3117</v>
      </c>
      <c r="L752" s="1">
        <v>135.0</v>
      </c>
      <c r="M752" s="1">
        <v>1266.0</v>
      </c>
      <c r="O752" s="1">
        <v>0.0</v>
      </c>
      <c r="P752" s="1">
        <v>0.0</v>
      </c>
      <c r="Q752" s="1" t="s">
        <v>3118</v>
      </c>
      <c r="R752" s="1">
        <v>157.0</v>
      </c>
      <c r="S752" s="1">
        <v>1004.0</v>
      </c>
      <c r="U752" s="1">
        <v>0.0</v>
      </c>
      <c r="V752" s="1" t="s">
        <v>3116</v>
      </c>
      <c r="W752" s="1">
        <v>102.0</v>
      </c>
      <c r="Y752" s="1">
        <v>0.0</v>
      </c>
      <c r="AA752" s="1">
        <v>0.0</v>
      </c>
      <c r="AC752" s="1">
        <v>0.0</v>
      </c>
      <c r="AD752" s="1" t="s">
        <v>971</v>
      </c>
      <c r="AG752" s="9" t="s">
        <v>3115</v>
      </c>
      <c r="AM752" s="1">
        <v>177170.0</v>
      </c>
      <c r="AN752" s="1">
        <v>35727.0</v>
      </c>
      <c r="AO752" s="1">
        <v>35727.0</v>
      </c>
      <c r="AP752" s="1">
        <v>13.686</v>
      </c>
      <c r="AR752" s="1">
        <v>590.0</v>
      </c>
      <c r="AS752" s="1">
        <v>104.0</v>
      </c>
      <c r="AT752" s="1">
        <v>5.673</v>
      </c>
      <c r="AU752" s="1">
        <v>60.985</v>
      </c>
      <c r="AV752" s="1" t="s">
        <v>990</v>
      </c>
      <c r="AW752" s="1">
        <v>3.412</v>
      </c>
      <c r="AX752" s="1">
        <v>2.0</v>
      </c>
      <c r="AY752" s="1">
        <v>2.0</v>
      </c>
      <c r="AZ752" s="1">
        <v>1.0</v>
      </c>
      <c r="BA752" s="1">
        <v>1.0</v>
      </c>
      <c r="BB752" s="1">
        <v>1.0</v>
      </c>
      <c r="BC752" s="1">
        <v>0.0</v>
      </c>
      <c r="BD752" s="1">
        <v>0.13</v>
      </c>
      <c r="BE752" s="1">
        <v>122.0</v>
      </c>
      <c r="BF752" s="1">
        <v>42.0</v>
      </c>
      <c r="BG752" s="1">
        <v>0.0</v>
      </c>
      <c r="BH752" s="1">
        <v>16.0</v>
      </c>
      <c r="BI752" s="1">
        <v>8.0</v>
      </c>
      <c r="BJ752" s="1">
        <v>0.0</v>
      </c>
      <c r="BO752" s="1" t="s">
        <v>3119</v>
      </c>
      <c r="BP752" s="1">
        <v>1.034</v>
      </c>
      <c r="BU752" s="1" t="s">
        <v>974</v>
      </c>
      <c r="BV752" s="1">
        <v>1.1</v>
      </c>
      <c r="BW752" s="1">
        <v>44.0</v>
      </c>
      <c r="BX752" s="1">
        <v>3451.027</v>
      </c>
      <c r="BY752" s="1">
        <v>7293.89</v>
      </c>
      <c r="BZ752" s="1">
        <v>7801.063</v>
      </c>
      <c r="CA752" s="1">
        <v>21731.297</v>
      </c>
      <c r="CB752" s="1">
        <v>731.5</v>
      </c>
      <c r="CC752" s="1">
        <v>0.0</v>
      </c>
      <c r="CD752" s="1">
        <v>1254069.0</v>
      </c>
      <c r="CE752" s="1">
        <v>1540.0</v>
      </c>
      <c r="CF752" s="1">
        <v>189.0</v>
      </c>
      <c r="CG752" s="1">
        <v>3707980.0</v>
      </c>
      <c r="CH752" s="1">
        <v>90512.0</v>
      </c>
      <c r="CI752" s="1">
        <v>4.0</v>
      </c>
      <c r="CJ752" s="1">
        <v>122584.0</v>
      </c>
      <c r="CK752" s="1">
        <v>23.0</v>
      </c>
      <c r="CL752" s="1">
        <v>230197.0</v>
      </c>
      <c r="CM752" s="1">
        <v>45.0</v>
      </c>
      <c r="CN752" s="1">
        <v>2536394.0</v>
      </c>
      <c r="CO752" s="1">
        <v>79.0</v>
      </c>
      <c r="CP752" s="1">
        <v>337159.0</v>
      </c>
      <c r="CQ752" s="1">
        <v>8.0</v>
      </c>
      <c r="CR752" s="1">
        <v>0.0</v>
      </c>
      <c r="CS752" s="1">
        <v>0.0</v>
      </c>
      <c r="CT752" s="1">
        <v>391134.0</v>
      </c>
      <c r="CU752" s="1">
        <v>30.0</v>
      </c>
      <c r="CV752" s="1">
        <v>2842791.0</v>
      </c>
      <c r="CW752" s="1">
        <v>82.0</v>
      </c>
      <c r="DC752" s="1">
        <v>0.0</v>
      </c>
      <c r="DD752" s="1">
        <v>5075.0</v>
      </c>
      <c r="DE752" s="1">
        <v>0.0</v>
      </c>
      <c r="DF752" s="1">
        <v>3396.0</v>
      </c>
      <c r="DG752" s="1">
        <v>490.0</v>
      </c>
      <c r="DH752" s="1">
        <v>68293.0</v>
      </c>
      <c r="DI752" s="1">
        <v>1050.0</v>
      </c>
      <c r="DJ752" s="1">
        <v>1177305.0</v>
      </c>
      <c r="DK752" s="1">
        <v>2838.244</v>
      </c>
      <c r="DL752" s="1" t="s">
        <v>975</v>
      </c>
      <c r="DM752" s="1">
        <v>4422.651</v>
      </c>
      <c r="DN752" s="1" t="s">
        <v>975</v>
      </c>
      <c r="DO752" s="1">
        <v>3707475.0</v>
      </c>
      <c r="DP752" s="1">
        <v>1.0</v>
      </c>
      <c r="DQ752" s="1" t="s">
        <v>976</v>
      </c>
      <c r="DR752" s="1" t="s">
        <v>1151</v>
      </c>
      <c r="DS752" s="1" t="s">
        <v>978</v>
      </c>
      <c r="DT752" s="1" t="s">
        <v>979</v>
      </c>
      <c r="DU752" s="1" t="s">
        <v>980</v>
      </c>
      <c r="DV752" s="1">
        <v>14296.0</v>
      </c>
      <c r="DX752" s="1">
        <v>4216.0</v>
      </c>
      <c r="DY752" s="1">
        <v>655345.0</v>
      </c>
      <c r="DZ752" s="1" t="s">
        <v>981</v>
      </c>
      <c r="EA752" s="1">
        <v>860.0</v>
      </c>
      <c r="EB752" s="1">
        <v>19391.0</v>
      </c>
      <c r="EC752" s="1">
        <v>1.0</v>
      </c>
      <c r="ED752" s="1">
        <v>26492.0</v>
      </c>
      <c r="EF752" s="1">
        <v>1505.0</v>
      </c>
      <c r="EG752" s="1" t="s">
        <v>982</v>
      </c>
      <c r="EH752" s="1">
        <v>100.0</v>
      </c>
      <c r="EK752" s="1">
        <v>100.0</v>
      </c>
      <c r="EQ752" s="9" t="s">
        <v>3115</v>
      </c>
      <c r="ER752" s="21">
        <v>46045.29922453704</v>
      </c>
    </row>
    <row r="753">
      <c r="A753" s="9" t="s">
        <v>1218</v>
      </c>
      <c r="B753" s="20" t="str">
        <f>IFERROR(__xludf.DUMMYFUNCTION("REGEXREPLACE(A753, ""^https?://[^/]+"", """")"),"/technology/")</f>
        <v>/technology/</v>
      </c>
      <c r="F753" s="1" t="s">
        <v>965</v>
      </c>
      <c r="G753" s="1">
        <v>301.0</v>
      </c>
      <c r="H753" s="1" t="s">
        <v>1304</v>
      </c>
      <c r="I753" s="1" t="s">
        <v>1214</v>
      </c>
      <c r="J753" s="1" t="s">
        <v>1305</v>
      </c>
      <c r="L753" s="1">
        <v>0.0</v>
      </c>
      <c r="M753" s="1">
        <v>0.0</v>
      </c>
      <c r="O753" s="1">
        <v>0.0</v>
      </c>
      <c r="P753" s="1">
        <v>0.0</v>
      </c>
      <c r="R753" s="1">
        <v>0.0</v>
      </c>
      <c r="S753" s="1">
        <v>0.0</v>
      </c>
      <c r="U753" s="1">
        <v>0.0</v>
      </c>
      <c r="W753" s="1">
        <v>0.0</v>
      </c>
      <c r="Y753" s="1">
        <v>0.0</v>
      </c>
      <c r="AA753" s="1">
        <v>0.0</v>
      </c>
      <c r="AC753" s="1">
        <v>0.0</v>
      </c>
      <c r="AM753" s="1">
        <v>0.0</v>
      </c>
      <c r="AN753" s="1">
        <v>0.0</v>
      </c>
      <c r="AO753" s="1">
        <v>0.0</v>
      </c>
      <c r="AP753" s="1">
        <v>0.0</v>
      </c>
      <c r="AR753" s="1">
        <v>0.0</v>
      </c>
      <c r="AW753" s="1">
        <v>0.0</v>
      </c>
      <c r="AX753" s="1">
        <v>2.0</v>
      </c>
      <c r="AY753" s="1">
        <v>1.0</v>
      </c>
      <c r="BA753" s="1">
        <v>0.0</v>
      </c>
      <c r="BB753" s="1">
        <v>0.0</v>
      </c>
      <c r="BC753" s="1">
        <v>0.0</v>
      </c>
      <c r="BD753" s="1">
        <v>0.0</v>
      </c>
      <c r="BE753" s="1">
        <v>0.0</v>
      </c>
      <c r="BF753" s="1">
        <v>0.0</v>
      </c>
      <c r="BG753" s="1">
        <v>0.0</v>
      </c>
      <c r="BH753" s="1">
        <v>0.0</v>
      </c>
      <c r="BI753" s="1">
        <v>0.0</v>
      </c>
      <c r="BJ753" s="1">
        <v>0.0</v>
      </c>
      <c r="BP753" s="1">
        <v>0.568</v>
      </c>
      <c r="BR753" s="9" t="s">
        <v>3120</v>
      </c>
      <c r="BS753" s="1" t="s">
        <v>1307</v>
      </c>
      <c r="BV753" s="1">
        <v>1.1</v>
      </c>
      <c r="EQ753" s="9" t="s">
        <v>1218</v>
      </c>
      <c r="ER753" s="21">
        <v>46045.29923611111</v>
      </c>
    </row>
    <row r="754">
      <c r="A754" s="9" t="s">
        <v>3121</v>
      </c>
      <c r="B754" s="20" t="str">
        <f>IFERROR(__xludf.DUMMYFUNCTION("REGEXREPLACE(A754, ""^https?://[^/]+"", """")"),"/wp-content/uploads/elementor/css/post-70745.css?ver=1768857128")</f>
        <v>/wp-content/uploads/elementor/css/post-70745.css?ver=1768857128</v>
      </c>
      <c r="F754" s="1" t="s">
        <v>1016</v>
      </c>
      <c r="G754" s="1">
        <v>200.0</v>
      </c>
      <c r="H754" s="1" t="s">
        <v>966</v>
      </c>
      <c r="I754" s="1" t="s">
        <v>967</v>
      </c>
      <c r="L754" s="1">
        <v>0.0</v>
      </c>
      <c r="M754" s="1">
        <v>0.0</v>
      </c>
      <c r="O754" s="1">
        <v>0.0</v>
      </c>
      <c r="P754" s="1">
        <v>0.0</v>
      </c>
      <c r="R754" s="1">
        <v>0.0</v>
      </c>
      <c r="S754" s="1">
        <v>0.0</v>
      </c>
      <c r="U754" s="1">
        <v>0.0</v>
      </c>
      <c r="W754" s="1">
        <v>0.0</v>
      </c>
      <c r="Y754" s="1">
        <v>0.0</v>
      </c>
      <c r="AA754" s="1">
        <v>0.0</v>
      </c>
      <c r="AC754" s="1">
        <v>0.0</v>
      </c>
      <c r="AM754" s="1">
        <v>3249.0</v>
      </c>
      <c r="AN754" s="1">
        <v>3249.0</v>
      </c>
      <c r="AO754" s="1">
        <v>3249.0</v>
      </c>
      <c r="AP754" s="1">
        <v>1.245</v>
      </c>
      <c r="AR754" s="1">
        <v>0.0</v>
      </c>
      <c r="AW754" s="1">
        <v>0.0</v>
      </c>
      <c r="AX754" s="1">
        <v>2.0</v>
      </c>
      <c r="AY754" s="1">
        <v>4.0</v>
      </c>
      <c r="BA754" s="1">
        <v>0.0</v>
      </c>
      <c r="BB754" s="1">
        <v>0.0</v>
      </c>
      <c r="BC754" s="1">
        <v>0.0</v>
      </c>
      <c r="BD754" s="1">
        <v>0.0</v>
      </c>
      <c r="BE754" s="1">
        <v>0.0</v>
      </c>
      <c r="BF754" s="1">
        <v>0.0</v>
      </c>
      <c r="BG754" s="1">
        <v>0.0</v>
      </c>
      <c r="BH754" s="1">
        <v>0.0</v>
      </c>
      <c r="BI754" s="1">
        <v>0.0</v>
      </c>
      <c r="BJ754" s="1">
        <v>0.0</v>
      </c>
      <c r="BP754" s="1">
        <v>0.252</v>
      </c>
      <c r="BQ754" s="1" t="s">
        <v>3122</v>
      </c>
      <c r="BV754" s="1">
        <v>1.1</v>
      </c>
      <c r="EQ754" s="9" t="s">
        <v>3121</v>
      </c>
      <c r="ER754" s="21">
        <v>46045.29924768519</v>
      </c>
    </row>
    <row r="755">
      <c r="A755" s="9" t="s">
        <v>3123</v>
      </c>
      <c r="B755" s="20" t="str">
        <f>IFERROR(__xludf.DUMMYFUNCTION("REGEXREPLACE(A755, ""^https?://[^/]+"", """")"),"/books/how-to-recruit-hire-and-onboard-top-sales-performers/")</f>
        <v>/books/how-to-recruit-hire-and-onboard-top-sales-performers/</v>
      </c>
      <c r="C755" s="1" t="s">
        <v>3124</v>
      </c>
      <c r="F755" s="1" t="s">
        <v>965</v>
      </c>
      <c r="G755" s="1">
        <v>200.0</v>
      </c>
      <c r="H755" s="1" t="s">
        <v>966</v>
      </c>
      <c r="I755" s="1" t="s">
        <v>967</v>
      </c>
      <c r="K755" s="1" t="s">
        <v>3125</v>
      </c>
      <c r="L755" s="1">
        <v>87.0</v>
      </c>
      <c r="M755" s="1">
        <v>790.0</v>
      </c>
      <c r="O755" s="1">
        <v>0.0</v>
      </c>
      <c r="P755" s="1">
        <v>0.0</v>
      </c>
      <c r="Q755" s="1" t="s">
        <v>3126</v>
      </c>
      <c r="R755" s="1">
        <v>156.0</v>
      </c>
      <c r="S755" s="1">
        <v>932.0</v>
      </c>
      <c r="U755" s="1">
        <v>0.0</v>
      </c>
      <c r="V755" s="1" t="s">
        <v>3124</v>
      </c>
      <c r="W755" s="1">
        <v>54.0</v>
      </c>
      <c r="Y755" s="1">
        <v>0.0</v>
      </c>
      <c r="AA755" s="1">
        <v>0.0</v>
      </c>
      <c r="AC755" s="1">
        <v>0.0</v>
      </c>
      <c r="AD755" s="1" t="s">
        <v>971</v>
      </c>
      <c r="AG755" s="9" t="s">
        <v>3123</v>
      </c>
      <c r="AM755" s="1">
        <v>178307.0</v>
      </c>
      <c r="AN755" s="1">
        <v>35728.0</v>
      </c>
      <c r="AO755" s="1">
        <v>35728.0</v>
      </c>
      <c r="AP755" s="1">
        <v>13.687</v>
      </c>
      <c r="AR755" s="1">
        <v>582.0</v>
      </c>
      <c r="AS755" s="1">
        <v>103.0</v>
      </c>
      <c r="AT755" s="1">
        <v>5.65</v>
      </c>
      <c r="AU755" s="1">
        <v>61.408</v>
      </c>
      <c r="AV755" s="1" t="s">
        <v>990</v>
      </c>
      <c r="AW755" s="1">
        <v>3.364</v>
      </c>
      <c r="AX755" s="1">
        <v>2.0</v>
      </c>
      <c r="AY755" s="1">
        <v>2.0</v>
      </c>
      <c r="AZ755" s="1">
        <v>1.0</v>
      </c>
      <c r="BA755" s="1">
        <v>1.0</v>
      </c>
      <c r="BB755" s="1">
        <v>1.0</v>
      </c>
      <c r="BC755" s="1">
        <v>0.0</v>
      </c>
      <c r="BD755" s="1">
        <v>0.13</v>
      </c>
      <c r="BE755" s="1">
        <v>122.0</v>
      </c>
      <c r="BF755" s="1">
        <v>42.0</v>
      </c>
      <c r="BG755" s="1">
        <v>0.0</v>
      </c>
      <c r="BH755" s="1">
        <v>16.0</v>
      </c>
      <c r="BI755" s="1">
        <v>8.0</v>
      </c>
      <c r="BJ755" s="1">
        <v>0.0</v>
      </c>
      <c r="BO755" s="1" t="s">
        <v>3127</v>
      </c>
      <c r="BP755" s="1">
        <v>1.06</v>
      </c>
      <c r="BU755" s="1" t="s">
        <v>974</v>
      </c>
      <c r="BV755" s="1">
        <v>1.1</v>
      </c>
      <c r="BW755" s="1">
        <v>46.0</v>
      </c>
      <c r="BX755" s="1">
        <v>2732.014</v>
      </c>
      <c r="BY755" s="1">
        <v>6793.406</v>
      </c>
      <c r="BZ755" s="1">
        <v>8101.047</v>
      </c>
      <c r="CA755" s="1">
        <v>21499.127</v>
      </c>
      <c r="CB755" s="1">
        <v>813.0</v>
      </c>
      <c r="CC755" s="1">
        <v>0.0</v>
      </c>
      <c r="CD755" s="1">
        <v>1254401.0</v>
      </c>
      <c r="CE755" s="1">
        <v>1860.0</v>
      </c>
      <c r="CF755" s="1">
        <v>189.0</v>
      </c>
      <c r="CG755" s="1">
        <v>3705669.0</v>
      </c>
      <c r="CH755" s="1">
        <v>90345.0</v>
      </c>
      <c r="CI755" s="1">
        <v>4.0</v>
      </c>
      <c r="CJ755" s="1">
        <v>143921.0</v>
      </c>
      <c r="CK755" s="1">
        <v>24.0</v>
      </c>
      <c r="CL755" s="1">
        <v>229331.0</v>
      </c>
      <c r="CM755" s="1">
        <v>45.0</v>
      </c>
      <c r="CN755" s="1">
        <v>2535946.0</v>
      </c>
      <c r="CO755" s="1">
        <v>79.0</v>
      </c>
      <c r="CP755" s="1">
        <v>315209.0</v>
      </c>
      <c r="CQ755" s="1">
        <v>7.0</v>
      </c>
      <c r="CR755" s="1">
        <v>0.0</v>
      </c>
      <c r="CS755" s="1">
        <v>0.0</v>
      </c>
      <c r="CT755" s="1">
        <v>390917.0</v>
      </c>
      <c r="CU755" s="1">
        <v>30.0</v>
      </c>
      <c r="CV755" s="1">
        <v>2819410.0</v>
      </c>
      <c r="CW755" s="1">
        <v>81.0</v>
      </c>
      <c r="DC755" s="1">
        <v>150.0</v>
      </c>
      <c r="DD755" s="1">
        <v>5075.0</v>
      </c>
      <c r="DE755" s="1">
        <v>0.0</v>
      </c>
      <c r="DF755" s="1">
        <v>3396.0</v>
      </c>
      <c r="DG755" s="1">
        <v>510.0</v>
      </c>
      <c r="DH755" s="1">
        <v>68295.0</v>
      </c>
      <c r="DI755" s="1">
        <v>1200.0</v>
      </c>
      <c r="DJ755" s="1">
        <v>1177635.0</v>
      </c>
      <c r="DK755" s="1">
        <v>2742.427</v>
      </c>
      <c r="DL755" s="1" t="s">
        <v>975</v>
      </c>
      <c r="DM755" s="1">
        <v>4413.691</v>
      </c>
      <c r="DN755" s="1" t="s">
        <v>975</v>
      </c>
      <c r="DO755" s="1">
        <v>3705164.0</v>
      </c>
      <c r="DP755" s="1">
        <v>1.0</v>
      </c>
      <c r="DQ755" s="1" t="s">
        <v>976</v>
      </c>
      <c r="DR755" s="1" t="s">
        <v>993</v>
      </c>
      <c r="DS755" s="1" t="s">
        <v>978</v>
      </c>
      <c r="DT755" s="1" t="s">
        <v>979</v>
      </c>
      <c r="DU755" s="1" t="s">
        <v>980</v>
      </c>
      <c r="DV755" s="1">
        <v>14146.0</v>
      </c>
      <c r="DX755" s="1">
        <v>3755.0</v>
      </c>
      <c r="DY755" s="1">
        <v>663885.0</v>
      </c>
      <c r="DZ755" s="1" t="s">
        <v>981</v>
      </c>
      <c r="EA755" s="1">
        <v>860.0</v>
      </c>
      <c r="EB755" s="1">
        <v>17424.0</v>
      </c>
      <c r="EC755" s="1">
        <v>0.0</v>
      </c>
      <c r="ED755" s="1">
        <v>26492.0</v>
      </c>
      <c r="EF755" s="1">
        <v>225.0</v>
      </c>
      <c r="EG755" s="1" t="s">
        <v>982</v>
      </c>
      <c r="EH755" s="1">
        <v>100.0</v>
      </c>
      <c r="EK755" s="1">
        <v>100.0</v>
      </c>
      <c r="EQ755" s="9" t="s">
        <v>3123</v>
      </c>
      <c r="ER755" s="21">
        <v>46045.29923611111</v>
      </c>
    </row>
    <row r="756">
      <c r="A756" s="9" t="s">
        <v>3128</v>
      </c>
      <c r="B756" s="20" t="str">
        <f>IFERROR(__xludf.DUMMYFUNCTION("REGEXREPLACE(A756, ""^https?://[^/]+"", """")"),"/wp-content/uploads/2025/10/manufacturing-case-study.jpg")</f>
        <v>/wp-content/uploads/2025/10/manufacturing-case-study.jpg</v>
      </c>
      <c r="F756" s="1" t="s">
        <v>1004</v>
      </c>
      <c r="G756" s="1">
        <v>200.0</v>
      </c>
      <c r="H756" s="1" t="s">
        <v>966</v>
      </c>
      <c r="I756" s="1" t="s">
        <v>967</v>
      </c>
      <c r="L756" s="1">
        <v>0.0</v>
      </c>
      <c r="M756" s="1">
        <v>0.0</v>
      </c>
      <c r="O756" s="1">
        <v>0.0</v>
      </c>
      <c r="P756" s="1">
        <v>0.0</v>
      </c>
      <c r="R756" s="1">
        <v>0.0</v>
      </c>
      <c r="S756" s="1">
        <v>0.0</v>
      </c>
      <c r="U756" s="1">
        <v>0.0</v>
      </c>
      <c r="W756" s="1">
        <v>0.0</v>
      </c>
      <c r="Y756" s="1">
        <v>0.0</v>
      </c>
      <c r="AA756" s="1">
        <v>0.0</v>
      </c>
      <c r="AC756" s="1">
        <v>0.0</v>
      </c>
      <c r="AM756" s="1">
        <v>221384.0</v>
      </c>
      <c r="AN756" s="1">
        <v>221384.0</v>
      </c>
      <c r="AO756" s="1">
        <v>221384.0</v>
      </c>
      <c r="AP756" s="1">
        <v>84.808</v>
      </c>
      <c r="AR756" s="1">
        <v>0.0</v>
      </c>
      <c r="AW756" s="1">
        <v>0.0</v>
      </c>
      <c r="AX756" s="1">
        <v>2.0</v>
      </c>
      <c r="AY756" s="1">
        <v>4.0</v>
      </c>
      <c r="BA756" s="1">
        <v>0.0</v>
      </c>
      <c r="BB756" s="1">
        <v>0.0</v>
      </c>
      <c r="BC756" s="1">
        <v>0.0</v>
      </c>
      <c r="BD756" s="1">
        <v>0.0</v>
      </c>
      <c r="BE756" s="1">
        <v>0.0</v>
      </c>
      <c r="BF756" s="1">
        <v>0.0</v>
      </c>
      <c r="BG756" s="1">
        <v>0.0</v>
      </c>
      <c r="BH756" s="1">
        <v>0.0</v>
      </c>
      <c r="BI756" s="1">
        <v>0.0</v>
      </c>
      <c r="BJ756" s="1">
        <v>0.0</v>
      </c>
      <c r="BP756" s="1">
        <v>0.267</v>
      </c>
      <c r="BQ756" s="1" t="s">
        <v>3129</v>
      </c>
      <c r="BV756" s="1">
        <v>1.1</v>
      </c>
      <c r="EQ756" s="9" t="s">
        <v>3128</v>
      </c>
      <c r="ER756" s="21">
        <v>46045.29924768519</v>
      </c>
    </row>
    <row r="757">
      <c r="A757" s="9" t="s">
        <v>3130</v>
      </c>
      <c r="B757" s="20" t="str">
        <f>IFERROR(__xludf.DUMMYFUNCTION("REGEXREPLACE(A757, ""^https?://[^/]+"", """")"),"/wp-content/uploads/2025/10/manufacturing-case-study-featured-photo.jpg")</f>
        <v>/wp-content/uploads/2025/10/manufacturing-case-study-featured-photo.jpg</v>
      </c>
      <c r="F757" s="1" t="s">
        <v>1004</v>
      </c>
      <c r="G757" s="1">
        <v>200.0</v>
      </c>
      <c r="H757" s="1" t="s">
        <v>966</v>
      </c>
      <c r="I757" s="1" t="s">
        <v>967</v>
      </c>
      <c r="L757" s="1">
        <v>0.0</v>
      </c>
      <c r="M757" s="1">
        <v>0.0</v>
      </c>
      <c r="O757" s="1">
        <v>0.0</v>
      </c>
      <c r="P757" s="1">
        <v>0.0</v>
      </c>
      <c r="R757" s="1">
        <v>0.0</v>
      </c>
      <c r="S757" s="1">
        <v>0.0</v>
      </c>
      <c r="U757" s="1">
        <v>0.0</v>
      </c>
      <c r="W757" s="1">
        <v>0.0</v>
      </c>
      <c r="Y757" s="1">
        <v>0.0</v>
      </c>
      <c r="AA757" s="1">
        <v>0.0</v>
      </c>
      <c r="AC757" s="1">
        <v>0.0</v>
      </c>
      <c r="AM757" s="1">
        <v>323364.0</v>
      </c>
      <c r="AN757" s="1">
        <v>323364.0</v>
      </c>
      <c r="AO757" s="1">
        <v>323364.0</v>
      </c>
      <c r="AP757" s="1">
        <v>123.875</v>
      </c>
      <c r="AR757" s="1">
        <v>0.0</v>
      </c>
      <c r="AW757" s="1">
        <v>0.0</v>
      </c>
      <c r="AX757" s="1">
        <v>2.0</v>
      </c>
      <c r="AY757" s="1">
        <v>4.0</v>
      </c>
      <c r="BA757" s="1">
        <v>0.0</v>
      </c>
      <c r="BB757" s="1">
        <v>0.0</v>
      </c>
      <c r="BC757" s="1">
        <v>0.0</v>
      </c>
      <c r="BD757" s="1">
        <v>0.0</v>
      </c>
      <c r="BE757" s="1">
        <v>0.0</v>
      </c>
      <c r="BF757" s="1">
        <v>0.0</v>
      </c>
      <c r="BG757" s="1">
        <v>0.0</v>
      </c>
      <c r="BH757" s="1">
        <v>0.0</v>
      </c>
      <c r="BI757" s="1">
        <v>0.0</v>
      </c>
      <c r="BJ757" s="1">
        <v>0.0</v>
      </c>
      <c r="BP757" s="1">
        <v>0.273</v>
      </c>
      <c r="BQ757" s="1" t="s">
        <v>3131</v>
      </c>
      <c r="BV757" s="1">
        <v>1.1</v>
      </c>
      <c r="EQ757" s="9" t="s">
        <v>3130</v>
      </c>
      <c r="ER757" s="21">
        <v>46045.29924768519</v>
      </c>
    </row>
    <row r="758">
      <c r="A758" s="9" t="s">
        <v>3132</v>
      </c>
      <c r="B758" s="20" t="str">
        <f>IFERROR(__xludf.DUMMYFUNCTION("REGEXREPLACE(A758, ""^https?://[^/]+"", """")"),"/books/getting-started-with-social-media/")</f>
        <v>/books/getting-started-with-social-media/</v>
      </c>
      <c r="C758" s="1" t="s">
        <v>3133</v>
      </c>
      <c r="F758" s="1" t="s">
        <v>965</v>
      </c>
      <c r="G758" s="1">
        <v>200.0</v>
      </c>
      <c r="H758" s="1" t="s">
        <v>966</v>
      </c>
      <c r="I758" s="1" t="s">
        <v>967</v>
      </c>
      <c r="K758" s="1" t="s">
        <v>3134</v>
      </c>
      <c r="L758" s="1">
        <v>66.0</v>
      </c>
      <c r="M758" s="1">
        <v>589.0</v>
      </c>
      <c r="O758" s="1">
        <v>0.0</v>
      </c>
      <c r="P758" s="1">
        <v>0.0</v>
      </c>
      <c r="Q758" s="1" t="s">
        <v>3135</v>
      </c>
      <c r="R758" s="1">
        <v>128.0</v>
      </c>
      <c r="S758" s="1">
        <v>789.0</v>
      </c>
      <c r="U758" s="1">
        <v>0.0</v>
      </c>
      <c r="V758" s="1" t="s">
        <v>3133</v>
      </c>
      <c r="W758" s="1">
        <v>33.0</v>
      </c>
      <c r="Y758" s="1">
        <v>0.0</v>
      </c>
      <c r="AA758" s="1">
        <v>0.0</v>
      </c>
      <c r="AC758" s="1">
        <v>0.0</v>
      </c>
      <c r="AD758" s="1" t="s">
        <v>971</v>
      </c>
      <c r="AG758" s="9" t="s">
        <v>3132</v>
      </c>
      <c r="AM758" s="1">
        <v>177872.0</v>
      </c>
      <c r="AN758" s="1">
        <v>35614.0</v>
      </c>
      <c r="AO758" s="1">
        <v>35614.0</v>
      </c>
      <c r="AP758" s="1">
        <v>13.643</v>
      </c>
      <c r="AR758" s="1">
        <v>578.0</v>
      </c>
      <c r="AS758" s="1">
        <v>103.0</v>
      </c>
      <c r="AT758" s="1">
        <v>5.612</v>
      </c>
      <c r="AU758" s="1">
        <v>61.213</v>
      </c>
      <c r="AV758" s="1" t="s">
        <v>990</v>
      </c>
      <c r="AW758" s="1">
        <v>3.36</v>
      </c>
      <c r="AX758" s="1">
        <v>2.0</v>
      </c>
      <c r="AY758" s="1">
        <v>2.0</v>
      </c>
      <c r="AZ758" s="1">
        <v>1.0</v>
      </c>
      <c r="BA758" s="1">
        <v>1.0</v>
      </c>
      <c r="BB758" s="1">
        <v>1.0</v>
      </c>
      <c r="BC758" s="1">
        <v>0.0</v>
      </c>
      <c r="BD758" s="1">
        <v>0.13</v>
      </c>
      <c r="BE758" s="1">
        <v>122.0</v>
      </c>
      <c r="BF758" s="1">
        <v>42.0</v>
      </c>
      <c r="BG758" s="1">
        <v>0.0</v>
      </c>
      <c r="BH758" s="1">
        <v>16.0</v>
      </c>
      <c r="BI758" s="1">
        <v>8.0</v>
      </c>
      <c r="BJ758" s="1">
        <v>0.0</v>
      </c>
      <c r="BO758" s="1" t="s">
        <v>3136</v>
      </c>
      <c r="BP758" s="1">
        <v>1.021</v>
      </c>
      <c r="BU758" s="1" t="s">
        <v>974</v>
      </c>
      <c r="BV758" s="1">
        <v>1.1</v>
      </c>
      <c r="BW758" s="1">
        <v>54.0</v>
      </c>
      <c r="BX758" s="1">
        <v>3451.024</v>
      </c>
      <c r="BY758" s="1">
        <v>7443.619</v>
      </c>
      <c r="BZ758" s="1">
        <v>8251.061</v>
      </c>
      <c r="CA758" s="1">
        <v>21621.201</v>
      </c>
      <c r="CB758" s="1">
        <v>344.5</v>
      </c>
      <c r="CC758" s="1">
        <v>0.032</v>
      </c>
      <c r="CD758" s="1">
        <v>1254955.0</v>
      </c>
      <c r="CE758" s="1">
        <v>1350.0</v>
      </c>
      <c r="CF758" s="1">
        <v>192.0</v>
      </c>
      <c r="CG758" s="1">
        <v>3702029.0</v>
      </c>
      <c r="CH758" s="1">
        <v>90520.0</v>
      </c>
      <c r="CI758" s="1">
        <v>4.0</v>
      </c>
      <c r="CJ758" s="1">
        <v>140262.0</v>
      </c>
      <c r="CK758" s="1">
        <v>28.0</v>
      </c>
      <c r="CL758" s="1">
        <v>229205.0</v>
      </c>
      <c r="CM758" s="1">
        <v>45.0</v>
      </c>
      <c r="CN758" s="1">
        <v>2536265.0</v>
      </c>
      <c r="CO758" s="1">
        <v>79.0</v>
      </c>
      <c r="CP758" s="1">
        <v>315211.0</v>
      </c>
      <c r="CQ758" s="1">
        <v>7.0</v>
      </c>
      <c r="CR758" s="1">
        <v>0.0</v>
      </c>
      <c r="CS758" s="1">
        <v>0.0</v>
      </c>
      <c r="CT758" s="1">
        <v>390566.0</v>
      </c>
      <c r="CU758" s="1">
        <v>29.0</v>
      </c>
      <c r="CV758" s="1">
        <v>2819586.0</v>
      </c>
      <c r="CW758" s="1">
        <v>80.0</v>
      </c>
      <c r="DC758" s="1">
        <v>0.0</v>
      </c>
      <c r="DD758" s="1">
        <v>5075.0</v>
      </c>
      <c r="DE758" s="1">
        <v>0.0</v>
      </c>
      <c r="DF758" s="1">
        <v>3396.0</v>
      </c>
      <c r="DG758" s="1">
        <v>300.0</v>
      </c>
      <c r="DH758" s="1">
        <v>68295.0</v>
      </c>
      <c r="DI758" s="1">
        <v>1050.0</v>
      </c>
      <c r="DJ758" s="1">
        <v>1178189.0</v>
      </c>
      <c r="DK758" s="1">
        <v>1973.144</v>
      </c>
      <c r="DL758" s="1" t="s">
        <v>975</v>
      </c>
      <c r="DM758" s="1">
        <v>3340.512</v>
      </c>
      <c r="DN758" s="1" t="s">
        <v>975</v>
      </c>
      <c r="DO758" s="1">
        <v>3701524.0</v>
      </c>
      <c r="DP758" s="1">
        <v>1.0</v>
      </c>
      <c r="DQ758" s="1" t="s">
        <v>976</v>
      </c>
      <c r="DR758" s="1" t="s">
        <v>993</v>
      </c>
      <c r="DS758" s="1" t="s">
        <v>978</v>
      </c>
      <c r="DT758" s="1" t="s">
        <v>979</v>
      </c>
      <c r="DU758" s="1" t="s">
        <v>980</v>
      </c>
      <c r="DV758" s="1">
        <v>14296.0</v>
      </c>
      <c r="DX758" s="1">
        <v>3778.0</v>
      </c>
      <c r="DY758" s="1">
        <v>662367.0</v>
      </c>
      <c r="DZ758" s="1" t="s">
        <v>981</v>
      </c>
      <c r="EA758" s="1">
        <v>860.0</v>
      </c>
      <c r="EB758" s="1">
        <v>23727.0</v>
      </c>
      <c r="EC758" s="1">
        <v>1.0</v>
      </c>
      <c r="ED758" s="1">
        <v>26492.0</v>
      </c>
      <c r="EF758" s="1">
        <v>210.0</v>
      </c>
      <c r="EG758" s="1" t="s">
        <v>982</v>
      </c>
      <c r="EH758" s="1">
        <v>100.0</v>
      </c>
      <c r="EK758" s="1">
        <v>100.0</v>
      </c>
      <c r="EQ758" s="9" t="s">
        <v>3132</v>
      </c>
      <c r="ER758" s="21">
        <v>46045.29923611111</v>
      </c>
    </row>
    <row r="759">
      <c r="A759" s="9" t="s">
        <v>3137</v>
      </c>
      <c r="B759" s="20" t="str">
        <f>IFERROR(__xludf.DUMMYFUNCTION("REGEXREPLACE(A759, ""^https?://[^/]+"", """")"),"/wp-content/themes/salesxceleratione/assets/css/style.css?ver=1769123326")</f>
        <v>/wp-content/themes/salesxceleratione/assets/css/style.css?ver=1769123326</v>
      </c>
      <c r="F759" s="1" t="s">
        <v>1016</v>
      </c>
      <c r="G759" s="1">
        <v>200.0</v>
      </c>
      <c r="H759" s="1" t="s">
        <v>966</v>
      </c>
      <c r="I759" s="1" t="s">
        <v>967</v>
      </c>
      <c r="L759" s="1">
        <v>0.0</v>
      </c>
      <c r="M759" s="1">
        <v>0.0</v>
      </c>
      <c r="O759" s="1">
        <v>0.0</v>
      </c>
      <c r="P759" s="1">
        <v>0.0</v>
      </c>
      <c r="R759" s="1">
        <v>0.0</v>
      </c>
      <c r="S759" s="1">
        <v>0.0</v>
      </c>
      <c r="U759" s="1">
        <v>0.0</v>
      </c>
      <c r="W759" s="1">
        <v>0.0</v>
      </c>
      <c r="Y759" s="1">
        <v>0.0</v>
      </c>
      <c r="AA759" s="1">
        <v>0.0</v>
      </c>
      <c r="AC759" s="1">
        <v>0.0</v>
      </c>
      <c r="AM759" s="1">
        <v>17704.0</v>
      </c>
      <c r="AN759" s="1">
        <v>17704.0</v>
      </c>
      <c r="AO759" s="1">
        <v>17704.0</v>
      </c>
      <c r="AP759" s="1">
        <v>6.782</v>
      </c>
      <c r="AR759" s="1">
        <v>0.0</v>
      </c>
      <c r="AW759" s="1">
        <v>0.0</v>
      </c>
      <c r="AX759" s="1">
        <v>2.0</v>
      </c>
      <c r="AY759" s="1">
        <v>5.0</v>
      </c>
      <c r="BA759" s="1">
        <v>0.0</v>
      </c>
      <c r="BB759" s="1">
        <v>0.0</v>
      </c>
      <c r="BC759" s="1">
        <v>0.0</v>
      </c>
      <c r="BD759" s="1">
        <v>0.0</v>
      </c>
      <c r="BE759" s="1">
        <v>0.0</v>
      </c>
      <c r="BF759" s="1">
        <v>0.0</v>
      </c>
      <c r="BG759" s="1">
        <v>0.0</v>
      </c>
      <c r="BH759" s="1">
        <v>0.0</v>
      </c>
      <c r="BI759" s="1">
        <v>0.0</v>
      </c>
      <c r="BJ759" s="1">
        <v>0.0</v>
      </c>
      <c r="BP759" s="1">
        <v>0.261</v>
      </c>
      <c r="BQ759" s="1" t="s">
        <v>3138</v>
      </c>
      <c r="BV759" s="1">
        <v>1.1</v>
      </c>
      <c r="EQ759" s="9" t="s">
        <v>3137</v>
      </c>
      <c r="ER759" s="21">
        <v>46045.29924768519</v>
      </c>
    </row>
    <row r="760">
      <c r="A760" s="9" t="s">
        <v>3139</v>
      </c>
      <c r="B760" s="20" t="str">
        <f>IFERROR(__xludf.DUMMYFUNCTION("REGEXREPLACE(A760, ""^https?://[^/]+"", """")"),"/books/from-stagnant-growth-to-doubling-revenue-in-12-months/")</f>
        <v>/books/from-stagnant-growth-to-doubling-revenue-in-12-months/</v>
      </c>
      <c r="C760" s="1" t="s">
        <v>3140</v>
      </c>
      <c r="F760" s="1" t="s">
        <v>965</v>
      </c>
      <c r="G760" s="1">
        <v>200.0</v>
      </c>
      <c r="H760" s="1" t="s">
        <v>966</v>
      </c>
      <c r="I760" s="1" t="s">
        <v>967</v>
      </c>
      <c r="K760" s="1" t="s">
        <v>3141</v>
      </c>
      <c r="L760" s="1">
        <v>86.0</v>
      </c>
      <c r="M760" s="1">
        <v>801.0</v>
      </c>
      <c r="O760" s="1">
        <v>0.0</v>
      </c>
      <c r="P760" s="1">
        <v>0.0</v>
      </c>
      <c r="R760" s="1">
        <v>0.0</v>
      </c>
      <c r="S760" s="1">
        <v>0.0</v>
      </c>
      <c r="U760" s="1">
        <v>0.0</v>
      </c>
      <c r="V760" s="1" t="s">
        <v>3140</v>
      </c>
      <c r="W760" s="1">
        <v>53.0</v>
      </c>
      <c r="Y760" s="1">
        <v>0.0</v>
      </c>
      <c r="AA760" s="1">
        <v>0.0</v>
      </c>
      <c r="AC760" s="1">
        <v>0.0</v>
      </c>
      <c r="AD760" s="1" t="s">
        <v>971</v>
      </c>
      <c r="AG760" s="9" t="s">
        <v>3139</v>
      </c>
      <c r="AM760" s="1">
        <v>177369.0</v>
      </c>
      <c r="AN760" s="1">
        <v>35557.0</v>
      </c>
      <c r="AO760" s="1">
        <v>35557.0</v>
      </c>
      <c r="AP760" s="1">
        <v>13.621</v>
      </c>
      <c r="AR760" s="1">
        <v>582.0</v>
      </c>
      <c r="AS760" s="1">
        <v>103.0</v>
      </c>
      <c r="AT760" s="1">
        <v>5.65</v>
      </c>
      <c r="AU760" s="1">
        <v>61.989</v>
      </c>
      <c r="AV760" s="1" t="s">
        <v>990</v>
      </c>
      <c r="AW760" s="1">
        <v>3.381</v>
      </c>
      <c r="AX760" s="1">
        <v>2.0</v>
      </c>
      <c r="AY760" s="1">
        <v>2.0</v>
      </c>
      <c r="AZ760" s="1">
        <v>1.0</v>
      </c>
      <c r="BA760" s="1">
        <v>1.0</v>
      </c>
      <c r="BB760" s="1">
        <v>1.0</v>
      </c>
      <c r="BC760" s="1">
        <v>0.0</v>
      </c>
      <c r="BD760" s="1">
        <v>0.13</v>
      </c>
      <c r="BE760" s="1">
        <v>122.0</v>
      </c>
      <c r="BF760" s="1">
        <v>42.0</v>
      </c>
      <c r="BG760" s="1">
        <v>0.0</v>
      </c>
      <c r="BH760" s="1">
        <v>16.0</v>
      </c>
      <c r="BI760" s="1">
        <v>8.0</v>
      </c>
      <c r="BJ760" s="1">
        <v>0.0</v>
      </c>
      <c r="BO760" s="1" t="s">
        <v>3142</v>
      </c>
      <c r="BP760" s="1">
        <v>1.046</v>
      </c>
      <c r="BU760" s="1" t="s">
        <v>974</v>
      </c>
      <c r="BV760" s="1">
        <v>1.1</v>
      </c>
      <c r="BW760" s="1">
        <v>34.0</v>
      </c>
      <c r="BX760" s="1">
        <v>3601.028</v>
      </c>
      <c r="BY760" s="1">
        <v>7531.264</v>
      </c>
      <c r="BZ760" s="1">
        <v>9376.077</v>
      </c>
      <c r="CA760" s="1">
        <v>21921.848</v>
      </c>
      <c r="CB760" s="1">
        <v>1711.0</v>
      </c>
      <c r="CC760" s="1">
        <v>0.0</v>
      </c>
      <c r="CD760" s="1">
        <v>1253579.0</v>
      </c>
      <c r="CE760" s="1">
        <v>1950.0</v>
      </c>
      <c r="CF760" s="1">
        <v>196.0</v>
      </c>
      <c r="CG760" s="1">
        <v>3693115.0</v>
      </c>
      <c r="CH760" s="1">
        <v>90383.0</v>
      </c>
      <c r="CI760" s="1">
        <v>4.0</v>
      </c>
      <c r="CJ760" s="1">
        <v>132034.0</v>
      </c>
      <c r="CK760" s="1">
        <v>31.0</v>
      </c>
      <c r="CL760" s="1">
        <v>228460.0</v>
      </c>
      <c r="CM760" s="1">
        <v>45.0</v>
      </c>
      <c r="CN760" s="1">
        <v>2536113.0</v>
      </c>
      <c r="CO760" s="1">
        <v>79.0</v>
      </c>
      <c r="CP760" s="1">
        <v>315209.0</v>
      </c>
      <c r="CQ760" s="1">
        <v>7.0</v>
      </c>
      <c r="CR760" s="1">
        <v>0.0</v>
      </c>
      <c r="CS760" s="1">
        <v>0.0</v>
      </c>
      <c r="CT760" s="1">
        <v>390916.0</v>
      </c>
      <c r="CU760" s="1">
        <v>30.0</v>
      </c>
      <c r="CV760" s="1">
        <v>2819852.0</v>
      </c>
      <c r="CW760" s="1">
        <v>88.0</v>
      </c>
      <c r="DC760" s="1">
        <v>150.0</v>
      </c>
      <c r="DD760" s="1">
        <v>5075.0</v>
      </c>
      <c r="DE760" s="1">
        <v>0.0</v>
      </c>
      <c r="DF760" s="1">
        <v>3396.0</v>
      </c>
      <c r="DG760" s="1">
        <v>450.0</v>
      </c>
      <c r="DH760" s="1">
        <v>68293.0</v>
      </c>
      <c r="DI760" s="1">
        <v>1350.0</v>
      </c>
      <c r="DJ760" s="1">
        <v>1176815.0</v>
      </c>
      <c r="DK760" s="1">
        <v>4266.976</v>
      </c>
      <c r="DL760" s="1" t="s">
        <v>975</v>
      </c>
      <c r="DM760" s="1">
        <v>6794.522</v>
      </c>
      <c r="DN760" s="1" t="s">
        <v>975</v>
      </c>
      <c r="DO760" s="1">
        <v>3693033.0</v>
      </c>
      <c r="DP760" s="1">
        <v>1.0</v>
      </c>
      <c r="DQ760" s="1" t="s">
        <v>976</v>
      </c>
      <c r="DR760" s="1" t="s">
        <v>1014</v>
      </c>
      <c r="DS760" s="1" t="s">
        <v>978</v>
      </c>
      <c r="DT760" s="1" t="s">
        <v>979</v>
      </c>
      <c r="DU760" s="1" t="s">
        <v>980</v>
      </c>
      <c r="DV760" s="1">
        <v>14297.0</v>
      </c>
      <c r="DW760" s="1">
        <v>302.0</v>
      </c>
      <c r="DX760" s="1">
        <v>3754.0</v>
      </c>
      <c r="DY760" s="1">
        <v>660142.0</v>
      </c>
      <c r="DZ760" s="1" t="s">
        <v>981</v>
      </c>
      <c r="EA760" s="1">
        <v>860.0</v>
      </c>
      <c r="EB760" s="1">
        <v>18243.0</v>
      </c>
      <c r="EC760" s="1">
        <v>46.0</v>
      </c>
      <c r="ED760" s="1">
        <v>26492.0</v>
      </c>
      <c r="EF760" s="1">
        <v>230.0</v>
      </c>
      <c r="EG760" s="1" t="s">
        <v>982</v>
      </c>
      <c r="EH760" s="1">
        <v>100.0</v>
      </c>
      <c r="EK760" s="1">
        <v>100.0</v>
      </c>
      <c r="EQ760" s="9" t="s">
        <v>3139</v>
      </c>
      <c r="ER760" s="21">
        <v>46045.29923611111</v>
      </c>
    </row>
    <row r="761">
      <c r="A761" s="9" t="s">
        <v>3143</v>
      </c>
      <c r="B761" s="20" t="str">
        <f>IFERROR(__xludf.DUMMYFUNCTION("REGEXREPLACE(A761, ""^https?://[^/]+"", """")"),"/wp-content/uploads/2025/07/3.jpg")</f>
        <v>/wp-content/uploads/2025/07/3.jpg</v>
      </c>
      <c r="F761" s="1" t="s">
        <v>1004</v>
      </c>
      <c r="G761" s="1">
        <v>200.0</v>
      </c>
      <c r="H761" s="1" t="s">
        <v>966</v>
      </c>
      <c r="I761" s="1" t="s">
        <v>967</v>
      </c>
      <c r="L761" s="1">
        <v>0.0</v>
      </c>
      <c r="M761" s="1">
        <v>0.0</v>
      </c>
      <c r="O761" s="1">
        <v>0.0</v>
      </c>
      <c r="P761" s="1">
        <v>0.0</v>
      </c>
      <c r="R761" s="1">
        <v>0.0</v>
      </c>
      <c r="S761" s="1">
        <v>0.0</v>
      </c>
      <c r="U761" s="1">
        <v>0.0</v>
      </c>
      <c r="W761" s="1">
        <v>0.0</v>
      </c>
      <c r="Y761" s="1">
        <v>0.0</v>
      </c>
      <c r="AA761" s="1">
        <v>0.0</v>
      </c>
      <c r="AC761" s="1">
        <v>0.0</v>
      </c>
      <c r="AM761" s="1">
        <v>101343.0</v>
      </c>
      <c r="AN761" s="1">
        <v>101343.0</v>
      </c>
      <c r="AO761" s="1">
        <v>101343.0</v>
      </c>
      <c r="AP761" s="1">
        <v>38.823</v>
      </c>
      <c r="AR761" s="1">
        <v>0.0</v>
      </c>
      <c r="AW761" s="1">
        <v>0.0</v>
      </c>
      <c r="AX761" s="1">
        <v>2.0</v>
      </c>
      <c r="AY761" s="1">
        <v>4.0</v>
      </c>
      <c r="BA761" s="1">
        <v>0.0</v>
      </c>
      <c r="BB761" s="1">
        <v>0.0</v>
      </c>
      <c r="BC761" s="1">
        <v>0.0</v>
      </c>
      <c r="BD761" s="1">
        <v>0.0</v>
      </c>
      <c r="BE761" s="1">
        <v>0.0</v>
      </c>
      <c r="BF761" s="1">
        <v>0.0</v>
      </c>
      <c r="BG761" s="1">
        <v>0.0</v>
      </c>
      <c r="BH761" s="1">
        <v>0.0</v>
      </c>
      <c r="BI761" s="1">
        <v>0.0</v>
      </c>
      <c r="BJ761" s="1">
        <v>0.0</v>
      </c>
      <c r="BP761" s="1">
        <v>0.261</v>
      </c>
      <c r="BQ761" s="1" t="s">
        <v>3144</v>
      </c>
      <c r="BV761" s="1">
        <v>1.1</v>
      </c>
      <c r="EQ761" s="9" t="s">
        <v>3143</v>
      </c>
      <c r="ER761" s="21">
        <v>46045.29924768519</v>
      </c>
    </row>
    <row r="762">
      <c r="A762" s="9" t="s">
        <v>3145</v>
      </c>
      <c r="B762" s="20" t="str">
        <f>IFERROR(__xludf.DUMMYFUNCTION("REGEXREPLACE(A762, ""^https?://[^/]+"", """")"),"/wp-content/uploads/elementor/css/post-71208.css?ver=1768847707")</f>
        <v>/wp-content/uploads/elementor/css/post-71208.css?ver=1768847707</v>
      </c>
      <c r="F762" s="1" t="s">
        <v>1016</v>
      </c>
      <c r="G762" s="1">
        <v>200.0</v>
      </c>
      <c r="H762" s="1" t="s">
        <v>966</v>
      </c>
      <c r="I762" s="1" t="s">
        <v>967</v>
      </c>
      <c r="L762" s="1">
        <v>0.0</v>
      </c>
      <c r="M762" s="1">
        <v>0.0</v>
      </c>
      <c r="O762" s="1">
        <v>0.0</v>
      </c>
      <c r="P762" s="1">
        <v>0.0</v>
      </c>
      <c r="R762" s="1">
        <v>0.0</v>
      </c>
      <c r="S762" s="1">
        <v>0.0</v>
      </c>
      <c r="U762" s="1">
        <v>0.0</v>
      </c>
      <c r="W762" s="1">
        <v>0.0</v>
      </c>
      <c r="Y762" s="1">
        <v>0.0</v>
      </c>
      <c r="AA762" s="1">
        <v>0.0</v>
      </c>
      <c r="AC762" s="1">
        <v>0.0</v>
      </c>
      <c r="AM762" s="1">
        <v>3430.0</v>
      </c>
      <c r="AN762" s="1">
        <v>3430.0</v>
      </c>
      <c r="AO762" s="1">
        <v>3430.0</v>
      </c>
      <c r="AP762" s="1">
        <v>1.314</v>
      </c>
      <c r="AR762" s="1">
        <v>0.0</v>
      </c>
      <c r="AW762" s="1">
        <v>0.0</v>
      </c>
      <c r="AX762" s="1">
        <v>2.0</v>
      </c>
      <c r="AY762" s="1">
        <v>4.0</v>
      </c>
      <c r="BA762" s="1">
        <v>0.0</v>
      </c>
      <c r="BB762" s="1">
        <v>0.0</v>
      </c>
      <c r="BC762" s="1">
        <v>0.0</v>
      </c>
      <c r="BD762" s="1">
        <v>0.0</v>
      </c>
      <c r="BE762" s="1">
        <v>0.0</v>
      </c>
      <c r="BF762" s="1">
        <v>0.0</v>
      </c>
      <c r="BG762" s="1">
        <v>0.0</v>
      </c>
      <c r="BH762" s="1">
        <v>0.0</v>
      </c>
      <c r="BI762" s="1">
        <v>0.0</v>
      </c>
      <c r="BJ762" s="1">
        <v>0.0</v>
      </c>
      <c r="BP762" s="1">
        <v>0.257</v>
      </c>
      <c r="BQ762" s="1" t="s">
        <v>3146</v>
      </c>
      <c r="BV762" s="1">
        <v>1.1</v>
      </c>
      <c r="EQ762" s="9" t="s">
        <v>3145</v>
      </c>
      <c r="ER762" s="21">
        <v>46045.29924768519</v>
      </c>
    </row>
    <row r="763">
      <c r="A763" s="9" t="s">
        <v>3147</v>
      </c>
      <c r="B763" s="20" t="str">
        <f>IFERROR(__xludf.DUMMYFUNCTION("REGEXREPLACE(A763, ""^https?://[^/]+"", """")"),"/wp-content/uploads/elementor/css/post-72647.css?ver=1768847256")</f>
        <v>/wp-content/uploads/elementor/css/post-72647.css?ver=1768847256</v>
      </c>
      <c r="F763" s="1" t="s">
        <v>1016</v>
      </c>
      <c r="G763" s="1">
        <v>200.0</v>
      </c>
      <c r="H763" s="1" t="s">
        <v>966</v>
      </c>
      <c r="I763" s="1" t="s">
        <v>967</v>
      </c>
      <c r="L763" s="1">
        <v>0.0</v>
      </c>
      <c r="M763" s="1">
        <v>0.0</v>
      </c>
      <c r="O763" s="1">
        <v>0.0</v>
      </c>
      <c r="P763" s="1">
        <v>0.0</v>
      </c>
      <c r="R763" s="1">
        <v>0.0</v>
      </c>
      <c r="S763" s="1">
        <v>0.0</v>
      </c>
      <c r="U763" s="1">
        <v>0.0</v>
      </c>
      <c r="W763" s="1">
        <v>0.0</v>
      </c>
      <c r="Y763" s="1">
        <v>0.0</v>
      </c>
      <c r="AA763" s="1">
        <v>0.0</v>
      </c>
      <c r="AC763" s="1">
        <v>0.0</v>
      </c>
      <c r="AM763" s="1">
        <v>3952.0</v>
      </c>
      <c r="AN763" s="1">
        <v>3952.0</v>
      </c>
      <c r="AO763" s="1">
        <v>3952.0</v>
      </c>
      <c r="AP763" s="1">
        <v>1.514</v>
      </c>
      <c r="AR763" s="1">
        <v>0.0</v>
      </c>
      <c r="AW763" s="1">
        <v>0.0</v>
      </c>
      <c r="AX763" s="1">
        <v>2.0</v>
      </c>
      <c r="AY763" s="1">
        <v>4.0</v>
      </c>
      <c r="BA763" s="1">
        <v>0.0</v>
      </c>
      <c r="BB763" s="1">
        <v>0.0</v>
      </c>
      <c r="BC763" s="1">
        <v>0.0</v>
      </c>
      <c r="BD763" s="1">
        <v>0.0</v>
      </c>
      <c r="BE763" s="1">
        <v>0.0</v>
      </c>
      <c r="BF763" s="1">
        <v>0.0</v>
      </c>
      <c r="BG763" s="1">
        <v>0.0</v>
      </c>
      <c r="BH763" s="1">
        <v>0.0</v>
      </c>
      <c r="BI763" s="1">
        <v>0.0</v>
      </c>
      <c r="BJ763" s="1">
        <v>0.0</v>
      </c>
      <c r="BP763" s="1">
        <v>0.265</v>
      </c>
      <c r="BQ763" s="1" t="s">
        <v>3148</v>
      </c>
      <c r="BV763" s="1">
        <v>1.1</v>
      </c>
      <c r="EQ763" s="9" t="s">
        <v>3147</v>
      </c>
      <c r="ER763" s="21">
        <v>46045.29924768519</v>
      </c>
    </row>
    <row r="764">
      <c r="A764" s="9" t="s">
        <v>3149</v>
      </c>
      <c r="B764" s="20" t="str">
        <f>IFERROR(__xludf.DUMMYFUNCTION("REGEXREPLACE(A764, ""^https?://[^/]+"", """")"),"/wp-content/uploads/2025/11/early-education-min.jpg")</f>
        <v>/wp-content/uploads/2025/11/early-education-min.jpg</v>
      </c>
      <c r="F764" s="1" t="s">
        <v>1004</v>
      </c>
      <c r="G764" s="1">
        <v>200.0</v>
      </c>
      <c r="H764" s="1" t="s">
        <v>966</v>
      </c>
      <c r="I764" s="1" t="s">
        <v>967</v>
      </c>
      <c r="L764" s="1">
        <v>0.0</v>
      </c>
      <c r="M764" s="1">
        <v>0.0</v>
      </c>
      <c r="O764" s="1">
        <v>0.0</v>
      </c>
      <c r="P764" s="1">
        <v>0.0</v>
      </c>
      <c r="R764" s="1">
        <v>0.0</v>
      </c>
      <c r="S764" s="1">
        <v>0.0</v>
      </c>
      <c r="U764" s="1">
        <v>0.0</v>
      </c>
      <c r="W764" s="1">
        <v>0.0</v>
      </c>
      <c r="Y764" s="1">
        <v>0.0</v>
      </c>
      <c r="AA764" s="1">
        <v>0.0</v>
      </c>
      <c r="AC764" s="1">
        <v>0.0</v>
      </c>
      <c r="AM764" s="1">
        <v>130908.0</v>
      </c>
      <c r="AN764" s="1">
        <v>130908.0</v>
      </c>
      <c r="AO764" s="1">
        <v>130908.0</v>
      </c>
      <c r="AP764" s="1">
        <v>50.148</v>
      </c>
      <c r="AR764" s="1">
        <v>0.0</v>
      </c>
      <c r="AW764" s="1">
        <v>0.0</v>
      </c>
      <c r="AX764" s="1">
        <v>2.0</v>
      </c>
      <c r="AY764" s="1">
        <v>4.0</v>
      </c>
      <c r="BA764" s="1">
        <v>0.0</v>
      </c>
      <c r="BB764" s="1">
        <v>0.0</v>
      </c>
      <c r="BC764" s="1">
        <v>0.0</v>
      </c>
      <c r="BD764" s="1">
        <v>0.0</v>
      </c>
      <c r="BE764" s="1">
        <v>0.0</v>
      </c>
      <c r="BF764" s="1">
        <v>0.0</v>
      </c>
      <c r="BG764" s="1">
        <v>0.0</v>
      </c>
      <c r="BH764" s="1">
        <v>0.0</v>
      </c>
      <c r="BI764" s="1">
        <v>0.0</v>
      </c>
      <c r="BJ764" s="1">
        <v>0.0</v>
      </c>
      <c r="BP764" s="1">
        <v>0.27</v>
      </c>
      <c r="BQ764" s="1" t="s">
        <v>3150</v>
      </c>
      <c r="BV764" s="1">
        <v>1.1</v>
      </c>
      <c r="EQ764" s="9" t="s">
        <v>3149</v>
      </c>
      <c r="ER764" s="21">
        <v>46045.29924768519</v>
      </c>
    </row>
    <row r="765">
      <c r="A765" s="9" t="s">
        <v>3151</v>
      </c>
      <c r="B765" s="20" t="str">
        <f>IFERROR(__xludf.DUMMYFUNCTION("REGEXREPLACE(A765, ""^https?://[^/]+"", """")"),"/wp-content/uploads/elementor/thumbs/Mistakes-Costing-Your-Business-rd0lo56kwtdzlm13an06y8avhh0dne7fmvskkhbvf0.jpg")</f>
        <v>/wp-content/uploads/elementor/thumbs/Mistakes-Costing-Your-Business-rd0lo56kwtdzlm13an06y8avhh0dne7fmvskkhbvf0.jpg</v>
      </c>
      <c r="F765" s="1" t="s">
        <v>1004</v>
      </c>
      <c r="G765" s="1">
        <v>200.0</v>
      </c>
      <c r="H765" s="1" t="s">
        <v>966</v>
      </c>
      <c r="I765" s="1" t="s">
        <v>967</v>
      </c>
      <c r="L765" s="1">
        <v>0.0</v>
      </c>
      <c r="M765" s="1">
        <v>0.0</v>
      </c>
      <c r="O765" s="1">
        <v>0.0</v>
      </c>
      <c r="P765" s="1">
        <v>0.0</v>
      </c>
      <c r="R765" s="1">
        <v>0.0</v>
      </c>
      <c r="S765" s="1">
        <v>0.0</v>
      </c>
      <c r="U765" s="1">
        <v>0.0</v>
      </c>
      <c r="W765" s="1">
        <v>0.0</v>
      </c>
      <c r="Y765" s="1">
        <v>0.0</v>
      </c>
      <c r="AA765" s="1">
        <v>0.0</v>
      </c>
      <c r="AC765" s="1">
        <v>0.0</v>
      </c>
      <c r="AM765" s="1">
        <v>68009.0</v>
      </c>
      <c r="AN765" s="1">
        <v>68009.0</v>
      </c>
      <c r="AO765" s="1">
        <v>68009.0</v>
      </c>
      <c r="AP765" s="1">
        <v>26.053</v>
      </c>
      <c r="AR765" s="1">
        <v>0.0</v>
      </c>
      <c r="AW765" s="1">
        <v>0.0</v>
      </c>
      <c r="AX765" s="1">
        <v>2.0</v>
      </c>
      <c r="AY765" s="1">
        <v>4.0</v>
      </c>
      <c r="BA765" s="1">
        <v>0.0</v>
      </c>
      <c r="BB765" s="1">
        <v>0.0</v>
      </c>
      <c r="BC765" s="1">
        <v>0.0</v>
      </c>
      <c r="BD765" s="1">
        <v>0.0</v>
      </c>
      <c r="BE765" s="1">
        <v>0.0</v>
      </c>
      <c r="BF765" s="1">
        <v>0.0</v>
      </c>
      <c r="BG765" s="1">
        <v>0.0</v>
      </c>
      <c r="BH765" s="1">
        <v>0.0</v>
      </c>
      <c r="BI765" s="1">
        <v>0.0</v>
      </c>
      <c r="BJ765" s="1">
        <v>0.0</v>
      </c>
      <c r="BP765" s="1">
        <v>0.263</v>
      </c>
      <c r="BQ765" s="1" t="s">
        <v>3152</v>
      </c>
      <c r="BV765" s="1">
        <v>1.1</v>
      </c>
      <c r="EQ765" s="9" t="s">
        <v>3151</v>
      </c>
      <c r="ER765" s="21">
        <v>46045.29924768519</v>
      </c>
    </row>
    <row r="766">
      <c r="A766" s="9" t="s">
        <v>3153</v>
      </c>
      <c r="B766" s="20" t="str">
        <f>IFERROR(__xludf.DUMMYFUNCTION("REGEXREPLACE(A766, ""^https?://[^/]+"", """")"),"/wp-content/uploads/2024/04/K1-300x119.jpg")</f>
        <v>/wp-content/uploads/2024/04/K1-300x119.jpg</v>
      </c>
      <c r="F766" s="1" t="s">
        <v>1004</v>
      </c>
      <c r="G766" s="1">
        <v>200.0</v>
      </c>
      <c r="H766" s="1" t="s">
        <v>966</v>
      </c>
      <c r="I766" s="1" t="s">
        <v>967</v>
      </c>
      <c r="L766" s="1">
        <v>0.0</v>
      </c>
      <c r="M766" s="1">
        <v>0.0</v>
      </c>
      <c r="O766" s="1">
        <v>0.0</v>
      </c>
      <c r="P766" s="1">
        <v>0.0</v>
      </c>
      <c r="R766" s="1">
        <v>0.0</v>
      </c>
      <c r="S766" s="1">
        <v>0.0</v>
      </c>
      <c r="U766" s="1">
        <v>0.0</v>
      </c>
      <c r="W766" s="1">
        <v>0.0</v>
      </c>
      <c r="Y766" s="1">
        <v>0.0</v>
      </c>
      <c r="AA766" s="1">
        <v>0.0</v>
      </c>
      <c r="AC766" s="1">
        <v>0.0</v>
      </c>
      <c r="AM766" s="1">
        <v>4761.0</v>
      </c>
      <c r="AN766" s="1">
        <v>4761.0</v>
      </c>
      <c r="AO766" s="1">
        <v>4761.0</v>
      </c>
      <c r="AP766" s="1">
        <v>1.824</v>
      </c>
      <c r="AR766" s="1">
        <v>0.0</v>
      </c>
      <c r="AW766" s="1">
        <v>0.0</v>
      </c>
      <c r="AX766" s="1">
        <v>2.0</v>
      </c>
      <c r="AY766" s="1">
        <v>4.0</v>
      </c>
      <c r="BA766" s="1">
        <v>0.0</v>
      </c>
      <c r="BB766" s="1">
        <v>0.0</v>
      </c>
      <c r="BC766" s="1">
        <v>0.0</v>
      </c>
      <c r="BD766" s="1">
        <v>0.0</v>
      </c>
      <c r="BE766" s="1">
        <v>0.0</v>
      </c>
      <c r="BF766" s="1">
        <v>0.0</v>
      </c>
      <c r="BG766" s="1">
        <v>0.0</v>
      </c>
      <c r="BH766" s="1">
        <v>0.0</v>
      </c>
      <c r="BI766" s="1">
        <v>0.0</v>
      </c>
      <c r="BJ766" s="1">
        <v>0.0</v>
      </c>
      <c r="BP766" s="1">
        <v>0.27</v>
      </c>
      <c r="BQ766" s="1" t="s">
        <v>3154</v>
      </c>
      <c r="BV766" s="1">
        <v>1.1</v>
      </c>
      <c r="EQ766" s="9" t="s">
        <v>3153</v>
      </c>
      <c r="ER766" s="21">
        <v>46045.29924768519</v>
      </c>
    </row>
    <row r="767">
      <c r="A767" s="9" t="s">
        <v>3155</v>
      </c>
      <c r="B767" s="20" t="str">
        <f>IFERROR(__xludf.DUMMYFUNCTION("REGEXREPLACE(A767, ""^https?://[^/]+"", """")"),"/wp-content/uploads/2024/04/Shore.png")</f>
        <v>/wp-content/uploads/2024/04/Shore.png</v>
      </c>
      <c r="F767" s="1" t="s">
        <v>1047</v>
      </c>
      <c r="G767" s="1">
        <v>200.0</v>
      </c>
      <c r="H767" s="1" t="s">
        <v>966</v>
      </c>
      <c r="I767" s="1" t="s">
        <v>967</v>
      </c>
      <c r="L767" s="1">
        <v>0.0</v>
      </c>
      <c r="M767" s="1">
        <v>0.0</v>
      </c>
      <c r="O767" s="1">
        <v>0.0</v>
      </c>
      <c r="P767" s="1">
        <v>0.0</v>
      </c>
      <c r="R767" s="1">
        <v>0.0</v>
      </c>
      <c r="S767" s="1">
        <v>0.0</v>
      </c>
      <c r="U767" s="1">
        <v>0.0</v>
      </c>
      <c r="W767" s="1">
        <v>0.0</v>
      </c>
      <c r="Y767" s="1">
        <v>0.0</v>
      </c>
      <c r="AA767" s="1">
        <v>0.0</v>
      </c>
      <c r="AC767" s="1">
        <v>0.0</v>
      </c>
      <c r="AM767" s="1">
        <v>6235.0</v>
      </c>
      <c r="AN767" s="1">
        <v>6235.0</v>
      </c>
      <c r="AO767" s="1">
        <v>6235.0</v>
      </c>
      <c r="AP767" s="1">
        <v>2.389</v>
      </c>
      <c r="AR767" s="1">
        <v>0.0</v>
      </c>
      <c r="AW767" s="1">
        <v>0.0</v>
      </c>
      <c r="AX767" s="1">
        <v>2.0</v>
      </c>
      <c r="AY767" s="1">
        <v>4.0</v>
      </c>
      <c r="BA767" s="1">
        <v>0.0</v>
      </c>
      <c r="BB767" s="1">
        <v>0.0</v>
      </c>
      <c r="BC767" s="1">
        <v>0.0</v>
      </c>
      <c r="BD767" s="1">
        <v>0.0</v>
      </c>
      <c r="BE767" s="1">
        <v>0.0</v>
      </c>
      <c r="BF767" s="1">
        <v>0.0</v>
      </c>
      <c r="BG767" s="1">
        <v>0.0</v>
      </c>
      <c r="BH767" s="1">
        <v>0.0</v>
      </c>
      <c r="BI767" s="1">
        <v>0.0</v>
      </c>
      <c r="BJ767" s="1">
        <v>0.0</v>
      </c>
      <c r="BP767" s="1">
        <v>0.271</v>
      </c>
      <c r="BQ767" s="1" t="s">
        <v>3156</v>
      </c>
      <c r="BV767" s="1">
        <v>1.1</v>
      </c>
      <c r="EQ767" s="9" t="s">
        <v>3155</v>
      </c>
      <c r="ER767" s="21">
        <v>46045.29924768519</v>
      </c>
    </row>
    <row r="768">
      <c r="A768" s="9" t="s">
        <v>3157</v>
      </c>
      <c r="B768" s="20" t="str">
        <f>IFERROR(__xludf.DUMMYFUNCTION("REGEXREPLACE(A768, ""^https?://[^/]+"", """")"),"/wp-content/uploads/2024/04/apollo-logo-black.svg")</f>
        <v>/wp-content/uploads/2024/04/apollo-logo-black.svg</v>
      </c>
      <c r="F768" s="1" t="s">
        <v>1391</v>
      </c>
      <c r="G768" s="1">
        <v>200.0</v>
      </c>
      <c r="H768" s="1" t="s">
        <v>966</v>
      </c>
      <c r="I768" s="1" t="s">
        <v>967</v>
      </c>
      <c r="L768" s="1">
        <v>0.0</v>
      </c>
      <c r="M768" s="1">
        <v>0.0</v>
      </c>
      <c r="O768" s="1">
        <v>0.0</v>
      </c>
      <c r="P768" s="1">
        <v>0.0</v>
      </c>
      <c r="R768" s="1">
        <v>0.0</v>
      </c>
      <c r="S768" s="1">
        <v>0.0</v>
      </c>
      <c r="U768" s="1">
        <v>0.0</v>
      </c>
      <c r="W768" s="1">
        <v>0.0</v>
      </c>
      <c r="Y768" s="1">
        <v>0.0</v>
      </c>
      <c r="AA768" s="1">
        <v>0.0</v>
      </c>
      <c r="AC768" s="1">
        <v>0.0</v>
      </c>
      <c r="AM768" s="1">
        <v>0.0</v>
      </c>
      <c r="AN768" s="1">
        <v>0.0</v>
      </c>
      <c r="AO768" s="1">
        <v>0.0</v>
      </c>
      <c r="AP768" s="1">
        <v>0.0</v>
      </c>
      <c r="AR768" s="1">
        <v>0.0</v>
      </c>
      <c r="AW768" s="1">
        <v>0.0</v>
      </c>
      <c r="AX768" s="1">
        <v>2.0</v>
      </c>
      <c r="AY768" s="1">
        <v>4.0</v>
      </c>
      <c r="BA768" s="1">
        <v>0.0</v>
      </c>
      <c r="BB768" s="1">
        <v>0.0</v>
      </c>
      <c r="BC768" s="1">
        <v>0.0</v>
      </c>
      <c r="BD768" s="1">
        <v>0.0</v>
      </c>
      <c r="BE768" s="1">
        <v>0.0</v>
      </c>
      <c r="BF768" s="1">
        <v>0.0</v>
      </c>
      <c r="BG768" s="1">
        <v>0.0</v>
      </c>
      <c r="BH768" s="1">
        <v>0.0</v>
      </c>
      <c r="BI768" s="1">
        <v>0.0</v>
      </c>
      <c r="BJ768" s="1">
        <v>0.0</v>
      </c>
      <c r="BP768" s="1">
        <v>0.265</v>
      </c>
      <c r="BQ768" s="1" t="s">
        <v>3158</v>
      </c>
      <c r="BV768" s="1">
        <v>1.1</v>
      </c>
      <c r="EQ768" s="9" t="s">
        <v>3157</v>
      </c>
      <c r="ER768" s="21">
        <v>46045.299259259256</v>
      </c>
    </row>
    <row r="769">
      <c r="A769" s="9" t="s">
        <v>3159</v>
      </c>
      <c r="B769" s="20" t="str">
        <f>IFERROR(__xludf.DUMMYFUNCTION("REGEXREPLACE(A769, ""^https?://[^/]+"", """")"),"/wp-content/uploads/2024/04/MDP-300x156.png")</f>
        <v>/wp-content/uploads/2024/04/MDP-300x156.png</v>
      </c>
      <c r="F769" s="1" t="s">
        <v>1047</v>
      </c>
      <c r="G769" s="1">
        <v>200.0</v>
      </c>
      <c r="H769" s="1" t="s">
        <v>966</v>
      </c>
      <c r="I769" s="1" t="s">
        <v>967</v>
      </c>
      <c r="L769" s="1">
        <v>0.0</v>
      </c>
      <c r="M769" s="1">
        <v>0.0</v>
      </c>
      <c r="O769" s="1">
        <v>0.0</v>
      </c>
      <c r="P769" s="1">
        <v>0.0</v>
      </c>
      <c r="R769" s="1">
        <v>0.0</v>
      </c>
      <c r="S769" s="1">
        <v>0.0</v>
      </c>
      <c r="U769" s="1">
        <v>0.0</v>
      </c>
      <c r="W769" s="1">
        <v>0.0</v>
      </c>
      <c r="Y769" s="1">
        <v>0.0</v>
      </c>
      <c r="AA769" s="1">
        <v>0.0</v>
      </c>
      <c r="AC769" s="1">
        <v>0.0</v>
      </c>
      <c r="AM769" s="1">
        <v>5436.0</v>
      </c>
      <c r="AN769" s="1">
        <v>5436.0</v>
      </c>
      <c r="AO769" s="1">
        <v>5436.0</v>
      </c>
      <c r="AP769" s="1">
        <v>2.082</v>
      </c>
      <c r="AR769" s="1">
        <v>0.0</v>
      </c>
      <c r="AW769" s="1">
        <v>0.0</v>
      </c>
      <c r="AX769" s="1">
        <v>2.0</v>
      </c>
      <c r="AY769" s="1">
        <v>4.0</v>
      </c>
      <c r="BA769" s="1">
        <v>0.0</v>
      </c>
      <c r="BB769" s="1">
        <v>0.0</v>
      </c>
      <c r="BC769" s="1">
        <v>0.0</v>
      </c>
      <c r="BD769" s="1">
        <v>0.0</v>
      </c>
      <c r="BE769" s="1">
        <v>0.0</v>
      </c>
      <c r="BF769" s="1">
        <v>0.0</v>
      </c>
      <c r="BG769" s="1">
        <v>0.0</v>
      </c>
      <c r="BH769" s="1">
        <v>0.0</v>
      </c>
      <c r="BI769" s="1">
        <v>0.0</v>
      </c>
      <c r="BJ769" s="1">
        <v>0.0</v>
      </c>
      <c r="BP769" s="1">
        <v>0.272</v>
      </c>
      <c r="BQ769" s="1" t="s">
        <v>3160</v>
      </c>
      <c r="BV769" s="1">
        <v>1.1</v>
      </c>
      <c r="EQ769" s="9" t="s">
        <v>3159</v>
      </c>
      <c r="ER769" s="21">
        <v>46045.299259259256</v>
      </c>
    </row>
    <row r="770">
      <c r="A770" s="9" t="s">
        <v>3161</v>
      </c>
      <c r="B770" s="20" t="str">
        <f>IFERROR(__xludf.DUMMYFUNCTION("REGEXREPLACE(A770, ""^https?://[^/]+"", """")"),"/wp-content/uploads/2024/04/Blackstone-300x156.png")</f>
        <v>/wp-content/uploads/2024/04/Blackstone-300x156.png</v>
      </c>
      <c r="F770" s="1" t="s">
        <v>1047</v>
      </c>
      <c r="G770" s="1">
        <v>200.0</v>
      </c>
      <c r="H770" s="1" t="s">
        <v>966</v>
      </c>
      <c r="I770" s="1" t="s">
        <v>967</v>
      </c>
      <c r="L770" s="1">
        <v>0.0</v>
      </c>
      <c r="M770" s="1">
        <v>0.0</v>
      </c>
      <c r="O770" s="1">
        <v>0.0</v>
      </c>
      <c r="P770" s="1">
        <v>0.0</v>
      </c>
      <c r="R770" s="1">
        <v>0.0</v>
      </c>
      <c r="S770" s="1">
        <v>0.0</v>
      </c>
      <c r="U770" s="1">
        <v>0.0</v>
      </c>
      <c r="W770" s="1">
        <v>0.0</v>
      </c>
      <c r="Y770" s="1">
        <v>0.0</v>
      </c>
      <c r="AA770" s="1">
        <v>0.0</v>
      </c>
      <c r="AC770" s="1">
        <v>0.0</v>
      </c>
      <c r="AM770" s="1">
        <v>4859.0</v>
      </c>
      <c r="AN770" s="1">
        <v>4859.0</v>
      </c>
      <c r="AO770" s="1">
        <v>4859.0</v>
      </c>
      <c r="AP770" s="1">
        <v>1.861</v>
      </c>
      <c r="AR770" s="1">
        <v>0.0</v>
      </c>
      <c r="AW770" s="1">
        <v>0.0</v>
      </c>
      <c r="AX770" s="1">
        <v>2.0</v>
      </c>
      <c r="AY770" s="1">
        <v>4.0</v>
      </c>
      <c r="BA770" s="1">
        <v>0.0</v>
      </c>
      <c r="BB770" s="1">
        <v>0.0</v>
      </c>
      <c r="BC770" s="1">
        <v>0.0</v>
      </c>
      <c r="BD770" s="1">
        <v>0.0</v>
      </c>
      <c r="BE770" s="1">
        <v>0.0</v>
      </c>
      <c r="BF770" s="1">
        <v>0.0</v>
      </c>
      <c r="BG770" s="1">
        <v>0.0</v>
      </c>
      <c r="BH770" s="1">
        <v>0.0</v>
      </c>
      <c r="BI770" s="1">
        <v>0.0</v>
      </c>
      <c r="BJ770" s="1">
        <v>0.0</v>
      </c>
      <c r="BP770" s="1">
        <v>0.263</v>
      </c>
      <c r="BQ770" s="1" t="s">
        <v>3162</v>
      </c>
      <c r="BV770" s="1">
        <v>1.1</v>
      </c>
      <c r="EQ770" s="9" t="s">
        <v>3161</v>
      </c>
      <c r="ER770" s="21">
        <v>46045.299259259256</v>
      </c>
    </row>
    <row r="771">
      <c r="A771" s="9" t="s">
        <v>3163</v>
      </c>
      <c r="B771" s="20" t="str">
        <f>IFERROR(__xludf.DUMMYFUNCTION("REGEXREPLACE(A771, ""^https?://[^/]+"", """")"),"/wp-content/uploads/2024/04/H.I.G-300x300.png")</f>
        <v>/wp-content/uploads/2024/04/H.I.G-300x300.png</v>
      </c>
      <c r="F771" s="1" t="s">
        <v>1047</v>
      </c>
      <c r="G771" s="1">
        <v>200.0</v>
      </c>
      <c r="H771" s="1" t="s">
        <v>966</v>
      </c>
      <c r="I771" s="1" t="s">
        <v>967</v>
      </c>
      <c r="L771" s="1">
        <v>0.0</v>
      </c>
      <c r="M771" s="1">
        <v>0.0</v>
      </c>
      <c r="O771" s="1">
        <v>0.0</v>
      </c>
      <c r="P771" s="1">
        <v>0.0</v>
      </c>
      <c r="R771" s="1">
        <v>0.0</v>
      </c>
      <c r="S771" s="1">
        <v>0.0</v>
      </c>
      <c r="U771" s="1">
        <v>0.0</v>
      </c>
      <c r="W771" s="1">
        <v>0.0</v>
      </c>
      <c r="Y771" s="1">
        <v>0.0</v>
      </c>
      <c r="AA771" s="1">
        <v>0.0</v>
      </c>
      <c r="AC771" s="1">
        <v>0.0</v>
      </c>
      <c r="AM771" s="1">
        <v>7249.0</v>
      </c>
      <c r="AN771" s="1">
        <v>7249.0</v>
      </c>
      <c r="AO771" s="1">
        <v>7249.0</v>
      </c>
      <c r="AP771" s="1">
        <v>2.777</v>
      </c>
      <c r="AR771" s="1">
        <v>0.0</v>
      </c>
      <c r="AW771" s="1">
        <v>0.0</v>
      </c>
      <c r="AX771" s="1">
        <v>2.0</v>
      </c>
      <c r="AY771" s="1">
        <v>4.0</v>
      </c>
      <c r="BA771" s="1">
        <v>0.0</v>
      </c>
      <c r="BB771" s="1">
        <v>0.0</v>
      </c>
      <c r="BC771" s="1">
        <v>0.0</v>
      </c>
      <c r="BD771" s="1">
        <v>0.0</v>
      </c>
      <c r="BE771" s="1">
        <v>0.0</v>
      </c>
      <c r="BF771" s="1">
        <v>0.0</v>
      </c>
      <c r="BG771" s="1">
        <v>0.0</v>
      </c>
      <c r="BH771" s="1">
        <v>0.0</v>
      </c>
      <c r="BI771" s="1">
        <v>0.0</v>
      </c>
      <c r="BJ771" s="1">
        <v>0.0</v>
      </c>
      <c r="BP771" s="1">
        <v>0.271</v>
      </c>
      <c r="BQ771" s="1" t="s">
        <v>3164</v>
      </c>
      <c r="BV771" s="1">
        <v>1.1</v>
      </c>
      <c r="EQ771" s="9" t="s">
        <v>3163</v>
      </c>
      <c r="ER771" s="21">
        <v>46045.299259259256</v>
      </c>
    </row>
    <row r="772">
      <c r="A772" s="9" t="s">
        <v>3165</v>
      </c>
      <c r="B772" s="20" t="str">
        <f>IFERROR(__xludf.DUMMYFUNCTION("REGEXREPLACE(A772, ""^https?://[^/]+"", """")"),"/wp-content/plugins/elementor/assets/css/widget-image-carousel.min.css?ver=3.34.0")</f>
        <v>/wp-content/plugins/elementor/assets/css/widget-image-carousel.min.css?ver=3.34.0</v>
      </c>
      <c r="F772" s="1" t="s">
        <v>1016</v>
      </c>
      <c r="G772" s="1">
        <v>200.0</v>
      </c>
      <c r="H772" s="1" t="s">
        <v>966</v>
      </c>
      <c r="I772" s="1" t="s">
        <v>967</v>
      </c>
      <c r="L772" s="1">
        <v>0.0</v>
      </c>
      <c r="M772" s="1">
        <v>0.0</v>
      </c>
      <c r="O772" s="1">
        <v>0.0</v>
      </c>
      <c r="P772" s="1">
        <v>0.0</v>
      </c>
      <c r="R772" s="1">
        <v>0.0</v>
      </c>
      <c r="S772" s="1">
        <v>0.0</v>
      </c>
      <c r="U772" s="1">
        <v>0.0</v>
      </c>
      <c r="W772" s="1">
        <v>0.0</v>
      </c>
      <c r="Y772" s="1">
        <v>0.0</v>
      </c>
      <c r="AA772" s="1">
        <v>0.0</v>
      </c>
      <c r="AC772" s="1">
        <v>0.0</v>
      </c>
      <c r="AM772" s="1">
        <v>183.0</v>
      </c>
      <c r="AN772" s="1">
        <v>183.0</v>
      </c>
      <c r="AO772" s="1">
        <v>183.0</v>
      </c>
      <c r="AP772" s="1">
        <v>0.07</v>
      </c>
      <c r="AR772" s="1">
        <v>0.0</v>
      </c>
      <c r="AW772" s="1">
        <v>0.0</v>
      </c>
      <c r="AX772" s="1">
        <v>2.0</v>
      </c>
      <c r="AY772" s="1">
        <v>5.0</v>
      </c>
      <c r="BA772" s="1">
        <v>0.0</v>
      </c>
      <c r="BB772" s="1">
        <v>0.0</v>
      </c>
      <c r="BC772" s="1">
        <v>0.0</v>
      </c>
      <c r="BD772" s="1">
        <v>0.0</v>
      </c>
      <c r="BE772" s="1">
        <v>0.0</v>
      </c>
      <c r="BF772" s="1">
        <v>0.0</v>
      </c>
      <c r="BG772" s="1">
        <v>0.0</v>
      </c>
      <c r="BH772" s="1">
        <v>0.0</v>
      </c>
      <c r="BI772" s="1">
        <v>0.0</v>
      </c>
      <c r="BJ772" s="1">
        <v>0.0</v>
      </c>
      <c r="BP772" s="1">
        <v>0.258</v>
      </c>
      <c r="BQ772" s="1" t="s">
        <v>1017</v>
      </c>
      <c r="BV772" s="1">
        <v>1.1</v>
      </c>
      <c r="EQ772" s="9" t="s">
        <v>3165</v>
      </c>
      <c r="ER772" s="21">
        <v>46045.299259259256</v>
      </c>
    </row>
    <row r="773">
      <c r="A773" s="9" t="s">
        <v>3166</v>
      </c>
      <c r="B773" s="20" t="str">
        <f>IFERROR(__xludf.DUMMYFUNCTION("REGEXREPLACE(A773, ""^https?://[^/]+"", """")"),"/wp-content/uploads/2022/09/Technology-Case-Study-Thumbnail.jpg")</f>
        <v>/wp-content/uploads/2022/09/Technology-Case-Study-Thumbnail.jpg</v>
      </c>
      <c r="F773" s="1" t="s">
        <v>1004</v>
      </c>
      <c r="G773" s="1">
        <v>200.0</v>
      </c>
      <c r="H773" s="1" t="s">
        <v>966</v>
      </c>
      <c r="I773" s="1" t="s">
        <v>967</v>
      </c>
      <c r="L773" s="1">
        <v>0.0</v>
      </c>
      <c r="M773" s="1">
        <v>0.0</v>
      </c>
      <c r="O773" s="1">
        <v>0.0</v>
      </c>
      <c r="P773" s="1">
        <v>0.0</v>
      </c>
      <c r="R773" s="1">
        <v>0.0</v>
      </c>
      <c r="S773" s="1">
        <v>0.0</v>
      </c>
      <c r="U773" s="1">
        <v>0.0</v>
      </c>
      <c r="W773" s="1">
        <v>0.0</v>
      </c>
      <c r="Y773" s="1">
        <v>0.0</v>
      </c>
      <c r="AA773" s="1">
        <v>0.0</v>
      </c>
      <c r="AC773" s="1">
        <v>0.0</v>
      </c>
      <c r="AM773" s="1">
        <v>112368.0</v>
      </c>
      <c r="AN773" s="1">
        <v>112368.0</v>
      </c>
      <c r="AO773" s="1">
        <v>112368.0</v>
      </c>
      <c r="AP773" s="1">
        <v>43.046</v>
      </c>
      <c r="AR773" s="1">
        <v>0.0</v>
      </c>
      <c r="AW773" s="1">
        <v>0.0</v>
      </c>
      <c r="AX773" s="1">
        <v>2.0</v>
      </c>
      <c r="AY773" s="1">
        <v>4.0</v>
      </c>
      <c r="BA773" s="1">
        <v>0.0</v>
      </c>
      <c r="BB773" s="1">
        <v>0.0</v>
      </c>
      <c r="BC773" s="1">
        <v>0.0</v>
      </c>
      <c r="BD773" s="1">
        <v>0.0</v>
      </c>
      <c r="BE773" s="1">
        <v>0.0</v>
      </c>
      <c r="BF773" s="1">
        <v>0.0</v>
      </c>
      <c r="BG773" s="1">
        <v>0.0</v>
      </c>
      <c r="BH773" s="1">
        <v>0.0</v>
      </c>
      <c r="BI773" s="1">
        <v>0.0</v>
      </c>
      <c r="BJ773" s="1">
        <v>0.0</v>
      </c>
      <c r="BP773" s="1">
        <v>0.262</v>
      </c>
      <c r="BQ773" s="1" t="s">
        <v>3167</v>
      </c>
      <c r="BV773" s="1">
        <v>1.1</v>
      </c>
      <c r="EQ773" s="9" t="s">
        <v>3166</v>
      </c>
      <c r="ER773" s="21">
        <v>46045.299259259256</v>
      </c>
    </row>
    <row r="774">
      <c r="A774" s="9" t="s">
        <v>3168</v>
      </c>
      <c r="B774" s="20" t="str">
        <f>IFERROR(__xludf.DUMMYFUNCTION("REGEXREPLACE(A774, ""^https?://[^/]+"", """")"),"/wp-content/uploads/2022/11/Maintaining-Sales-Momentum-Amidst-Transition-cover-1.jpg")</f>
        <v>/wp-content/uploads/2022/11/Maintaining-Sales-Momentum-Amidst-Transition-cover-1.jpg</v>
      </c>
      <c r="F774" s="1" t="s">
        <v>1004</v>
      </c>
      <c r="G774" s="1">
        <v>200.0</v>
      </c>
      <c r="H774" s="1" t="s">
        <v>966</v>
      </c>
      <c r="I774" s="1" t="s">
        <v>967</v>
      </c>
      <c r="L774" s="1">
        <v>0.0</v>
      </c>
      <c r="M774" s="1">
        <v>0.0</v>
      </c>
      <c r="O774" s="1">
        <v>0.0</v>
      </c>
      <c r="P774" s="1">
        <v>0.0</v>
      </c>
      <c r="R774" s="1">
        <v>0.0</v>
      </c>
      <c r="S774" s="1">
        <v>0.0</v>
      </c>
      <c r="U774" s="1">
        <v>0.0</v>
      </c>
      <c r="W774" s="1">
        <v>0.0</v>
      </c>
      <c r="Y774" s="1">
        <v>0.0</v>
      </c>
      <c r="AA774" s="1">
        <v>0.0</v>
      </c>
      <c r="AC774" s="1">
        <v>0.0</v>
      </c>
      <c r="AM774" s="1">
        <v>45503.0</v>
      </c>
      <c r="AN774" s="1">
        <v>45503.0</v>
      </c>
      <c r="AO774" s="1">
        <v>45503.0</v>
      </c>
      <c r="AP774" s="1">
        <v>17.431</v>
      </c>
      <c r="AR774" s="1">
        <v>0.0</v>
      </c>
      <c r="AW774" s="1">
        <v>0.0</v>
      </c>
      <c r="AX774" s="1">
        <v>2.0</v>
      </c>
      <c r="AY774" s="1">
        <v>4.0</v>
      </c>
      <c r="BA774" s="1">
        <v>0.0</v>
      </c>
      <c r="BB774" s="1">
        <v>0.0</v>
      </c>
      <c r="BC774" s="1">
        <v>0.0</v>
      </c>
      <c r="BD774" s="1">
        <v>0.0</v>
      </c>
      <c r="BE774" s="1">
        <v>0.0</v>
      </c>
      <c r="BF774" s="1">
        <v>0.0</v>
      </c>
      <c r="BG774" s="1">
        <v>0.0</v>
      </c>
      <c r="BH774" s="1">
        <v>0.0</v>
      </c>
      <c r="BI774" s="1">
        <v>0.0</v>
      </c>
      <c r="BJ774" s="1">
        <v>0.0</v>
      </c>
      <c r="BP774" s="1">
        <v>0.272</v>
      </c>
      <c r="BQ774" s="1" t="s">
        <v>3169</v>
      </c>
      <c r="BV774" s="1">
        <v>1.1</v>
      </c>
      <c r="EQ774" s="9" t="s">
        <v>3168</v>
      </c>
      <c r="ER774" s="21">
        <v>46045.299259259256</v>
      </c>
    </row>
    <row r="775">
      <c r="A775" s="9" t="s">
        <v>3170</v>
      </c>
      <c r="B775" s="20" t="str">
        <f>IFERROR(__xludf.DUMMYFUNCTION("REGEXREPLACE(A775, ""^https?://[^/]+"", """")"),"/wp-content/themes/salesxceleratione/assets/css/style.css?ver=1769123327")</f>
        <v>/wp-content/themes/salesxceleratione/assets/css/style.css?ver=1769123327</v>
      </c>
      <c r="F775" s="1" t="s">
        <v>1016</v>
      </c>
      <c r="G775" s="1">
        <v>200.0</v>
      </c>
      <c r="H775" s="1" t="s">
        <v>966</v>
      </c>
      <c r="I775" s="1" t="s">
        <v>967</v>
      </c>
      <c r="L775" s="1">
        <v>0.0</v>
      </c>
      <c r="M775" s="1">
        <v>0.0</v>
      </c>
      <c r="O775" s="1">
        <v>0.0</v>
      </c>
      <c r="P775" s="1">
        <v>0.0</v>
      </c>
      <c r="R775" s="1">
        <v>0.0</v>
      </c>
      <c r="S775" s="1">
        <v>0.0</v>
      </c>
      <c r="U775" s="1">
        <v>0.0</v>
      </c>
      <c r="W775" s="1">
        <v>0.0</v>
      </c>
      <c r="Y775" s="1">
        <v>0.0</v>
      </c>
      <c r="AA775" s="1">
        <v>0.0</v>
      </c>
      <c r="AC775" s="1">
        <v>0.0</v>
      </c>
      <c r="AM775" s="1">
        <v>17704.0</v>
      </c>
      <c r="AN775" s="1">
        <v>17704.0</v>
      </c>
      <c r="AO775" s="1">
        <v>17704.0</v>
      </c>
      <c r="AP775" s="1">
        <v>6.782</v>
      </c>
      <c r="AR775" s="1">
        <v>0.0</v>
      </c>
      <c r="AW775" s="1">
        <v>0.0</v>
      </c>
      <c r="AX775" s="1">
        <v>2.0</v>
      </c>
      <c r="AY775" s="1">
        <v>5.0</v>
      </c>
      <c r="BA775" s="1">
        <v>0.0</v>
      </c>
      <c r="BB775" s="1">
        <v>0.0</v>
      </c>
      <c r="BC775" s="1">
        <v>0.0</v>
      </c>
      <c r="BD775" s="1">
        <v>0.0</v>
      </c>
      <c r="BE775" s="1">
        <v>0.0</v>
      </c>
      <c r="BF775" s="1">
        <v>0.0</v>
      </c>
      <c r="BG775" s="1">
        <v>0.0</v>
      </c>
      <c r="BH775" s="1">
        <v>0.0</v>
      </c>
      <c r="BI775" s="1">
        <v>0.0</v>
      </c>
      <c r="BJ775" s="1">
        <v>0.0</v>
      </c>
      <c r="BP775" s="1">
        <v>0.29</v>
      </c>
      <c r="BQ775" s="1" t="s">
        <v>3171</v>
      </c>
      <c r="BV775" s="1">
        <v>1.1</v>
      </c>
      <c r="EQ775" s="9" t="s">
        <v>3170</v>
      </c>
      <c r="ER775" s="21">
        <v>46045.299259259256</v>
      </c>
    </row>
    <row r="776">
      <c r="A776" s="9" t="s">
        <v>3172</v>
      </c>
      <c r="B776" s="20" t="str">
        <f>IFERROR(__xludf.DUMMYFUNCTION("REGEXREPLACE(A776, ""^https?://[^/]+"", """")"),"/wp-content/plugins/powerpack-elements/assets/lib/slick/slick.min.js?ver=2.12.15")</f>
        <v>/wp-content/plugins/powerpack-elements/assets/lib/slick/slick.min.js?ver=2.12.15</v>
      </c>
      <c r="F776" s="1" t="s">
        <v>984</v>
      </c>
      <c r="G776" s="1">
        <v>200.0</v>
      </c>
      <c r="H776" s="1" t="s">
        <v>966</v>
      </c>
      <c r="I776" s="1" t="s">
        <v>967</v>
      </c>
      <c r="L776" s="1">
        <v>0.0</v>
      </c>
      <c r="M776" s="1">
        <v>0.0</v>
      </c>
      <c r="O776" s="1">
        <v>0.0</v>
      </c>
      <c r="P776" s="1">
        <v>0.0</v>
      </c>
      <c r="R776" s="1">
        <v>0.0</v>
      </c>
      <c r="S776" s="1">
        <v>0.0</v>
      </c>
      <c r="U776" s="1">
        <v>0.0</v>
      </c>
      <c r="W776" s="1">
        <v>0.0</v>
      </c>
      <c r="Y776" s="1">
        <v>0.0</v>
      </c>
      <c r="AA776" s="1">
        <v>0.0</v>
      </c>
      <c r="AC776" s="1">
        <v>0.0</v>
      </c>
      <c r="AM776" s="1">
        <v>10442.0</v>
      </c>
      <c r="AN776" s="1">
        <v>10442.0</v>
      </c>
      <c r="AO776" s="1">
        <v>10442.0</v>
      </c>
      <c r="AP776" s="1">
        <v>4.0</v>
      </c>
      <c r="AR776" s="1">
        <v>0.0</v>
      </c>
      <c r="AW776" s="1">
        <v>0.0</v>
      </c>
      <c r="AX776" s="1">
        <v>2.0</v>
      </c>
      <c r="AY776" s="1">
        <v>6.0</v>
      </c>
      <c r="BA776" s="1">
        <v>0.0</v>
      </c>
      <c r="BB776" s="1">
        <v>0.0</v>
      </c>
      <c r="BC776" s="1">
        <v>0.0</v>
      </c>
      <c r="BD776" s="1">
        <v>0.0</v>
      </c>
      <c r="BE776" s="1">
        <v>0.0</v>
      </c>
      <c r="BF776" s="1">
        <v>0.0</v>
      </c>
      <c r="BG776" s="1">
        <v>0.0</v>
      </c>
      <c r="BH776" s="1">
        <v>0.0</v>
      </c>
      <c r="BI776" s="1">
        <v>0.0</v>
      </c>
      <c r="BJ776" s="1">
        <v>0.0</v>
      </c>
      <c r="BP776" s="1">
        <v>0.28</v>
      </c>
      <c r="BQ776" s="1" t="s">
        <v>1193</v>
      </c>
      <c r="BV776" s="1">
        <v>1.1</v>
      </c>
      <c r="EQ776" s="9" t="s">
        <v>3172</v>
      </c>
      <c r="ER776" s="21">
        <v>46045.299259259256</v>
      </c>
    </row>
    <row r="777">
      <c r="A777" s="9" t="s">
        <v>3173</v>
      </c>
      <c r="B777" s="20" t="str">
        <f>IFERROR(__xludf.DUMMYFUNCTION("REGEXREPLACE(A777, ""^https?://[^/]+"", """")"),"/wp-content/uploads/2024/04/Acacia-300x58.png")</f>
        <v>/wp-content/uploads/2024/04/Acacia-300x58.png</v>
      </c>
      <c r="F777" s="1" t="s">
        <v>1047</v>
      </c>
      <c r="G777" s="1">
        <v>200.0</v>
      </c>
      <c r="H777" s="1" t="s">
        <v>966</v>
      </c>
      <c r="I777" s="1" t="s">
        <v>967</v>
      </c>
      <c r="L777" s="1">
        <v>0.0</v>
      </c>
      <c r="M777" s="1">
        <v>0.0</v>
      </c>
      <c r="O777" s="1">
        <v>0.0</v>
      </c>
      <c r="P777" s="1">
        <v>0.0</v>
      </c>
      <c r="R777" s="1">
        <v>0.0</v>
      </c>
      <c r="S777" s="1">
        <v>0.0</v>
      </c>
      <c r="U777" s="1">
        <v>0.0</v>
      </c>
      <c r="W777" s="1">
        <v>0.0</v>
      </c>
      <c r="Y777" s="1">
        <v>0.0</v>
      </c>
      <c r="AA777" s="1">
        <v>0.0</v>
      </c>
      <c r="AC777" s="1">
        <v>0.0</v>
      </c>
      <c r="AM777" s="1">
        <v>9211.0</v>
      </c>
      <c r="AN777" s="1">
        <v>9211.0</v>
      </c>
      <c r="AO777" s="1">
        <v>9211.0</v>
      </c>
      <c r="AP777" s="1">
        <v>3.529</v>
      </c>
      <c r="AR777" s="1">
        <v>0.0</v>
      </c>
      <c r="AW777" s="1">
        <v>0.0</v>
      </c>
      <c r="AX777" s="1">
        <v>2.0</v>
      </c>
      <c r="AY777" s="1">
        <v>4.0</v>
      </c>
      <c r="BA777" s="1">
        <v>0.0</v>
      </c>
      <c r="BB777" s="1">
        <v>0.0</v>
      </c>
      <c r="BC777" s="1">
        <v>0.0</v>
      </c>
      <c r="BD777" s="1">
        <v>0.0</v>
      </c>
      <c r="BE777" s="1">
        <v>0.0</v>
      </c>
      <c r="BF777" s="1">
        <v>0.0</v>
      </c>
      <c r="BG777" s="1">
        <v>0.0</v>
      </c>
      <c r="BH777" s="1">
        <v>0.0</v>
      </c>
      <c r="BI777" s="1">
        <v>0.0</v>
      </c>
      <c r="BJ777" s="1">
        <v>0.0</v>
      </c>
      <c r="BP777" s="1">
        <v>0.271</v>
      </c>
      <c r="BQ777" s="1" t="s">
        <v>3174</v>
      </c>
      <c r="BV777" s="1">
        <v>1.1</v>
      </c>
      <c r="EQ777" s="9" t="s">
        <v>3173</v>
      </c>
      <c r="ER777" s="21">
        <v>46045.299259259256</v>
      </c>
    </row>
    <row r="778">
      <c r="A778" s="9" t="s">
        <v>3175</v>
      </c>
      <c r="B778" s="20" t="str">
        <f>IFERROR(__xludf.DUMMYFUNCTION("REGEXREPLACE(A778, ""^https?://[^/]+"", """")"),"/wp-content/plugins/powerpack-elements/assets/lib/jquery-resize/jquery.resize.min.js?ver=0.5.3")</f>
        <v>/wp-content/plugins/powerpack-elements/assets/lib/jquery-resize/jquery.resize.min.js?ver=0.5.3</v>
      </c>
      <c r="F778" s="1" t="s">
        <v>984</v>
      </c>
      <c r="G778" s="1">
        <v>200.0</v>
      </c>
      <c r="H778" s="1" t="s">
        <v>966</v>
      </c>
      <c r="I778" s="1" t="s">
        <v>967</v>
      </c>
      <c r="L778" s="1">
        <v>0.0</v>
      </c>
      <c r="M778" s="1">
        <v>0.0</v>
      </c>
      <c r="O778" s="1">
        <v>0.0</v>
      </c>
      <c r="P778" s="1">
        <v>0.0</v>
      </c>
      <c r="R778" s="1">
        <v>0.0</v>
      </c>
      <c r="S778" s="1">
        <v>0.0</v>
      </c>
      <c r="U778" s="1">
        <v>0.0</v>
      </c>
      <c r="W778" s="1">
        <v>0.0</v>
      </c>
      <c r="Y778" s="1">
        <v>0.0</v>
      </c>
      <c r="AA778" s="1">
        <v>0.0</v>
      </c>
      <c r="AC778" s="1">
        <v>0.0</v>
      </c>
      <c r="AM778" s="1">
        <v>1259.0</v>
      </c>
      <c r="AN778" s="1">
        <v>1259.0</v>
      </c>
      <c r="AO778" s="1">
        <v>1259.0</v>
      </c>
      <c r="AP778" s="1">
        <v>0.482</v>
      </c>
      <c r="AR778" s="1">
        <v>0.0</v>
      </c>
      <c r="AW778" s="1">
        <v>0.0</v>
      </c>
      <c r="AX778" s="1">
        <v>2.0</v>
      </c>
      <c r="AY778" s="1">
        <v>6.0</v>
      </c>
      <c r="BA778" s="1">
        <v>0.0</v>
      </c>
      <c r="BB778" s="1">
        <v>0.0</v>
      </c>
      <c r="BC778" s="1">
        <v>0.0</v>
      </c>
      <c r="BD778" s="1">
        <v>0.0</v>
      </c>
      <c r="BE778" s="1">
        <v>0.0</v>
      </c>
      <c r="BF778" s="1">
        <v>0.0</v>
      </c>
      <c r="BG778" s="1">
        <v>0.0</v>
      </c>
      <c r="BH778" s="1">
        <v>0.0</v>
      </c>
      <c r="BI778" s="1">
        <v>0.0</v>
      </c>
      <c r="BJ778" s="1">
        <v>0.0</v>
      </c>
      <c r="BP778" s="1">
        <v>0.269</v>
      </c>
      <c r="BQ778" s="1" t="s">
        <v>1193</v>
      </c>
      <c r="BV778" s="1">
        <v>1.1</v>
      </c>
      <c r="EQ778" s="9" t="s">
        <v>3175</v>
      </c>
      <c r="ER778" s="21">
        <v>46045.299259259256</v>
      </c>
    </row>
    <row r="779">
      <c r="A779" s="9" t="s">
        <v>3176</v>
      </c>
      <c r="B779" s="20" t="str">
        <f>IFERROR(__xludf.DUMMYFUNCTION("REGEXREPLACE(A779, ""^https?://[^/]+"", """")"),"/wp-content/uploads/2024/04/Talich-300x67.png")</f>
        <v>/wp-content/uploads/2024/04/Talich-300x67.png</v>
      </c>
      <c r="F779" s="1" t="s">
        <v>1047</v>
      </c>
      <c r="G779" s="1">
        <v>200.0</v>
      </c>
      <c r="H779" s="1" t="s">
        <v>966</v>
      </c>
      <c r="I779" s="1" t="s">
        <v>967</v>
      </c>
      <c r="L779" s="1">
        <v>0.0</v>
      </c>
      <c r="M779" s="1">
        <v>0.0</v>
      </c>
      <c r="O779" s="1">
        <v>0.0</v>
      </c>
      <c r="P779" s="1">
        <v>0.0</v>
      </c>
      <c r="R779" s="1">
        <v>0.0</v>
      </c>
      <c r="S779" s="1">
        <v>0.0</v>
      </c>
      <c r="U779" s="1">
        <v>0.0</v>
      </c>
      <c r="W779" s="1">
        <v>0.0</v>
      </c>
      <c r="Y779" s="1">
        <v>0.0</v>
      </c>
      <c r="AA779" s="1">
        <v>0.0</v>
      </c>
      <c r="AC779" s="1">
        <v>0.0</v>
      </c>
      <c r="AM779" s="1">
        <v>10429.0</v>
      </c>
      <c r="AN779" s="1">
        <v>10429.0</v>
      </c>
      <c r="AO779" s="1">
        <v>10429.0</v>
      </c>
      <c r="AP779" s="1">
        <v>3.995</v>
      </c>
      <c r="AR779" s="1">
        <v>0.0</v>
      </c>
      <c r="AW779" s="1">
        <v>0.0</v>
      </c>
      <c r="AX779" s="1">
        <v>2.0</v>
      </c>
      <c r="AY779" s="1">
        <v>4.0</v>
      </c>
      <c r="BA779" s="1">
        <v>0.0</v>
      </c>
      <c r="BB779" s="1">
        <v>0.0</v>
      </c>
      <c r="BC779" s="1">
        <v>0.0</v>
      </c>
      <c r="BD779" s="1">
        <v>0.0</v>
      </c>
      <c r="BE779" s="1">
        <v>0.0</v>
      </c>
      <c r="BF779" s="1">
        <v>0.0</v>
      </c>
      <c r="BG779" s="1">
        <v>0.0</v>
      </c>
      <c r="BH779" s="1">
        <v>0.0</v>
      </c>
      <c r="BI779" s="1">
        <v>0.0</v>
      </c>
      <c r="BJ779" s="1">
        <v>0.0</v>
      </c>
      <c r="BP779" s="1">
        <v>0.265</v>
      </c>
      <c r="BQ779" s="1" t="s">
        <v>3177</v>
      </c>
      <c r="BV779" s="1">
        <v>1.1</v>
      </c>
      <c r="EQ779" s="9" t="s">
        <v>3176</v>
      </c>
      <c r="ER779" s="21">
        <v>46045.299259259256</v>
      </c>
    </row>
    <row r="780">
      <c r="A780" s="9" t="s">
        <v>3178</v>
      </c>
      <c r="B780" s="20" t="str">
        <f>IFERROR(__xludf.DUMMYFUNCTION("REGEXREPLACE(A780, ""^https?://[^/]+"", """")"),"/wp-content/uploads/2024/04/AKKR-300x113.png")</f>
        <v>/wp-content/uploads/2024/04/AKKR-300x113.png</v>
      </c>
      <c r="F780" s="1" t="s">
        <v>1047</v>
      </c>
      <c r="G780" s="1">
        <v>200.0</v>
      </c>
      <c r="H780" s="1" t="s">
        <v>966</v>
      </c>
      <c r="I780" s="1" t="s">
        <v>967</v>
      </c>
      <c r="L780" s="1">
        <v>0.0</v>
      </c>
      <c r="M780" s="1">
        <v>0.0</v>
      </c>
      <c r="O780" s="1">
        <v>0.0</v>
      </c>
      <c r="P780" s="1">
        <v>0.0</v>
      </c>
      <c r="R780" s="1">
        <v>0.0</v>
      </c>
      <c r="S780" s="1">
        <v>0.0</v>
      </c>
      <c r="U780" s="1">
        <v>0.0</v>
      </c>
      <c r="W780" s="1">
        <v>0.0</v>
      </c>
      <c r="Y780" s="1">
        <v>0.0</v>
      </c>
      <c r="AA780" s="1">
        <v>0.0</v>
      </c>
      <c r="AC780" s="1">
        <v>0.0</v>
      </c>
      <c r="AM780" s="1">
        <v>10626.0</v>
      </c>
      <c r="AN780" s="1">
        <v>10626.0</v>
      </c>
      <c r="AO780" s="1">
        <v>10626.0</v>
      </c>
      <c r="AP780" s="1">
        <v>4.071</v>
      </c>
      <c r="AR780" s="1">
        <v>0.0</v>
      </c>
      <c r="AW780" s="1">
        <v>0.0</v>
      </c>
      <c r="AX780" s="1">
        <v>2.0</v>
      </c>
      <c r="AY780" s="1">
        <v>4.0</v>
      </c>
      <c r="BA780" s="1">
        <v>0.0</v>
      </c>
      <c r="BB780" s="1">
        <v>0.0</v>
      </c>
      <c r="BC780" s="1">
        <v>0.0</v>
      </c>
      <c r="BD780" s="1">
        <v>0.0</v>
      </c>
      <c r="BE780" s="1">
        <v>0.0</v>
      </c>
      <c r="BF780" s="1">
        <v>0.0</v>
      </c>
      <c r="BG780" s="1">
        <v>0.0</v>
      </c>
      <c r="BH780" s="1">
        <v>0.0</v>
      </c>
      <c r="BI780" s="1">
        <v>0.0</v>
      </c>
      <c r="BJ780" s="1">
        <v>0.0</v>
      </c>
      <c r="BP780" s="1">
        <v>0.27</v>
      </c>
      <c r="BQ780" s="1" t="s">
        <v>3179</v>
      </c>
      <c r="BV780" s="1">
        <v>1.1</v>
      </c>
      <c r="EQ780" s="9" t="s">
        <v>3178</v>
      </c>
      <c r="ER780" s="21">
        <v>46045.299259259256</v>
      </c>
    </row>
    <row r="781">
      <c r="A781" s="9" t="s">
        <v>3180</v>
      </c>
      <c r="B781" s="20" t="str">
        <f>IFERROR(__xludf.DUMMYFUNCTION("REGEXREPLACE(A781, ""^https?://[^/]+"", """")"),"/wp-content/uploads/2024/05/Borgman-Logo-300x74.png")</f>
        <v>/wp-content/uploads/2024/05/Borgman-Logo-300x74.png</v>
      </c>
      <c r="F781" s="1" t="s">
        <v>1047</v>
      </c>
      <c r="G781" s="1">
        <v>200.0</v>
      </c>
      <c r="H781" s="1" t="s">
        <v>966</v>
      </c>
      <c r="I781" s="1" t="s">
        <v>967</v>
      </c>
      <c r="L781" s="1">
        <v>0.0</v>
      </c>
      <c r="M781" s="1">
        <v>0.0</v>
      </c>
      <c r="O781" s="1">
        <v>0.0</v>
      </c>
      <c r="P781" s="1">
        <v>0.0</v>
      </c>
      <c r="R781" s="1">
        <v>0.0</v>
      </c>
      <c r="S781" s="1">
        <v>0.0</v>
      </c>
      <c r="U781" s="1">
        <v>0.0</v>
      </c>
      <c r="W781" s="1">
        <v>0.0</v>
      </c>
      <c r="Y781" s="1">
        <v>0.0</v>
      </c>
      <c r="AA781" s="1">
        <v>0.0</v>
      </c>
      <c r="AC781" s="1">
        <v>0.0</v>
      </c>
      <c r="AM781" s="1">
        <v>7087.0</v>
      </c>
      <c r="AN781" s="1">
        <v>7087.0</v>
      </c>
      <c r="AO781" s="1">
        <v>7087.0</v>
      </c>
      <c r="AP781" s="1">
        <v>2.715</v>
      </c>
      <c r="AR781" s="1">
        <v>0.0</v>
      </c>
      <c r="AW781" s="1">
        <v>0.0</v>
      </c>
      <c r="AX781" s="1">
        <v>2.0</v>
      </c>
      <c r="AY781" s="1">
        <v>4.0</v>
      </c>
      <c r="BA781" s="1">
        <v>0.0</v>
      </c>
      <c r="BB781" s="1">
        <v>0.0</v>
      </c>
      <c r="BC781" s="1">
        <v>0.0</v>
      </c>
      <c r="BD781" s="1">
        <v>0.0</v>
      </c>
      <c r="BE781" s="1">
        <v>0.0</v>
      </c>
      <c r="BF781" s="1">
        <v>0.0</v>
      </c>
      <c r="BG781" s="1">
        <v>0.0</v>
      </c>
      <c r="BH781" s="1">
        <v>0.0</v>
      </c>
      <c r="BI781" s="1">
        <v>0.0</v>
      </c>
      <c r="BJ781" s="1">
        <v>0.0</v>
      </c>
      <c r="BP781" s="1">
        <v>0.272</v>
      </c>
      <c r="BQ781" s="1" t="s">
        <v>3181</v>
      </c>
      <c r="BV781" s="1">
        <v>1.1</v>
      </c>
      <c r="EQ781" s="9" t="s">
        <v>3180</v>
      </c>
      <c r="ER781" s="21">
        <v>46045.299259259256</v>
      </c>
    </row>
    <row r="782">
      <c r="A782" s="9" t="s">
        <v>3182</v>
      </c>
      <c r="B782" s="20" t="str">
        <f>IFERROR(__xludf.DUMMYFUNCTION("REGEXREPLACE(A782, ""^https?://[^/]+"", """")"),"/wp-content/plugins/powerpack-elements/assets/css/min/widget-testimonials.min.css?ver=2.12.15")</f>
        <v>/wp-content/plugins/powerpack-elements/assets/css/min/widget-testimonials.min.css?ver=2.12.15</v>
      </c>
      <c r="F782" s="1" t="s">
        <v>1016</v>
      </c>
      <c r="G782" s="1">
        <v>200.0</v>
      </c>
      <c r="H782" s="1" t="s">
        <v>966</v>
      </c>
      <c r="I782" s="1" t="s">
        <v>967</v>
      </c>
      <c r="L782" s="1">
        <v>0.0</v>
      </c>
      <c r="M782" s="1">
        <v>0.0</v>
      </c>
      <c r="O782" s="1">
        <v>0.0</v>
      </c>
      <c r="P782" s="1">
        <v>0.0</v>
      </c>
      <c r="R782" s="1">
        <v>0.0</v>
      </c>
      <c r="S782" s="1">
        <v>0.0</v>
      </c>
      <c r="U782" s="1">
        <v>0.0</v>
      </c>
      <c r="W782" s="1">
        <v>0.0</v>
      </c>
      <c r="Y782" s="1">
        <v>0.0</v>
      </c>
      <c r="AA782" s="1">
        <v>0.0</v>
      </c>
      <c r="AC782" s="1">
        <v>0.0</v>
      </c>
      <c r="AM782" s="1">
        <v>1897.0</v>
      </c>
      <c r="AN782" s="1">
        <v>1897.0</v>
      </c>
      <c r="AO782" s="1">
        <v>1897.0</v>
      </c>
      <c r="AP782" s="1">
        <v>0.727</v>
      </c>
      <c r="AR782" s="1">
        <v>0.0</v>
      </c>
      <c r="AW782" s="1">
        <v>0.0</v>
      </c>
      <c r="AX782" s="1">
        <v>2.0</v>
      </c>
      <c r="AY782" s="1">
        <v>6.0</v>
      </c>
      <c r="BA782" s="1">
        <v>0.0</v>
      </c>
      <c r="BB782" s="1">
        <v>0.0</v>
      </c>
      <c r="BC782" s="1">
        <v>0.0</v>
      </c>
      <c r="BD782" s="1">
        <v>0.0</v>
      </c>
      <c r="BE782" s="1">
        <v>0.0</v>
      </c>
      <c r="BF782" s="1">
        <v>0.0</v>
      </c>
      <c r="BG782" s="1">
        <v>0.0</v>
      </c>
      <c r="BH782" s="1">
        <v>0.0</v>
      </c>
      <c r="BI782" s="1">
        <v>0.0</v>
      </c>
      <c r="BJ782" s="1">
        <v>0.0</v>
      </c>
      <c r="BP782" s="1">
        <v>0.264</v>
      </c>
      <c r="BQ782" s="1" t="s">
        <v>1193</v>
      </c>
      <c r="BV782" s="1">
        <v>1.1</v>
      </c>
      <c r="EQ782" s="9" t="s">
        <v>3182</v>
      </c>
      <c r="ER782" s="21">
        <v>46045.299259259256</v>
      </c>
    </row>
    <row r="783">
      <c r="A783" s="9" t="s">
        <v>3183</v>
      </c>
      <c r="B783" s="20" t="str">
        <f>IFERROR(__xludf.DUMMYFUNCTION("REGEXREPLACE(A783, ""^https?://[^/]+"", """")"),"/wp-content/uploads/elementor/css/post-39238.css?ver=1768857127")</f>
        <v>/wp-content/uploads/elementor/css/post-39238.css?ver=1768857127</v>
      </c>
      <c r="F783" s="1" t="s">
        <v>1016</v>
      </c>
      <c r="G783" s="1">
        <v>200.0</v>
      </c>
      <c r="H783" s="1" t="s">
        <v>966</v>
      </c>
      <c r="I783" s="1" t="s">
        <v>967</v>
      </c>
      <c r="L783" s="1">
        <v>0.0</v>
      </c>
      <c r="M783" s="1">
        <v>0.0</v>
      </c>
      <c r="O783" s="1">
        <v>0.0</v>
      </c>
      <c r="P783" s="1">
        <v>0.0</v>
      </c>
      <c r="R783" s="1">
        <v>0.0</v>
      </c>
      <c r="S783" s="1">
        <v>0.0</v>
      </c>
      <c r="U783" s="1">
        <v>0.0</v>
      </c>
      <c r="W783" s="1">
        <v>0.0</v>
      </c>
      <c r="Y783" s="1">
        <v>0.0</v>
      </c>
      <c r="AA783" s="1">
        <v>0.0</v>
      </c>
      <c r="AC783" s="1">
        <v>0.0</v>
      </c>
      <c r="AM783" s="1">
        <v>3514.0</v>
      </c>
      <c r="AN783" s="1">
        <v>3514.0</v>
      </c>
      <c r="AO783" s="1">
        <v>3514.0</v>
      </c>
      <c r="AP783" s="1">
        <v>1.346</v>
      </c>
      <c r="AR783" s="1">
        <v>0.0</v>
      </c>
      <c r="AW783" s="1">
        <v>0.0</v>
      </c>
      <c r="AX783" s="1">
        <v>2.0</v>
      </c>
      <c r="AY783" s="1">
        <v>4.0</v>
      </c>
      <c r="BA783" s="1">
        <v>0.0</v>
      </c>
      <c r="BB783" s="1">
        <v>0.0</v>
      </c>
      <c r="BC783" s="1">
        <v>0.0</v>
      </c>
      <c r="BD783" s="1">
        <v>0.0</v>
      </c>
      <c r="BE783" s="1">
        <v>0.0</v>
      </c>
      <c r="BF783" s="1">
        <v>0.0</v>
      </c>
      <c r="BG783" s="1">
        <v>0.0</v>
      </c>
      <c r="BH783" s="1">
        <v>0.0</v>
      </c>
      <c r="BI783" s="1">
        <v>0.0</v>
      </c>
      <c r="BJ783" s="1">
        <v>0.0</v>
      </c>
      <c r="BP783" s="1">
        <v>0.258</v>
      </c>
      <c r="BQ783" s="1" t="s">
        <v>3184</v>
      </c>
      <c r="BV783" s="1">
        <v>1.1</v>
      </c>
      <c r="EQ783" s="9" t="s">
        <v>3183</v>
      </c>
      <c r="ER783" s="21">
        <v>46045.29927083333</v>
      </c>
    </row>
    <row r="784">
      <c r="A784" s="9" t="s">
        <v>3185</v>
      </c>
      <c r="B784" s="20" t="str">
        <f>IFERROR(__xludf.DUMMYFUNCTION("REGEXREPLACE(A784, ""^https?://[^/]+"", """")"),"/wp-content/uploads/2024/04/LBC_Credit_Partners_Logo-300x157.jpg")</f>
        <v>/wp-content/uploads/2024/04/LBC_Credit_Partners_Logo-300x157.jpg</v>
      </c>
      <c r="F784" s="1" t="s">
        <v>1004</v>
      </c>
      <c r="G784" s="1">
        <v>200.0</v>
      </c>
      <c r="H784" s="1" t="s">
        <v>966</v>
      </c>
      <c r="I784" s="1" t="s">
        <v>967</v>
      </c>
      <c r="L784" s="1">
        <v>0.0</v>
      </c>
      <c r="M784" s="1">
        <v>0.0</v>
      </c>
      <c r="O784" s="1">
        <v>0.0</v>
      </c>
      <c r="P784" s="1">
        <v>0.0</v>
      </c>
      <c r="R784" s="1">
        <v>0.0</v>
      </c>
      <c r="S784" s="1">
        <v>0.0</v>
      </c>
      <c r="U784" s="1">
        <v>0.0</v>
      </c>
      <c r="W784" s="1">
        <v>0.0</v>
      </c>
      <c r="Y784" s="1">
        <v>0.0</v>
      </c>
      <c r="AA784" s="1">
        <v>0.0</v>
      </c>
      <c r="AC784" s="1">
        <v>0.0</v>
      </c>
      <c r="AM784" s="1">
        <v>4177.0</v>
      </c>
      <c r="AN784" s="1">
        <v>4177.0</v>
      </c>
      <c r="AO784" s="1">
        <v>4177.0</v>
      </c>
      <c r="AP784" s="1">
        <v>1.6</v>
      </c>
      <c r="AR784" s="1">
        <v>0.0</v>
      </c>
      <c r="AW784" s="1">
        <v>0.0</v>
      </c>
      <c r="AX784" s="1">
        <v>2.0</v>
      </c>
      <c r="AY784" s="1">
        <v>4.0</v>
      </c>
      <c r="BA784" s="1">
        <v>0.0</v>
      </c>
      <c r="BB784" s="1">
        <v>0.0</v>
      </c>
      <c r="BC784" s="1">
        <v>0.0</v>
      </c>
      <c r="BD784" s="1">
        <v>0.0</v>
      </c>
      <c r="BE784" s="1">
        <v>0.0</v>
      </c>
      <c r="BF784" s="1">
        <v>0.0</v>
      </c>
      <c r="BG784" s="1">
        <v>0.0</v>
      </c>
      <c r="BH784" s="1">
        <v>0.0</v>
      </c>
      <c r="BI784" s="1">
        <v>0.0</v>
      </c>
      <c r="BJ784" s="1">
        <v>0.0</v>
      </c>
      <c r="BP784" s="1">
        <v>0.266</v>
      </c>
      <c r="BQ784" s="1" t="s">
        <v>3186</v>
      </c>
      <c r="BV784" s="1">
        <v>1.1</v>
      </c>
      <c r="EQ784" s="9" t="s">
        <v>3185</v>
      </c>
      <c r="ER784" s="21">
        <v>46045.29927083333</v>
      </c>
    </row>
    <row r="785">
      <c r="A785" s="9" t="s">
        <v>3187</v>
      </c>
      <c r="B785" s="20" t="str">
        <f>IFERROR(__xludf.DUMMYFUNCTION("REGEXREPLACE(A785, ""^https?://[^/]+"", """")"),"/wp-content/uploads/2024/04/WAVE-Logo-300x81.png")</f>
        <v>/wp-content/uploads/2024/04/WAVE-Logo-300x81.png</v>
      </c>
      <c r="F785" s="1" t="s">
        <v>1047</v>
      </c>
      <c r="G785" s="1">
        <v>200.0</v>
      </c>
      <c r="H785" s="1" t="s">
        <v>966</v>
      </c>
      <c r="I785" s="1" t="s">
        <v>967</v>
      </c>
      <c r="L785" s="1">
        <v>0.0</v>
      </c>
      <c r="M785" s="1">
        <v>0.0</v>
      </c>
      <c r="O785" s="1">
        <v>0.0</v>
      </c>
      <c r="P785" s="1">
        <v>0.0</v>
      </c>
      <c r="R785" s="1">
        <v>0.0</v>
      </c>
      <c r="S785" s="1">
        <v>0.0</v>
      </c>
      <c r="U785" s="1">
        <v>0.0</v>
      </c>
      <c r="W785" s="1">
        <v>0.0</v>
      </c>
      <c r="Y785" s="1">
        <v>0.0</v>
      </c>
      <c r="AA785" s="1">
        <v>0.0</v>
      </c>
      <c r="AC785" s="1">
        <v>0.0</v>
      </c>
      <c r="AM785" s="1">
        <v>9151.0</v>
      </c>
      <c r="AN785" s="1">
        <v>9151.0</v>
      </c>
      <c r="AO785" s="1">
        <v>9151.0</v>
      </c>
      <c r="AP785" s="1">
        <v>3.506</v>
      </c>
      <c r="AR785" s="1">
        <v>0.0</v>
      </c>
      <c r="AW785" s="1">
        <v>0.0</v>
      </c>
      <c r="AX785" s="1">
        <v>2.0</v>
      </c>
      <c r="AY785" s="1">
        <v>4.0</v>
      </c>
      <c r="BA785" s="1">
        <v>0.0</v>
      </c>
      <c r="BB785" s="1">
        <v>0.0</v>
      </c>
      <c r="BC785" s="1">
        <v>0.0</v>
      </c>
      <c r="BD785" s="1">
        <v>0.0</v>
      </c>
      <c r="BE785" s="1">
        <v>0.0</v>
      </c>
      <c r="BF785" s="1">
        <v>0.0</v>
      </c>
      <c r="BG785" s="1">
        <v>0.0</v>
      </c>
      <c r="BH785" s="1">
        <v>0.0</v>
      </c>
      <c r="BI785" s="1">
        <v>0.0</v>
      </c>
      <c r="BJ785" s="1">
        <v>0.0</v>
      </c>
      <c r="BP785" s="1">
        <v>0.694</v>
      </c>
      <c r="BQ785" s="1" t="s">
        <v>3188</v>
      </c>
      <c r="BV785" s="1">
        <v>1.1</v>
      </c>
      <c r="EQ785" s="9" t="s">
        <v>3187</v>
      </c>
      <c r="ER785" s="21">
        <v>46045.299259259256</v>
      </c>
    </row>
    <row r="786">
      <c r="A786" s="9" t="s">
        <v>3189</v>
      </c>
      <c r="B786" s="20" t="str">
        <f>IFERROR(__xludf.DUMMYFUNCTION("REGEXREPLACE(A786, ""^https?://[^/]+"", """")"),"/wp-content/uploads/2024/03/Strategies-for-Enhanced-Efficiency-and-Consistent-Revenue-Generation-1024x640.jpg")</f>
        <v>/wp-content/uploads/2024/03/Strategies-for-Enhanced-Efficiency-and-Consistent-Revenue-Generation-1024x640.jpg</v>
      </c>
      <c r="F786" s="1" t="s">
        <v>1004</v>
      </c>
      <c r="G786" s="1">
        <v>200.0</v>
      </c>
      <c r="H786" s="1" t="s">
        <v>966</v>
      </c>
      <c r="I786" s="1" t="s">
        <v>967</v>
      </c>
      <c r="L786" s="1">
        <v>0.0</v>
      </c>
      <c r="M786" s="1">
        <v>0.0</v>
      </c>
      <c r="O786" s="1">
        <v>0.0</v>
      </c>
      <c r="P786" s="1">
        <v>0.0</v>
      </c>
      <c r="R786" s="1">
        <v>0.0</v>
      </c>
      <c r="S786" s="1">
        <v>0.0</v>
      </c>
      <c r="U786" s="1">
        <v>0.0</v>
      </c>
      <c r="W786" s="1">
        <v>0.0</v>
      </c>
      <c r="Y786" s="1">
        <v>0.0</v>
      </c>
      <c r="AA786" s="1">
        <v>0.0</v>
      </c>
      <c r="AC786" s="1">
        <v>0.0</v>
      </c>
      <c r="AM786" s="1">
        <v>112076.0</v>
      </c>
      <c r="AN786" s="1">
        <v>112076.0</v>
      </c>
      <c r="AO786" s="1">
        <v>112076.0</v>
      </c>
      <c r="AP786" s="1">
        <v>42.934</v>
      </c>
      <c r="AR786" s="1">
        <v>0.0</v>
      </c>
      <c r="AW786" s="1">
        <v>0.0</v>
      </c>
      <c r="AX786" s="1">
        <v>2.0</v>
      </c>
      <c r="AY786" s="1">
        <v>4.0</v>
      </c>
      <c r="BA786" s="1">
        <v>0.0</v>
      </c>
      <c r="BB786" s="1">
        <v>0.0</v>
      </c>
      <c r="BC786" s="1">
        <v>0.0</v>
      </c>
      <c r="BD786" s="1">
        <v>0.0</v>
      </c>
      <c r="BE786" s="1">
        <v>0.0</v>
      </c>
      <c r="BF786" s="1">
        <v>0.0</v>
      </c>
      <c r="BG786" s="1">
        <v>0.0</v>
      </c>
      <c r="BH786" s="1">
        <v>0.0</v>
      </c>
      <c r="BI786" s="1">
        <v>0.0</v>
      </c>
      <c r="BJ786" s="1">
        <v>0.0</v>
      </c>
      <c r="BP786" s="1">
        <v>1.266</v>
      </c>
      <c r="BQ786" s="1" t="s">
        <v>3190</v>
      </c>
      <c r="BV786" s="1">
        <v>1.1</v>
      </c>
      <c r="EQ786" s="9" t="s">
        <v>3189</v>
      </c>
      <c r="ER786" s="21">
        <v>46045.299259259256</v>
      </c>
    </row>
    <row r="787">
      <c r="A787" s="9" t="s">
        <v>3191</v>
      </c>
      <c r="B787" s="20" t="str">
        <f>IFERROR(__xludf.DUMMYFUNCTION("REGEXREPLACE(A787, ""^https?://[^/]+"", """")"),"/wp-content/uploads/2024/04/PAI.png")</f>
        <v>/wp-content/uploads/2024/04/PAI.png</v>
      </c>
      <c r="F787" s="1" t="s">
        <v>1047</v>
      </c>
      <c r="G787" s="1">
        <v>200.0</v>
      </c>
      <c r="H787" s="1" t="s">
        <v>966</v>
      </c>
      <c r="I787" s="1" t="s">
        <v>967</v>
      </c>
      <c r="L787" s="1">
        <v>0.0</v>
      </c>
      <c r="M787" s="1">
        <v>0.0</v>
      </c>
      <c r="O787" s="1">
        <v>0.0</v>
      </c>
      <c r="P787" s="1">
        <v>0.0</v>
      </c>
      <c r="R787" s="1">
        <v>0.0</v>
      </c>
      <c r="S787" s="1">
        <v>0.0</v>
      </c>
      <c r="U787" s="1">
        <v>0.0</v>
      </c>
      <c r="W787" s="1">
        <v>0.0</v>
      </c>
      <c r="Y787" s="1">
        <v>0.0</v>
      </c>
      <c r="AA787" s="1">
        <v>0.0</v>
      </c>
      <c r="AC787" s="1">
        <v>0.0</v>
      </c>
      <c r="AM787" s="1">
        <v>1533.0</v>
      </c>
      <c r="AN787" s="1">
        <v>1533.0</v>
      </c>
      <c r="AO787" s="1">
        <v>1533.0</v>
      </c>
      <c r="AP787" s="1">
        <v>0.587</v>
      </c>
      <c r="AR787" s="1">
        <v>0.0</v>
      </c>
      <c r="AW787" s="1">
        <v>0.0</v>
      </c>
      <c r="AX787" s="1">
        <v>2.0</v>
      </c>
      <c r="AY787" s="1">
        <v>4.0</v>
      </c>
      <c r="BA787" s="1">
        <v>0.0</v>
      </c>
      <c r="BB787" s="1">
        <v>0.0</v>
      </c>
      <c r="BC787" s="1">
        <v>0.0</v>
      </c>
      <c r="BD787" s="1">
        <v>0.0</v>
      </c>
      <c r="BE787" s="1">
        <v>0.0</v>
      </c>
      <c r="BF787" s="1">
        <v>0.0</v>
      </c>
      <c r="BG787" s="1">
        <v>0.0</v>
      </c>
      <c r="BH787" s="1">
        <v>0.0</v>
      </c>
      <c r="BI787" s="1">
        <v>0.0</v>
      </c>
      <c r="BJ787" s="1">
        <v>0.0</v>
      </c>
      <c r="BP787" s="1">
        <v>0.267</v>
      </c>
      <c r="BQ787" s="1" t="s">
        <v>3192</v>
      </c>
      <c r="BV787" s="1">
        <v>1.1</v>
      </c>
      <c r="EQ787" s="9" t="s">
        <v>3191</v>
      </c>
      <c r="ER787" s="21">
        <v>46045.29927083333</v>
      </c>
    </row>
    <row r="788">
      <c r="A788" s="9" t="s">
        <v>3193</v>
      </c>
      <c r="B788" s="20" t="str">
        <f>IFERROR(__xludf.DUMMYFUNCTION("REGEXREPLACE(A788, ""^https?://[^/]+"", """")"),"/wp-content/uploads/2024/04/Vista-300x140.png")</f>
        <v>/wp-content/uploads/2024/04/Vista-300x140.png</v>
      </c>
      <c r="F788" s="1" t="s">
        <v>1047</v>
      </c>
      <c r="G788" s="1">
        <v>200.0</v>
      </c>
      <c r="H788" s="1" t="s">
        <v>966</v>
      </c>
      <c r="I788" s="1" t="s">
        <v>967</v>
      </c>
      <c r="L788" s="1">
        <v>0.0</v>
      </c>
      <c r="M788" s="1">
        <v>0.0</v>
      </c>
      <c r="O788" s="1">
        <v>0.0</v>
      </c>
      <c r="P788" s="1">
        <v>0.0</v>
      </c>
      <c r="R788" s="1">
        <v>0.0</v>
      </c>
      <c r="S788" s="1">
        <v>0.0</v>
      </c>
      <c r="U788" s="1">
        <v>0.0</v>
      </c>
      <c r="W788" s="1">
        <v>0.0</v>
      </c>
      <c r="Y788" s="1">
        <v>0.0</v>
      </c>
      <c r="AA788" s="1">
        <v>0.0</v>
      </c>
      <c r="AC788" s="1">
        <v>0.0</v>
      </c>
      <c r="AM788" s="1">
        <v>9076.0</v>
      </c>
      <c r="AN788" s="1">
        <v>9076.0</v>
      </c>
      <c r="AO788" s="1">
        <v>9076.0</v>
      </c>
      <c r="AP788" s="1">
        <v>3.477</v>
      </c>
      <c r="AR788" s="1">
        <v>0.0</v>
      </c>
      <c r="AW788" s="1">
        <v>0.0</v>
      </c>
      <c r="AX788" s="1">
        <v>2.0</v>
      </c>
      <c r="AY788" s="1">
        <v>4.0</v>
      </c>
      <c r="BA788" s="1">
        <v>0.0</v>
      </c>
      <c r="BB788" s="1">
        <v>0.0</v>
      </c>
      <c r="BC788" s="1">
        <v>0.0</v>
      </c>
      <c r="BD788" s="1">
        <v>0.0</v>
      </c>
      <c r="BE788" s="1">
        <v>0.0</v>
      </c>
      <c r="BF788" s="1">
        <v>0.0</v>
      </c>
      <c r="BG788" s="1">
        <v>0.0</v>
      </c>
      <c r="BH788" s="1">
        <v>0.0</v>
      </c>
      <c r="BI788" s="1">
        <v>0.0</v>
      </c>
      <c r="BJ788" s="1">
        <v>0.0</v>
      </c>
      <c r="BP788" s="1">
        <v>0.281</v>
      </c>
      <c r="BQ788" s="1" t="s">
        <v>3194</v>
      </c>
      <c r="BV788" s="1">
        <v>1.1</v>
      </c>
      <c r="EQ788" s="9" t="s">
        <v>3193</v>
      </c>
      <c r="ER788" s="21">
        <v>46045.29927083333</v>
      </c>
    </row>
    <row r="789">
      <c r="A789" s="9" t="s">
        <v>3195</v>
      </c>
      <c r="B789" s="20" t="str">
        <f>IFERROR(__xludf.DUMMYFUNCTION("REGEXREPLACE(A789, ""^https?://[^/]+"", """")"),"/wp-content/uploads/2024/02/Outsourced-Sales-Leadership-1024x683.jpg")</f>
        <v>/wp-content/uploads/2024/02/Outsourced-Sales-Leadership-1024x683.jpg</v>
      </c>
      <c r="F789" s="1" t="s">
        <v>1004</v>
      </c>
      <c r="G789" s="1">
        <v>200.0</v>
      </c>
      <c r="H789" s="1" t="s">
        <v>966</v>
      </c>
      <c r="I789" s="1" t="s">
        <v>967</v>
      </c>
      <c r="L789" s="1">
        <v>0.0</v>
      </c>
      <c r="M789" s="1">
        <v>0.0</v>
      </c>
      <c r="O789" s="1">
        <v>0.0</v>
      </c>
      <c r="P789" s="1">
        <v>0.0</v>
      </c>
      <c r="R789" s="1">
        <v>0.0</v>
      </c>
      <c r="S789" s="1">
        <v>0.0</v>
      </c>
      <c r="U789" s="1">
        <v>0.0</v>
      </c>
      <c r="W789" s="1">
        <v>0.0</v>
      </c>
      <c r="Y789" s="1">
        <v>0.0</v>
      </c>
      <c r="AA789" s="1">
        <v>0.0</v>
      </c>
      <c r="AC789" s="1">
        <v>0.0</v>
      </c>
      <c r="AM789" s="1">
        <v>101713.0</v>
      </c>
      <c r="AN789" s="1">
        <v>101713.0</v>
      </c>
      <c r="AO789" s="1">
        <v>101713.0</v>
      </c>
      <c r="AP789" s="1">
        <v>38.964</v>
      </c>
      <c r="AR789" s="1">
        <v>0.0</v>
      </c>
      <c r="AW789" s="1">
        <v>0.0</v>
      </c>
      <c r="AX789" s="1">
        <v>2.0</v>
      </c>
      <c r="AY789" s="1">
        <v>4.0</v>
      </c>
      <c r="BA789" s="1">
        <v>0.0</v>
      </c>
      <c r="BB789" s="1">
        <v>0.0</v>
      </c>
      <c r="BC789" s="1">
        <v>0.0</v>
      </c>
      <c r="BD789" s="1">
        <v>0.0</v>
      </c>
      <c r="BE789" s="1">
        <v>0.0</v>
      </c>
      <c r="BF789" s="1">
        <v>0.0</v>
      </c>
      <c r="BG789" s="1">
        <v>0.0</v>
      </c>
      <c r="BH789" s="1">
        <v>0.0</v>
      </c>
      <c r="BI789" s="1">
        <v>0.0</v>
      </c>
      <c r="BJ789" s="1">
        <v>0.0</v>
      </c>
      <c r="BP789" s="1">
        <v>0.272</v>
      </c>
      <c r="BQ789" s="1" t="s">
        <v>3196</v>
      </c>
      <c r="BV789" s="1">
        <v>1.1</v>
      </c>
      <c r="EQ789" s="9" t="s">
        <v>3195</v>
      </c>
      <c r="ER789" s="21">
        <v>46045.29927083333</v>
      </c>
    </row>
    <row r="790">
      <c r="A790" s="9" t="s">
        <v>3197</v>
      </c>
      <c r="B790" s="20" t="str">
        <f>IFERROR(__xludf.DUMMYFUNCTION("REGEXREPLACE(A790, ""^https?://[^/]+"", """")"),"/wp-content/uploads/2024/04/NextGen.svg")</f>
        <v>/wp-content/uploads/2024/04/NextGen.svg</v>
      </c>
      <c r="F790" s="1" t="s">
        <v>1391</v>
      </c>
      <c r="G790" s="1">
        <v>200.0</v>
      </c>
      <c r="H790" s="1" t="s">
        <v>966</v>
      </c>
      <c r="I790" s="1" t="s">
        <v>967</v>
      </c>
      <c r="L790" s="1">
        <v>0.0</v>
      </c>
      <c r="M790" s="1">
        <v>0.0</v>
      </c>
      <c r="O790" s="1">
        <v>0.0</v>
      </c>
      <c r="P790" s="1">
        <v>0.0</v>
      </c>
      <c r="R790" s="1">
        <v>0.0</v>
      </c>
      <c r="S790" s="1">
        <v>0.0</v>
      </c>
      <c r="U790" s="1">
        <v>0.0</v>
      </c>
      <c r="W790" s="1">
        <v>0.0</v>
      </c>
      <c r="Y790" s="1">
        <v>0.0</v>
      </c>
      <c r="AA790" s="1">
        <v>0.0</v>
      </c>
      <c r="AC790" s="1">
        <v>0.0</v>
      </c>
      <c r="AM790" s="1">
        <v>0.0</v>
      </c>
      <c r="AN790" s="1">
        <v>0.0</v>
      </c>
      <c r="AO790" s="1">
        <v>0.0</v>
      </c>
      <c r="AP790" s="1">
        <v>0.0</v>
      </c>
      <c r="AR790" s="1">
        <v>0.0</v>
      </c>
      <c r="AW790" s="1">
        <v>0.0</v>
      </c>
      <c r="AX790" s="1">
        <v>2.0</v>
      </c>
      <c r="AY790" s="1">
        <v>4.0</v>
      </c>
      <c r="BA790" s="1">
        <v>0.0</v>
      </c>
      <c r="BB790" s="1">
        <v>0.0</v>
      </c>
      <c r="BC790" s="1">
        <v>0.0</v>
      </c>
      <c r="BD790" s="1">
        <v>0.0</v>
      </c>
      <c r="BE790" s="1">
        <v>0.0</v>
      </c>
      <c r="BF790" s="1">
        <v>0.0</v>
      </c>
      <c r="BG790" s="1">
        <v>0.0</v>
      </c>
      <c r="BH790" s="1">
        <v>0.0</v>
      </c>
      <c r="BI790" s="1">
        <v>0.0</v>
      </c>
      <c r="BJ790" s="1">
        <v>0.0</v>
      </c>
      <c r="BP790" s="1">
        <v>0.259</v>
      </c>
      <c r="BQ790" s="1" t="s">
        <v>3198</v>
      </c>
      <c r="BV790" s="1">
        <v>1.1</v>
      </c>
      <c r="EQ790" s="9" t="s">
        <v>3197</v>
      </c>
      <c r="ER790" s="21">
        <v>46045.29927083333</v>
      </c>
    </row>
    <row r="791">
      <c r="A791" s="9" t="s">
        <v>3199</v>
      </c>
      <c r="B791" s="20" t="str">
        <f>IFERROR(__xludf.DUMMYFUNCTION("REGEXREPLACE(A791, ""^https?://[^/]+"", """")"),"/wp-content/uploads/2024/12/Ways-AI-Tools-Can-Support-Sales-1024x576.jpg")</f>
        <v>/wp-content/uploads/2024/12/Ways-AI-Tools-Can-Support-Sales-1024x576.jpg</v>
      </c>
      <c r="F791" s="1" t="s">
        <v>1004</v>
      </c>
      <c r="G791" s="1">
        <v>200.0</v>
      </c>
      <c r="H791" s="1" t="s">
        <v>966</v>
      </c>
      <c r="I791" s="1" t="s">
        <v>967</v>
      </c>
      <c r="L791" s="1">
        <v>0.0</v>
      </c>
      <c r="M791" s="1">
        <v>0.0</v>
      </c>
      <c r="O791" s="1">
        <v>0.0</v>
      </c>
      <c r="P791" s="1">
        <v>0.0</v>
      </c>
      <c r="R791" s="1">
        <v>0.0</v>
      </c>
      <c r="S791" s="1">
        <v>0.0</v>
      </c>
      <c r="U791" s="1">
        <v>0.0</v>
      </c>
      <c r="W791" s="1">
        <v>0.0</v>
      </c>
      <c r="Y791" s="1">
        <v>0.0</v>
      </c>
      <c r="AA791" s="1">
        <v>0.0</v>
      </c>
      <c r="AC791" s="1">
        <v>0.0</v>
      </c>
      <c r="AM791" s="1">
        <v>58287.0</v>
      </c>
      <c r="AN791" s="1">
        <v>58287.0</v>
      </c>
      <c r="AO791" s="1">
        <v>58287.0</v>
      </c>
      <c r="AP791" s="1">
        <v>22.329</v>
      </c>
      <c r="AR791" s="1">
        <v>0.0</v>
      </c>
      <c r="AW791" s="1">
        <v>0.0</v>
      </c>
      <c r="AX791" s="1">
        <v>2.0</v>
      </c>
      <c r="AY791" s="1">
        <v>4.0</v>
      </c>
      <c r="BA791" s="1">
        <v>0.0</v>
      </c>
      <c r="BB791" s="1">
        <v>0.0</v>
      </c>
      <c r="BC791" s="1">
        <v>0.0</v>
      </c>
      <c r="BD791" s="1">
        <v>0.0</v>
      </c>
      <c r="BE791" s="1">
        <v>0.0</v>
      </c>
      <c r="BF791" s="1">
        <v>0.0</v>
      </c>
      <c r="BG791" s="1">
        <v>0.0</v>
      </c>
      <c r="BH791" s="1">
        <v>0.0</v>
      </c>
      <c r="BI791" s="1">
        <v>0.0</v>
      </c>
      <c r="BJ791" s="1">
        <v>0.0</v>
      </c>
      <c r="BP791" s="1">
        <v>0.281</v>
      </c>
      <c r="BQ791" s="1" t="s">
        <v>3200</v>
      </c>
      <c r="BV791" s="1">
        <v>1.1</v>
      </c>
      <c r="EQ791" s="9" t="s">
        <v>3199</v>
      </c>
      <c r="ER791" s="21">
        <v>46045.29927083333</v>
      </c>
    </row>
    <row r="792">
      <c r="A792" s="9" t="s">
        <v>3201</v>
      </c>
      <c r="B792" s="20" t="str">
        <f>IFERROR(__xludf.DUMMYFUNCTION("REGEXREPLACE(A792, ""^https?://[^/]+"", """")"),"/wp-content/plugins/powerpack-elements/assets/js/min/frontend-testimonials.min.js?ver=2.12.15")</f>
        <v>/wp-content/plugins/powerpack-elements/assets/js/min/frontend-testimonials.min.js?ver=2.12.15</v>
      </c>
      <c r="F792" s="1" t="s">
        <v>984</v>
      </c>
      <c r="G792" s="1">
        <v>200.0</v>
      </c>
      <c r="H792" s="1" t="s">
        <v>966</v>
      </c>
      <c r="I792" s="1" t="s">
        <v>967</v>
      </c>
      <c r="L792" s="1">
        <v>0.0</v>
      </c>
      <c r="M792" s="1">
        <v>0.0</v>
      </c>
      <c r="O792" s="1">
        <v>0.0</v>
      </c>
      <c r="P792" s="1">
        <v>0.0</v>
      </c>
      <c r="R792" s="1">
        <v>0.0</v>
      </c>
      <c r="S792" s="1">
        <v>0.0</v>
      </c>
      <c r="U792" s="1">
        <v>0.0</v>
      </c>
      <c r="W792" s="1">
        <v>0.0</v>
      </c>
      <c r="Y792" s="1">
        <v>0.0</v>
      </c>
      <c r="AA792" s="1">
        <v>0.0</v>
      </c>
      <c r="AC792" s="1">
        <v>0.0</v>
      </c>
      <c r="AM792" s="1">
        <v>1317.0</v>
      </c>
      <c r="AN792" s="1">
        <v>1317.0</v>
      </c>
      <c r="AO792" s="1">
        <v>1317.0</v>
      </c>
      <c r="AP792" s="1">
        <v>0.505</v>
      </c>
      <c r="AR792" s="1">
        <v>0.0</v>
      </c>
      <c r="AW792" s="1">
        <v>0.0</v>
      </c>
      <c r="AX792" s="1">
        <v>2.0</v>
      </c>
      <c r="AY792" s="1">
        <v>6.0</v>
      </c>
      <c r="BA792" s="1">
        <v>0.0</v>
      </c>
      <c r="BB792" s="1">
        <v>0.0</v>
      </c>
      <c r="BC792" s="1">
        <v>0.0</v>
      </c>
      <c r="BD792" s="1">
        <v>0.0</v>
      </c>
      <c r="BE792" s="1">
        <v>0.0</v>
      </c>
      <c r="BF792" s="1">
        <v>0.0</v>
      </c>
      <c r="BG792" s="1">
        <v>0.0</v>
      </c>
      <c r="BH792" s="1">
        <v>0.0</v>
      </c>
      <c r="BI792" s="1">
        <v>0.0</v>
      </c>
      <c r="BJ792" s="1">
        <v>0.0</v>
      </c>
      <c r="BP792" s="1">
        <v>1.264</v>
      </c>
      <c r="BQ792" s="1" t="s">
        <v>1193</v>
      </c>
      <c r="BV792" s="1">
        <v>1.1</v>
      </c>
      <c r="EQ792" s="9" t="s">
        <v>3201</v>
      </c>
      <c r="ER792" s="21">
        <v>46045.299259259256</v>
      </c>
    </row>
    <row r="793">
      <c r="A793" s="9" t="s">
        <v>3202</v>
      </c>
      <c r="B793" s="20" t="str">
        <f>IFERROR(__xludf.DUMMYFUNCTION("REGEXREPLACE(A793, ""^https?://[^/]+"", """")"),"/wp-content/uploads/2025/03/How-to-Leverage-AI-to-Optimize-B2B-Lead-Generation-1-791x1024.jpg")</f>
        <v>/wp-content/uploads/2025/03/How-to-Leverage-AI-to-Optimize-B2B-Lead-Generation-1-791x1024.jpg</v>
      </c>
      <c r="F793" s="1" t="s">
        <v>1004</v>
      </c>
      <c r="G793" s="1">
        <v>200.0</v>
      </c>
      <c r="H793" s="1" t="s">
        <v>966</v>
      </c>
      <c r="I793" s="1" t="s">
        <v>967</v>
      </c>
      <c r="L793" s="1">
        <v>0.0</v>
      </c>
      <c r="M793" s="1">
        <v>0.0</v>
      </c>
      <c r="O793" s="1">
        <v>0.0</v>
      </c>
      <c r="P793" s="1">
        <v>0.0</v>
      </c>
      <c r="R793" s="1">
        <v>0.0</v>
      </c>
      <c r="S793" s="1">
        <v>0.0</v>
      </c>
      <c r="U793" s="1">
        <v>0.0</v>
      </c>
      <c r="W793" s="1">
        <v>0.0</v>
      </c>
      <c r="Y793" s="1">
        <v>0.0</v>
      </c>
      <c r="AA793" s="1">
        <v>0.0</v>
      </c>
      <c r="AC793" s="1">
        <v>0.0</v>
      </c>
      <c r="AM793" s="1">
        <v>100321.0</v>
      </c>
      <c r="AN793" s="1">
        <v>100321.0</v>
      </c>
      <c r="AO793" s="1">
        <v>100321.0</v>
      </c>
      <c r="AP793" s="1">
        <v>38.431</v>
      </c>
      <c r="AR793" s="1">
        <v>0.0</v>
      </c>
      <c r="AW793" s="1">
        <v>0.0</v>
      </c>
      <c r="AX793" s="1">
        <v>2.0</v>
      </c>
      <c r="AY793" s="1">
        <v>4.0</v>
      </c>
      <c r="BA793" s="1">
        <v>0.0</v>
      </c>
      <c r="BB793" s="1">
        <v>0.0</v>
      </c>
      <c r="BC793" s="1">
        <v>0.0</v>
      </c>
      <c r="BD793" s="1">
        <v>0.0</v>
      </c>
      <c r="BE793" s="1">
        <v>0.0</v>
      </c>
      <c r="BF793" s="1">
        <v>0.0</v>
      </c>
      <c r="BG793" s="1">
        <v>0.0</v>
      </c>
      <c r="BH793" s="1">
        <v>0.0</v>
      </c>
      <c r="BI793" s="1">
        <v>0.0</v>
      </c>
      <c r="BJ793" s="1">
        <v>0.0</v>
      </c>
      <c r="BP793" s="1">
        <v>0.264</v>
      </c>
      <c r="BQ793" s="1" t="s">
        <v>3203</v>
      </c>
      <c r="BV793" s="1">
        <v>1.1</v>
      </c>
      <c r="EQ793" s="9" t="s">
        <v>3202</v>
      </c>
      <c r="ER793" s="21">
        <v>46045.29928240741</v>
      </c>
    </row>
    <row r="794">
      <c r="A794" s="9" t="s">
        <v>3204</v>
      </c>
      <c r="B794" s="20" t="str">
        <f>IFERROR(__xludf.DUMMYFUNCTION("REGEXREPLACE(A794, ""^https?://[^/]+"", """")"),"/wp-content/uploads/2024/04/Arsenal-300x49.png")</f>
        <v>/wp-content/uploads/2024/04/Arsenal-300x49.png</v>
      </c>
      <c r="F794" s="1" t="s">
        <v>1047</v>
      </c>
      <c r="G794" s="1">
        <v>200.0</v>
      </c>
      <c r="H794" s="1" t="s">
        <v>966</v>
      </c>
      <c r="I794" s="1" t="s">
        <v>967</v>
      </c>
      <c r="L794" s="1">
        <v>0.0</v>
      </c>
      <c r="M794" s="1">
        <v>0.0</v>
      </c>
      <c r="O794" s="1">
        <v>0.0</v>
      </c>
      <c r="P794" s="1">
        <v>0.0</v>
      </c>
      <c r="R794" s="1">
        <v>0.0</v>
      </c>
      <c r="S794" s="1">
        <v>0.0</v>
      </c>
      <c r="U794" s="1">
        <v>0.0</v>
      </c>
      <c r="W794" s="1">
        <v>0.0</v>
      </c>
      <c r="Y794" s="1">
        <v>0.0</v>
      </c>
      <c r="AA794" s="1">
        <v>0.0</v>
      </c>
      <c r="AC794" s="1">
        <v>0.0</v>
      </c>
      <c r="AM794" s="1">
        <v>6392.0</v>
      </c>
      <c r="AN794" s="1">
        <v>6392.0</v>
      </c>
      <c r="AO794" s="1">
        <v>6392.0</v>
      </c>
      <c r="AP794" s="1">
        <v>2.449</v>
      </c>
      <c r="AR794" s="1">
        <v>0.0</v>
      </c>
      <c r="AW794" s="1">
        <v>0.0</v>
      </c>
      <c r="AX794" s="1">
        <v>2.0</v>
      </c>
      <c r="AY794" s="1">
        <v>4.0</v>
      </c>
      <c r="BA794" s="1">
        <v>0.0</v>
      </c>
      <c r="BB794" s="1">
        <v>0.0</v>
      </c>
      <c r="BC794" s="1">
        <v>0.0</v>
      </c>
      <c r="BD794" s="1">
        <v>0.0</v>
      </c>
      <c r="BE794" s="1">
        <v>0.0</v>
      </c>
      <c r="BF794" s="1">
        <v>0.0</v>
      </c>
      <c r="BG794" s="1">
        <v>0.0</v>
      </c>
      <c r="BH794" s="1">
        <v>0.0</v>
      </c>
      <c r="BI794" s="1">
        <v>0.0</v>
      </c>
      <c r="BJ794" s="1">
        <v>0.0</v>
      </c>
      <c r="BP794" s="1">
        <v>1.269</v>
      </c>
      <c r="BQ794" s="1" t="s">
        <v>3205</v>
      </c>
      <c r="BV794" s="1">
        <v>1.1</v>
      </c>
      <c r="EQ794" s="9" t="s">
        <v>3204</v>
      </c>
      <c r="ER794" s="21">
        <v>46045.29927083333</v>
      </c>
    </row>
    <row r="795">
      <c r="A795" s="9" t="s">
        <v>3206</v>
      </c>
      <c r="B795" s="20" t="str">
        <f>IFERROR(__xludf.DUMMYFUNCTION("REGEXREPLACE(A795, ""^https?://[^/]+"", """")"),"/wp-content/plugins/elementor-pro/assets/css/widget-posts.min.css?ver=3.34.0")</f>
        <v>/wp-content/plugins/elementor-pro/assets/css/widget-posts.min.css?ver=3.34.0</v>
      </c>
      <c r="F795" s="1" t="s">
        <v>1016</v>
      </c>
      <c r="G795" s="1">
        <v>200.0</v>
      </c>
      <c r="H795" s="1" t="s">
        <v>966</v>
      </c>
      <c r="I795" s="1" t="s">
        <v>967</v>
      </c>
      <c r="L795" s="1">
        <v>0.0</v>
      </c>
      <c r="M795" s="1">
        <v>0.0</v>
      </c>
      <c r="O795" s="1">
        <v>0.0</v>
      </c>
      <c r="P795" s="1">
        <v>0.0</v>
      </c>
      <c r="R795" s="1">
        <v>0.0</v>
      </c>
      <c r="S795" s="1">
        <v>0.0</v>
      </c>
      <c r="U795" s="1">
        <v>0.0</v>
      </c>
      <c r="W795" s="1">
        <v>0.0</v>
      </c>
      <c r="Y795" s="1">
        <v>0.0</v>
      </c>
      <c r="AA795" s="1">
        <v>0.0</v>
      </c>
      <c r="AC795" s="1">
        <v>0.0</v>
      </c>
      <c r="AM795" s="1">
        <v>2486.0</v>
      </c>
      <c r="AN795" s="1">
        <v>2486.0</v>
      </c>
      <c r="AO795" s="1">
        <v>2486.0</v>
      </c>
      <c r="AP795" s="1">
        <v>0.952</v>
      </c>
      <c r="AR795" s="1">
        <v>0.0</v>
      </c>
      <c r="AW795" s="1">
        <v>0.0</v>
      </c>
      <c r="AX795" s="1">
        <v>2.0</v>
      </c>
      <c r="AY795" s="1">
        <v>5.0</v>
      </c>
      <c r="BA795" s="1">
        <v>0.0</v>
      </c>
      <c r="BB795" s="1">
        <v>0.0</v>
      </c>
      <c r="BC795" s="1">
        <v>0.0</v>
      </c>
      <c r="BD795" s="1">
        <v>0.0</v>
      </c>
      <c r="BE795" s="1">
        <v>0.0</v>
      </c>
      <c r="BF795" s="1">
        <v>0.0</v>
      </c>
      <c r="BG795" s="1">
        <v>0.0</v>
      </c>
      <c r="BH795" s="1">
        <v>0.0</v>
      </c>
      <c r="BI795" s="1">
        <v>0.0</v>
      </c>
      <c r="BJ795" s="1">
        <v>0.0</v>
      </c>
      <c r="BP795" s="1">
        <v>0.263</v>
      </c>
      <c r="BQ795" s="1" t="s">
        <v>1041</v>
      </c>
      <c r="BV795" s="1">
        <v>1.1</v>
      </c>
      <c r="EQ795" s="9" t="s">
        <v>3206</v>
      </c>
      <c r="ER795" s="21">
        <v>46045.29928240741</v>
      </c>
    </row>
    <row r="796">
      <c r="A796" s="9" t="s">
        <v>3207</v>
      </c>
      <c r="B796" s="20" t="str">
        <f>IFERROR(__xludf.DUMMYFUNCTION("REGEXREPLACE(A796, ""^https?://[^/]+"", """")"),"/wp-content/uploads/elementor/css/post-27271.css?ver=1768855401")</f>
        <v>/wp-content/uploads/elementor/css/post-27271.css?ver=1768855401</v>
      </c>
      <c r="F796" s="1" t="s">
        <v>1016</v>
      </c>
      <c r="G796" s="1">
        <v>200.0</v>
      </c>
      <c r="H796" s="1" t="s">
        <v>966</v>
      </c>
      <c r="I796" s="1" t="s">
        <v>967</v>
      </c>
      <c r="L796" s="1">
        <v>0.0</v>
      </c>
      <c r="M796" s="1">
        <v>0.0</v>
      </c>
      <c r="O796" s="1">
        <v>0.0</v>
      </c>
      <c r="P796" s="1">
        <v>0.0</v>
      </c>
      <c r="R796" s="1">
        <v>0.0</v>
      </c>
      <c r="S796" s="1">
        <v>0.0</v>
      </c>
      <c r="U796" s="1">
        <v>0.0</v>
      </c>
      <c r="W796" s="1">
        <v>0.0</v>
      </c>
      <c r="Y796" s="1">
        <v>0.0</v>
      </c>
      <c r="AA796" s="1">
        <v>0.0</v>
      </c>
      <c r="AC796" s="1">
        <v>0.0</v>
      </c>
      <c r="AM796" s="1">
        <v>191.0</v>
      </c>
      <c r="AN796" s="1">
        <v>191.0</v>
      </c>
      <c r="AO796" s="1">
        <v>191.0</v>
      </c>
      <c r="AP796" s="1">
        <v>0.073</v>
      </c>
      <c r="AR796" s="1">
        <v>0.0</v>
      </c>
      <c r="AW796" s="1">
        <v>0.0</v>
      </c>
      <c r="AX796" s="1">
        <v>2.0</v>
      </c>
      <c r="AY796" s="1">
        <v>4.0</v>
      </c>
      <c r="BA796" s="1">
        <v>0.0</v>
      </c>
      <c r="BB796" s="1">
        <v>0.0</v>
      </c>
      <c r="BC796" s="1">
        <v>0.0</v>
      </c>
      <c r="BD796" s="1">
        <v>0.0</v>
      </c>
      <c r="BE796" s="1">
        <v>0.0</v>
      </c>
      <c r="BF796" s="1">
        <v>0.0</v>
      </c>
      <c r="BG796" s="1">
        <v>0.0</v>
      </c>
      <c r="BH796" s="1">
        <v>0.0</v>
      </c>
      <c r="BI796" s="1">
        <v>0.0</v>
      </c>
      <c r="BJ796" s="1">
        <v>0.0</v>
      </c>
      <c r="BP796" s="1">
        <v>0.274</v>
      </c>
      <c r="BQ796" s="1" t="s">
        <v>3208</v>
      </c>
      <c r="BV796" s="1">
        <v>1.1</v>
      </c>
      <c r="EQ796" s="9" t="s">
        <v>3207</v>
      </c>
      <c r="ER796" s="21">
        <v>46045.29928240741</v>
      </c>
    </row>
    <row r="797">
      <c r="A797" s="9" t="s">
        <v>3209</v>
      </c>
      <c r="B797" s="20" t="str">
        <f>IFERROR(__xludf.DUMMYFUNCTION("REGEXREPLACE(A797, ""^https?://[^/]+"", """")"),"/wp-content/uploads/2024/12/Proposal-Creation-909x1024.jpg")</f>
        <v>/wp-content/uploads/2024/12/Proposal-Creation-909x1024.jpg</v>
      </c>
      <c r="F797" s="1" t="s">
        <v>1004</v>
      </c>
      <c r="G797" s="1">
        <v>200.0</v>
      </c>
      <c r="H797" s="1" t="s">
        <v>966</v>
      </c>
      <c r="I797" s="1" t="s">
        <v>967</v>
      </c>
      <c r="L797" s="1">
        <v>0.0</v>
      </c>
      <c r="M797" s="1">
        <v>0.0</v>
      </c>
      <c r="O797" s="1">
        <v>0.0</v>
      </c>
      <c r="P797" s="1">
        <v>0.0</v>
      </c>
      <c r="R797" s="1">
        <v>0.0</v>
      </c>
      <c r="S797" s="1">
        <v>0.0</v>
      </c>
      <c r="U797" s="1">
        <v>0.0</v>
      </c>
      <c r="W797" s="1">
        <v>0.0</v>
      </c>
      <c r="Y797" s="1">
        <v>0.0</v>
      </c>
      <c r="AA797" s="1">
        <v>0.0</v>
      </c>
      <c r="AC797" s="1">
        <v>0.0</v>
      </c>
      <c r="AM797" s="1">
        <v>92538.0</v>
      </c>
      <c r="AN797" s="1">
        <v>92538.0</v>
      </c>
      <c r="AO797" s="1">
        <v>92538.0</v>
      </c>
      <c r="AP797" s="1">
        <v>35.45</v>
      </c>
      <c r="AR797" s="1">
        <v>0.0</v>
      </c>
      <c r="AW797" s="1">
        <v>0.0</v>
      </c>
      <c r="AX797" s="1">
        <v>2.0</v>
      </c>
      <c r="AY797" s="1">
        <v>4.0</v>
      </c>
      <c r="BA797" s="1">
        <v>0.0</v>
      </c>
      <c r="BB797" s="1">
        <v>0.0</v>
      </c>
      <c r="BC797" s="1">
        <v>0.0</v>
      </c>
      <c r="BD797" s="1">
        <v>0.0</v>
      </c>
      <c r="BE797" s="1">
        <v>0.0</v>
      </c>
      <c r="BF797" s="1">
        <v>0.0</v>
      </c>
      <c r="BG797" s="1">
        <v>0.0</v>
      </c>
      <c r="BH797" s="1">
        <v>0.0</v>
      </c>
      <c r="BI797" s="1">
        <v>0.0</v>
      </c>
      <c r="BJ797" s="1">
        <v>0.0</v>
      </c>
      <c r="BP797" s="1">
        <v>0.274</v>
      </c>
      <c r="BQ797" s="1" t="s">
        <v>3210</v>
      </c>
      <c r="BV797" s="1">
        <v>1.1</v>
      </c>
      <c r="EQ797" s="9" t="s">
        <v>3209</v>
      </c>
      <c r="ER797" s="21">
        <v>46045.29928240741</v>
      </c>
    </row>
    <row r="798">
      <c r="A798" s="9" t="s">
        <v>3211</v>
      </c>
      <c r="B798" s="20" t="str">
        <f>IFERROR(__xludf.DUMMYFUNCTION("REGEXREPLACE(A798, ""^https?://[^/]+"", """")"),"/wp-content/uploads/elementor/css/post-59861.css?ver=1768855401")</f>
        <v>/wp-content/uploads/elementor/css/post-59861.css?ver=1768855401</v>
      </c>
      <c r="F798" s="1" t="s">
        <v>1016</v>
      </c>
      <c r="G798" s="1">
        <v>200.0</v>
      </c>
      <c r="H798" s="1" t="s">
        <v>966</v>
      </c>
      <c r="I798" s="1" t="s">
        <v>967</v>
      </c>
      <c r="L798" s="1">
        <v>0.0</v>
      </c>
      <c r="M798" s="1">
        <v>0.0</v>
      </c>
      <c r="O798" s="1">
        <v>0.0</v>
      </c>
      <c r="P798" s="1">
        <v>0.0</v>
      </c>
      <c r="R798" s="1">
        <v>0.0</v>
      </c>
      <c r="S798" s="1">
        <v>0.0</v>
      </c>
      <c r="U798" s="1">
        <v>0.0</v>
      </c>
      <c r="W798" s="1">
        <v>0.0</v>
      </c>
      <c r="Y798" s="1">
        <v>0.0</v>
      </c>
      <c r="AA798" s="1">
        <v>0.0</v>
      </c>
      <c r="AC798" s="1">
        <v>0.0</v>
      </c>
      <c r="AM798" s="1">
        <v>1858.0</v>
      </c>
      <c r="AN798" s="1">
        <v>1858.0</v>
      </c>
      <c r="AO798" s="1">
        <v>1858.0</v>
      </c>
      <c r="AP798" s="1">
        <v>0.712</v>
      </c>
      <c r="AR798" s="1">
        <v>0.0</v>
      </c>
      <c r="AW798" s="1">
        <v>0.0</v>
      </c>
      <c r="AX798" s="1">
        <v>2.0</v>
      </c>
      <c r="AY798" s="1">
        <v>4.0</v>
      </c>
      <c r="BA798" s="1">
        <v>0.0</v>
      </c>
      <c r="BB798" s="1">
        <v>0.0</v>
      </c>
      <c r="BC798" s="1">
        <v>0.0</v>
      </c>
      <c r="BD798" s="1">
        <v>0.0</v>
      </c>
      <c r="BE798" s="1">
        <v>0.0</v>
      </c>
      <c r="BF798" s="1">
        <v>0.0</v>
      </c>
      <c r="BG798" s="1">
        <v>0.0</v>
      </c>
      <c r="BH798" s="1">
        <v>0.0</v>
      </c>
      <c r="BI798" s="1">
        <v>0.0</v>
      </c>
      <c r="BJ798" s="1">
        <v>0.0</v>
      </c>
      <c r="BP798" s="1">
        <v>0.25</v>
      </c>
      <c r="BQ798" s="1" t="s">
        <v>3208</v>
      </c>
      <c r="BV798" s="1">
        <v>1.1</v>
      </c>
      <c r="EQ798" s="9" t="s">
        <v>3211</v>
      </c>
      <c r="ER798" s="21">
        <v>46045.29929398148</v>
      </c>
    </row>
    <row r="799">
      <c r="A799" s="9" t="s">
        <v>3212</v>
      </c>
      <c r="B799" s="20" t="str">
        <f>IFERROR(__xludf.DUMMYFUNCTION("REGEXREPLACE(A799, ""^https?://[^/]+"", """")"),"/smarter-sales-with-ai-without-the-security-risk/")</f>
        <v>/smarter-sales-with-ai-without-the-security-risk/</v>
      </c>
      <c r="C799" s="1" t="s">
        <v>3213</v>
      </c>
      <c r="D799" s="1" t="s">
        <v>3214</v>
      </c>
      <c r="E799" s="1" t="s">
        <v>3215</v>
      </c>
      <c r="F799" s="1" t="s">
        <v>965</v>
      </c>
      <c r="G799" s="1">
        <v>200.0</v>
      </c>
      <c r="H799" s="1" t="s">
        <v>966</v>
      </c>
      <c r="I799" s="1" t="s">
        <v>967</v>
      </c>
      <c r="K799" s="1" t="s">
        <v>3216</v>
      </c>
      <c r="L799" s="1">
        <v>72.0</v>
      </c>
      <c r="M799" s="1">
        <v>647.0</v>
      </c>
      <c r="O799" s="1">
        <v>0.0</v>
      </c>
      <c r="P799" s="1">
        <v>0.0</v>
      </c>
      <c r="Q799" s="1" t="s">
        <v>3217</v>
      </c>
      <c r="R799" s="1">
        <v>218.0</v>
      </c>
      <c r="S799" s="1">
        <v>1321.0</v>
      </c>
      <c r="U799" s="1">
        <v>0.0</v>
      </c>
      <c r="V799" s="1" t="s">
        <v>3213</v>
      </c>
      <c r="W799" s="1">
        <v>47.0</v>
      </c>
      <c r="Y799" s="1">
        <v>0.0</v>
      </c>
      <c r="Z799" s="1" t="s">
        <v>3214</v>
      </c>
      <c r="AA799" s="1">
        <v>68.0</v>
      </c>
      <c r="AB799" s="1" t="s">
        <v>3215</v>
      </c>
      <c r="AC799" s="1">
        <v>38.0</v>
      </c>
      <c r="AD799" s="1" t="s">
        <v>971</v>
      </c>
      <c r="AG799" s="9" t="s">
        <v>3212</v>
      </c>
      <c r="AM799" s="1">
        <v>199283.0</v>
      </c>
      <c r="AN799" s="1">
        <v>36944.0</v>
      </c>
      <c r="AO799" s="1">
        <v>36944.0</v>
      </c>
      <c r="AP799" s="1">
        <v>14.153</v>
      </c>
      <c r="AR799" s="1">
        <v>1484.0</v>
      </c>
      <c r="AS799" s="1">
        <v>258.0</v>
      </c>
      <c r="AT799" s="1">
        <v>5.752</v>
      </c>
      <c r="AU799" s="1">
        <v>51.009</v>
      </c>
      <c r="AV799" s="1" t="s">
        <v>972</v>
      </c>
      <c r="AW799" s="1">
        <v>6.059</v>
      </c>
      <c r="AX799" s="1">
        <v>2.0</v>
      </c>
      <c r="AY799" s="1">
        <v>1.0</v>
      </c>
      <c r="AZ799" s="1">
        <v>1.0</v>
      </c>
      <c r="BA799" s="1">
        <v>5.0</v>
      </c>
      <c r="BB799" s="1">
        <v>2.0</v>
      </c>
      <c r="BC799" s="1">
        <v>0.0</v>
      </c>
      <c r="BD799" s="1">
        <v>0.27</v>
      </c>
      <c r="BE799" s="1">
        <v>135.0</v>
      </c>
      <c r="BF799" s="1">
        <v>48.0</v>
      </c>
      <c r="BG799" s="1">
        <v>0.0</v>
      </c>
      <c r="BH799" s="1">
        <v>16.0</v>
      </c>
      <c r="BI799" s="1">
        <v>8.0</v>
      </c>
      <c r="BJ799" s="1">
        <v>0.0</v>
      </c>
      <c r="BO799" s="1" t="s">
        <v>3218</v>
      </c>
      <c r="BP799" s="1">
        <v>0.998</v>
      </c>
      <c r="BU799" s="1" t="s">
        <v>974</v>
      </c>
      <c r="BV799" s="1">
        <v>1.1</v>
      </c>
      <c r="BW799" s="1">
        <v>48.0</v>
      </c>
      <c r="BX799" s="1">
        <v>4801.027</v>
      </c>
      <c r="BY799" s="1">
        <v>8260.334</v>
      </c>
      <c r="BZ799" s="1">
        <v>9976.058</v>
      </c>
      <c r="CA799" s="1">
        <v>20375.379</v>
      </c>
      <c r="CB799" s="1">
        <v>425.856</v>
      </c>
      <c r="CC799" s="1">
        <v>0.003</v>
      </c>
      <c r="CD799" s="1">
        <v>704858.0</v>
      </c>
      <c r="CE799" s="1">
        <v>1350.0</v>
      </c>
      <c r="CF799" s="1">
        <v>168.0</v>
      </c>
      <c r="CG799" s="1">
        <v>2696419.0</v>
      </c>
      <c r="CH799" s="1">
        <v>37562.0</v>
      </c>
      <c r="CI799" s="1">
        <v>2.0</v>
      </c>
      <c r="CJ799" s="1">
        <v>65665.0</v>
      </c>
      <c r="CK799" s="1">
        <v>16.0</v>
      </c>
      <c r="CL799" s="1">
        <v>178250.0</v>
      </c>
      <c r="CM799" s="1">
        <v>43.0</v>
      </c>
      <c r="CN799" s="1">
        <v>1748294.0</v>
      </c>
      <c r="CO799" s="1">
        <v>68.0</v>
      </c>
      <c r="CP799" s="1">
        <v>640731.0</v>
      </c>
      <c r="CQ799" s="1">
        <v>10.0</v>
      </c>
      <c r="CR799" s="1">
        <v>0.0</v>
      </c>
      <c r="CS799" s="1">
        <v>0.0</v>
      </c>
      <c r="CT799" s="1">
        <v>25917.0</v>
      </c>
      <c r="CU799" s="1">
        <v>29.0</v>
      </c>
      <c r="CV799" s="1">
        <v>1833488.0</v>
      </c>
      <c r="CW799" s="1">
        <v>67.0</v>
      </c>
      <c r="DC799" s="1">
        <v>150.0</v>
      </c>
      <c r="DD799" s="1">
        <v>5075.0</v>
      </c>
      <c r="DE799" s="1">
        <v>0.0</v>
      </c>
      <c r="DF799" s="1">
        <v>3396.0</v>
      </c>
      <c r="DG799" s="1">
        <v>450.0</v>
      </c>
      <c r="DH799" s="1">
        <v>108278.0</v>
      </c>
      <c r="DI799" s="1">
        <v>750.0</v>
      </c>
      <c r="DJ799" s="1">
        <v>588109.0</v>
      </c>
      <c r="DK799" s="1">
        <v>1712.405</v>
      </c>
      <c r="DL799" s="1" t="s">
        <v>975</v>
      </c>
      <c r="DM799" s="1">
        <v>3135.298</v>
      </c>
      <c r="DN799" s="1" t="s">
        <v>975</v>
      </c>
      <c r="DO799" s="1">
        <v>2696420.0</v>
      </c>
      <c r="DP799" s="1">
        <v>1.0</v>
      </c>
      <c r="DQ799" s="1" t="s">
        <v>976</v>
      </c>
      <c r="DR799" s="1" t="s">
        <v>1170</v>
      </c>
      <c r="DS799" s="1" t="s">
        <v>978</v>
      </c>
      <c r="DT799" s="1" t="s">
        <v>979</v>
      </c>
      <c r="DU799" s="1" t="s">
        <v>980</v>
      </c>
      <c r="DV799" s="1">
        <v>17447.0</v>
      </c>
      <c r="DX799" s="1">
        <v>4299.0</v>
      </c>
      <c r="DY799" s="1">
        <v>653220.0</v>
      </c>
      <c r="DZ799" s="1" t="s">
        <v>981</v>
      </c>
      <c r="EA799" s="1">
        <v>908.0</v>
      </c>
      <c r="EB799" s="1">
        <v>4453.0</v>
      </c>
      <c r="EC799" s="1">
        <v>2.0</v>
      </c>
      <c r="ED799" s="1">
        <v>26492.0</v>
      </c>
      <c r="EF799" s="1">
        <v>210.0</v>
      </c>
      <c r="EG799" s="1" t="s">
        <v>1032</v>
      </c>
      <c r="EH799" s="1">
        <v>100.0</v>
      </c>
      <c r="EK799" s="1">
        <v>100.0</v>
      </c>
      <c r="EQ799" s="9" t="s">
        <v>3212</v>
      </c>
      <c r="ER799" s="21">
        <v>46045.29929398148</v>
      </c>
    </row>
    <row r="800">
      <c r="A800" s="9" t="s">
        <v>3219</v>
      </c>
      <c r="B800" s="20" t="str">
        <f>IFERROR(__xludf.DUMMYFUNCTION("REGEXREPLACE(A800, ""^https?://[^/]+"", """")"),"/wp-content/uploads/2024/12/Lead-Qualification-909x1024.jpg")</f>
        <v>/wp-content/uploads/2024/12/Lead-Qualification-909x1024.jpg</v>
      </c>
      <c r="F800" s="1" t="s">
        <v>1004</v>
      </c>
      <c r="G800" s="1">
        <v>200.0</v>
      </c>
      <c r="H800" s="1" t="s">
        <v>966</v>
      </c>
      <c r="I800" s="1" t="s">
        <v>967</v>
      </c>
      <c r="L800" s="1">
        <v>0.0</v>
      </c>
      <c r="M800" s="1">
        <v>0.0</v>
      </c>
      <c r="O800" s="1">
        <v>0.0</v>
      </c>
      <c r="P800" s="1">
        <v>0.0</v>
      </c>
      <c r="R800" s="1">
        <v>0.0</v>
      </c>
      <c r="S800" s="1">
        <v>0.0</v>
      </c>
      <c r="U800" s="1">
        <v>0.0</v>
      </c>
      <c r="W800" s="1">
        <v>0.0</v>
      </c>
      <c r="Y800" s="1">
        <v>0.0</v>
      </c>
      <c r="AA800" s="1">
        <v>0.0</v>
      </c>
      <c r="AC800" s="1">
        <v>0.0</v>
      </c>
      <c r="AM800" s="1">
        <v>91850.0</v>
      </c>
      <c r="AN800" s="1">
        <v>91850.0</v>
      </c>
      <c r="AO800" s="1">
        <v>91850.0</v>
      </c>
      <c r="AP800" s="1">
        <v>35.186</v>
      </c>
      <c r="AR800" s="1">
        <v>0.0</v>
      </c>
      <c r="AW800" s="1">
        <v>0.0</v>
      </c>
      <c r="AX800" s="1">
        <v>2.0</v>
      </c>
      <c r="AY800" s="1">
        <v>4.0</v>
      </c>
      <c r="BA800" s="1">
        <v>0.0</v>
      </c>
      <c r="BB800" s="1">
        <v>0.0</v>
      </c>
      <c r="BC800" s="1">
        <v>0.0</v>
      </c>
      <c r="BD800" s="1">
        <v>0.0</v>
      </c>
      <c r="BE800" s="1">
        <v>0.0</v>
      </c>
      <c r="BF800" s="1">
        <v>0.0</v>
      </c>
      <c r="BG800" s="1">
        <v>0.0</v>
      </c>
      <c r="BH800" s="1">
        <v>0.0</v>
      </c>
      <c r="BI800" s="1">
        <v>0.0</v>
      </c>
      <c r="BJ800" s="1">
        <v>0.0</v>
      </c>
      <c r="BP800" s="1">
        <v>0.269</v>
      </c>
      <c r="BQ800" s="1" t="s">
        <v>3220</v>
      </c>
      <c r="BV800" s="1">
        <v>1.1</v>
      </c>
      <c r="EQ800" s="9" t="s">
        <v>3219</v>
      </c>
      <c r="ER800" s="21">
        <v>46045.299305555556</v>
      </c>
    </row>
    <row r="801">
      <c r="A801" s="9" t="s">
        <v>3221</v>
      </c>
      <c r="B801" s="20" t="str">
        <f>IFERROR(__xludf.DUMMYFUNCTION("REGEXREPLACE(A801, ""^https?://[^/]+"", """")"),"/wp-content/uploads/2025/03/Leveraging-AI-to-Optimize-B2B-Lead-Generation-300x124.jpg")</f>
        <v>/wp-content/uploads/2025/03/Leveraging-AI-to-Optimize-B2B-Lead-Generation-300x124.jpg</v>
      </c>
      <c r="F801" s="1" t="s">
        <v>1004</v>
      </c>
      <c r="G801" s="1">
        <v>200.0</v>
      </c>
      <c r="H801" s="1" t="s">
        <v>966</v>
      </c>
      <c r="I801" s="1" t="s">
        <v>967</v>
      </c>
      <c r="L801" s="1">
        <v>0.0</v>
      </c>
      <c r="M801" s="1">
        <v>0.0</v>
      </c>
      <c r="O801" s="1">
        <v>0.0</v>
      </c>
      <c r="P801" s="1">
        <v>0.0</v>
      </c>
      <c r="R801" s="1">
        <v>0.0</v>
      </c>
      <c r="S801" s="1">
        <v>0.0</v>
      </c>
      <c r="U801" s="1">
        <v>0.0</v>
      </c>
      <c r="W801" s="1">
        <v>0.0</v>
      </c>
      <c r="Y801" s="1">
        <v>0.0</v>
      </c>
      <c r="AA801" s="1">
        <v>0.0</v>
      </c>
      <c r="AC801" s="1">
        <v>0.0</v>
      </c>
      <c r="AM801" s="1">
        <v>6649.0</v>
      </c>
      <c r="AN801" s="1">
        <v>6649.0</v>
      </c>
      <c r="AO801" s="1">
        <v>6649.0</v>
      </c>
      <c r="AP801" s="1">
        <v>2.547</v>
      </c>
      <c r="AR801" s="1">
        <v>0.0</v>
      </c>
      <c r="AW801" s="1">
        <v>0.0</v>
      </c>
      <c r="AX801" s="1">
        <v>2.0</v>
      </c>
      <c r="AY801" s="1">
        <v>4.0</v>
      </c>
      <c r="BA801" s="1">
        <v>0.0</v>
      </c>
      <c r="BB801" s="1">
        <v>0.0</v>
      </c>
      <c r="BC801" s="1">
        <v>0.0</v>
      </c>
      <c r="BD801" s="1">
        <v>0.0</v>
      </c>
      <c r="BE801" s="1">
        <v>0.0</v>
      </c>
      <c r="BF801" s="1">
        <v>0.0</v>
      </c>
      <c r="BG801" s="1">
        <v>0.0</v>
      </c>
      <c r="BH801" s="1">
        <v>0.0</v>
      </c>
      <c r="BI801" s="1">
        <v>0.0</v>
      </c>
      <c r="BJ801" s="1">
        <v>0.0</v>
      </c>
      <c r="BP801" s="1">
        <v>0.28</v>
      </c>
      <c r="BQ801" s="1" t="s">
        <v>3222</v>
      </c>
      <c r="BV801" s="1">
        <v>1.1</v>
      </c>
      <c r="EQ801" s="9" t="s">
        <v>3221</v>
      </c>
      <c r="ER801" s="21">
        <v>46045.29931712963</v>
      </c>
    </row>
    <row r="802">
      <c r="A802" s="9" t="s">
        <v>3223</v>
      </c>
      <c r="B802" s="20" t="str">
        <f>IFERROR(__xludf.DUMMYFUNCTION("REGEXREPLACE(A802, ""^https?://[^/]+"", """")"),"/wp-content/uploads/2024/02/Expanding-Business-with-Sales-Playbook_Cover.jpg")</f>
        <v>/wp-content/uploads/2024/02/Expanding-Business-with-Sales-Playbook_Cover.jpg</v>
      </c>
      <c r="F802" s="1" t="s">
        <v>1004</v>
      </c>
      <c r="G802" s="1">
        <v>200.0</v>
      </c>
      <c r="H802" s="1" t="s">
        <v>966</v>
      </c>
      <c r="I802" s="1" t="s">
        <v>967</v>
      </c>
      <c r="L802" s="1">
        <v>0.0</v>
      </c>
      <c r="M802" s="1">
        <v>0.0</v>
      </c>
      <c r="O802" s="1">
        <v>0.0</v>
      </c>
      <c r="P802" s="1">
        <v>0.0</v>
      </c>
      <c r="R802" s="1">
        <v>0.0</v>
      </c>
      <c r="S802" s="1">
        <v>0.0</v>
      </c>
      <c r="U802" s="1">
        <v>0.0</v>
      </c>
      <c r="W802" s="1">
        <v>0.0</v>
      </c>
      <c r="Y802" s="1">
        <v>0.0</v>
      </c>
      <c r="AA802" s="1">
        <v>0.0</v>
      </c>
      <c r="AC802" s="1">
        <v>0.0</v>
      </c>
      <c r="AM802" s="1">
        <v>242345.0</v>
      </c>
      <c r="AN802" s="1">
        <v>242345.0</v>
      </c>
      <c r="AO802" s="1">
        <v>242345.0</v>
      </c>
      <c r="AP802" s="1">
        <v>92.838</v>
      </c>
      <c r="AR802" s="1">
        <v>0.0</v>
      </c>
      <c r="AW802" s="1">
        <v>0.0</v>
      </c>
      <c r="AX802" s="1">
        <v>2.0</v>
      </c>
      <c r="AY802" s="1">
        <v>4.0</v>
      </c>
      <c r="BA802" s="1">
        <v>0.0</v>
      </c>
      <c r="BB802" s="1">
        <v>0.0</v>
      </c>
      <c r="BC802" s="1">
        <v>0.0</v>
      </c>
      <c r="BD802" s="1">
        <v>0.0</v>
      </c>
      <c r="BE802" s="1">
        <v>0.0</v>
      </c>
      <c r="BF802" s="1">
        <v>0.0</v>
      </c>
      <c r="BG802" s="1">
        <v>0.0</v>
      </c>
      <c r="BH802" s="1">
        <v>0.0</v>
      </c>
      <c r="BI802" s="1">
        <v>0.0</v>
      </c>
      <c r="BJ802" s="1">
        <v>0.0</v>
      </c>
      <c r="BP802" s="1">
        <v>0.258</v>
      </c>
      <c r="BQ802" s="1" t="s">
        <v>3224</v>
      </c>
      <c r="BV802" s="1">
        <v>1.1</v>
      </c>
      <c r="EQ802" s="9" t="s">
        <v>3223</v>
      </c>
      <c r="ER802" s="21">
        <v>46045.29931712963</v>
      </c>
    </row>
    <row r="803">
      <c r="A803" s="9" t="s">
        <v>3225</v>
      </c>
      <c r="B803" s="20" t="str">
        <f>IFERROR(__xludf.DUMMYFUNCTION("REGEXREPLACE(A803, ""^https?://[^/]+"", """")"),"/wp-content/uploads/2025/08/The-AI-Security-Playbook-1-741x1024.jpg")</f>
        <v>/wp-content/uploads/2025/08/The-AI-Security-Playbook-1-741x1024.jpg</v>
      </c>
      <c r="F803" s="1" t="s">
        <v>1004</v>
      </c>
      <c r="G803" s="1">
        <v>200.0</v>
      </c>
      <c r="H803" s="1" t="s">
        <v>966</v>
      </c>
      <c r="I803" s="1" t="s">
        <v>967</v>
      </c>
      <c r="L803" s="1">
        <v>0.0</v>
      </c>
      <c r="M803" s="1">
        <v>0.0</v>
      </c>
      <c r="O803" s="1">
        <v>0.0</v>
      </c>
      <c r="P803" s="1">
        <v>0.0</v>
      </c>
      <c r="R803" s="1">
        <v>0.0</v>
      </c>
      <c r="S803" s="1">
        <v>0.0</v>
      </c>
      <c r="U803" s="1">
        <v>0.0</v>
      </c>
      <c r="W803" s="1">
        <v>0.0</v>
      </c>
      <c r="Y803" s="1">
        <v>0.0</v>
      </c>
      <c r="AA803" s="1">
        <v>0.0</v>
      </c>
      <c r="AC803" s="1">
        <v>0.0</v>
      </c>
      <c r="AM803" s="1">
        <v>117349.0</v>
      </c>
      <c r="AN803" s="1">
        <v>117349.0</v>
      </c>
      <c r="AO803" s="1">
        <v>117349.0</v>
      </c>
      <c r="AP803" s="1">
        <v>44.954</v>
      </c>
      <c r="AR803" s="1">
        <v>0.0</v>
      </c>
      <c r="AW803" s="1">
        <v>0.0</v>
      </c>
      <c r="AX803" s="1">
        <v>2.0</v>
      </c>
      <c r="AY803" s="1">
        <v>4.0</v>
      </c>
      <c r="BA803" s="1">
        <v>0.0</v>
      </c>
      <c r="BB803" s="1">
        <v>0.0</v>
      </c>
      <c r="BC803" s="1">
        <v>0.0</v>
      </c>
      <c r="BD803" s="1">
        <v>0.0</v>
      </c>
      <c r="BE803" s="1">
        <v>0.0</v>
      </c>
      <c r="BF803" s="1">
        <v>0.0</v>
      </c>
      <c r="BG803" s="1">
        <v>0.0</v>
      </c>
      <c r="BH803" s="1">
        <v>0.0</v>
      </c>
      <c r="BI803" s="1">
        <v>0.0</v>
      </c>
      <c r="BJ803" s="1">
        <v>0.0</v>
      </c>
      <c r="BP803" s="1">
        <v>0.259</v>
      </c>
      <c r="BQ803" s="1" t="s">
        <v>2971</v>
      </c>
      <c r="BV803" s="1">
        <v>1.1</v>
      </c>
      <c r="EQ803" s="9" t="s">
        <v>3225</v>
      </c>
      <c r="ER803" s="21">
        <v>46045.2993287037</v>
      </c>
    </row>
    <row r="804">
      <c r="A804" s="9" t="s">
        <v>3226</v>
      </c>
      <c r="B804" s="20" t="str">
        <f>IFERROR(__xludf.DUMMYFUNCTION("REGEXREPLACE(A804, ""^https?://[^/]+"", """")"),"/wp-content/uploads/2024/12/Lead-Qualification.jpg")</f>
        <v>/wp-content/uploads/2024/12/Lead-Qualification.jpg</v>
      </c>
      <c r="F804" s="1" t="s">
        <v>1004</v>
      </c>
      <c r="G804" s="1">
        <v>200.0</v>
      </c>
      <c r="H804" s="1" t="s">
        <v>966</v>
      </c>
      <c r="I804" s="1" t="s">
        <v>967</v>
      </c>
      <c r="L804" s="1">
        <v>0.0</v>
      </c>
      <c r="M804" s="1">
        <v>0.0</v>
      </c>
      <c r="O804" s="1">
        <v>0.0</v>
      </c>
      <c r="P804" s="1">
        <v>0.0</v>
      </c>
      <c r="R804" s="1">
        <v>0.0</v>
      </c>
      <c r="S804" s="1">
        <v>0.0</v>
      </c>
      <c r="U804" s="1">
        <v>0.0</v>
      </c>
      <c r="W804" s="1">
        <v>0.0</v>
      </c>
      <c r="Y804" s="1">
        <v>0.0</v>
      </c>
      <c r="AA804" s="1">
        <v>0.0</v>
      </c>
      <c r="AC804" s="1">
        <v>0.0</v>
      </c>
      <c r="AM804" s="1">
        <v>151476.0</v>
      </c>
      <c r="AN804" s="1">
        <v>151476.0</v>
      </c>
      <c r="AO804" s="1">
        <v>151476.0</v>
      </c>
      <c r="AP804" s="1">
        <v>58.028</v>
      </c>
      <c r="AR804" s="1">
        <v>0.0</v>
      </c>
      <c r="AW804" s="1">
        <v>0.0</v>
      </c>
      <c r="AX804" s="1">
        <v>2.0</v>
      </c>
      <c r="AY804" s="1">
        <v>4.0</v>
      </c>
      <c r="AZ804" s="1">
        <v>1.0</v>
      </c>
      <c r="BA804" s="1">
        <v>1.0</v>
      </c>
      <c r="BB804" s="1">
        <v>1.0</v>
      </c>
      <c r="BC804" s="1">
        <v>0.0</v>
      </c>
      <c r="BD804" s="1">
        <v>0.13</v>
      </c>
      <c r="BE804" s="1">
        <v>0.0</v>
      </c>
      <c r="BF804" s="1">
        <v>0.0</v>
      </c>
      <c r="BG804" s="1">
        <v>0.0</v>
      </c>
      <c r="BH804" s="1">
        <v>0.0</v>
      </c>
      <c r="BI804" s="1">
        <v>0.0</v>
      </c>
      <c r="BJ804" s="1">
        <v>0.0</v>
      </c>
      <c r="BP804" s="1">
        <v>0.267</v>
      </c>
      <c r="BQ804" s="1" t="s">
        <v>3220</v>
      </c>
      <c r="BV804" s="1">
        <v>1.1</v>
      </c>
      <c r="EQ804" s="9" t="s">
        <v>3226</v>
      </c>
      <c r="ER804" s="21">
        <v>46045.2993287037</v>
      </c>
    </row>
    <row r="805">
      <c r="A805" s="9" t="s">
        <v>3227</v>
      </c>
      <c r="B805" s="20" t="str">
        <f>IFERROR(__xludf.DUMMYFUNCTION("REGEXREPLACE(A805, ""^https?://[^/]+"", """")"),"/wp-content/uploads/2025/07/AI-for-Sales-Without-Security-Risk-300x200.jpg")</f>
        <v>/wp-content/uploads/2025/07/AI-for-Sales-Without-Security-Risk-300x200.jpg</v>
      </c>
      <c r="F805" s="1" t="s">
        <v>1004</v>
      </c>
      <c r="G805" s="1">
        <v>200.0</v>
      </c>
      <c r="H805" s="1" t="s">
        <v>966</v>
      </c>
      <c r="I805" s="1" t="s">
        <v>967</v>
      </c>
      <c r="L805" s="1">
        <v>0.0</v>
      </c>
      <c r="M805" s="1">
        <v>0.0</v>
      </c>
      <c r="O805" s="1">
        <v>0.0</v>
      </c>
      <c r="P805" s="1">
        <v>0.0</v>
      </c>
      <c r="R805" s="1">
        <v>0.0</v>
      </c>
      <c r="S805" s="1">
        <v>0.0</v>
      </c>
      <c r="U805" s="1">
        <v>0.0</v>
      </c>
      <c r="W805" s="1">
        <v>0.0</v>
      </c>
      <c r="Y805" s="1">
        <v>0.0</v>
      </c>
      <c r="AA805" s="1">
        <v>0.0</v>
      </c>
      <c r="AC805" s="1">
        <v>0.0</v>
      </c>
      <c r="AM805" s="1">
        <v>11244.0</v>
      </c>
      <c r="AN805" s="1">
        <v>11244.0</v>
      </c>
      <c r="AO805" s="1">
        <v>11244.0</v>
      </c>
      <c r="AP805" s="1">
        <v>4.307</v>
      </c>
      <c r="AR805" s="1">
        <v>0.0</v>
      </c>
      <c r="AW805" s="1">
        <v>0.0</v>
      </c>
      <c r="AX805" s="1">
        <v>2.0</v>
      </c>
      <c r="AY805" s="1">
        <v>4.0</v>
      </c>
      <c r="BA805" s="1">
        <v>0.0</v>
      </c>
      <c r="BB805" s="1">
        <v>0.0</v>
      </c>
      <c r="BC805" s="1">
        <v>0.0</v>
      </c>
      <c r="BD805" s="1">
        <v>0.0</v>
      </c>
      <c r="BE805" s="1">
        <v>0.0</v>
      </c>
      <c r="BF805" s="1">
        <v>0.0</v>
      </c>
      <c r="BG805" s="1">
        <v>0.0</v>
      </c>
      <c r="BH805" s="1">
        <v>0.0</v>
      </c>
      <c r="BI805" s="1">
        <v>0.0</v>
      </c>
      <c r="BJ805" s="1">
        <v>0.0</v>
      </c>
      <c r="BP805" s="1">
        <v>0.258</v>
      </c>
      <c r="BQ805" s="1" t="s">
        <v>3228</v>
      </c>
      <c r="BV805" s="1">
        <v>1.1</v>
      </c>
      <c r="EQ805" s="9" t="s">
        <v>3227</v>
      </c>
      <c r="ER805" s="21">
        <v>46045.2993287037</v>
      </c>
    </row>
    <row r="806">
      <c r="A806" s="9" t="s">
        <v>3229</v>
      </c>
      <c r="B806" s="20" t="str">
        <f>IFERROR(__xludf.DUMMYFUNCTION("REGEXREPLACE(A806, ""^https?://[^/]+"", """")"),"/category/ai-for-sales/")</f>
        <v>/category/ai-for-sales/</v>
      </c>
      <c r="C806" s="1" t="s">
        <v>3230</v>
      </c>
      <c r="F806" s="1" t="s">
        <v>965</v>
      </c>
      <c r="G806" s="1">
        <v>200.0</v>
      </c>
      <c r="H806" s="1" t="s">
        <v>966</v>
      </c>
      <c r="I806" s="1" t="s">
        <v>967</v>
      </c>
      <c r="K806" s="1" t="s">
        <v>3231</v>
      </c>
      <c r="L806" s="1">
        <v>41.0</v>
      </c>
      <c r="M806" s="1">
        <v>355.0</v>
      </c>
      <c r="O806" s="1">
        <v>0.0</v>
      </c>
      <c r="P806" s="1">
        <v>0.0</v>
      </c>
      <c r="Q806" s="1" t="s">
        <v>3232</v>
      </c>
      <c r="R806" s="1">
        <v>130.0</v>
      </c>
      <c r="S806" s="1">
        <v>823.0</v>
      </c>
      <c r="U806" s="1">
        <v>0.0</v>
      </c>
      <c r="V806" s="1" t="s">
        <v>3230</v>
      </c>
      <c r="W806" s="1">
        <v>22.0</v>
      </c>
      <c r="Y806" s="1">
        <v>0.0</v>
      </c>
      <c r="AA806" s="1">
        <v>0.0</v>
      </c>
      <c r="AC806" s="1">
        <v>0.0</v>
      </c>
      <c r="AD806" s="1" t="s">
        <v>971</v>
      </c>
      <c r="AG806" s="9" t="s">
        <v>3229</v>
      </c>
      <c r="AH806" s="9" t="s">
        <v>3233</v>
      </c>
      <c r="AM806" s="1">
        <v>167262.0</v>
      </c>
      <c r="AN806" s="1">
        <v>31110.0</v>
      </c>
      <c r="AO806" s="1">
        <v>31110.0</v>
      </c>
      <c r="AP806" s="1">
        <v>11.918</v>
      </c>
      <c r="AR806" s="1">
        <v>635.0</v>
      </c>
      <c r="AS806" s="1">
        <v>112.0</v>
      </c>
      <c r="AT806" s="1">
        <v>5.67</v>
      </c>
      <c r="AU806" s="1">
        <v>60.391</v>
      </c>
      <c r="AV806" s="1" t="s">
        <v>990</v>
      </c>
      <c r="AW806" s="1">
        <v>3.807</v>
      </c>
      <c r="AX806" s="1">
        <v>2.0</v>
      </c>
      <c r="AY806" s="1">
        <v>2.0</v>
      </c>
      <c r="AZ806" s="1">
        <v>1.0</v>
      </c>
      <c r="BA806" s="1">
        <v>4.0</v>
      </c>
      <c r="BB806" s="1">
        <v>3.0</v>
      </c>
      <c r="BC806" s="1">
        <v>0.0</v>
      </c>
      <c r="BD806" s="1">
        <v>0.4</v>
      </c>
      <c r="BE806" s="1">
        <v>148.0</v>
      </c>
      <c r="BF806" s="1">
        <v>55.0</v>
      </c>
      <c r="BG806" s="1">
        <v>0.0</v>
      </c>
      <c r="BH806" s="1">
        <v>16.0</v>
      </c>
      <c r="BI806" s="1">
        <v>8.0</v>
      </c>
      <c r="BJ806" s="1">
        <v>0.0</v>
      </c>
      <c r="BO806" s="1" t="s">
        <v>3234</v>
      </c>
      <c r="BP806" s="1">
        <v>0.962</v>
      </c>
      <c r="BU806" s="1" t="s">
        <v>974</v>
      </c>
      <c r="BV806" s="1">
        <v>1.1</v>
      </c>
      <c r="BW806" s="1">
        <v>61.0</v>
      </c>
      <c r="BX806" s="1">
        <v>4051.033</v>
      </c>
      <c r="BY806" s="1">
        <v>7206.717</v>
      </c>
      <c r="BZ806" s="1">
        <v>7126.061</v>
      </c>
      <c r="CA806" s="1">
        <v>18384.896</v>
      </c>
      <c r="CB806" s="1">
        <v>50.5</v>
      </c>
      <c r="CC806" s="1">
        <v>0.05</v>
      </c>
      <c r="CD806" s="1">
        <v>650962.0</v>
      </c>
      <c r="CE806" s="1">
        <v>1050.0</v>
      </c>
      <c r="CF806" s="1">
        <v>173.0</v>
      </c>
      <c r="CG806" s="1">
        <v>2357350.0</v>
      </c>
      <c r="CH806" s="1">
        <v>32052.0</v>
      </c>
      <c r="CI806" s="1">
        <v>2.0</v>
      </c>
      <c r="CJ806" s="1">
        <v>125450.0</v>
      </c>
      <c r="CK806" s="1">
        <v>28.0</v>
      </c>
      <c r="CL806" s="1">
        <v>116973.0</v>
      </c>
      <c r="CM806" s="1">
        <v>39.0</v>
      </c>
      <c r="CN806" s="1">
        <v>1750896.0</v>
      </c>
      <c r="CO806" s="1">
        <v>69.0</v>
      </c>
      <c r="CP806" s="1">
        <v>306670.0</v>
      </c>
      <c r="CQ806" s="1">
        <v>7.0</v>
      </c>
      <c r="CR806" s="1">
        <v>0.0</v>
      </c>
      <c r="CS806" s="1">
        <v>0.0</v>
      </c>
      <c r="CT806" s="1">
        <v>25309.0</v>
      </c>
      <c r="CU806" s="1">
        <v>28.0</v>
      </c>
      <c r="CV806" s="1">
        <v>1526447.0</v>
      </c>
      <c r="CW806" s="1">
        <v>70.0</v>
      </c>
      <c r="DC806" s="1">
        <v>0.0</v>
      </c>
      <c r="DD806" s="1">
        <v>5075.0</v>
      </c>
      <c r="DE806" s="1">
        <v>0.0</v>
      </c>
      <c r="DF806" s="1">
        <v>3396.0</v>
      </c>
      <c r="DG806" s="1">
        <v>450.0</v>
      </c>
      <c r="DH806" s="1">
        <v>50603.0</v>
      </c>
      <c r="DI806" s="1">
        <v>600.0</v>
      </c>
      <c r="DJ806" s="1">
        <v>591888.0</v>
      </c>
      <c r="DK806" s="1">
        <v>942.329</v>
      </c>
      <c r="DL806" s="1" t="s">
        <v>992</v>
      </c>
      <c r="DM806" s="1">
        <v>1810.206</v>
      </c>
      <c r="DN806" s="1" t="s">
        <v>992</v>
      </c>
      <c r="DO806" s="1">
        <v>2356255.0</v>
      </c>
      <c r="DP806" s="1">
        <v>1.0</v>
      </c>
      <c r="DQ806" s="1" t="s">
        <v>976</v>
      </c>
      <c r="DR806" s="1" t="s">
        <v>1055</v>
      </c>
      <c r="DS806" s="1" t="s">
        <v>978</v>
      </c>
      <c r="DT806" s="1" t="s">
        <v>979</v>
      </c>
      <c r="DU806" s="1" t="s">
        <v>980</v>
      </c>
      <c r="DV806" s="1">
        <v>13243.0</v>
      </c>
      <c r="DX806" s="1">
        <v>3263.0</v>
      </c>
      <c r="DY806" s="1">
        <v>642882.0</v>
      </c>
      <c r="DZ806" s="1" t="s">
        <v>981</v>
      </c>
      <c r="EA806" s="1">
        <v>866.0</v>
      </c>
      <c r="EB806" s="1">
        <v>9749.0</v>
      </c>
      <c r="EC806" s="1">
        <v>0.0</v>
      </c>
      <c r="ED806" s="1">
        <v>26492.0</v>
      </c>
      <c r="EF806" s="1">
        <v>295.0</v>
      </c>
      <c r="EG806" s="1" t="s">
        <v>982</v>
      </c>
      <c r="EH806" s="1">
        <v>100.0</v>
      </c>
      <c r="EK806" s="1">
        <v>100.0</v>
      </c>
      <c r="EQ806" s="9" t="s">
        <v>3229</v>
      </c>
      <c r="ER806" s="21">
        <v>46045.29931712963</v>
      </c>
    </row>
    <row r="807">
      <c r="A807" s="9" t="s">
        <v>3235</v>
      </c>
      <c r="B807" s="20" t="str">
        <f>IFERROR(__xludf.DUMMYFUNCTION("REGEXREPLACE(A807, ""^https?://[^/]+"", """")"),"/wp-content/plugins/elementor/assets/css/widget-toggle.min.css?ver=3.34.0")</f>
        <v>/wp-content/plugins/elementor/assets/css/widget-toggle.min.css?ver=3.34.0</v>
      </c>
      <c r="F807" s="1" t="s">
        <v>1016</v>
      </c>
      <c r="G807" s="1">
        <v>200.0</v>
      </c>
      <c r="H807" s="1" t="s">
        <v>966</v>
      </c>
      <c r="I807" s="1" t="s">
        <v>967</v>
      </c>
      <c r="L807" s="1">
        <v>0.0</v>
      </c>
      <c r="M807" s="1">
        <v>0.0</v>
      </c>
      <c r="O807" s="1">
        <v>0.0</v>
      </c>
      <c r="P807" s="1">
        <v>0.0</v>
      </c>
      <c r="R807" s="1">
        <v>0.0</v>
      </c>
      <c r="S807" s="1">
        <v>0.0</v>
      </c>
      <c r="U807" s="1">
        <v>0.0</v>
      </c>
      <c r="W807" s="1">
        <v>0.0</v>
      </c>
      <c r="Y807" s="1">
        <v>0.0</v>
      </c>
      <c r="AA807" s="1">
        <v>0.0</v>
      </c>
      <c r="AC807" s="1">
        <v>0.0</v>
      </c>
      <c r="AM807" s="1">
        <v>396.0</v>
      </c>
      <c r="AN807" s="1">
        <v>396.0</v>
      </c>
      <c r="AO807" s="1">
        <v>396.0</v>
      </c>
      <c r="AP807" s="1">
        <v>0.152</v>
      </c>
      <c r="AR807" s="1">
        <v>0.0</v>
      </c>
      <c r="AW807" s="1">
        <v>0.0</v>
      </c>
      <c r="AX807" s="1">
        <v>2.0</v>
      </c>
      <c r="AY807" s="1">
        <v>5.0</v>
      </c>
      <c r="BA807" s="1">
        <v>0.0</v>
      </c>
      <c r="BB807" s="1">
        <v>0.0</v>
      </c>
      <c r="BC807" s="1">
        <v>0.0</v>
      </c>
      <c r="BD807" s="1">
        <v>0.0</v>
      </c>
      <c r="BE807" s="1">
        <v>0.0</v>
      </c>
      <c r="BF807" s="1">
        <v>0.0</v>
      </c>
      <c r="BG807" s="1">
        <v>0.0</v>
      </c>
      <c r="BH807" s="1">
        <v>0.0</v>
      </c>
      <c r="BI807" s="1">
        <v>0.0</v>
      </c>
      <c r="BJ807" s="1">
        <v>0.0</v>
      </c>
      <c r="BP807" s="1">
        <v>0.265</v>
      </c>
      <c r="BQ807" s="1" t="s">
        <v>1017</v>
      </c>
      <c r="BV807" s="1">
        <v>1.1</v>
      </c>
      <c r="EQ807" s="9" t="s">
        <v>3235</v>
      </c>
      <c r="ER807" s="21">
        <v>46045.2993287037</v>
      </c>
    </row>
    <row r="808">
      <c r="A808" s="9" t="s">
        <v>3236</v>
      </c>
      <c r="B808" s="20" t="str">
        <f>IFERROR(__xludf.DUMMYFUNCTION("REGEXREPLACE(A808, ""^https?://[^/]+"", """")"),"/how-to-use-ai-for-b2b-lead-generation-strategies-to-boost-sales/")</f>
        <v>/how-to-use-ai-for-b2b-lead-generation-strategies-to-boost-sales/</v>
      </c>
      <c r="C808" s="1" t="s">
        <v>3237</v>
      </c>
      <c r="D808" s="1" t="s">
        <v>3238</v>
      </c>
      <c r="E808" s="1" t="s">
        <v>3239</v>
      </c>
      <c r="F808" s="1" t="s">
        <v>965</v>
      </c>
      <c r="G808" s="1">
        <v>200.0</v>
      </c>
      <c r="H808" s="1" t="s">
        <v>966</v>
      </c>
      <c r="I808" s="1" t="s">
        <v>967</v>
      </c>
      <c r="K808" s="1" t="s">
        <v>3240</v>
      </c>
      <c r="L808" s="1">
        <v>89.0</v>
      </c>
      <c r="M808" s="1">
        <v>798.0</v>
      </c>
      <c r="O808" s="1">
        <v>0.0</v>
      </c>
      <c r="P808" s="1">
        <v>0.0</v>
      </c>
      <c r="Q808" s="1" t="s">
        <v>3241</v>
      </c>
      <c r="R808" s="1">
        <v>195.0</v>
      </c>
      <c r="S808" s="1">
        <v>1223.0</v>
      </c>
      <c r="U808" s="1">
        <v>0.0</v>
      </c>
      <c r="V808" s="1" t="s">
        <v>3237</v>
      </c>
      <c r="W808" s="1">
        <v>64.0</v>
      </c>
      <c r="Y808" s="1">
        <v>0.0</v>
      </c>
      <c r="Z808" s="1" t="s">
        <v>3238</v>
      </c>
      <c r="AA808" s="1">
        <v>30.0</v>
      </c>
      <c r="AB808" s="1" t="s">
        <v>3239</v>
      </c>
      <c r="AC808" s="1">
        <v>38.0</v>
      </c>
      <c r="AD808" s="1" t="s">
        <v>971</v>
      </c>
      <c r="AG808" s="9" t="s">
        <v>3236</v>
      </c>
      <c r="AM808" s="1">
        <v>200390.0</v>
      </c>
      <c r="AN808" s="1">
        <v>35971.0</v>
      </c>
      <c r="AO808" s="1">
        <v>35971.0</v>
      </c>
      <c r="AP808" s="1">
        <v>13.78</v>
      </c>
      <c r="AR808" s="1">
        <v>1405.0</v>
      </c>
      <c r="AS808" s="1">
        <v>216.0</v>
      </c>
      <c r="AT808" s="1">
        <v>6.505</v>
      </c>
      <c r="AU808" s="1">
        <v>52.83</v>
      </c>
      <c r="AV808" s="1" t="s">
        <v>972</v>
      </c>
      <c r="AW808" s="1">
        <v>5.768</v>
      </c>
      <c r="AX808" s="1">
        <v>2.0</v>
      </c>
      <c r="AY808" s="1">
        <v>1.0</v>
      </c>
      <c r="AZ808" s="1">
        <v>1.0</v>
      </c>
      <c r="BA808" s="1">
        <v>5.0</v>
      </c>
      <c r="BB808" s="1">
        <v>2.0</v>
      </c>
      <c r="BC808" s="1">
        <v>0.0</v>
      </c>
      <c r="BD808" s="1">
        <v>0.27</v>
      </c>
      <c r="BE808" s="1">
        <v>136.0</v>
      </c>
      <c r="BF808" s="1">
        <v>50.0</v>
      </c>
      <c r="BG808" s="1">
        <v>0.0</v>
      </c>
      <c r="BH808" s="1">
        <v>16.0</v>
      </c>
      <c r="BI808" s="1">
        <v>8.0</v>
      </c>
      <c r="BJ808" s="1">
        <v>0.0</v>
      </c>
      <c r="BO808" s="1" t="s">
        <v>3242</v>
      </c>
      <c r="BP808" s="1">
        <v>1.548</v>
      </c>
      <c r="BU808" s="1" t="s">
        <v>974</v>
      </c>
      <c r="BV808" s="1">
        <v>1.1</v>
      </c>
      <c r="BW808" s="1">
        <v>53.0</v>
      </c>
      <c r="BX808" s="1">
        <v>4501.038</v>
      </c>
      <c r="BY808" s="1">
        <v>6679.897</v>
      </c>
      <c r="BZ808" s="1">
        <v>8626.074</v>
      </c>
      <c r="CA808" s="1">
        <v>19440.756</v>
      </c>
      <c r="CB808" s="1">
        <v>316.0</v>
      </c>
      <c r="CC808" s="1">
        <v>0.0</v>
      </c>
      <c r="CD808" s="1">
        <v>703786.0</v>
      </c>
      <c r="CE808" s="1">
        <v>1950.0</v>
      </c>
      <c r="CF808" s="1">
        <v>169.0</v>
      </c>
      <c r="CG808" s="1">
        <v>2694917.0</v>
      </c>
      <c r="CH808" s="1">
        <v>36629.0</v>
      </c>
      <c r="CI808" s="1">
        <v>2.0</v>
      </c>
      <c r="CJ808" s="1">
        <v>65694.0</v>
      </c>
      <c r="CK808" s="1">
        <v>16.0</v>
      </c>
      <c r="CL808" s="1">
        <v>177805.0</v>
      </c>
      <c r="CM808" s="1">
        <v>44.0</v>
      </c>
      <c r="CN808" s="1">
        <v>1747805.0</v>
      </c>
      <c r="CO808" s="1">
        <v>68.0</v>
      </c>
      <c r="CP808" s="1">
        <v>640727.0</v>
      </c>
      <c r="CQ808" s="1">
        <v>10.0</v>
      </c>
      <c r="CR808" s="1">
        <v>0.0</v>
      </c>
      <c r="CS808" s="1">
        <v>0.0</v>
      </c>
      <c r="CT808" s="1">
        <v>26257.0</v>
      </c>
      <c r="CU808" s="1">
        <v>29.0</v>
      </c>
      <c r="CV808" s="1">
        <v>1832376.0</v>
      </c>
      <c r="CW808" s="1">
        <v>67.0</v>
      </c>
      <c r="DC808" s="1">
        <v>150.0</v>
      </c>
      <c r="DD808" s="1">
        <v>5075.0</v>
      </c>
      <c r="DE808" s="1">
        <v>0.0</v>
      </c>
      <c r="DF808" s="1">
        <v>3396.0</v>
      </c>
      <c r="DG808" s="1">
        <v>750.0</v>
      </c>
      <c r="DH808" s="1">
        <v>108250.0</v>
      </c>
      <c r="DI808" s="1">
        <v>1050.0</v>
      </c>
      <c r="DJ808" s="1">
        <v>587065.0</v>
      </c>
      <c r="DK808" s="1">
        <v>1509.415</v>
      </c>
      <c r="DL808" s="1" t="s">
        <v>975</v>
      </c>
      <c r="DM808" s="1">
        <v>2981.269</v>
      </c>
      <c r="DN808" s="1" t="s">
        <v>975</v>
      </c>
      <c r="DO808" s="1">
        <v>2694918.0</v>
      </c>
      <c r="DP808" s="1">
        <v>1.0</v>
      </c>
      <c r="DQ808" s="1" t="s">
        <v>976</v>
      </c>
      <c r="DR808" s="1" t="s">
        <v>1170</v>
      </c>
      <c r="DS808" s="1" t="s">
        <v>978</v>
      </c>
      <c r="DT808" s="1" t="s">
        <v>979</v>
      </c>
      <c r="DU808" s="1" t="s">
        <v>980</v>
      </c>
      <c r="DV808" s="1">
        <v>17598.0</v>
      </c>
      <c r="DX808" s="1">
        <v>3872.0</v>
      </c>
      <c r="DY808" s="1">
        <v>653400.0</v>
      </c>
      <c r="EA808" s="1">
        <v>952.0</v>
      </c>
      <c r="EB808" s="1">
        <v>4453.0</v>
      </c>
      <c r="EC808" s="1">
        <v>12.0</v>
      </c>
      <c r="ED808" s="1">
        <v>26492.0</v>
      </c>
      <c r="EF808" s="1">
        <v>215.0</v>
      </c>
      <c r="EG808" s="1" t="s">
        <v>1032</v>
      </c>
      <c r="EH808" s="1">
        <v>100.0</v>
      </c>
      <c r="EK808" s="1">
        <v>100.0</v>
      </c>
      <c r="EQ808" s="9" t="s">
        <v>3236</v>
      </c>
      <c r="ER808" s="21">
        <v>46045.2993287037</v>
      </c>
    </row>
    <row r="809">
      <c r="A809" s="9" t="s">
        <v>3243</v>
      </c>
      <c r="B809" s="20" t="str">
        <f>IFERROR(__xludf.DUMMYFUNCTION("REGEXREPLACE(A809, ""^https?://[^/]+"", """")"),"/case-study/expanding-business-with-sales-playbook/")</f>
        <v>/case-study/expanding-business-with-sales-playbook/</v>
      </c>
      <c r="C809" s="1" t="s">
        <v>3244</v>
      </c>
      <c r="D809" s="1" t="s">
        <v>1050</v>
      </c>
      <c r="E809" s="1" t="s">
        <v>1051</v>
      </c>
      <c r="F809" s="1" t="s">
        <v>965</v>
      </c>
      <c r="G809" s="1">
        <v>200.0</v>
      </c>
      <c r="H809" s="1" t="s">
        <v>966</v>
      </c>
      <c r="I809" s="1" t="s">
        <v>967</v>
      </c>
      <c r="K809" s="1" t="s">
        <v>3245</v>
      </c>
      <c r="L809" s="1">
        <v>101.0</v>
      </c>
      <c r="M809" s="1">
        <v>926.0</v>
      </c>
      <c r="O809" s="1">
        <v>0.0</v>
      </c>
      <c r="P809" s="1">
        <v>0.0</v>
      </c>
      <c r="Q809" s="1" t="s">
        <v>3246</v>
      </c>
      <c r="R809" s="1">
        <v>154.0</v>
      </c>
      <c r="S809" s="1">
        <v>987.0</v>
      </c>
      <c r="U809" s="1">
        <v>0.0</v>
      </c>
      <c r="V809" s="1" t="s">
        <v>3244</v>
      </c>
      <c r="W809" s="1">
        <v>63.0</v>
      </c>
      <c r="Y809" s="1">
        <v>0.0</v>
      </c>
      <c r="Z809" s="1" t="s">
        <v>1050</v>
      </c>
      <c r="AA809" s="1">
        <v>17.0</v>
      </c>
      <c r="AB809" s="1" t="s">
        <v>1051</v>
      </c>
      <c r="AC809" s="1">
        <v>11.0</v>
      </c>
      <c r="AD809" s="1" t="s">
        <v>971</v>
      </c>
      <c r="AG809" s="9" t="s">
        <v>3243</v>
      </c>
      <c r="AM809" s="1">
        <v>182035.0</v>
      </c>
      <c r="AN809" s="1">
        <v>31878.0</v>
      </c>
      <c r="AO809" s="1">
        <v>31878.0</v>
      </c>
      <c r="AP809" s="1">
        <v>12.212</v>
      </c>
      <c r="AR809" s="1">
        <v>978.0</v>
      </c>
      <c r="AS809" s="1">
        <v>156.0</v>
      </c>
      <c r="AT809" s="1">
        <v>6.269</v>
      </c>
      <c r="AU809" s="1">
        <v>58.693</v>
      </c>
      <c r="AV809" s="1" t="s">
        <v>972</v>
      </c>
      <c r="AW809" s="1">
        <v>4.734</v>
      </c>
      <c r="AX809" s="1">
        <v>2.0</v>
      </c>
      <c r="AY809" s="1">
        <v>2.0</v>
      </c>
      <c r="AZ809" s="1">
        <v>2.0</v>
      </c>
      <c r="BA809" s="1">
        <v>5.0</v>
      </c>
      <c r="BB809" s="1">
        <v>3.0</v>
      </c>
      <c r="BC809" s="1">
        <v>0.0</v>
      </c>
      <c r="BD809" s="1">
        <v>0.4</v>
      </c>
      <c r="BE809" s="1">
        <v>129.0</v>
      </c>
      <c r="BF809" s="1">
        <v>48.0</v>
      </c>
      <c r="BG809" s="1">
        <v>0.0</v>
      </c>
      <c r="BH809" s="1">
        <v>16.0</v>
      </c>
      <c r="BI809" s="1">
        <v>8.0</v>
      </c>
      <c r="BJ809" s="1">
        <v>0.0</v>
      </c>
      <c r="BO809" s="1" t="s">
        <v>3247</v>
      </c>
      <c r="BP809" s="1">
        <v>1.068</v>
      </c>
      <c r="BU809" s="1" t="s">
        <v>974</v>
      </c>
      <c r="BV809" s="1">
        <v>1.1</v>
      </c>
      <c r="BW809" s="1">
        <v>60.0</v>
      </c>
      <c r="BX809" s="1">
        <v>3601.031</v>
      </c>
      <c r="BY809" s="1">
        <v>5779.448</v>
      </c>
      <c r="BZ809" s="1">
        <v>7951.071</v>
      </c>
      <c r="CA809" s="1">
        <v>17937.793</v>
      </c>
      <c r="CB809" s="1">
        <v>234.5</v>
      </c>
      <c r="CC809" s="1">
        <v>0.022</v>
      </c>
      <c r="CD809" s="1">
        <v>652657.0</v>
      </c>
      <c r="CE809" s="1">
        <v>1200.0</v>
      </c>
      <c r="CF809" s="1">
        <v>164.0</v>
      </c>
      <c r="CG809" s="1">
        <v>2308920.0</v>
      </c>
      <c r="CH809" s="1">
        <v>32828.0</v>
      </c>
      <c r="CI809" s="1">
        <v>2.0</v>
      </c>
      <c r="CJ809" s="1">
        <v>99970.0</v>
      </c>
      <c r="CK809" s="1">
        <v>17.0</v>
      </c>
      <c r="CL809" s="1">
        <v>118284.0</v>
      </c>
      <c r="CM809" s="1">
        <v>43.0</v>
      </c>
      <c r="CN809" s="1">
        <v>1747940.0</v>
      </c>
      <c r="CO809" s="1">
        <v>68.0</v>
      </c>
      <c r="CP809" s="1">
        <v>284722.0</v>
      </c>
      <c r="CQ809" s="1">
        <v>6.0</v>
      </c>
      <c r="CR809" s="1">
        <v>0.0</v>
      </c>
      <c r="CS809" s="1">
        <v>0.0</v>
      </c>
      <c r="CT809" s="1">
        <v>25176.0</v>
      </c>
      <c r="CU809" s="1">
        <v>28.0</v>
      </c>
      <c r="CV809" s="1">
        <v>1504060.0</v>
      </c>
      <c r="CW809" s="1">
        <v>63.0</v>
      </c>
      <c r="DC809" s="1">
        <v>0.0</v>
      </c>
      <c r="DD809" s="1">
        <v>5075.0</v>
      </c>
      <c r="DE809" s="1">
        <v>0.0</v>
      </c>
      <c r="DF809" s="1">
        <v>3396.0</v>
      </c>
      <c r="DG809" s="1">
        <v>300.0</v>
      </c>
      <c r="DH809" s="1">
        <v>50531.0</v>
      </c>
      <c r="DI809" s="1">
        <v>900.0</v>
      </c>
      <c r="DJ809" s="1">
        <v>593655.0</v>
      </c>
      <c r="DK809" s="1">
        <v>1464.736</v>
      </c>
      <c r="DL809" s="1" t="s">
        <v>975</v>
      </c>
      <c r="DM809" s="1">
        <v>2612.069</v>
      </c>
      <c r="DN809" s="1" t="s">
        <v>975</v>
      </c>
      <c r="DO809" s="1">
        <v>2308379.0</v>
      </c>
      <c r="DP809" s="1">
        <v>1.0</v>
      </c>
      <c r="DQ809" s="1" t="s">
        <v>976</v>
      </c>
      <c r="DR809" s="1" t="s">
        <v>1014</v>
      </c>
      <c r="DS809" s="1" t="s">
        <v>978</v>
      </c>
      <c r="DT809" s="1" t="s">
        <v>979</v>
      </c>
      <c r="DU809" s="1" t="s">
        <v>980</v>
      </c>
      <c r="DV809" s="1">
        <v>13546.0</v>
      </c>
      <c r="DX809" s="1">
        <v>3675.0</v>
      </c>
      <c r="DY809" s="1">
        <v>632185.0</v>
      </c>
      <c r="DZ809" s="1" t="s">
        <v>981</v>
      </c>
      <c r="EA809" s="1">
        <v>914.0</v>
      </c>
      <c r="EB809" s="1">
        <v>4453.0</v>
      </c>
      <c r="EC809" s="1">
        <v>1.0</v>
      </c>
      <c r="ED809" s="1">
        <v>26492.0</v>
      </c>
      <c r="EF809" s="1">
        <v>215.0</v>
      </c>
      <c r="EG809" s="1" t="s">
        <v>982</v>
      </c>
      <c r="EH809" s="1">
        <v>100.0</v>
      </c>
      <c r="EK809" s="1">
        <v>100.0</v>
      </c>
      <c r="EQ809" s="9" t="s">
        <v>3243</v>
      </c>
      <c r="ER809" s="21">
        <v>46045.29934027778</v>
      </c>
    </row>
    <row r="810">
      <c r="A810" s="9" t="s">
        <v>3248</v>
      </c>
      <c r="B810" s="20" t="str">
        <f>IFERROR(__xludf.DUMMYFUNCTION("REGEXREPLACE(A810, ""^https?://[^/]+"", """")"),"/wp-content/uploads/2024/12/Competitor-Analysis.jpg")</f>
        <v>/wp-content/uploads/2024/12/Competitor-Analysis.jpg</v>
      </c>
      <c r="F810" s="1" t="s">
        <v>1004</v>
      </c>
      <c r="G810" s="1">
        <v>200.0</v>
      </c>
      <c r="H810" s="1" t="s">
        <v>966</v>
      </c>
      <c r="I810" s="1" t="s">
        <v>967</v>
      </c>
      <c r="L810" s="1">
        <v>0.0</v>
      </c>
      <c r="M810" s="1">
        <v>0.0</v>
      </c>
      <c r="O810" s="1">
        <v>0.0</v>
      </c>
      <c r="P810" s="1">
        <v>0.0</v>
      </c>
      <c r="R810" s="1">
        <v>0.0</v>
      </c>
      <c r="S810" s="1">
        <v>0.0</v>
      </c>
      <c r="U810" s="1">
        <v>0.0</v>
      </c>
      <c r="W810" s="1">
        <v>0.0</v>
      </c>
      <c r="Y810" s="1">
        <v>0.0</v>
      </c>
      <c r="AA810" s="1">
        <v>0.0</v>
      </c>
      <c r="AC810" s="1">
        <v>0.0</v>
      </c>
      <c r="AM810" s="1">
        <v>155584.0</v>
      </c>
      <c r="AN810" s="1">
        <v>155584.0</v>
      </c>
      <c r="AO810" s="1">
        <v>155584.0</v>
      </c>
      <c r="AP810" s="1">
        <v>59.601</v>
      </c>
      <c r="AR810" s="1">
        <v>0.0</v>
      </c>
      <c r="AW810" s="1">
        <v>0.0</v>
      </c>
      <c r="AX810" s="1">
        <v>2.0</v>
      </c>
      <c r="AY810" s="1">
        <v>4.0</v>
      </c>
      <c r="AZ810" s="1">
        <v>1.0</v>
      </c>
      <c r="BA810" s="1">
        <v>1.0</v>
      </c>
      <c r="BB810" s="1">
        <v>1.0</v>
      </c>
      <c r="BC810" s="1">
        <v>0.0</v>
      </c>
      <c r="BD810" s="1">
        <v>0.13</v>
      </c>
      <c r="BE810" s="1">
        <v>0.0</v>
      </c>
      <c r="BF810" s="1">
        <v>0.0</v>
      </c>
      <c r="BG810" s="1">
        <v>0.0</v>
      </c>
      <c r="BH810" s="1">
        <v>0.0</v>
      </c>
      <c r="BI810" s="1">
        <v>0.0</v>
      </c>
      <c r="BJ810" s="1">
        <v>0.0</v>
      </c>
      <c r="BP810" s="1">
        <v>0.272</v>
      </c>
      <c r="BQ810" s="1" t="s">
        <v>3249</v>
      </c>
      <c r="BV810" s="1">
        <v>1.1</v>
      </c>
      <c r="EQ810" s="9" t="s">
        <v>3248</v>
      </c>
      <c r="ER810" s="21">
        <v>46045.29935185185</v>
      </c>
    </row>
    <row r="811">
      <c r="A811" s="9" t="s">
        <v>3250</v>
      </c>
      <c r="B811" s="20" t="str">
        <f>IFERROR(__xludf.DUMMYFUNCTION("REGEXREPLACE(A811, ""^https?://[^/]+"", """")"),"/wp-content/uploads/2024/12/Competitor-Analysis-909x1024.jpg")</f>
        <v>/wp-content/uploads/2024/12/Competitor-Analysis-909x1024.jpg</v>
      </c>
      <c r="F811" s="1" t="s">
        <v>1004</v>
      </c>
      <c r="G811" s="1">
        <v>200.0</v>
      </c>
      <c r="H811" s="1" t="s">
        <v>966</v>
      </c>
      <c r="I811" s="1" t="s">
        <v>967</v>
      </c>
      <c r="L811" s="1">
        <v>0.0</v>
      </c>
      <c r="M811" s="1">
        <v>0.0</v>
      </c>
      <c r="O811" s="1">
        <v>0.0</v>
      </c>
      <c r="P811" s="1">
        <v>0.0</v>
      </c>
      <c r="R811" s="1">
        <v>0.0</v>
      </c>
      <c r="S811" s="1">
        <v>0.0</v>
      </c>
      <c r="U811" s="1">
        <v>0.0</v>
      </c>
      <c r="W811" s="1">
        <v>0.0</v>
      </c>
      <c r="Y811" s="1">
        <v>0.0</v>
      </c>
      <c r="AA811" s="1">
        <v>0.0</v>
      </c>
      <c r="AC811" s="1">
        <v>0.0</v>
      </c>
      <c r="AM811" s="1">
        <v>97248.0</v>
      </c>
      <c r="AN811" s="1">
        <v>97248.0</v>
      </c>
      <c r="AO811" s="1">
        <v>97248.0</v>
      </c>
      <c r="AP811" s="1">
        <v>37.254</v>
      </c>
      <c r="AR811" s="1">
        <v>0.0</v>
      </c>
      <c r="AW811" s="1">
        <v>0.0</v>
      </c>
      <c r="AX811" s="1">
        <v>2.0</v>
      </c>
      <c r="AY811" s="1">
        <v>4.0</v>
      </c>
      <c r="BA811" s="1">
        <v>0.0</v>
      </c>
      <c r="BB811" s="1">
        <v>0.0</v>
      </c>
      <c r="BC811" s="1">
        <v>0.0</v>
      </c>
      <c r="BD811" s="1">
        <v>0.0</v>
      </c>
      <c r="BE811" s="1">
        <v>0.0</v>
      </c>
      <c r="BF811" s="1">
        <v>0.0</v>
      </c>
      <c r="BG811" s="1">
        <v>0.0</v>
      </c>
      <c r="BH811" s="1">
        <v>0.0</v>
      </c>
      <c r="BI811" s="1">
        <v>0.0</v>
      </c>
      <c r="BJ811" s="1">
        <v>0.0</v>
      </c>
      <c r="BP811" s="1">
        <v>0.287</v>
      </c>
      <c r="BQ811" s="1" t="s">
        <v>3251</v>
      </c>
      <c r="BV811" s="1">
        <v>1.1</v>
      </c>
      <c r="EQ811" s="9" t="s">
        <v>3250</v>
      </c>
      <c r="ER811" s="21">
        <v>46045.29935185185</v>
      </c>
    </row>
    <row r="812">
      <c r="A812" s="9" t="s">
        <v>3252</v>
      </c>
      <c r="B812" s="20" t="str">
        <f>IFERROR(__xludf.DUMMYFUNCTION("REGEXREPLACE(A812, ""^https?://[^/]+"", """")"),"/wp-content/uploads/2024/12/Sales-Onboarding.jpg")</f>
        <v>/wp-content/uploads/2024/12/Sales-Onboarding.jpg</v>
      </c>
      <c r="F812" s="1" t="s">
        <v>1004</v>
      </c>
      <c r="G812" s="1">
        <v>200.0</v>
      </c>
      <c r="H812" s="1" t="s">
        <v>966</v>
      </c>
      <c r="I812" s="1" t="s">
        <v>967</v>
      </c>
      <c r="L812" s="1">
        <v>0.0</v>
      </c>
      <c r="M812" s="1">
        <v>0.0</v>
      </c>
      <c r="O812" s="1">
        <v>0.0</v>
      </c>
      <c r="P812" s="1">
        <v>0.0</v>
      </c>
      <c r="R812" s="1">
        <v>0.0</v>
      </c>
      <c r="S812" s="1">
        <v>0.0</v>
      </c>
      <c r="U812" s="1">
        <v>0.0</v>
      </c>
      <c r="W812" s="1">
        <v>0.0</v>
      </c>
      <c r="Y812" s="1">
        <v>0.0</v>
      </c>
      <c r="AA812" s="1">
        <v>0.0</v>
      </c>
      <c r="AC812" s="1">
        <v>0.0</v>
      </c>
      <c r="AM812" s="1">
        <v>131225.0</v>
      </c>
      <c r="AN812" s="1">
        <v>131225.0</v>
      </c>
      <c r="AO812" s="1">
        <v>131225.0</v>
      </c>
      <c r="AP812" s="1">
        <v>50.27</v>
      </c>
      <c r="AR812" s="1">
        <v>0.0</v>
      </c>
      <c r="AW812" s="1">
        <v>0.0</v>
      </c>
      <c r="AX812" s="1">
        <v>2.0</v>
      </c>
      <c r="AY812" s="1">
        <v>4.0</v>
      </c>
      <c r="AZ812" s="1">
        <v>1.0</v>
      </c>
      <c r="BA812" s="1">
        <v>1.0</v>
      </c>
      <c r="BB812" s="1">
        <v>1.0</v>
      </c>
      <c r="BC812" s="1">
        <v>0.0</v>
      </c>
      <c r="BD812" s="1">
        <v>0.13</v>
      </c>
      <c r="BE812" s="1">
        <v>0.0</v>
      </c>
      <c r="BF812" s="1">
        <v>0.0</v>
      </c>
      <c r="BG812" s="1">
        <v>0.0</v>
      </c>
      <c r="BH812" s="1">
        <v>0.0</v>
      </c>
      <c r="BI812" s="1">
        <v>0.0</v>
      </c>
      <c r="BJ812" s="1">
        <v>0.0</v>
      </c>
      <c r="BP812" s="1">
        <v>0.274</v>
      </c>
      <c r="BQ812" s="1" t="s">
        <v>3253</v>
      </c>
      <c r="BV812" s="1">
        <v>1.1</v>
      </c>
      <c r="EQ812" s="9" t="s">
        <v>3252</v>
      </c>
      <c r="ER812" s="21">
        <v>46045.29935185185</v>
      </c>
    </row>
    <row r="813">
      <c r="A813" s="9" t="s">
        <v>3254</v>
      </c>
      <c r="B813" s="20" t="str">
        <f>IFERROR(__xludf.DUMMYFUNCTION("REGEXREPLACE(A813, ""^https?://[^/]+"", """")"),"/wp-content/uploads/2025/09/AI-in-Sales-Forecasting-300x300.jpg")</f>
        <v>/wp-content/uploads/2025/09/AI-in-Sales-Forecasting-300x300.jpg</v>
      </c>
      <c r="F813" s="1" t="s">
        <v>1004</v>
      </c>
      <c r="G813" s="1">
        <v>200.0</v>
      </c>
      <c r="H813" s="1" t="s">
        <v>966</v>
      </c>
      <c r="I813" s="1" t="s">
        <v>967</v>
      </c>
      <c r="L813" s="1">
        <v>0.0</v>
      </c>
      <c r="M813" s="1">
        <v>0.0</v>
      </c>
      <c r="O813" s="1">
        <v>0.0</v>
      </c>
      <c r="P813" s="1">
        <v>0.0</v>
      </c>
      <c r="R813" s="1">
        <v>0.0</v>
      </c>
      <c r="S813" s="1">
        <v>0.0</v>
      </c>
      <c r="U813" s="1">
        <v>0.0</v>
      </c>
      <c r="W813" s="1">
        <v>0.0</v>
      </c>
      <c r="Y813" s="1">
        <v>0.0</v>
      </c>
      <c r="AA813" s="1">
        <v>0.0</v>
      </c>
      <c r="AC813" s="1">
        <v>0.0</v>
      </c>
      <c r="AM813" s="1">
        <v>22639.0</v>
      </c>
      <c r="AN813" s="1">
        <v>22639.0</v>
      </c>
      <c r="AO813" s="1">
        <v>22639.0</v>
      </c>
      <c r="AP813" s="1">
        <v>8.673</v>
      </c>
      <c r="AR813" s="1">
        <v>0.0</v>
      </c>
      <c r="AW813" s="1">
        <v>0.0</v>
      </c>
      <c r="AX813" s="1">
        <v>2.0</v>
      </c>
      <c r="AY813" s="1">
        <v>4.0</v>
      </c>
      <c r="BA813" s="1">
        <v>0.0</v>
      </c>
      <c r="BB813" s="1">
        <v>0.0</v>
      </c>
      <c r="BC813" s="1">
        <v>0.0</v>
      </c>
      <c r="BD813" s="1">
        <v>0.0</v>
      </c>
      <c r="BE813" s="1">
        <v>0.0</v>
      </c>
      <c r="BF813" s="1">
        <v>0.0</v>
      </c>
      <c r="BG813" s="1">
        <v>0.0</v>
      </c>
      <c r="BH813" s="1">
        <v>0.0</v>
      </c>
      <c r="BI813" s="1">
        <v>0.0</v>
      </c>
      <c r="BJ813" s="1">
        <v>0.0</v>
      </c>
      <c r="BP813" s="1">
        <v>0.264</v>
      </c>
      <c r="BQ813" s="1" t="s">
        <v>3255</v>
      </c>
      <c r="BV813" s="1">
        <v>1.1</v>
      </c>
      <c r="EQ813" s="9" t="s">
        <v>3254</v>
      </c>
      <c r="ER813" s="21">
        <v>46045.29935185185</v>
      </c>
    </row>
    <row r="814">
      <c r="A814" s="9" t="s">
        <v>3256</v>
      </c>
      <c r="B814" s="20" t="str">
        <f>IFERROR(__xludf.DUMMYFUNCTION("REGEXREPLACE(A814, ""^https?://[^/]+"", """")"),"/wp-content/uploads/2024/12/AI-Challenges_RAIN.png")</f>
        <v>/wp-content/uploads/2024/12/AI-Challenges_RAIN.png</v>
      </c>
      <c r="F814" s="1" t="s">
        <v>1047</v>
      </c>
      <c r="G814" s="1">
        <v>200.0</v>
      </c>
      <c r="H814" s="1" t="s">
        <v>966</v>
      </c>
      <c r="I814" s="1" t="s">
        <v>967</v>
      </c>
      <c r="L814" s="1">
        <v>0.0</v>
      </c>
      <c r="M814" s="1">
        <v>0.0</v>
      </c>
      <c r="O814" s="1">
        <v>0.0</v>
      </c>
      <c r="P814" s="1">
        <v>0.0</v>
      </c>
      <c r="R814" s="1">
        <v>0.0</v>
      </c>
      <c r="S814" s="1">
        <v>0.0</v>
      </c>
      <c r="U814" s="1">
        <v>0.0</v>
      </c>
      <c r="W814" s="1">
        <v>0.0</v>
      </c>
      <c r="Y814" s="1">
        <v>0.0</v>
      </c>
      <c r="AA814" s="1">
        <v>0.0</v>
      </c>
      <c r="AC814" s="1">
        <v>0.0</v>
      </c>
      <c r="AM814" s="1">
        <v>102017.0</v>
      </c>
      <c r="AN814" s="1">
        <v>102017.0</v>
      </c>
      <c r="AO814" s="1">
        <v>102017.0</v>
      </c>
      <c r="AP814" s="1">
        <v>39.081</v>
      </c>
      <c r="AR814" s="1">
        <v>0.0</v>
      </c>
      <c r="AW814" s="1">
        <v>0.0</v>
      </c>
      <c r="AX814" s="1">
        <v>2.0</v>
      </c>
      <c r="AY814" s="1">
        <v>4.0</v>
      </c>
      <c r="AZ814" s="1">
        <v>1.0</v>
      </c>
      <c r="BA814" s="1">
        <v>1.0</v>
      </c>
      <c r="BB814" s="1">
        <v>1.0</v>
      </c>
      <c r="BC814" s="1">
        <v>0.0</v>
      </c>
      <c r="BD814" s="1">
        <v>0.13</v>
      </c>
      <c r="BE814" s="1">
        <v>0.0</v>
      </c>
      <c r="BF814" s="1">
        <v>0.0</v>
      </c>
      <c r="BG814" s="1">
        <v>0.0</v>
      </c>
      <c r="BH814" s="1">
        <v>0.0</v>
      </c>
      <c r="BI814" s="1">
        <v>0.0</v>
      </c>
      <c r="BJ814" s="1">
        <v>0.0</v>
      </c>
      <c r="BP814" s="1">
        <v>0.269</v>
      </c>
      <c r="BQ814" s="1" t="s">
        <v>3257</v>
      </c>
      <c r="BV814" s="1">
        <v>1.1</v>
      </c>
      <c r="EQ814" s="9" t="s">
        <v>3256</v>
      </c>
      <c r="ER814" s="21">
        <v>46045.299363425926</v>
      </c>
    </row>
    <row r="815">
      <c r="A815" s="9" t="s">
        <v>3258</v>
      </c>
      <c r="B815" s="20" t="str">
        <f>IFERROR(__xludf.DUMMYFUNCTION("REGEXREPLACE(A815, ""^https?://[^/]+"", """")"),"/wp-content/uploads/2024/12/Ways-AI-Tools-Can-Support-Sales.jpg")</f>
        <v>/wp-content/uploads/2024/12/Ways-AI-Tools-Can-Support-Sales.jpg</v>
      </c>
      <c r="F815" s="1" t="s">
        <v>1004</v>
      </c>
      <c r="G815" s="1">
        <v>200.0</v>
      </c>
      <c r="H815" s="1" t="s">
        <v>966</v>
      </c>
      <c r="I815" s="1" t="s">
        <v>967</v>
      </c>
      <c r="L815" s="1">
        <v>0.0</v>
      </c>
      <c r="M815" s="1">
        <v>0.0</v>
      </c>
      <c r="O815" s="1">
        <v>0.0</v>
      </c>
      <c r="P815" s="1">
        <v>0.0</v>
      </c>
      <c r="R815" s="1">
        <v>0.0</v>
      </c>
      <c r="S815" s="1">
        <v>0.0</v>
      </c>
      <c r="U815" s="1">
        <v>0.0</v>
      </c>
      <c r="W815" s="1">
        <v>0.0</v>
      </c>
      <c r="Y815" s="1">
        <v>0.0</v>
      </c>
      <c r="AA815" s="1">
        <v>0.0</v>
      </c>
      <c r="AC815" s="1">
        <v>0.0</v>
      </c>
      <c r="AM815" s="1">
        <v>135287.0</v>
      </c>
      <c r="AN815" s="1">
        <v>135287.0</v>
      </c>
      <c r="AO815" s="1">
        <v>135287.0</v>
      </c>
      <c r="AP815" s="1">
        <v>51.826</v>
      </c>
      <c r="AR815" s="1">
        <v>0.0</v>
      </c>
      <c r="AW815" s="1">
        <v>0.0</v>
      </c>
      <c r="AX815" s="1">
        <v>2.0</v>
      </c>
      <c r="AY815" s="1">
        <v>4.0</v>
      </c>
      <c r="AZ815" s="1">
        <v>1.0</v>
      </c>
      <c r="BA815" s="1">
        <v>1.0</v>
      </c>
      <c r="BB815" s="1">
        <v>1.0</v>
      </c>
      <c r="BC815" s="1">
        <v>0.0</v>
      </c>
      <c r="BD815" s="1">
        <v>0.13</v>
      </c>
      <c r="BE815" s="1">
        <v>0.0</v>
      </c>
      <c r="BF815" s="1">
        <v>0.0</v>
      </c>
      <c r="BG815" s="1">
        <v>0.0</v>
      </c>
      <c r="BH815" s="1">
        <v>0.0</v>
      </c>
      <c r="BI815" s="1">
        <v>0.0</v>
      </c>
      <c r="BJ815" s="1">
        <v>0.0</v>
      </c>
      <c r="BP815" s="1">
        <v>0.276</v>
      </c>
      <c r="BQ815" s="1" t="s">
        <v>3259</v>
      </c>
      <c r="BV815" s="1">
        <v>1.1</v>
      </c>
      <c r="EQ815" s="9" t="s">
        <v>3258</v>
      </c>
      <c r="ER815" s="21">
        <v>46045.299363425926</v>
      </c>
    </row>
    <row r="816">
      <c r="A816" s="9" t="s">
        <v>3260</v>
      </c>
      <c r="B816" s="20" t="str">
        <f>IFERROR(__xludf.DUMMYFUNCTION("REGEXREPLACE(A816, ""^https?://[^/]+"", """")"),"/contact-us-ai/")</f>
        <v>/contact-us-ai/</v>
      </c>
      <c r="C816" s="1" t="s">
        <v>1339</v>
      </c>
      <c r="F816" s="1" t="s">
        <v>965</v>
      </c>
      <c r="G816" s="1">
        <v>200.0</v>
      </c>
      <c r="H816" s="1" t="s">
        <v>966</v>
      </c>
      <c r="I816" s="1" t="s">
        <v>1214</v>
      </c>
      <c r="J816" s="1" t="s">
        <v>1215</v>
      </c>
      <c r="K816" s="1" t="s">
        <v>3261</v>
      </c>
      <c r="L816" s="1">
        <v>30.0</v>
      </c>
      <c r="M816" s="1">
        <v>269.0</v>
      </c>
      <c r="O816" s="1">
        <v>0.0</v>
      </c>
      <c r="P816" s="1">
        <v>0.0</v>
      </c>
      <c r="Q816" s="1" t="s">
        <v>1339</v>
      </c>
      <c r="R816" s="1">
        <v>10.0</v>
      </c>
      <c r="S816" s="1">
        <v>69.0</v>
      </c>
      <c r="U816" s="1">
        <v>0.0</v>
      </c>
      <c r="V816" s="1" t="s">
        <v>1339</v>
      </c>
      <c r="W816" s="1">
        <v>10.0</v>
      </c>
      <c r="Y816" s="1">
        <v>0.0</v>
      </c>
      <c r="AA816" s="1">
        <v>0.0</v>
      </c>
      <c r="AC816" s="1">
        <v>0.0</v>
      </c>
      <c r="AD816" s="1" t="s">
        <v>971</v>
      </c>
      <c r="AG816" s="9" t="s">
        <v>1338</v>
      </c>
      <c r="AM816" s="1">
        <v>176164.0</v>
      </c>
      <c r="AN816" s="1">
        <v>35660.0</v>
      </c>
      <c r="AO816" s="1">
        <v>35660.0</v>
      </c>
      <c r="AP816" s="1">
        <v>13.661</v>
      </c>
      <c r="AR816" s="1">
        <v>606.0</v>
      </c>
      <c r="AS816" s="1">
        <v>109.0</v>
      </c>
      <c r="AT816" s="1">
        <v>5.56</v>
      </c>
      <c r="AU816" s="1">
        <v>64.24</v>
      </c>
      <c r="AV816" s="1" t="s">
        <v>990</v>
      </c>
      <c r="AW816" s="1">
        <v>3.464</v>
      </c>
      <c r="AX816" s="1">
        <v>2.0</v>
      </c>
      <c r="AY816" s="1">
        <v>1.0</v>
      </c>
      <c r="BA816" s="1">
        <v>2.0</v>
      </c>
      <c r="BB816" s="1">
        <v>1.0</v>
      </c>
      <c r="BC816" s="1">
        <v>0.0</v>
      </c>
      <c r="BD816" s="1">
        <v>0.13</v>
      </c>
      <c r="BE816" s="1">
        <v>122.0</v>
      </c>
      <c r="BF816" s="1">
        <v>42.0</v>
      </c>
      <c r="BG816" s="1">
        <v>0.0</v>
      </c>
      <c r="BH816" s="1">
        <v>16.0</v>
      </c>
      <c r="BI816" s="1">
        <v>8.0</v>
      </c>
      <c r="BJ816" s="1">
        <v>0.0</v>
      </c>
      <c r="BO816" s="1" t="s">
        <v>3262</v>
      </c>
      <c r="BP816" s="1">
        <v>1.171</v>
      </c>
      <c r="BU816" s="1" t="s">
        <v>974</v>
      </c>
      <c r="BV816" s="1">
        <v>1.1</v>
      </c>
      <c r="BW816" s="1">
        <v>57.0</v>
      </c>
      <c r="BX816" s="1">
        <v>2718.016</v>
      </c>
      <c r="BY816" s="1">
        <v>8070.478</v>
      </c>
      <c r="BZ816" s="1">
        <v>9301.059</v>
      </c>
      <c r="CA816" s="1">
        <v>20237.352</v>
      </c>
      <c r="CB816" s="1">
        <v>209.0</v>
      </c>
      <c r="CC816" s="1">
        <v>0.083</v>
      </c>
      <c r="CD816" s="1">
        <v>1248371.0</v>
      </c>
      <c r="CE816" s="1">
        <v>1500.0</v>
      </c>
      <c r="CF816" s="1">
        <v>198.0</v>
      </c>
      <c r="CG816" s="1">
        <v>3775512.0</v>
      </c>
      <c r="CH816" s="1">
        <v>90516.0</v>
      </c>
      <c r="CI816" s="1">
        <v>4.0</v>
      </c>
      <c r="CJ816" s="1">
        <v>126767.0</v>
      </c>
      <c r="CK816" s="1">
        <v>29.0</v>
      </c>
      <c r="CL816" s="1">
        <v>221955.0</v>
      </c>
      <c r="CM816" s="1">
        <v>46.0</v>
      </c>
      <c r="CN816" s="1">
        <v>2539116.0</v>
      </c>
      <c r="CO816" s="1">
        <v>81.0</v>
      </c>
      <c r="CP816" s="1">
        <v>406321.0</v>
      </c>
      <c r="CQ816" s="1">
        <v>9.0</v>
      </c>
      <c r="CR816" s="1">
        <v>0.0</v>
      </c>
      <c r="CS816" s="1">
        <v>0.0</v>
      </c>
      <c r="CT816" s="1">
        <v>390837.0</v>
      </c>
      <c r="CU816" s="1">
        <v>29.0</v>
      </c>
      <c r="CV816" s="1">
        <v>2819434.0</v>
      </c>
      <c r="CW816" s="1">
        <v>80.0</v>
      </c>
      <c r="DC816" s="1">
        <v>0.0</v>
      </c>
      <c r="DD816" s="1">
        <v>5075.0</v>
      </c>
      <c r="DE816" s="1">
        <v>0.0</v>
      </c>
      <c r="DF816" s="1">
        <v>3401.0</v>
      </c>
      <c r="DG816" s="1">
        <v>450.0</v>
      </c>
      <c r="DH816" s="1">
        <v>61972.0</v>
      </c>
      <c r="DI816" s="1">
        <v>1050.0</v>
      </c>
      <c r="DJ816" s="1">
        <v>1177923.0</v>
      </c>
      <c r="DK816" s="1">
        <v>1300.094</v>
      </c>
      <c r="DL816" s="1" t="s">
        <v>975</v>
      </c>
      <c r="DM816" s="1">
        <v>2403.173</v>
      </c>
      <c r="DN816" s="1" t="s">
        <v>975</v>
      </c>
      <c r="DO816" s="1">
        <v>3775430.0</v>
      </c>
      <c r="DP816" s="1">
        <v>1.0</v>
      </c>
      <c r="DQ816" s="1" t="s">
        <v>976</v>
      </c>
      <c r="DR816" s="1" t="s">
        <v>1064</v>
      </c>
      <c r="DS816" s="1" t="s">
        <v>978</v>
      </c>
      <c r="DT816" s="1" t="s">
        <v>979</v>
      </c>
      <c r="DU816" s="1" t="s">
        <v>980</v>
      </c>
      <c r="DV816" s="1">
        <v>13547.0</v>
      </c>
      <c r="DX816" s="1">
        <v>4019.0</v>
      </c>
      <c r="DY816" s="1">
        <v>691793.0</v>
      </c>
      <c r="DZ816" s="1" t="s">
        <v>994</v>
      </c>
      <c r="EA816" s="1">
        <v>881.0</v>
      </c>
      <c r="EB816" s="1">
        <v>27429.0</v>
      </c>
      <c r="EC816" s="1">
        <v>0.0</v>
      </c>
      <c r="ED816" s="1">
        <v>26492.0</v>
      </c>
      <c r="EF816" s="1">
        <v>230.0</v>
      </c>
      <c r="EG816" s="1" t="s">
        <v>982</v>
      </c>
      <c r="EH816" s="1">
        <v>100.0</v>
      </c>
      <c r="EK816" s="1">
        <v>100.0</v>
      </c>
      <c r="EQ816" s="9" t="s">
        <v>3260</v>
      </c>
      <c r="ER816" s="21">
        <v>46045.29935185185</v>
      </c>
    </row>
    <row r="817">
      <c r="A817" s="9" t="s">
        <v>3263</v>
      </c>
      <c r="B817" s="20" t="str">
        <f>IFERROR(__xludf.DUMMYFUNCTION("REGEXREPLACE(A817, ""^https?://[^/]+"", """")"),"/wp-content/uploads/2024/12/Proposal-Creation.jpg")</f>
        <v>/wp-content/uploads/2024/12/Proposal-Creation.jpg</v>
      </c>
      <c r="F817" s="1" t="s">
        <v>1004</v>
      </c>
      <c r="G817" s="1">
        <v>200.0</v>
      </c>
      <c r="H817" s="1" t="s">
        <v>966</v>
      </c>
      <c r="I817" s="1" t="s">
        <v>967</v>
      </c>
      <c r="L817" s="1">
        <v>0.0</v>
      </c>
      <c r="M817" s="1">
        <v>0.0</v>
      </c>
      <c r="O817" s="1">
        <v>0.0</v>
      </c>
      <c r="P817" s="1">
        <v>0.0</v>
      </c>
      <c r="R817" s="1">
        <v>0.0</v>
      </c>
      <c r="S817" s="1">
        <v>0.0</v>
      </c>
      <c r="U817" s="1">
        <v>0.0</v>
      </c>
      <c r="W817" s="1">
        <v>0.0</v>
      </c>
      <c r="Y817" s="1">
        <v>0.0</v>
      </c>
      <c r="AA817" s="1">
        <v>0.0</v>
      </c>
      <c r="AC817" s="1">
        <v>0.0</v>
      </c>
      <c r="AM817" s="1">
        <v>149305.0</v>
      </c>
      <c r="AN817" s="1">
        <v>149305.0</v>
      </c>
      <c r="AO817" s="1">
        <v>149305.0</v>
      </c>
      <c r="AP817" s="1">
        <v>57.196</v>
      </c>
      <c r="AR817" s="1">
        <v>0.0</v>
      </c>
      <c r="AW817" s="1">
        <v>0.0</v>
      </c>
      <c r="AX817" s="1">
        <v>2.0</v>
      </c>
      <c r="AY817" s="1">
        <v>4.0</v>
      </c>
      <c r="AZ817" s="1">
        <v>1.0</v>
      </c>
      <c r="BA817" s="1">
        <v>1.0</v>
      </c>
      <c r="BB817" s="1">
        <v>1.0</v>
      </c>
      <c r="BC817" s="1">
        <v>0.0</v>
      </c>
      <c r="BD817" s="1">
        <v>0.13</v>
      </c>
      <c r="BE817" s="1">
        <v>0.0</v>
      </c>
      <c r="BF817" s="1">
        <v>0.0</v>
      </c>
      <c r="BG817" s="1">
        <v>0.0</v>
      </c>
      <c r="BH817" s="1">
        <v>0.0</v>
      </c>
      <c r="BI817" s="1">
        <v>0.0</v>
      </c>
      <c r="BJ817" s="1">
        <v>0.0</v>
      </c>
      <c r="BP817" s="1">
        <v>0.264</v>
      </c>
      <c r="BQ817" s="1" t="s">
        <v>3264</v>
      </c>
      <c r="BV817" s="1">
        <v>1.1</v>
      </c>
      <c r="EQ817" s="9" t="s">
        <v>3263</v>
      </c>
      <c r="ER817" s="21">
        <v>46045.299363425926</v>
      </c>
    </row>
    <row r="818">
      <c r="A818" s="9" t="s">
        <v>3265</v>
      </c>
      <c r="B818" s="20" t="str">
        <f>IFERROR(__xludf.DUMMYFUNCTION("REGEXREPLACE(A818, ""^https?://[^/]+"", """")"),"/wp-content/uploads/2024/12/Sales-Onboarding-909x1024.jpg")</f>
        <v>/wp-content/uploads/2024/12/Sales-Onboarding-909x1024.jpg</v>
      </c>
      <c r="F818" s="1" t="s">
        <v>1004</v>
      </c>
      <c r="G818" s="1">
        <v>200.0</v>
      </c>
      <c r="H818" s="1" t="s">
        <v>966</v>
      </c>
      <c r="I818" s="1" t="s">
        <v>967</v>
      </c>
      <c r="L818" s="1">
        <v>0.0</v>
      </c>
      <c r="M818" s="1">
        <v>0.0</v>
      </c>
      <c r="O818" s="1">
        <v>0.0</v>
      </c>
      <c r="P818" s="1">
        <v>0.0</v>
      </c>
      <c r="R818" s="1">
        <v>0.0</v>
      </c>
      <c r="S818" s="1">
        <v>0.0</v>
      </c>
      <c r="U818" s="1">
        <v>0.0</v>
      </c>
      <c r="W818" s="1">
        <v>0.0</v>
      </c>
      <c r="Y818" s="1">
        <v>0.0</v>
      </c>
      <c r="AA818" s="1">
        <v>0.0</v>
      </c>
      <c r="AC818" s="1">
        <v>0.0</v>
      </c>
      <c r="AM818" s="1">
        <v>80345.0</v>
      </c>
      <c r="AN818" s="1">
        <v>80345.0</v>
      </c>
      <c r="AO818" s="1">
        <v>80345.0</v>
      </c>
      <c r="AP818" s="1">
        <v>30.779</v>
      </c>
      <c r="AR818" s="1">
        <v>0.0</v>
      </c>
      <c r="AW818" s="1">
        <v>0.0</v>
      </c>
      <c r="AX818" s="1">
        <v>2.0</v>
      </c>
      <c r="AY818" s="1">
        <v>4.0</v>
      </c>
      <c r="BA818" s="1">
        <v>0.0</v>
      </c>
      <c r="BB818" s="1">
        <v>0.0</v>
      </c>
      <c r="BC818" s="1">
        <v>0.0</v>
      </c>
      <c r="BD818" s="1">
        <v>0.0</v>
      </c>
      <c r="BE818" s="1">
        <v>0.0</v>
      </c>
      <c r="BF818" s="1">
        <v>0.0</v>
      </c>
      <c r="BG818" s="1">
        <v>0.0</v>
      </c>
      <c r="BH818" s="1">
        <v>0.0</v>
      </c>
      <c r="BI818" s="1">
        <v>0.0</v>
      </c>
      <c r="BJ818" s="1">
        <v>0.0</v>
      </c>
      <c r="BP818" s="1">
        <v>0.261</v>
      </c>
      <c r="BQ818" s="1" t="s">
        <v>3253</v>
      </c>
      <c r="BV818" s="1">
        <v>1.1</v>
      </c>
      <c r="EQ818" s="9" t="s">
        <v>3265</v>
      </c>
      <c r="ER818" s="21">
        <v>46045.299375</v>
      </c>
    </row>
    <row r="819">
      <c r="A819" s="9" t="s">
        <v>3266</v>
      </c>
      <c r="B819" s="20" t="str">
        <f>IFERROR(__xludf.DUMMYFUNCTION("REGEXREPLACE(A819, ""^https?://[^/]+"", """")"),"/wp-content/uploads/2022/04/558d6857-33d4-46f1-9239-c2862b95f7d0.jpg")</f>
        <v>/wp-content/uploads/2022/04/558d6857-33d4-46f1-9239-c2862b95f7d0.jpg</v>
      </c>
      <c r="F819" s="1" t="s">
        <v>1004</v>
      </c>
      <c r="G819" s="1">
        <v>200.0</v>
      </c>
      <c r="H819" s="1" t="s">
        <v>966</v>
      </c>
      <c r="I819" s="1" t="s">
        <v>967</v>
      </c>
      <c r="L819" s="1">
        <v>0.0</v>
      </c>
      <c r="M819" s="1">
        <v>0.0</v>
      </c>
      <c r="O819" s="1">
        <v>0.0</v>
      </c>
      <c r="P819" s="1">
        <v>0.0</v>
      </c>
      <c r="R819" s="1">
        <v>0.0</v>
      </c>
      <c r="S819" s="1">
        <v>0.0</v>
      </c>
      <c r="U819" s="1">
        <v>0.0</v>
      </c>
      <c r="W819" s="1">
        <v>0.0</v>
      </c>
      <c r="Y819" s="1">
        <v>0.0</v>
      </c>
      <c r="AA819" s="1">
        <v>0.0</v>
      </c>
      <c r="AC819" s="1">
        <v>0.0</v>
      </c>
      <c r="AM819" s="1">
        <v>103829.0</v>
      </c>
      <c r="AN819" s="1">
        <v>103829.0</v>
      </c>
      <c r="AO819" s="1">
        <v>103829.0</v>
      </c>
      <c r="AP819" s="1">
        <v>39.775</v>
      </c>
      <c r="AR819" s="1">
        <v>0.0</v>
      </c>
      <c r="AW819" s="1">
        <v>0.0</v>
      </c>
      <c r="AX819" s="1">
        <v>2.0</v>
      </c>
      <c r="AY819" s="1">
        <v>4.0</v>
      </c>
      <c r="AZ819" s="1">
        <v>1.0</v>
      </c>
      <c r="BA819" s="1">
        <v>1.0</v>
      </c>
      <c r="BB819" s="1">
        <v>1.0</v>
      </c>
      <c r="BC819" s="1">
        <v>0.0</v>
      </c>
      <c r="BD819" s="1">
        <v>0.13</v>
      </c>
      <c r="BE819" s="1">
        <v>0.0</v>
      </c>
      <c r="BF819" s="1">
        <v>0.0</v>
      </c>
      <c r="BG819" s="1">
        <v>0.0</v>
      </c>
      <c r="BH819" s="1">
        <v>0.0</v>
      </c>
      <c r="BI819" s="1">
        <v>0.0</v>
      </c>
      <c r="BJ819" s="1">
        <v>0.0</v>
      </c>
      <c r="BP819" s="1">
        <v>0.268</v>
      </c>
      <c r="BQ819" s="1" t="s">
        <v>3267</v>
      </c>
      <c r="BV819" s="1">
        <v>1.1</v>
      </c>
      <c r="EQ819" s="9" t="s">
        <v>3266</v>
      </c>
      <c r="ER819" s="21">
        <v>46045.29938657407</v>
      </c>
    </row>
    <row r="820">
      <c r="A820" s="9" t="s">
        <v>3268</v>
      </c>
      <c r="B820" s="20" t="str">
        <f>IFERROR(__xludf.DUMMYFUNCTION("REGEXREPLACE(A820, ""^https?://[^/]+"", """")"),"/wp-content/uploads/elementor/css/post-25481.css?ver=1768854954")</f>
        <v>/wp-content/uploads/elementor/css/post-25481.css?ver=1768854954</v>
      </c>
      <c r="F820" s="1" t="s">
        <v>1016</v>
      </c>
      <c r="G820" s="1">
        <v>200.0</v>
      </c>
      <c r="H820" s="1" t="s">
        <v>966</v>
      </c>
      <c r="I820" s="1" t="s">
        <v>967</v>
      </c>
      <c r="L820" s="1">
        <v>0.0</v>
      </c>
      <c r="M820" s="1">
        <v>0.0</v>
      </c>
      <c r="O820" s="1">
        <v>0.0</v>
      </c>
      <c r="P820" s="1">
        <v>0.0</v>
      </c>
      <c r="R820" s="1">
        <v>0.0</v>
      </c>
      <c r="S820" s="1">
        <v>0.0</v>
      </c>
      <c r="U820" s="1">
        <v>0.0</v>
      </c>
      <c r="W820" s="1">
        <v>0.0</v>
      </c>
      <c r="Y820" s="1">
        <v>0.0</v>
      </c>
      <c r="AA820" s="1">
        <v>0.0</v>
      </c>
      <c r="AC820" s="1">
        <v>0.0</v>
      </c>
      <c r="AM820" s="1">
        <v>1667.0</v>
      </c>
      <c r="AN820" s="1">
        <v>1667.0</v>
      </c>
      <c r="AO820" s="1">
        <v>1667.0</v>
      </c>
      <c r="AP820" s="1">
        <v>0.639</v>
      </c>
      <c r="AR820" s="1">
        <v>0.0</v>
      </c>
      <c r="AW820" s="1">
        <v>0.0</v>
      </c>
      <c r="AX820" s="1">
        <v>2.0</v>
      </c>
      <c r="AY820" s="1">
        <v>4.0</v>
      </c>
      <c r="BA820" s="1">
        <v>0.0</v>
      </c>
      <c r="BB820" s="1">
        <v>0.0</v>
      </c>
      <c r="BC820" s="1">
        <v>0.0</v>
      </c>
      <c r="BD820" s="1">
        <v>0.0</v>
      </c>
      <c r="BE820" s="1">
        <v>0.0</v>
      </c>
      <c r="BF820" s="1">
        <v>0.0</v>
      </c>
      <c r="BG820" s="1">
        <v>0.0</v>
      </c>
      <c r="BH820" s="1">
        <v>0.0</v>
      </c>
      <c r="BI820" s="1">
        <v>0.0</v>
      </c>
      <c r="BJ820" s="1">
        <v>0.0</v>
      </c>
      <c r="BP820" s="1">
        <v>0.27</v>
      </c>
      <c r="BQ820" s="1" t="s">
        <v>3269</v>
      </c>
      <c r="BV820" s="1">
        <v>1.1</v>
      </c>
      <c r="EQ820" s="9" t="s">
        <v>3268</v>
      </c>
      <c r="ER820" s="21">
        <v>46045.29939814815</v>
      </c>
    </row>
    <row r="821">
      <c r="A821" s="9" t="s">
        <v>3270</v>
      </c>
      <c r="B821" s="20" t="str">
        <f>IFERROR(__xludf.DUMMYFUNCTION("REGEXREPLACE(A821, ""^https?://[^/]+"", """")"),"/wp-content/uploads/2022/04/JL-300x225.jpg")</f>
        <v>/wp-content/uploads/2022/04/JL-300x225.jpg</v>
      </c>
      <c r="F821" s="1" t="s">
        <v>1004</v>
      </c>
      <c r="G821" s="1">
        <v>200.0</v>
      </c>
      <c r="H821" s="1" t="s">
        <v>966</v>
      </c>
      <c r="I821" s="1" t="s">
        <v>967</v>
      </c>
      <c r="L821" s="1">
        <v>0.0</v>
      </c>
      <c r="M821" s="1">
        <v>0.0</v>
      </c>
      <c r="O821" s="1">
        <v>0.0</v>
      </c>
      <c r="P821" s="1">
        <v>0.0</v>
      </c>
      <c r="R821" s="1">
        <v>0.0</v>
      </c>
      <c r="S821" s="1">
        <v>0.0</v>
      </c>
      <c r="U821" s="1">
        <v>0.0</v>
      </c>
      <c r="W821" s="1">
        <v>0.0</v>
      </c>
      <c r="Y821" s="1">
        <v>0.0</v>
      </c>
      <c r="AA821" s="1">
        <v>0.0</v>
      </c>
      <c r="AC821" s="1">
        <v>0.0</v>
      </c>
      <c r="AM821" s="1">
        <v>17451.0</v>
      </c>
      <c r="AN821" s="1">
        <v>17451.0</v>
      </c>
      <c r="AO821" s="1">
        <v>17451.0</v>
      </c>
      <c r="AP821" s="1">
        <v>6.685</v>
      </c>
      <c r="AR821" s="1">
        <v>0.0</v>
      </c>
      <c r="AW821" s="1">
        <v>0.0</v>
      </c>
      <c r="AX821" s="1">
        <v>2.0</v>
      </c>
      <c r="AY821" s="1">
        <v>4.0</v>
      </c>
      <c r="BA821" s="1">
        <v>0.0</v>
      </c>
      <c r="BB821" s="1">
        <v>0.0</v>
      </c>
      <c r="BC821" s="1">
        <v>0.0</v>
      </c>
      <c r="BD821" s="1">
        <v>0.0</v>
      </c>
      <c r="BE821" s="1">
        <v>0.0</v>
      </c>
      <c r="BF821" s="1">
        <v>0.0</v>
      </c>
      <c r="BG821" s="1">
        <v>0.0</v>
      </c>
      <c r="BH821" s="1">
        <v>0.0</v>
      </c>
      <c r="BI821" s="1">
        <v>0.0</v>
      </c>
      <c r="BJ821" s="1">
        <v>0.0</v>
      </c>
      <c r="BP821" s="1">
        <v>0.265</v>
      </c>
      <c r="BQ821" s="1" t="s">
        <v>3271</v>
      </c>
      <c r="BV821" s="1">
        <v>1.1</v>
      </c>
      <c r="EQ821" s="9" t="s">
        <v>3270</v>
      </c>
      <c r="ER821" s="21">
        <v>46045.29939814815</v>
      </c>
    </row>
    <row r="822">
      <c r="A822" s="9" t="s">
        <v>3272</v>
      </c>
      <c r="B822" s="20" t="str">
        <f>IFERROR(__xludf.DUMMYFUNCTION("REGEXREPLACE(A822, ""^https?://[^/]+"", """")"),"/wp-content/uploads/2022/04/IMG_5867.jpg")</f>
        <v>/wp-content/uploads/2022/04/IMG_5867.jpg</v>
      </c>
      <c r="F822" s="1" t="s">
        <v>1004</v>
      </c>
      <c r="G822" s="1">
        <v>200.0</v>
      </c>
      <c r="H822" s="1" t="s">
        <v>966</v>
      </c>
      <c r="I822" s="1" t="s">
        <v>967</v>
      </c>
      <c r="L822" s="1">
        <v>0.0</v>
      </c>
      <c r="M822" s="1">
        <v>0.0</v>
      </c>
      <c r="O822" s="1">
        <v>0.0</v>
      </c>
      <c r="P822" s="1">
        <v>0.0</v>
      </c>
      <c r="R822" s="1">
        <v>0.0</v>
      </c>
      <c r="S822" s="1">
        <v>0.0</v>
      </c>
      <c r="U822" s="1">
        <v>0.0</v>
      </c>
      <c r="W822" s="1">
        <v>0.0</v>
      </c>
      <c r="Y822" s="1">
        <v>0.0</v>
      </c>
      <c r="AA822" s="1">
        <v>0.0</v>
      </c>
      <c r="AC822" s="1">
        <v>0.0</v>
      </c>
      <c r="AM822" s="1">
        <v>98114.0</v>
      </c>
      <c r="AN822" s="1">
        <v>98114.0</v>
      </c>
      <c r="AO822" s="1">
        <v>98114.0</v>
      </c>
      <c r="AP822" s="1">
        <v>37.586</v>
      </c>
      <c r="AR822" s="1">
        <v>0.0</v>
      </c>
      <c r="AW822" s="1">
        <v>0.0</v>
      </c>
      <c r="AX822" s="1">
        <v>2.0</v>
      </c>
      <c r="AY822" s="1">
        <v>4.0</v>
      </c>
      <c r="AZ822" s="1">
        <v>1.0</v>
      </c>
      <c r="BA822" s="1">
        <v>1.0</v>
      </c>
      <c r="BB822" s="1">
        <v>1.0</v>
      </c>
      <c r="BC822" s="1">
        <v>0.0</v>
      </c>
      <c r="BD822" s="1">
        <v>0.13</v>
      </c>
      <c r="BE822" s="1">
        <v>0.0</v>
      </c>
      <c r="BF822" s="1">
        <v>0.0</v>
      </c>
      <c r="BG822" s="1">
        <v>0.0</v>
      </c>
      <c r="BH822" s="1">
        <v>0.0</v>
      </c>
      <c r="BI822" s="1">
        <v>0.0</v>
      </c>
      <c r="BJ822" s="1">
        <v>0.0</v>
      </c>
      <c r="BP822" s="1">
        <v>0.274</v>
      </c>
      <c r="BQ822" s="1" t="s">
        <v>3273</v>
      </c>
      <c r="BV822" s="1">
        <v>1.1</v>
      </c>
      <c r="EQ822" s="9" t="s">
        <v>3272</v>
      </c>
      <c r="ER822" s="21">
        <v>46045.299409722225</v>
      </c>
    </row>
    <row r="823">
      <c r="A823" s="9" t="s">
        <v>3274</v>
      </c>
      <c r="B823" s="20" t="str">
        <f>IFERROR(__xludf.DUMMYFUNCTION("REGEXREPLACE(A823, ""^https?://[^/]+"", """")"),"/wp-content/uploads/2022/04/JL.jpg")</f>
        <v>/wp-content/uploads/2022/04/JL.jpg</v>
      </c>
      <c r="F823" s="1" t="s">
        <v>1004</v>
      </c>
      <c r="G823" s="1">
        <v>200.0</v>
      </c>
      <c r="H823" s="1" t="s">
        <v>966</v>
      </c>
      <c r="I823" s="1" t="s">
        <v>967</v>
      </c>
      <c r="L823" s="1">
        <v>0.0</v>
      </c>
      <c r="M823" s="1">
        <v>0.0</v>
      </c>
      <c r="O823" s="1">
        <v>0.0</v>
      </c>
      <c r="P823" s="1">
        <v>0.0</v>
      </c>
      <c r="R823" s="1">
        <v>0.0</v>
      </c>
      <c r="S823" s="1">
        <v>0.0</v>
      </c>
      <c r="U823" s="1">
        <v>0.0</v>
      </c>
      <c r="W823" s="1">
        <v>0.0</v>
      </c>
      <c r="Y823" s="1">
        <v>0.0</v>
      </c>
      <c r="AA823" s="1">
        <v>0.0</v>
      </c>
      <c r="AC823" s="1">
        <v>0.0</v>
      </c>
      <c r="AM823" s="1">
        <v>355807.0</v>
      </c>
      <c r="AN823" s="1">
        <v>355807.0</v>
      </c>
      <c r="AO823" s="1">
        <v>355807.0</v>
      </c>
      <c r="AP823" s="1">
        <v>136.303</v>
      </c>
      <c r="AR823" s="1">
        <v>0.0</v>
      </c>
      <c r="AW823" s="1">
        <v>0.0</v>
      </c>
      <c r="AX823" s="1">
        <v>2.0</v>
      </c>
      <c r="AY823" s="1">
        <v>4.0</v>
      </c>
      <c r="AZ823" s="1">
        <v>1.0</v>
      </c>
      <c r="BA823" s="1">
        <v>1.0</v>
      </c>
      <c r="BB823" s="1">
        <v>1.0</v>
      </c>
      <c r="BC823" s="1">
        <v>0.0</v>
      </c>
      <c r="BD823" s="1">
        <v>0.13</v>
      </c>
      <c r="BE823" s="1">
        <v>0.0</v>
      </c>
      <c r="BF823" s="1">
        <v>0.0</v>
      </c>
      <c r="BG823" s="1">
        <v>0.0</v>
      </c>
      <c r="BH823" s="1">
        <v>0.0</v>
      </c>
      <c r="BI823" s="1">
        <v>0.0</v>
      </c>
      <c r="BJ823" s="1">
        <v>0.0</v>
      </c>
      <c r="BP823" s="1">
        <v>0.267</v>
      </c>
      <c r="BQ823" s="1" t="s">
        <v>3275</v>
      </c>
      <c r="BV823" s="1">
        <v>1.1</v>
      </c>
      <c r="EQ823" s="9" t="s">
        <v>3274</v>
      </c>
      <c r="ER823" s="21">
        <v>46045.299409722225</v>
      </c>
    </row>
    <row r="824">
      <c r="A824" s="9" t="s">
        <v>3276</v>
      </c>
      <c r="B824" s="20" t="str">
        <f>IFERROR(__xludf.DUMMYFUNCTION("REGEXREPLACE(A824, ""^https?://[^/]+"", """")"),"/wp-content/uploads/2022/04/image000000-2-214x300.jpg")</f>
        <v>/wp-content/uploads/2022/04/image000000-2-214x300.jpg</v>
      </c>
      <c r="F824" s="1" t="s">
        <v>1004</v>
      </c>
      <c r="G824" s="1">
        <v>200.0</v>
      </c>
      <c r="H824" s="1" t="s">
        <v>966</v>
      </c>
      <c r="I824" s="1" t="s">
        <v>967</v>
      </c>
      <c r="L824" s="1">
        <v>0.0</v>
      </c>
      <c r="M824" s="1">
        <v>0.0</v>
      </c>
      <c r="O824" s="1">
        <v>0.0</v>
      </c>
      <c r="P824" s="1">
        <v>0.0</v>
      </c>
      <c r="R824" s="1">
        <v>0.0</v>
      </c>
      <c r="S824" s="1">
        <v>0.0</v>
      </c>
      <c r="U824" s="1">
        <v>0.0</v>
      </c>
      <c r="W824" s="1">
        <v>0.0</v>
      </c>
      <c r="Y824" s="1">
        <v>0.0</v>
      </c>
      <c r="AA824" s="1">
        <v>0.0</v>
      </c>
      <c r="AC824" s="1">
        <v>0.0</v>
      </c>
      <c r="AM824" s="1">
        <v>12109.0</v>
      </c>
      <c r="AN824" s="1">
        <v>12109.0</v>
      </c>
      <c r="AO824" s="1">
        <v>12109.0</v>
      </c>
      <c r="AP824" s="1">
        <v>4.639</v>
      </c>
      <c r="AR824" s="1">
        <v>0.0</v>
      </c>
      <c r="AW824" s="1">
        <v>0.0</v>
      </c>
      <c r="AX824" s="1">
        <v>2.0</v>
      </c>
      <c r="AY824" s="1">
        <v>4.0</v>
      </c>
      <c r="BA824" s="1">
        <v>0.0</v>
      </c>
      <c r="BB824" s="1">
        <v>0.0</v>
      </c>
      <c r="BC824" s="1">
        <v>0.0</v>
      </c>
      <c r="BD824" s="1">
        <v>0.0</v>
      </c>
      <c r="BE824" s="1">
        <v>0.0</v>
      </c>
      <c r="BF824" s="1">
        <v>0.0</v>
      </c>
      <c r="BG824" s="1">
        <v>0.0</v>
      </c>
      <c r="BH824" s="1">
        <v>0.0</v>
      </c>
      <c r="BI824" s="1">
        <v>0.0</v>
      </c>
      <c r="BJ824" s="1">
        <v>0.0</v>
      </c>
      <c r="BP824" s="1">
        <v>0.271</v>
      </c>
      <c r="BQ824" s="1" t="s">
        <v>3277</v>
      </c>
      <c r="BV824" s="1">
        <v>1.1</v>
      </c>
      <c r="EQ824" s="9" t="s">
        <v>3276</v>
      </c>
      <c r="ER824" s="21">
        <v>46045.299421296295</v>
      </c>
    </row>
    <row r="825">
      <c r="A825" s="9" t="s">
        <v>3278</v>
      </c>
      <c r="B825" s="20" t="str">
        <f>IFERROR(__xludf.DUMMYFUNCTION("REGEXREPLACE(A825, ""^https?://[^/]+"", """")"),"/wp-content/uploads/2022/04/Day-of-Giving-Solve-Kaigh-2.jpg")</f>
        <v>/wp-content/uploads/2022/04/Day-of-Giving-Solve-Kaigh-2.jpg</v>
      </c>
      <c r="F825" s="1" t="s">
        <v>1004</v>
      </c>
      <c r="G825" s="1">
        <v>200.0</v>
      </c>
      <c r="H825" s="1" t="s">
        <v>966</v>
      </c>
      <c r="I825" s="1" t="s">
        <v>967</v>
      </c>
      <c r="L825" s="1">
        <v>0.0</v>
      </c>
      <c r="M825" s="1">
        <v>0.0</v>
      </c>
      <c r="O825" s="1">
        <v>0.0</v>
      </c>
      <c r="P825" s="1">
        <v>0.0</v>
      </c>
      <c r="R825" s="1">
        <v>0.0</v>
      </c>
      <c r="S825" s="1">
        <v>0.0</v>
      </c>
      <c r="U825" s="1">
        <v>0.0</v>
      </c>
      <c r="W825" s="1">
        <v>0.0</v>
      </c>
      <c r="Y825" s="1">
        <v>0.0</v>
      </c>
      <c r="AA825" s="1">
        <v>0.0</v>
      </c>
      <c r="AC825" s="1">
        <v>0.0</v>
      </c>
      <c r="AM825" s="1">
        <v>631698.0</v>
      </c>
      <c r="AN825" s="1">
        <v>631698.0</v>
      </c>
      <c r="AO825" s="1">
        <v>631698.0</v>
      </c>
      <c r="AP825" s="1">
        <v>241.992</v>
      </c>
      <c r="AR825" s="1">
        <v>0.0</v>
      </c>
      <c r="AW825" s="1">
        <v>0.0</v>
      </c>
      <c r="AX825" s="1">
        <v>2.0</v>
      </c>
      <c r="AY825" s="1">
        <v>4.0</v>
      </c>
      <c r="AZ825" s="1">
        <v>1.0</v>
      </c>
      <c r="BA825" s="1">
        <v>1.0</v>
      </c>
      <c r="BB825" s="1">
        <v>1.0</v>
      </c>
      <c r="BC825" s="1">
        <v>0.0</v>
      </c>
      <c r="BD825" s="1">
        <v>0.13</v>
      </c>
      <c r="BE825" s="1">
        <v>0.0</v>
      </c>
      <c r="BF825" s="1">
        <v>0.0</v>
      </c>
      <c r="BG825" s="1">
        <v>0.0</v>
      </c>
      <c r="BH825" s="1">
        <v>0.0</v>
      </c>
      <c r="BI825" s="1">
        <v>0.0</v>
      </c>
      <c r="BJ825" s="1">
        <v>0.0</v>
      </c>
      <c r="BP825" s="1">
        <v>0.27</v>
      </c>
      <c r="BQ825" s="1" t="s">
        <v>3279</v>
      </c>
      <c r="BV825" s="1">
        <v>1.1</v>
      </c>
      <c r="EQ825" s="9" t="s">
        <v>3278</v>
      </c>
      <c r="ER825" s="21">
        <v>46045.299421296295</v>
      </c>
    </row>
    <row r="826">
      <c r="A826" s="9" t="s">
        <v>3280</v>
      </c>
      <c r="B826" s="20" t="str">
        <f>IFERROR(__xludf.DUMMYFUNCTION("REGEXREPLACE(A826, ""^https?://[^/]+"", """")"),"/wp-content/uploads/2022/04/Unknown-1-300x225.jpeg")</f>
        <v>/wp-content/uploads/2022/04/Unknown-1-300x225.jpeg</v>
      </c>
      <c r="F826" s="1" t="s">
        <v>1004</v>
      </c>
      <c r="G826" s="1">
        <v>200.0</v>
      </c>
      <c r="H826" s="1" t="s">
        <v>966</v>
      </c>
      <c r="I826" s="1" t="s">
        <v>967</v>
      </c>
      <c r="L826" s="1">
        <v>0.0</v>
      </c>
      <c r="M826" s="1">
        <v>0.0</v>
      </c>
      <c r="O826" s="1">
        <v>0.0</v>
      </c>
      <c r="P826" s="1">
        <v>0.0</v>
      </c>
      <c r="R826" s="1">
        <v>0.0</v>
      </c>
      <c r="S826" s="1">
        <v>0.0</v>
      </c>
      <c r="U826" s="1">
        <v>0.0</v>
      </c>
      <c r="W826" s="1">
        <v>0.0</v>
      </c>
      <c r="Y826" s="1">
        <v>0.0</v>
      </c>
      <c r="AA826" s="1">
        <v>0.0</v>
      </c>
      <c r="AC826" s="1">
        <v>0.0</v>
      </c>
      <c r="AM826" s="1">
        <v>17274.0</v>
      </c>
      <c r="AN826" s="1">
        <v>17274.0</v>
      </c>
      <c r="AO826" s="1">
        <v>17274.0</v>
      </c>
      <c r="AP826" s="1">
        <v>6.617</v>
      </c>
      <c r="AR826" s="1">
        <v>0.0</v>
      </c>
      <c r="AW826" s="1">
        <v>0.0</v>
      </c>
      <c r="AX826" s="1">
        <v>2.0</v>
      </c>
      <c r="AY826" s="1">
        <v>4.0</v>
      </c>
      <c r="BA826" s="1">
        <v>0.0</v>
      </c>
      <c r="BB826" s="1">
        <v>0.0</v>
      </c>
      <c r="BC826" s="1">
        <v>0.0</v>
      </c>
      <c r="BD826" s="1">
        <v>0.0</v>
      </c>
      <c r="BE826" s="1">
        <v>0.0</v>
      </c>
      <c r="BF826" s="1">
        <v>0.0</v>
      </c>
      <c r="BG826" s="1">
        <v>0.0</v>
      </c>
      <c r="BH826" s="1">
        <v>0.0</v>
      </c>
      <c r="BI826" s="1">
        <v>0.0</v>
      </c>
      <c r="BJ826" s="1">
        <v>0.0</v>
      </c>
      <c r="BP826" s="1">
        <v>0.278</v>
      </c>
      <c r="BQ826" s="1" t="s">
        <v>3281</v>
      </c>
      <c r="BV826" s="1">
        <v>1.1</v>
      </c>
      <c r="EQ826" s="9" t="s">
        <v>3280</v>
      </c>
      <c r="ER826" s="21">
        <v>46045.29943287037</v>
      </c>
    </row>
    <row r="827">
      <c r="A827" s="9" t="s">
        <v>3282</v>
      </c>
      <c r="B827" s="20" t="str">
        <f>IFERROR(__xludf.DUMMYFUNCTION("REGEXREPLACE(A827, ""^https?://[^/]+"", """")"),"/wp-content/uploads/2022/04/IMG_5867-225x300.jpg")</f>
        <v>/wp-content/uploads/2022/04/IMG_5867-225x300.jpg</v>
      </c>
      <c r="F827" s="1" t="s">
        <v>1004</v>
      </c>
      <c r="G827" s="1">
        <v>200.0</v>
      </c>
      <c r="H827" s="1" t="s">
        <v>966</v>
      </c>
      <c r="I827" s="1" t="s">
        <v>967</v>
      </c>
      <c r="L827" s="1">
        <v>0.0</v>
      </c>
      <c r="M827" s="1">
        <v>0.0</v>
      </c>
      <c r="O827" s="1">
        <v>0.0</v>
      </c>
      <c r="P827" s="1">
        <v>0.0</v>
      </c>
      <c r="R827" s="1">
        <v>0.0</v>
      </c>
      <c r="S827" s="1">
        <v>0.0</v>
      </c>
      <c r="U827" s="1">
        <v>0.0</v>
      </c>
      <c r="W827" s="1">
        <v>0.0</v>
      </c>
      <c r="Y827" s="1">
        <v>0.0</v>
      </c>
      <c r="AA827" s="1">
        <v>0.0</v>
      </c>
      <c r="AC827" s="1">
        <v>0.0</v>
      </c>
      <c r="AM827" s="1">
        <v>15431.0</v>
      </c>
      <c r="AN827" s="1">
        <v>15431.0</v>
      </c>
      <c r="AO827" s="1">
        <v>15431.0</v>
      </c>
      <c r="AP827" s="1">
        <v>5.911</v>
      </c>
      <c r="AR827" s="1">
        <v>0.0</v>
      </c>
      <c r="AW827" s="1">
        <v>0.0</v>
      </c>
      <c r="AX827" s="1">
        <v>2.0</v>
      </c>
      <c r="AY827" s="1">
        <v>4.0</v>
      </c>
      <c r="BA827" s="1">
        <v>0.0</v>
      </c>
      <c r="BB827" s="1">
        <v>0.0</v>
      </c>
      <c r="BC827" s="1">
        <v>0.0</v>
      </c>
      <c r="BD827" s="1">
        <v>0.0</v>
      </c>
      <c r="BE827" s="1">
        <v>0.0</v>
      </c>
      <c r="BF827" s="1">
        <v>0.0</v>
      </c>
      <c r="BG827" s="1">
        <v>0.0</v>
      </c>
      <c r="BH827" s="1">
        <v>0.0</v>
      </c>
      <c r="BI827" s="1">
        <v>0.0</v>
      </c>
      <c r="BJ827" s="1">
        <v>0.0</v>
      </c>
      <c r="BP827" s="1">
        <v>0.271</v>
      </c>
      <c r="BQ827" s="1" t="s">
        <v>3273</v>
      </c>
      <c r="BV827" s="1">
        <v>1.1</v>
      </c>
      <c r="EQ827" s="9" t="s">
        <v>3282</v>
      </c>
      <c r="ER827" s="21">
        <v>46045.29944444444</v>
      </c>
    </row>
    <row r="828">
      <c r="A828" s="9" t="s">
        <v>3283</v>
      </c>
      <c r="B828" s="20" t="str">
        <f>IFERROR(__xludf.DUMMYFUNCTION("REGEXREPLACE(A828, ""^https?://[^/]+"", """")"),"/wp-content/uploads/2022/04/Unknown-copy-300x216.jpg")</f>
        <v>/wp-content/uploads/2022/04/Unknown-copy-300x216.jpg</v>
      </c>
      <c r="F828" s="1" t="s">
        <v>1004</v>
      </c>
      <c r="G828" s="1">
        <v>200.0</v>
      </c>
      <c r="H828" s="1" t="s">
        <v>966</v>
      </c>
      <c r="I828" s="1" t="s">
        <v>967</v>
      </c>
      <c r="L828" s="1">
        <v>0.0</v>
      </c>
      <c r="M828" s="1">
        <v>0.0</v>
      </c>
      <c r="O828" s="1">
        <v>0.0</v>
      </c>
      <c r="P828" s="1">
        <v>0.0</v>
      </c>
      <c r="R828" s="1">
        <v>0.0</v>
      </c>
      <c r="S828" s="1">
        <v>0.0</v>
      </c>
      <c r="U828" s="1">
        <v>0.0</v>
      </c>
      <c r="W828" s="1">
        <v>0.0</v>
      </c>
      <c r="Y828" s="1">
        <v>0.0</v>
      </c>
      <c r="AA828" s="1">
        <v>0.0</v>
      </c>
      <c r="AC828" s="1">
        <v>0.0</v>
      </c>
      <c r="AM828" s="1">
        <v>14919.0</v>
      </c>
      <c r="AN828" s="1">
        <v>14919.0</v>
      </c>
      <c r="AO828" s="1">
        <v>14919.0</v>
      </c>
      <c r="AP828" s="1">
        <v>5.715</v>
      </c>
      <c r="AR828" s="1">
        <v>0.0</v>
      </c>
      <c r="AW828" s="1">
        <v>0.0</v>
      </c>
      <c r="AX828" s="1">
        <v>2.0</v>
      </c>
      <c r="AY828" s="1">
        <v>4.0</v>
      </c>
      <c r="BA828" s="1">
        <v>0.0</v>
      </c>
      <c r="BB828" s="1">
        <v>0.0</v>
      </c>
      <c r="BC828" s="1">
        <v>0.0</v>
      </c>
      <c r="BD828" s="1">
        <v>0.0</v>
      </c>
      <c r="BE828" s="1">
        <v>0.0</v>
      </c>
      <c r="BF828" s="1">
        <v>0.0</v>
      </c>
      <c r="BG828" s="1">
        <v>0.0</v>
      </c>
      <c r="BH828" s="1">
        <v>0.0</v>
      </c>
      <c r="BI828" s="1">
        <v>0.0</v>
      </c>
      <c r="BJ828" s="1">
        <v>0.0</v>
      </c>
      <c r="BP828" s="1">
        <v>0.276</v>
      </c>
      <c r="BQ828" s="1" t="s">
        <v>3284</v>
      </c>
      <c r="BV828" s="1">
        <v>1.1</v>
      </c>
      <c r="EQ828" s="9" t="s">
        <v>3283</v>
      </c>
      <c r="ER828" s="21">
        <v>46045.29944444444</v>
      </c>
    </row>
    <row r="829">
      <c r="A829" s="9" t="s">
        <v>3285</v>
      </c>
      <c r="B829" s="20" t="str">
        <f>IFERROR(__xludf.DUMMYFUNCTION("REGEXREPLACE(A829, ""^https?://[^/]+"", """")"),"/wp-content/uploads/2022/04/image000000-2.jpg")</f>
        <v>/wp-content/uploads/2022/04/image000000-2.jpg</v>
      </c>
      <c r="F829" s="1" t="s">
        <v>1004</v>
      </c>
      <c r="G829" s="1">
        <v>200.0</v>
      </c>
      <c r="H829" s="1" t="s">
        <v>966</v>
      </c>
      <c r="I829" s="1" t="s">
        <v>967</v>
      </c>
      <c r="L829" s="1">
        <v>0.0</v>
      </c>
      <c r="M829" s="1">
        <v>0.0</v>
      </c>
      <c r="O829" s="1">
        <v>0.0</v>
      </c>
      <c r="P829" s="1">
        <v>0.0</v>
      </c>
      <c r="R829" s="1">
        <v>0.0</v>
      </c>
      <c r="S829" s="1">
        <v>0.0</v>
      </c>
      <c r="U829" s="1">
        <v>0.0</v>
      </c>
      <c r="W829" s="1">
        <v>0.0</v>
      </c>
      <c r="Y829" s="1">
        <v>0.0</v>
      </c>
      <c r="AA829" s="1">
        <v>0.0</v>
      </c>
      <c r="AC829" s="1">
        <v>0.0</v>
      </c>
      <c r="AM829" s="1">
        <v>36083.0</v>
      </c>
      <c r="AN829" s="1">
        <v>36083.0</v>
      </c>
      <c r="AO829" s="1">
        <v>36083.0</v>
      </c>
      <c r="AP829" s="1">
        <v>13.823</v>
      </c>
      <c r="AR829" s="1">
        <v>0.0</v>
      </c>
      <c r="AW829" s="1">
        <v>0.0</v>
      </c>
      <c r="AX829" s="1">
        <v>2.0</v>
      </c>
      <c r="AY829" s="1">
        <v>4.0</v>
      </c>
      <c r="AZ829" s="1">
        <v>1.0</v>
      </c>
      <c r="BA829" s="1">
        <v>1.0</v>
      </c>
      <c r="BB829" s="1">
        <v>1.0</v>
      </c>
      <c r="BC829" s="1">
        <v>0.0</v>
      </c>
      <c r="BD829" s="1">
        <v>0.13</v>
      </c>
      <c r="BE829" s="1">
        <v>0.0</v>
      </c>
      <c r="BF829" s="1">
        <v>0.0</v>
      </c>
      <c r="BG829" s="1">
        <v>0.0</v>
      </c>
      <c r="BH829" s="1">
        <v>0.0</v>
      </c>
      <c r="BI829" s="1">
        <v>0.0</v>
      </c>
      <c r="BJ829" s="1">
        <v>0.0</v>
      </c>
      <c r="BP829" s="1">
        <v>0.26</v>
      </c>
      <c r="BQ829" s="1" t="s">
        <v>3286</v>
      </c>
      <c r="BV829" s="1">
        <v>1.1</v>
      </c>
      <c r="EQ829" s="9" t="s">
        <v>3285</v>
      </c>
      <c r="ER829" s="21">
        <v>46045.29944444444</v>
      </c>
    </row>
    <row r="830">
      <c r="A830" s="9" t="s">
        <v>3287</v>
      </c>
      <c r="B830" s="20" t="str">
        <f>IFERROR(__xludf.DUMMYFUNCTION("REGEXREPLACE(A830, ""^https?://[^/]+"", """")"),"/wp-content/uploads/2024/06/IMG_2991-e1718821808388.jpg")</f>
        <v>/wp-content/uploads/2024/06/IMG_2991-e1718821808388.jpg</v>
      </c>
      <c r="F830" s="1" t="s">
        <v>1004</v>
      </c>
      <c r="G830" s="1">
        <v>200.0</v>
      </c>
      <c r="H830" s="1" t="s">
        <v>966</v>
      </c>
      <c r="I830" s="1" t="s">
        <v>967</v>
      </c>
      <c r="L830" s="1">
        <v>0.0</v>
      </c>
      <c r="M830" s="1">
        <v>0.0</v>
      </c>
      <c r="O830" s="1">
        <v>0.0</v>
      </c>
      <c r="P830" s="1">
        <v>0.0</v>
      </c>
      <c r="R830" s="1">
        <v>0.0</v>
      </c>
      <c r="S830" s="1">
        <v>0.0</v>
      </c>
      <c r="U830" s="1">
        <v>0.0</v>
      </c>
      <c r="W830" s="1">
        <v>0.0</v>
      </c>
      <c r="Y830" s="1">
        <v>0.0</v>
      </c>
      <c r="AA830" s="1">
        <v>0.0</v>
      </c>
      <c r="AC830" s="1">
        <v>0.0</v>
      </c>
      <c r="AM830" s="1">
        <v>66613.0</v>
      </c>
      <c r="AN830" s="1">
        <v>66613.0</v>
      </c>
      <c r="AO830" s="1">
        <v>66613.0</v>
      </c>
      <c r="AP830" s="1">
        <v>25.518</v>
      </c>
      <c r="AR830" s="1">
        <v>0.0</v>
      </c>
      <c r="AW830" s="1">
        <v>0.0</v>
      </c>
      <c r="AX830" s="1">
        <v>2.0</v>
      </c>
      <c r="AY830" s="1">
        <v>4.0</v>
      </c>
      <c r="BA830" s="1">
        <v>0.0</v>
      </c>
      <c r="BB830" s="1">
        <v>0.0</v>
      </c>
      <c r="BC830" s="1">
        <v>0.0</v>
      </c>
      <c r="BD830" s="1">
        <v>0.0</v>
      </c>
      <c r="BE830" s="1">
        <v>0.0</v>
      </c>
      <c r="BF830" s="1">
        <v>0.0</v>
      </c>
      <c r="BG830" s="1">
        <v>0.0</v>
      </c>
      <c r="BH830" s="1">
        <v>0.0</v>
      </c>
      <c r="BI830" s="1">
        <v>0.0</v>
      </c>
      <c r="BJ830" s="1">
        <v>0.0</v>
      </c>
      <c r="BP830" s="1">
        <v>0.271</v>
      </c>
      <c r="BQ830" s="1" t="s">
        <v>3288</v>
      </c>
      <c r="BV830" s="1">
        <v>1.1</v>
      </c>
      <c r="EQ830" s="9" t="s">
        <v>3287</v>
      </c>
      <c r="ER830" s="21">
        <v>46045.299467592595</v>
      </c>
    </row>
    <row r="831">
      <c r="A831" s="9" t="s">
        <v>3289</v>
      </c>
      <c r="B831" s="20" t="str">
        <f>IFERROR(__xludf.DUMMYFUNCTION("REGEXREPLACE(A831, ""^https?://[^/]+"", """")"),"/wp-content/plugins/elementor/assets/lib/jquery-numerator/jquery-numerator.min.js?ver=0.2.1")</f>
        <v>/wp-content/plugins/elementor/assets/lib/jquery-numerator/jquery-numerator.min.js?ver=0.2.1</v>
      </c>
      <c r="F831" s="1" t="s">
        <v>984</v>
      </c>
      <c r="G831" s="1">
        <v>200.0</v>
      </c>
      <c r="H831" s="1" t="s">
        <v>966</v>
      </c>
      <c r="I831" s="1" t="s">
        <v>967</v>
      </c>
      <c r="L831" s="1">
        <v>0.0</v>
      </c>
      <c r="M831" s="1">
        <v>0.0</v>
      </c>
      <c r="O831" s="1">
        <v>0.0</v>
      </c>
      <c r="P831" s="1">
        <v>0.0</v>
      </c>
      <c r="R831" s="1">
        <v>0.0</v>
      </c>
      <c r="S831" s="1">
        <v>0.0</v>
      </c>
      <c r="U831" s="1">
        <v>0.0</v>
      </c>
      <c r="W831" s="1">
        <v>0.0</v>
      </c>
      <c r="Y831" s="1">
        <v>0.0</v>
      </c>
      <c r="AA831" s="1">
        <v>0.0</v>
      </c>
      <c r="AC831" s="1">
        <v>0.0</v>
      </c>
      <c r="AM831" s="1">
        <v>740.0</v>
      </c>
      <c r="AN831" s="1">
        <v>740.0</v>
      </c>
      <c r="AO831" s="1">
        <v>740.0</v>
      </c>
      <c r="AP831" s="1">
        <v>0.283</v>
      </c>
      <c r="AR831" s="1">
        <v>0.0</v>
      </c>
      <c r="AW831" s="1">
        <v>0.0</v>
      </c>
      <c r="AX831" s="1">
        <v>2.0</v>
      </c>
      <c r="AY831" s="1">
        <v>6.0</v>
      </c>
      <c r="BA831" s="1">
        <v>0.0</v>
      </c>
      <c r="BB831" s="1">
        <v>0.0</v>
      </c>
      <c r="BC831" s="1">
        <v>0.0</v>
      </c>
      <c r="BD831" s="1">
        <v>0.0</v>
      </c>
      <c r="BE831" s="1">
        <v>0.0</v>
      </c>
      <c r="BF831" s="1">
        <v>0.0</v>
      </c>
      <c r="BG831" s="1">
        <v>0.0</v>
      </c>
      <c r="BH831" s="1">
        <v>0.0</v>
      </c>
      <c r="BI831" s="1">
        <v>0.0</v>
      </c>
      <c r="BJ831" s="1">
        <v>0.0</v>
      </c>
      <c r="BP831" s="1">
        <v>0.259</v>
      </c>
      <c r="BQ831" s="1" t="s">
        <v>1017</v>
      </c>
      <c r="BV831" s="1">
        <v>1.1</v>
      </c>
      <c r="EQ831" s="9" t="s">
        <v>3289</v>
      </c>
      <c r="ER831" s="21">
        <v>46045.299467592595</v>
      </c>
    </row>
    <row r="832">
      <c r="A832" s="9" t="s">
        <v>3290</v>
      </c>
      <c r="B832" s="20" t="str">
        <f>IFERROR(__xludf.DUMMYFUNCTION("REGEXREPLACE(A832, ""^https?://[^/]+"", """")"),"/wp-content/uploads/2022/04/IMG_1030-300x225.jpg")</f>
        <v>/wp-content/uploads/2022/04/IMG_1030-300x225.jpg</v>
      </c>
      <c r="F832" s="1" t="s">
        <v>1004</v>
      </c>
      <c r="G832" s="1">
        <v>200.0</v>
      </c>
      <c r="H832" s="1" t="s">
        <v>966</v>
      </c>
      <c r="I832" s="1" t="s">
        <v>967</v>
      </c>
      <c r="L832" s="1">
        <v>0.0</v>
      </c>
      <c r="M832" s="1">
        <v>0.0</v>
      </c>
      <c r="O832" s="1">
        <v>0.0</v>
      </c>
      <c r="P832" s="1">
        <v>0.0</v>
      </c>
      <c r="R832" s="1">
        <v>0.0</v>
      </c>
      <c r="S832" s="1">
        <v>0.0</v>
      </c>
      <c r="U832" s="1">
        <v>0.0</v>
      </c>
      <c r="W832" s="1">
        <v>0.0</v>
      </c>
      <c r="Y832" s="1">
        <v>0.0</v>
      </c>
      <c r="AA832" s="1">
        <v>0.0</v>
      </c>
      <c r="AC832" s="1">
        <v>0.0</v>
      </c>
      <c r="AM832" s="1">
        <v>14392.0</v>
      </c>
      <c r="AN832" s="1">
        <v>14392.0</v>
      </c>
      <c r="AO832" s="1">
        <v>14392.0</v>
      </c>
      <c r="AP832" s="1">
        <v>5.513</v>
      </c>
      <c r="AR832" s="1">
        <v>0.0</v>
      </c>
      <c r="AW832" s="1">
        <v>0.0</v>
      </c>
      <c r="AX832" s="1">
        <v>2.0</v>
      </c>
      <c r="AY832" s="1">
        <v>4.0</v>
      </c>
      <c r="BA832" s="1">
        <v>0.0</v>
      </c>
      <c r="BB832" s="1">
        <v>0.0</v>
      </c>
      <c r="BC832" s="1">
        <v>0.0</v>
      </c>
      <c r="BD832" s="1">
        <v>0.0</v>
      </c>
      <c r="BE832" s="1">
        <v>0.0</v>
      </c>
      <c r="BF832" s="1">
        <v>0.0</v>
      </c>
      <c r="BG832" s="1">
        <v>0.0</v>
      </c>
      <c r="BH832" s="1">
        <v>0.0</v>
      </c>
      <c r="BI832" s="1">
        <v>0.0</v>
      </c>
      <c r="BJ832" s="1">
        <v>0.0</v>
      </c>
      <c r="BP832" s="1">
        <v>0.259</v>
      </c>
      <c r="BQ832" s="1" t="s">
        <v>3291</v>
      </c>
      <c r="BV832" s="1">
        <v>1.1</v>
      </c>
      <c r="EQ832" s="9" t="s">
        <v>3290</v>
      </c>
      <c r="ER832" s="21">
        <v>46045.299467592595</v>
      </c>
    </row>
    <row r="833">
      <c r="A833" s="9" t="s">
        <v>3292</v>
      </c>
      <c r="B833" s="20" t="str">
        <f>IFERROR(__xludf.DUMMYFUNCTION("REGEXREPLACE(A833, ""^https?://[^/]+"", """")"),"/wp-content/plugins/elementor/assets/css/widget-counter.min.css?ver=3.34.0")</f>
        <v>/wp-content/plugins/elementor/assets/css/widget-counter.min.css?ver=3.34.0</v>
      </c>
      <c r="F833" s="1" t="s">
        <v>1016</v>
      </c>
      <c r="G833" s="1">
        <v>200.0</v>
      </c>
      <c r="H833" s="1" t="s">
        <v>966</v>
      </c>
      <c r="I833" s="1" t="s">
        <v>967</v>
      </c>
      <c r="L833" s="1">
        <v>0.0</v>
      </c>
      <c r="M833" s="1">
        <v>0.0</v>
      </c>
      <c r="O833" s="1">
        <v>0.0</v>
      </c>
      <c r="P833" s="1">
        <v>0.0</v>
      </c>
      <c r="R833" s="1">
        <v>0.0</v>
      </c>
      <c r="S833" s="1">
        <v>0.0</v>
      </c>
      <c r="U833" s="1">
        <v>0.0</v>
      </c>
      <c r="W833" s="1">
        <v>0.0</v>
      </c>
      <c r="Y833" s="1">
        <v>0.0</v>
      </c>
      <c r="AA833" s="1">
        <v>0.0</v>
      </c>
      <c r="AC833" s="1">
        <v>0.0</v>
      </c>
      <c r="AM833" s="1">
        <v>276.0</v>
      </c>
      <c r="AN833" s="1">
        <v>276.0</v>
      </c>
      <c r="AO833" s="1">
        <v>276.0</v>
      </c>
      <c r="AP833" s="1">
        <v>0.106</v>
      </c>
      <c r="AR833" s="1">
        <v>0.0</v>
      </c>
      <c r="AW833" s="1">
        <v>0.0</v>
      </c>
      <c r="AX833" s="1">
        <v>2.0</v>
      </c>
      <c r="AY833" s="1">
        <v>5.0</v>
      </c>
      <c r="BA833" s="1">
        <v>0.0</v>
      </c>
      <c r="BB833" s="1">
        <v>0.0</v>
      </c>
      <c r="BC833" s="1">
        <v>0.0</v>
      </c>
      <c r="BD833" s="1">
        <v>0.0</v>
      </c>
      <c r="BE833" s="1">
        <v>0.0</v>
      </c>
      <c r="BF833" s="1">
        <v>0.0</v>
      </c>
      <c r="BG833" s="1">
        <v>0.0</v>
      </c>
      <c r="BH833" s="1">
        <v>0.0</v>
      </c>
      <c r="BI833" s="1">
        <v>0.0</v>
      </c>
      <c r="BJ833" s="1">
        <v>0.0</v>
      </c>
      <c r="BP833" s="1">
        <v>0.262</v>
      </c>
      <c r="BQ833" s="1" t="s">
        <v>1017</v>
      </c>
      <c r="BV833" s="1">
        <v>1.1</v>
      </c>
      <c r="EQ833" s="9" t="s">
        <v>3292</v>
      </c>
      <c r="ER833" s="21">
        <v>46045.29950231482</v>
      </c>
    </row>
    <row r="834">
      <c r="A834" s="9" t="s">
        <v>3293</v>
      </c>
      <c r="B834" s="20" t="str">
        <f>IFERROR(__xludf.DUMMYFUNCTION("REGEXREPLACE(A834, ""^https?://[^/]+"", """")"),"/wp-content/plugins/elementor-pro/assets/css/widget-slides.min.css?ver=3.34.0")</f>
        <v>/wp-content/plugins/elementor-pro/assets/css/widget-slides.min.css?ver=3.34.0</v>
      </c>
      <c r="F834" s="1" t="s">
        <v>1016</v>
      </c>
      <c r="G834" s="1">
        <v>200.0</v>
      </c>
      <c r="H834" s="1" t="s">
        <v>966</v>
      </c>
      <c r="I834" s="1" t="s">
        <v>967</v>
      </c>
      <c r="L834" s="1">
        <v>0.0</v>
      </c>
      <c r="M834" s="1">
        <v>0.0</v>
      </c>
      <c r="O834" s="1">
        <v>0.0</v>
      </c>
      <c r="P834" s="1">
        <v>0.0</v>
      </c>
      <c r="R834" s="1">
        <v>0.0</v>
      </c>
      <c r="S834" s="1">
        <v>0.0</v>
      </c>
      <c r="U834" s="1">
        <v>0.0</v>
      </c>
      <c r="W834" s="1">
        <v>0.0</v>
      </c>
      <c r="Y834" s="1">
        <v>0.0</v>
      </c>
      <c r="AA834" s="1">
        <v>0.0</v>
      </c>
      <c r="AC834" s="1">
        <v>0.0</v>
      </c>
      <c r="AM834" s="1">
        <v>623.0</v>
      </c>
      <c r="AN834" s="1">
        <v>623.0</v>
      </c>
      <c r="AO834" s="1">
        <v>623.0</v>
      </c>
      <c r="AP834" s="1">
        <v>0.239</v>
      </c>
      <c r="AR834" s="1">
        <v>0.0</v>
      </c>
      <c r="AW834" s="1">
        <v>0.0</v>
      </c>
      <c r="AX834" s="1">
        <v>2.0</v>
      </c>
      <c r="AY834" s="1">
        <v>5.0</v>
      </c>
      <c r="BA834" s="1">
        <v>0.0</v>
      </c>
      <c r="BB834" s="1">
        <v>0.0</v>
      </c>
      <c r="BC834" s="1">
        <v>0.0</v>
      </c>
      <c r="BD834" s="1">
        <v>0.0</v>
      </c>
      <c r="BE834" s="1">
        <v>0.0</v>
      </c>
      <c r="BF834" s="1">
        <v>0.0</v>
      </c>
      <c r="BG834" s="1">
        <v>0.0</v>
      </c>
      <c r="BH834" s="1">
        <v>0.0</v>
      </c>
      <c r="BI834" s="1">
        <v>0.0</v>
      </c>
      <c r="BJ834" s="1">
        <v>0.0</v>
      </c>
      <c r="BP834" s="1">
        <v>0.258</v>
      </c>
      <c r="BQ834" s="1" t="s">
        <v>1041</v>
      </c>
      <c r="BV834" s="1">
        <v>1.1</v>
      </c>
      <c r="EQ834" s="9" t="s">
        <v>3293</v>
      </c>
      <c r="ER834" s="21">
        <v>46045.29950231482</v>
      </c>
    </row>
    <row r="835">
      <c r="A835" s="9" t="s">
        <v>3294</v>
      </c>
      <c r="B835" s="20" t="str">
        <f>IFERROR(__xludf.DUMMYFUNCTION("REGEXREPLACE(A835, ""^https?://[^/]+"", """")"),"/wp-content/uploads/2022/04/Day-of-Giving-Solve-Kaigh-2-249x300.jpg")</f>
        <v>/wp-content/uploads/2022/04/Day-of-Giving-Solve-Kaigh-2-249x300.jpg</v>
      </c>
      <c r="F835" s="1" t="s">
        <v>1004</v>
      </c>
      <c r="G835" s="1">
        <v>200.0</v>
      </c>
      <c r="H835" s="1" t="s">
        <v>966</v>
      </c>
      <c r="I835" s="1" t="s">
        <v>967</v>
      </c>
      <c r="L835" s="1">
        <v>0.0</v>
      </c>
      <c r="M835" s="1">
        <v>0.0</v>
      </c>
      <c r="O835" s="1">
        <v>0.0</v>
      </c>
      <c r="P835" s="1">
        <v>0.0</v>
      </c>
      <c r="R835" s="1">
        <v>0.0</v>
      </c>
      <c r="S835" s="1">
        <v>0.0</v>
      </c>
      <c r="U835" s="1">
        <v>0.0</v>
      </c>
      <c r="W835" s="1">
        <v>0.0</v>
      </c>
      <c r="Y835" s="1">
        <v>0.0</v>
      </c>
      <c r="AA835" s="1">
        <v>0.0</v>
      </c>
      <c r="AC835" s="1">
        <v>0.0</v>
      </c>
      <c r="AM835" s="1">
        <v>20402.0</v>
      </c>
      <c r="AN835" s="1">
        <v>20402.0</v>
      </c>
      <c r="AO835" s="1">
        <v>20402.0</v>
      </c>
      <c r="AP835" s="1">
        <v>7.816</v>
      </c>
      <c r="AR835" s="1">
        <v>0.0</v>
      </c>
      <c r="AW835" s="1">
        <v>0.0</v>
      </c>
      <c r="AX835" s="1">
        <v>2.0</v>
      </c>
      <c r="AY835" s="1">
        <v>4.0</v>
      </c>
      <c r="BA835" s="1">
        <v>0.0</v>
      </c>
      <c r="BB835" s="1">
        <v>0.0</v>
      </c>
      <c r="BC835" s="1">
        <v>0.0</v>
      </c>
      <c r="BD835" s="1">
        <v>0.0</v>
      </c>
      <c r="BE835" s="1">
        <v>0.0</v>
      </c>
      <c r="BF835" s="1">
        <v>0.0</v>
      </c>
      <c r="BG835" s="1">
        <v>0.0</v>
      </c>
      <c r="BH835" s="1">
        <v>0.0</v>
      </c>
      <c r="BI835" s="1">
        <v>0.0</v>
      </c>
      <c r="BJ835" s="1">
        <v>0.0</v>
      </c>
      <c r="BP835" s="1">
        <v>0.279</v>
      </c>
      <c r="BQ835" s="1" t="s">
        <v>3295</v>
      </c>
      <c r="BV835" s="1">
        <v>1.1</v>
      </c>
      <c r="EQ835" s="9" t="s">
        <v>3294</v>
      </c>
      <c r="ER835" s="21">
        <v>46045.29951388889</v>
      </c>
    </row>
    <row r="836">
      <c r="A836" s="9" t="s">
        <v>3296</v>
      </c>
      <c r="B836" s="20" t="str">
        <f>IFERROR(__xludf.DUMMYFUNCTION("REGEXREPLACE(A836, ""^https?://[^/]+"", """")"),"/wp-content/themes/salesxceleratione/assets/css/style.css?ver=1769123328")</f>
        <v>/wp-content/themes/salesxceleratione/assets/css/style.css?ver=1769123328</v>
      </c>
      <c r="F836" s="1" t="s">
        <v>1016</v>
      </c>
      <c r="G836" s="1">
        <v>200.0</v>
      </c>
      <c r="H836" s="1" t="s">
        <v>966</v>
      </c>
      <c r="I836" s="1" t="s">
        <v>967</v>
      </c>
      <c r="L836" s="1">
        <v>0.0</v>
      </c>
      <c r="M836" s="1">
        <v>0.0</v>
      </c>
      <c r="O836" s="1">
        <v>0.0</v>
      </c>
      <c r="P836" s="1">
        <v>0.0</v>
      </c>
      <c r="R836" s="1">
        <v>0.0</v>
      </c>
      <c r="S836" s="1">
        <v>0.0</v>
      </c>
      <c r="U836" s="1">
        <v>0.0</v>
      </c>
      <c r="W836" s="1">
        <v>0.0</v>
      </c>
      <c r="Y836" s="1">
        <v>0.0</v>
      </c>
      <c r="AA836" s="1">
        <v>0.0</v>
      </c>
      <c r="AC836" s="1">
        <v>0.0</v>
      </c>
      <c r="AM836" s="1">
        <v>17704.0</v>
      </c>
      <c r="AN836" s="1">
        <v>17704.0</v>
      </c>
      <c r="AO836" s="1">
        <v>17704.0</v>
      </c>
      <c r="AP836" s="1">
        <v>6.782</v>
      </c>
      <c r="AR836" s="1">
        <v>0.0</v>
      </c>
      <c r="AW836" s="1">
        <v>0.0</v>
      </c>
      <c r="AX836" s="1">
        <v>2.0</v>
      </c>
      <c r="AY836" s="1">
        <v>5.0</v>
      </c>
      <c r="BA836" s="1">
        <v>0.0</v>
      </c>
      <c r="BB836" s="1">
        <v>0.0</v>
      </c>
      <c r="BC836" s="1">
        <v>0.0</v>
      </c>
      <c r="BD836" s="1">
        <v>0.0</v>
      </c>
      <c r="BE836" s="1">
        <v>0.0</v>
      </c>
      <c r="BF836" s="1">
        <v>0.0</v>
      </c>
      <c r="BG836" s="1">
        <v>0.0</v>
      </c>
      <c r="BH836" s="1">
        <v>0.0</v>
      </c>
      <c r="BI836" s="1">
        <v>0.0</v>
      </c>
      <c r="BJ836" s="1">
        <v>0.0</v>
      </c>
      <c r="BP836" s="1">
        <v>0.267</v>
      </c>
      <c r="BQ836" s="1" t="s">
        <v>3297</v>
      </c>
      <c r="BV836" s="1">
        <v>1.1</v>
      </c>
      <c r="EQ836" s="9" t="s">
        <v>3296</v>
      </c>
      <c r="ER836" s="21">
        <v>46045.299525462964</v>
      </c>
    </row>
    <row r="837">
      <c r="A837" s="9" t="s">
        <v>3298</v>
      </c>
      <c r="B837" s="20" t="str">
        <f>IFERROR(__xludf.DUMMYFUNCTION("REGEXREPLACE(A837, ""^https?://[^/]+"", """")"),"/wp-content/plugins/elementor/assets/css/widget-image-gallery.min.css?ver=3.34.0")</f>
        <v>/wp-content/plugins/elementor/assets/css/widget-image-gallery.min.css?ver=3.34.0</v>
      </c>
      <c r="F837" s="1" t="s">
        <v>1016</v>
      </c>
      <c r="G837" s="1">
        <v>200.0</v>
      </c>
      <c r="H837" s="1" t="s">
        <v>966</v>
      </c>
      <c r="I837" s="1" t="s">
        <v>967</v>
      </c>
      <c r="L837" s="1">
        <v>0.0</v>
      </c>
      <c r="M837" s="1">
        <v>0.0</v>
      </c>
      <c r="O837" s="1">
        <v>0.0</v>
      </c>
      <c r="P837" s="1">
        <v>0.0</v>
      </c>
      <c r="R837" s="1">
        <v>0.0</v>
      </c>
      <c r="S837" s="1">
        <v>0.0</v>
      </c>
      <c r="U837" s="1">
        <v>0.0</v>
      </c>
      <c r="W837" s="1">
        <v>0.0</v>
      </c>
      <c r="Y837" s="1">
        <v>0.0</v>
      </c>
      <c r="AA837" s="1">
        <v>0.0</v>
      </c>
      <c r="AC837" s="1">
        <v>0.0</v>
      </c>
      <c r="AM837" s="1">
        <v>358.0</v>
      </c>
      <c r="AN837" s="1">
        <v>358.0</v>
      </c>
      <c r="AO837" s="1">
        <v>358.0</v>
      </c>
      <c r="AP837" s="1">
        <v>0.137</v>
      </c>
      <c r="AR837" s="1">
        <v>0.0</v>
      </c>
      <c r="AW837" s="1">
        <v>0.0</v>
      </c>
      <c r="AX837" s="1">
        <v>2.0</v>
      </c>
      <c r="AY837" s="1">
        <v>5.0</v>
      </c>
      <c r="BA837" s="1">
        <v>0.0</v>
      </c>
      <c r="BB837" s="1">
        <v>0.0</v>
      </c>
      <c r="BC837" s="1">
        <v>0.0</v>
      </c>
      <c r="BD837" s="1">
        <v>0.0</v>
      </c>
      <c r="BE837" s="1">
        <v>0.0</v>
      </c>
      <c r="BF837" s="1">
        <v>0.0</v>
      </c>
      <c r="BG837" s="1">
        <v>0.0</v>
      </c>
      <c r="BH837" s="1">
        <v>0.0</v>
      </c>
      <c r="BI837" s="1">
        <v>0.0</v>
      </c>
      <c r="BJ837" s="1">
        <v>0.0</v>
      </c>
      <c r="BP837" s="1">
        <v>0.254</v>
      </c>
      <c r="BQ837" s="1" t="s">
        <v>1017</v>
      </c>
      <c r="BV837" s="1">
        <v>1.1</v>
      </c>
      <c r="EQ837" s="9" t="s">
        <v>3298</v>
      </c>
      <c r="ER837" s="21">
        <v>46045.29953703703</v>
      </c>
    </row>
    <row r="838">
      <c r="A838" s="9" t="s">
        <v>3299</v>
      </c>
      <c r="B838" s="20" t="str">
        <f>IFERROR(__xludf.DUMMYFUNCTION("REGEXREPLACE(A838, ""^https?://[^/]+"", """")"),"/wp-content/uploads/2022/04/558d6857-33d4-46f1-9239-c2862b95f7d0-225x300.jpg")</f>
        <v>/wp-content/uploads/2022/04/558d6857-33d4-46f1-9239-c2862b95f7d0-225x300.jpg</v>
      </c>
      <c r="F838" s="1" t="s">
        <v>1004</v>
      </c>
      <c r="G838" s="1">
        <v>200.0</v>
      </c>
      <c r="H838" s="1" t="s">
        <v>966</v>
      </c>
      <c r="I838" s="1" t="s">
        <v>967</v>
      </c>
      <c r="L838" s="1">
        <v>0.0</v>
      </c>
      <c r="M838" s="1">
        <v>0.0</v>
      </c>
      <c r="O838" s="1">
        <v>0.0</v>
      </c>
      <c r="P838" s="1">
        <v>0.0</v>
      </c>
      <c r="R838" s="1">
        <v>0.0</v>
      </c>
      <c r="S838" s="1">
        <v>0.0</v>
      </c>
      <c r="U838" s="1">
        <v>0.0</v>
      </c>
      <c r="W838" s="1">
        <v>0.0</v>
      </c>
      <c r="Y838" s="1">
        <v>0.0</v>
      </c>
      <c r="AA838" s="1">
        <v>0.0</v>
      </c>
      <c r="AC838" s="1">
        <v>0.0</v>
      </c>
      <c r="AM838" s="1">
        <v>18371.0</v>
      </c>
      <c r="AN838" s="1">
        <v>18371.0</v>
      </c>
      <c r="AO838" s="1">
        <v>18371.0</v>
      </c>
      <c r="AP838" s="1">
        <v>7.038</v>
      </c>
      <c r="AR838" s="1">
        <v>0.0</v>
      </c>
      <c r="AW838" s="1">
        <v>0.0</v>
      </c>
      <c r="AX838" s="1">
        <v>2.0</v>
      </c>
      <c r="AY838" s="1">
        <v>4.0</v>
      </c>
      <c r="BA838" s="1">
        <v>0.0</v>
      </c>
      <c r="BB838" s="1">
        <v>0.0</v>
      </c>
      <c r="BC838" s="1">
        <v>0.0</v>
      </c>
      <c r="BD838" s="1">
        <v>0.0</v>
      </c>
      <c r="BE838" s="1">
        <v>0.0</v>
      </c>
      <c r="BF838" s="1">
        <v>0.0</v>
      </c>
      <c r="BG838" s="1">
        <v>0.0</v>
      </c>
      <c r="BH838" s="1">
        <v>0.0</v>
      </c>
      <c r="BI838" s="1">
        <v>0.0</v>
      </c>
      <c r="BJ838" s="1">
        <v>0.0</v>
      </c>
      <c r="BP838" s="1">
        <v>0.273</v>
      </c>
      <c r="BQ838" s="1" t="s">
        <v>3267</v>
      </c>
      <c r="BV838" s="1">
        <v>1.1</v>
      </c>
      <c r="EQ838" s="9" t="s">
        <v>3299</v>
      </c>
      <c r="ER838" s="21">
        <v>46045.29958333333</v>
      </c>
    </row>
    <row r="839">
      <c r="A839" s="9" t="s">
        <v>3300</v>
      </c>
      <c r="B839" s="20" t="str">
        <f>IFERROR(__xludf.DUMMYFUNCTION("REGEXREPLACE(A839, ""^https?://[^/]+"", """")"),"/wp-content/uploads/2022/04/Unknown-1.jpeg")</f>
        <v>/wp-content/uploads/2022/04/Unknown-1.jpeg</v>
      </c>
      <c r="F839" s="1" t="s">
        <v>1004</v>
      </c>
      <c r="G839" s="1">
        <v>200.0</v>
      </c>
      <c r="H839" s="1" t="s">
        <v>966</v>
      </c>
      <c r="I839" s="1" t="s">
        <v>967</v>
      </c>
      <c r="L839" s="1">
        <v>0.0</v>
      </c>
      <c r="M839" s="1">
        <v>0.0</v>
      </c>
      <c r="O839" s="1">
        <v>0.0</v>
      </c>
      <c r="P839" s="1">
        <v>0.0</v>
      </c>
      <c r="R839" s="1">
        <v>0.0</v>
      </c>
      <c r="S839" s="1">
        <v>0.0</v>
      </c>
      <c r="U839" s="1">
        <v>0.0</v>
      </c>
      <c r="W839" s="1">
        <v>0.0</v>
      </c>
      <c r="Y839" s="1">
        <v>0.0</v>
      </c>
      <c r="AA839" s="1">
        <v>0.0</v>
      </c>
      <c r="AC839" s="1">
        <v>0.0</v>
      </c>
      <c r="AM839" s="1">
        <v>589196.0</v>
      </c>
      <c r="AN839" s="1">
        <v>589196.0</v>
      </c>
      <c r="AO839" s="1">
        <v>589196.0</v>
      </c>
      <c r="AP839" s="1">
        <v>225.71</v>
      </c>
      <c r="AR839" s="1">
        <v>0.0</v>
      </c>
      <c r="AW839" s="1">
        <v>0.0</v>
      </c>
      <c r="AX839" s="1">
        <v>2.0</v>
      </c>
      <c r="AY839" s="1">
        <v>4.0</v>
      </c>
      <c r="AZ839" s="1">
        <v>1.0</v>
      </c>
      <c r="BA839" s="1">
        <v>1.0</v>
      </c>
      <c r="BB839" s="1">
        <v>1.0</v>
      </c>
      <c r="BC839" s="1">
        <v>0.0</v>
      </c>
      <c r="BD839" s="1">
        <v>0.13</v>
      </c>
      <c r="BE839" s="1">
        <v>0.0</v>
      </c>
      <c r="BF839" s="1">
        <v>0.0</v>
      </c>
      <c r="BG839" s="1">
        <v>0.0</v>
      </c>
      <c r="BH839" s="1">
        <v>0.0</v>
      </c>
      <c r="BI839" s="1">
        <v>0.0</v>
      </c>
      <c r="BJ839" s="1">
        <v>0.0</v>
      </c>
      <c r="BP839" s="1">
        <v>0.279</v>
      </c>
      <c r="BQ839" s="1" t="s">
        <v>3301</v>
      </c>
      <c r="BV839" s="1">
        <v>1.1</v>
      </c>
      <c r="EQ839" s="9" t="s">
        <v>3300</v>
      </c>
      <c r="ER839" s="21">
        <v>46045.29958333333</v>
      </c>
    </row>
    <row r="840">
      <c r="A840" s="9" t="s">
        <v>3302</v>
      </c>
      <c r="B840" s="20" t="str">
        <f>IFERROR(__xludf.DUMMYFUNCTION("REGEXREPLACE(A840, ""^https?://[^/]+"", """")"),"/wp-content/uploads/2022/04/20220419_115334-1024x545.jpg")</f>
        <v>/wp-content/uploads/2022/04/20220419_115334-1024x545.jpg</v>
      </c>
      <c r="F840" s="1" t="s">
        <v>1004</v>
      </c>
      <c r="G840" s="1">
        <v>200.0</v>
      </c>
      <c r="H840" s="1" t="s">
        <v>966</v>
      </c>
      <c r="I840" s="1" t="s">
        <v>967</v>
      </c>
      <c r="L840" s="1">
        <v>0.0</v>
      </c>
      <c r="M840" s="1">
        <v>0.0</v>
      </c>
      <c r="O840" s="1">
        <v>0.0</v>
      </c>
      <c r="P840" s="1">
        <v>0.0</v>
      </c>
      <c r="R840" s="1">
        <v>0.0</v>
      </c>
      <c r="S840" s="1">
        <v>0.0</v>
      </c>
      <c r="U840" s="1">
        <v>0.0</v>
      </c>
      <c r="W840" s="1">
        <v>0.0</v>
      </c>
      <c r="Y840" s="1">
        <v>0.0</v>
      </c>
      <c r="AA840" s="1">
        <v>0.0</v>
      </c>
      <c r="AC840" s="1">
        <v>0.0</v>
      </c>
      <c r="AM840" s="1">
        <v>111421.0</v>
      </c>
      <c r="AN840" s="1">
        <v>111421.0</v>
      </c>
      <c r="AO840" s="1">
        <v>111421.0</v>
      </c>
      <c r="AP840" s="1">
        <v>42.683</v>
      </c>
      <c r="AR840" s="1">
        <v>0.0</v>
      </c>
      <c r="AW840" s="1">
        <v>0.0</v>
      </c>
      <c r="AX840" s="1">
        <v>2.0</v>
      </c>
      <c r="AY840" s="1">
        <v>4.0</v>
      </c>
      <c r="BA840" s="1">
        <v>0.0</v>
      </c>
      <c r="BB840" s="1">
        <v>0.0</v>
      </c>
      <c r="BC840" s="1">
        <v>0.0</v>
      </c>
      <c r="BD840" s="1">
        <v>0.0</v>
      </c>
      <c r="BE840" s="1">
        <v>0.0</v>
      </c>
      <c r="BF840" s="1">
        <v>0.0</v>
      </c>
      <c r="BG840" s="1">
        <v>0.0</v>
      </c>
      <c r="BH840" s="1">
        <v>0.0</v>
      </c>
      <c r="BI840" s="1">
        <v>0.0</v>
      </c>
      <c r="BJ840" s="1">
        <v>0.0</v>
      </c>
      <c r="BP840" s="1">
        <v>0.331</v>
      </c>
      <c r="BQ840" s="1" t="s">
        <v>3303</v>
      </c>
      <c r="BV840" s="1">
        <v>1.1</v>
      </c>
      <c r="EQ840" s="9" t="s">
        <v>3302</v>
      </c>
      <c r="ER840" s="21">
        <v>46045.29958333333</v>
      </c>
    </row>
    <row r="841">
      <c r="A841" s="9" t="s">
        <v>3304</v>
      </c>
      <c r="B841" s="20" t="str">
        <f>IFERROR(__xludf.DUMMYFUNCTION("REGEXREPLACE(A841, ""^https?://[^/]+"", """")"),"/wp-content/uploads/2022/04/IMG_1030.jpg")</f>
        <v>/wp-content/uploads/2022/04/IMG_1030.jpg</v>
      </c>
      <c r="F841" s="1" t="s">
        <v>1004</v>
      </c>
      <c r="G841" s="1">
        <v>200.0</v>
      </c>
      <c r="H841" s="1" t="s">
        <v>966</v>
      </c>
      <c r="I841" s="1" t="s">
        <v>967</v>
      </c>
      <c r="L841" s="1">
        <v>0.0</v>
      </c>
      <c r="M841" s="1">
        <v>0.0</v>
      </c>
      <c r="O841" s="1">
        <v>0.0</v>
      </c>
      <c r="P841" s="1">
        <v>0.0</v>
      </c>
      <c r="R841" s="1">
        <v>0.0</v>
      </c>
      <c r="S841" s="1">
        <v>0.0</v>
      </c>
      <c r="U841" s="1">
        <v>0.0</v>
      </c>
      <c r="W841" s="1">
        <v>0.0</v>
      </c>
      <c r="Y841" s="1">
        <v>0.0</v>
      </c>
      <c r="AA841" s="1">
        <v>0.0</v>
      </c>
      <c r="AC841" s="1">
        <v>0.0</v>
      </c>
      <c r="AM841" s="1">
        <v>295932.0</v>
      </c>
      <c r="AN841" s="1">
        <v>295932.0</v>
      </c>
      <c r="AO841" s="1">
        <v>295932.0</v>
      </c>
      <c r="AP841" s="1">
        <v>113.366</v>
      </c>
      <c r="AR841" s="1">
        <v>0.0</v>
      </c>
      <c r="AW841" s="1">
        <v>0.0</v>
      </c>
      <c r="AX841" s="1">
        <v>2.0</v>
      </c>
      <c r="AY841" s="1">
        <v>4.0</v>
      </c>
      <c r="AZ841" s="1">
        <v>1.0</v>
      </c>
      <c r="BA841" s="1">
        <v>1.0</v>
      </c>
      <c r="BB841" s="1">
        <v>1.0</v>
      </c>
      <c r="BC841" s="1">
        <v>0.0</v>
      </c>
      <c r="BD841" s="1">
        <v>0.13</v>
      </c>
      <c r="BE841" s="1">
        <v>0.0</v>
      </c>
      <c r="BF841" s="1">
        <v>0.0</v>
      </c>
      <c r="BG841" s="1">
        <v>0.0</v>
      </c>
      <c r="BH841" s="1">
        <v>0.0</v>
      </c>
      <c r="BI841" s="1">
        <v>0.0</v>
      </c>
      <c r="BJ841" s="1">
        <v>0.0</v>
      </c>
      <c r="BP841" s="1">
        <v>0.279</v>
      </c>
      <c r="BQ841" s="1" t="s">
        <v>3305</v>
      </c>
      <c r="BV841" s="1">
        <v>1.1</v>
      </c>
      <c r="EQ841" s="9" t="s">
        <v>3304</v>
      </c>
      <c r="ER841" s="21">
        <v>46045.29958333333</v>
      </c>
    </row>
    <row r="842">
      <c r="A842" s="9" t="s">
        <v>3306</v>
      </c>
      <c r="B842" s="20" t="str">
        <f>IFERROR(__xludf.DUMMYFUNCTION("REGEXREPLACE(A842, ""^https?://[^/]+"", """")"),"/wp-content/uploads/2022/04/Unknown-copy.jpg")</f>
        <v>/wp-content/uploads/2022/04/Unknown-copy.jpg</v>
      </c>
      <c r="F842" s="1" t="s">
        <v>1004</v>
      </c>
      <c r="G842" s="1">
        <v>200.0</v>
      </c>
      <c r="H842" s="1" t="s">
        <v>966</v>
      </c>
      <c r="I842" s="1" t="s">
        <v>967</v>
      </c>
      <c r="L842" s="1">
        <v>0.0</v>
      </c>
      <c r="M842" s="1">
        <v>0.0</v>
      </c>
      <c r="O842" s="1">
        <v>0.0</v>
      </c>
      <c r="P842" s="1">
        <v>0.0</v>
      </c>
      <c r="R842" s="1">
        <v>0.0</v>
      </c>
      <c r="S842" s="1">
        <v>0.0</v>
      </c>
      <c r="U842" s="1">
        <v>0.0</v>
      </c>
      <c r="W842" s="1">
        <v>0.0</v>
      </c>
      <c r="Y842" s="1">
        <v>0.0</v>
      </c>
      <c r="AA842" s="1">
        <v>0.0</v>
      </c>
      <c r="AC842" s="1">
        <v>0.0</v>
      </c>
      <c r="AM842" s="1">
        <v>119662.0</v>
      </c>
      <c r="AN842" s="1">
        <v>119662.0</v>
      </c>
      <c r="AO842" s="1">
        <v>119662.0</v>
      </c>
      <c r="AP842" s="1">
        <v>45.84</v>
      </c>
      <c r="AR842" s="1">
        <v>0.0</v>
      </c>
      <c r="AW842" s="1">
        <v>0.0</v>
      </c>
      <c r="AX842" s="1">
        <v>2.0</v>
      </c>
      <c r="AY842" s="1">
        <v>4.0</v>
      </c>
      <c r="AZ842" s="1">
        <v>1.0</v>
      </c>
      <c r="BA842" s="1">
        <v>1.0</v>
      </c>
      <c r="BB842" s="1">
        <v>1.0</v>
      </c>
      <c r="BC842" s="1">
        <v>0.0</v>
      </c>
      <c r="BD842" s="1">
        <v>0.13</v>
      </c>
      <c r="BE842" s="1">
        <v>0.0</v>
      </c>
      <c r="BF842" s="1">
        <v>0.0</v>
      </c>
      <c r="BG842" s="1">
        <v>0.0</v>
      </c>
      <c r="BH842" s="1">
        <v>0.0</v>
      </c>
      <c r="BI842" s="1">
        <v>0.0</v>
      </c>
      <c r="BJ842" s="1">
        <v>0.0</v>
      </c>
      <c r="BP842" s="1">
        <v>0.293</v>
      </c>
      <c r="BQ842" s="1" t="s">
        <v>3307</v>
      </c>
      <c r="BV842" s="1">
        <v>1.1</v>
      </c>
      <c r="EQ842" s="9" t="s">
        <v>3306</v>
      </c>
      <c r="ER842" s="21">
        <v>46045.29959490741</v>
      </c>
    </row>
    <row r="843">
      <c r="A843" s="9" t="s">
        <v>3308</v>
      </c>
      <c r="B843" s="20" t="str">
        <f>IFERROR(__xludf.DUMMYFUNCTION("REGEXREPLACE(A843, ""^https?://[^/]+"", """")"),"/wp-content/uploads/elementor/css/post-69203.css?ver=1768846234")</f>
        <v>/wp-content/uploads/elementor/css/post-69203.css?ver=1768846234</v>
      </c>
      <c r="F843" s="1" t="s">
        <v>1016</v>
      </c>
      <c r="G843" s="1">
        <v>200.0</v>
      </c>
      <c r="H843" s="1" t="s">
        <v>966</v>
      </c>
      <c r="I843" s="1" t="s">
        <v>967</v>
      </c>
      <c r="L843" s="1">
        <v>0.0</v>
      </c>
      <c r="M843" s="1">
        <v>0.0</v>
      </c>
      <c r="O843" s="1">
        <v>0.0</v>
      </c>
      <c r="P843" s="1">
        <v>0.0</v>
      </c>
      <c r="R843" s="1">
        <v>0.0</v>
      </c>
      <c r="S843" s="1">
        <v>0.0</v>
      </c>
      <c r="U843" s="1">
        <v>0.0</v>
      </c>
      <c r="W843" s="1">
        <v>0.0</v>
      </c>
      <c r="Y843" s="1">
        <v>0.0</v>
      </c>
      <c r="AA843" s="1">
        <v>0.0</v>
      </c>
      <c r="AC843" s="1">
        <v>0.0</v>
      </c>
      <c r="AM843" s="1">
        <v>999.0</v>
      </c>
      <c r="AN843" s="1">
        <v>999.0</v>
      </c>
      <c r="AO843" s="1">
        <v>999.0</v>
      </c>
      <c r="AP843" s="1">
        <v>0.383</v>
      </c>
      <c r="AR843" s="1">
        <v>0.0</v>
      </c>
      <c r="AW843" s="1">
        <v>0.0</v>
      </c>
      <c r="AX843" s="1">
        <v>2.0</v>
      </c>
      <c r="AY843" s="1">
        <v>4.0</v>
      </c>
      <c r="BA843" s="1">
        <v>0.0</v>
      </c>
      <c r="BB843" s="1">
        <v>0.0</v>
      </c>
      <c r="BC843" s="1">
        <v>0.0</v>
      </c>
      <c r="BD843" s="1">
        <v>0.0</v>
      </c>
      <c r="BE843" s="1">
        <v>0.0</v>
      </c>
      <c r="BF843" s="1">
        <v>0.0</v>
      </c>
      <c r="BG843" s="1">
        <v>0.0</v>
      </c>
      <c r="BH843" s="1">
        <v>0.0</v>
      </c>
      <c r="BI843" s="1">
        <v>0.0</v>
      </c>
      <c r="BJ843" s="1">
        <v>0.0</v>
      </c>
      <c r="BP843" s="1">
        <v>0.275</v>
      </c>
      <c r="BQ843" s="1" t="s">
        <v>1688</v>
      </c>
      <c r="BV843" s="1">
        <v>1.1</v>
      </c>
      <c r="EQ843" s="9" t="s">
        <v>3308</v>
      </c>
      <c r="ER843" s="21">
        <v>46045.29959490741</v>
      </c>
    </row>
    <row r="844">
      <c r="A844" s="9" t="s">
        <v>3309</v>
      </c>
      <c r="B844" s="20" t="str">
        <f>IFERROR(__xludf.DUMMYFUNCTION("REGEXREPLACE(A844, ""^https?://[^/]+"", """")"),"/wp-content/uploads/elementor/css/post-39256.css?ver=1768857165")</f>
        <v>/wp-content/uploads/elementor/css/post-39256.css?ver=1768857165</v>
      </c>
      <c r="F844" s="1" t="s">
        <v>1016</v>
      </c>
      <c r="G844" s="1">
        <v>200.0</v>
      </c>
      <c r="H844" s="1" t="s">
        <v>966</v>
      </c>
      <c r="I844" s="1" t="s">
        <v>967</v>
      </c>
      <c r="L844" s="1">
        <v>0.0</v>
      </c>
      <c r="M844" s="1">
        <v>0.0</v>
      </c>
      <c r="O844" s="1">
        <v>0.0</v>
      </c>
      <c r="P844" s="1">
        <v>0.0</v>
      </c>
      <c r="R844" s="1">
        <v>0.0</v>
      </c>
      <c r="S844" s="1">
        <v>0.0</v>
      </c>
      <c r="U844" s="1">
        <v>0.0</v>
      </c>
      <c r="W844" s="1">
        <v>0.0</v>
      </c>
      <c r="Y844" s="1">
        <v>0.0</v>
      </c>
      <c r="AA844" s="1">
        <v>0.0</v>
      </c>
      <c r="AC844" s="1">
        <v>0.0</v>
      </c>
      <c r="AM844" s="1">
        <v>3031.0</v>
      </c>
      <c r="AN844" s="1">
        <v>3031.0</v>
      </c>
      <c r="AO844" s="1">
        <v>3031.0</v>
      </c>
      <c r="AP844" s="1">
        <v>1.161</v>
      </c>
      <c r="AR844" s="1">
        <v>0.0</v>
      </c>
      <c r="AW844" s="1">
        <v>0.0</v>
      </c>
      <c r="AX844" s="1">
        <v>2.0</v>
      </c>
      <c r="AY844" s="1">
        <v>4.0</v>
      </c>
      <c r="BA844" s="1">
        <v>0.0</v>
      </c>
      <c r="BB844" s="1">
        <v>0.0</v>
      </c>
      <c r="BC844" s="1">
        <v>0.0</v>
      </c>
      <c r="BD844" s="1">
        <v>0.0</v>
      </c>
      <c r="BE844" s="1">
        <v>0.0</v>
      </c>
      <c r="BF844" s="1">
        <v>0.0</v>
      </c>
      <c r="BG844" s="1">
        <v>0.0</v>
      </c>
      <c r="BH844" s="1">
        <v>0.0</v>
      </c>
      <c r="BI844" s="1">
        <v>0.0</v>
      </c>
      <c r="BJ844" s="1">
        <v>0.0</v>
      </c>
      <c r="BP844" s="1">
        <v>0.255</v>
      </c>
      <c r="BQ844" s="1" t="s">
        <v>3310</v>
      </c>
      <c r="BV844" s="1">
        <v>1.1</v>
      </c>
      <c r="EQ844" s="9" t="s">
        <v>3309</v>
      </c>
      <c r="ER844" s="21">
        <v>46045.29959490741</v>
      </c>
    </row>
    <row r="845">
      <c r="A845" s="9" t="s">
        <v>3311</v>
      </c>
      <c r="B845" s="20" t="str">
        <f>IFERROR(__xludf.DUMMYFUNCTION("REGEXREPLACE(A845, ""^https?://[^/]+"", """")"),"/wp-content/themes/salesxceleratione/assets/css/style.css?ver=1769123329")</f>
        <v>/wp-content/themes/salesxceleratione/assets/css/style.css?ver=1769123329</v>
      </c>
      <c r="F845" s="1" t="s">
        <v>1016</v>
      </c>
      <c r="G845" s="1">
        <v>200.0</v>
      </c>
      <c r="H845" s="1" t="s">
        <v>966</v>
      </c>
      <c r="I845" s="1" t="s">
        <v>967</v>
      </c>
      <c r="L845" s="1">
        <v>0.0</v>
      </c>
      <c r="M845" s="1">
        <v>0.0</v>
      </c>
      <c r="O845" s="1">
        <v>0.0</v>
      </c>
      <c r="P845" s="1">
        <v>0.0</v>
      </c>
      <c r="R845" s="1">
        <v>0.0</v>
      </c>
      <c r="S845" s="1">
        <v>0.0</v>
      </c>
      <c r="U845" s="1">
        <v>0.0</v>
      </c>
      <c r="W845" s="1">
        <v>0.0</v>
      </c>
      <c r="Y845" s="1">
        <v>0.0</v>
      </c>
      <c r="AA845" s="1">
        <v>0.0</v>
      </c>
      <c r="AC845" s="1">
        <v>0.0</v>
      </c>
      <c r="AM845" s="1">
        <v>17704.0</v>
      </c>
      <c r="AN845" s="1">
        <v>17704.0</v>
      </c>
      <c r="AO845" s="1">
        <v>17704.0</v>
      </c>
      <c r="AP845" s="1">
        <v>6.782</v>
      </c>
      <c r="AR845" s="1">
        <v>0.0</v>
      </c>
      <c r="AW845" s="1">
        <v>0.0</v>
      </c>
      <c r="AX845" s="1">
        <v>2.0</v>
      </c>
      <c r="AY845" s="1">
        <v>5.0</v>
      </c>
      <c r="BA845" s="1">
        <v>0.0</v>
      </c>
      <c r="BB845" s="1">
        <v>0.0</v>
      </c>
      <c r="BC845" s="1">
        <v>0.0</v>
      </c>
      <c r="BD845" s="1">
        <v>0.0</v>
      </c>
      <c r="BE845" s="1">
        <v>0.0</v>
      </c>
      <c r="BF845" s="1">
        <v>0.0</v>
      </c>
      <c r="BG845" s="1">
        <v>0.0</v>
      </c>
      <c r="BH845" s="1">
        <v>0.0</v>
      </c>
      <c r="BI845" s="1">
        <v>0.0</v>
      </c>
      <c r="BJ845" s="1">
        <v>0.0</v>
      </c>
      <c r="BP845" s="1">
        <v>0.305</v>
      </c>
      <c r="BQ845" s="1" t="s">
        <v>3312</v>
      </c>
      <c r="BV845" s="1">
        <v>1.1</v>
      </c>
      <c r="EQ845" s="9" t="s">
        <v>3311</v>
      </c>
      <c r="ER845" s="21">
        <v>46045.29959490741</v>
      </c>
    </row>
    <row r="846">
      <c r="A846" s="9" t="s">
        <v>3313</v>
      </c>
      <c r="B846" s="20" t="str">
        <f>IFERROR(__xludf.DUMMYFUNCTION("REGEXREPLACE(A846, ""^https?://[^/]+"", """")"),"/wp-content/themes/salesxceleratione/assets/css/style.css?ver=1769123330")</f>
        <v>/wp-content/themes/salesxceleratione/assets/css/style.css?ver=1769123330</v>
      </c>
      <c r="F846" s="1" t="s">
        <v>1016</v>
      </c>
      <c r="G846" s="1">
        <v>200.0</v>
      </c>
      <c r="H846" s="1" t="s">
        <v>966</v>
      </c>
      <c r="I846" s="1" t="s">
        <v>967</v>
      </c>
      <c r="L846" s="1">
        <v>0.0</v>
      </c>
      <c r="M846" s="1">
        <v>0.0</v>
      </c>
      <c r="O846" s="1">
        <v>0.0</v>
      </c>
      <c r="P846" s="1">
        <v>0.0</v>
      </c>
      <c r="R846" s="1">
        <v>0.0</v>
      </c>
      <c r="S846" s="1">
        <v>0.0</v>
      </c>
      <c r="U846" s="1">
        <v>0.0</v>
      </c>
      <c r="W846" s="1">
        <v>0.0</v>
      </c>
      <c r="Y846" s="1">
        <v>0.0</v>
      </c>
      <c r="AA846" s="1">
        <v>0.0</v>
      </c>
      <c r="AC846" s="1">
        <v>0.0</v>
      </c>
      <c r="AM846" s="1">
        <v>17704.0</v>
      </c>
      <c r="AN846" s="1">
        <v>17704.0</v>
      </c>
      <c r="AO846" s="1">
        <v>17704.0</v>
      </c>
      <c r="AP846" s="1">
        <v>6.782</v>
      </c>
      <c r="AR846" s="1">
        <v>0.0</v>
      </c>
      <c r="AW846" s="1">
        <v>0.0</v>
      </c>
      <c r="AX846" s="1">
        <v>2.0</v>
      </c>
      <c r="AY846" s="1">
        <v>5.0</v>
      </c>
      <c r="BA846" s="1">
        <v>0.0</v>
      </c>
      <c r="BB846" s="1">
        <v>0.0</v>
      </c>
      <c r="BC846" s="1">
        <v>0.0</v>
      </c>
      <c r="BD846" s="1">
        <v>0.0</v>
      </c>
      <c r="BE846" s="1">
        <v>0.0</v>
      </c>
      <c r="BF846" s="1">
        <v>0.0</v>
      </c>
      <c r="BG846" s="1">
        <v>0.0</v>
      </c>
      <c r="BH846" s="1">
        <v>0.0</v>
      </c>
      <c r="BI846" s="1">
        <v>0.0</v>
      </c>
      <c r="BJ846" s="1">
        <v>0.0</v>
      </c>
      <c r="BP846" s="1">
        <v>0.305</v>
      </c>
      <c r="BQ846" s="1" t="s">
        <v>3314</v>
      </c>
      <c r="BV846" s="1">
        <v>1.1</v>
      </c>
      <c r="EQ846" s="9" t="s">
        <v>3313</v>
      </c>
      <c r="ER846" s="21">
        <v>46045.29959490741</v>
      </c>
    </row>
    <row r="847">
      <c r="A847" s="9" t="s">
        <v>3315</v>
      </c>
      <c r="B847" s="20" t="str">
        <f>IFERROR(__xludf.DUMMYFUNCTION("REGEXREPLACE(A847, ""^https?://[^/]+"", """")"),"/wp-content/uploads/2025/07/AdobeStock_803483080.jpeg")</f>
        <v>/wp-content/uploads/2025/07/AdobeStock_803483080.jpeg</v>
      </c>
      <c r="F847" s="1" t="s">
        <v>1004</v>
      </c>
      <c r="G847" s="1">
        <v>200.0</v>
      </c>
      <c r="H847" s="1" t="s">
        <v>966</v>
      </c>
      <c r="I847" s="1" t="s">
        <v>967</v>
      </c>
      <c r="L847" s="1">
        <v>0.0</v>
      </c>
      <c r="M847" s="1">
        <v>0.0</v>
      </c>
      <c r="O847" s="1">
        <v>0.0</v>
      </c>
      <c r="P847" s="1">
        <v>0.0</v>
      </c>
      <c r="R847" s="1">
        <v>0.0</v>
      </c>
      <c r="S847" s="1">
        <v>0.0</v>
      </c>
      <c r="U847" s="1">
        <v>0.0</v>
      </c>
      <c r="W847" s="1">
        <v>0.0</v>
      </c>
      <c r="Y847" s="1">
        <v>0.0</v>
      </c>
      <c r="AA847" s="1">
        <v>0.0</v>
      </c>
      <c r="AC847" s="1">
        <v>0.0</v>
      </c>
      <c r="AM847" s="1">
        <v>125115.0</v>
      </c>
      <c r="AN847" s="1">
        <v>125115.0</v>
      </c>
      <c r="AO847" s="1">
        <v>125115.0</v>
      </c>
      <c r="AP847" s="1">
        <v>47.929</v>
      </c>
      <c r="AR847" s="1">
        <v>0.0</v>
      </c>
      <c r="AW847" s="1">
        <v>0.0</v>
      </c>
      <c r="AX847" s="1">
        <v>2.0</v>
      </c>
      <c r="AY847" s="1">
        <v>4.0</v>
      </c>
      <c r="BA847" s="1">
        <v>0.0</v>
      </c>
      <c r="BB847" s="1">
        <v>0.0</v>
      </c>
      <c r="BC847" s="1">
        <v>0.0</v>
      </c>
      <c r="BD847" s="1">
        <v>0.0</v>
      </c>
      <c r="BE847" s="1">
        <v>0.0</v>
      </c>
      <c r="BF847" s="1">
        <v>0.0</v>
      </c>
      <c r="BG847" s="1">
        <v>0.0</v>
      </c>
      <c r="BH847" s="1">
        <v>0.0</v>
      </c>
      <c r="BI847" s="1">
        <v>0.0</v>
      </c>
      <c r="BJ847" s="1">
        <v>0.0</v>
      </c>
      <c r="BP847" s="1">
        <v>0.274</v>
      </c>
      <c r="BQ847" s="1" t="s">
        <v>3316</v>
      </c>
      <c r="BV847" s="1">
        <v>1.1</v>
      </c>
      <c r="EQ847" s="9" t="s">
        <v>3315</v>
      </c>
      <c r="ER847" s="21">
        <v>46045.29959490741</v>
      </c>
    </row>
    <row r="848">
      <c r="A848" s="9" t="s">
        <v>3317</v>
      </c>
      <c r="B848" s="20" t="str">
        <f>IFERROR(__xludf.DUMMYFUNCTION("REGEXREPLACE(A848, ""^https?://[^/]+"", """")"),"/wp-content/uploads/elementor/css/post-47302.css?ver=1768857154")</f>
        <v>/wp-content/uploads/elementor/css/post-47302.css?ver=1768857154</v>
      </c>
      <c r="F848" s="1" t="s">
        <v>1016</v>
      </c>
      <c r="G848" s="1">
        <v>200.0</v>
      </c>
      <c r="H848" s="1" t="s">
        <v>966</v>
      </c>
      <c r="I848" s="1" t="s">
        <v>967</v>
      </c>
      <c r="L848" s="1">
        <v>0.0</v>
      </c>
      <c r="M848" s="1">
        <v>0.0</v>
      </c>
      <c r="O848" s="1">
        <v>0.0</v>
      </c>
      <c r="P848" s="1">
        <v>0.0</v>
      </c>
      <c r="R848" s="1">
        <v>0.0</v>
      </c>
      <c r="S848" s="1">
        <v>0.0</v>
      </c>
      <c r="U848" s="1">
        <v>0.0</v>
      </c>
      <c r="W848" s="1">
        <v>0.0</v>
      </c>
      <c r="Y848" s="1">
        <v>0.0</v>
      </c>
      <c r="AA848" s="1">
        <v>0.0</v>
      </c>
      <c r="AC848" s="1">
        <v>0.0</v>
      </c>
      <c r="AM848" s="1">
        <v>3386.0</v>
      </c>
      <c r="AN848" s="1">
        <v>3386.0</v>
      </c>
      <c r="AO848" s="1">
        <v>3386.0</v>
      </c>
      <c r="AP848" s="1">
        <v>1.297</v>
      </c>
      <c r="AR848" s="1">
        <v>0.0</v>
      </c>
      <c r="AW848" s="1">
        <v>0.0</v>
      </c>
      <c r="AX848" s="1">
        <v>2.0</v>
      </c>
      <c r="AY848" s="1">
        <v>4.0</v>
      </c>
      <c r="BA848" s="1">
        <v>0.0</v>
      </c>
      <c r="BB848" s="1">
        <v>0.0</v>
      </c>
      <c r="BC848" s="1">
        <v>0.0</v>
      </c>
      <c r="BD848" s="1">
        <v>0.0</v>
      </c>
      <c r="BE848" s="1">
        <v>0.0</v>
      </c>
      <c r="BF848" s="1">
        <v>0.0</v>
      </c>
      <c r="BG848" s="1">
        <v>0.0</v>
      </c>
      <c r="BH848" s="1">
        <v>0.0</v>
      </c>
      <c r="BI848" s="1">
        <v>0.0</v>
      </c>
      <c r="BJ848" s="1">
        <v>0.0</v>
      </c>
      <c r="BP848" s="1">
        <v>0.306</v>
      </c>
      <c r="BQ848" s="1" t="s">
        <v>3318</v>
      </c>
      <c r="BV848" s="1">
        <v>1.1</v>
      </c>
      <c r="EQ848" s="9" t="s">
        <v>3317</v>
      </c>
      <c r="ER848" s="21">
        <v>46045.29960648148</v>
      </c>
    </row>
    <row r="849">
      <c r="A849" s="9" t="s">
        <v>3319</v>
      </c>
      <c r="B849" s="20" t="str">
        <f>IFERROR(__xludf.DUMMYFUNCTION("REGEXREPLACE(A849, ""^https?://[^/]+"", """")"),"/wp-content/uploads/2025/07/2.jpg")</f>
        <v>/wp-content/uploads/2025/07/2.jpg</v>
      </c>
      <c r="F849" s="1" t="s">
        <v>1004</v>
      </c>
      <c r="G849" s="1">
        <v>200.0</v>
      </c>
      <c r="H849" s="1" t="s">
        <v>966</v>
      </c>
      <c r="I849" s="1" t="s">
        <v>967</v>
      </c>
      <c r="L849" s="1">
        <v>0.0</v>
      </c>
      <c r="M849" s="1">
        <v>0.0</v>
      </c>
      <c r="O849" s="1">
        <v>0.0</v>
      </c>
      <c r="P849" s="1">
        <v>0.0</v>
      </c>
      <c r="R849" s="1">
        <v>0.0</v>
      </c>
      <c r="S849" s="1">
        <v>0.0</v>
      </c>
      <c r="U849" s="1">
        <v>0.0</v>
      </c>
      <c r="W849" s="1">
        <v>0.0</v>
      </c>
      <c r="Y849" s="1">
        <v>0.0</v>
      </c>
      <c r="AA849" s="1">
        <v>0.0</v>
      </c>
      <c r="AC849" s="1">
        <v>0.0</v>
      </c>
      <c r="AM849" s="1">
        <v>77481.0</v>
      </c>
      <c r="AN849" s="1">
        <v>77481.0</v>
      </c>
      <c r="AO849" s="1">
        <v>77481.0</v>
      </c>
      <c r="AP849" s="1">
        <v>29.681</v>
      </c>
      <c r="AR849" s="1">
        <v>0.0</v>
      </c>
      <c r="AW849" s="1">
        <v>0.0</v>
      </c>
      <c r="AX849" s="1">
        <v>2.0</v>
      </c>
      <c r="AY849" s="1">
        <v>4.0</v>
      </c>
      <c r="BA849" s="1">
        <v>0.0</v>
      </c>
      <c r="BB849" s="1">
        <v>0.0</v>
      </c>
      <c r="BC849" s="1">
        <v>0.0</v>
      </c>
      <c r="BD849" s="1">
        <v>0.0</v>
      </c>
      <c r="BE849" s="1">
        <v>0.0</v>
      </c>
      <c r="BF849" s="1">
        <v>0.0</v>
      </c>
      <c r="BG849" s="1">
        <v>0.0</v>
      </c>
      <c r="BH849" s="1">
        <v>0.0</v>
      </c>
      <c r="BI849" s="1">
        <v>0.0</v>
      </c>
      <c r="BJ849" s="1">
        <v>0.0</v>
      </c>
      <c r="BP849" s="1">
        <v>0.305</v>
      </c>
      <c r="BQ849" s="1" t="s">
        <v>3320</v>
      </c>
      <c r="BV849" s="1">
        <v>1.1</v>
      </c>
      <c r="EQ849" s="9" t="s">
        <v>3319</v>
      </c>
      <c r="ER849" s="21">
        <v>46045.29960648148</v>
      </c>
    </row>
    <row r="850">
      <c r="A850" s="9" t="s">
        <v>3321</v>
      </c>
      <c r="B850" s="20" t="str">
        <f>IFERROR(__xludf.DUMMYFUNCTION("REGEXREPLACE(A850, ""^https?://[^/]+"", """")"),"/wp-content/uploads/elementor/css/post-47764.css?ver=1768847914")</f>
        <v>/wp-content/uploads/elementor/css/post-47764.css?ver=1768847914</v>
      </c>
      <c r="F850" s="1" t="s">
        <v>1016</v>
      </c>
      <c r="G850" s="1">
        <v>200.0</v>
      </c>
      <c r="H850" s="1" t="s">
        <v>966</v>
      </c>
      <c r="I850" s="1" t="s">
        <v>967</v>
      </c>
      <c r="L850" s="1">
        <v>0.0</v>
      </c>
      <c r="M850" s="1">
        <v>0.0</v>
      </c>
      <c r="O850" s="1">
        <v>0.0</v>
      </c>
      <c r="P850" s="1">
        <v>0.0</v>
      </c>
      <c r="R850" s="1">
        <v>0.0</v>
      </c>
      <c r="S850" s="1">
        <v>0.0</v>
      </c>
      <c r="U850" s="1">
        <v>0.0</v>
      </c>
      <c r="W850" s="1">
        <v>0.0</v>
      </c>
      <c r="Y850" s="1">
        <v>0.0</v>
      </c>
      <c r="AA850" s="1">
        <v>0.0</v>
      </c>
      <c r="AC850" s="1">
        <v>0.0</v>
      </c>
      <c r="AM850" s="1">
        <v>3603.0</v>
      </c>
      <c r="AN850" s="1">
        <v>3603.0</v>
      </c>
      <c r="AO850" s="1">
        <v>3603.0</v>
      </c>
      <c r="AP850" s="1">
        <v>1.38</v>
      </c>
      <c r="AR850" s="1">
        <v>0.0</v>
      </c>
      <c r="AW850" s="1">
        <v>0.0</v>
      </c>
      <c r="AX850" s="1">
        <v>2.0</v>
      </c>
      <c r="AY850" s="1">
        <v>4.0</v>
      </c>
      <c r="BA850" s="1">
        <v>0.0</v>
      </c>
      <c r="BB850" s="1">
        <v>0.0</v>
      </c>
      <c r="BC850" s="1">
        <v>0.0</v>
      </c>
      <c r="BD850" s="1">
        <v>0.0</v>
      </c>
      <c r="BE850" s="1">
        <v>0.0</v>
      </c>
      <c r="BF850" s="1">
        <v>0.0</v>
      </c>
      <c r="BG850" s="1">
        <v>0.0</v>
      </c>
      <c r="BH850" s="1">
        <v>0.0</v>
      </c>
      <c r="BI850" s="1">
        <v>0.0</v>
      </c>
      <c r="BJ850" s="1">
        <v>0.0</v>
      </c>
      <c r="BP850" s="1">
        <v>0.277</v>
      </c>
      <c r="BQ850" s="1" t="s">
        <v>3322</v>
      </c>
      <c r="BV850" s="1">
        <v>1.1</v>
      </c>
      <c r="EQ850" s="9" t="s">
        <v>3321</v>
      </c>
      <c r="ER850" s="21">
        <v>46045.29960648148</v>
      </c>
    </row>
    <row r="851">
      <c r="A851" s="9" t="s">
        <v>3323</v>
      </c>
      <c r="B851" s="20" t="str">
        <f>IFERROR(__xludf.DUMMYFUNCTION("REGEXREPLACE(A851, ""^https?://[^/]+"", """")"),"/wp-content/uploads/2025/07/1.jpg")</f>
        <v>/wp-content/uploads/2025/07/1.jpg</v>
      </c>
      <c r="F851" s="1" t="s">
        <v>1004</v>
      </c>
      <c r="G851" s="1">
        <v>200.0</v>
      </c>
      <c r="H851" s="1" t="s">
        <v>966</v>
      </c>
      <c r="I851" s="1" t="s">
        <v>967</v>
      </c>
      <c r="L851" s="1">
        <v>0.0</v>
      </c>
      <c r="M851" s="1">
        <v>0.0</v>
      </c>
      <c r="O851" s="1">
        <v>0.0</v>
      </c>
      <c r="P851" s="1">
        <v>0.0</v>
      </c>
      <c r="R851" s="1">
        <v>0.0</v>
      </c>
      <c r="S851" s="1">
        <v>0.0</v>
      </c>
      <c r="U851" s="1">
        <v>0.0</v>
      </c>
      <c r="W851" s="1">
        <v>0.0</v>
      </c>
      <c r="Y851" s="1">
        <v>0.0</v>
      </c>
      <c r="AA851" s="1">
        <v>0.0</v>
      </c>
      <c r="AC851" s="1">
        <v>0.0</v>
      </c>
      <c r="AM851" s="1">
        <v>46793.0</v>
      </c>
      <c r="AN851" s="1">
        <v>46793.0</v>
      </c>
      <c r="AO851" s="1">
        <v>46793.0</v>
      </c>
      <c r="AP851" s="1">
        <v>17.926</v>
      </c>
      <c r="AR851" s="1">
        <v>0.0</v>
      </c>
      <c r="AW851" s="1">
        <v>0.0</v>
      </c>
      <c r="AX851" s="1">
        <v>2.0</v>
      </c>
      <c r="AY851" s="1">
        <v>4.0</v>
      </c>
      <c r="BA851" s="1">
        <v>0.0</v>
      </c>
      <c r="BB851" s="1">
        <v>0.0</v>
      </c>
      <c r="BC851" s="1">
        <v>0.0</v>
      </c>
      <c r="BD851" s="1">
        <v>0.0</v>
      </c>
      <c r="BE851" s="1">
        <v>0.0</v>
      </c>
      <c r="BF851" s="1">
        <v>0.0</v>
      </c>
      <c r="BG851" s="1">
        <v>0.0</v>
      </c>
      <c r="BH851" s="1">
        <v>0.0</v>
      </c>
      <c r="BI851" s="1">
        <v>0.0</v>
      </c>
      <c r="BJ851" s="1">
        <v>0.0</v>
      </c>
      <c r="BP851" s="1">
        <v>0.268</v>
      </c>
      <c r="BQ851" s="1" t="s">
        <v>3324</v>
      </c>
      <c r="BV851" s="1">
        <v>1.1</v>
      </c>
      <c r="EQ851" s="9" t="s">
        <v>3323</v>
      </c>
      <c r="ER851" s="21">
        <v>46045.29960648148</v>
      </c>
    </row>
    <row r="852">
      <c r="A852" s="9" t="s">
        <v>3325</v>
      </c>
      <c r="B852" s="20" t="str">
        <f>IFERROR(__xludf.DUMMYFUNCTION("REGEXREPLACE(A852, ""^https?://[^/]+"", """")"),"/case-study/medical-equipment-healthcare-improving-sales-infrastructure-for-long-term-success/")</f>
        <v>/case-study/medical-equipment-healthcare-improving-sales-infrastructure-for-long-term-success/</v>
      </c>
      <c r="C852" s="1" t="s">
        <v>3326</v>
      </c>
      <c r="D852" s="1" t="s">
        <v>1417</v>
      </c>
      <c r="E852" s="1" t="s">
        <v>1418</v>
      </c>
      <c r="F852" s="1" t="s">
        <v>965</v>
      </c>
      <c r="G852" s="1">
        <v>200.0</v>
      </c>
      <c r="H852" s="1" t="s">
        <v>966</v>
      </c>
      <c r="I852" s="1" t="s">
        <v>967</v>
      </c>
      <c r="K852" s="1" t="s">
        <v>3327</v>
      </c>
      <c r="L852" s="1">
        <v>65.0</v>
      </c>
      <c r="M852" s="1">
        <v>597.0</v>
      </c>
      <c r="O852" s="1">
        <v>0.0</v>
      </c>
      <c r="P852" s="1">
        <v>0.0</v>
      </c>
      <c r="Q852" s="1" t="s">
        <v>3328</v>
      </c>
      <c r="R852" s="1">
        <v>155.0</v>
      </c>
      <c r="S852" s="1">
        <v>952.0</v>
      </c>
      <c r="U852" s="1">
        <v>0.0</v>
      </c>
      <c r="V852" s="1" t="s">
        <v>3326</v>
      </c>
      <c r="W852" s="1">
        <v>82.0</v>
      </c>
      <c r="Y852" s="1">
        <v>0.0</v>
      </c>
      <c r="Z852" s="1" t="s">
        <v>1417</v>
      </c>
      <c r="AA852" s="1">
        <v>15.0</v>
      </c>
      <c r="AB852" s="1" t="s">
        <v>1418</v>
      </c>
      <c r="AC852" s="1">
        <v>22.0</v>
      </c>
      <c r="AD852" s="1" t="s">
        <v>971</v>
      </c>
      <c r="AG852" s="9" t="s">
        <v>3325</v>
      </c>
      <c r="AM852" s="1">
        <v>176518.0</v>
      </c>
      <c r="AN852" s="1">
        <v>33046.0</v>
      </c>
      <c r="AO852" s="1">
        <v>33046.0</v>
      </c>
      <c r="AP852" s="1">
        <v>12.659</v>
      </c>
      <c r="AR852" s="1">
        <v>1238.0</v>
      </c>
      <c r="AS852" s="1">
        <v>190.0</v>
      </c>
      <c r="AT852" s="1">
        <v>6.516</v>
      </c>
      <c r="AU852" s="1">
        <v>49.882</v>
      </c>
      <c r="AV852" s="1" t="s">
        <v>1075</v>
      </c>
      <c r="AW852" s="1">
        <v>5.988</v>
      </c>
      <c r="AX852" s="1">
        <v>2.0</v>
      </c>
      <c r="AY852" s="1">
        <v>2.0</v>
      </c>
      <c r="AZ852" s="1">
        <v>2.0</v>
      </c>
      <c r="BA852" s="1">
        <v>7.0</v>
      </c>
      <c r="BB852" s="1">
        <v>5.0</v>
      </c>
      <c r="BC852" s="1">
        <v>0.0</v>
      </c>
      <c r="BD852" s="1">
        <v>0.66</v>
      </c>
      <c r="BE852" s="1">
        <v>130.0</v>
      </c>
      <c r="BF852" s="1">
        <v>48.0</v>
      </c>
      <c r="BG852" s="1">
        <v>0.0</v>
      </c>
      <c r="BH852" s="1">
        <v>16.0</v>
      </c>
      <c r="BI852" s="1">
        <v>8.0</v>
      </c>
      <c r="BJ852" s="1">
        <v>0.0</v>
      </c>
      <c r="BO852" s="1" t="s">
        <v>3329</v>
      </c>
      <c r="BP852" s="1">
        <v>1.454</v>
      </c>
      <c r="BU852" s="1" t="s">
        <v>974</v>
      </c>
      <c r="BV852" s="1">
        <v>1.1</v>
      </c>
      <c r="BW852" s="1">
        <v>57.0</v>
      </c>
      <c r="BX852" s="1">
        <v>4051.023</v>
      </c>
      <c r="BY852" s="1">
        <v>6740.079</v>
      </c>
      <c r="BZ852" s="1">
        <v>9151.056</v>
      </c>
      <c r="CA852" s="1">
        <v>18197.67</v>
      </c>
      <c r="CB852" s="1">
        <v>184.5</v>
      </c>
      <c r="CC852" s="1">
        <v>0.0</v>
      </c>
      <c r="CD852" s="1">
        <v>651467.0</v>
      </c>
      <c r="CE852" s="1">
        <v>1500.0</v>
      </c>
      <c r="CF852" s="1">
        <v>167.0</v>
      </c>
      <c r="CG852" s="1">
        <v>2311311.0</v>
      </c>
      <c r="CH852" s="1">
        <v>33749.0</v>
      </c>
      <c r="CI852" s="1">
        <v>2.0</v>
      </c>
      <c r="CJ852" s="1">
        <v>101253.0</v>
      </c>
      <c r="CK852" s="1">
        <v>20.0</v>
      </c>
      <c r="CL852" s="1">
        <v>118371.0</v>
      </c>
      <c r="CM852" s="1">
        <v>43.0</v>
      </c>
      <c r="CN852" s="1">
        <v>1747936.0</v>
      </c>
      <c r="CO852" s="1">
        <v>68.0</v>
      </c>
      <c r="CP852" s="1">
        <v>284722.0</v>
      </c>
      <c r="CQ852" s="1">
        <v>6.0</v>
      </c>
      <c r="CR852" s="1">
        <v>0.0</v>
      </c>
      <c r="CS852" s="1">
        <v>0.0</v>
      </c>
      <c r="CT852" s="1">
        <v>25280.0</v>
      </c>
      <c r="CU852" s="1">
        <v>28.0</v>
      </c>
      <c r="CV852" s="1">
        <v>1504529.0</v>
      </c>
      <c r="CW852" s="1">
        <v>63.0</v>
      </c>
      <c r="DC852" s="1">
        <v>0.0</v>
      </c>
      <c r="DD852" s="1">
        <v>5075.0</v>
      </c>
      <c r="DE852" s="1">
        <v>0.0</v>
      </c>
      <c r="DF852" s="1">
        <v>3396.0</v>
      </c>
      <c r="DG852" s="1">
        <v>450.0</v>
      </c>
      <c r="DH852" s="1">
        <v>50552.0</v>
      </c>
      <c r="DI852" s="1">
        <v>1050.0</v>
      </c>
      <c r="DJ852" s="1">
        <v>592444.0</v>
      </c>
      <c r="DK852" s="1">
        <v>1406.545</v>
      </c>
      <c r="DL852" s="1" t="s">
        <v>975</v>
      </c>
      <c r="DM852" s="1">
        <v>2548.568</v>
      </c>
      <c r="DN852" s="1" t="s">
        <v>975</v>
      </c>
      <c r="DO852" s="1">
        <v>2311181.0</v>
      </c>
      <c r="DP852" s="1">
        <v>1.0</v>
      </c>
      <c r="DQ852" s="1" t="s">
        <v>976</v>
      </c>
      <c r="DR852" s="1" t="s">
        <v>1055</v>
      </c>
      <c r="DS852" s="1" t="s">
        <v>978</v>
      </c>
      <c r="DT852" s="1" t="s">
        <v>979</v>
      </c>
      <c r="DU852" s="1" t="s">
        <v>980</v>
      </c>
      <c r="DV852" s="1">
        <v>13847.0</v>
      </c>
      <c r="DX852" s="1">
        <v>3745.0</v>
      </c>
      <c r="DY852" s="1">
        <v>632555.0</v>
      </c>
      <c r="EA852" s="1">
        <v>846.0</v>
      </c>
      <c r="EB852" s="1">
        <v>4453.0</v>
      </c>
      <c r="EC852" s="1">
        <v>0.0</v>
      </c>
      <c r="ED852" s="1">
        <v>26492.0</v>
      </c>
      <c r="EF852" s="1">
        <v>245.0</v>
      </c>
      <c r="EG852" s="1" t="s">
        <v>982</v>
      </c>
      <c r="EH852" s="1">
        <v>100.0</v>
      </c>
      <c r="EK852" s="1">
        <v>100.0</v>
      </c>
      <c r="EQ852" s="9" t="s">
        <v>3325</v>
      </c>
      <c r="ER852" s="21">
        <v>46045.29959490741</v>
      </c>
    </row>
    <row r="853">
      <c r="A853" s="9" t="s">
        <v>3330</v>
      </c>
      <c r="B853" s="20" t="str">
        <f>IFERROR(__xludf.DUMMYFUNCTION("REGEXREPLACE(A853, ""^https?://[^/]+"", """")"),"/case-study/influencer-marketing-agency-building-a-future-proof-sales-infrastructure/")</f>
        <v>/case-study/influencer-marketing-agency-building-a-future-proof-sales-infrastructure/</v>
      </c>
      <c r="C853" s="1" t="s">
        <v>3331</v>
      </c>
      <c r="D853" s="1" t="s">
        <v>1417</v>
      </c>
      <c r="E853" s="1" t="s">
        <v>1418</v>
      </c>
      <c r="F853" s="1" t="s">
        <v>965</v>
      </c>
      <c r="G853" s="1">
        <v>200.0</v>
      </c>
      <c r="H853" s="1" t="s">
        <v>966</v>
      </c>
      <c r="I853" s="1" t="s">
        <v>967</v>
      </c>
      <c r="K853" s="1" t="s">
        <v>3332</v>
      </c>
      <c r="L853" s="1">
        <v>111.0</v>
      </c>
      <c r="M853" s="1">
        <v>985.0</v>
      </c>
      <c r="O853" s="1">
        <v>0.0</v>
      </c>
      <c r="P853" s="1">
        <v>0.0</v>
      </c>
      <c r="Q853" s="1" t="s">
        <v>3333</v>
      </c>
      <c r="R853" s="1">
        <v>153.0</v>
      </c>
      <c r="S853" s="1">
        <v>940.0</v>
      </c>
      <c r="U853" s="1">
        <v>0.0</v>
      </c>
      <c r="V853" s="1" t="s">
        <v>3331</v>
      </c>
      <c r="W853" s="1">
        <v>73.0</v>
      </c>
      <c r="Y853" s="1">
        <v>0.0</v>
      </c>
      <c r="Z853" s="1" t="s">
        <v>1417</v>
      </c>
      <c r="AA853" s="1">
        <v>15.0</v>
      </c>
      <c r="AB853" s="1" t="s">
        <v>1418</v>
      </c>
      <c r="AC853" s="1">
        <v>22.0</v>
      </c>
      <c r="AD853" s="1" t="s">
        <v>971</v>
      </c>
      <c r="AG853" s="9" t="s">
        <v>3330</v>
      </c>
      <c r="AM853" s="1">
        <v>189181.0</v>
      </c>
      <c r="AN853" s="1">
        <v>33306.0</v>
      </c>
      <c r="AO853" s="1">
        <v>33306.0</v>
      </c>
      <c r="AP853" s="1">
        <v>12.759</v>
      </c>
      <c r="AR853" s="1">
        <v>1109.0</v>
      </c>
      <c r="AS853" s="1">
        <v>185.0</v>
      </c>
      <c r="AT853" s="1">
        <v>5.995</v>
      </c>
      <c r="AU853" s="1">
        <v>55.351</v>
      </c>
      <c r="AV853" s="1" t="s">
        <v>972</v>
      </c>
      <c r="AW853" s="1">
        <v>5.075</v>
      </c>
      <c r="AX853" s="1">
        <v>2.0</v>
      </c>
      <c r="AY853" s="1">
        <v>2.0</v>
      </c>
      <c r="AZ853" s="1">
        <v>2.0</v>
      </c>
      <c r="BA853" s="1">
        <v>2.0</v>
      </c>
      <c r="BB853" s="1">
        <v>2.0</v>
      </c>
      <c r="BC853" s="1">
        <v>0.0</v>
      </c>
      <c r="BD853" s="1">
        <v>0.27</v>
      </c>
      <c r="BE853" s="1">
        <v>130.0</v>
      </c>
      <c r="BF853" s="1">
        <v>48.0</v>
      </c>
      <c r="BG853" s="1">
        <v>0.0</v>
      </c>
      <c r="BH853" s="1">
        <v>16.0</v>
      </c>
      <c r="BI853" s="1">
        <v>8.0</v>
      </c>
      <c r="BJ853" s="1">
        <v>0.0</v>
      </c>
      <c r="BO853" s="1" t="s">
        <v>3334</v>
      </c>
      <c r="BP853" s="1">
        <v>1.627</v>
      </c>
      <c r="BU853" s="1" t="s">
        <v>974</v>
      </c>
      <c r="BV853" s="1">
        <v>1.1</v>
      </c>
      <c r="BW853" s="1">
        <v>59.0</v>
      </c>
      <c r="BX853" s="1">
        <v>3753.832</v>
      </c>
      <c r="BY853" s="1">
        <v>6606.049</v>
      </c>
      <c r="BZ853" s="1">
        <v>9534.572</v>
      </c>
      <c r="CA853" s="1">
        <v>19016.906</v>
      </c>
      <c r="CB853" s="1">
        <v>177.0</v>
      </c>
      <c r="CC853" s="1">
        <v>0.022</v>
      </c>
      <c r="CD853" s="1">
        <v>652638.0</v>
      </c>
      <c r="CE853" s="1">
        <v>1050.0</v>
      </c>
      <c r="CF853" s="1">
        <v>179.0</v>
      </c>
      <c r="CG853" s="1">
        <v>2495954.0</v>
      </c>
      <c r="CH853" s="1">
        <v>34237.0</v>
      </c>
      <c r="CI853" s="1">
        <v>2.0</v>
      </c>
      <c r="CJ853" s="1">
        <v>176596.0</v>
      </c>
      <c r="CK853" s="1">
        <v>27.0</v>
      </c>
      <c r="CL853" s="1">
        <v>120853.0</v>
      </c>
      <c r="CM853" s="1">
        <v>45.0</v>
      </c>
      <c r="CN853" s="1">
        <v>1749721.0</v>
      </c>
      <c r="CO853" s="1">
        <v>69.0</v>
      </c>
      <c r="CP853" s="1">
        <v>389280.0</v>
      </c>
      <c r="CQ853" s="1">
        <v>7.0</v>
      </c>
      <c r="CR853" s="1">
        <v>0.0</v>
      </c>
      <c r="CS853" s="1">
        <v>1.0</v>
      </c>
      <c r="CT853" s="1">
        <v>25267.0</v>
      </c>
      <c r="CU853" s="1">
        <v>28.0</v>
      </c>
      <c r="CV853" s="1">
        <v>1504658.0</v>
      </c>
      <c r="CW853" s="1">
        <v>69.0</v>
      </c>
      <c r="DC853" s="1">
        <v>0.0</v>
      </c>
      <c r="DD853" s="1">
        <v>5075.0</v>
      </c>
      <c r="DE853" s="1">
        <v>0.0</v>
      </c>
      <c r="DF853" s="1">
        <v>3396.0</v>
      </c>
      <c r="DG853" s="1">
        <v>0.0</v>
      </c>
      <c r="DH853" s="1">
        <v>50536.0</v>
      </c>
      <c r="DI853" s="1">
        <v>1050.0</v>
      </c>
      <c r="DJ853" s="1">
        <v>593631.0</v>
      </c>
      <c r="DK853" s="1">
        <v>1234.256</v>
      </c>
      <c r="DL853" s="1" t="s">
        <v>992</v>
      </c>
      <c r="DM853" s="1">
        <v>2510.776</v>
      </c>
      <c r="DN853" s="1" t="s">
        <v>975</v>
      </c>
      <c r="DO853" s="1">
        <v>2495824.0</v>
      </c>
      <c r="DP853" s="1">
        <v>1.0</v>
      </c>
      <c r="DQ853" s="1" t="s">
        <v>976</v>
      </c>
      <c r="DR853" s="1" t="s">
        <v>1014</v>
      </c>
      <c r="DS853" s="1" t="s">
        <v>978</v>
      </c>
      <c r="DT853" s="1" t="s">
        <v>979</v>
      </c>
      <c r="DU853" s="1" t="s">
        <v>980</v>
      </c>
      <c r="DV853" s="1">
        <v>13848.0</v>
      </c>
      <c r="DX853" s="1">
        <v>3537.0</v>
      </c>
      <c r="DY853" s="1">
        <v>706185.0</v>
      </c>
      <c r="DZ853" s="1" t="s">
        <v>981</v>
      </c>
      <c r="EA853" s="1">
        <v>945.0</v>
      </c>
      <c r="EB853" s="1">
        <v>73165.0</v>
      </c>
      <c r="EC853" s="1">
        <v>3.0</v>
      </c>
      <c r="ED853" s="1">
        <v>26492.0</v>
      </c>
      <c r="EF853" s="1">
        <v>230.0</v>
      </c>
      <c r="EG853" s="1" t="s">
        <v>982</v>
      </c>
      <c r="EH853" s="1">
        <v>100.0</v>
      </c>
      <c r="EK853" s="1">
        <v>100.0</v>
      </c>
      <c r="EQ853" s="9" t="s">
        <v>3330</v>
      </c>
      <c r="ER853" s="21">
        <v>46045.29960648148</v>
      </c>
    </row>
    <row r="854">
      <c r="A854" s="9" t="s">
        <v>3335</v>
      </c>
      <c r="B854" s="20" t="str">
        <f>IFERROR(__xludf.DUMMYFUNCTION("REGEXREPLACE(A854, ""^https?://[^/]+"", """")"),"/wp-content/themes/salesxceleratione/assets/css/style.css?ver=1769123331")</f>
        <v>/wp-content/themes/salesxceleratione/assets/css/style.css?ver=1769123331</v>
      </c>
      <c r="F854" s="1" t="s">
        <v>1016</v>
      </c>
      <c r="G854" s="1">
        <v>200.0</v>
      </c>
      <c r="H854" s="1" t="s">
        <v>966</v>
      </c>
      <c r="I854" s="1" t="s">
        <v>967</v>
      </c>
      <c r="L854" s="1">
        <v>0.0</v>
      </c>
      <c r="M854" s="1">
        <v>0.0</v>
      </c>
      <c r="O854" s="1">
        <v>0.0</v>
      </c>
      <c r="P854" s="1">
        <v>0.0</v>
      </c>
      <c r="R854" s="1">
        <v>0.0</v>
      </c>
      <c r="S854" s="1">
        <v>0.0</v>
      </c>
      <c r="U854" s="1">
        <v>0.0</v>
      </c>
      <c r="W854" s="1">
        <v>0.0</v>
      </c>
      <c r="Y854" s="1">
        <v>0.0</v>
      </c>
      <c r="AA854" s="1">
        <v>0.0</v>
      </c>
      <c r="AC854" s="1">
        <v>0.0</v>
      </c>
      <c r="AM854" s="1">
        <v>17704.0</v>
      </c>
      <c r="AN854" s="1">
        <v>17704.0</v>
      </c>
      <c r="AO854" s="1">
        <v>17704.0</v>
      </c>
      <c r="AP854" s="1">
        <v>6.782</v>
      </c>
      <c r="AR854" s="1">
        <v>0.0</v>
      </c>
      <c r="AW854" s="1">
        <v>0.0</v>
      </c>
      <c r="AX854" s="1">
        <v>2.0</v>
      </c>
      <c r="AY854" s="1">
        <v>5.0</v>
      </c>
      <c r="BA854" s="1">
        <v>0.0</v>
      </c>
      <c r="BB854" s="1">
        <v>0.0</v>
      </c>
      <c r="BC854" s="1">
        <v>0.0</v>
      </c>
      <c r="BD854" s="1">
        <v>0.0</v>
      </c>
      <c r="BE854" s="1">
        <v>0.0</v>
      </c>
      <c r="BF854" s="1">
        <v>0.0</v>
      </c>
      <c r="BG854" s="1">
        <v>0.0</v>
      </c>
      <c r="BH854" s="1">
        <v>0.0</v>
      </c>
      <c r="BI854" s="1">
        <v>0.0</v>
      </c>
      <c r="BJ854" s="1">
        <v>0.0</v>
      </c>
      <c r="BP854" s="1">
        <v>0.257</v>
      </c>
      <c r="BQ854" s="1" t="s">
        <v>1349</v>
      </c>
      <c r="BV854" s="1">
        <v>1.1</v>
      </c>
      <c r="EQ854" s="9" t="s">
        <v>3335</v>
      </c>
      <c r="ER854" s="21">
        <v>46045.2996412037</v>
      </c>
    </row>
    <row r="855">
      <c r="A855" s="9" t="s">
        <v>3336</v>
      </c>
      <c r="B855" s="20" t="str">
        <f>IFERROR(__xludf.DUMMYFUNCTION("REGEXREPLACE(A855, ""^https?://[^/]+"", """")"),"/wp-content/uploads/elementor/css/post-7025.css?ver=1768845951")</f>
        <v>/wp-content/uploads/elementor/css/post-7025.css?ver=1768845951</v>
      </c>
      <c r="F855" s="1" t="s">
        <v>1016</v>
      </c>
      <c r="G855" s="1">
        <v>200.0</v>
      </c>
      <c r="H855" s="1" t="s">
        <v>966</v>
      </c>
      <c r="I855" s="1" t="s">
        <v>967</v>
      </c>
      <c r="L855" s="1">
        <v>0.0</v>
      </c>
      <c r="M855" s="1">
        <v>0.0</v>
      </c>
      <c r="O855" s="1">
        <v>0.0</v>
      </c>
      <c r="P855" s="1">
        <v>0.0</v>
      </c>
      <c r="R855" s="1">
        <v>0.0</v>
      </c>
      <c r="S855" s="1">
        <v>0.0</v>
      </c>
      <c r="U855" s="1">
        <v>0.0</v>
      </c>
      <c r="W855" s="1">
        <v>0.0</v>
      </c>
      <c r="Y855" s="1">
        <v>0.0</v>
      </c>
      <c r="AA855" s="1">
        <v>0.0</v>
      </c>
      <c r="AC855" s="1">
        <v>0.0</v>
      </c>
      <c r="AM855" s="1">
        <v>696.0</v>
      </c>
      <c r="AN855" s="1">
        <v>696.0</v>
      </c>
      <c r="AO855" s="1">
        <v>696.0</v>
      </c>
      <c r="AP855" s="1">
        <v>0.267</v>
      </c>
      <c r="AR855" s="1">
        <v>0.0</v>
      </c>
      <c r="AW855" s="1">
        <v>0.0</v>
      </c>
      <c r="AX855" s="1">
        <v>2.0</v>
      </c>
      <c r="AY855" s="1">
        <v>4.0</v>
      </c>
      <c r="BA855" s="1">
        <v>0.0</v>
      </c>
      <c r="BB855" s="1">
        <v>0.0</v>
      </c>
      <c r="BC855" s="1">
        <v>0.0</v>
      </c>
      <c r="BD855" s="1">
        <v>0.0</v>
      </c>
      <c r="BE855" s="1">
        <v>0.0</v>
      </c>
      <c r="BF855" s="1">
        <v>0.0</v>
      </c>
      <c r="BG855" s="1">
        <v>0.0</v>
      </c>
      <c r="BH855" s="1">
        <v>0.0</v>
      </c>
      <c r="BI855" s="1">
        <v>0.0</v>
      </c>
      <c r="BJ855" s="1">
        <v>0.0</v>
      </c>
      <c r="BP855" s="1">
        <v>0.254</v>
      </c>
      <c r="BQ855" s="1" t="s">
        <v>3337</v>
      </c>
      <c r="BV855" s="1">
        <v>1.1</v>
      </c>
      <c r="EQ855" s="9" t="s">
        <v>3336</v>
      </c>
      <c r="ER855" s="21">
        <v>46045.2996412037</v>
      </c>
    </row>
    <row r="856">
      <c r="A856" s="9" t="s">
        <v>3338</v>
      </c>
      <c r="B856" s="20" t="str">
        <f>IFERROR(__xludf.DUMMYFUNCTION("REGEXREPLACE(A856, ""^https?://[^/]+"", """")"),"/author/salesxceleration/")</f>
        <v>/author/salesxceleration/</v>
      </c>
      <c r="C856" s="1" t="s">
        <v>3339</v>
      </c>
      <c r="F856" s="1" t="s">
        <v>965</v>
      </c>
      <c r="G856" s="1">
        <v>200.0</v>
      </c>
      <c r="H856" s="1" t="s">
        <v>966</v>
      </c>
      <c r="I856" s="1" t="s">
        <v>967</v>
      </c>
      <c r="K856" s="1" t="s">
        <v>3340</v>
      </c>
      <c r="L856" s="1">
        <v>51.0</v>
      </c>
      <c r="M856" s="1">
        <v>466.0</v>
      </c>
      <c r="O856" s="1">
        <v>0.0</v>
      </c>
      <c r="P856" s="1">
        <v>0.0</v>
      </c>
      <c r="R856" s="1">
        <v>0.0</v>
      </c>
      <c r="S856" s="1">
        <v>0.0</v>
      </c>
      <c r="U856" s="1">
        <v>0.0</v>
      </c>
      <c r="V856" s="1" t="s">
        <v>3339</v>
      </c>
      <c r="W856" s="1">
        <v>22.0</v>
      </c>
      <c r="Y856" s="1">
        <v>0.0</v>
      </c>
      <c r="AA856" s="1">
        <v>0.0</v>
      </c>
      <c r="AC856" s="1">
        <v>0.0</v>
      </c>
      <c r="AD856" s="1" t="s">
        <v>971</v>
      </c>
      <c r="AG856" s="9" t="s">
        <v>3338</v>
      </c>
      <c r="AH856" s="9" t="s">
        <v>3341</v>
      </c>
      <c r="AM856" s="1">
        <v>190846.0</v>
      </c>
      <c r="AN856" s="1">
        <v>34107.0</v>
      </c>
      <c r="AO856" s="1">
        <v>34107.0</v>
      </c>
      <c r="AP856" s="1">
        <v>13.066</v>
      </c>
      <c r="AR856" s="1">
        <v>1095.0</v>
      </c>
      <c r="AS856" s="1">
        <v>193.0</v>
      </c>
      <c r="AT856" s="1">
        <v>5.674</v>
      </c>
      <c r="AU856" s="1">
        <v>63.862</v>
      </c>
      <c r="AV856" s="1" t="s">
        <v>990</v>
      </c>
      <c r="AW856" s="1">
        <v>4.824</v>
      </c>
      <c r="AX856" s="1">
        <v>2.0</v>
      </c>
      <c r="AY856" s="1">
        <v>2.0</v>
      </c>
      <c r="AZ856" s="1">
        <v>5.0</v>
      </c>
      <c r="BA856" s="1">
        <v>1041.0</v>
      </c>
      <c r="BB856" s="1">
        <v>347.0</v>
      </c>
      <c r="BC856" s="1">
        <v>0.0</v>
      </c>
      <c r="BD856" s="1">
        <v>46.02</v>
      </c>
      <c r="BE856" s="1">
        <v>182.0</v>
      </c>
      <c r="BF856" s="1">
        <v>62.0</v>
      </c>
      <c r="BG856" s="1">
        <v>0.0</v>
      </c>
      <c r="BH856" s="1">
        <v>16.0</v>
      </c>
      <c r="BI856" s="1">
        <v>8.0</v>
      </c>
      <c r="BJ856" s="1">
        <v>0.0</v>
      </c>
      <c r="BO856" s="1" t="s">
        <v>3342</v>
      </c>
      <c r="BP856" s="1">
        <v>1.104</v>
      </c>
      <c r="BU856" s="1" t="s">
        <v>974</v>
      </c>
      <c r="BV856" s="1">
        <v>1.1</v>
      </c>
      <c r="BW856" s="1">
        <v>56.0</v>
      </c>
      <c r="BX856" s="1">
        <v>3601.032</v>
      </c>
      <c r="BY856" s="1">
        <v>6851.984</v>
      </c>
      <c r="BZ856" s="1">
        <v>5776.053</v>
      </c>
      <c r="CA856" s="1">
        <v>17972.592</v>
      </c>
      <c r="CB856" s="1">
        <v>346.5</v>
      </c>
      <c r="CC856" s="1">
        <v>0.045</v>
      </c>
      <c r="CD856" s="1">
        <v>651312.0</v>
      </c>
      <c r="CE856" s="1">
        <v>1060.0</v>
      </c>
      <c r="CF856" s="1">
        <v>174.0</v>
      </c>
      <c r="CG856" s="1">
        <v>2279886.0</v>
      </c>
      <c r="CH856" s="1">
        <v>34938.0</v>
      </c>
      <c r="CI856" s="1">
        <v>2.0</v>
      </c>
      <c r="CJ856" s="1">
        <v>64281.0</v>
      </c>
      <c r="CK856" s="1">
        <v>28.0</v>
      </c>
      <c r="CL856" s="1">
        <v>118671.0</v>
      </c>
      <c r="CM856" s="1">
        <v>40.0</v>
      </c>
      <c r="CN856" s="1">
        <v>1752237.0</v>
      </c>
      <c r="CO856" s="1">
        <v>70.0</v>
      </c>
      <c r="CP856" s="1">
        <v>284722.0</v>
      </c>
      <c r="CQ856" s="1">
        <v>6.0</v>
      </c>
      <c r="CR856" s="1">
        <v>0.0</v>
      </c>
      <c r="CS856" s="1">
        <v>0.0</v>
      </c>
      <c r="CT856" s="1">
        <v>25037.0</v>
      </c>
      <c r="CU856" s="1">
        <v>28.0</v>
      </c>
      <c r="CV856" s="1">
        <v>1505933.0</v>
      </c>
      <c r="CW856" s="1">
        <v>72.0</v>
      </c>
      <c r="DC856" s="1">
        <v>0.0</v>
      </c>
      <c r="DD856" s="1">
        <v>5075.0</v>
      </c>
      <c r="DE856" s="1">
        <v>0.0</v>
      </c>
      <c r="DF856" s="1">
        <v>3396.0</v>
      </c>
      <c r="DG856" s="1">
        <v>310.0</v>
      </c>
      <c r="DH856" s="1">
        <v>50603.0</v>
      </c>
      <c r="DI856" s="1">
        <v>750.0</v>
      </c>
      <c r="DJ856" s="1">
        <v>592238.0</v>
      </c>
      <c r="DK856" s="1">
        <v>1576.088</v>
      </c>
      <c r="DL856" s="1" t="s">
        <v>975</v>
      </c>
      <c r="DM856" s="1">
        <v>2872.447</v>
      </c>
      <c r="DN856" s="1" t="s">
        <v>975</v>
      </c>
      <c r="DO856" s="1">
        <v>2278615.0</v>
      </c>
      <c r="DP856" s="1">
        <v>1.0</v>
      </c>
      <c r="DQ856" s="1" t="s">
        <v>976</v>
      </c>
      <c r="DR856" s="1" t="s">
        <v>3343</v>
      </c>
      <c r="DS856" s="1" t="s">
        <v>978</v>
      </c>
      <c r="DU856" s="1" t="s">
        <v>980</v>
      </c>
      <c r="DV856" s="1">
        <v>13094.0</v>
      </c>
      <c r="DX856" s="1">
        <v>4025.0</v>
      </c>
      <c r="DY856" s="1">
        <v>619037.0</v>
      </c>
      <c r="DZ856" s="1" t="s">
        <v>981</v>
      </c>
      <c r="EA856" s="1">
        <v>975.0</v>
      </c>
      <c r="EB856" s="1">
        <v>4453.0</v>
      </c>
      <c r="EC856" s="1">
        <v>1.0</v>
      </c>
      <c r="ED856" s="1">
        <v>26492.0</v>
      </c>
      <c r="EF856" s="1">
        <v>255.0</v>
      </c>
      <c r="EG856" s="1" t="s">
        <v>982</v>
      </c>
      <c r="EH856" s="1">
        <v>100.0</v>
      </c>
      <c r="EK856" s="1">
        <v>100.0</v>
      </c>
      <c r="EQ856" s="9" t="s">
        <v>3338</v>
      </c>
      <c r="ER856" s="21">
        <v>46045.2996412037</v>
      </c>
    </row>
    <row r="857">
      <c r="A857" s="9" t="s">
        <v>3344</v>
      </c>
      <c r="B857" s="20" t="str">
        <f>IFERROR(__xludf.DUMMYFUNCTION("REGEXREPLACE(A857, ""^https?://[^/]+"", """")"),"/wp-content/uploads/elementor/css/post-71610.css?ver=1768846233")</f>
        <v>/wp-content/uploads/elementor/css/post-71610.css?ver=1768846233</v>
      </c>
      <c r="F857" s="1" t="s">
        <v>1016</v>
      </c>
      <c r="G857" s="1">
        <v>200.0</v>
      </c>
      <c r="H857" s="1" t="s">
        <v>966</v>
      </c>
      <c r="I857" s="1" t="s">
        <v>967</v>
      </c>
      <c r="L857" s="1">
        <v>0.0</v>
      </c>
      <c r="M857" s="1">
        <v>0.0</v>
      </c>
      <c r="O857" s="1">
        <v>0.0</v>
      </c>
      <c r="P857" s="1">
        <v>0.0</v>
      </c>
      <c r="R857" s="1">
        <v>0.0</v>
      </c>
      <c r="S857" s="1">
        <v>0.0</v>
      </c>
      <c r="U857" s="1">
        <v>0.0</v>
      </c>
      <c r="W857" s="1">
        <v>0.0</v>
      </c>
      <c r="Y857" s="1">
        <v>0.0</v>
      </c>
      <c r="AA857" s="1">
        <v>0.0</v>
      </c>
      <c r="AC857" s="1">
        <v>0.0</v>
      </c>
      <c r="AM857" s="1">
        <v>3941.0</v>
      </c>
      <c r="AN857" s="1">
        <v>3941.0</v>
      </c>
      <c r="AO857" s="1">
        <v>3941.0</v>
      </c>
      <c r="AP857" s="1">
        <v>1.51</v>
      </c>
      <c r="AR857" s="1">
        <v>0.0</v>
      </c>
      <c r="AW857" s="1">
        <v>0.0</v>
      </c>
      <c r="AX857" s="1">
        <v>2.0</v>
      </c>
      <c r="AY857" s="1">
        <v>4.0</v>
      </c>
      <c r="BA857" s="1">
        <v>0.0</v>
      </c>
      <c r="BB857" s="1">
        <v>0.0</v>
      </c>
      <c r="BC857" s="1">
        <v>0.0</v>
      </c>
      <c r="BD857" s="1">
        <v>0.0</v>
      </c>
      <c r="BE857" s="1">
        <v>0.0</v>
      </c>
      <c r="BF857" s="1">
        <v>0.0</v>
      </c>
      <c r="BG857" s="1">
        <v>0.0</v>
      </c>
      <c r="BH857" s="1">
        <v>0.0</v>
      </c>
      <c r="BI857" s="1">
        <v>0.0</v>
      </c>
      <c r="BJ857" s="1">
        <v>0.0</v>
      </c>
      <c r="BP857" s="1">
        <v>0.262</v>
      </c>
      <c r="BQ857" s="1" t="s">
        <v>3345</v>
      </c>
      <c r="BV857" s="1">
        <v>1.1</v>
      </c>
      <c r="EQ857" s="9" t="s">
        <v>3344</v>
      </c>
      <c r="ER857" s="21">
        <v>46045.29966435185</v>
      </c>
    </row>
    <row r="858">
      <c r="A858" s="9" t="s">
        <v>3346</v>
      </c>
      <c r="B858" s="20" t="str">
        <f>IFERROR(__xludf.DUMMYFUNCTION("REGEXREPLACE(A858, ""^https?://[^/]+"", """")"),"/wp-content/uploads/elementor/thumbs/Team_Main-Header-2-qsxzye0cqu1dtlgk2k7eho18f5iyjfwy15n1ejydos.jpg")</f>
        <v>/wp-content/uploads/elementor/thumbs/Team_Main-Header-2-qsxzye0cqu1dtlgk2k7eho18f5iyjfwy15n1ejydos.jpg</v>
      </c>
      <c r="F858" s="1" t="s">
        <v>1004</v>
      </c>
      <c r="G858" s="1">
        <v>200.0</v>
      </c>
      <c r="H858" s="1" t="s">
        <v>966</v>
      </c>
      <c r="I858" s="1" t="s">
        <v>967</v>
      </c>
      <c r="L858" s="1">
        <v>0.0</v>
      </c>
      <c r="M858" s="1">
        <v>0.0</v>
      </c>
      <c r="O858" s="1">
        <v>0.0</v>
      </c>
      <c r="P858" s="1">
        <v>0.0</v>
      </c>
      <c r="R858" s="1">
        <v>0.0</v>
      </c>
      <c r="S858" s="1">
        <v>0.0</v>
      </c>
      <c r="U858" s="1">
        <v>0.0</v>
      </c>
      <c r="W858" s="1">
        <v>0.0</v>
      </c>
      <c r="Y858" s="1">
        <v>0.0</v>
      </c>
      <c r="AA858" s="1">
        <v>0.0</v>
      </c>
      <c r="AC858" s="1">
        <v>0.0</v>
      </c>
      <c r="AM858" s="1">
        <v>75874.0</v>
      </c>
      <c r="AN858" s="1">
        <v>75874.0</v>
      </c>
      <c r="AO858" s="1">
        <v>75874.0</v>
      </c>
      <c r="AP858" s="1">
        <v>29.066</v>
      </c>
      <c r="AR858" s="1">
        <v>0.0</v>
      </c>
      <c r="AW858" s="1">
        <v>0.0</v>
      </c>
      <c r="AX858" s="1">
        <v>2.0</v>
      </c>
      <c r="AY858" s="1">
        <v>4.0</v>
      </c>
      <c r="BA858" s="1">
        <v>0.0</v>
      </c>
      <c r="BB858" s="1">
        <v>0.0</v>
      </c>
      <c r="BC858" s="1">
        <v>0.0</v>
      </c>
      <c r="BD858" s="1">
        <v>0.0</v>
      </c>
      <c r="BE858" s="1">
        <v>0.0</v>
      </c>
      <c r="BF858" s="1">
        <v>0.0</v>
      </c>
      <c r="BG858" s="1">
        <v>0.0</v>
      </c>
      <c r="BH858" s="1">
        <v>0.0</v>
      </c>
      <c r="BI858" s="1">
        <v>0.0</v>
      </c>
      <c r="BJ858" s="1">
        <v>0.0</v>
      </c>
      <c r="BP858" s="1">
        <v>0.272</v>
      </c>
      <c r="BQ858" s="1" t="s">
        <v>3347</v>
      </c>
      <c r="BV858" s="1">
        <v>1.1</v>
      </c>
      <c r="EQ858" s="9" t="s">
        <v>3346</v>
      </c>
      <c r="ER858" s="21">
        <v>46045.299675925926</v>
      </c>
    </row>
    <row r="859">
      <c r="A859" s="9" t="s">
        <v>3348</v>
      </c>
      <c r="B859" s="20" t="str">
        <f>IFERROR(__xludf.DUMMYFUNCTION("REGEXREPLACE(A859, ""^https?://[^/]+"", """")"),"/wp-content/uploads/2014/12/two-things-you-must-do-after-your-prospect-agrees-to-meet-with-you-11.jpg")</f>
        <v>/wp-content/uploads/2014/12/two-things-you-must-do-after-your-prospect-agrees-to-meet-with-you-11.jpg</v>
      </c>
      <c r="F859" s="1" t="s">
        <v>1004</v>
      </c>
      <c r="G859" s="1">
        <v>200.0</v>
      </c>
      <c r="H859" s="1" t="s">
        <v>966</v>
      </c>
      <c r="I859" s="1" t="s">
        <v>967</v>
      </c>
      <c r="L859" s="1">
        <v>0.0</v>
      </c>
      <c r="M859" s="1">
        <v>0.0</v>
      </c>
      <c r="O859" s="1">
        <v>0.0</v>
      </c>
      <c r="P859" s="1">
        <v>0.0</v>
      </c>
      <c r="R859" s="1">
        <v>0.0</v>
      </c>
      <c r="S859" s="1">
        <v>0.0</v>
      </c>
      <c r="U859" s="1">
        <v>0.0</v>
      </c>
      <c r="W859" s="1">
        <v>0.0</v>
      </c>
      <c r="Y859" s="1">
        <v>0.0</v>
      </c>
      <c r="AA859" s="1">
        <v>0.0</v>
      </c>
      <c r="AC859" s="1">
        <v>0.0</v>
      </c>
      <c r="AM859" s="1">
        <v>22017.0</v>
      </c>
      <c r="AN859" s="1">
        <v>22017.0</v>
      </c>
      <c r="AO859" s="1">
        <v>22017.0</v>
      </c>
      <c r="AP859" s="1">
        <v>8.434</v>
      </c>
      <c r="AR859" s="1">
        <v>0.0</v>
      </c>
      <c r="AW859" s="1">
        <v>0.0</v>
      </c>
      <c r="AX859" s="1">
        <v>2.0</v>
      </c>
      <c r="AY859" s="1">
        <v>4.0</v>
      </c>
      <c r="BA859" s="1">
        <v>0.0</v>
      </c>
      <c r="BB859" s="1">
        <v>0.0</v>
      </c>
      <c r="BC859" s="1">
        <v>0.0</v>
      </c>
      <c r="BD859" s="1">
        <v>0.0</v>
      </c>
      <c r="BE859" s="1">
        <v>0.0</v>
      </c>
      <c r="BF859" s="1">
        <v>0.0</v>
      </c>
      <c r="BG859" s="1">
        <v>0.0</v>
      </c>
      <c r="BH859" s="1">
        <v>0.0</v>
      </c>
      <c r="BI859" s="1">
        <v>0.0</v>
      </c>
      <c r="BJ859" s="1">
        <v>0.0</v>
      </c>
      <c r="BP859" s="1">
        <v>0.276</v>
      </c>
      <c r="BQ859" s="1" t="s">
        <v>3349</v>
      </c>
      <c r="BV859" s="1">
        <v>1.1</v>
      </c>
      <c r="EQ859" s="9" t="s">
        <v>3348</v>
      </c>
      <c r="ER859" s="21">
        <v>46045.299675925926</v>
      </c>
    </row>
    <row r="860">
      <c r="A860" s="9" t="s">
        <v>3350</v>
      </c>
      <c r="B860" s="20" t="str">
        <f>IFERROR(__xludf.DUMMYFUNCTION("REGEXREPLACE(A860, ""^https?://[^/]+"", """")"),"/wp-content/themes/salesxceleratione/assets/css/style.css?ver=1769123332")</f>
        <v>/wp-content/themes/salesxceleratione/assets/css/style.css?ver=1769123332</v>
      </c>
      <c r="F860" s="1" t="s">
        <v>1016</v>
      </c>
      <c r="G860" s="1">
        <v>200.0</v>
      </c>
      <c r="H860" s="1" t="s">
        <v>966</v>
      </c>
      <c r="I860" s="1" t="s">
        <v>967</v>
      </c>
      <c r="L860" s="1">
        <v>0.0</v>
      </c>
      <c r="M860" s="1">
        <v>0.0</v>
      </c>
      <c r="O860" s="1">
        <v>0.0</v>
      </c>
      <c r="P860" s="1">
        <v>0.0</v>
      </c>
      <c r="R860" s="1">
        <v>0.0</v>
      </c>
      <c r="S860" s="1">
        <v>0.0</v>
      </c>
      <c r="U860" s="1">
        <v>0.0</v>
      </c>
      <c r="W860" s="1">
        <v>0.0</v>
      </c>
      <c r="Y860" s="1">
        <v>0.0</v>
      </c>
      <c r="AA860" s="1">
        <v>0.0</v>
      </c>
      <c r="AC860" s="1">
        <v>0.0</v>
      </c>
      <c r="AM860" s="1">
        <v>17704.0</v>
      </c>
      <c r="AN860" s="1">
        <v>17704.0</v>
      </c>
      <c r="AO860" s="1">
        <v>17704.0</v>
      </c>
      <c r="AP860" s="1">
        <v>6.782</v>
      </c>
      <c r="AR860" s="1">
        <v>0.0</v>
      </c>
      <c r="AW860" s="1">
        <v>0.0</v>
      </c>
      <c r="AX860" s="1">
        <v>2.0</v>
      </c>
      <c r="AY860" s="1">
        <v>5.0</v>
      </c>
      <c r="BA860" s="1">
        <v>0.0</v>
      </c>
      <c r="BB860" s="1">
        <v>0.0</v>
      </c>
      <c r="BC860" s="1">
        <v>0.0</v>
      </c>
      <c r="BD860" s="1">
        <v>0.0</v>
      </c>
      <c r="BE860" s="1">
        <v>0.0</v>
      </c>
      <c r="BF860" s="1">
        <v>0.0</v>
      </c>
      <c r="BG860" s="1">
        <v>0.0</v>
      </c>
      <c r="BH860" s="1">
        <v>0.0</v>
      </c>
      <c r="BI860" s="1">
        <v>0.0</v>
      </c>
      <c r="BJ860" s="1">
        <v>0.0</v>
      </c>
      <c r="BP860" s="1">
        <v>0.279</v>
      </c>
      <c r="BQ860" s="1" t="s">
        <v>3351</v>
      </c>
      <c r="BV860" s="1">
        <v>1.1</v>
      </c>
      <c r="EQ860" s="9" t="s">
        <v>3350</v>
      </c>
      <c r="ER860" s="21">
        <v>46045.299675925926</v>
      </c>
    </row>
    <row r="861">
      <c r="A861" s="9" t="s">
        <v>3352</v>
      </c>
      <c r="B861" s="20" t="str">
        <f>IFERROR(__xludf.DUMMYFUNCTION("REGEXREPLACE(A861, ""^https?://[^/]+"", """")"),"/wp-content/uploads/elementor/css/post-70364.css?ver=1768846661")</f>
        <v>/wp-content/uploads/elementor/css/post-70364.css?ver=1768846661</v>
      </c>
      <c r="F861" s="1" t="s">
        <v>1016</v>
      </c>
      <c r="G861" s="1">
        <v>200.0</v>
      </c>
      <c r="H861" s="1" t="s">
        <v>966</v>
      </c>
      <c r="I861" s="1" t="s">
        <v>967</v>
      </c>
      <c r="L861" s="1">
        <v>0.0</v>
      </c>
      <c r="M861" s="1">
        <v>0.0</v>
      </c>
      <c r="O861" s="1">
        <v>0.0</v>
      </c>
      <c r="P861" s="1">
        <v>0.0</v>
      </c>
      <c r="R861" s="1">
        <v>0.0</v>
      </c>
      <c r="S861" s="1">
        <v>0.0</v>
      </c>
      <c r="U861" s="1">
        <v>0.0</v>
      </c>
      <c r="W861" s="1">
        <v>0.0</v>
      </c>
      <c r="Y861" s="1">
        <v>0.0</v>
      </c>
      <c r="AA861" s="1">
        <v>0.0</v>
      </c>
      <c r="AC861" s="1">
        <v>0.0</v>
      </c>
      <c r="AM861" s="1">
        <v>1832.0</v>
      </c>
      <c r="AN861" s="1">
        <v>1832.0</v>
      </c>
      <c r="AO861" s="1">
        <v>1832.0</v>
      </c>
      <c r="AP861" s="1">
        <v>0.702</v>
      </c>
      <c r="AR861" s="1">
        <v>0.0</v>
      </c>
      <c r="AW861" s="1">
        <v>0.0</v>
      </c>
      <c r="AX861" s="1">
        <v>2.0</v>
      </c>
      <c r="AY861" s="1">
        <v>4.0</v>
      </c>
      <c r="BA861" s="1">
        <v>0.0</v>
      </c>
      <c r="BB861" s="1">
        <v>0.0</v>
      </c>
      <c r="BC861" s="1">
        <v>0.0</v>
      </c>
      <c r="BD861" s="1">
        <v>0.0</v>
      </c>
      <c r="BE861" s="1">
        <v>0.0</v>
      </c>
      <c r="BF861" s="1">
        <v>0.0</v>
      </c>
      <c r="BG861" s="1">
        <v>0.0</v>
      </c>
      <c r="BH861" s="1">
        <v>0.0</v>
      </c>
      <c r="BI861" s="1">
        <v>0.0</v>
      </c>
      <c r="BJ861" s="1">
        <v>0.0</v>
      </c>
      <c r="BP861" s="1">
        <v>0.267</v>
      </c>
      <c r="BQ861" s="1" t="s">
        <v>3353</v>
      </c>
      <c r="BV861" s="1">
        <v>1.1</v>
      </c>
      <c r="EQ861" s="9" t="s">
        <v>3352</v>
      </c>
      <c r="ER861" s="21">
        <v>46045.299675925926</v>
      </c>
    </row>
    <row r="862">
      <c r="A862" s="9" t="s">
        <v>3354</v>
      </c>
      <c r="B862" s="20" t="str">
        <f>IFERROR(__xludf.DUMMYFUNCTION("REGEXREPLACE(A862, ""^https?://[^/]+"", """")"),"/wp-content/uploads/2025/03/Case-Study_5-Million-Dollar-Turnaround.jpg")</f>
        <v>/wp-content/uploads/2025/03/Case-Study_5-Million-Dollar-Turnaround.jpg</v>
      </c>
      <c r="F862" s="1" t="s">
        <v>1004</v>
      </c>
      <c r="G862" s="1">
        <v>200.0</v>
      </c>
      <c r="H862" s="1" t="s">
        <v>966</v>
      </c>
      <c r="I862" s="1" t="s">
        <v>967</v>
      </c>
      <c r="L862" s="1">
        <v>0.0</v>
      </c>
      <c r="M862" s="1">
        <v>0.0</v>
      </c>
      <c r="O862" s="1">
        <v>0.0</v>
      </c>
      <c r="P862" s="1">
        <v>0.0</v>
      </c>
      <c r="R862" s="1">
        <v>0.0</v>
      </c>
      <c r="S862" s="1">
        <v>0.0</v>
      </c>
      <c r="U862" s="1">
        <v>0.0</v>
      </c>
      <c r="W862" s="1">
        <v>0.0</v>
      </c>
      <c r="Y862" s="1">
        <v>0.0</v>
      </c>
      <c r="AA862" s="1">
        <v>0.0</v>
      </c>
      <c r="AC862" s="1">
        <v>0.0</v>
      </c>
      <c r="AM862" s="1">
        <v>154026.0</v>
      </c>
      <c r="AN862" s="1">
        <v>154026.0</v>
      </c>
      <c r="AO862" s="1">
        <v>154026.0</v>
      </c>
      <c r="AP862" s="1">
        <v>59.004</v>
      </c>
      <c r="AR862" s="1">
        <v>0.0</v>
      </c>
      <c r="AW862" s="1">
        <v>0.0</v>
      </c>
      <c r="AX862" s="1">
        <v>2.0</v>
      </c>
      <c r="AY862" s="1">
        <v>4.0</v>
      </c>
      <c r="BA862" s="1">
        <v>0.0</v>
      </c>
      <c r="BB862" s="1">
        <v>0.0</v>
      </c>
      <c r="BC862" s="1">
        <v>0.0</v>
      </c>
      <c r="BD862" s="1">
        <v>0.0</v>
      </c>
      <c r="BE862" s="1">
        <v>0.0</v>
      </c>
      <c r="BF862" s="1">
        <v>0.0</v>
      </c>
      <c r="BG862" s="1">
        <v>0.0</v>
      </c>
      <c r="BH862" s="1">
        <v>0.0</v>
      </c>
      <c r="BI862" s="1">
        <v>0.0</v>
      </c>
      <c r="BJ862" s="1">
        <v>0.0</v>
      </c>
      <c r="BP862" s="1">
        <v>0.281</v>
      </c>
      <c r="BQ862" s="1" t="s">
        <v>3355</v>
      </c>
      <c r="BV862" s="1">
        <v>1.1</v>
      </c>
      <c r="EQ862" s="9" t="s">
        <v>3354</v>
      </c>
      <c r="ER862" s="21">
        <v>46045.299675925926</v>
      </c>
    </row>
    <row r="863">
      <c r="A863" s="9" t="s">
        <v>3356</v>
      </c>
      <c r="B863" s="20" t="str">
        <f>IFERROR(__xludf.DUMMYFUNCTION("REGEXREPLACE(A863, ""^https?://[^/]+"", """")"),"/wp-content/themes/salesxceleratione/assets/css/style.css?ver=1769123334")</f>
        <v>/wp-content/themes/salesxceleratione/assets/css/style.css?ver=1769123334</v>
      </c>
      <c r="F863" s="1" t="s">
        <v>1016</v>
      </c>
      <c r="G863" s="1">
        <v>200.0</v>
      </c>
      <c r="H863" s="1" t="s">
        <v>966</v>
      </c>
      <c r="I863" s="1" t="s">
        <v>967</v>
      </c>
      <c r="L863" s="1">
        <v>0.0</v>
      </c>
      <c r="M863" s="1">
        <v>0.0</v>
      </c>
      <c r="O863" s="1">
        <v>0.0</v>
      </c>
      <c r="P863" s="1">
        <v>0.0</v>
      </c>
      <c r="R863" s="1">
        <v>0.0</v>
      </c>
      <c r="S863" s="1">
        <v>0.0</v>
      </c>
      <c r="U863" s="1">
        <v>0.0</v>
      </c>
      <c r="W863" s="1">
        <v>0.0</v>
      </c>
      <c r="Y863" s="1">
        <v>0.0</v>
      </c>
      <c r="AA863" s="1">
        <v>0.0</v>
      </c>
      <c r="AC863" s="1">
        <v>0.0</v>
      </c>
      <c r="AM863" s="1">
        <v>17704.0</v>
      </c>
      <c r="AN863" s="1">
        <v>17704.0</v>
      </c>
      <c r="AO863" s="1">
        <v>17704.0</v>
      </c>
      <c r="AP863" s="1">
        <v>6.782</v>
      </c>
      <c r="AR863" s="1">
        <v>0.0</v>
      </c>
      <c r="AW863" s="1">
        <v>0.0</v>
      </c>
      <c r="AX863" s="1">
        <v>2.0</v>
      </c>
      <c r="AY863" s="1">
        <v>5.0</v>
      </c>
      <c r="BA863" s="1">
        <v>0.0</v>
      </c>
      <c r="BB863" s="1">
        <v>0.0</v>
      </c>
      <c r="BC863" s="1">
        <v>0.0</v>
      </c>
      <c r="BD863" s="1">
        <v>0.0</v>
      </c>
      <c r="BE863" s="1">
        <v>0.0</v>
      </c>
      <c r="BF863" s="1">
        <v>0.0</v>
      </c>
      <c r="BG863" s="1">
        <v>0.0</v>
      </c>
      <c r="BH863" s="1">
        <v>0.0</v>
      </c>
      <c r="BI863" s="1">
        <v>0.0</v>
      </c>
      <c r="BJ863" s="1">
        <v>0.0</v>
      </c>
      <c r="BP863" s="1">
        <v>0.279</v>
      </c>
      <c r="BQ863" s="1" t="s">
        <v>3351</v>
      </c>
      <c r="BV863" s="1">
        <v>1.1</v>
      </c>
      <c r="EQ863" s="9" t="s">
        <v>3356</v>
      </c>
      <c r="ER863" s="21">
        <v>46045.299675925926</v>
      </c>
    </row>
    <row r="864">
      <c r="A864" s="9" t="s">
        <v>3357</v>
      </c>
      <c r="B864" s="20" t="str">
        <f>IFERROR(__xludf.DUMMYFUNCTION("REGEXREPLACE(A864, ""^https?://[^/]+"", """")"),"/wp-content/uploads/2025/03/Case-Study_25x-Return-On-Investment-In-One-Year.jpg")</f>
        <v>/wp-content/uploads/2025/03/Case-Study_25x-Return-On-Investment-In-One-Year.jpg</v>
      </c>
      <c r="F864" s="1" t="s">
        <v>1004</v>
      </c>
      <c r="G864" s="1">
        <v>200.0</v>
      </c>
      <c r="H864" s="1" t="s">
        <v>966</v>
      </c>
      <c r="I864" s="1" t="s">
        <v>967</v>
      </c>
      <c r="L864" s="1">
        <v>0.0</v>
      </c>
      <c r="M864" s="1">
        <v>0.0</v>
      </c>
      <c r="O864" s="1">
        <v>0.0</v>
      </c>
      <c r="P864" s="1">
        <v>0.0</v>
      </c>
      <c r="R864" s="1">
        <v>0.0</v>
      </c>
      <c r="S864" s="1">
        <v>0.0</v>
      </c>
      <c r="U864" s="1">
        <v>0.0</v>
      </c>
      <c r="W864" s="1">
        <v>0.0</v>
      </c>
      <c r="Y864" s="1">
        <v>0.0</v>
      </c>
      <c r="AA864" s="1">
        <v>0.0</v>
      </c>
      <c r="AC864" s="1">
        <v>0.0</v>
      </c>
      <c r="AM864" s="1">
        <v>193711.0</v>
      </c>
      <c r="AN864" s="1">
        <v>193711.0</v>
      </c>
      <c r="AO864" s="1">
        <v>193711.0</v>
      </c>
      <c r="AP864" s="1">
        <v>74.207</v>
      </c>
      <c r="AR864" s="1">
        <v>0.0</v>
      </c>
      <c r="AW864" s="1">
        <v>0.0</v>
      </c>
      <c r="AX864" s="1">
        <v>2.0</v>
      </c>
      <c r="AY864" s="1">
        <v>4.0</v>
      </c>
      <c r="BA864" s="1">
        <v>0.0</v>
      </c>
      <c r="BB864" s="1">
        <v>0.0</v>
      </c>
      <c r="BC864" s="1">
        <v>0.0</v>
      </c>
      <c r="BD864" s="1">
        <v>0.0</v>
      </c>
      <c r="BE864" s="1">
        <v>0.0</v>
      </c>
      <c r="BF864" s="1">
        <v>0.0</v>
      </c>
      <c r="BG864" s="1">
        <v>0.0</v>
      </c>
      <c r="BH864" s="1">
        <v>0.0</v>
      </c>
      <c r="BI864" s="1">
        <v>0.0</v>
      </c>
      <c r="BJ864" s="1">
        <v>0.0</v>
      </c>
      <c r="BP864" s="1">
        <v>0.266</v>
      </c>
      <c r="BQ864" s="1" t="s">
        <v>3358</v>
      </c>
      <c r="BV864" s="1">
        <v>1.1</v>
      </c>
      <c r="EQ864" s="9" t="s">
        <v>3357</v>
      </c>
      <c r="ER864" s="21">
        <v>46045.299675925926</v>
      </c>
    </row>
    <row r="865">
      <c r="A865" s="9" t="s">
        <v>3359</v>
      </c>
      <c r="B865" s="20" t="str">
        <f>IFERROR(__xludf.DUMMYFUNCTION("REGEXREPLACE(A865, ""^https?://[^/]+"", """")"),"/wp-content/uploads/elementor/css/post-67701.css?ver=1768848925")</f>
        <v>/wp-content/uploads/elementor/css/post-67701.css?ver=1768848925</v>
      </c>
      <c r="F865" s="1" t="s">
        <v>1016</v>
      </c>
      <c r="G865" s="1">
        <v>200.0</v>
      </c>
      <c r="H865" s="1" t="s">
        <v>966</v>
      </c>
      <c r="I865" s="1" t="s">
        <v>967</v>
      </c>
      <c r="L865" s="1">
        <v>0.0</v>
      </c>
      <c r="M865" s="1">
        <v>0.0</v>
      </c>
      <c r="O865" s="1">
        <v>0.0</v>
      </c>
      <c r="P865" s="1">
        <v>0.0</v>
      </c>
      <c r="R865" s="1">
        <v>0.0</v>
      </c>
      <c r="S865" s="1">
        <v>0.0</v>
      </c>
      <c r="U865" s="1">
        <v>0.0</v>
      </c>
      <c r="W865" s="1">
        <v>0.0</v>
      </c>
      <c r="Y865" s="1">
        <v>0.0</v>
      </c>
      <c r="AA865" s="1">
        <v>0.0</v>
      </c>
      <c r="AC865" s="1">
        <v>0.0</v>
      </c>
      <c r="AM865" s="1">
        <v>1474.0</v>
      </c>
      <c r="AN865" s="1">
        <v>1474.0</v>
      </c>
      <c r="AO865" s="1">
        <v>1474.0</v>
      </c>
      <c r="AP865" s="1">
        <v>0.565</v>
      </c>
      <c r="AR865" s="1">
        <v>0.0</v>
      </c>
      <c r="AW865" s="1">
        <v>0.0</v>
      </c>
      <c r="AX865" s="1">
        <v>2.0</v>
      </c>
      <c r="AY865" s="1">
        <v>4.0</v>
      </c>
      <c r="BA865" s="1">
        <v>0.0</v>
      </c>
      <c r="BB865" s="1">
        <v>0.0</v>
      </c>
      <c r="BC865" s="1">
        <v>0.0</v>
      </c>
      <c r="BD865" s="1">
        <v>0.0</v>
      </c>
      <c r="BE865" s="1">
        <v>0.0</v>
      </c>
      <c r="BF865" s="1">
        <v>0.0</v>
      </c>
      <c r="BG865" s="1">
        <v>0.0</v>
      </c>
      <c r="BH865" s="1">
        <v>0.0</v>
      </c>
      <c r="BI865" s="1">
        <v>0.0</v>
      </c>
      <c r="BJ865" s="1">
        <v>0.0</v>
      </c>
      <c r="BP865" s="1">
        <v>0.261</v>
      </c>
      <c r="BQ865" s="1" t="s">
        <v>3360</v>
      </c>
      <c r="BV865" s="1">
        <v>1.1</v>
      </c>
      <c r="EQ865" s="9" t="s">
        <v>3359</v>
      </c>
      <c r="ER865" s="21">
        <v>46045.299675925926</v>
      </c>
    </row>
    <row r="866">
      <c r="A866" s="9" t="s">
        <v>3361</v>
      </c>
      <c r="B866" s="20" t="str">
        <f>IFERROR(__xludf.DUMMYFUNCTION("REGEXREPLACE(A866, ""^https?://[^/]+"", """")"),"/wp-content/uploads/elementor/css/post-21226.css?ver=1768846518")</f>
        <v>/wp-content/uploads/elementor/css/post-21226.css?ver=1768846518</v>
      </c>
      <c r="F866" s="1" t="s">
        <v>1016</v>
      </c>
      <c r="G866" s="1">
        <v>200.0</v>
      </c>
      <c r="H866" s="1" t="s">
        <v>966</v>
      </c>
      <c r="I866" s="1" t="s">
        <v>967</v>
      </c>
      <c r="L866" s="1">
        <v>0.0</v>
      </c>
      <c r="M866" s="1">
        <v>0.0</v>
      </c>
      <c r="O866" s="1">
        <v>0.0</v>
      </c>
      <c r="P866" s="1">
        <v>0.0</v>
      </c>
      <c r="R866" s="1">
        <v>0.0</v>
      </c>
      <c r="S866" s="1">
        <v>0.0</v>
      </c>
      <c r="U866" s="1">
        <v>0.0</v>
      </c>
      <c r="W866" s="1">
        <v>0.0</v>
      </c>
      <c r="Y866" s="1">
        <v>0.0</v>
      </c>
      <c r="AA866" s="1">
        <v>0.0</v>
      </c>
      <c r="AC866" s="1">
        <v>0.0</v>
      </c>
      <c r="AM866" s="1">
        <v>704.0</v>
      </c>
      <c r="AN866" s="1">
        <v>704.0</v>
      </c>
      <c r="AO866" s="1">
        <v>704.0</v>
      </c>
      <c r="AP866" s="1">
        <v>0.27</v>
      </c>
      <c r="AR866" s="1">
        <v>0.0</v>
      </c>
      <c r="AW866" s="1">
        <v>0.0</v>
      </c>
      <c r="AX866" s="1">
        <v>2.0</v>
      </c>
      <c r="AY866" s="1">
        <v>4.0</v>
      </c>
      <c r="BA866" s="1">
        <v>0.0</v>
      </c>
      <c r="BB866" s="1">
        <v>0.0</v>
      </c>
      <c r="BC866" s="1">
        <v>0.0</v>
      </c>
      <c r="BD866" s="1">
        <v>0.0</v>
      </c>
      <c r="BE866" s="1">
        <v>0.0</v>
      </c>
      <c r="BF866" s="1">
        <v>0.0</v>
      </c>
      <c r="BG866" s="1">
        <v>0.0</v>
      </c>
      <c r="BH866" s="1">
        <v>0.0</v>
      </c>
      <c r="BI866" s="1">
        <v>0.0</v>
      </c>
      <c r="BJ866" s="1">
        <v>0.0</v>
      </c>
      <c r="BP866" s="1">
        <v>0.263</v>
      </c>
      <c r="BQ866" s="1" t="s">
        <v>3362</v>
      </c>
      <c r="BV866" s="1">
        <v>1.1</v>
      </c>
      <c r="EQ866" s="9" t="s">
        <v>3361</v>
      </c>
      <c r="ER866" s="21">
        <v>46045.2996875</v>
      </c>
    </row>
    <row r="867">
      <c r="A867" s="9" t="s">
        <v>3363</v>
      </c>
      <c r="B867" s="20" t="str">
        <f>IFERROR(__xludf.DUMMYFUNCTION("REGEXREPLACE(A867, ""^https?://[^/]+"", """")"),"/wp-content/uploads/elementor/css/post-21058.css?ver=1768847224")</f>
        <v>/wp-content/uploads/elementor/css/post-21058.css?ver=1768847224</v>
      </c>
      <c r="F867" s="1" t="s">
        <v>1016</v>
      </c>
      <c r="G867" s="1">
        <v>200.0</v>
      </c>
      <c r="H867" s="1" t="s">
        <v>966</v>
      </c>
      <c r="I867" s="1" t="s">
        <v>967</v>
      </c>
      <c r="L867" s="1">
        <v>0.0</v>
      </c>
      <c r="M867" s="1">
        <v>0.0</v>
      </c>
      <c r="O867" s="1">
        <v>0.0</v>
      </c>
      <c r="P867" s="1">
        <v>0.0</v>
      </c>
      <c r="R867" s="1">
        <v>0.0</v>
      </c>
      <c r="S867" s="1">
        <v>0.0</v>
      </c>
      <c r="U867" s="1">
        <v>0.0</v>
      </c>
      <c r="W867" s="1">
        <v>0.0</v>
      </c>
      <c r="Y867" s="1">
        <v>0.0</v>
      </c>
      <c r="AA867" s="1">
        <v>0.0</v>
      </c>
      <c r="AC867" s="1">
        <v>0.0</v>
      </c>
      <c r="AM867" s="1">
        <v>549.0</v>
      </c>
      <c r="AN867" s="1">
        <v>549.0</v>
      </c>
      <c r="AO867" s="1">
        <v>549.0</v>
      </c>
      <c r="AP867" s="1">
        <v>0.21</v>
      </c>
      <c r="AR867" s="1">
        <v>0.0</v>
      </c>
      <c r="AW867" s="1">
        <v>0.0</v>
      </c>
      <c r="AX867" s="1">
        <v>2.0</v>
      </c>
      <c r="AY867" s="1">
        <v>4.0</v>
      </c>
      <c r="BA867" s="1">
        <v>0.0</v>
      </c>
      <c r="BB867" s="1">
        <v>0.0</v>
      </c>
      <c r="BC867" s="1">
        <v>0.0</v>
      </c>
      <c r="BD867" s="1">
        <v>0.0</v>
      </c>
      <c r="BE867" s="1">
        <v>0.0</v>
      </c>
      <c r="BF867" s="1">
        <v>0.0</v>
      </c>
      <c r="BG867" s="1">
        <v>0.0</v>
      </c>
      <c r="BH867" s="1">
        <v>0.0</v>
      </c>
      <c r="BI867" s="1">
        <v>0.0</v>
      </c>
      <c r="BJ867" s="1">
        <v>0.0</v>
      </c>
      <c r="BP867" s="1">
        <v>0.275</v>
      </c>
      <c r="BQ867" s="1" t="s">
        <v>3364</v>
      </c>
      <c r="BV867" s="1">
        <v>1.1</v>
      </c>
      <c r="EQ867" s="9" t="s">
        <v>3363</v>
      </c>
      <c r="ER867" s="21">
        <v>46045.2996875</v>
      </c>
    </row>
    <row r="868">
      <c r="A868" s="9" t="s">
        <v>3365</v>
      </c>
      <c r="B868" s="20" t="str">
        <f>IFERROR(__xludf.DUMMYFUNCTION("REGEXREPLACE(A868, ""^https?://[^/]+"", """")"),"/wp-content/themes/salesxceleratione/assets/css/style.css?ver=1769123336")</f>
        <v>/wp-content/themes/salesxceleratione/assets/css/style.css?ver=1769123336</v>
      </c>
      <c r="F868" s="1" t="s">
        <v>1016</v>
      </c>
      <c r="G868" s="1">
        <v>200.0</v>
      </c>
      <c r="H868" s="1" t="s">
        <v>966</v>
      </c>
      <c r="I868" s="1" t="s">
        <v>967</v>
      </c>
      <c r="L868" s="1">
        <v>0.0</v>
      </c>
      <c r="M868" s="1">
        <v>0.0</v>
      </c>
      <c r="O868" s="1">
        <v>0.0</v>
      </c>
      <c r="P868" s="1">
        <v>0.0</v>
      </c>
      <c r="R868" s="1">
        <v>0.0</v>
      </c>
      <c r="S868" s="1">
        <v>0.0</v>
      </c>
      <c r="U868" s="1">
        <v>0.0</v>
      </c>
      <c r="W868" s="1">
        <v>0.0</v>
      </c>
      <c r="Y868" s="1">
        <v>0.0</v>
      </c>
      <c r="AA868" s="1">
        <v>0.0</v>
      </c>
      <c r="AC868" s="1">
        <v>0.0</v>
      </c>
      <c r="AM868" s="1">
        <v>17704.0</v>
      </c>
      <c r="AN868" s="1">
        <v>17704.0</v>
      </c>
      <c r="AO868" s="1">
        <v>17704.0</v>
      </c>
      <c r="AP868" s="1">
        <v>6.782</v>
      </c>
      <c r="AR868" s="1">
        <v>0.0</v>
      </c>
      <c r="AW868" s="1">
        <v>0.0</v>
      </c>
      <c r="AX868" s="1">
        <v>2.0</v>
      </c>
      <c r="AY868" s="1">
        <v>5.0</v>
      </c>
      <c r="BA868" s="1">
        <v>0.0</v>
      </c>
      <c r="BB868" s="1">
        <v>0.0</v>
      </c>
      <c r="BC868" s="1">
        <v>0.0</v>
      </c>
      <c r="BD868" s="1">
        <v>0.0</v>
      </c>
      <c r="BE868" s="1">
        <v>0.0</v>
      </c>
      <c r="BF868" s="1">
        <v>0.0</v>
      </c>
      <c r="BG868" s="1">
        <v>0.0</v>
      </c>
      <c r="BH868" s="1">
        <v>0.0</v>
      </c>
      <c r="BI868" s="1">
        <v>0.0</v>
      </c>
      <c r="BJ868" s="1">
        <v>0.0</v>
      </c>
      <c r="BP868" s="1">
        <v>0.289</v>
      </c>
      <c r="BQ868" s="1" t="s">
        <v>3366</v>
      </c>
      <c r="BV868" s="1">
        <v>1.1</v>
      </c>
      <c r="EQ868" s="9" t="s">
        <v>3365</v>
      </c>
      <c r="ER868" s="21">
        <v>46045.2996875</v>
      </c>
    </row>
    <row r="869">
      <c r="A869" s="9" t="s">
        <v>3367</v>
      </c>
      <c r="B869" s="20" t="str">
        <f>IFERROR(__xludf.DUMMYFUNCTION("REGEXREPLACE(A869, ""^https?://[^/]+"", """")"),"/wp-content/uploads/2023/02/Solving-Gaps-in-Sales-Infrastructure-and-Processes.jpg")</f>
        <v>/wp-content/uploads/2023/02/Solving-Gaps-in-Sales-Infrastructure-and-Processes.jpg</v>
      </c>
      <c r="F869" s="1" t="s">
        <v>1004</v>
      </c>
      <c r="G869" s="1">
        <v>200.0</v>
      </c>
      <c r="H869" s="1" t="s">
        <v>966</v>
      </c>
      <c r="I869" s="1" t="s">
        <v>967</v>
      </c>
      <c r="L869" s="1">
        <v>0.0</v>
      </c>
      <c r="M869" s="1">
        <v>0.0</v>
      </c>
      <c r="O869" s="1">
        <v>0.0</v>
      </c>
      <c r="P869" s="1">
        <v>0.0</v>
      </c>
      <c r="R869" s="1">
        <v>0.0</v>
      </c>
      <c r="S869" s="1">
        <v>0.0</v>
      </c>
      <c r="U869" s="1">
        <v>0.0</v>
      </c>
      <c r="W869" s="1">
        <v>0.0</v>
      </c>
      <c r="Y869" s="1">
        <v>0.0</v>
      </c>
      <c r="AA869" s="1">
        <v>0.0</v>
      </c>
      <c r="AC869" s="1">
        <v>0.0</v>
      </c>
      <c r="AM869" s="1">
        <v>71539.0</v>
      </c>
      <c r="AN869" s="1">
        <v>71539.0</v>
      </c>
      <c r="AO869" s="1">
        <v>71539.0</v>
      </c>
      <c r="AP869" s="1">
        <v>27.405</v>
      </c>
      <c r="AR869" s="1">
        <v>0.0</v>
      </c>
      <c r="AW869" s="1">
        <v>0.0</v>
      </c>
      <c r="AX869" s="1">
        <v>2.0</v>
      </c>
      <c r="AY869" s="1">
        <v>4.0</v>
      </c>
      <c r="BA869" s="1">
        <v>0.0</v>
      </c>
      <c r="BB869" s="1">
        <v>0.0</v>
      </c>
      <c r="BC869" s="1">
        <v>0.0</v>
      </c>
      <c r="BD869" s="1">
        <v>0.0</v>
      </c>
      <c r="BE869" s="1">
        <v>0.0</v>
      </c>
      <c r="BF869" s="1">
        <v>0.0</v>
      </c>
      <c r="BG869" s="1">
        <v>0.0</v>
      </c>
      <c r="BH869" s="1">
        <v>0.0</v>
      </c>
      <c r="BI869" s="1">
        <v>0.0</v>
      </c>
      <c r="BJ869" s="1">
        <v>0.0</v>
      </c>
      <c r="BP869" s="1">
        <v>0.275</v>
      </c>
      <c r="BQ869" s="1" t="s">
        <v>3368</v>
      </c>
      <c r="BV869" s="1">
        <v>1.1</v>
      </c>
      <c r="EQ869" s="9" t="s">
        <v>3367</v>
      </c>
      <c r="ER869" s="21">
        <v>46045.2996875</v>
      </c>
    </row>
    <row r="870">
      <c r="A870" s="9" t="s">
        <v>56</v>
      </c>
      <c r="B870" s="20" t="str">
        <f>IFERROR(__xludf.DUMMYFUNCTION("REGEXREPLACE(A870, ""^https?://[^/]+"", """")"),"/private-equity-solutions/tech-mfg-case-study/")</f>
        <v>/private-equity-solutions/tech-mfg-case-study/</v>
      </c>
      <c r="C870" s="1" t="s">
        <v>3369</v>
      </c>
      <c r="D870" s="1" t="s">
        <v>3370</v>
      </c>
      <c r="E870" s="1" t="s">
        <v>3371</v>
      </c>
      <c r="F870" s="1" t="s">
        <v>965</v>
      </c>
      <c r="G870" s="1">
        <v>200.0</v>
      </c>
      <c r="H870" s="1" t="s">
        <v>966</v>
      </c>
      <c r="I870" s="1" t="s">
        <v>967</v>
      </c>
      <c r="K870" s="1" t="s">
        <v>3372</v>
      </c>
      <c r="L870" s="1">
        <v>110.0</v>
      </c>
      <c r="M870" s="1">
        <v>1006.0</v>
      </c>
      <c r="O870" s="1">
        <v>0.0</v>
      </c>
      <c r="P870" s="1">
        <v>0.0</v>
      </c>
      <c r="Q870" s="1" t="s">
        <v>3373</v>
      </c>
      <c r="R870" s="1">
        <v>36.0</v>
      </c>
      <c r="S870" s="1">
        <v>292.0</v>
      </c>
      <c r="U870" s="1">
        <v>0.0</v>
      </c>
      <c r="V870" s="1" t="s">
        <v>3369</v>
      </c>
      <c r="W870" s="1">
        <v>33.0</v>
      </c>
      <c r="Y870" s="1">
        <v>0.0</v>
      </c>
      <c r="Z870" s="1" t="s">
        <v>3370</v>
      </c>
      <c r="AA870" s="1">
        <v>64.0</v>
      </c>
      <c r="AB870" s="1" t="s">
        <v>3371</v>
      </c>
      <c r="AC870" s="1">
        <v>28.0</v>
      </c>
      <c r="AD870" s="1" t="s">
        <v>971</v>
      </c>
      <c r="AG870" s="9" t="s">
        <v>56</v>
      </c>
      <c r="AM870" s="1">
        <v>187137.0</v>
      </c>
      <c r="AN870" s="1">
        <v>31975.0</v>
      </c>
      <c r="AO870" s="1">
        <v>31975.0</v>
      </c>
      <c r="AP870" s="1">
        <v>12.249</v>
      </c>
      <c r="AR870" s="1">
        <v>1641.0</v>
      </c>
      <c r="AS870" s="1">
        <v>249.0</v>
      </c>
      <c r="AT870" s="1">
        <v>6.59</v>
      </c>
      <c r="AU870" s="1">
        <v>52.702</v>
      </c>
      <c r="AV870" s="1" t="s">
        <v>972</v>
      </c>
      <c r="AW870" s="1">
        <v>6.871</v>
      </c>
      <c r="AX870" s="1">
        <v>2.0</v>
      </c>
      <c r="AY870" s="1">
        <v>2.0</v>
      </c>
      <c r="AZ870" s="1">
        <v>2.0</v>
      </c>
      <c r="BA870" s="1">
        <v>4.0</v>
      </c>
      <c r="BB870" s="1">
        <v>2.0</v>
      </c>
      <c r="BC870" s="1">
        <v>0.0</v>
      </c>
      <c r="BD870" s="1">
        <v>0.27</v>
      </c>
      <c r="BE870" s="1">
        <v>109.0</v>
      </c>
      <c r="BF870" s="1">
        <v>43.0</v>
      </c>
      <c r="BG870" s="1">
        <v>0.0</v>
      </c>
      <c r="BH870" s="1">
        <v>6.0</v>
      </c>
      <c r="BI870" s="1">
        <v>5.0</v>
      </c>
      <c r="BJ870" s="1">
        <v>0.0</v>
      </c>
      <c r="BO870" s="1" t="s">
        <v>3374</v>
      </c>
      <c r="BP870" s="1">
        <v>0.978</v>
      </c>
      <c r="BU870" s="1" t="s">
        <v>974</v>
      </c>
      <c r="BV870" s="1">
        <v>1.1</v>
      </c>
      <c r="BW870" s="1">
        <v>57.0</v>
      </c>
      <c r="BX870" s="1">
        <v>4051.024</v>
      </c>
      <c r="BY870" s="1">
        <v>9687.261</v>
      </c>
      <c r="BZ870" s="1">
        <v>22892.367</v>
      </c>
      <c r="CA870" s="1">
        <v>22997.414</v>
      </c>
      <c r="CB870" s="1">
        <v>34.0</v>
      </c>
      <c r="CC870" s="1">
        <v>0.0</v>
      </c>
      <c r="CD870" s="1">
        <v>653441.0</v>
      </c>
      <c r="CE870" s="1">
        <v>2570.0</v>
      </c>
      <c r="CF870" s="1">
        <v>160.0</v>
      </c>
      <c r="CG870" s="1">
        <v>3397953.0</v>
      </c>
      <c r="CH870" s="1">
        <v>34658.0</v>
      </c>
      <c r="CI870" s="1">
        <v>2.0</v>
      </c>
      <c r="CJ870" s="1">
        <v>1174001.0</v>
      </c>
      <c r="CK870" s="1">
        <v>14.0</v>
      </c>
      <c r="CL870" s="1">
        <v>118471.0</v>
      </c>
      <c r="CM870" s="1">
        <v>42.0</v>
      </c>
      <c r="CN870" s="1">
        <v>1756901.0</v>
      </c>
      <c r="CO870" s="1">
        <v>69.0</v>
      </c>
      <c r="CP870" s="1">
        <v>288801.0</v>
      </c>
      <c r="CQ870" s="1">
        <v>6.0</v>
      </c>
      <c r="CR870" s="1">
        <v>0.0</v>
      </c>
      <c r="CS870" s="1">
        <v>0.0</v>
      </c>
      <c r="CT870" s="1">
        <v>25121.0</v>
      </c>
      <c r="CU870" s="1">
        <v>27.0</v>
      </c>
      <c r="CV870" s="1">
        <v>1525634.0</v>
      </c>
      <c r="CW870" s="1">
        <v>61.0</v>
      </c>
      <c r="DC870" s="1">
        <v>0.0</v>
      </c>
      <c r="DD870" s="1">
        <v>5075.0</v>
      </c>
      <c r="DE870" s="1">
        <v>0.0</v>
      </c>
      <c r="DF870" s="1">
        <v>3396.0</v>
      </c>
      <c r="DG870" s="1">
        <v>10.0</v>
      </c>
      <c r="DH870" s="1">
        <v>50764.0</v>
      </c>
      <c r="DI870" s="1">
        <v>2560.0</v>
      </c>
      <c r="DJ870" s="1">
        <v>594206.0</v>
      </c>
      <c r="DK870" s="1">
        <v>905.405</v>
      </c>
      <c r="DL870" s="1" t="s">
        <v>992</v>
      </c>
      <c r="DM870" s="1">
        <v>2017.661</v>
      </c>
      <c r="DN870" s="1" t="s">
        <v>975</v>
      </c>
      <c r="DO870" s="1">
        <v>3397954.0</v>
      </c>
      <c r="DP870" s="1">
        <v>1.0</v>
      </c>
      <c r="DQ870" s="1" t="s">
        <v>976</v>
      </c>
      <c r="DR870" s="1" t="s">
        <v>993</v>
      </c>
      <c r="DS870" s="1" t="s">
        <v>978</v>
      </c>
      <c r="DT870" s="1" t="s">
        <v>979</v>
      </c>
      <c r="DU870" s="1" t="s">
        <v>980</v>
      </c>
      <c r="DV870" s="1">
        <v>13846.0</v>
      </c>
      <c r="DW870" s="1">
        <v>313.0</v>
      </c>
      <c r="DX870" s="1">
        <v>4773.0</v>
      </c>
      <c r="DY870" s="1">
        <v>1058344.0</v>
      </c>
      <c r="DZ870" s="1" t="s">
        <v>981</v>
      </c>
      <c r="EA870" s="1">
        <v>1074.0</v>
      </c>
      <c r="EB870" s="1">
        <v>693166.0</v>
      </c>
      <c r="EC870" s="1">
        <v>0.0</v>
      </c>
      <c r="ED870" s="1">
        <v>26492.0</v>
      </c>
      <c r="EF870" s="1">
        <v>225.0</v>
      </c>
      <c r="EG870" s="1" t="s">
        <v>982</v>
      </c>
      <c r="EH870" s="1">
        <v>100.0</v>
      </c>
      <c r="EK870" s="1">
        <v>100.0</v>
      </c>
      <c r="EQ870" s="9" t="s">
        <v>56</v>
      </c>
      <c r="ER870" s="21">
        <v>46045.299675925926</v>
      </c>
    </row>
    <row r="871">
      <c r="A871" s="9" t="s">
        <v>102</v>
      </c>
      <c r="B871" s="20" t="str">
        <f>IFERROR(__xludf.DUMMYFUNCTION("REGEXREPLACE(A871, ""^https?://[^/]+"", """")"),"/private-equity-solutions/healthcare-managed-services-case-study/")</f>
        <v>/private-equity-solutions/healthcare-managed-services-case-study/</v>
      </c>
      <c r="C871" s="1" t="s">
        <v>3375</v>
      </c>
      <c r="D871" s="1" t="s">
        <v>3376</v>
      </c>
      <c r="E871" s="1" t="s">
        <v>3377</v>
      </c>
      <c r="F871" s="1" t="s">
        <v>965</v>
      </c>
      <c r="G871" s="1">
        <v>200.0</v>
      </c>
      <c r="H871" s="1" t="s">
        <v>966</v>
      </c>
      <c r="I871" s="1" t="s">
        <v>967</v>
      </c>
      <c r="K871" s="1" t="s">
        <v>3378</v>
      </c>
      <c r="L871" s="1">
        <v>124.0</v>
      </c>
      <c r="M871" s="1">
        <v>1148.0</v>
      </c>
      <c r="O871" s="1">
        <v>0.0</v>
      </c>
      <c r="P871" s="1">
        <v>0.0</v>
      </c>
      <c r="Q871" s="1" t="s">
        <v>3379</v>
      </c>
      <c r="R871" s="1">
        <v>38.0</v>
      </c>
      <c r="S871" s="1">
        <v>258.0</v>
      </c>
      <c r="U871" s="1">
        <v>0.0</v>
      </c>
      <c r="V871" s="1" t="s">
        <v>3375</v>
      </c>
      <c r="W871" s="1">
        <v>30.0</v>
      </c>
      <c r="Y871" s="1">
        <v>0.0</v>
      </c>
      <c r="Z871" s="1" t="s">
        <v>3376</v>
      </c>
      <c r="AA871" s="1">
        <v>75.0</v>
      </c>
      <c r="AB871" s="1" t="s">
        <v>3377</v>
      </c>
      <c r="AC871" s="1">
        <v>37.0</v>
      </c>
      <c r="AD871" s="1" t="s">
        <v>971</v>
      </c>
      <c r="AG871" s="9" t="s">
        <v>102</v>
      </c>
      <c r="AM871" s="1">
        <v>205268.0</v>
      </c>
      <c r="AN871" s="1">
        <v>33665.0</v>
      </c>
      <c r="AO871" s="1">
        <v>33665.0</v>
      </c>
      <c r="AP871" s="1">
        <v>12.896</v>
      </c>
      <c r="AR871" s="1">
        <v>1892.0</v>
      </c>
      <c r="AS871" s="1">
        <v>296.0</v>
      </c>
      <c r="AT871" s="1">
        <v>6.392</v>
      </c>
      <c r="AU871" s="1">
        <v>50.553</v>
      </c>
      <c r="AV871" s="1" t="s">
        <v>972</v>
      </c>
      <c r="AW871" s="1">
        <v>7.217</v>
      </c>
      <c r="AX871" s="1">
        <v>2.0</v>
      </c>
      <c r="AY871" s="1">
        <v>2.0</v>
      </c>
      <c r="AZ871" s="1">
        <v>2.0</v>
      </c>
      <c r="BA871" s="1">
        <v>4.0</v>
      </c>
      <c r="BB871" s="1">
        <v>2.0</v>
      </c>
      <c r="BC871" s="1">
        <v>0.0</v>
      </c>
      <c r="BD871" s="1">
        <v>0.27</v>
      </c>
      <c r="BE871" s="1">
        <v>108.0</v>
      </c>
      <c r="BF871" s="1">
        <v>44.0</v>
      </c>
      <c r="BG871" s="1">
        <v>0.0</v>
      </c>
      <c r="BH871" s="1">
        <v>6.0</v>
      </c>
      <c r="BI871" s="1">
        <v>5.0</v>
      </c>
      <c r="BJ871" s="1">
        <v>0.0</v>
      </c>
      <c r="BO871" s="1" t="s">
        <v>3380</v>
      </c>
      <c r="BP871" s="1">
        <v>1.399</v>
      </c>
      <c r="BU871" s="1" t="s">
        <v>974</v>
      </c>
      <c r="BV871" s="1">
        <v>1.1</v>
      </c>
      <c r="BW871" s="1">
        <v>44.0</v>
      </c>
      <c r="BX871" s="1">
        <v>3901.057</v>
      </c>
      <c r="BY871" s="1">
        <v>9834.299</v>
      </c>
      <c r="BZ871" s="1">
        <v>19843.809</v>
      </c>
      <c r="CA871" s="1">
        <v>19919.76</v>
      </c>
      <c r="CB871" s="1">
        <v>564.0</v>
      </c>
      <c r="CC871" s="1">
        <v>0.0</v>
      </c>
      <c r="CD871" s="1">
        <v>653023.0</v>
      </c>
      <c r="CE871" s="1">
        <v>3470.0</v>
      </c>
      <c r="CF871" s="1">
        <v>163.0</v>
      </c>
      <c r="CG871" s="1">
        <v>2893458.0</v>
      </c>
      <c r="CH871" s="1">
        <v>36546.0</v>
      </c>
      <c r="CI871" s="1">
        <v>2.0</v>
      </c>
      <c r="CJ871" s="1">
        <v>555030.0</v>
      </c>
      <c r="CK871" s="1">
        <v>14.0</v>
      </c>
      <c r="CL871" s="1">
        <v>120119.0</v>
      </c>
      <c r="CM871" s="1">
        <v>43.0</v>
      </c>
      <c r="CN871" s="1">
        <v>1756334.0</v>
      </c>
      <c r="CO871" s="1">
        <v>69.0</v>
      </c>
      <c r="CP871" s="1">
        <v>399448.0</v>
      </c>
      <c r="CQ871" s="1">
        <v>7.0</v>
      </c>
      <c r="CR871" s="1">
        <v>0.0</v>
      </c>
      <c r="CS871" s="1">
        <v>0.0</v>
      </c>
      <c r="CT871" s="1">
        <v>25981.0</v>
      </c>
      <c r="CU871" s="1">
        <v>28.0</v>
      </c>
      <c r="CV871" s="1">
        <v>1503410.0</v>
      </c>
      <c r="CW871" s="1">
        <v>61.0</v>
      </c>
      <c r="DC871" s="1">
        <v>130.0</v>
      </c>
      <c r="DD871" s="1">
        <v>5075.0</v>
      </c>
      <c r="DE871" s="1">
        <v>0.0</v>
      </c>
      <c r="DF871" s="1">
        <v>3396.0</v>
      </c>
      <c r="DG871" s="1">
        <v>320.0</v>
      </c>
      <c r="DH871" s="1">
        <v>50666.0</v>
      </c>
      <c r="DI871" s="1">
        <v>3020.0</v>
      </c>
      <c r="DJ871" s="1">
        <v>593886.0</v>
      </c>
      <c r="DK871" s="1">
        <v>2042.134</v>
      </c>
      <c r="DL871" s="1" t="s">
        <v>975</v>
      </c>
      <c r="DM871" s="1">
        <v>3904.212</v>
      </c>
      <c r="DN871" s="1" t="s">
        <v>975</v>
      </c>
      <c r="DO871" s="1">
        <v>2893459.0</v>
      </c>
      <c r="DP871" s="1">
        <v>1.0</v>
      </c>
      <c r="DQ871" s="1" t="s">
        <v>976</v>
      </c>
      <c r="DR871" s="1" t="s">
        <v>1014</v>
      </c>
      <c r="DS871" s="1" t="s">
        <v>978</v>
      </c>
      <c r="DT871" s="1" t="s">
        <v>979</v>
      </c>
      <c r="DU871" s="1" t="s">
        <v>980</v>
      </c>
      <c r="DV871" s="1">
        <v>13846.0</v>
      </c>
      <c r="DW871" s="1">
        <v>1211.0</v>
      </c>
      <c r="DX871" s="1">
        <v>3898.0</v>
      </c>
      <c r="DY871" s="1">
        <v>864613.0</v>
      </c>
      <c r="DZ871" s="1" t="s">
        <v>981</v>
      </c>
      <c r="EA871" s="1">
        <v>1194.0</v>
      </c>
      <c r="EB871" s="1">
        <v>4453.0</v>
      </c>
      <c r="EC871" s="1">
        <v>62.0</v>
      </c>
      <c r="ED871" s="1">
        <v>26492.0</v>
      </c>
      <c r="EF871" s="1">
        <v>225.0</v>
      </c>
      <c r="EG871" s="1" t="s">
        <v>982</v>
      </c>
      <c r="EH871" s="1">
        <v>100.0</v>
      </c>
      <c r="EK871" s="1">
        <v>100.0</v>
      </c>
      <c r="EQ871" s="9" t="s">
        <v>102</v>
      </c>
      <c r="ER871" s="21">
        <v>46045.2996875</v>
      </c>
    </row>
    <row r="872">
      <c r="A872" s="9" t="s">
        <v>3381</v>
      </c>
      <c r="B872" s="20" t="str">
        <f>IFERROR(__xludf.DUMMYFUNCTION("REGEXREPLACE(A872, ""^https?://[^/]+"", """")"),"/wp-content/uploads/2019/11/construction-thumb.jpg")</f>
        <v>/wp-content/uploads/2019/11/construction-thumb.jpg</v>
      </c>
      <c r="F872" s="1" t="s">
        <v>1004</v>
      </c>
      <c r="G872" s="1">
        <v>200.0</v>
      </c>
      <c r="H872" s="1" t="s">
        <v>966</v>
      </c>
      <c r="I872" s="1" t="s">
        <v>967</v>
      </c>
      <c r="L872" s="1">
        <v>0.0</v>
      </c>
      <c r="M872" s="1">
        <v>0.0</v>
      </c>
      <c r="O872" s="1">
        <v>0.0</v>
      </c>
      <c r="P872" s="1">
        <v>0.0</v>
      </c>
      <c r="R872" s="1">
        <v>0.0</v>
      </c>
      <c r="S872" s="1">
        <v>0.0</v>
      </c>
      <c r="U872" s="1">
        <v>0.0</v>
      </c>
      <c r="W872" s="1">
        <v>0.0</v>
      </c>
      <c r="Y872" s="1">
        <v>0.0</v>
      </c>
      <c r="AA872" s="1">
        <v>0.0</v>
      </c>
      <c r="AC872" s="1">
        <v>0.0</v>
      </c>
      <c r="AM872" s="1">
        <v>67188.0</v>
      </c>
      <c r="AN872" s="1">
        <v>67188.0</v>
      </c>
      <c r="AO872" s="1">
        <v>67188.0</v>
      </c>
      <c r="AP872" s="1">
        <v>25.738</v>
      </c>
      <c r="AR872" s="1">
        <v>0.0</v>
      </c>
      <c r="AW872" s="1">
        <v>0.0</v>
      </c>
      <c r="AX872" s="1">
        <v>2.0</v>
      </c>
      <c r="AY872" s="1">
        <v>4.0</v>
      </c>
      <c r="BA872" s="1">
        <v>0.0</v>
      </c>
      <c r="BB872" s="1">
        <v>0.0</v>
      </c>
      <c r="BC872" s="1">
        <v>0.0</v>
      </c>
      <c r="BD872" s="1">
        <v>0.0</v>
      </c>
      <c r="BE872" s="1">
        <v>0.0</v>
      </c>
      <c r="BF872" s="1">
        <v>0.0</v>
      </c>
      <c r="BG872" s="1">
        <v>0.0</v>
      </c>
      <c r="BH872" s="1">
        <v>0.0</v>
      </c>
      <c r="BI872" s="1">
        <v>0.0</v>
      </c>
      <c r="BJ872" s="1">
        <v>0.0</v>
      </c>
      <c r="BP872" s="1">
        <v>0.265</v>
      </c>
      <c r="BQ872" s="1" t="s">
        <v>3382</v>
      </c>
      <c r="BV872" s="1">
        <v>1.1</v>
      </c>
      <c r="EQ872" s="9" t="s">
        <v>3381</v>
      </c>
      <c r="ER872" s="21">
        <v>46045.29969907407</v>
      </c>
    </row>
    <row r="873">
      <c r="A873" s="9" t="s">
        <v>3383</v>
      </c>
      <c r="B873" s="20" t="str">
        <f>IFERROR(__xludf.DUMMYFUNCTION("REGEXREPLACE(A873, ""^https?://[^/]+"", """")"),"/case-study/recruiting/")</f>
        <v>/case-study/recruiting/</v>
      </c>
      <c r="C873" s="1" t="s">
        <v>3384</v>
      </c>
      <c r="F873" s="1" t="s">
        <v>965</v>
      </c>
      <c r="G873" s="1">
        <v>200.0</v>
      </c>
      <c r="H873" s="1" t="s">
        <v>966</v>
      </c>
      <c r="I873" s="1" t="s">
        <v>967</v>
      </c>
      <c r="K873" s="1" t="s">
        <v>3385</v>
      </c>
      <c r="L873" s="1">
        <v>70.0</v>
      </c>
      <c r="M873" s="1">
        <v>653.0</v>
      </c>
      <c r="O873" s="1">
        <v>0.0</v>
      </c>
      <c r="P873" s="1">
        <v>0.0</v>
      </c>
      <c r="Q873" s="1" t="s">
        <v>3386</v>
      </c>
      <c r="R873" s="1">
        <v>169.0</v>
      </c>
      <c r="S873" s="1">
        <v>1057.0</v>
      </c>
      <c r="U873" s="1">
        <v>0.0</v>
      </c>
      <c r="V873" s="1" t="s">
        <v>3384</v>
      </c>
      <c r="W873" s="1">
        <v>72.0</v>
      </c>
      <c r="Y873" s="1">
        <v>0.0</v>
      </c>
      <c r="AA873" s="1">
        <v>0.0</v>
      </c>
      <c r="AC873" s="1">
        <v>0.0</v>
      </c>
      <c r="AD873" s="1" t="s">
        <v>971</v>
      </c>
      <c r="AG873" s="9" t="s">
        <v>3383</v>
      </c>
      <c r="AM873" s="1">
        <v>156423.0</v>
      </c>
      <c r="AN873" s="1">
        <v>29923.0</v>
      </c>
      <c r="AO873" s="1">
        <v>29923.0</v>
      </c>
      <c r="AP873" s="1">
        <v>11.463</v>
      </c>
      <c r="AR873" s="1">
        <v>558.0</v>
      </c>
      <c r="AS873" s="1">
        <v>98.0</v>
      </c>
      <c r="AT873" s="1">
        <v>5.694</v>
      </c>
      <c r="AU873" s="1">
        <v>61.572</v>
      </c>
      <c r="AV873" s="1" t="s">
        <v>990</v>
      </c>
      <c r="AW873" s="1">
        <v>3.732</v>
      </c>
      <c r="AX873" s="1">
        <v>2.0</v>
      </c>
      <c r="AY873" s="1">
        <v>2.0</v>
      </c>
      <c r="AZ873" s="1">
        <v>1.0</v>
      </c>
      <c r="BA873" s="1">
        <v>6.0</v>
      </c>
      <c r="BB873" s="1">
        <v>4.0</v>
      </c>
      <c r="BC873" s="1">
        <v>0.0</v>
      </c>
      <c r="BD873" s="1">
        <v>0.53</v>
      </c>
      <c r="BE873" s="1">
        <v>124.0</v>
      </c>
      <c r="BF873" s="1">
        <v>44.0</v>
      </c>
      <c r="BG873" s="1">
        <v>0.0</v>
      </c>
      <c r="BH873" s="1">
        <v>16.0</v>
      </c>
      <c r="BI873" s="1">
        <v>8.0</v>
      </c>
      <c r="BJ873" s="1">
        <v>0.0</v>
      </c>
      <c r="BO873" s="1" t="s">
        <v>3387</v>
      </c>
      <c r="BP873" s="1">
        <v>0.991</v>
      </c>
      <c r="BU873" s="1" t="s">
        <v>974</v>
      </c>
      <c r="BV873" s="1">
        <v>1.1</v>
      </c>
      <c r="BW873" s="1">
        <v>60.0</v>
      </c>
      <c r="BX873" s="1">
        <v>4051.029</v>
      </c>
      <c r="BY873" s="1">
        <v>6959.569</v>
      </c>
      <c r="BZ873" s="1">
        <v>11701.089</v>
      </c>
      <c r="CA873" s="1">
        <v>17816.33</v>
      </c>
      <c r="CB873" s="1">
        <v>69.5</v>
      </c>
      <c r="CC873" s="1">
        <v>0.0</v>
      </c>
      <c r="CD873" s="1">
        <v>651061.0</v>
      </c>
      <c r="CE873" s="1">
        <v>1050.0</v>
      </c>
      <c r="CF873" s="1">
        <v>173.0</v>
      </c>
      <c r="CG873" s="1">
        <v>2390248.0</v>
      </c>
      <c r="CH873" s="1">
        <v>31075.0</v>
      </c>
      <c r="CI873" s="1">
        <v>2.0</v>
      </c>
      <c r="CJ873" s="1">
        <v>184134.0</v>
      </c>
      <c r="CK873" s="1">
        <v>27.0</v>
      </c>
      <c r="CL873" s="1">
        <v>116786.0</v>
      </c>
      <c r="CM873" s="1">
        <v>41.0</v>
      </c>
      <c r="CN873" s="1">
        <v>1748202.0</v>
      </c>
      <c r="CO873" s="1">
        <v>68.0</v>
      </c>
      <c r="CP873" s="1">
        <v>284722.0</v>
      </c>
      <c r="CQ873" s="1">
        <v>6.0</v>
      </c>
      <c r="CR873" s="1">
        <v>0.0</v>
      </c>
      <c r="CS873" s="1">
        <v>0.0</v>
      </c>
      <c r="CT873" s="1">
        <v>25329.0</v>
      </c>
      <c r="CU873" s="1">
        <v>29.0</v>
      </c>
      <c r="CV873" s="1">
        <v>1505963.0</v>
      </c>
      <c r="CW873" s="1">
        <v>68.0</v>
      </c>
      <c r="DC873" s="1">
        <v>0.0</v>
      </c>
      <c r="DD873" s="1">
        <v>5075.0</v>
      </c>
      <c r="DE873" s="1">
        <v>0.0</v>
      </c>
      <c r="DF873" s="1">
        <v>3396.0</v>
      </c>
      <c r="DG873" s="1">
        <v>150.0</v>
      </c>
      <c r="DH873" s="1">
        <v>50603.0</v>
      </c>
      <c r="DI873" s="1">
        <v>900.0</v>
      </c>
      <c r="DJ873" s="1">
        <v>591987.0</v>
      </c>
      <c r="DK873" s="1">
        <v>915.727</v>
      </c>
      <c r="DL873" s="1" t="s">
        <v>992</v>
      </c>
      <c r="DM873" s="1">
        <v>1845.436</v>
      </c>
      <c r="DN873" s="1" t="s">
        <v>992</v>
      </c>
      <c r="DO873" s="1">
        <v>2389201.0</v>
      </c>
      <c r="DP873" s="1">
        <v>1.0</v>
      </c>
      <c r="DQ873" s="1" t="s">
        <v>976</v>
      </c>
      <c r="DR873" s="1" t="s">
        <v>1055</v>
      </c>
      <c r="DS873" s="1" t="s">
        <v>978</v>
      </c>
      <c r="DU873" s="1" t="s">
        <v>980</v>
      </c>
      <c r="DV873" s="1">
        <v>13574.0</v>
      </c>
      <c r="DX873" s="1">
        <v>3643.0</v>
      </c>
      <c r="DY873" s="1">
        <v>664705.0</v>
      </c>
      <c r="DZ873" s="1" t="s">
        <v>981</v>
      </c>
      <c r="EA873" s="1">
        <v>776.0</v>
      </c>
      <c r="EB873" s="1">
        <v>13507.0</v>
      </c>
      <c r="EC873" s="1">
        <v>0.0</v>
      </c>
      <c r="ED873" s="1">
        <v>26492.0</v>
      </c>
      <c r="EF873" s="1">
        <v>235.0</v>
      </c>
      <c r="EG873" s="1" t="s">
        <v>982</v>
      </c>
      <c r="EH873" s="1">
        <v>100.0</v>
      </c>
      <c r="EK873" s="1">
        <v>100.0</v>
      </c>
      <c r="EQ873" s="9" t="s">
        <v>3383</v>
      </c>
      <c r="ER873" s="21">
        <v>46045.29969907407</v>
      </c>
    </row>
    <row r="874">
      <c r="A874" s="9" t="s">
        <v>3388</v>
      </c>
      <c r="B874" s="20" t="str">
        <f>IFERROR(__xludf.DUMMYFUNCTION("REGEXREPLACE(A874, ""^https?://[^/]+"", """")"),"/case-study/hand-held-test-equipment-manufacturer/")</f>
        <v>/case-study/hand-held-test-equipment-manufacturer/</v>
      </c>
      <c r="C874" s="1" t="s">
        <v>3389</v>
      </c>
      <c r="D874" s="1" t="s">
        <v>1050</v>
      </c>
      <c r="E874" s="1" t="s">
        <v>1051</v>
      </c>
      <c r="F874" s="1" t="s">
        <v>965</v>
      </c>
      <c r="G874" s="1">
        <v>200.0</v>
      </c>
      <c r="H874" s="1" t="s">
        <v>966</v>
      </c>
      <c r="I874" s="1" t="s">
        <v>967</v>
      </c>
      <c r="K874" s="1" t="s">
        <v>3390</v>
      </c>
      <c r="L874" s="1">
        <v>117.0</v>
      </c>
      <c r="M874" s="1">
        <v>1089.0</v>
      </c>
      <c r="O874" s="1">
        <v>0.0</v>
      </c>
      <c r="P874" s="1">
        <v>0.0</v>
      </c>
      <c r="Q874" s="1" t="s">
        <v>3391</v>
      </c>
      <c r="R874" s="1">
        <v>94.0</v>
      </c>
      <c r="S874" s="1">
        <v>550.0</v>
      </c>
      <c r="U874" s="1">
        <v>0.0</v>
      </c>
      <c r="V874" s="1" t="s">
        <v>3389</v>
      </c>
      <c r="W874" s="1">
        <v>79.0</v>
      </c>
      <c r="Y874" s="1">
        <v>0.0</v>
      </c>
      <c r="Z874" s="1" t="s">
        <v>1050</v>
      </c>
      <c r="AA874" s="1">
        <v>17.0</v>
      </c>
      <c r="AB874" s="1" t="s">
        <v>1051</v>
      </c>
      <c r="AC874" s="1">
        <v>11.0</v>
      </c>
      <c r="AD874" s="1" t="s">
        <v>971</v>
      </c>
      <c r="AG874" s="9" t="s">
        <v>3388</v>
      </c>
      <c r="AM874" s="1">
        <v>183925.0</v>
      </c>
      <c r="AN874" s="1">
        <v>32249.0</v>
      </c>
      <c r="AO874" s="1">
        <v>32249.0</v>
      </c>
      <c r="AP874" s="1">
        <v>12.354</v>
      </c>
      <c r="AR874" s="1">
        <v>1114.0</v>
      </c>
      <c r="AS874" s="1">
        <v>172.0</v>
      </c>
      <c r="AT874" s="1">
        <v>6.477</v>
      </c>
      <c r="AU874" s="1">
        <v>61.742</v>
      </c>
      <c r="AV874" s="1" t="s">
        <v>990</v>
      </c>
      <c r="AW874" s="1">
        <v>5.078</v>
      </c>
      <c r="AX874" s="1">
        <v>2.0</v>
      </c>
      <c r="AY874" s="1">
        <v>2.0</v>
      </c>
      <c r="AZ874" s="1">
        <v>1.0</v>
      </c>
      <c r="BA874" s="1">
        <v>9.0</v>
      </c>
      <c r="BB874" s="1">
        <v>7.0</v>
      </c>
      <c r="BC874" s="1">
        <v>0.0</v>
      </c>
      <c r="BD874" s="1">
        <v>0.93</v>
      </c>
      <c r="BE874" s="1">
        <v>128.0</v>
      </c>
      <c r="BF874" s="1">
        <v>48.0</v>
      </c>
      <c r="BG874" s="1">
        <v>0.0</v>
      </c>
      <c r="BH874" s="1">
        <v>16.0</v>
      </c>
      <c r="BI874" s="1">
        <v>8.0</v>
      </c>
      <c r="BJ874" s="1">
        <v>0.0</v>
      </c>
      <c r="BO874" s="1" t="s">
        <v>3392</v>
      </c>
      <c r="BP874" s="1">
        <v>1.44</v>
      </c>
      <c r="BU874" s="1" t="s">
        <v>974</v>
      </c>
      <c r="BV874" s="1">
        <v>1.1</v>
      </c>
      <c r="BW874" s="1">
        <v>54.0</v>
      </c>
      <c r="BX874" s="1">
        <v>4201.027</v>
      </c>
      <c r="BY874" s="1">
        <v>7528.116</v>
      </c>
      <c r="BZ874" s="1">
        <v>9001.06</v>
      </c>
      <c r="CA874" s="1">
        <v>17870.092</v>
      </c>
      <c r="CB874" s="1">
        <v>270.5</v>
      </c>
      <c r="CC874" s="1">
        <v>0.0</v>
      </c>
      <c r="CD874" s="1">
        <v>652791.0</v>
      </c>
      <c r="CE874" s="1">
        <v>1200.0</v>
      </c>
      <c r="CF874" s="1">
        <v>163.0</v>
      </c>
      <c r="CG874" s="1">
        <v>2324818.0</v>
      </c>
      <c r="CH874" s="1">
        <v>33138.0</v>
      </c>
      <c r="CI874" s="1">
        <v>2.0</v>
      </c>
      <c r="CJ874" s="1">
        <v>114934.0</v>
      </c>
      <c r="CK874" s="1">
        <v>16.0</v>
      </c>
      <c r="CL874" s="1">
        <v>118281.0</v>
      </c>
      <c r="CM874" s="1">
        <v>43.0</v>
      </c>
      <c r="CN874" s="1">
        <v>1748060.0</v>
      </c>
      <c r="CO874" s="1">
        <v>68.0</v>
      </c>
      <c r="CP874" s="1">
        <v>284722.0</v>
      </c>
      <c r="CQ874" s="1">
        <v>6.0</v>
      </c>
      <c r="CR874" s="1">
        <v>0.0</v>
      </c>
      <c r="CS874" s="1">
        <v>0.0</v>
      </c>
      <c r="CT874" s="1">
        <v>25683.0</v>
      </c>
      <c r="CU874" s="1">
        <v>28.0</v>
      </c>
      <c r="CV874" s="1">
        <v>1503628.0</v>
      </c>
      <c r="CW874" s="1">
        <v>62.0</v>
      </c>
      <c r="DC874" s="1">
        <v>0.0</v>
      </c>
      <c r="DD874" s="1">
        <v>5075.0</v>
      </c>
      <c r="DE874" s="1">
        <v>0.0</v>
      </c>
      <c r="DF874" s="1">
        <v>3396.0</v>
      </c>
      <c r="DG874" s="1">
        <v>300.0</v>
      </c>
      <c r="DH874" s="1">
        <v>50531.0</v>
      </c>
      <c r="DI874" s="1">
        <v>900.0</v>
      </c>
      <c r="DJ874" s="1">
        <v>593789.0</v>
      </c>
      <c r="DK874" s="1">
        <v>1431.154</v>
      </c>
      <c r="DL874" s="1" t="s">
        <v>975</v>
      </c>
      <c r="DM874" s="1">
        <v>2725.049</v>
      </c>
      <c r="DN874" s="1" t="s">
        <v>975</v>
      </c>
      <c r="DO874" s="1">
        <v>2324819.0</v>
      </c>
      <c r="DP874" s="1">
        <v>1.0</v>
      </c>
      <c r="DQ874" s="1" t="s">
        <v>976</v>
      </c>
      <c r="DR874" s="1" t="s">
        <v>1848</v>
      </c>
      <c r="DS874" s="1" t="s">
        <v>978</v>
      </c>
      <c r="DT874" s="1" t="s">
        <v>979</v>
      </c>
      <c r="DU874" s="1" t="s">
        <v>980</v>
      </c>
      <c r="DV874" s="1">
        <v>13847.0</v>
      </c>
      <c r="DX874" s="1">
        <v>4238.0</v>
      </c>
      <c r="DY874" s="1">
        <v>638389.0</v>
      </c>
      <c r="EA874" s="1">
        <v>938.0</v>
      </c>
      <c r="EB874" s="1">
        <v>18235.0</v>
      </c>
      <c r="EC874" s="1">
        <v>1.0</v>
      </c>
      <c r="ED874" s="1">
        <v>26492.0</v>
      </c>
      <c r="EF874" s="1">
        <v>370.0</v>
      </c>
      <c r="EG874" s="1" t="s">
        <v>982</v>
      </c>
      <c r="EH874" s="1">
        <v>100.0</v>
      </c>
      <c r="EK874" s="1">
        <v>100.0</v>
      </c>
      <c r="EQ874" s="9" t="s">
        <v>3388</v>
      </c>
      <c r="ER874" s="21">
        <v>46045.2996875</v>
      </c>
    </row>
    <row r="875">
      <c r="A875" s="9" t="s">
        <v>3393</v>
      </c>
      <c r="B875" s="20" t="str">
        <f>IFERROR(__xludf.DUMMYFUNCTION("REGEXREPLACE(A875, ""^https?://[^/]+"", """")"),"/case-study/hvac/")</f>
        <v>/case-study/hvac/</v>
      </c>
      <c r="C875" s="1" t="s">
        <v>3394</v>
      </c>
      <c r="F875" s="1" t="s">
        <v>965</v>
      </c>
      <c r="G875" s="1">
        <v>200.0</v>
      </c>
      <c r="H875" s="1" t="s">
        <v>966</v>
      </c>
      <c r="I875" s="1" t="s">
        <v>967</v>
      </c>
      <c r="K875" s="1" t="s">
        <v>3395</v>
      </c>
      <c r="L875" s="1">
        <v>125.0</v>
      </c>
      <c r="M875" s="1">
        <v>1150.0</v>
      </c>
      <c r="O875" s="1">
        <v>0.0</v>
      </c>
      <c r="P875" s="1">
        <v>0.0</v>
      </c>
      <c r="Q875" s="1" t="s">
        <v>3396</v>
      </c>
      <c r="R875" s="1">
        <v>110.0</v>
      </c>
      <c r="S875" s="1">
        <v>678.0</v>
      </c>
      <c r="U875" s="1">
        <v>0.0</v>
      </c>
      <c r="V875" s="1" t="s">
        <v>3394</v>
      </c>
      <c r="W875" s="1">
        <v>87.0</v>
      </c>
      <c r="Y875" s="1">
        <v>0.0</v>
      </c>
      <c r="AA875" s="1">
        <v>0.0</v>
      </c>
      <c r="AC875" s="1">
        <v>0.0</v>
      </c>
      <c r="AD875" s="1" t="s">
        <v>971</v>
      </c>
      <c r="AG875" s="9" t="s">
        <v>3393</v>
      </c>
      <c r="AM875" s="1">
        <v>169865.0</v>
      </c>
      <c r="AN875" s="1">
        <v>30986.0</v>
      </c>
      <c r="AO875" s="1">
        <v>30986.0</v>
      </c>
      <c r="AP875" s="1">
        <v>11.87</v>
      </c>
      <c r="AR875" s="1">
        <v>611.0</v>
      </c>
      <c r="AS875" s="1">
        <v>107.0</v>
      </c>
      <c r="AT875" s="1">
        <v>5.71</v>
      </c>
      <c r="AU875" s="1">
        <v>58.424</v>
      </c>
      <c r="AV875" s="1" t="s">
        <v>972</v>
      </c>
      <c r="AW875" s="1">
        <v>3.662</v>
      </c>
      <c r="AX875" s="1">
        <v>2.0</v>
      </c>
      <c r="AY875" s="1">
        <v>2.0</v>
      </c>
      <c r="AZ875" s="1">
        <v>1.0</v>
      </c>
      <c r="BA875" s="1">
        <v>12.0</v>
      </c>
      <c r="BB875" s="1">
        <v>10.0</v>
      </c>
      <c r="BC875" s="1">
        <v>0.0</v>
      </c>
      <c r="BD875" s="1">
        <v>1.33</v>
      </c>
      <c r="BE875" s="1">
        <v>128.0</v>
      </c>
      <c r="BF875" s="1">
        <v>47.0</v>
      </c>
      <c r="BG875" s="1">
        <v>0.0</v>
      </c>
      <c r="BH875" s="1">
        <v>16.0</v>
      </c>
      <c r="BI875" s="1">
        <v>8.0</v>
      </c>
      <c r="BJ875" s="1">
        <v>0.0</v>
      </c>
      <c r="BO875" s="1" t="s">
        <v>3397</v>
      </c>
      <c r="BP875" s="1">
        <v>1.452</v>
      </c>
      <c r="BU875" s="1" t="s">
        <v>974</v>
      </c>
      <c r="BV875" s="1">
        <v>1.1</v>
      </c>
      <c r="BW875" s="1">
        <v>60.0</v>
      </c>
      <c r="BX875" s="1">
        <v>4201.019</v>
      </c>
      <c r="BY875" s="1">
        <v>7166.623</v>
      </c>
      <c r="BZ875" s="1">
        <v>11551.056</v>
      </c>
      <c r="CA875" s="1">
        <v>17644.34</v>
      </c>
      <c r="CB875" s="1">
        <v>90.5</v>
      </c>
      <c r="CC875" s="1">
        <v>0.0</v>
      </c>
      <c r="CD875" s="1">
        <v>651796.0</v>
      </c>
      <c r="CE875" s="1">
        <v>1050.0</v>
      </c>
      <c r="CF875" s="1">
        <v>175.0</v>
      </c>
      <c r="CG875" s="1">
        <v>2428038.0</v>
      </c>
      <c r="CH875" s="1">
        <v>31681.0</v>
      </c>
      <c r="CI875" s="1">
        <v>2.0</v>
      </c>
      <c r="CJ875" s="1">
        <v>222585.0</v>
      </c>
      <c r="CK875" s="1">
        <v>30.0</v>
      </c>
      <c r="CL875" s="1">
        <v>115920.0</v>
      </c>
      <c r="CM875" s="1">
        <v>41.0</v>
      </c>
      <c r="CN875" s="1">
        <v>1748126.0</v>
      </c>
      <c r="CO875" s="1">
        <v>68.0</v>
      </c>
      <c r="CP875" s="1">
        <v>284722.0</v>
      </c>
      <c r="CQ875" s="1">
        <v>6.0</v>
      </c>
      <c r="CR875" s="1">
        <v>0.0</v>
      </c>
      <c r="CS875" s="1">
        <v>0.0</v>
      </c>
      <c r="CT875" s="1">
        <v>25004.0</v>
      </c>
      <c r="CU875" s="1">
        <v>28.0</v>
      </c>
      <c r="CV875" s="1">
        <v>1504728.0</v>
      </c>
      <c r="CW875" s="1">
        <v>67.0</v>
      </c>
      <c r="DC875" s="1">
        <v>0.0</v>
      </c>
      <c r="DD875" s="1">
        <v>5075.0</v>
      </c>
      <c r="DE875" s="1">
        <v>0.0</v>
      </c>
      <c r="DF875" s="1">
        <v>3396.0</v>
      </c>
      <c r="DG875" s="1">
        <v>150.0</v>
      </c>
      <c r="DH875" s="1">
        <v>50604.0</v>
      </c>
      <c r="DI875" s="1">
        <v>900.0</v>
      </c>
      <c r="DJ875" s="1">
        <v>592721.0</v>
      </c>
      <c r="DK875" s="1">
        <v>1039.464</v>
      </c>
      <c r="DL875" s="1" t="s">
        <v>992</v>
      </c>
      <c r="DM875" s="1">
        <v>1995.54</v>
      </c>
      <c r="DN875" s="1" t="s">
        <v>992</v>
      </c>
      <c r="DO875" s="1">
        <v>2426991.0</v>
      </c>
      <c r="DP875" s="1">
        <v>1.0</v>
      </c>
      <c r="DQ875" s="1" t="s">
        <v>976</v>
      </c>
      <c r="DR875" s="1" t="s">
        <v>1345</v>
      </c>
      <c r="DS875" s="1" t="s">
        <v>978</v>
      </c>
      <c r="DU875" s="1" t="s">
        <v>980</v>
      </c>
      <c r="DV875" s="1">
        <v>13545.0</v>
      </c>
      <c r="DX875" s="1">
        <v>3632.0</v>
      </c>
      <c r="DY875" s="1">
        <v>680090.0</v>
      </c>
      <c r="EA875" s="1">
        <v>790.0</v>
      </c>
      <c r="EB875" s="1">
        <v>23445.0</v>
      </c>
      <c r="EC875" s="1">
        <v>1.0</v>
      </c>
      <c r="ED875" s="1">
        <v>26492.0</v>
      </c>
      <c r="EF875" s="1">
        <v>210.0</v>
      </c>
      <c r="EG875" s="1" t="s">
        <v>982</v>
      </c>
      <c r="EH875" s="1">
        <v>100.0</v>
      </c>
      <c r="EK875" s="1">
        <v>100.0</v>
      </c>
      <c r="EQ875" s="9" t="s">
        <v>3393</v>
      </c>
      <c r="ER875" s="21">
        <v>46045.29969907407</v>
      </c>
    </row>
    <row r="876">
      <c r="A876" s="9" t="s">
        <v>3398</v>
      </c>
      <c r="B876" s="20" t="str">
        <f>IFERROR(__xludf.DUMMYFUNCTION("REGEXREPLACE(A876, ""^https?://[^/]+"", """")"),"/wp-content/uploads/2019/11/payroll-thumb.jpg")</f>
        <v>/wp-content/uploads/2019/11/payroll-thumb.jpg</v>
      </c>
      <c r="F876" s="1" t="s">
        <v>1004</v>
      </c>
      <c r="G876" s="1">
        <v>200.0</v>
      </c>
      <c r="H876" s="1" t="s">
        <v>966</v>
      </c>
      <c r="I876" s="1" t="s">
        <v>967</v>
      </c>
      <c r="L876" s="1">
        <v>0.0</v>
      </c>
      <c r="M876" s="1">
        <v>0.0</v>
      </c>
      <c r="O876" s="1">
        <v>0.0</v>
      </c>
      <c r="P876" s="1">
        <v>0.0</v>
      </c>
      <c r="R876" s="1">
        <v>0.0</v>
      </c>
      <c r="S876" s="1">
        <v>0.0</v>
      </c>
      <c r="U876" s="1">
        <v>0.0</v>
      </c>
      <c r="W876" s="1">
        <v>0.0</v>
      </c>
      <c r="Y876" s="1">
        <v>0.0</v>
      </c>
      <c r="AA876" s="1">
        <v>0.0</v>
      </c>
      <c r="AC876" s="1">
        <v>0.0</v>
      </c>
      <c r="AM876" s="1">
        <v>100029.0</v>
      </c>
      <c r="AN876" s="1">
        <v>100029.0</v>
      </c>
      <c r="AO876" s="1">
        <v>100029.0</v>
      </c>
      <c r="AP876" s="1">
        <v>38.319</v>
      </c>
      <c r="AR876" s="1">
        <v>0.0</v>
      </c>
      <c r="AW876" s="1">
        <v>0.0</v>
      </c>
      <c r="AX876" s="1">
        <v>2.0</v>
      </c>
      <c r="AY876" s="1">
        <v>4.0</v>
      </c>
      <c r="BA876" s="1">
        <v>0.0</v>
      </c>
      <c r="BB876" s="1">
        <v>0.0</v>
      </c>
      <c r="BC876" s="1">
        <v>0.0</v>
      </c>
      <c r="BD876" s="1">
        <v>0.0</v>
      </c>
      <c r="BE876" s="1">
        <v>0.0</v>
      </c>
      <c r="BF876" s="1">
        <v>0.0</v>
      </c>
      <c r="BG876" s="1">
        <v>0.0</v>
      </c>
      <c r="BH876" s="1">
        <v>0.0</v>
      </c>
      <c r="BI876" s="1">
        <v>0.0</v>
      </c>
      <c r="BJ876" s="1">
        <v>0.0</v>
      </c>
      <c r="BP876" s="1">
        <v>0.273</v>
      </c>
      <c r="BQ876" s="1" t="s">
        <v>3399</v>
      </c>
      <c r="BV876" s="1">
        <v>1.1</v>
      </c>
      <c r="EQ876" s="9" t="s">
        <v>3398</v>
      </c>
      <c r="ER876" s="21">
        <v>46045.29971064815</v>
      </c>
    </row>
    <row r="877">
      <c r="A877" s="9" t="s">
        <v>3400</v>
      </c>
      <c r="B877" s="20" t="str">
        <f>IFERROR(__xludf.DUMMYFUNCTION("REGEXREPLACE(A877, ""^https?://[^/]+"", """")"),"/wp-content/uploads/2024/06/Improving-Sales-Infrastructure-for-Long-Term-Success.jpg")</f>
        <v>/wp-content/uploads/2024/06/Improving-Sales-Infrastructure-for-Long-Term-Success.jpg</v>
      </c>
      <c r="F877" s="1" t="s">
        <v>1004</v>
      </c>
      <c r="G877" s="1">
        <v>200.0</v>
      </c>
      <c r="H877" s="1" t="s">
        <v>966</v>
      </c>
      <c r="I877" s="1" t="s">
        <v>967</v>
      </c>
      <c r="L877" s="1">
        <v>0.0</v>
      </c>
      <c r="M877" s="1">
        <v>0.0</v>
      </c>
      <c r="O877" s="1">
        <v>0.0</v>
      </c>
      <c r="P877" s="1">
        <v>0.0</v>
      </c>
      <c r="R877" s="1">
        <v>0.0</v>
      </c>
      <c r="S877" s="1">
        <v>0.0</v>
      </c>
      <c r="U877" s="1">
        <v>0.0</v>
      </c>
      <c r="W877" s="1">
        <v>0.0</v>
      </c>
      <c r="Y877" s="1">
        <v>0.0</v>
      </c>
      <c r="AA877" s="1">
        <v>0.0</v>
      </c>
      <c r="AC877" s="1">
        <v>0.0</v>
      </c>
      <c r="AM877" s="1">
        <v>68147.0</v>
      </c>
      <c r="AN877" s="1">
        <v>68147.0</v>
      </c>
      <c r="AO877" s="1">
        <v>68147.0</v>
      </c>
      <c r="AP877" s="1">
        <v>26.106</v>
      </c>
      <c r="AR877" s="1">
        <v>0.0</v>
      </c>
      <c r="AW877" s="1">
        <v>0.0</v>
      </c>
      <c r="AX877" s="1">
        <v>2.0</v>
      </c>
      <c r="AY877" s="1">
        <v>4.0</v>
      </c>
      <c r="BA877" s="1">
        <v>0.0</v>
      </c>
      <c r="BB877" s="1">
        <v>0.0</v>
      </c>
      <c r="BC877" s="1">
        <v>0.0</v>
      </c>
      <c r="BD877" s="1">
        <v>0.0</v>
      </c>
      <c r="BE877" s="1">
        <v>0.0</v>
      </c>
      <c r="BF877" s="1">
        <v>0.0</v>
      </c>
      <c r="BG877" s="1">
        <v>0.0</v>
      </c>
      <c r="BH877" s="1">
        <v>0.0</v>
      </c>
      <c r="BI877" s="1">
        <v>0.0</v>
      </c>
      <c r="BJ877" s="1">
        <v>0.0</v>
      </c>
      <c r="BP877" s="1">
        <v>0.273</v>
      </c>
      <c r="BQ877" s="1" t="s">
        <v>3401</v>
      </c>
      <c r="BV877" s="1">
        <v>1.1</v>
      </c>
      <c r="EQ877" s="9" t="s">
        <v>3400</v>
      </c>
      <c r="ER877" s="21">
        <v>46045.299722222226</v>
      </c>
    </row>
    <row r="878">
      <c r="A878" s="9" t="s">
        <v>3402</v>
      </c>
      <c r="B878" s="20" t="str">
        <f>IFERROR(__xludf.DUMMYFUNCTION("REGEXREPLACE(A878, ""^https?://[^/]+"", """")"),"/case-study/air-purification-systems-company/")</f>
        <v>/case-study/air-purification-systems-company/</v>
      </c>
      <c r="C878" s="1" t="s">
        <v>3403</v>
      </c>
      <c r="D878" s="1" t="s">
        <v>1050</v>
      </c>
      <c r="E878" s="1" t="s">
        <v>1051</v>
      </c>
      <c r="F878" s="1" t="s">
        <v>965</v>
      </c>
      <c r="G878" s="1">
        <v>200.0</v>
      </c>
      <c r="H878" s="1" t="s">
        <v>966</v>
      </c>
      <c r="I878" s="1" t="s">
        <v>967</v>
      </c>
      <c r="K878" s="1" t="s">
        <v>3404</v>
      </c>
      <c r="L878" s="1">
        <v>122.0</v>
      </c>
      <c r="M878" s="1">
        <v>1083.0</v>
      </c>
      <c r="O878" s="1">
        <v>0.0</v>
      </c>
      <c r="P878" s="1">
        <v>0.0</v>
      </c>
      <c r="Q878" s="1" t="s">
        <v>3405</v>
      </c>
      <c r="R878" s="1">
        <v>145.0</v>
      </c>
      <c r="S878" s="1">
        <v>916.0</v>
      </c>
      <c r="U878" s="1">
        <v>0.0</v>
      </c>
      <c r="V878" s="1" t="s">
        <v>3403</v>
      </c>
      <c r="W878" s="1">
        <v>84.0</v>
      </c>
      <c r="Y878" s="1">
        <v>0.0</v>
      </c>
      <c r="Z878" s="1" t="s">
        <v>1050</v>
      </c>
      <c r="AA878" s="1">
        <v>17.0</v>
      </c>
      <c r="AB878" s="1" t="s">
        <v>1051</v>
      </c>
      <c r="AC878" s="1">
        <v>11.0</v>
      </c>
      <c r="AD878" s="1" t="s">
        <v>971</v>
      </c>
      <c r="AG878" s="9" t="s">
        <v>3402</v>
      </c>
      <c r="AM878" s="1">
        <v>181173.0</v>
      </c>
      <c r="AN878" s="1">
        <v>31854.0</v>
      </c>
      <c r="AO878" s="1">
        <v>31854.0</v>
      </c>
      <c r="AP878" s="1">
        <v>12.203</v>
      </c>
      <c r="AR878" s="1">
        <v>951.0</v>
      </c>
      <c r="AS878" s="1">
        <v>153.0</v>
      </c>
      <c r="AT878" s="1">
        <v>6.216</v>
      </c>
      <c r="AU878" s="1">
        <v>57.836</v>
      </c>
      <c r="AV878" s="1" t="s">
        <v>972</v>
      </c>
      <c r="AW878" s="1">
        <v>4.61</v>
      </c>
      <c r="AX878" s="1">
        <v>2.0</v>
      </c>
      <c r="AY878" s="1">
        <v>2.0</v>
      </c>
      <c r="AZ878" s="1">
        <v>1.0</v>
      </c>
      <c r="BA878" s="1">
        <v>8.0</v>
      </c>
      <c r="BB878" s="1">
        <v>6.0</v>
      </c>
      <c r="BC878" s="1">
        <v>0.0</v>
      </c>
      <c r="BD878" s="1">
        <v>0.8</v>
      </c>
      <c r="BE878" s="1">
        <v>129.0</v>
      </c>
      <c r="BF878" s="1">
        <v>48.0</v>
      </c>
      <c r="BG878" s="1">
        <v>0.0</v>
      </c>
      <c r="BH878" s="1">
        <v>16.0</v>
      </c>
      <c r="BI878" s="1">
        <v>8.0</v>
      </c>
      <c r="BJ878" s="1">
        <v>0.0</v>
      </c>
      <c r="BO878" s="1" t="s">
        <v>3406</v>
      </c>
      <c r="BP878" s="1">
        <v>1.008</v>
      </c>
      <c r="BU878" s="1" t="s">
        <v>974</v>
      </c>
      <c r="BV878" s="1">
        <v>1.1</v>
      </c>
      <c r="BW878" s="1">
        <v>59.0</v>
      </c>
      <c r="BX878" s="1">
        <v>4051.023</v>
      </c>
      <c r="BY878" s="1">
        <v>6634.042</v>
      </c>
      <c r="BZ878" s="1">
        <v>9001.053</v>
      </c>
      <c r="CA878" s="1">
        <v>18097.615</v>
      </c>
      <c r="CB878" s="1">
        <v>151.5</v>
      </c>
      <c r="CC878" s="1">
        <v>0.0</v>
      </c>
      <c r="CD878" s="1">
        <v>652713.0</v>
      </c>
      <c r="CE878" s="1">
        <v>1200.0</v>
      </c>
      <c r="CF878" s="1">
        <v>164.0</v>
      </c>
      <c r="CG878" s="1">
        <v>2306490.0</v>
      </c>
      <c r="CH878" s="1">
        <v>32833.0</v>
      </c>
      <c r="CI878" s="1">
        <v>2.0</v>
      </c>
      <c r="CJ878" s="1">
        <v>97210.0</v>
      </c>
      <c r="CK878" s="1">
        <v>17.0</v>
      </c>
      <c r="CL878" s="1">
        <v>118279.0</v>
      </c>
      <c r="CM878" s="1">
        <v>43.0</v>
      </c>
      <c r="CN878" s="1">
        <v>1748296.0</v>
      </c>
      <c r="CO878" s="1">
        <v>68.0</v>
      </c>
      <c r="CP878" s="1">
        <v>284722.0</v>
      </c>
      <c r="CQ878" s="1">
        <v>6.0</v>
      </c>
      <c r="CR878" s="1">
        <v>0.0</v>
      </c>
      <c r="CS878" s="1">
        <v>0.0</v>
      </c>
      <c r="CT878" s="1">
        <v>25150.0</v>
      </c>
      <c r="CU878" s="1">
        <v>28.0</v>
      </c>
      <c r="CV878" s="1">
        <v>1504408.0</v>
      </c>
      <c r="CW878" s="1">
        <v>63.0</v>
      </c>
      <c r="DC878" s="1">
        <v>0.0</v>
      </c>
      <c r="DD878" s="1">
        <v>5075.0</v>
      </c>
      <c r="DE878" s="1">
        <v>0.0</v>
      </c>
      <c r="DF878" s="1">
        <v>3401.0</v>
      </c>
      <c r="DG878" s="1">
        <v>300.0</v>
      </c>
      <c r="DH878" s="1">
        <v>50530.0</v>
      </c>
      <c r="DI878" s="1">
        <v>900.0</v>
      </c>
      <c r="DJ878" s="1">
        <v>593707.0</v>
      </c>
      <c r="DK878" s="1">
        <v>1222.27</v>
      </c>
      <c r="DL878" s="1" t="s">
        <v>992</v>
      </c>
      <c r="DM878" s="1">
        <v>2348.546</v>
      </c>
      <c r="DN878" s="1" t="s">
        <v>975</v>
      </c>
      <c r="DO878" s="1">
        <v>2305949.0</v>
      </c>
      <c r="DP878" s="1">
        <v>1.0</v>
      </c>
      <c r="DQ878" s="1" t="s">
        <v>976</v>
      </c>
      <c r="DR878" s="1" t="s">
        <v>1064</v>
      </c>
      <c r="DS878" s="1" t="s">
        <v>978</v>
      </c>
      <c r="DT878" s="1" t="s">
        <v>979</v>
      </c>
      <c r="DU878" s="1" t="s">
        <v>980</v>
      </c>
      <c r="DV878" s="1">
        <v>13847.0</v>
      </c>
      <c r="DX878" s="1">
        <v>3751.0</v>
      </c>
      <c r="DY878" s="1">
        <v>631087.0</v>
      </c>
      <c r="EA878" s="1">
        <v>926.0</v>
      </c>
      <c r="EB878" s="1">
        <v>4453.0</v>
      </c>
      <c r="EC878" s="1">
        <v>0.0</v>
      </c>
      <c r="ED878" s="1">
        <v>26492.0</v>
      </c>
      <c r="EF878" s="1">
        <v>230.0</v>
      </c>
      <c r="EG878" s="1" t="s">
        <v>982</v>
      </c>
      <c r="EH878" s="1">
        <v>100.0</v>
      </c>
      <c r="EK878" s="1">
        <v>100.0</v>
      </c>
      <c r="EQ878" s="9" t="s">
        <v>3402</v>
      </c>
      <c r="ER878" s="21">
        <v>46045.29971064815</v>
      </c>
    </row>
    <row r="879">
      <c r="A879" s="9" t="s">
        <v>3407</v>
      </c>
      <c r="B879" s="20" t="str">
        <f>IFERROR(__xludf.DUMMYFUNCTION("REGEXREPLACE(A879, ""^https?://[^/]+"", """")"),"/wp-content/uploads/2022/03/Case-Study_Professional-Services_JL_SX-1-thumb.jpg")</f>
        <v>/wp-content/uploads/2022/03/Case-Study_Professional-Services_JL_SX-1-thumb.jpg</v>
      </c>
      <c r="F879" s="1" t="s">
        <v>1004</v>
      </c>
      <c r="G879" s="1">
        <v>200.0</v>
      </c>
      <c r="H879" s="1" t="s">
        <v>966</v>
      </c>
      <c r="I879" s="1" t="s">
        <v>967</v>
      </c>
      <c r="L879" s="1">
        <v>0.0</v>
      </c>
      <c r="M879" s="1">
        <v>0.0</v>
      </c>
      <c r="O879" s="1">
        <v>0.0</v>
      </c>
      <c r="P879" s="1">
        <v>0.0</v>
      </c>
      <c r="R879" s="1">
        <v>0.0</v>
      </c>
      <c r="S879" s="1">
        <v>0.0</v>
      </c>
      <c r="U879" s="1">
        <v>0.0</v>
      </c>
      <c r="W879" s="1">
        <v>0.0</v>
      </c>
      <c r="Y879" s="1">
        <v>0.0</v>
      </c>
      <c r="AA879" s="1">
        <v>0.0</v>
      </c>
      <c r="AC879" s="1">
        <v>0.0</v>
      </c>
      <c r="AM879" s="1">
        <v>231019.0</v>
      </c>
      <c r="AN879" s="1">
        <v>231019.0</v>
      </c>
      <c r="AO879" s="1">
        <v>231019.0</v>
      </c>
      <c r="AP879" s="1">
        <v>88.499</v>
      </c>
      <c r="AR879" s="1">
        <v>0.0</v>
      </c>
      <c r="AW879" s="1">
        <v>0.0</v>
      </c>
      <c r="AX879" s="1">
        <v>2.0</v>
      </c>
      <c r="AY879" s="1">
        <v>4.0</v>
      </c>
      <c r="BA879" s="1">
        <v>0.0</v>
      </c>
      <c r="BB879" s="1">
        <v>0.0</v>
      </c>
      <c r="BC879" s="1">
        <v>0.0</v>
      </c>
      <c r="BD879" s="1">
        <v>0.0</v>
      </c>
      <c r="BE879" s="1">
        <v>0.0</v>
      </c>
      <c r="BF879" s="1">
        <v>0.0</v>
      </c>
      <c r="BG879" s="1">
        <v>0.0</v>
      </c>
      <c r="BH879" s="1">
        <v>0.0</v>
      </c>
      <c r="BI879" s="1">
        <v>0.0</v>
      </c>
      <c r="BJ879" s="1">
        <v>0.0</v>
      </c>
      <c r="BP879" s="1">
        <v>0.271</v>
      </c>
      <c r="BQ879" s="1" t="s">
        <v>3408</v>
      </c>
      <c r="BV879" s="1">
        <v>1.1</v>
      </c>
      <c r="EQ879" s="9" t="s">
        <v>3407</v>
      </c>
      <c r="ER879" s="21">
        <v>46045.299722222226</v>
      </c>
    </row>
    <row r="880">
      <c r="A880" s="9" t="s">
        <v>3409</v>
      </c>
      <c r="B880" s="20" t="str">
        <f>IFERROR(__xludf.DUMMYFUNCTION("REGEXREPLACE(A880, ""^https?://[^/]+"", """")"),"/wp-content/uploads/2019/11/healthcare-thumb.jpg")</f>
        <v>/wp-content/uploads/2019/11/healthcare-thumb.jpg</v>
      </c>
      <c r="F880" s="1" t="s">
        <v>1004</v>
      </c>
      <c r="G880" s="1">
        <v>200.0</v>
      </c>
      <c r="H880" s="1" t="s">
        <v>966</v>
      </c>
      <c r="I880" s="1" t="s">
        <v>967</v>
      </c>
      <c r="L880" s="1">
        <v>0.0</v>
      </c>
      <c r="M880" s="1">
        <v>0.0</v>
      </c>
      <c r="O880" s="1">
        <v>0.0</v>
      </c>
      <c r="P880" s="1">
        <v>0.0</v>
      </c>
      <c r="R880" s="1">
        <v>0.0</v>
      </c>
      <c r="S880" s="1">
        <v>0.0</v>
      </c>
      <c r="U880" s="1">
        <v>0.0</v>
      </c>
      <c r="W880" s="1">
        <v>0.0</v>
      </c>
      <c r="Y880" s="1">
        <v>0.0</v>
      </c>
      <c r="AA880" s="1">
        <v>0.0</v>
      </c>
      <c r="AC880" s="1">
        <v>0.0</v>
      </c>
      <c r="AM880" s="1">
        <v>111877.0</v>
      </c>
      <c r="AN880" s="1">
        <v>111877.0</v>
      </c>
      <c r="AO880" s="1">
        <v>111877.0</v>
      </c>
      <c r="AP880" s="1">
        <v>42.858</v>
      </c>
      <c r="AR880" s="1">
        <v>0.0</v>
      </c>
      <c r="AW880" s="1">
        <v>0.0</v>
      </c>
      <c r="AX880" s="1">
        <v>2.0</v>
      </c>
      <c r="AY880" s="1">
        <v>4.0</v>
      </c>
      <c r="BA880" s="1">
        <v>0.0</v>
      </c>
      <c r="BB880" s="1">
        <v>0.0</v>
      </c>
      <c r="BC880" s="1">
        <v>0.0</v>
      </c>
      <c r="BD880" s="1">
        <v>0.0</v>
      </c>
      <c r="BE880" s="1">
        <v>0.0</v>
      </c>
      <c r="BF880" s="1">
        <v>0.0</v>
      </c>
      <c r="BG880" s="1">
        <v>0.0</v>
      </c>
      <c r="BH880" s="1">
        <v>0.0</v>
      </c>
      <c r="BI880" s="1">
        <v>0.0</v>
      </c>
      <c r="BJ880" s="1">
        <v>0.0</v>
      </c>
      <c r="BP880" s="1">
        <v>0.266</v>
      </c>
      <c r="BQ880" s="1" t="s">
        <v>3410</v>
      </c>
      <c r="BV880" s="1">
        <v>1.1</v>
      </c>
      <c r="EQ880" s="9" t="s">
        <v>3409</v>
      </c>
      <c r="ER880" s="21">
        <v>46045.299722222226</v>
      </c>
    </row>
    <row r="881">
      <c r="A881" s="9" t="s">
        <v>3411</v>
      </c>
      <c r="B881" s="20" t="str">
        <f>IFERROR(__xludf.DUMMYFUNCTION("REGEXREPLACE(A881, ""^https?://[^/]+"", """")"),"/wp-content/uploads/2023/08/Driving-Sales-Efficiency-Through-Strategic-Transformation-Manufacturing-Case-Study_Cover-Image.jpg")</f>
        <v>/wp-content/uploads/2023/08/Driving-Sales-Efficiency-Through-Strategic-Transformation-Manufacturing-Case-Study_Cover-Image.jpg</v>
      </c>
      <c r="F881" s="1" t="s">
        <v>1004</v>
      </c>
      <c r="G881" s="1">
        <v>200.0</v>
      </c>
      <c r="H881" s="1" t="s">
        <v>966</v>
      </c>
      <c r="I881" s="1" t="s">
        <v>967</v>
      </c>
      <c r="L881" s="1">
        <v>0.0</v>
      </c>
      <c r="M881" s="1">
        <v>0.0</v>
      </c>
      <c r="O881" s="1">
        <v>0.0</v>
      </c>
      <c r="P881" s="1">
        <v>0.0</v>
      </c>
      <c r="R881" s="1">
        <v>0.0</v>
      </c>
      <c r="S881" s="1">
        <v>0.0</v>
      </c>
      <c r="U881" s="1">
        <v>0.0</v>
      </c>
      <c r="W881" s="1">
        <v>0.0</v>
      </c>
      <c r="Y881" s="1">
        <v>0.0</v>
      </c>
      <c r="AA881" s="1">
        <v>0.0</v>
      </c>
      <c r="AC881" s="1">
        <v>0.0</v>
      </c>
      <c r="AM881" s="1">
        <v>86024.0</v>
      </c>
      <c r="AN881" s="1">
        <v>86024.0</v>
      </c>
      <c r="AO881" s="1">
        <v>86024.0</v>
      </c>
      <c r="AP881" s="1">
        <v>32.954</v>
      </c>
      <c r="AR881" s="1">
        <v>0.0</v>
      </c>
      <c r="AW881" s="1">
        <v>0.0</v>
      </c>
      <c r="AX881" s="1">
        <v>2.0</v>
      </c>
      <c r="AY881" s="1">
        <v>4.0</v>
      </c>
      <c r="BA881" s="1">
        <v>0.0</v>
      </c>
      <c r="BB881" s="1">
        <v>0.0</v>
      </c>
      <c r="BC881" s="1">
        <v>0.0</v>
      </c>
      <c r="BD881" s="1">
        <v>0.0</v>
      </c>
      <c r="BE881" s="1">
        <v>0.0</v>
      </c>
      <c r="BF881" s="1">
        <v>0.0</v>
      </c>
      <c r="BG881" s="1">
        <v>0.0</v>
      </c>
      <c r="BH881" s="1">
        <v>0.0</v>
      </c>
      <c r="BI881" s="1">
        <v>0.0</v>
      </c>
      <c r="BJ881" s="1">
        <v>0.0</v>
      </c>
      <c r="BP881" s="1">
        <v>0.259</v>
      </c>
      <c r="BQ881" s="1" t="s">
        <v>3412</v>
      </c>
      <c r="BV881" s="1">
        <v>1.1</v>
      </c>
      <c r="EQ881" s="9" t="s">
        <v>3411</v>
      </c>
      <c r="ER881" s="21">
        <v>46045.299722222226</v>
      </c>
    </row>
    <row r="882">
      <c r="A882" s="9" t="s">
        <v>3413</v>
      </c>
      <c r="B882" s="20" t="str">
        <f>IFERROR(__xludf.DUMMYFUNCTION("REGEXREPLACE(A882, ""^https?://[^/]+"", """")"),"/case-study/food-agriculture-company/")</f>
        <v>/case-study/food-agriculture-company/</v>
      </c>
      <c r="C882" s="1" t="s">
        <v>3414</v>
      </c>
      <c r="D882" s="1" t="s">
        <v>1050</v>
      </c>
      <c r="E882" s="1" t="s">
        <v>1051</v>
      </c>
      <c r="F882" s="1" t="s">
        <v>965</v>
      </c>
      <c r="G882" s="1">
        <v>200.0</v>
      </c>
      <c r="H882" s="1" t="s">
        <v>966</v>
      </c>
      <c r="I882" s="1" t="s">
        <v>967</v>
      </c>
      <c r="K882" s="1" t="s">
        <v>3415</v>
      </c>
      <c r="L882" s="1">
        <v>106.0</v>
      </c>
      <c r="M882" s="1">
        <v>968.0</v>
      </c>
      <c r="O882" s="1">
        <v>0.0</v>
      </c>
      <c r="P882" s="1">
        <v>0.0</v>
      </c>
      <c r="Q882" s="1" t="s">
        <v>3416</v>
      </c>
      <c r="R882" s="1">
        <v>153.0</v>
      </c>
      <c r="S882" s="1">
        <v>956.0</v>
      </c>
      <c r="U882" s="1">
        <v>0.0</v>
      </c>
      <c r="V882" s="1" t="s">
        <v>3414</v>
      </c>
      <c r="W882" s="1">
        <v>68.0</v>
      </c>
      <c r="Y882" s="1">
        <v>0.0</v>
      </c>
      <c r="Z882" s="1" t="s">
        <v>1050</v>
      </c>
      <c r="AA882" s="1">
        <v>17.0</v>
      </c>
      <c r="AB882" s="1" t="s">
        <v>1051</v>
      </c>
      <c r="AC882" s="1">
        <v>11.0</v>
      </c>
      <c r="AD882" s="1" t="s">
        <v>971</v>
      </c>
      <c r="AG882" s="9" t="s">
        <v>3413</v>
      </c>
      <c r="AM882" s="1">
        <v>179799.0</v>
      </c>
      <c r="AN882" s="1">
        <v>31415.0</v>
      </c>
      <c r="AO882" s="1">
        <v>31415.0</v>
      </c>
      <c r="AP882" s="1">
        <v>12.034</v>
      </c>
      <c r="AR882" s="1">
        <v>830.0</v>
      </c>
      <c r="AS882" s="1">
        <v>138.0</v>
      </c>
      <c r="AT882" s="1">
        <v>6.014</v>
      </c>
      <c r="AU882" s="1">
        <v>59.255</v>
      </c>
      <c r="AV882" s="1" t="s">
        <v>972</v>
      </c>
      <c r="AW882" s="1">
        <v>4.202</v>
      </c>
      <c r="AX882" s="1">
        <v>2.0</v>
      </c>
      <c r="AY882" s="1">
        <v>2.0</v>
      </c>
      <c r="AZ882" s="1">
        <v>1.0</v>
      </c>
      <c r="BA882" s="1">
        <v>12.0</v>
      </c>
      <c r="BB882" s="1">
        <v>10.0</v>
      </c>
      <c r="BC882" s="1">
        <v>0.0</v>
      </c>
      <c r="BD882" s="1">
        <v>1.33</v>
      </c>
      <c r="BE882" s="1">
        <v>128.0</v>
      </c>
      <c r="BF882" s="1">
        <v>48.0</v>
      </c>
      <c r="BG882" s="1">
        <v>0.0</v>
      </c>
      <c r="BH882" s="1">
        <v>16.0</v>
      </c>
      <c r="BI882" s="1">
        <v>8.0</v>
      </c>
      <c r="BJ882" s="1">
        <v>0.0</v>
      </c>
      <c r="BO882" s="1" t="s">
        <v>3417</v>
      </c>
      <c r="BP882" s="1">
        <v>0.973</v>
      </c>
      <c r="BU882" s="1" t="s">
        <v>974</v>
      </c>
      <c r="BV882" s="1">
        <v>1.1</v>
      </c>
      <c r="BW882" s="1">
        <v>44.0</v>
      </c>
      <c r="BX882" s="1">
        <v>3751.022</v>
      </c>
      <c r="BY882" s="1">
        <v>6877.269</v>
      </c>
      <c r="BZ882" s="1">
        <v>7801.048</v>
      </c>
      <c r="CA882" s="1">
        <v>18205.809</v>
      </c>
      <c r="CB882" s="1">
        <v>720.5</v>
      </c>
      <c r="CC882" s="1">
        <v>0.022</v>
      </c>
      <c r="CD882" s="1">
        <v>652993.0</v>
      </c>
      <c r="CE882" s="1">
        <v>1200.0</v>
      </c>
      <c r="CF882" s="1">
        <v>167.0</v>
      </c>
      <c r="CG882" s="1">
        <v>2293326.0</v>
      </c>
      <c r="CH882" s="1">
        <v>32355.0</v>
      </c>
      <c r="CI882" s="1">
        <v>2.0</v>
      </c>
      <c r="CJ882" s="1">
        <v>84717.0</v>
      </c>
      <c r="CK882" s="1">
        <v>19.0</v>
      </c>
      <c r="CL882" s="1">
        <v>118276.0</v>
      </c>
      <c r="CM882" s="1">
        <v>43.0</v>
      </c>
      <c r="CN882" s="1">
        <v>1747861.0</v>
      </c>
      <c r="CO882" s="1">
        <v>68.0</v>
      </c>
      <c r="CP882" s="1">
        <v>284722.0</v>
      </c>
      <c r="CQ882" s="1">
        <v>6.0</v>
      </c>
      <c r="CR882" s="1">
        <v>0.0</v>
      </c>
      <c r="CS882" s="1">
        <v>0.0</v>
      </c>
      <c r="CT882" s="1">
        <v>25395.0</v>
      </c>
      <c r="CU882" s="1">
        <v>29.0</v>
      </c>
      <c r="CV882" s="1">
        <v>1504502.0</v>
      </c>
      <c r="CW882" s="1">
        <v>66.0</v>
      </c>
      <c r="DC882" s="1">
        <v>0.0</v>
      </c>
      <c r="DD882" s="1">
        <v>5075.0</v>
      </c>
      <c r="DE882" s="1">
        <v>0.0</v>
      </c>
      <c r="DF882" s="1">
        <v>3396.0</v>
      </c>
      <c r="DG882" s="1">
        <v>150.0</v>
      </c>
      <c r="DH882" s="1">
        <v>50531.0</v>
      </c>
      <c r="DI882" s="1">
        <v>1050.0</v>
      </c>
      <c r="DJ882" s="1">
        <v>593991.0</v>
      </c>
      <c r="DK882" s="1">
        <v>2140.547</v>
      </c>
      <c r="DL882" s="1" t="s">
        <v>975</v>
      </c>
      <c r="DM882" s="1">
        <v>3795.455</v>
      </c>
      <c r="DN882" s="1" t="s">
        <v>975</v>
      </c>
      <c r="DO882" s="1">
        <v>2292545.0</v>
      </c>
      <c r="DP882" s="1">
        <v>1.0</v>
      </c>
      <c r="DQ882" s="1" t="s">
        <v>976</v>
      </c>
      <c r="DR882" s="1" t="s">
        <v>1848</v>
      </c>
      <c r="DS882" s="1" t="s">
        <v>978</v>
      </c>
      <c r="DT882" s="1" t="s">
        <v>979</v>
      </c>
      <c r="DU882" s="1" t="s">
        <v>980</v>
      </c>
      <c r="DV882" s="1">
        <v>13547.0</v>
      </c>
      <c r="DX882" s="1">
        <v>4057.0</v>
      </c>
      <c r="DY882" s="1">
        <v>625990.0</v>
      </c>
      <c r="DZ882" s="1" t="s">
        <v>981</v>
      </c>
      <c r="EA882" s="1">
        <v>917.0</v>
      </c>
      <c r="EB882" s="1">
        <v>4453.0</v>
      </c>
      <c r="EC882" s="1">
        <v>25.0</v>
      </c>
      <c r="ED882" s="1">
        <v>26492.0</v>
      </c>
      <c r="EF882" s="1">
        <v>210.0</v>
      </c>
      <c r="EG882" s="1" t="s">
        <v>982</v>
      </c>
      <c r="EH882" s="1">
        <v>100.0</v>
      </c>
      <c r="EK882" s="1">
        <v>100.0</v>
      </c>
      <c r="EQ882" s="9" t="s">
        <v>3413</v>
      </c>
      <c r="ER882" s="21">
        <v>46045.29971064815</v>
      </c>
    </row>
    <row r="883">
      <c r="A883" s="9" t="s">
        <v>3418</v>
      </c>
      <c r="B883" s="20" t="str">
        <f>IFERROR(__xludf.DUMMYFUNCTION("REGEXREPLACE(A883, ""^https?://[^/]+"", """")"),"/wp-content/uploads/2019/03/tech-case-study1.jpg")</f>
        <v>/wp-content/uploads/2019/03/tech-case-study1.jpg</v>
      </c>
      <c r="F883" s="1" t="s">
        <v>1004</v>
      </c>
      <c r="G883" s="1">
        <v>200.0</v>
      </c>
      <c r="H883" s="1" t="s">
        <v>966</v>
      </c>
      <c r="I883" s="1" t="s">
        <v>967</v>
      </c>
      <c r="L883" s="1">
        <v>0.0</v>
      </c>
      <c r="M883" s="1">
        <v>0.0</v>
      </c>
      <c r="O883" s="1">
        <v>0.0</v>
      </c>
      <c r="P883" s="1">
        <v>0.0</v>
      </c>
      <c r="R883" s="1">
        <v>0.0</v>
      </c>
      <c r="S883" s="1">
        <v>0.0</v>
      </c>
      <c r="U883" s="1">
        <v>0.0</v>
      </c>
      <c r="W883" s="1">
        <v>0.0</v>
      </c>
      <c r="Y883" s="1">
        <v>0.0</v>
      </c>
      <c r="AA883" s="1">
        <v>0.0</v>
      </c>
      <c r="AC883" s="1">
        <v>0.0</v>
      </c>
      <c r="AM883" s="1">
        <v>53327.0</v>
      </c>
      <c r="AN883" s="1">
        <v>53327.0</v>
      </c>
      <c r="AO883" s="1">
        <v>53327.0</v>
      </c>
      <c r="AP883" s="1">
        <v>20.429</v>
      </c>
      <c r="AR883" s="1">
        <v>0.0</v>
      </c>
      <c r="AW883" s="1">
        <v>0.0</v>
      </c>
      <c r="AX883" s="1">
        <v>2.0</v>
      </c>
      <c r="AY883" s="1">
        <v>4.0</v>
      </c>
      <c r="BA883" s="1">
        <v>0.0</v>
      </c>
      <c r="BB883" s="1">
        <v>0.0</v>
      </c>
      <c r="BC883" s="1">
        <v>0.0</v>
      </c>
      <c r="BD883" s="1">
        <v>0.0</v>
      </c>
      <c r="BE883" s="1">
        <v>0.0</v>
      </c>
      <c r="BF883" s="1">
        <v>0.0</v>
      </c>
      <c r="BG883" s="1">
        <v>0.0</v>
      </c>
      <c r="BH883" s="1">
        <v>0.0</v>
      </c>
      <c r="BI883" s="1">
        <v>0.0</v>
      </c>
      <c r="BJ883" s="1">
        <v>0.0</v>
      </c>
      <c r="BP883" s="1">
        <v>0.302</v>
      </c>
      <c r="BQ883" s="1" t="s">
        <v>3419</v>
      </c>
      <c r="BV883" s="1">
        <v>1.1</v>
      </c>
      <c r="EQ883" s="9" t="s">
        <v>3418</v>
      </c>
      <c r="ER883" s="21">
        <v>46045.299722222226</v>
      </c>
    </row>
    <row r="884">
      <c r="A884" s="9" t="s">
        <v>3420</v>
      </c>
      <c r="B884" s="20" t="str">
        <f>IFERROR(__xludf.DUMMYFUNCTION("REGEXREPLACE(A884, ""^https?://[^/]+"", """")"),"/wp-content/uploads/2025/07/Driving-25-Higher-Topline-Revenue-for-a-Compostable-Packaging-Company-300x172.jpg")</f>
        <v>/wp-content/uploads/2025/07/Driving-25-Higher-Topline-Revenue-for-a-Compostable-Packaging-Company-300x172.jpg</v>
      </c>
      <c r="F884" s="1" t="s">
        <v>1004</v>
      </c>
      <c r="G884" s="1">
        <v>200.0</v>
      </c>
      <c r="H884" s="1" t="s">
        <v>966</v>
      </c>
      <c r="I884" s="1" t="s">
        <v>967</v>
      </c>
      <c r="L884" s="1">
        <v>0.0</v>
      </c>
      <c r="M884" s="1">
        <v>0.0</v>
      </c>
      <c r="O884" s="1">
        <v>0.0</v>
      </c>
      <c r="P884" s="1">
        <v>0.0</v>
      </c>
      <c r="R884" s="1">
        <v>0.0</v>
      </c>
      <c r="S884" s="1">
        <v>0.0</v>
      </c>
      <c r="U884" s="1">
        <v>0.0</v>
      </c>
      <c r="W884" s="1">
        <v>0.0</v>
      </c>
      <c r="Y884" s="1">
        <v>0.0</v>
      </c>
      <c r="AA884" s="1">
        <v>0.0</v>
      </c>
      <c r="AC884" s="1">
        <v>0.0</v>
      </c>
      <c r="AM884" s="1">
        <v>15122.0</v>
      </c>
      <c r="AN884" s="1">
        <v>15122.0</v>
      </c>
      <c r="AO884" s="1">
        <v>15122.0</v>
      </c>
      <c r="AP884" s="1">
        <v>5.793</v>
      </c>
      <c r="AR884" s="1">
        <v>0.0</v>
      </c>
      <c r="AW884" s="1">
        <v>0.0</v>
      </c>
      <c r="AX884" s="1">
        <v>2.0</v>
      </c>
      <c r="AY884" s="1">
        <v>4.0</v>
      </c>
      <c r="BA884" s="1">
        <v>0.0</v>
      </c>
      <c r="BB884" s="1">
        <v>0.0</v>
      </c>
      <c r="BC884" s="1">
        <v>0.0</v>
      </c>
      <c r="BD884" s="1">
        <v>0.0</v>
      </c>
      <c r="BE884" s="1">
        <v>0.0</v>
      </c>
      <c r="BF884" s="1">
        <v>0.0</v>
      </c>
      <c r="BG884" s="1">
        <v>0.0</v>
      </c>
      <c r="BH884" s="1">
        <v>0.0</v>
      </c>
      <c r="BI884" s="1">
        <v>0.0</v>
      </c>
      <c r="BJ884" s="1">
        <v>0.0</v>
      </c>
      <c r="BP884" s="1">
        <v>0.273</v>
      </c>
      <c r="BQ884" s="1" t="s">
        <v>3421</v>
      </c>
      <c r="BV884" s="1">
        <v>1.1</v>
      </c>
      <c r="EQ884" s="9" t="s">
        <v>3420</v>
      </c>
      <c r="ER884" s="21">
        <v>46045.299722222226</v>
      </c>
    </row>
    <row r="885">
      <c r="A885" s="9" t="s">
        <v>3422</v>
      </c>
      <c r="B885" s="20" t="str">
        <f>IFERROR(__xludf.DUMMYFUNCTION("REGEXREPLACE(A885, ""^https?://[^/]+"", """")"),"/wp-content/uploads/2019/10/food-thumb.jpg")</f>
        <v>/wp-content/uploads/2019/10/food-thumb.jpg</v>
      </c>
      <c r="F885" s="1" t="s">
        <v>1004</v>
      </c>
      <c r="G885" s="1">
        <v>200.0</v>
      </c>
      <c r="H885" s="1" t="s">
        <v>966</v>
      </c>
      <c r="I885" s="1" t="s">
        <v>967</v>
      </c>
      <c r="L885" s="1">
        <v>0.0</v>
      </c>
      <c r="M885" s="1">
        <v>0.0</v>
      </c>
      <c r="O885" s="1">
        <v>0.0</v>
      </c>
      <c r="P885" s="1">
        <v>0.0</v>
      </c>
      <c r="R885" s="1">
        <v>0.0</v>
      </c>
      <c r="S885" s="1">
        <v>0.0</v>
      </c>
      <c r="U885" s="1">
        <v>0.0</v>
      </c>
      <c r="W885" s="1">
        <v>0.0</v>
      </c>
      <c r="Y885" s="1">
        <v>0.0</v>
      </c>
      <c r="AA885" s="1">
        <v>0.0</v>
      </c>
      <c r="AC885" s="1">
        <v>0.0</v>
      </c>
      <c r="AM885" s="1">
        <v>166425.0</v>
      </c>
      <c r="AN885" s="1">
        <v>166425.0</v>
      </c>
      <c r="AO885" s="1">
        <v>166425.0</v>
      </c>
      <c r="AP885" s="1">
        <v>63.754</v>
      </c>
      <c r="AR885" s="1">
        <v>0.0</v>
      </c>
      <c r="AW885" s="1">
        <v>0.0</v>
      </c>
      <c r="AX885" s="1">
        <v>2.0</v>
      </c>
      <c r="AY885" s="1">
        <v>4.0</v>
      </c>
      <c r="BA885" s="1">
        <v>0.0</v>
      </c>
      <c r="BB885" s="1">
        <v>0.0</v>
      </c>
      <c r="BC885" s="1">
        <v>0.0</v>
      </c>
      <c r="BD885" s="1">
        <v>0.0</v>
      </c>
      <c r="BE885" s="1">
        <v>0.0</v>
      </c>
      <c r="BF885" s="1">
        <v>0.0</v>
      </c>
      <c r="BG885" s="1">
        <v>0.0</v>
      </c>
      <c r="BH885" s="1">
        <v>0.0</v>
      </c>
      <c r="BI885" s="1">
        <v>0.0</v>
      </c>
      <c r="BJ885" s="1">
        <v>0.0</v>
      </c>
      <c r="BP885" s="1">
        <v>0.291</v>
      </c>
      <c r="BQ885" s="1" t="s">
        <v>3423</v>
      </c>
      <c r="BV885" s="1">
        <v>1.1</v>
      </c>
      <c r="EQ885" s="9" t="s">
        <v>3422</v>
      </c>
      <c r="ER885" s="21">
        <v>46045.299722222226</v>
      </c>
    </row>
    <row r="886">
      <c r="A886" s="9" t="s">
        <v>3424</v>
      </c>
      <c r="B886" s="20" t="str">
        <f>IFERROR(__xludf.DUMMYFUNCTION("REGEXREPLACE(A886, ""^https?://[^/]+"", """")"),"/wp-content/uploads/2021/02/case-study-jp-thumb.jpg")</f>
        <v>/wp-content/uploads/2021/02/case-study-jp-thumb.jpg</v>
      </c>
      <c r="F886" s="1" t="s">
        <v>1004</v>
      </c>
      <c r="G886" s="1">
        <v>200.0</v>
      </c>
      <c r="H886" s="1" t="s">
        <v>966</v>
      </c>
      <c r="I886" s="1" t="s">
        <v>967</v>
      </c>
      <c r="L886" s="1">
        <v>0.0</v>
      </c>
      <c r="M886" s="1">
        <v>0.0</v>
      </c>
      <c r="O886" s="1">
        <v>0.0</v>
      </c>
      <c r="P886" s="1">
        <v>0.0</v>
      </c>
      <c r="R886" s="1">
        <v>0.0</v>
      </c>
      <c r="S886" s="1">
        <v>0.0</v>
      </c>
      <c r="U886" s="1">
        <v>0.0</v>
      </c>
      <c r="W886" s="1">
        <v>0.0</v>
      </c>
      <c r="Y886" s="1">
        <v>0.0</v>
      </c>
      <c r="AA886" s="1">
        <v>0.0</v>
      </c>
      <c r="AC886" s="1">
        <v>0.0</v>
      </c>
      <c r="AM886" s="1">
        <v>62435.0</v>
      </c>
      <c r="AN886" s="1">
        <v>62435.0</v>
      </c>
      <c r="AO886" s="1">
        <v>62435.0</v>
      </c>
      <c r="AP886" s="1">
        <v>23.918</v>
      </c>
      <c r="AR886" s="1">
        <v>0.0</v>
      </c>
      <c r="AW886" s="1">
        <v>0.0</v>
      </c>
      <c r="AX886" s="1">
        <v>2.0</v>
      </c>
      <c r="AY886" s="1">
        <v>4.0</v>
      </c>
      <c r="BA886" s="1">
        <v>0.0</v>
      </c>
      <c r="BB886" s="1">
        <v>0.0</v>
      </c>
      <c r="BC886" s="1">
        <v>0.0</v>
      </c>
      <c r="BD886" s="1">
        <v>0.0</v>
      </c>
      <c r="BE886" s="1">
        <v>0.0</v>
      </c>
      <c r="BF886" s="1">
        <v>0.0</v>
      </c>
      <c r="BG886" s="1">
        <v>0.0</v>
      </c>
      <c r="BH886" s="1">
        <v>0.0</v>
      </c>
      <c r="BI886" s="1">
        <v>0.0</v>
      </c>
      <c r="BJ886" s="1">
        <v>0.0</v>
      </c>
      <c r="BP886" s="1">
        <v>0.275</v>
      </c>
      <c r="BQ886" s="1" t="s">
        <v>3425</v>
      </c>
      <c r="BV886" s="1">
        <v>1.1</v>
      </c>
      <c r="EQ886" s="9" t="s">
        <v>3424</v>
      </c>
      <c r="ER886" s="21">
        <v>46045.299733796295</v>
      </c>
    </row>
    <row r="887">
      <c r="A887" s="9" t="s">
        <v>3426</v>
      </c>
      <c r="B887" s="20" t="str">
        <f>IFERROR(__xludf.DUMMYFUNCTION("REGEXREPLACE(A887, ""^https?://[^/]+"", """")"),"/wp-content/uploads/2019/10/thumb-recruiting-cs.jpg")</f>
        <v>/wp-content/uploads/2019/10/thumb-recruiting-cs.jpg</v>
      </c>
      <c r="F887" s="1" t="s">
        <v>1004</v>
      </c>
      <c r="G887" s="1">
        <v>200.0</v>
      </c>
      <c r="H887" s="1" t="s">
        <v>966</v>
      </c>
      <c r="I887" s="1" t="s">
        <v>967</v>
      </c>
      <c r="L887" s="1">
        <v>0.0</v>
      </c>
      <c r="M887" s="1">
        <v>0.0</v>
      </c>
      <c r="O887" s="1">
        <v>0.0</v>
      </c>
      <c r="P887" s="1">
        <v>0.0</v>
      </c>
      <c r="R887" s="1">
        <v>0.0</v>
      </c>
      <c r="S887" s="1">
        <v>0.0</v>
      </c>
      <c r="U887" s="1">
        <v>0.0</v>
      </c>
      <c r="W887" s="1">
        <v>0.0</v>
      </c>
      <c r="Y887" s="1">
        <v>0.0</v>
      </c>
      <c r="AA887" s="1">
        <v>0.0</v>
      </c>
      <c r="AC887" s="1">
        <v>0.0</v>
      </c>
      <c r="AM887" s="1">
        <v>87070.0</v>
      </c>
      <c r="AN887" s="1">
        <v>87070.0</v>
      </c>
      <c r="AO887" s="1">
        <v>87070.0</v>
      </c>
      <c r="AP887" s="1">
        <v>33.355</v>
      </c>
      <c r="AR887" s="1">
        <v>0.0</v>
      </c>
      <c r="AW887" s="1">
        <v>0.0</v>
      </c>
      <c r="AX887" s="1">
        <v>2.0</v>
      </c>
      <c r="AY887" s="1">
        <v>4.0</v>
      </c>
      <c r="BA887" s="1">
        <v>0.0</v>
      </c>
      <c r="BB887" s="1">
        <v>0.0</v>
      </c>
      <c r="BC887" s="1">
        <v>0.0</v>
      </c>
      <c r="BD887" s="1">
        <v>0.0</v>
      </c>
      <c r="BE887" s="1">
        <v>0.0</v>
      </c>
      <c r="BF887" s="1">
        <v>0.0</v>
      </c>
      <c r="BG887" s="1">
        <v>0.0</v>
      </c>
      <c r="BH887" s="1">
        <v>0.0</v>
      </c>
      <c r="BI887" s="1">
        <v>0.0</v>
      </c>
      <c r="BJ887" s="1">
        <v>0.0</v>
      </c>
      <c r="BP887" s="1">
        <v>0.267</v>
      </c>
      <c r="BQ887" s="1" t="s">
        <v>3427</v>
      </c>
      <c r="BV887" s="1">
        <v>1.1</v>
      </c>
      <c r="EQ887" s="9" t="s">
        <v>3426</v>
      </c>
      <c r="ER887" s="21">
        <v>46045.299733796295</v>
      </c>
    </row>
    <row r="888">
      <c r="A888" s="9" t="s">
        <v>3428</v>
      </c>
      <c r="B888" s="20" t="str">
        <f>IFERROR(__xludf.DUMMYFUNCTION("REGEXREPLACE(A888, ""^https?://[^/]+"", """")"),"/case-study/medical-interpretation-and-language-translation-company/")</f>
        <v>/case-study/medical-interpretation-and-language-translation-company/</v>
      </c>
      <c r="C888" s="1" t="s">
        <v>3429</v>
      </c>
      <c r="D888" s="1" t="s">
        <v>1050</v>
      </c>
      <c r="E888" s="1" t="s">
        <v>1051</v>
      </c>
      <c r="F888" s="1" t="s">
        <v>965</v>
      </c>
      <c r="G888" s="1">
        <v>200.0</v>
      </c>
      <c r="H888" s="1" t="s">
        <v>966</v>
      </c>
      <c r="I888" s="1" t="s">
        <v>967</v>
      </c>
      <c r="K888" s="1" t="s">
        <v>3430</v>
      </c>
      <c r="L888" s="1">
        <v>155.0</v>
      </c>
      <c r="M888" s="1">
        <v>1366.0</v>
      </c>
      <c r="O888" s="1">
        <v>0.0</v>
      </c>
      <c r="P888" s="1">
        <v>0.0</v>
      </c>
      <c r="Q888" s="1" t="s">
        <v>3431</v>
      </c>
      <c r="R888" s="1">
        <v>153.0</v>
      </c>
      <c r="S888" s="1">
        <v>951.0</v>
      </c>
      <c r="U888" s="1">
        <v>0.0</v>
      </c>
      <c r="V888" s="1" t="s">
        <v>3429</v>
      </c>
      <c r="W888" s="1">
        <v>117.0</v>
      </c>
      <c r="Y888" s="1">
        <v>0.0</v>
      </c>
      <c r="Z888" s="1" t="s">
        <v>1050</v>
      </c>
      <c r="AA888" s="1">
        <v>17.0</v>
      </c>
      <c r="AB888" s="1" t="s">
        <v>1051</v>
      </c>
      <c r="AC888" s="1">
        <v>11.0</v>
      </c>
      <c r="AD888" s="1" t="s">
        <v>971</v>
      </c>
      <c r="AG888" s="9" t="s">
        <v>3428</v>
      </c>
      <c r="AM888" s="1">
        <v>183133.0</v>
      </c>
      <c r="AN888" s="1">
        <v>31944.0</v>
      </c>
      <c r="AO888" s="1">
        <v>31944.0</v>
      </c>
      <c r="AP888" s="1">
        <v>12.237</v>
      </c>
      <c r="AR888" s="1">
        <v>912.0</v>
      </c>
      <c r="AS888" s="1">
        <v>151.0</v>
      </c>
      <c r="AT888" s="1">
        <v>6.04</v>
      </c>
      <c r="AU888" s="1">
        <v>59.241</v>
      </c>
      <c r="AV888" s="1" t="s">
        <v>972</v>
      </c>
      <c r="AW888" s="1">
        <v>4.424</v>
      </c>
      <c r="AX888" s="1">
        <v>2.0</v>
      </c>
      <c r="AY888" s="1">
        <v>2.0</v>
      </c>
      <c r="AZ888" s="1">
        <v>1.0</v>
      </c>
      <c r="BA888" s="1">
        <v>4.0</v>
      </c>
      <c r="BB888" s="1">
        <v>2.0</v>
      </c>
      <c r="BC888" s="1">
        <v>0.0</v>
      </c>
      <c r="BD888" s="1">
        <v>0.27</v>
      </c>
      <c r="BE888" s="1">
        <v>129.0</v>
      </c>
      <c r="BF888" s="1">
        <v>48.0</v>
      </c>
      <c r="BG888" s="1">
        <v>0.0</v>
      </c>
      <c r="BH888" s="1">
        <v>16.0</v>
      </c>
      <c r="BI888" s="1">
        <v>8.0</v>
      </c>
      <c r="BJ888" s="1">
        <v>0.0</v>
      </c>
      <c r="BO888" s="1" t="s">
        <v>3432</v>
      </c>
      <c r="BP888" s="1">
        <v>0.974</v>
      </c>
      <c r="BU888" s="1" t="s">
        <v>974</v>
      </c>
      <c r="BV888" s="1">
        <v>1.1</v>
      </c>
      <c r="BW888" s="1">
        <v>51.0</v>
      </c>
      <c r="BX888" s="1">
        <v>3751.051</v>
      </c>
      <c r="BY888" s="1">
        <v>6434.904</v>
      </c>
      <c r="BZ888" s="1">
        <v>7651.109</v>
      </c>
      <c r="CA888" s="1">
        <v>18077.291</v>
      </c>
      <c r="CB888" s="1">
        <v>474.5</v>
      </c>
      <c r="CC888" s="1">
        <v>0.019</v>
      </c>
      <c r="CD888" s="1">
        <v>650956.0</v>
      </c>
      <c r="CE888" s="1">
        <v>1200.0</v>
      </c>
      <c r="CF888" s="1">
        <v>165.0</v>
      </c>
      <c r="CG888" s="1">
        <v>2296906.0</v>
      </c>
      <c r="CH888" s="1">
        <v>32851.0</v>
      </c>
      <c r="CI888" s="1">
        <v>2.0</v>
      </c>
      <c r="CJ888" s="1">
        <v>86776.0</v>
      </c>
      <c r="CK888" s="1">
        <v>17.0</v>
      </c>
      <c r="CL888" s="1">
        <v>119154.0</v>
      </c>
      <c r="CM888" s="1">
        <v>43.0</v>
      </c>
      <c r="CN888" s="1">
        <v>1748044.0</v>
      </c>
      <c r="CO888" s="1">
        <v>68.0</v>
      </c>
      <c r="CP888" s="1">
        <v>284722.0</v>
      </c>
      <c r="CQ888" s="1">
        <v>6.0</v>
      </c>
      <c r="CR888" s="1">
        <v>0.0</v>
      </c>
      <c r="CS888" s="1">
        <v>0.0</v>
      </c>
      <c r="CT888" s="1">
        <v>25359.0</v>
      </c>
      <c r="CU888" s="1">
        <v>29.0</v>
      </c>
      <c r="CV888" s="1">
        <v>1504879.0</v>
      </c>
      <c r="CW888" s="1">
        <v>64.0</v>
      </c>
      <c r="DC888" s="1">
        <v>0.0</v>
      </c>
      <c r="DD888" s="1">
        <v>5075.0</v>
      </c>
      <c r="DE888" s="1">
        <v>0.0</v>
      </c>
      <c r="DF888" s="1">
        <v>3396.0</v>
      </c>
      <c r="DG888" s="1">
        <v>150.0</v>
      </c>
      <c r="DH888" s="1">
        <v>50530.0</v>
      </c>
      <c r="DI888" s="1">
        <v>1050.0</v>
      </c>
      <c r="DJ888" s="1">
        <v>591955.0</v>
      </c>
      <c r="DK888" s="1">
        <v>2063.304</v>
      </c>
      <c r="DL888" s="1" t="s">
        <v>975</v>
      </c>
      <c r="DM888" s="1">
        <v>3611.05</v>
      </c>
      <c r="DN888" s="1" t="s">
        <v>975</v>
      </c>
      <c r="DO888" s="1">
        <v>2296365.0</v>
      </c>
      <c r="DP888" s="1">
        <v>1.0</v>
      </c>
      <c r="DQ888" s="1" t="s">
        <v>976</v>
      </c>
      <c r="DR888" s="1" t="s">
        <v>3433</v>
      </c>
      <c r="DS888" s="1" t="s">
        <v>978</v>
      </c>
      <c r="DT888" s="1" t="s">
        <v>979</v>
      </c>
      <c r="DU888" s="1" t="s">
        <v>980</v>
      </c>
      <c r="DV888" s="1">
        <v>13546.0</v>
      </c>
      <c r="DX888" s="1">
        <v>3868.0</v>
      </c>
      <c r="DY888" s="1">
        <v>626906.0</v>
      </c>
      <c r="DZ888" s="1" t="s">
        <v>981</v>
      </c>
      <c r="EA888" s="1">
        <v>918.0</v>
      </c>
      <c r="EB888" s="1">
        <v>4453.0</v>
      </c>
      <c r="EC888" s="1">
        <v>23.0</v>
      </c>
      <c r="ED888" s="1">
        <v>26492.0</v>
      </c>
      <c r="EF888" s="1">
        <v>205.0</v>
      </c>
      <c r="EG888" s="1" t="s">
        <v>982</v>
      </c>
      <c r="EH888" s="1">
        <v>100.0</v>
      </c>
      <c r="EK888" s="1">
        <v>100.0</v>
      </c>
      <c r="EQ888" s="9" t="s">
        <v>3428</v>
      </c>
      <c r="ER888" s="21">
        <v>46045.299722222226</v>
      </c>
    </row>
    <row r="889">
      <c r="A889" s="9" t="s">
        <v>3434</v>
      </c>
      <c r="B889" s="20" t="str">
        <f>IFERROR(__xludf.DUMMYFUNCTION("REGEXREPLACE(A889, ""^https?://[^/]+"", """")"),"/wp-content/uploads/2022/05/thumb-Case-Study_Construction-Paving_SX-1.jpg")</f>
        <v>/wp-content/uploads/2022/05/thumb-Case-Study_Construction-Paving_SX-1.jpg</v>
      </c>
      <c r="F889" s="1" t="s">
        <v>1004</v>
      </c>
      <c r="G889" s="1">
        <v>200.0</v>
      </c>
      <c r="H889" s="1" t="s">
        <v>966</v>
      </c>
      <c r="I889" s="1" t="s">
        <v>967</v>
      </c>
      <c r="L889" s="1">
        <v>0.0</v>
      </c>
      <c r="M889" s="1">
        <v>0.0</v>
      </c>
      <c r="O889" s="1">
        <v>0.0</v>
      </c>
      <c r="P889" s="1">
        <v>0.0</v>
      </c>
      <c r="R889" s="1">
        <v>0.0</v>
      </c>
      <c r="S889" s="1">
        <v>0.0</v>
      </c>
      <c r="U889" s="1">
        <v>0.0</v>
      </c>
      <c r="W889" s="1">
        <v>0.0</v>
      </c>
      <c r="Y889" s="1">
        <v>0.0</v>
      </c>
      <c r="AA889" s="1">
        <v>0.0</v>
      </c>
      <c r="AC889" s="1">
        <v>0.0</v>
      </c>
      <c r="AM889" s="1">
        <v>441682.0</v>
      </c>
      <c r="AN889" s="1">
        <v>441682.0</v>
      </c>
      <c r="AO889" s="1">
        <v>441682.0</v>
      </c>
      <c r="AP889" s="1">
        <v>169.2</v>
      </c>
      <c r="AR889" s="1">
        <v>0.0</v>
      </c>
      <c r="AW889" s="1">
        <v>0.0</v>
      </c>
      <c r="AX889" s="1">
        <v>2.0</v>
      </c>
      <c r="AY889" s="1">
        <v>4.0</v>
      </c>
      <c r="BA889" s="1">
        <v>0.0</v>
      </c>
      <c r="BB889" s="1">
        <v>0.0</v>
      </c>
      <c r="BC889" s="1">
        <v>0.0</v>
      </c>
      <c r="BD889" s="1">
        <v>0.0</v>
      </c>
      <c r="BE889" s="1">
        <v>0.0</v>
      </c>
      <c r="BF889" s="1">
        <v>0.0</v>
      </c>
      <c r="BG889" s="1">
        <v>0.0</v>
      </c>
      <c r="BH889" s="1">
        <v>0.0</v>
      </c>
      <c r="BI889" s="1">
        <v>0.0</v>
      </c>
      <c r="BJ889" s="1">
        <v>0.0</v>
      </c>
      <c r="BP889" s="1">
        <v>0.272</v>
      </c>
      <c r="BQ889" s="1" t="s">
        <v>3435</v>
      </c>
      <c r="BV889" s="1">
        <v>1.1</v>
      </c>
      <c r="EQ889" s="9" t="s">
        <v>3434</v>
      </c>
      <c r="ER889" s="21">
        <v>46045.299733796295</v>
      </c>
    </row>
    <row r="890">
      <c r="A890" s="9" t="s">
        <v>3436</v>
      </c>
      <c r="B890" s="20" t="str">
        <f>IFERROR(__xludf.DUMMYFUNCTION("REGEXREPLACE(A890, ""^https?://[^/]+"", """")"),"/case-study/marketing/")</f>
        <v>/case-study/marketing/</v>
      </c>
      <c r="C890" s="1" t="s">
        <v>3437</v>
      </c>
      <c r="F890" s="1" t="s">
        <v>965</v>
      </c>
      <c r="G890" s="1">
        <v>200.0</v>
      </c>
      <c r="H890" s="1" t="s">
        <v>966</v>
      </c>
      <c r="I890" s="1" t="s">
        <v>967</v>
      </c>
      <c r="K890" s="1" t="s">
        <v>3438</v>
      </c>
      <c r="L890" s="1">
        <v>92.0</v>
      </c>
      <c r="M890" s="1">
        <v>864.0</v>
      </c>
      <c r="O890" s="1">
        <v>0.0</v>
      </c>
      <c r="P890" s="1">
        <v>0.0</v>
      </c>
      <c r="Q890" s="1" t="s">
        <v>3439</v>
      </c>
      <c r="R890" s="1">
        <v>117.0</v>
      </c>
      <c r="S890" s="1">
        <v>722.0</v>
      </c>
      <c r="U890" s="1">
        <v>0.0</v>
      </c>
      <c r="V890" s="1" t="s">
        <v>3437</v>
      </c>
      <c r="W890" s="1">
        <v>54.0</v>
      </c>
      <c r="Y890" s="1">
        <v>0.0</v>
      </c>
      <c r="AA890" s="1">
        <v>0.0</v>
      </c>
      <c r="AC890" s="1">
        <v>0.0</v>
      </c>
      <c r="AD890" s="1" t="s">
        <v>971</v>
      </c>
      <c r="AG890" s="9" t="s">
        <v>3436</v>
      </c>
      <c r="AM890" s="1">
        <v>169392.0</v>
      </c>
      <c r="AN890" s="1">
        <v>30837.0</v>
      </c>
      <c r="AO890" s="1">
        <v>30837.0</v>
      </c>
      <c r="AP890" s="1">
        <v>11.813</v>
      </c>
      <c r="AR890" s="1">
        <v>603.0</v>
      </c>
      <c r="AS890" s="1">
        <v>107.0</v>
      </c>
      <c r="AT890" s="1">
        <v>5.636</v>
      </c>
      <c r="AU890" s="1">
        <v>57.169</v>
      </c>
      <c r="AV890" s="1" t="s">
        <v>972</v>
      </c>
      <c r="AW890" s="1">
        <v>3.656</v>
      </c>
      <c r="AX890" s="1">
        <v>2.0</v>
      </c>
      <c r="AY890" s="1">
        <v>2.0</v>
      </c>
      <c r="AZ890" s="1">
        <v>1.0</v>
      </c>
      <c r="BA890" s="1">
        <v>9.0</v>
      </c>
      <c r="BB890" s="1">
        <v>7.0</v>
      </c>
      <c r="BC890" s="1">
        <v>0.0</v>
      </c>
      <c r="BD890" s="1">
        <v>0.93</v>
      </c>
      <c r="BE890" s="1">
        <v>128.0</v>
      </c>
      <c r="BF890" s="1">
        <v>47.0</v>
      </c>
      <c r="BG890" s="1">
        <v>0.0</v>
      </c>
      <c r="BH890" s="1">
        <v>16.0</v>
      </c>
      <c r="BI890" s="1">
        <v>8.0</v>
      </c>
      <c r="BJ890" s="1">
        <v>0.0</v>
      </c>
      <c r="BO890" s="1" t="s">
        <v>3440</v>
      </c>
      <c r="BP890" s="1">
        <v>1.0</v>
      </c>
      <c r="BU890" s="1" t="s">
        <v>974</v>
      </c>
      <c r="BV890" s="1">
        <v>1.1</v>
      </c>
      <c r="BW890" s="1">
        <v>60.0</v>
      </c>
      <c r="BX890" s="1">
        <v>4051.031</v>
      </c>
      <c r="BY890" s="1">
        <v>7690.49</v>
      </c>
      <c r="BZ890" s="1">
        <v>9151.074</v>
      </c>
      <c r="CA890" s="1">
        <v>17304.244</v>
      </c>
      <c r="CB890" s="1">
        <v>14.5</v>
      </c>
      <c r="CC890" s="1">
        <v>0.001</v>
      </c>
      <c r="CD890" s="1">
        <v>650720.0</v>
      </c>
      <c r="CE890" s="1">
        <v>1050.0</v>
      </c>
      <c r="CF890" s="1">
        <v>177.0</v>
      </c>
      <c r="CG890" s="1">
        <v>2424076.0</v>
      </c>
      <c r="CH890" s="1">
        <v>31552.0</v>
      </c>
      <c r="CI890" s="1">
        <v>2.0</v>
      </c>
      <c r="CJ890" s="1">
        <v>217336.0</v>
      </c>
      <c r="CK890" s="1">
        <v>32.0</v>
      </c>
      <c r="CL890" s="1">
        <v>116786.0</v>
      </c>
      <c r="CM890" s="1">
        <v>41.0</v>
      </c>
      <c r="CN890" s="1">
        <v>1748131.0</v>
      </c>
      <c r="CO890" s="1">
        <v>68.0</v>
      </c>
      <c r="CP890" s="1">
        <v>284722.0</v>
      </c>
      <c r="CQ890" s="1">
        <v>6.0</v>
      </c>
      <c r="CR890" s="1">
        <v>0.0</v>
      </c>
      <c r="CS890" s="1">
        <v>0.0</v>
      </c>
      <c r="CT890" s="1">
        <v>25549.0</v>
      </c>
      <c r="CU890" s="1">
        <v>28.0</v>
      </c>
      <c r="CV890" s="1">
        <v>1505601.0</v>
      </c>
      <c r="CW890" s="1">
        <v>67.0</v>
      </c>
      <c r="DC890" s="1">
        <v>0.0</v>
      </c>
      <c r="DD890" s="1">
        <v>5075.0</v>
      </c>
      <c r="DE890" s="1">
        <v>0.0</v>
      </c>
      <c r="DF890" s="1">
        <v>3401.0</v>
      </c>
      <c r="DG890" s="1">
        <v>450.0</v>
      </c>
      <c r="DH890" s="1">
        <v>50604.0</v>
      </c>
      <c r="DI890" s="1">
        <v>600.0</v>
      </c>
      <c r="DJ890" s="1">
        <v>591640.0</v>
      </c>
      <c r="DK890" s="1">
        <v>719.436</v>
      </c>
      <c r="DL890" s="1" t="s">
        <v>992</v>
      </c>
      <c r="DM890" s="1">
        <v>1539.697</v>
      </c>
      <c r="DN890" s="1" t="s">
        <v>992</v>
      </c>
      <c r="DO890" s="1">
        <v>2423029.0</v>
      </c>
      <c r="DP890" s="1">
        <v>1.0</v>
      </c>
      <c r="DQ890" s="1" t="s">
        <v>976</v>
      </c>
      <c r="DR890" s="1" t="s">
        <v>1055</v>
      </c>
      <c r="DS890" s="1" t="s">
        <v>978</v>
      </c>
      <c r="DT890" s="1" t="s">
        <v>979</v>
      </c>
      <c r="DU890" s="1" t="s">
        <v>980</v>
      </c>
      <c r="DV890" s="1">
        <v>13546.0</v>
      </c>
      <c r="DX890" s="1">
        <v>3435.0</v>
      </c>
      <c r="DY890" s="1">
        <v>678142.0</v>
      </c>
      <c r="DZ890" s="1" t="s">
        <v>981</v>
      </c>
      <c r="EA890" s="1">
        <v>788.0</v>
      </c>
      <c r="EB890" s="1">
        <v>46113.0</v>
      </c>
      <c r="EC890" s="1">
        <v>0.0</v>
      </c>
      <c r="ED890" s="1">
        <v>26492.0</v>
      </c>
      <c r="EF890" s="1">
        <v>270.0</v>
      </c>
      <c r="EG890" s="1" t="s">
        <v>982</v>
      </c>
      <c r="EH890" s="1">
        <v>100.0</v>
      </c>
      <c r="EK890" s="1">
        <v>100.0</v>
      </c>
      <c r="EQ890" s="9" t="s">
        <v>3436</v>
      </c>
      <c r="ER890" s="21">
        <v>46045.299722222226</v>
      </c>
    </row>
    <row r="891">
      <c r="A891" s="9" t="s">
        <v>3441</v>
      </c>
      <c r="B891" s="20" t="str">
        <f>IFERROR(__xludf.DUMMYFUNCTION("REGEXREPLACE(A891, ""^https?://[^/]+"", """")"),"/wp-content/uploads/2019/10/pr-case-study-thumb.jpg")</f>
        <v>/wp-content/uploads/2019/10/pr-case-study-thumb.jpg</v>
      </c>
      <c r="F891" s="1" t="s">
        <v>1004</v>
      </c>
      <c r="G891" s="1">
        <v>200.0</v>
      </c>
      <c r="H891" s="1" t="s">
        <v>966</v>
      </c>
      <c r="I891" s="1" t="s">
        <v>967</v>
      </c>
      <c r="L891" s="1">
        <v>0.0</v>
      </c>
      <c r="M891" s="1">
        <v>0.0</v>
      </c>
      <c r="O891" s="1">
        <v>0.0</v>
      </c>
      <c r="P891" s="1">
        <v>0.0</v>
      </c>
      <c r="R891" s="1">
        <v>0.0</v>
      </c>
      <c r="S891" s="1">
        <v>0.0</v>
      </c>
      <c r="U891" s="1">
        <v>0.0</v>
      </c>
      <c r="W891" s="1">
        <v>0.0</v>
      </c>
      <c r="Y891" s="1">
        <v>0.0</v>
      </c>
      <c r="AA891" s="1">
        <v>0.0</v>
      </c>
      <c r="AC891" s="1">
        <v>0.0</v>
      </c>
      <c r="AM891" s="1">
        <v>72113.0</v>
      </c>
      <c r="AN891" s="1">
        <v>72113.0</v>
      </c>
      <c r="AO891" s="1">
        <v>72113.0</v>
      </c>
      <c r="AP891" s="1">
        <v>27.625</v>
      </c>
      <c r="AR891" s="1">
        <v>0.0</v>
      </c>
      <c r="AW891" s="1">
        <v>0.0</v>
      </c>
      <c r="AX891" s="1">
        <v>2.0</v>
      </c>
      <c r="AY891" s="1">
        <v>4.0</v>
      </c>
      <c r="BA891" s="1">
        <v>0.0</v>
      </c>
      <c r="BB891" s="1">
        <v>0.0</v>
      </c>
      <c r="BC891" s="1">
        <v>0.0</v>
      </c>
      <c r="BD891" s="1">
        <v>0.0</v>
      </c>
      <c r="BE891" s="1">
        <v>0.0</v>
      </c>
      <c r="BF891" s="1">
        <v>0.0</v>
      </c>
      <c r="BG891" s="1">
        <v>0.0</v>
      </c>
      <c r="BH891" s="1">
        <v>0.0</v>
      </c>
      <c r="BI891" s="1">
        <v>0.0</v>
      </c>
      <c r="BJ891" s="1">
        <v>0.0</v>
      </c>
      <c r="BP891" s="1">
        <v>0.281</v>
      </c>
      <c r="BQ891" s="1" t="s">
        <v>3442</v>
      </c>
      <c r="BV891" s="1">
        <v>1.1</v>
      </c>
      <c r="EQ891" s="9" t="s">
        <v>3441</v>
      </c>
      <c r="ER891" s="21">
        <v>46045.299733796295</v>
      </c>
    </row>
    <row r="892">
      <c r="A892" s="9" t="s">
        <v>3443</v>
      </c>
      <c r="B892" s="20" t="str">
        <f>IFERROR(__xludf.DUMMYFUNCTION("REGEXREPLACE(A892, ""^https?://[^/]+"", """")"),"/wp-content/uploads/2021/10/Calibration_Manufacturing.jpg")</f>
        <v>/wp-content/uploads/2021/10/Calibration_Manufacturing.jpg</v>
      </c>
      <c r="F892" s="1" t="s">
        <v>1004</v>
      </c>
      <c r="G892" s="1">
        <v>200.0</v>
      </c>
      <c r="H892" s="1" t="s">
        <v>966</v>
      </c>
      <c r="I892" s="1" t="s">
        <v>967</v>
      </c>
      <c r="L892" s="1">
        <v>0.0</v>
      </c>
      <c r="M892" s="1">
        <v>0.0</v>
      </c>
      <c r="O892" s="1">
        <v>0.0</v>
      </c>
      <c r="P892" s="1">
        <v>0.0</v>
      </c>
      <c r="R892" s="1">
        <v>0.0</v>
      </c>
      <c r="S892" s="1">
        <v>0.0</v>
      </c>
      <c r="U892" s="1">
        <v>0.0</v>
      </c>
      <c r="W892" s="1">
        <v>0.0</v>
      </c>
      <c r="Y892" s="1">
        <v>0.0</v>
      </c>
      <c r="AA892" s="1">
        <v>0.0</v>
      </c>
      <c r="AC892" s="1">
        <v>0.0</v>
      </c>
      <c r="AM892" s="1">
        <v>98163.0</v>
      </c>
      <c r="AN892" s="1">
        <v>98163.0</v>
      </c>
      <c r="AO892" s="1">
        <v>98163.0</v>
      </c>
      <c r="AP892" s="1">
        <v>37.604</v>
      </c>
      <c r="AR892" s="1">
        <v>0.0</v>
      </c>
      <c r="AW892" s="1">
        <v>0.0</v>
      </c>
      <c r="AX892" s="1">
        <v>2.0</v>
      </c>
      <c r="AY892" s="1">
        <v>4.0</v>
      </c>
      <c r="BA892" s="1">
        <v>0.0</v>
      </c>
      <c r="BB892" s="1">
        <v>0.0</v>
      </c>
      <c r="BC892" s="1">
        <v>0.0</v>
      </c>
      <c r="BD892" s="1">
        <v>0.0</v>
      </c>
      <c r="BE892" s="1">
        <v>0.0</v>
      </c>
      <c r="BF892" s="1">
        <v>0.0</v>
      </c>
      <c r="BG892" s="1">
        <v>0.0</v>
      </c>
      <c r="BH892" s="1">
        <v>0.0</v>
      </c>
      <c r="BI892" s="1">
        <v>0.0</v>
      </c>
      <c r="BJ892" s="1">
        <v>0.0</v>
      </c>
      <c r="BP892" s="1">
        <v>0.267</v>
      </c>
      <c r="BQ892" s="1" t="s">
        <v>3444</v>
      </c>
      <c r="BV892" s="1">
        <v>1.1</v>
      </c>
      <c r="EQ892" s="9" t="s">
        <v>3443</v>
      </c>
      <c r="ER892" s="21">
        <v>46045.299733796295</v>
      </c>
    </row>
    <row r="893">
      <c r="A893" s="9" t="s">
        <v>3445</v>
      </c>
      <c r="B893" s="20" t="str">
        <f>IFERROR(__xludf.DUMMYFUNCTION("REGEXREPLACE(A893, ""^https?://[^/]+"", """")"),"/wp-content/uploads/2024/11/Internet-Service-Provider-Improving-Close-Rates-to-44.jpg")</f>
        <v>/wp-content/uploads/2024/11/Internet-Service-Provider-Improving-Close-Rates-to-44.jpg</v>
      </c>
      <c r="F893" s="1" t="s">
        <v>1004</v>
      </c>
      <c r="G893" s="1">
        <v>200.0</v>
      </c>
      <c r="H893" s="1" t="s">
        <v>966</v>
      </c>
      <c r="I893" s="1" t="s">
        <v>967</v>
      </c>
      <c r="L893" s="1">
        <v>0.0</v>
      </c>
      <c r="M893" s="1">
        <v>0.0</v>
      </c>
      <c r="O893" s="1">
        <v>0.0</v>
      </c>
      <c r="P893" s="1">
        <v>0.0</v>
      </c>
      <c r="R893" s="1">
        <v>0.0</v>
      </c>
      <c r="S893" s="1">
        <v>0.0</v>
      </c>
      <c r="U893" s="1">
        <v>0.0</v>
      </c>
      <c r="W893" s="1">
        <v>0.0</v>
      </c>
      <c r="Y893" s="1">
        <v>0.0</v>
      </c>
      <c r="AA893" s="1">
        <v>0.0</v>
      </c>
      <c r="AC893" s="1">
        <v>0.0</v>
      </c>
      <c r="AM893" s="1">
        <v>65876.0</v>
      </c>
      <c r="AN893" s="1">
        <v>65876.0</v>
      </c>
      <c r="AO893" s="1">
        <v>65876.0</v>
      </c>
      <c r="AP893" s="1">
        <v>25.236</v>
      </c>
      <c r="AR893" s="1">
        <v>0.0</v>
      </c>
      <c r="AW893" s="1">
        <v>0.0</v>
      </c>
      <c r="AX893" s="1">
        <v>2.0</v>
      </c>
      <c r="AY893" s="1">
        <v>4.0</v>
      </c>
      <c r="BA893" s="1">
        <v>0.0</v>
      </c>
      <c r="BB893" s="1">
        <v>0.0</v>
      </c>
      <c r="BC893" s="1">
        <v>0.0</v>
      </c>
      <c r="BD893" s="1">
        <v>0.0</v>
      </c>
      <c r="BE893" s="1">
        <v>0.0</v>
      </c>
      <c r="BF893" s="1">
        <v>0.0</v>
      </c>
      <c r="BG893" s="1">
        <v>0.0</v>
      </c>
      <c r="BH893" s="1">
        <v>0.0</v>
      </c>
      <c r="BI893" s="1">
        <v>0.0</v>
      </c>
      <c r="BJ893" s="1">
        <v>0.0</v>
      </c>
      <c r="BP893" s="1">
        <v>0.278</v>
      </c>
      <c r="BQ893" s="1" t="s">
        <v>3446</v>
      </c>
      <c r="BV893" s="1">
        <v>1.1</v>
      </c>
      <c r="EQ893" s="9" t="s">
        <v>3445</v>
      </c>
      <c r="ER893" s="21">
        <v>46045.29974537037</v>
      </c>
    </row>
    <row r="894">
      <c r="A894" s="9" t="s">
        <v>3447</v>
      </c>
      <c r="B894" s="20" t="str">
        <f>IFERROR(__xludf.DUMMYFUNCTION("REGEXREPLACE(A894, ""^https?://[^/]+"", """")"),"/wp-content/uploads/2020/09/cs-hvac-full-1.jpg")</f>
        <v>/wp-content/uploads/2020/09/cs-hvac-full-1.jpg</v>
      </c>
      <c r="F894" s="1" t="s">
        <v>1004</v>
      </c>
      <c r="G894" s="1">
        <v>200.0</v>
      </c>
      <c r="H894" s="1" t="s">
        <v>966</v>
      </c>
      <c r="I894" s="1" t="s">
        <v>967</v>
      </c>
      <c r="L894" s="1">
        <v>0.0</v>
      </c>
      <c r="M894" s="1">
        <v>0.0</v>
      </c>
      <c r="O894" s="1">
        <v>0.0</v>
      </c>
      <c r="P894" s="1">
        <v>0.0</v>
      </c>
      <c r="R894" s="1">
        <v>0.0</v>
      </c>
      <c r="S894" s="1">
        <v>0.0</v>
      </c>
      <c r="U894" s="1">
        <v>0.0</v>
      </c>
      <c r="W894" s="1">
        <v>0.0</v>
      </c>
      <c r="Y894" s="1">
        <v>0.0</v>
      </c>
      <c r="AA894" s="1">
        <v>0.0</v>
      </c>
      <c r="AC894" s="1">
        <v>0.0</v>
      </c>
      <c r="AM894" s="1">
        <v>81784.0</v>
      </c>
      <c r="AN894" s="1">
        <v>81784.0</v>
      </c>
      <c r="AO894" s="1">
        <v>81784.0</v>
      </c>
      <c r="AP894" s="1">
        <v>31.33</v>
      </c>
      <c r="AR894" s="1">
        <v>0.0</v>
      </c>
      <c r="AW894" s="1">
        <v>0.0</v>
      </c>
      <c r="AX894" s="1">
        <v>2.0</v>
      </c>
      <c r="AY894" s="1">
        <v>4.0</v>
      </c>
      <c r="BA894" s="1">
        <v>0.0</v>
      </c>
      <c r="BB894" s="1">
        <v>0.0</v>
      </c>
      <c r="BC894" s="1">
        <v>0.0</v>
      </c>
      <c r="BD894" s="1">
        <v>0.0</v>
      </c>
      <c r="BE894" s="1">
        <v>0.0</v>
      </c>
      <c r="BF894" s="1">
        <v>0.0</v>
      </c>
      <c r="BG894" s="1">
        <v>0.0</v>
      </c>
      <c r="BH894" s="1">
        <v>0.0</v>
      </c>
      <c r="BI894" s="1">
        <v>0.0</v>
      </c>
      <c r="BJ894" s="1">
        <v>0.0</v>
      </c>
      <c r="BP894" s="1">
        <v>0.282</v>
      </c>
      <c r="BQ894" s="1" t="s">
        <v>3448</v>
      </c>
      <c r="BV894" s="1">
        <v>1.1</v>
      </c>
      <c r="EQ894" s="9" t="s">
        <v>3447</v>
      </c>
      <c r="ER894" s="21">
        <v>46045.29974537037</v>
      </c>
    </row>
    <row r="895">
      <c r="A895" s="9" t="s">
        <v>3449</v>
      </c>
      <c r="B895" s="20" t="str">
        <f>IFERROR(__xludf.DUMMYFUNCTION("REGEXREPLACE(A895, ""^https?://[^/]+"", """")"),"/case-study/commercial-and-residential-paving/")</f>
        <v>/case-study/commercial-and-residential-paving/</v>
      </c>
      <c r="C895" s="1" t="s">
        <v>3450</v>
      </c>
      <c r="D895" s="1" t="s">
        <v>1050</v>
      </c>
      <c r="E895" s="1" t="s">
        <v>1051</v>
      </c>
      <c r="F895" s="1" t="s">
        <v>965</v>
      </c>
      <c r="G895" s="1">
        <v>200.0</v>
      </c>
      <c r="H895" s="1" t="s">
        <v>966</v>
      </c>
      <c r="I895" s="1" t="s">
        <v>967</v>
      </c>
      <c r="K895" s="1" t="s">
        <v>3451</v>
      </c>
      <c r="L895" s="1">
        <v>120.0</v>
      </c>
      <c r="M895" s="1">
        <v>1089.0</v>
      </c>
      <c r="O895" s="1">
        <v>0.0</v>
      </c>
      <c r="P895" s="1">
        <v>0.0</v>
      </c>
      <c r="Q895" s="1" t="s">
        <v>3452</v>
      </c>
      <c r="R895" s="1">
        <v>158.0</v>
      </c>
      <c r="S895" s="1">
        <v>1006.0</v>
      </c>
      <c r="U895" s="1">
        <v>0.0</v>
      </c>
      <c r="V895" s="1" t="s">
        <v>3450</v>
      </c>
      <c r="W895" s="1">
        <v>82.0</v>
      </c>
      <c r="Y895" s="1">
        <v>0.0</v>
      </c>
      <c r="Z895" s="1" t="s">
        <v>1050</v>
      </c>
      <c r="AA895" s="1">
        <v>17.0</v>
      </c>
      <c r="AB895" s="1" t="s">
        <v>1051</v>
      </c>
      <c r="AC895" s="1">
        <v>11.0</v>
      </c>
      <c r="AD895" s="1" t="s">
        <v>971</v>
      </c>
      <c r="AG895" s="9" t="s">
        <v>3449</v>
      </c>
      <c r="AM895" s="1">
        <v>176377.0</v>
      </c>
      <c r="AN895" s="1">
        <v>31333.0</v>
      </c>
      <c r="AO895" s="1">
        <v>31333.0</v>
      </c>
      <c r="AP895" s="1">
        <v>12.003</v>
      </c>
      <c r="AR895" s="1">
        <v>814.0</v>
      </c>
      <c r="AS895" s="1">
        <v>139.0</v>
      </c>
      <c r="AT895" s="1">
        <v>5.856</v>
      </c>
      <c r="AU895" s="1">
        <v>58.09</v>
      </c>
      <c r="AV895" s="1" t="s">
        <v>972</v>
      </c>
      <c r="AW895" s="1">
        <v>4.282</v>
      </c>
      <c r="AX895" s="1">
        <v>2.0</v>
      </c>
      <c r="AY895" s="1">
        <v>2.0</v>
      </c>
      <c r="AZ895" s="1">
        <v>1.0</v>
      </c>
      <c r="BA895" s="1">
        <v>7.0</v>
      </c>
      <c r="BB895" s="1">
        <v>5.0</v>
      </c>
      <c r="BC895" s="1">
        <v>0.0</v>
      </c>
      <c r="BD895" s="1">
        <v>0.66</v>
      </c>
      <c r="BE895" s="1">
        <v>128.0</v>
      </c>
      <c r="BF895" s="1">
        <v>47.0</v>
      </c>
      <c r="BG895" s="1">
        <v>0.0</v>
      </c>
      <c r="BH895" s="1">
        <v>16.0</v>
      </c>
      <c r="BI895" s="1">
        <v>8.0</v>
      </c>
      <c r="BJ895" s="1">
        <v>0.0</v>
      </c>
      <c r="BO895" s="1" t="s">
        <v>3453</v>
      </c>
      <c r="BP895" s="1">
        <v>0.955</v>
      </c>
      <c r="BU895" s="1" t="s">
        <v>974</v>
      </c>
      <c r="BV895" s="1">
        <v>1.1</v>
      </c>
      <c r="BW895" s="1">
        <v>51.0</v>
      </c>
      <c r="BX895" s="1">
        <v>3751.028</v>
      </c>
      <c r="BY895" s="1">
        <v>6790.22</v>
      </c>
      <c r="BZ895" s="1">
        <v>7951.062</v>
      </c>
      <c r="CA895" s="1">
        <v>18374.93</v>
      </c>
      <c r="CB895" s="1">
        <v>440.5</v>
      </c>
      <c r="CC895" s="1">
        <v>0.021</v>
      </c>
      <c r="CD895" s="1">
        <v>653007.0</v>
      </c>
      <c r="CE895" s="1">
        <v>1350.0</v>
      </c>
      <c r="CF895" s="1">
        <v>168.0</v>
      </c>
      <c r="CG895" s="1">
        <v>2321282.0</v>
      </c>
      <c r="CH895" s="1">
        <v>32434.0</v>
      </c>
      <c r="CI895" s="1">
        <v>2.0</v>
      </c>
      <c r="CJ895" s="1">
        <v>111828.0</v>
      </c>
      <c r="CK895" s="1">
        <v>20.0</v>
      </c>
      <c r="CL895" s="1">
        <v>119146.0</v>
      </c>
      <c r="CM895" s="1">
        <v>43.0</v>
      </c>
      <c r="CN895" s="1">
        <v>1747722.0</v>
      </c>
      <c r="CO895" s="1">
        <v>68.0</v>
      </c>
      <c r="CP895" s="1">
        <v>284722.0</v>
      </c>
      <c r="CQ895" s="1">
        <v>6.0</v>
      </c>
      <c r="CR895" s="1">
        <v>0.0</v>
      </c>
      <c r="CS895" s="1">
        <v>0.0</v>
      </c>
      <c r="CT895" s="1">
        <v>25430.0</v>
      </c>
      <c r="CU895" s="1">
        <v>29.0</v>
      </c>
      <c r="CV895" s="1">
        <v>1505339.0</v>
      </c>
      <c r="CW895" s="1">
        <v>67.0</v>
      </c>
      <c r="DC895" s="1">
        <v>0.0</v>
      </c>
      <c r="DD895" s="1">
        <v>5075.0</v>
      </c>
      <c r="DE895" s="1">
        <v>0.0</v>
      </c>
      <c r="DF895" s="1">
        <v>3396.0</v>
      </c>
      <c r="DG895" s="1">
        <v>300.0</v>
      </c>
      <c r="DH895" s="1">
        <v>50513.0</v>
      </c>
      <c r="DI895" s="1">
        <v>1050.0</v>
      </c>
      <c r="DJ895" s="1">
        <v>594023.0</v>
      </c>
      <c r="DK895" s="1">
        <v>1928.191</v>
      </c>
      <c r="DL895" s="1" t="s">
        <v>975</v>
      </c>
      <c r="DM895" s="1">
        <v>3640.584</v>
      </c>
      <c r="DN895" s="1" t="s">
        <v>975</v>
      </c>
      <c r="DO895" s="1">
        <v>2320403.0</v>
      </c>
      <c r="DP895" s="1">
        <v>1.0</v>
      </c>
      <c r="DQ895" s="1" t="s">
        <v>976</v>
      </c>
      <c r="DR895" s="1" t="s">
        <v>1055</v>
      </c>
      <c r="DS895" s="1" t="s">
        <v>978</v>
      </c>
      <c r="DT895" s="1" t="s">
        <v>979</v>
      </c>
      <c r="DU895" s="1" t="s">
        <v>980</v>
      </c>
      <c r="DV895" s="1">
        <v>13696.0</v>
      </c>
      <c r="DX895" s="1">
        <v>3784.0</v>
      </c>
      <c r="DY895" s="1">
        <v>636796.0</v>
      </c>
      <c r="DZ895" s="1" t="s">
        <v>981</v>
      </c>
      <c r="EA895" s="1">
        <v>896.0</v>
      </c>
      <c r="EB895" s="1">
        <v>17110.0</v>
      </c>
      <c r="EC895" s="1">
        <v>1.0</v>
      </c>
      <c r="ED895" s="1">
        <v>26492.0</v>
      </c>
      <c r="EF895" s="1">
        <v>270.0</v>
      </c>
      <c r="EG895" s="1" t="s">
        <v>982</v>
      </c>
      <c r="EH895" s="1">
        <v>100.0</v>
      </c>
      <c r="EK895" s="1">
        <v>100.0</v>
      </c>
      <c r="EQ895" s="9" t="s">
        <v>3449</v>
      </c>
      <c r="ER895" s="21">
        <v>46045.299733796295</v>
      </c>
    </row>
    <row r="896">
      <c r="A896" s="9" t="s">
        <v>3454</v>
      </c>
      <c r="B896" s="20" t="str">
        <f>IFERROR(__xludf.DUMMYFUNCTION("REGEXREPLACE(A896, ""^https?://[^/]+"", """")"),"/wp-content/uploads/2025/07/Early-Education-Thumbnail-300x172.jpg")</f>
        <v>/wp-content/uploads/2025/07/Early-Education-Thumbnail-300x172.jpg</v>
      </c>
      <c r="F896" s="1" t="s">
        <v>1004</v>
      </c>
      <c r="G896" s="1">
        <v>200.0</v>
      </c>
      <c r="H896" s="1" t="s">
        <v>966</v>
      </c>
      <c r="I896" s="1" t="s">
        <v>967</v>
      </c>
      <c r="L896" s="1">
        <v>0.0</v>
      </c>
      <c r="M896" s="1">
        <v>0.0</v>
      </c>
      <c r="O896" s="1">
        <v>0.0</v>
      </c>
      <c r="P896" s="1">
        <v>0.0</v>
      </c>
      <c r="R896" s="1">
        <v>0.0</v>
      </c>
      <c r="S896" s="1">
        <v>0.0</v>
      </c>
      <c r="U896" s="1">
        <v>0.0</v>
      </c>
      <c r="W896" s="1">
        <v>0.0</v>
      </c>
      <c r="Y896" s="1">
        <v>0.0</v>
      </c>
      <c r="AA896" s="1">
        <v>0.0</v>
      </c>
      <c r="AC896" s="1">
        <v>0.0</v>
      </c>
      <c r="AM896" s="1">
        <v>22230.0</v>
      </c>
      <c r="AN896" s="1">
        <v>22230.0</v>
      </c>
      <c r="AO896" s="1">
        <v>22230.0</v>
      </c>
      <c r="AP896" s="1">
        <v>8.516</v>
      </c>
      <c r="AR896" s="1">
        <v>0.0</v>
      </c>
      <c r="AW896" s="1">
        <v>0.0</v>
      </c>
      <c r="AX896" s="1">
        <v>2.0</v>
      </c>
      <c r="AY896" s="1">
        <v>4.0</v>
      </c>
      <c r="BA896" s="1">
        <v>0.0</v>
      </c>
      <c r="BB896" s="1">
        <v>0.0</v>
      </c>
      <c r="BC896" s="1">
        <v>0.0</v>
      </c>
      <c r="BD896" s="1">
        <v>0.0</v>
      </c>
      <c r="BE896" s="1">
        <v>0.0</v>
      </c>
      <c r="BF896" s="1">
        <v>0.0</v>
      </c>
      <c r="BG896" s="1">
        <v>0.0</v>
      </c>
      <c r="BH896" s="1">
        <v>0.0</v>
      </c>
      <c r="BI896" s="1">
        <v>0.0</v>
      </c>
      <c r="BJ896" s="1">
        <v>0.0</v>
      </c>
      <c r="BP896" s="1">
        <v>0.274</v>
      </c>
      <c r="BQ896" s="1" t="s">
        <v>3455</v>
      </c>
      <c r="BV896" s="1">
        <v>1.1</v>
      </c>
      <c r="EQ896" s="9" t="s">
        <v>3454</v>
      </c>
      <c r="ER896" s="21">
        <v>46045.29974537037</v>
      </c>
    </row>
    <row r="897">
      <c r="A897" s="9" t="s">
        <v>3456</v>
      </c>
      <c r="B897" s="20" t="str">
        <f>IFERROR(__xludf.DUMMYFUNCTION("REGEXREPLACE(A897, ""^https?://[^/]+"", """")"),"/case-study/calibration-manufacturing-company/")</f>
        <v>/case-study/calibration-manufacturing-company/</v>
      </c>
      <c r="C897" s="1" t="s">
        <v>3457</v>
      </c>
      <c r="D897" s="1" t="s">
        <v>1050</v>
      </c>
      <c r="E897" s="1" t="s">
        <v>1051</v>
      </c>
      <c r="F897" s="1" t="s">
        <v>965</v>
      </c>
      <c r="G897" s="1">
        <v>200.0</v>
      </c>
      <c r="H897" s="1" t="s">
        <v>966</v>
      </c>
      <c r="I897" s="1" t="s">
        <v>967</v>
      </c>
      <c r="K897" s="1" t="s">
        <v>3458</v>
      </c>
      <c r="L897" s="1">
        <v>118.0</v>
      </c>
      <c r="M897" s="1">
        <v>1080.0</v>
      </c>
      <c r="O897" s="1">
        <v>0.0</v>
      </c>
      <c r="P897" s="1">
        <v>0.0</v>
      </c>
      <c r="Q897" s="1" t="s">
        <v>3459</v>
      </c>
      <c r="R897" s="1">
        <v>157.0</v>
      </c>
      <c r="S897" s="1">
        <v>971.0</v>
      </c>
      <c r="U897" s="1">
        <v>0.0</v>
      </c>
      <c r="V897" s="1" t="s">
        <v>3457</v>
      </c>
      <c r="W897" s="1">
        <v>80.0</v>
      </c>
      <c r="Y897" s="1">
        <v>0.0</v>
      </c>
      <c r="Z897" s="1" t="s">
        <v>1050</v>
      </c>
      <c r="AA897" s="1">
        <v>17.0</v>
      </c>
      <c r="AB897" s="1" t="s">
        <v>1051</v>
      </c>
      <c r="AC897" s="1">
        <v>11.0</v>
      </c>
      <c r="AD897" s="1" t="s">
        <v>971</v>
      </c>
      <c r="AG897" s="9" t="s">
        <v>3456</v>
      </c>
      <c r="AM897" s="1">
        <v>183244.0</v>
      </c>
      <c r="AN897" s="1">
        <v>31760.0</v>
      </c>
      <c r="AO897" s="1">
        <v>31760.0</v>
      </c>
      <c r="AP897" s="1">
        <v>12.167</v>
      </c>
      <c r="AR897" s="1">
        <v>969.0</v>
      </c>
      <c r="AS897" s="1">
        <v>154.0</v>
      </c>
      <c r="AT897" s="1">
        <v>6.292</v>
      </c>
      <c r="AU897" s="1">
        <v>63.988</v>
      </c>
      <c r="AV897" s="1" t="s">
        <v>990</v>
      </c>
      <c r="AW897" s="1">
        <v>4.518</v>
      </c>
      <c r="AX897" s="1">
        <v>2.0</v>
      </c>
      <c r="AY897" s="1">
        <v>2.0</v>
      </c>
      <c r="AZ897" s="1">
        <v>1.0</v>
      </c>
      <c r="BA897" s="1">
        <v>4.0</v>
      </c>
      <c r="BB897" s="1">
        <v>2.0</v>
      </c>
      <c r="BC897" s="1">
        <v>0.0</v>
      </c>
      <c r="BD897" s="1">
        <v>0.27</v>
      </c>
      <c r="BE897" s="1">
        <v>128.0</v>
      </c>
      <c r="BF897" s="1">
        <v>48.0</v>
      </c>
      <c r="BG897" s="1">
        <v>0.0</v>
      </c>
      <c r="BH897" s="1">
        <v>16.0</v>
      </c>
      <c r="BI897" s="1">
        <v>8.0</v>
      </c>
      <c r="BJ897" s="1">
        <v>0.0</v>
      </c>
      <c r="BO897" s="1" t="s">
        <v>3460</v>
      </c>
      <c r="BP897" s="1">
        <v>0.998</v>
      </c>
      <c r="BU897" s="1" t="s">
        <v>974</v>
      </c>
      <c r="BV897" s="1">
        <v>1.1</v>
      </c>
      <c r="BW897" s="1">
        <v>53.0</v>
      </c>
      <c r="BX897" s="1">
        <v>4051.04</v>
      </c>
      <c r="BY897" s="1">
        <v>6883.086</v>
      </c>
      <c r="BZ897" s="1">
        <v>8251.085</v>
      </c>
      <c r="CA897" s="1">
        <v>18191.154</v>
      </c>
      <c r="CB897" s="1">
        <v>362.0</v>
      </c>
      <c r="CC897" s="1">
        <v>0.0</v>
      </c>
      <c r="CD897" s="1">
        <v>653050.0</v>
      </c>
      <c r="CE897" s="1">
        <v>1500.0</v>
      </c>
      <c r="CF897" s="1">
        <v>163.0</v>
      </c>
      <c r="CG897" s="1">
        <v>2301432.0</v>
      </c>
      <c r="CH897" s="1">
        <v>32778.0</v>
      </c>
      <c r="CI897" s="1">
        <v>2.0</v>
      </c>
      <c r="CJ897" s="1">
        <v>92722.0</v>
      </c>
      <c r="CK897" s="1">
        <v>16.0</v>
      </c>
      <c r="CL897" s="1">
        <v>118288.0</v>
      </c>
      <c r="CM897" s="1">
        <v>43.0</v>
      </c>
      <c r="CN897" s="1">
        <v>1747814.0</v>
      </c>
      <c r="CO897" s="1">
        <v>68.0</v>
      </c>
      <c r="CP897" s="1">
        <v>284722.0</v>
      </c>
      <c r="CQ897" s="1">
        <v>6.0</v>
      </c>
      <c r="CR897" s="1">
        <v>0.0</v>
      </c>
      <c r="CS897" s="1">
        <v>0.0</v>
      </c>
      <c r="CT897" s="1">
        <v>25108.0</v>
      </c>
      <c r="CU897" s="1">
        <v>28.0</v>
      </c>
      <c r="CV897" s="1">
        <v>1503379.0</v>
      </c>
      <c r="CW897" s="1">
        <v>62.0</v>
      </c>
      <c r="DC897" s="1">
        <v>0.0</v>
      </c>
      <c r="DD897" s="1">
        <v>5075.0</v>
      </c>
      <c r="DE897" s="1">
        <v>0.0</v>
      </c>
      <c r="DF897" s="1">
        <v>3396.0</v>
      </c>
      <c r="DG897" s="1">
        <v>450.0</v>
      </c>
      <c r="DH897" s="1">
        <v>50531.0</v>
      </c>
      <c r="DI897" s="1">
        <v>1050.0</v>
      </c>
      <c r="DJ897" s="1">
        <v>594048.0</v>
      </c>
      <c r="DK897" s="1">
        <v>1602.053</v>
      </c>
      <c r="DL897" s="1" t="s">
        <v>975</v>
      </c>
      <c r="DM897" s="1">
        <v>2851.252</v>
      </c>
      <c r="DN897" s="1" t="s">
        <v>975</v>
      </c>
      <c r="DO897" s="1">
        <v>2301433.0</v>
      </c>
      <c r="DP897" s="1">
        <v>1.0</v>
      </c>
      <c r="DQ897" s="1" t="s">
        <v>976</v>
      </c>
      <c r="DR897" s="1" t="s">
        <v>1014</v>
      </c>
      <c r="DS897" s="1" t="s">
        <v>978</v>
      </c>
      <c r="DT897" s="1" t="s">
        <v>979</v>
      </c>
      <c r="DU897" s="1" t="s">
        <v>980</v>
      </c>
      <c r="DV897" s="1">
        <v>13847.0</v>
      </c>
      <c r="DX897" s="1">
        <v>3739.0</v>
      </c>
      <c r="DY897" s="1">
        <v>629498.0</v>
      </c>
      <c r="EA897" s="1">
        <v>938.0</v>
      </c>
      <c r="EB897" s="1">
        <v>4453.0</v>
      </c>
      <c r="EC897" s="1">
        <v>1.0</v>
      </c>
      <c r="ED897" s="1">
        <v>26492.0</v>
      </c>
      <c r="EF897" s="1">
        <v>230.0</v>
      </c>
      <c r="EG897" s="1" t="s">
        <v>982</v>
      </c>
      <c r="EH897" s="1">
        <v>100.0</v>
      </c>
      <c r="EK897" s="1">
        <v>100.0</v>
      </c>
      <c r="EQ897" s="9" t="s">
        <v>3456</v>
      </c>
      <c r="ER897" s="21">
        <v>46045.299733796295</v>
      </c>
    </row>
    <row r="898">
      <c r="A898" s="9" t="s">
        <v>3461</v>
      </c>
      <c r="B898" s="20" t="str">
        <f>IFERROR(__xludf.DUMMYFUNCTION("REGEXREPLACE(A898, ""^https?://[^/]+"", """")"),"/wp-content/uploads/2019/03/manufacturing-case-study1.jpg")</f>
        <v>/wp-content/uploads/2019/03/manufacturing-case-study1.jpg</v>
      </c>
      <c r="F898" s="1" t="s">
        <v>1004</v>
      </c>
      <c r="G898" s="1">
        <v>200.0</v>
      </c>
      <c r="H898" s="1" t="s">
        <v>966</v>
      </c>
      <c r="I898" s="1" t="s">
        <v>967</v>
      </c>
      <c r="L898" s="1">
        <v>0.0</v>
      </c>
      <c r="M898" s="1">
        <v>0.0</v>
      </c>
      <c r="O898" s="1">
        <v>0.0</v>
      </c>
      <c r="P898" s="1">
        <v>0.0</v>
      </c>
      <c r="R898" s="1">
        <v>0.0</v>
      </c>
      <c r="S898" s="1">
        <v>0.0</v>
      </c>
      <c r="U898" s="1">
        <v>0.0</v>
      </c>
      <c r="W898" s="1">
        <v>0.0</v>
      </c>
      <c r="Y898" s="1">
        <v>0.0</v>
      </c>
      <c r="AA898" s="1">
        <v>0.0</v>
      </c>
      <c r="AC898" s="1">
        <v>0.0</v>
      </c>
      <c r="AM898" s="1">
        <v>78706.0</v>
      </c>
      <c r="AN898" s="1">
        <v>78706.0</v>
      </c>
      <c r="AO898" s="1">
        <v>78706.0</v>
      </c>
      <c r="AP898" s="1">
        <v>30.151</v>
      </c>
      <c r="AR898" s="1">
        <v>0.0</v>
      </c>
      <c r="AW898" s="1">
        <v>0.0</v>
      </c>
      <c r="AX898" s="1">
        <v>2.0</v>
      </c>
      <c r="AY898" s="1">
        <v>4.0</v>
      </c>
      <c r="BA898" s="1">
        <v>0.0</v>
      </c>
      <c r="BB898" s="1">
        <v>0.0</v>
      </c>
      <c r="BC898" s="1">
        <v>0.0</v>
      </c>
      <c r="BD898" s="1">
        <v>0.0</v>
      </c>
      <c r="BE898" s="1">
        <v>0.0</v>
      </c>
      <c r="BF898" s="1">
        <v>0.0</v>
      </c>
      <c r="BG898" s="1">
        <v>0.0</v>
      </c>
      <c r="BH898" s="1">
        <v>0.0</v>
      </c>
      <c r="BI898" s="1">
        <v>0.0</v>
      </c>
      <c r="BJ898" s="1">
        <v>0.0</v>
      </c>
      <c r="BP898" s="1">
        <v>0.264</v>
      </c>
      <c r="BQ898" s="1" t="s">
        <v>3462</v>
      </c>
      <c r="BV898" s="1">
        <v>1.1</v>
      </c>
      <c r="EQ898" s="9" t="s">
        <v>3461</v>
      </c>
      <c r="ER898" s="21">
        <v>46045.29974537037</v>
      </c>
    </row>
    <row r="899">
      <c r="A899" s="9" t="s">
        <v>3463</v>
      </c>
      <c r="B899" s="20" t="str">
        <f>IFERROR(__xludf.DUMMYFUNCTION("REGEXREPLACE(A899, ""^https?://[^/]+"", """")"),"/wp-content/uploads/2019/07/cs-finance.jpg")</f>
        <v>/wp-content/uploads/2019/07/cs-finance.jpg</v>
      </c>
      <c r="F899" s="1" t="s">
        <v>1004</v>
      </c>
      <c r="G899" s="1">
        <v>200.0</v>
      </c>
      <c r="H899" s="1" t="s">
        <v>966</v>
      </c>
      <c r="I899" s="1" t="s">
        <v>967</v>
      </c>
      <c r="L899" s="1">
        <v>0.0</v>
      </c>
      <c r="M899" s="1">
        <v>0.0</v>
      </c>
      <c r="O899" s="1">
        <v>0.0</v>
      </c>
      <c r="P899" s="1">
        <v>0.0</v>
      </c>
      <c r="R899" s="1">
        <v>0.0</v>
      </c>
      <c r="S899" s="1">
        <v>0.0</v>
      </c>
      <c r="U899" s="1">
        <v>0.0</v>
      </c>
      <c r="W899" s="1">
        <v>0.0</v>
      </c>
      <c r="Y899" s="1">
        <v>0.0</v>
      </c>
      <c r="AA899" s="1">
        <v>0.0</v>
      </c>
      <c r="AC899" s="1">
        <v>0.0</v>
      </c>
      <c r="AM899" s="1">
        <v>71265.0</v>
      </c>
      <c r="AN899" s="1">
        <v>71265.0</v>
      </c>
      <c r="AO899" s="1">
        <v>71265.0</v>
      </c>
      <c r="AP899" s="1">
        <v>27.3</v>
      </c>
      <c r="AR899" s="1">
        <v>0.0</v>
      </c>
      <c r="AW899" s="1">
        <v>0.0</v>
      </c>
      <c r="AX899" s="1">
        <v>2.0</v>
      </c>
      <c r="AY899" s="1">
        <v>4.0</v>
      </c>
      <c r="BA899" s="1">
        <v>0.0</v>
      </c>
      <c r="BB899" s="1">
        <v>0.0</v>
      </c>
      <c r="BC899" s="1">
        <v>0.0</v>
      </c>
      <c r="BD899" s="1">
        <v>0.0</v>
      </c>
      <c r="BE899" s="1">
        <v>0.0</v>
      </c>
      <c r="BF899" s="1">
        <v>0.0</v>
      </c>
      <c r="BG899" s="1">
        <v>0.0</v>
      </c>
      <c r="BH899" s="1">
        <v>0.0</v>
      </c>
      <c r="BI899" s="1">
        <v>0.0</v>
      </c>
      <c r="BJ899" s="1">
        <v>0.0</v>
      </c>
      <c r="BP899" s="1">
        <v>0.278</v>
      </c>
      <c r="BQ899" s="1" t="s">
        <v>3464</v>
      </c>
      <c r="BV899" s="1">
        <v>1.1</v>
      </c>
      <c r="EQ899" s="9" t="s">
        <v>3463</v>
      </c>
      <c r="ER899" s="21">
        <v>46045.29974537037</v>
      </c>
    </row>
    <row r="900">
      <c r="A900" s="9" t="s">
        <v>3465</v>
      </c>
      <c r="B900" s="20" t="str">
        <f>IFERROR(__xludf.DUMMYFUNCTION("REGEXREPLACE(A900, ""^https?://[^/]+"", """")"),"/case-study/residential-wall-manufacturer/")</f>
        <v>/case-study/residential-wall-manufacturer/</v>
      </c>
      <c r="C900" s="1" t="s">
        <v>3466</v>
      </c>
      <c r="D900" s="1" t="s">
        <v>1050</v>
      </c>
      <c r="E900" s="1" t="s">
        <v>1051</v>
      </c>
      <c r="F900" s="1" t="s">
        <v>965</v>
      </c>
      <c r="G900" s="1">
        <v>200.0</v>
      </c>
      <c r="H900" s="1" t="s">
        <v>966</v>
      </c>
      <c r="I900" s="1" t="s">
        <v>967</v>
      </c>
      <c r="K900" s="1" t="s">
        <v>3467</v>
      </c>
      <c r="L900" s="1">
        <v>121.0</v>
      </c>
      <c r="M900" s="1">
        <v>1059.0</v>
      </c>
      <c r="O900" s="1">
        <v>0.0</v>
      </c>
      <c r="P900" s="1">
        <v>0.0</v>
      </c>
      <c r="Q900" s="1" t="s">
        <v>3468</v>
      </c>
      <c r="R900" s="1">
        <v>141.0</v>
      </c>
      <c r="S900" s="1">
        <v>875.0</v>
      </c>
      <c r="U900" s="1">
        <v>0.0</v>
      </c>
      <c r="V900" s="1" t="s">
        <v>3466</v>
      </c>
      <c r="W900" s="1">
        <v>83.0</v>
      </c>
      <c r="Y900" s="1">
        <v>0.0</v>
      </c>
      <c r="Z900" s="1" t="s">
        <v>1050</v>
      </c>
      <c r="AA900" s="1">
        <v>17.0</v>
      </c>
      <c r="AB900" s="1" t="s">
        <v>1051</v>
      </c>
      <c r="AC900" s="1">
        <v>11.0</v>
      </c>
      <c r="AD900" s="1" t="s">
        <v>971</v>
      </c>
      <c r="AG900" s="9" t="s">
        <v>3465</v>
      </c>
      <c r="AM900" s="1">
        <v>176290.0</v>
      </c>
      <c r="AN900" s="1">
        <v>31232.0</v>
      </c>
      <c r="AO900" s="1">
        <v>31232.0</v>
      </c>
      <c r="AP900" s="1">
        <v>11.964</v>
      </c>
      <c r="AR900" s="1">
        <v>843.0</v>
      </c>
      <c r="AS900" s="1">
        <v>142.0</v>
      </c>
      <c r="AT900" s="1">
        <v>5.937</v>
      </c>
      <c r="AU900" s="1">
        <v>56.197</v>
      </c>
      <c r="AV900" s="1" t="s">
        <v>972</v>
      </c>
      <c r="AW900" s="1">
        <v>4.387</v>
      </c>
      <c r="AX900" s="1">
        <v>2.0</v>
      </c>
      <c r="AY900" s="1">
        <v>2.0</v>
      </c>
      <c r="AZ900" s="1">
        <v>1.0</v>
      </c>
      <c r="BA900" s="1">
        <v>7.0</v>
      </c>
      <c r="BB900" s="1">
        <v>5.0</v>
      </c>
      <c r="BC900" s="1">
        <v>0.0</v>
      </c>
      <c r="BD900" s="1">
        <v>0.66</v>
      </c>
      <c r="BE900" s="1">
        <v>128.0</v>
      </c>
      <c r="BF900" s="1">
        <v>47.0</v>
      </c>
      <c r="BG900" s="1">
        <v>0.0</v>
      </c>
      <c r="BH900" s="1">
        <v>16.0</v>
      </c>
      <c r="BI900" s="1">
        <v>8.0</v>
      </c>
      <c r="BJ900" s="1">
        <v>0.0</v>
      </c>
      <c r="BO900" s="1" t="s">
        <v>3469</v>
      </c>
      <c r="BP900" s="1">
        <v>0.974</v>
      </c>
      <c r="BU900" s="1" t="s">
        <v>974</v>
      </c>
      <c r="BV900" s="1">
        <v>1.1</v>
      </c>
      <c r="BW900" s="1">
        <v>53.0</v>
      </c>
      <c r="BX900" s="1">
        <v>4051.026</v>
      </c>
      <c r="BY900" s="1">
        <v>7320.269</v>
      </c>
      <c r="BZ900" s="1">
        <v>8701.058</v>
      </c>
      <c r="CA900" s="1">
        <v>18509.768</v>
      </c>
      <c r="CB900" s="1">
        <v>332.5</v>
      </c>
      <c r="CC900" s="1">
        <v>0.003</v>
      </c>
      <c r="CD900" s="1">
        <v>651502.0</v>
      </c>
      <c r="CE900" s="1">
        <v>1200.0</v>
      </c>
      <c r="CF900" s="1">
        <v>167.0</v>
      </c>
      <c r="CG900" s="1">
        <v>2306916.0</v>
      </c>
      <c r="CH900" s="1">
        <v>32237.0</v>
      </c>
      <c r="CI900" s="1">
        <v>2.0</v>
      </c>
      <c r="CJ900" s="1">
        <v>97209.0</v>
      </c>
      <c r="CK900" s="1">
        <v>20.0</v>
      </c>
      <c r="CL900" s="1">
        <v>119155.0</v>
      </c>
      <c r="CM900" s="1">
        <v>43.0</v>
      </c>
      <c r="CN900" s="1">
        <v>1747942.0</v>
      </c>
      <c r="CO900" s="1">
        <v>68.0</v>
      </c>
      <c r="CP900" s="1">
        <v>284722.0</v>
      </c>
      <c r="CQ900" s="1">
        <v>6.0</v>
      </c>
      <c r="CR900" s="1">
        <v>0.0</v>
      </c>
      <c r="CS900" s="1">
        <v>0.0</v>
      </c>
      <c r="CT900" s="1">
        <v>25651.0</v>
      </c>
      <c r="CU900" s="1">
        <v>28.0</v>
      </c>
      <c r="CV900" s="1">
        <v>1505173.0</v>
      </c>
      <c r="CW900" s="1">
        <v>65.0</v>
      </c>
      <c r="DC900" s="1">
        <v>0.0</v>
      </c>
      <c r="DD900" s="1">
        <v>5075.0</v>
      </c>
      <c r="DE900" s="1">
        <v>0.0</v>
      </c>
      <c r="DF900" s="1">
        <v>3396.0</v>
      </c>
      <c r="DG900" s="1">
        <v>300.0</v>
      </c>
      <c r="DH900" s="1">
        <v>50530.0</v>
      </c>
      <c r="DI900" s="1">
        <v>900.0</v>
      </c>
      <c r="DJ900" s="1">
        <v>592501.0</v>
      </c>
      <c r="DK900" s="1">
        <v>1579.417</v>
      </c>
      <c r="DL900" s="1" t="s">
        <v>975</v>
      </c>
      <c r="DM900" s="1">
        <v>2675.65</v>
      </c>
      <c r="DN900" s="1" t="s">
        <v>975</v>
      </c>
      <c r="DO900" s="1">
        <v>2306135.0</v>
      </c>
      <c r="DP900" s="1">
        <v>1.0</v>
      </c>
      <c r="DQ900" s="1" t="s">
        <v>976</v>
      </c>
      <c r="DR900" s="1" t="s">
        <v>1085</v>
      </c>
      <c r="DS900" s="1" t="s">
        <v>978</v>
      </c>
      <c r="DT900" s="1" t="s">
        <v>979</v>
      </c>
      <c r="DU900" s="1" t="s">
        <v>980</v>
      </c>
      <c r="DV900" s="1">
        <v>13847.0</v>
      </c>
      <c r="DX900" s="1">
        <v>4137.0</v>
      </c>
      <c r="DY900" s="1">
        <v>630867.0</v>
      </c>
      <c r="DZ900" s="1" t="s">
        <v>981</v>
      </c>
      <c r="EA900" s="1">
        <v>897.0</v>
      </c>
      <c r="EB900" s="1">
        <v>4453.0</v>
      </c>
      <c r="EC900" s="1">
        <v>1.0</v>
      </c>
      <c r="ED900" s="1">
        <v>26492.0</v>
      </c>
      <c r="EF900" s="1">
        <v>205.0</v>
      </c>
      <c r="EG900" s="1" t="s">
        <v>982</v>
      </c>
      <c r="EH900" s="1">
        <v>100.0</v>
      </c>
      <c r="EK900" s="1">
        <v>100.0</v>
      </c>
      <c r="EQ900" s="9" t="s">
        <v>3465</v>
      </c>
      <c r="ER900" s="21">
        <v>46045.29974537037</v>
      </c>
    </row>
    <row r="901">
      <c r="A901" s="9" t="s">
        <v>3470</v>
      </c>
      <c r="B901" s="20" t="str">
        <f>IFERROR(__xludf.DUMMYFUNCTION("REGEXREPLACE(A901, ""^https?://[^/]+"", """")"),"/wp-content/uploads/elementor/css/post-19072.css?ver=1768856938")</f>
        <v>/wp-content/uploads/elementor/css/post-19072.css?ver=1768856938</v>
      </c>
      <c r="F901" s="1" t="s">
        <v>1016</v>
      </c>
      <c r="G901" s="1">
        <v>200.0</v>
      </c>
      <c r="H901" s="1" t="s">
        <v>966</v>
      </c>
      <c r="I901" s="1" t="s">
        <v>967</v>
      </c>
      <c r="L901" s="1">
        <v>0.0</v>
      </c>
      <c r="M901" s="1">
        <v>0.0</v>
      </c>
      <c r="O901" s="1">
        <v>0.0</v>
      </c>
      <c r="P901" s="1">
        <v>0.0</v>
      </c>
      <c r="R901" s="1">
        <v>0.0</v>
      </c>
      <c r="S901" s="1">
        <v>0.0</v>
      </c>
      <c r="U901" s="1">
        <v>0.0</v>
      </c>
      <c r="W901" s="1">
        <v>0.0</v>
      </c>
      <c r="Y901" s="1">
        <v>0.0</v>
      </c>
      <c r="AA901" s="1">
        <v>0.0</v>
      </c>
      <c r="AC901" s="1">
        <v>0.0</v>
      </c>
      <c r="AM901" s="1">
        <v>578.0</v>
      </c>
      <c r="AN901" s="1">
        <v>578.0</v>
      </c>
      <c r="AO901" s="1">
        <v>578.0</v>
      </c>
      <c r="AP901" s="1">
        <v>0.221</v>
      </c>
      <c r="AR901" s="1">
        <v>0.0</v>
      </c>
      <c r="AW901" s="1">
        <v>0.0</v>
      </c>
      <c r="AX901" s="1">
        <v>2.0</v>
      </c>
      <c r="AY901" s="1">
        <v>4.0</v>
      </c>
      <c r="BA901" s="1">
        <v>0.0</v>
      </c>
      <c r="BB901" s="1">
        <v>0.0</v>
      </c>
      <c r="BC901" s="1">
        <v>0.0</v>
      </c>
      <c r="BD901" s="1">
        <v>0.0</v>
      </c>
      <c r="BE901" s="1">
        <v>0.0</v>
      </c>
      <c r="BF901" s="1">
        <v>0.0</v>
      </c>
      <c r="BG901" s="1">
        <v>0.0</v>
      </c>
      <c r="BH901" s="1">
        <v>0.0</v>
      </c>
      <c r="BI901" s="1">
        <v>0.0</v>
      </c>
      <c r="BJ901" s="1">
        <v>0.0</v>
      </c>
      <c r="BP901" s="1">
        <v>0.31</v>
      </c>
      <c r="BQ901" s="1" t="s">
        <v>3471</v>
      </c>
      <c r="BV901" s="1">
        <v>1.1</v>
      </c>
      <c r="EQ901" s="9" t="s">
        <v>3470</v>
      </c>
      <c r="ER901" s="21">
        <v>46045.29975694444</v>
      </c>
    </row>
    <row r="902">
      <c r="A902" s="9" t="s">
        <v>3472</v>
      </c>
      <c r="B902" s="20" t="str">
        <f>IFERROR(__xludf.DUMMYFUNCTION("REGEXREPLACE(A902, ""^https?://[^/]+"", """")"),"/wp-content/uploads/2019/12/streamline-manu-thumb.jpg")</f>
        <v>/wp-content/uploads/2019/12/streamline-manu-thumb.jpg</v>
      </c>
      <c r="F902" s="1" t="s">
        <v>1004</v>
      </c>
      <c r="G902" s="1">
        <v>200.0</v>
      </c>
      <c r="H902" s="1" t="s">
        <v>966</v>
      </c>
      <c r="I902" s="1" t="s">
        <v>967</v>
      </c>
      <c r="L902" s="1">
        <v>0.0</v>
      </c>
      <c r="M902" s="1">
        <v>0.0</v>
      </c>
      <c r="O902" s="1">
        <v>0.0</v>
      </c>
      <c r="P902" s="1">
        <v>0.0</v>
      </c>
      <c r="R902" s="1">
        <v>0.0</v>
      </c>
      <c r="S902" s="1">
        <v>0.0</v>
      </c>
      <c r="U902" s="1">
        <v>0.0</v>
      </c>
      <c r="W902" s="1">
        <v>0.0</v>
      </c>
      <c r="Y902" s="1">
        <v>0.0</v>
      </c>
      <c r="AA902" s="1">
        <v>0.0</v>
      </c>
      <c r="AC902" s="1">
        <v>0.0</v>
      </c>
      <c r="AM902" s="1">
        <v>101978.0</v>
      </c>
      <c r="AN902" s="1">
        <v>101978.0</v>
      </c>
      <c r="AO902" s="1">
        <v>101978.0</v>
      </c>
      <c r="AP902" s="1">
        <v>39.066</v>
      </c>
      <c r="AR902" s="1">
        <v>0.0</v>
      </c>
      <c r="AW902" s="1">
        <v>0.0</v>
      </c>
      <c r="AX902" s="1">
        <v>2.0</v>
      </c>
      <c r="AY902" s="1">
        <v>4.0</v>
      </c>
      <c r="BA902" s="1">
        <v>0.0</v>
      </c>
      <c r="BB902" s="1">
        <v>0.0</v>
      </c>
      <c r="BC902" s="1">
        <v>0.0</v>
      </c>
      <c r="BD902" s="1">
        <v>0.0</v>
      </c>
      <c r="BE902" s="1">
        <v>0.0</v>
      </c>
      <c r="BF902" s="1">
        <v>0.0</v>
      </c>
      <c r="BG902" s="1">
        <v>0.0</v>
      </c>
      <c r="BH902" s="1">
        <v>0.0</v>
      </c>
      <c r="BI902" s="1">
        <v>0.0</v>
      </c>
      <c r="BJ902" s="1">
        <v>0.0</v>
      </c>
      <c r="BP902" s="1">
        <v>0.273</v>
      </c>
      <c r="BQ902" s="1" t="s">
        <v>3473</v>
      </c>
      <c r="BV902" s="1">
        <v>1.1</v>
      </c>
      <c r="EQ902" s="9" t="s">
        <v>3472</v>
      </c>
      <c r="ER902" s="21">
        <v>46045.29975694444</v>
      </c>
    </row>
    <row r="903">
      <c r="A903" s="9" t="s">
        <v>3474</v>
      </c>
      <c r="B903" s="20" t="str">
        <f>IFERROR(__xludf.DUMMYFUNCTION("REGEXREPLACE(A903, ""^https?://[^/]+"", """")"),"/case-study/hand-crafted-brick-oven-manufacturer/")</f>
        <v>/case-study/hand-crafted-brick-oven-manufacturer/</v>
      </c>
      <c r="C903" s="1" t="s">
        <v>3475</v>
      </c>
      <c r="D903" s="1" t="s">
        <v>1050</v>
      </c>
      <c r="E903" s="1" t="s">
        <v>1051</v>
      </c>
      <c r="F903" s="1" t="s">
        <v>965</v>
      </c>
      <c r="G903" s="1">
        <v>200.0</v>
      </c>
      <c r="H903" s="1" t="s">
        <v>966</v>
      </c>
      <c r="I903" s="1" t="s">
        <v>967</v>
      </c>
      <c r="K903" s="1" t="s">
        <v>3476</v>
      </c>
      <c r="L903" s="1">
        <v>128.0</v>
      </c>
      <c r="M903" s="1">
        <v>1189.0</v>
      </c>
      <c r="O903" s="1">
        <v>0.0</v>
      </c>
      <c r="P903" s="1">
        <v>0.0</v>
      </c>
      <c r="Q903" s="1" t="s">
        <v>3477</v>
      </c>
      <c r="R903" s="1">
        <v>149.0</v>
      </c>
      <c r="S903" s="1">
        <v>929.0</v>
      </c>
      <c r="U903" s="1">
        <v>0.0</v>
      </c>
      <c r="V903" s="1" t="s">
        <v>3475</v>
      </c>
      <c r="W903" s="1">
        <v>90.0</v>
      </c>
      <c r="Y903" s="1">
        <v>0.0</v>
      </c>
      <c r="Z903" s="1" t="s">
        <v>1050</v>
      </c>
      <c r="AA903" s="1">
        <v>17.0</v>
      </c>
      <c r="AB903" s="1" t="s">
        <v>1051</v>
      </c>
      <c r="AC903" s="1">
        <v>11.0</v>
      </c>
      <c r="AD903" s="1" t="s">
        <v>971</v>
      </c>
      <c r="AG903" s="9" t="s">
        <v>3474</v>
      </c>
      <c r="AM903" s="1">
        <v>182462.0</v>
      </c>
      <c r="AN903" s="1">
        <v>31612.0</v>
      </c>
      <c r="AO903" s="1">
        <v>31612.0</v>
      </c>
      <c r="AP903" s="1">
        <v>12.11</v>
      </c>
      <c r="AR903" s="1">
        <v>912.0</v>
      </c>
      <c r="AS903" s="1">
        <v>151.0</v>
      </c>
      <c r="AT903" s="1">
        <v>6.04</v>
      </c>
      <c r="AU903" s="1">
        <v>62.024</v>
      </c>
      <c r="AV903" s="1" t="s">
        <v>990</v>
      </c>
      <c r="AW903" s="1">
        <v>4.427</v>
      </c>
      <c r="AX903" s="1">
        <v>2.0</v>
      </c>
      <c r="AY903" s="1">
        <v>2.0</v>
      </c>
      <c r="AZ903" s="1">
        <v>1.0</v>
      </c>
      <c r="BA903" s="1">
        <v>4.0</v>
      </c>
      <c r="BB903" s="1">
        <v>2.0</v>
      </c>
      <c r="BC903" s="1">
        <v>0.0</v>
      </c>
      <c r="BD903" s="1">
        <v>0.27</v>
      </c>
      <c r="BE903" s="1">
        <v>128.0</v>
      </c>
      <c r="BF903" s="1">
        <v>48.0</v>
      </c>
      <c r="BG903" s="1">
        <v>0.0</v>
      </c>
      <c r="BH903" s="1">
        <v>16.0</v>
      </c>
      <c r="BI903" s="1">
        <v>8.0</v>
      </c>
      <c r="BJ903" s="1">
        <v>0.0</v>
      </c>
      <c r="BO903" s="1" t="s">
        <v>3478</v>
      </c>
      <c r="BP903" s="1">
        <v>0.969</v>
      </c>
      <c r="BU903" s="1" t="s">
        <v>974</v>
      </c>
      <c r="BV903" s="1">
        <v>1.1</v>
      </c>
      <c r="BW903" s="1">
        <v>55.0</v>
      </c>
      <c r="BX903" s="1">
        <v>3751.044</v>
      </c>
      <c r="BY903" s="1">
        <v>6067.405</v>
      </c>
      <c r="BZ903" s="1">
        <v>8101.099</v>
      </c>
      <c r="CA903" s="1">
        <v>17884.82</v>
      </c>
      <c r="CB903" s="1">
        <v>354.0</v>
      </c>
      <c r="CC903" s="1">
        <v>0.0</v>
      </c>
      <c r="CD903" s="1">
        <v>652201.0</v>
      </c>
      <c r="CE903" s="1">
        <v>1500.0</v>
      </c>
      <c r="CF903" s="1">
        <v>165.0</v>
      </c>
      <c r="CG903" s="1">
        <v>2295745.0</v>
      </c>
      <c r="CH903" s="1">
        <v>32556.0</v>
      </c>
      <c r="CI903" s="1">
        <v>2.0</v>
      </c>
      <c r="CJ903" s="1">
        <v>87071.0</v>
      </c>
      <c r="CK903" s="1">
        <v>17.0</v>
      </c>
      <c r="CL903" s="1">
        <v>118293.0</v>
      </c>
      <c r="CM903" s="1">
        <v>43.0</v>
      </c>
      <c r="CN903" s="1">
        <v>1747681.0</v>
      </c>
      <c r="CO903" s="1">
        <v>68.0</v>
      </c>
      <c r="CP903" s="1">
        <v>284722.0</v>
      </c>
      <c r="CQ903" s="1">
        <v>6.0</v>
      </c>
      <c r="CR903" s="1">
        <v>0.0</v>
      </c>
      <c r="CS903" s="1">
        <v>0.0</v>
      </c>
      <c r="CT903" s="1">
        <v>25422.0</v>
      </c>
      <c r="CU903" s="1">
        <v>29.0</v>
      </c>
      <c r="CV903" s="1">
        <v>1504066.0</v>
      </c>
      <c r="CW903" s="1">
        <v>64.0</v>
      </c>
      <c r="DC903" s="1">
        <v>0.0</v>
      </c>
      <c r="DD903" s="1">
        <v>5075.0</v>
      </c>
      <c r="DE903" s="1">
        <v>0.0</v>
      </c>
      <c r="DF903" s="1">
        <v>3401.0</v>
      </c>
      <c r="DG903" s="1">
        <v>450.0</v>
      </c>
      <c r="DH903" s="1">
        <v>50531.0</v>
      </c>
      <c r="DI903" s="1">
        <v>1050.0</v>
      </c>
      <c r="DJ903" s="1">
        <v>593194.0</v>
      </c>
      <c r="DK903" s="1">
        <v>1851.133</v>
      </c>
      <c r="DL903" s="1" t="s">
        <v>975</v>
      </c>
      <c r="DM903" s="1">
        <v>3365.815</v>
      </c>
      <c r="DN903" s="1" t="s">
        <v>975</v>
      </c>
      <c r="DO903" s="1">
        <v>2295204.0</v>
      </c>
      <c r="DP903" s="1">
        <v>1.0</v>
      </c>
      <c r="DQ903" s="1" t="s">
        <v>976</v>
      </c>
      <c r="DR903" s="1" t="s">
        <v>1376</v>
      </c>
      <c r="DS903" s="1" t="s">
        <v>978</v>
      </c>
      <c r="DT903" s="1" t="s">
        <v>979</v>
      </c>
      <c r="DU903" s="1" t="s">
        <v>980</v>
      </c>
      <c r="DV903" s="1">
        <v>13696.0</v>
      </c>
      <c r="DX903" s="1">
        <v>3878.0</v>
      </c>
      <c r="DY903" s="1">
        <v>627028.0</v>
      </c>
      <c r="EA903" s="1">
        <v>919.0</v>
      </c>
      <c r="EB903" s="1">
        <v>4453.0</v>
      </c>
      <c r="EC903" s="1">
        <v>1.0</v>
      </c>
      <c r="ED903" s="1">
        <v>26492.0</v>
      </c>
      <c r="EF903" s="1">
        <v>235.0</v>
      </c>
      <c r="EG903" s="1" t="s">
        <v>982</v>
      </c>
      <c r="EH903" s="1">
        <v>100.0</v>
      </c>
      <c r="EK903" s="1">
        <v>100.0</v>
      </c>
      <c r="EQ903" s="9" t="s">
        <v>3474</v>
      </c>
      <c r="ER903" s="21">
        <v>46045.29974537037</v>
      </c>
    </row>
    <row r="904">
      <c r="A904" s="9" t="s">
        <v>3479</v>
      </c>
      <c r="B904" s="20" t="str">
        <f>IFERROR(__xludf.DUMMYFUNCTION("REGEXREPLACE(A904, ""^https?://[^/]+"", """")"),"/wp-content/uploads/2019/10/hvac-thumbnail.jpg")</f>
        <v>/wp-content/uploads/2019/10/hvac-thumbnail.jpg</v>
      </c>
      <c r="F904" s="1" t="s">
        <v>1004</v>
      </c>
      <c r="G904" s="1">
        <v>200.0</v>
      </c>
      <c r="H904" s="1" t="s">
        <v>966</v>
      </c>
      <c r="I904" s="1" t="s">
        <v>967</v>
      </c>
      <c r="L904" s="1">
        <v>0.0</v>
      </c>
      <c r="M904" s="1">
        <v>0.0</v>
      </c>
      <c r="O904" s="1">
        <v>0.0</v>
      </c>
      <c r="P904" s="1">
        <v>0.0</v>
      </c>
      <c r="R904" s="1">
        <v>0.0</v>
      </c>
      <c r="S904" s="1">
        <v>0.0</v>
      </c>
      <c r="U904" s="1">
        <v>0.0</v>
      </c>
      <c r="W904" s="1">
        <v>0.0</v>
      </c>
      <c r="Y904" s="1">
        <v>0.0</v>
      </c>
      <c r="AA904" s="1">
        <v>0.0</v>
      </c>
      <c r="AC904" s="1">
        <v>0.0</v>
      </c>
      <c r="AM904" s="1">
        <v>123262.0</v>
      </c>
      <c r="AN904" s="1">
        <v>123262.0</v>
      </c>
      <c r="AO904" s="1">
        <v>123262.0</v>
      </c>
      <c r="AP904" s="1">
        <v>47.219</v>
      </c>
      <c r="AR904" s="1">
        <v>0.0</v>
      </c>
      <c r="AW904" s="1">
        <v>0.0</v>
      </c>
      <c r="AX904" s="1">
        <v>2.0</v>
      </c>
      <c r="AY904" s="1">
        <v>4.0</v>
      </c>
      <c r="BA904" s="1">
        <v>0.0</v>
      </c>
      <c r="BB904" s="1">
        <v>0.0</v>
      </c>
      <c r="BC904" s="1">
        <v>0.0</v>
      </c>
      <c r="BD904" s="1">
        <v>0.0</v>
      </c>
      <c r="BE904" s="1">
        <v>0.0</v>
      </c>
      <c r="BF904" s="1">
        <v>0.0</v>
      </c>
      <c r="BG904" s="1">
        <v>0.0</v>
      </c>
      <c r="BH904" s="1">
        <v>0.0</v>
      </c>
      <c r="BI904" s="1">
        <v>0.0</v>
      </c>
      <c r="BJ904" s="1">
        <v>0.0</v>
      </c>
      <c r="BP904" s="1">
        <v>0.274</v>
      </c>
      <c r="BQ904" s="1" t="s">
        <v>3480</v>
      </c>
      <c r="BV904" s="1">
        <v>1.1</v>
      </c>
      <c r="EQ904" s="9" t="s">
        <v>3479</v>
      </c>
      <c r="ER904" s="21">
        <v>46045.29975694444</v>
      </c>
    </row>
    <row r="905">
      <c r="A905" s="9" t="s">
        <v>3481</v>
      </c>
      <c r="B905" s="20" t="str">
        <f>IFERROR(__xludf.DUMMYFUNCTION("REGEXREPLACE(A905, ""^https?://[^/]+"", """")"),"/wp-content/uploads/2021/10/Metal-Fab.jpg")</f>
        <v>/wp-content/uploads/2021/10/Metal-Fab.jpg</v>
      </c>
      <c r="F905" s="1" t="s">
        <v>1004</v>
      </c>
      <c r="G905" s="1">
        <v>200.0</v>
      </c>
      <c r="H905" s="1" t="s">
        <v>966</v>
      </c>
      <c r="I905" s="1" t="s">
        <v>967</v>
      </c>
      <c r="L905" s="1">
        <v>0.0</v>
      </c>
      <c r="M905" s="1">
        <v>0.0</v>
      </c>
      <c r="O905" s="1">
        <v>0.0</v>
      </c>
      <c r="P905" s="1">
        <v>0.0</v>
      </c>
      <c r="R905" s="1">
        <v>0.0</v>
      </c>
      <c r="S905" s="1">
        <v>0.0</v>
      </c>
      <c r="U905" s="1">
        <v>0.0</v>
      </c>
      <c r="W905" s="1">
        <v>0.0</v>
      </c>
      <c r="Y905" s="1">
        <v>0.0</v>
      </c>
      <c r="AA905" s="1">
        <v>0.0</v>
      </c>
      <c r="AC905" s="1">
        <v>0.0</v>
      </c>
      <c r="AM905" s="1">
        <v>176738.0</v>
      </c>
      <c r="AN905" s="1">
        <v>176738.0</v>
      </c>
      <c r="AO905" s="1">
        <v>176738.0</v>
      </c>
      <c r="AP905" s="1">
        <v>67.705</v>
      </c>
      <c r="AR905" s="1">
        <v>0.0</v>
      </c>
      <c r="AW905" s="1">
        <v>0.0</v>
      </c>
      <c r="AX905" s="1">
        <v>2.0</v>
      </c>
      <c r="AY905" s="1">
        <v>4.0</v>
      </c>
      <c r="BA905" s="1">
        <v>0.0</v>
      </c>
      <c r="BB905" s="1">
        <v>0.0</v>
      </c>
      <c r="BC905" s="1">
        <v>0.0</v>
      </c>
      <c r="BD905" s="1">
        <v>0.0</v>
      </c>
      <c r="BE905" s="1">
        <v>0.0</v>
      </c>
      <c r="BF905" s="1">
        <v>0.0</v>
      </c>
      <c r="BG905" s="1">
        <v>0.0</v>
      </c>
      <c r="BH905" s="1">
        <v>0.0</v>
      </c>
      <c r="BI905" s="1">
        <v>0.0</v>
      </c>
      <c r="BJ905" s="1">
        <v>0.0</v>
      </c>
      <c r="BP905" s="1">
        <v>0.269</v>
      </c>
      <c r="BQ905" s="1" t="s">
        <v>3482</v>
      </c>
      <c r="BV905" s="1">
        <v>1.1</v>
      </c>
      <c r="EQ905" s="9" t="s">
        <v>3481</v>
      </c>
      <c r="ER905" s="21">
        <v>46045.29975694444</v>
      </c>
    </row>
    <row r="906">
      <c r="A906" s="9" t="s">
        <v>3483</v>
      </c>
      <c r="B906" s="20" t="str">
        <f>IFERROR(__xludf.DUMMYFUNCTION("REGEXREPLACE(A906, ""^https?://[^/]+"", """")"),"/case-study/peo-payroll/")</f>
        <v>/case-study/peo-payroll/</v>
      </c>
      <c r="C906" s="1" t="s">
        <v>3484</v>
      </c>
      <c r="F906" s="1" t="s">
        <v>965</v>
      </c>
      <c r="G906" s="1">
        <v>200.0</v>
      </c>
      <c r="H906" s="1" t="s">
        <v>966</v>
      </c>
      <c r="I906" s="1" t="s">
        <v>967</v>
      </c>
      <c r="K906" s="1" t="s">
        <v>3485</v>
      </c>
      <c r="L906" s="1">
        <v>73.0</v>
      </c>
      <c r="M906" s="1">
        <v>720.0</v>
      </c>
      <c r="O906" s="1">
        <v>0.0</v>
      </c>
      <c r="P906" s="1">
        <v>0.0</v>
      </c>
      <c r="Q906" s="1" t="s">
        <v>3486</v>
      </c>
      <c r="R906" s="1">
        <v>200.0</v>
      </c>
      <c r="S906" s="1">
        <v>1257.0</v>
      </c>
      <c r="U906" s="1">
        <v>0.0</v>
      </c>
      <c r="V906" s="1" t="s">
        <v>3484</v>
      </c>
      <c r="W906" s="1">
        <v>59.0</v>
      </c>
      <c r="Y906" s="1">
        <v>0.0</v>
      </c>
      <c r="AA906" s="1">
        <v>0.0</v>
      </c>
      <c r="AC906" s="1">
        <v>0.0</v>
      </c>
      <c r="AD906" s="1" t="s">
        <v>971</v>
      </c>
      <c r="AG906" s="9" t="s">
        <v>3483</v>
      </c>
      <c r="AM906" s="1">
        <v>157115.0</v>
      </c>
      <c r="AN906" s="1">
        <v>29971.0</v>
      </c>
      <c r="AO906" s="1">
        <v>29971.0</v>
      </c>
      <c r="AP906" s="1">
        <v>11.481</v>
      </c>
      <c r="AR906" s="1">
        <v>558.0</v>
      </c>
      <c r="AS906" s="1">
        <v>97.0</v>
      </c>
      <c r="AT906" s="1">
        <v>5.753</v>
      </c>
      <c r="AU906" s="1">
        <v>61.664</v>
      </c>
      <c r="AV906" s="1" t="s">
        <v>990</v>
      </c>
      <c r="AW906" s="1">
        <v>3.71</v>
      </c>
      <c r="AX906" s="1">
        <v>2.0</v>
      </c>
      <c r="AY906" s="1">
        <v>2.0</v>
      </c>
      <c r="AZ906" s="1">
        <v>1.0</v>
      </c>
      <c r="BA906" s="1">
        <v>6.0</v>
      </c>
      <c r="BB906" s="1">
        <v>4.0</v>
      </c>
      <c r="BC906" s="1">
        <v>0.0</v>
      </c>
      <c r="BD906" s="1">
        <v>0.53</v>
      </c>
      <c r="BE906" s="1">
        <v>124.0</v>
      </c>
      <c r="BF906" s="1">
        <v>44.0</v>
      </c>
      <c r="BG906" s="1">
        <v>0.0</v>
      </c>
      <c r="BH906" s="1">
        <v>16.0</v>
      </c>
      <c r="BI906" s="1">
        <v>8.0</v>
      </c>
      <c r="BJ906" s="1">
        <v>0.0</v>
      </c>
      <c r="BO906" s="1" t="s">
        <v>3487</v>
      </c>
      <c r="BP906" s="1">
        <v>1.025</v>
      </c>
      <c r="BU906" s="1" t="s">
        <v>974</v>
      </c>
      <c r="BV906" s="1">
        <v>1.1</v>
      </c>
      <c r="BW906" s="1">
        <v>51.0</v>
      </c>
      <c r="BX906" s="1">
        <v>4201.05</v>
      </c>
      <c r="BY906" s="1">
        <v>7764.244</v>
      </c>
      <c r="BZ906" s="1">
        <v>12151.152</v>
      </c>
      <c r="CA906" s="1">
        <v>18732.324</v>
      </c>
      <c r="CB906" s="1">
        <v>364.5</v>
      </c>
      <c r="CC906" s="1">
        <v>0.0</v>
      </c>
      <c r="CD906" s="1">
        <v>651064.0</v>
      </c>
      <c r="CE906" s="1">
        <v>1200.0</v>
      </c>
      <c r="CF906" s="1">
        <v>173.0</v>
      </c>
      <c r="CG906" s="1">
        <v>2420726.0</v>
      </c>
      <c r="CH906" s="1">
        <v>31070.0</v>
      </c>
      <c r="CI906" s="1">
        <v>2.0</v>
      </c>
      <c r="CJ906" s="1">
        <v>215432.0</v>
      </c>
      <c r="CK906" s="1">
        <v>28.0</v>
      </c>
      <c r="CL906" s="1">
        <v>115920.0</v>
      </c>
      <c r="CM906" s="1">
        <v>41.0</v>
      </c>
      <c r="CN906" s="1">
        <v>1748013.0</v>
      </c>
      <c r="CO906" s="1">
        <v>68.0</v>
      </c>
      <c r="CP906" s="1">
        <v>284722.0</v>
      </c>
      <c r="CQ906" s="1">
        <v>6.0</v>
      </c>
      <c r="CR906" s="1">
        <v>0.0</v>
      </c>
      <c r="CS906" s="1">
        <v>0.0</v>
      </c>
      <c r="CT906" s="1">
        <v>25569.0</v>
      </c>
      <c r="CU906" s="1">
        <v>28.0</v>
      </c>
      <c r="CV906" s="1">
        <v>1504610.0</v>
      </c>
      <c r="CW906" s="1">
        <v>67.0</v>
      </c>
      <c r="DC906" s="1">
        <v>0.0</v>
      </c>
      <c r="DD906" s="1">
        <v>5075.0</v>
      </c>
      <c r="DE906" s="1">
        <v>0.0</v>
      </c>
      <c r="DF906" s="1">
        <v>3401.0</v>
      </c>
      <c r="DG906" s="1">
        <v>450.0</v>
      </c>
      <c r="DH906" s="1">
        <v>50604.0</v>
      </c>
      <c r="DI906" s="1">
        <v>750.0</v>
      </c>
      <c r="DJ906" s="1">
        <v>591984.0</v>
      </c>
      <c r="DK906" s="1">
        <v>1503.43</v>
      </c>
      <c r="DL906" s="1" t="s">
        <v>975</v>
      </c>
      <c r="DM906" s="1">
        <v>2804.048</v>
      </c>
      <c r="DN906" s="1" t="s">
        <v>975</v>
      </c>
      <c r="DO906" s="1">
        <v>2419679.0</v>
      </c>
      <c r="DP906" s="1">
        <v>1.0</v>
      </c>
      <c r="DQ906" s="1" t="s">
        <v>976</v>
      </c>
      <c r="DR906" s="1" t="s">
        <v>1085</v>
      </c>
      <c r="DS906" s="1" t="s">
        <v>978</v>
      </c>
      <c r="DU906" s="1" t="s">
        <v>980</v>
      </c>
      <c r="DV906" s="1">
        <v>13545.0</v>
      </c>
      <c r="DW906" s="1">
        <v>300.0</v>
      </c>
      <c r="DX906" s="1">
        <v>3712.0</v>
      </c>
      <c r="DY906" s="1">
        <v>677393.0</v>
      </c>
      <c r="DZ906" s="1" t="s">
        <v>981</v>
      </c>
      <c r="EA906" s="1">
        <v>777.0</v>
      </c>
      <c r="EB906" s="1">
        <v>27429.0</v>
      </c>
      <c r="EC906" s="1">
        <v>1.0</v>
      </c>
      <c r="ED906" s="1">
        <v>26492.0</v>
      </c>
      <c r="EF906" s="1">
        <v>200.0</v>
      </c>
      <c r="EG906" s="1" t="s">
        <v>982</v>
      </c>
      <c r="EH906" s="1">
        <v>100.0</v>
      </c>
      <c r="EK906" s="1">
        <v>100.0</v>
      </c>
      <c r="EQ906" s="9" t="s">
        <v>3483</v>
      </c>
      <c r="ER906" s="21">
        <v>46045.29974537037</v>
      </c>
    </row>
    <row r="907">
      <c r="A907" s="9" t="s">
        <v>3488</v>
      </c>
      <c r="B907" s="20" t="str">
        <f>IFERROR(__xludf.DUMMYFUNCTION("REGEXREPLACE(A907, ""^https?://[^/]+"", """")"),"/case-study/promotional-products-marketing/")</f>
        <v>/case-study/promotional-products-marketing/</v>
      </c>
      <c r="C907" s="1" t="s">
        <v>3489</v>
      </c>
      <c r="F907" s="1" t="s">
        <v>965</v>
      </c>
      <c r="G907" s="1">
        <v>200.0</v>
      </c>
      <c r="H907" s="1" t="s">
        <v>966</v>
      </c>
      <c r="I907" s="1" t="s">
        <v>967</v>
      </c>
      <c r="K907" s="1" t="s">
        <v>3490</v>
      </c>
      <c r="L907" s="1">
        <v>122.0</v>
      </c>
      <c r="M907" s="1">
        <v>1112.0</v>
      </c>
      <c r="O907" s="1">
        <v>0.0</v>
      </c>
      <c r="P907" s="1">
        <v>0.0</v>
      </c>
      <c r="Q907" s="1" t="s">
        <v>3491</v>
      </c>
      <c r="R907" s="1">
        <v>78.0</v>
      </c>
      <c r="S907" s="1">
        <v>492.0</v>
      </c>
      <c r="U907" s="1">
        <v>0.0</v>
      </c>
      <c r="V907" s="1" t="s">
        <v>3489</v>
      </c>
      <c r="W907" s="1">
        <v>84.0</v>
      </c>
      <c r="Y907" s="1">
        <v>0.0</v>
      </c>
      <c r="AA907" s="1">
        <v>0.0</v>
      </c>
      <c r="AC907" s="1">
        <v>0.0</v>
      </c>
      <c r="AD907" s="1" t="s">
        <v>971</v>
      </c>
      <c r="AG907" s="9" t="s">
        <v>3488</v>
      </c>
      <c r="AM907" s="1">
        <v>170885.0</v>
      </c>
      <c r="AN907" s="1">
        <v>30883.0</v>
      </c>
      <c r="AO907" s="1">
        <v>30883.0</v>
      </c>
      <c r="AP907" s="1">
        <v>11.831</v>
      </c>
      <c r="AR907" s="1">
        <v>590.0</v>
      </c>
      <c r="AS907" s="1">
        <v>105.0</v>
      </c>
      <c r="AT907" s="1">
        <v>5.619</v>
      </c>
      <c r="AU907" s="1">
        <v>56.451</v>
      </c>
      <c r="AV907" s="1" t="s">
        <v>972</v>
      </c>
      <c r="AW907" s="1">
        <v>3.581</v>
      </c>
      <c r="AX907" s="1">
        <v>2.0</v>
      </c>
      <c r="AY907" s="1">
        <v>2.0</v>
      </c>
      <c r="AZ907" s="1">
        <v>1.0</v>
      </c>
      <c r="BA907" s="1">
        <v>9.0</v>
      </c>
      <c r="BB907" s="1">
        <v>7.0</v>
      </c>
      <c r="BC907" s="1">
        <v>0.0</v>
      </c>
      <c r="BD907" s="1">
        <v>0.93</v>
      </c>
      <c r="BE907" s="1">
        <v>128.0</v>
      </c>
      <c r="BF907" s="1">
        <v>47.0</v>
      </c>
      <c r="BG907" s="1">
        <v>0.0</v>
      </c>
      <c r="BH907" s="1">
        <v>16.0</v>
      </c>
      <c r="BI907" s="1">
        <v>8.0</v>
      </c>
      <c r="BJ907" s="1">
        <v>0.0</v>
      </c>
      <c r="BO907" s="1" t="s">
        <v>3492</v>
      </c>
      <c r="BP907" s="1">
        <v>0.993</v>
      </c>
      <c r="BU907" s="1" t="s">
        <v>974</v>
      </c>
      <c r="BV907" s="1">
        <v>1.1</v>
      </c>
      <c r="BW907" s="1">
        <v>50.0</v>
      </c>
      <c r="BX907" s="1">
        <v>4051.021</v>
      </c>
      <c r="BY907" s="1">
        <v>7402.276</v>
      </c>
      <c r="BZ907" s="1">
        <v>11551.062</v>
      </c>
      <c r="CA907" s="1">
        <v>18869.021</v>
      </c>
      <c r="CB907" s="1">
        <v>419.5</v>
      </c>
      <c r="CC907" s="1">
        <v>0.0</v>
      </c>
      <c r="CD907" s="1">
        <v>650645.0</v>
      </c>
      <c r="CE907" s="1">
        <v>1950.0</v>
      </c>
      <c r="CF907" s="1">
        <v>176.0</v>
      </c>
      <c r="CG907" s="1">
        <v>2429037.0</v>
      </c>
      <c r="CH907" s="1">
        <v>31773.0</v>
      </c>
      <c r="CI907" s="1">
        <v>2.0</v>
      </c>
      <c r="CJ907" s="1">
        <v>222115.0</v>
      </c>
      <c r="CK907" s="1">
        <v>30.0</v>
      </c>
      <c r="CL907" s="1">
        <v>116786.0</v>
      </c>
      <c r="CM907" s="1">
        <v>41.0</v>
      </c>
      <c r="CN907" s="1">
        <v>1747978.0</v>
      </c>
      <c r="CO907" s="1">
        <v>68.0</v>
      </c>
      <c r="CP907" s="1">
        <v>284722.0</v>
      </c>
      <c r="CQ907" s="1">
        <v>6.0</v>
      </c>
      <c r="CR907" s="1">
        <v>0.0</v>
      </c>
      <c r="CS907" s="1">
        <v>0.0</v>
      </c>
      <c r="CT907" s="1">
        <v>25663.0</v>
      </c>
      <c r="CU907" s="1">
        <v>29.0</v>
      </c>
      <c r="CV907" s="1">
        <v>1505745.0</v>
      </c>
      <c r="CW907" s="1">
        <v>68.0</v>
      </c>
      <c r="DC907" s="1">
        <v>0.0</v>
      </c>
      <c r="DD907" s="1">
        <v>5075.0</v>
      </c>
      <c r="DE907" s="1">
        <v>0.0</v>
      </c>
      <c r="DF907" s="1">
        <v>3401.0</v>
      </c>
      <c r="DG907" s="1">
        <v>1050.0</v>
      </c>
      <c r="DH907" s="1">
        <v>50604.0</v>
      </c>
      <c r="DI907" s="1">
        <v>900.0</v>
      </c>
      <c r="DJ907" s="1">
        <v>591565.0</v>
      </c>
      <c r="DK907" s="1">
        <v>1730.639</v>
      </c>
      <c r="DL907" s="1" t="s">
        <v>975</v>
      </c>
      <c r="DM907" s="1">
        <v>3182.611</v>
      </c>
      <c r="DN907" s="1" t="s">
        <v>975</v>
      </c>
      <c r="DO907" s="1">
        <v>2427990.0</v>
      </c>
      <c r="DP907" s="1">
        <v>1.0</v>
      </c>
      <c r="DQ907" s="1" t="s">
        <v>976</v>
      </c>
      <c r="DR907" s="1" t="s">
        <v>1055</v>
      </c>
      <c r="DS907" s="1" t="s">
        <v>978</v>
      </c>
      <c r="DU907" s="1" t="s">
        <v>980</v>
      </c>
      <c r="DV907" s="1">
        <v>13545.0</v>
      </c>
      <c r="DX907" s="1">
        <v>3625.0</v>
      </c>
      <c r="DY907" s="1">
        <v>679894.0</v>
      </c>
      <c r="DZ907" s="1" t="s">
        <v>981</v>
      </c>
      <c r="EA907" s="1">
        <v>789.0</v>
      </c>
      <c r="EB907" s="1">
        <v>28970.0</v>
      </c>
      <c r="EC907" s="1">
        <v>1.0</v>
      </c>
      <c r="ED907" s="1">
        <v>26492.0</v>
      </c>
      <c r="EF907" s="1">
        <v>230.0</v>
      </c>
      <c r="EG907" s="1" t="s">
        <v>982</v>
      </c>
      <c r="EH907" s="1">
        <v>100.0</v>
      </c>
      <c r="EK907" s="1">
        <v>100.0</v>
      </c>
      <c r="EQ907" s="9" t="s">
        <v>3488</v>
      </c>
      <c r="ER907" s="21">
        <v>46045.29974537037</v>
      </c>
    </row>
    <row r="908">
      <c r="A908" s="9" t="s">
        <v>3493</v>
      </c>
      <c r="B908" s="20" t="str">
        <f>IFERROR(__xludf.DUMMYFUNCTION("REGEXREPLACE(A908, ""^https?://[^/]+"", """")"),"/wp-content/uploads/2019/12/manu-case-thumb.jpg")</f>
        <v>/wp-content/uploads/2019/12/manu-case-thumb.jpg</v>
      </c>
      <c r="F908" s="1" t="s">
        <v>1004</v>
      </c>
      <c r="G908" s="1">
        <v>200.0</v>
      </c>
      <c r="H908" s="1" t="s">
        <v>966</v>
      </c>
      <c r="I908" s="1" t="s">
        <v>967</v>
      </c>
      <c r="L908" s="1">
        <v>0.0</v>
      </c>
      <c r="M908" s="1">
        <v>0.0</v>
      </c>
      <c r="O908" s="1">
        <v>0.0</v>
      </c>
      <c r="P908" s="1">
        <v>0.0</v>
      </c>
      <c r="R908" s="1">
        <v>0.0</v>
      </c>
      <c r="S908" s="1">
        <v>0.0</v>
      </c>
      <c r="U908" s="1">
        <v>0.0</v>
      </c>
      <c r="W908" s="1">
        <v>0.0</v>
      </c>
      <c r="Y908" s="1">
        <v>0.0</v>
      </c>
      <c r="AA908" s="1">
        <v>0.0</v>
      </c>
      <c r="AC908" s="1">
        <v>0.0</v>
      </c>
      <c r="AM908" s="1">
        <v>157514.0</v>
      </c>
      <c r="AN908" s="1">
        <v>157514.0</v>
      </c>
      <c r="AO908" s="1">
        <v>157514.0</v>
      </c>
      <c r="AP908" s="1">
        <v>60.341</v>
      </c>
      <c r="AR908" s="1">
        <v>0.0</v>
      </c>
      <c r="AW908" s="1">
        <v>0.0</v>
      </c>
      <c r="AX908" s="1">
        <v>2.0</v>
      </c>
      <c r="AY908" s="1">
        <v>4.0</v>
      </c>
      <c r="BA908" s="1">
        <v>0.0</v>
      </c>
      <c r="BB908" s="1">
        <v>0.0</v>
      </c>
      <c r="BC908" s="1">
        <v>0.0</v>
      </c>
      <c r="BD908" s="1">
        <v>0.0</v>
      </c>
      <c r="BE908" s="1">
        <v>0.0</v>
      </c>
      <c r="BF908" s="1">
        <v>0.0</v>
      </c>
      <c r="BG908" s="1">
        <v>0.0</v>
      </c>
      <c r="BH908" s="1">
        <v>0.0</v>
      </c>
      <c r="BI908" s="1">
        <v>0.0</v>
      </c>
      <c r="BJ908" s="1">
        <v>0.0</v>
      </c>
      <c r="BP908" s="1">
        <v>0.279</v>
      </c>
      <c r="BQ908" s="1" t="s">
        <v>3494</v>
      </c>
      <c r="BV908" s="1">
        <v>1.1</v>
      </c>
      <c r="EQ908" s="9" t="s">
        <v>3493</v>
      </c>
      <c r="ER908" s="21">
        <v>46045.29976851852</v>
      </c>
    </row>
    <row r="909">
      <c r="A909" s="9" t="s">
        <v>3495</v>
      </c>
      <c r="B909" s="20" t="str">
        <f>IFERROR(__xludf.DUMMYFUNCTION("REGEXREPLACE(A909, ""^https?://[^/]+"", """")"),"/wp-content/uploads/2019/11/healthcare-thumb-1.jpg")</f>
        <v>/wp-content/uploads/2019/11/healthcare-thumb-1.jpg</v>
      </c>
      <c r="F909" s="1" t="s">
        <v>1004</v>
      </c>
      <c r="G909" s="1">
        <v>200.0</v>
      </c>
      <c r="H909" s="1" t="s">
        <v>966</v>
      </c>
      <c r="I909" s="1" t="s">
        <v>967</v>
      </c>
      <c r="L909" s="1">
        <v>0.0</v>
      </c>
      <c r="M909" s="1">
        <v>0.0</v>
      </c>
      <c r="O909" s="1">
        <v>0.0</v>
      </c>
      <c r="P909" s="1">
        <v>0.0</v>
      </c>
      <c r="R909" s="1">
        <v>0.0</v>
      </c>
      <c r="S909" s="1">
        <v>0.0</v>
      </c>
      <c r="U909" s="1">
        <v>0.0</v>
      </c>
      <c r="W909" s="1">
        <v>0.0</v>
      </c>
      <c r="Y909" s="1">
        <v>0.0</v>
      </c>
      <c r="AA909" s="1">
        <v>0.0</v>
      </c>
      <c r="AC909" s="1">
        <v>0.0</v>
      </c>
      <c r="AM909" s="1">
        <v>59013.0</v>
      </c>
      <c r="AN909" s="1">
        <v>59013.0</v>
      </c>
      <c r="AO909" s="1">
        <v>59013.0</v>
      </c>
      <c r="AP909" s="1">
        <v>22.607</v>
      </c>
      <c r="AR909" s="1">
        <v>0.0</v>
      </c>
      <c r="AW909" s="1">
        <v>0.0</v>
      </c>
      <c r="AX909" s="1">
        <v>2.0</v>
      </c>
      <c r="AY909" s="1">
        <v>4.0</v>
      </c>
      <c r="BA909" s="1">
        <v>0.0</v>
      </c>
      <c r="BB909" s="1">
        <v>0.0</v>
      </c>
      <c r="BC909" s="1">
        <v>0.0</v>
      </c>
      <c r="BD909" s="1">
        <v>0.0</v>
      </c>
      <c r="BE909" s="1">
        <v>0.0</v>
      </c>
      <c r="BF909" s="1">
        <v>0.0</v>
      </c>
      <c r="BG909" s="1">
        <v>0.0</v>
      </c>
      <c r="BH909" s="1">
        <v>0.0</v>
      </c>
      <c r="BI909" s="1">
        <v>0.0</v>
      </c>
      <c r="BJ909" s="1">
        <v>0.0</v>
      </c>
      <c r="BP909" s="1">
        <v>0.273</v>
      </c>
      <c r="BQ909" s="1" t="s">
        <v>3496</v>
      </c>
      <c r="BV909" s="1">
        <v>1.1</v>
      </c>
      <c r="EQ909" s="9" t="s">
        <v>3495</v>
      </c>
      <c r="ER909" s="21">
        <v>46045.29976851852</v>
      </c>
    </row>
    <row r="910">
      <c r="A910" s="9" t="s">
        <v>3120</v>
      </c>
      <c r="B910" s="20" t="str">
        <f>IFERROR(__xludf.DUMMYFUNCTION("REGEXREPLACE(A910, ""^https?://[^/]+"", """")"),"/case-study/technology/")</f>
        <v>/case-study/technology/</v>
      </c>
      <c r="C910" s="1" t="s">
        <v>3497</v>
      </c>
      <c r="F910" s="1" t="s">
        <v>965</v>
      </c>
      <c r="G910" s="1">
        <v>200.0</v>
      </c>
      <c r="H910" s="1" t="s">
        <v>966</v>
      </c>
      <c r="I910" s="1" t="s">
        <v>967</v>
      </c>
      <c r="K910" s="1" t="s">
        <v>3498</v>
      </c>
      <c r="L910" s="1">
        <v>93.0</v>
      </c>
      <c r="M910" s="1">
        <v>832.0</v>
      </c>
      <c r="O910" s="1">
        <v>0.0</v>
      </c>
      <c r="P910" s="1">
        <v>0.0</v>
      </c>
      <c r="Q910" s="1" t="s">
        <v>3499</v>
      </c>
      <c r="R910" s="1">
        <v>124.0</v>
      </c>
      <c r="S910" s="1">
        <v>771.0</v>
      </c>
      <c r="U910" s="1">
        <v>0.0</v>
      </c>
      <c r="V910" s="1" t="s">
        <v>3497</v>
      </c>
      <c r="W910" s="1">
        <v>55.0</v>
      </c>
      <c r="Y910" s="1">
        <v>0.0</v>
      </c>
      <c r="AA910" s="1">
        <v>0.0</v>
      </c>
      <c r="AC910" s="1">
        <v>0.0</v>
      </c>
      <c r="AD910" s="1" t="s">
        <v>971</v>
      </c>
      <c r="AG910" s="9" t="s">
        <v>3120</v>
      </c>
      <c r="AM910" s="1">
        <v>166941.0</v>
      </c>
      <c r="AN910" s="1">
        <v>29912.0</v>
      </c>
      <c r="AO910" s="1">
        <v>29912.0</v>
      </c>
      <c r="AP910" s="1">
        <v>11.459</v>
      </c>
      <c r="AR910" s="1">
        <v>621.0</v>
      </c>
      <c r="AS910" s="1">
        <v>109.0</v>
      </c>
      <c r="AT910" s="1">
        <v>5.697</v>
      </c>
      <c r="AU910" s="1">
        <v>58.281</v>
      </c>
      <c r="AV910" s="1" t="s">
        <v>972</v>
      </c>
      <c r="AW910" s="1">
        <v>3.751</v>
      </c>
      <c r="AX910" s="1">
        <v>2.0</v>
      </c>
      <c r="AY910" s="1">
        <v>2.0</v>
      </c>
      <c r="AZ910" s="1">
        <v>100.0</v>
      </c>
      <c r="BA910" s="1">
        <v>12.0</v>
      </c>
      <c r="BB910" s="1">
        <v>10.0</v>
      </c>
      <c r="BC910" s="1">
        <v>0.0</v>
      </c>
      <c r="BD910" s="1">
        <v>1.33</v>
      </c>
      <c r="BE910" s="1">
        <v>128.0</v>
      </c>
      <c r="BF910" s="1">
        <v>47.0</v>
      </c>
      <c r="BG910" s="1">
        <v>0.0</v>
      </c>
      <c r="BH910" s="1">
        <v>16.0</v>
      </c>
      <c r="BI910" s="1">
        <v>8.0</v>
      </c>
      <c r="BJ910" s="1">
        <v>0.0</v>
      </c>
      <c r="BO910" s="1" t="s">
        <v>3500</v>
      </c>
      <c r="BP910" s="1">
        <v>0.956</v>
      </c>
      <c r="BU910" s="1" t="s">
        <v>974</v>
      </c>
      <c r="BV910" s="1">
        <v>1.1</v>
      </c>
      <c r="BW910" s="1">
        <v>56.0</v>
      </c>
      <c r="BX910" s="1">
        <v>4051.036</v>
      </c>
      <c r="BY910" s="1">
        <v>8152.816</v>
      </c>
      <c r="BZ910" s="1">
        <v>8701.08</v>
      </c>
      <c r="CA910" s="1">
        <v>17733.139</v>
      </c>
      <c r="CB910" s="1">
        <v>182.5</v>
      </c>
      <c r="CC910" s="1">
        <v>0.0</v>
      </c>
      <c r="CD910" s="1">
        <v>651542.0</v>
      </c>
      <c r="CE910" s="1">
        <v>1500.0</v>
      </c>
      <c r="CF910" s="1">
        <v>178.0</v>
      </c>
      <c r="CG910" s="1">
        <v>2414481.0</v>
      </c>
      <c r="CH910" s="1">
        <v>30699.0</v>
      </c>
      <c r="CI910" s="1">
        <v>2.0</v>
      </c>
      <c r="CJ910" s="1">
        <v>208683.0</v>
      </c>
      <c r="CK910" s="1">
        <v>32.0</v>
      </c>
      <c r="CL910" s="1">
        <v>117198.0</v>
      </c>
      <c r="CM910" s="1">
        <v>42.0</v>
      </c>
      <c r="CN910" s="1">
        <v>1748138.0</v>
      </c>
      <c r="CO910" s="1">
        <v>68.0</v>
      </c>
      <c r="CP910" s="1">
        <v>284721.0</v>
      </c>
      <c r="CQ910" s="1">
        <v>6.0</v>
      </c>
      <c r="CR910" s="1">
        <v>0.0</v>
      </c>
      <c r="CS910" s="1">
        <v>0.0</v>
      </c>
      <c r="CT910" s="1">
        <v>25042.0</v>
      </c>
      <c r="CU910" s="1">
        <v>28.0</v>
      </c>
      <c r="CV910" s="1">
        <v>1505636.0</v>
      </c>
      <c r="CW910" s="1">
        <v>67.0</v>
      </c>
      <c r="DC910" s="1">
        <v>0.0</v>
      </c>
      <c r="DD910" s="1">
        <v>5075.0</v>
      </c>
      <c r="DE910" s="1">
        <v>0.0</v>
      </c>
      <c r="DF910" s="1">
        <v>3396.0</v>
      </c>
      <c r="DG910" s="1">
        <v>450.0</v>
      </c>
      <c r="DH910" s="1">
        <v>50604.0</v>
      </c>
      <c r="DI910" s="1">
        <v>1050.0</v>
      </c>
      <c r="DJ910" s="1">
        <v>592467.0</v>
      </c>
      <c r="DK910" s="1">
        <v>1156.142</v>
      </c>
      <c r="DL910" s="1" t="s">
        <v>992</v>
      </c>
      <c r="DM910" s="1">
        <v>2196.478</v>
      </c>
      <c r="DN910" s="1" t="s">
        <v>975</v>
      </c>
      <c r="DO910" s="1">
        <v>2413434.0</v>
      </c>
      <c r="DP910" s="1">
        <v>1.0</v>
      </c>
      <c r="DQ910" s="1" t="s">
        <v>976</v>
      </c>
      <c r="DR910" s="1" t="s">
        <v>2418</v>
      </c>
      <c r="DS910" s="1" t="s">
        <v>978</v>
      </c>
      <c r="DT910" s="1" t="s">
        <v>979</v>
      </c>
      <c r="DU910" s="1" t="s">
        <v>980</v>
      </c>
      <c r="DV910" s="1">
        <v>13725.0</v>
      </c>
      <c r="DX910" s="1">
        <v>3907.0</v>
      </c>
      <c r="DY910" s="1">
        <v>674689.0</v>
      </c>
      <c r="EA910" s="1">
        <v>794.0</v>
      </c>
      <c r="EB910" s="1">
        <v>40691.0</v>
      </c>
      <c r="EC910" s="1">
        <v>0.0</v>
      </c>
      <c r="ED910" s="1">
        <v>26492.0</v>
      </c>
      <c r="EF910" s="1">
        <v>235.0</v>
      </c>
      <c r="EG910" s="1" t="s">
        <v>982</v>
      </c>
      <c r="EH910" s="1">
        <v>100.0</v>
      </c>
      <c r="EK910" s="1">
        <v>100.0</v>
      </c>
      <c r="EQ910" s="9" t="s">
        <v>3120</v>
      </c>
      <c r="ER910" s="21">
        <v>46045.29975694444</v>
      </c>
    </row>
    <row r="911">
      <c r="A911" s="9" t="s">
        <v>3501</v>
      </c>
      <c r="B911" s="20" t="str">
        <f>IFERROR(__xludf.DUMMYFUNCTION("REGEXREPLACE(A911, ""^https?://[^/]+"", """")"),"/case-study/finance/")</f>
        <v>/case-study/finance/</v>
      </c>
      <c r="C911" s="1" t="s">
        <v>3502</v>
      </c>
      <c r="F911" s="1" t="s">
        <v>965</v>
      </c>
      <c r="G911" s="1">
        <v>200.0</v>
      </c>
      <c r="H911" s="1" t="s">
        <v>966</v>
      </c>
      <c r="I911" s="1" t="s">
        <v>967</v>
      </c>
      <c r="K911" s="1" t="s">
        <v>3503</v>
      </c>
      <c r="L911" s="1">
        <v>115.0</v>
      </c>
      <c r="M911" s="1">
        <v>1057.0</v>
      </c>
      <c r="O911" s="1">
        <v>0.0</v>
      </c>
      <c r="P911" s="1">
        <v>0.0</v>
      </c>
      <c r="Q911" s="1" t="s">
        <v>3504</v>
      </c>
      <c r="R911" s="1">
        <v>154.0</v>
      </c>
      <c r="S911" s="1">
        <v>973.0</v>
      </c>
      <c r="U911" s="1">
        <v>0.0</v>
      </c>
      <c r="V911" s="1" t="s">
        <v>3502</v>
      </c>
      <c r="W911" s="1">
        <v>77.0</v>
      </c>
      <c r="Y911" s="1">
        <v>0.0</v>
      </c>
      <c r="AA911" s="1">
        <v>0.0</v>
      </c>
      <c r="AC911" s="1">
        <v>0.0</v>
      </c>
      <c r="AD911" s="1" t="s">
        <v>971</v>
      </c>
      <c r="AG911" s="9" t="s">
        <v>3501</v>
      </c>
      <c r="AM911" s="1">
        <v>168667.0</v>
      </c>
      <c r="AN911" s="1">
        <v>30855.0</v>
      </c>
      <c r="AO911" s="1">
        <v>30855.0</v>
      </c>
      <c r="AP911" s="1">
        <v>11.82</v>
      </c>
      <c r="AR911" s="1">
        <v>614.0</v>
      </c>
      <c r="AS911" s="1">
        <v>106.0</v>
      </c>
      <c r="AT911" s="1">
        <v>5.792</v>
      </c>
      <c r="AU911" s="1">
        <v>57.384</v>
      </c>
      <c r="AV911" s="1" t="s">
        <v>972</v>
      </c>
      <c r="AW911" s="1">
        <v>3.708</v>
      </c>
      <c r="AX911" s="1">
        <v>2.0</v>
      </c>
      <c r="AY911" s="1">
        <v>2.0</v>
      </c>
      <c r="AZ911" s="1">
        <v>1.0</v>
      </c>
      <c r="BA911" s="1">
        <v>9.0</v>
      </c>
      <c r="BB911" s="1">
        <v>9.0</v>
      </c>
      <c r="BC911" s="1">
        <v>0.0</v>
      </c>
      <c r="BD911" s="1">
        <v>1.19</v>
      </c>
      <c r="BE911" s="1">
        <v>128.0</v>
      </c>
      <c r="BF911" s="1">
        <v>47.0</v>
      </c>
      <c r="BG911" s="1">
        <v>0.0</v>
      </c>
      <c r="BH911" s="1">
        <v>16.0</v>
      </c>
      <c r="BI911" s="1">
        <v>8.0</v>
      </c>
      <c r="BJ911" s="1">
        <v>0.0</v>
      </c>
      <c r="BO911" s="1" t="s">
        <v>3505</v>
      </c>
      <c r="BP911" s="1">
        <v>0.992</v>
      </c>
      <c r="BU911" s="1" t="s">
        <v>974</v>
      </c>
      <c r="BV911" s="1">
        <v>1.1</v>
      </c>
      <c r="BW911" s="1">
        <v>47.0</v>
      </c>
      <c r="BX911" s="1">
        <v>3751.056</v>
      </c>
      <c r="BY911" s="1">
        <v>7448.127</v>
      </c>
      <c r="BZ911" s="1">
        <v>8251.13</v>
      </c>
      <c r="CA911" s="1">
        <v>17637.953</v>
      </c>
      <c r="CB911" s="1">
        <v>565.5</v>
      </c>
      <c r="CC911" s="1">
        <v>0.0</v>
      </c>
      <c r="CD911" s="1">
        <v>650990.0</v>
      </c>
      <c r="CE911" s="1">
        <v>1800.0</v>
      </c>
      <c r="CF911" s="1">
        <v>186.0</v>
      </c>
      <c r="CG911" s="1">
        <v>2409420.0</v>
      </c>
      <c r="CH911" s="1">
        <v>31640.0</v>
      </c>
      <c r="CI911" s="1">
        <v>2.0</v>
      </c>
      <c r="CJ911" s="1">
        <v>203127.0</v>
      </c>
      <c r="CK911" s="1">
        <v>40.0</v>
      </c>
      <c r="CL911" s="1">
        <v>116785.0</v>
      </c>
      <c r="CM911" s="1">
        <v>41.0</v>
      </c>
      <c r="CN911" s="1">
        <v>1747845.0</v>
      </c>
      <c r="CO911" s="1">
        <v>68.0</v>
      </c>
      <c r="CP911" s="1">
        <v>284722.0</v>
      </c>
      <c r="CQ911" s="1">
        <v>6.0</v>
      </c>
      <c r="CR911" s="1">
        <v>0.0</v>
      </c>
      <c r="CS911" s="1">
        <v>0.0</v>
      </c>
      <c r="CT911" s="1">
        <v>25301.0</v>
      </c>
      <c r="CU911" s="1">
        <v>29.0</v>
      </c>
      <c r="CV911" s="1">
        <v>1507202.0</v>
      </c>
      <c r="CW911" s="1">
        <v>76.0</v>
      </c>
      <c r="DC911" s="1">
        <v>0.0</v>
      </c>
      <c r="DD911" s="1">
        <v>5075.0</v>
      </c>
      <c r="DE911" s="1">
        <v>0.0</v>
      </c>
      <c r="DF911" s="1">
        <v>3396.0</v>
      </c>
      <c r="DG911" s="1">
        <v>600.0</v>
      </c>
      <c r="DH911" s="1">
        <v>50604.0</v>
      </c>
      <c r="DI911" s="1">
        <v>1200.0</v>
      </c>
      <c r="DJ911" s="1">
        <v>591915.0</v>
      </c>
      <c r="DK911" s="1">
        <v>1886.876</v>
      </c>
      <c r="DL911" s="1" t="s">
        <v>975</v>
      </c>
      <c r="DM911" s="1">
        <v>3525.887</v>
      </c>
      <c r="DN911" s="1" t="s">
        <v>975</v>
      </c>
      <c r="DO911" s="1">
        <v>2408373.0</v>
      </c>
      <c r="DP911" s="1">
        <v>1.0</v>
      </c>
      <c r="DQ911" s="1" t="s">
        <v>976</v>
      </c>
      <c r="DR911" s="1" t="s">
        <v>1055</v>
      </c>
      <c r="DS911" s="1" t="s">
        <v>978</v>
      </c>
      <c r="DT911" s="1" t="s">
        <v>979</v>
      </c>
      <c r="DU911" s="1" t="s">
        <v>980</v>
      </c>
      <c r="DV911" s="1">
        <v>13394.0</v>
      </c>
      <c r="DX911" s="1">
        <v>3799.0</v>
      </c>
      <c r="DY911" s="1">
        <v>673428.0</v>
      </c>
      <c r="EA911" s="1">
        <v>788.0</v>
      </c>
      <c r="EB911" s="1">
        <v>45012.0</v>
      </c>
      <c r="EC911" s="1">
        <v>19.0</v>
      </c>
      <c r="ED911" s="1">
        <v>26492.0</v>
      </c>
      <c r="EF911" s="1">
        <v>215.0</v>
      </c>
      <c r="EG911" s="1" t="s">
        <v>982</v>
      </c>
      <c r="EH911" s="1">
        <v>100.0</v>
      </c>
      <c r="EK911" s="1">
        <v>100.0</v>
      </c>
      <c r="EQ911" s="9" t="s">
        <v>3501</v>
      </c>
      <c r="ER911" s="21">
        <v>46045.29975694444</v>
      </c>
    </row>
    <row r="912">
      <c r="A912" s="9" t="s">
        <v>3506</v>
      </c>
      <c r="B912" s="20" t="str">
        <f>IFERROR(__xludf.DUMMYFUNCTION("REGEXREPLACE(A912, ""^https?://[^/]+"", """")"),"/case-study/specialty-electrical-component-distributor/")</f>
        <v>/case-study/specialty-electrical-component-distributor/</v>
      </c>
      <c r="C912" s="1" t="s">
        <v>3507</v>
      </c>
      <c r="D912" s="1" t="s">
        <v>1050</v>
      </c>
      <c r="E912" s="1" t="s">
        <v>1051</v>
      </c>
      <c r="F912" s="1" t="s">
        <v>965</v>
      </c>
      <c r="G912" s="1">
        <v>200.0</v>
      </c>
      <c r="H912" s="1" t="s">
        <v>966</v>
      </c>
      <c r="I912" s="1" t="s">
        <v>967</v>
      </c>
      <c r="K912" s="1" t="s">
        <v>3508</v>
      </c>
      <c r="L912" s="1">
        <v>128.0</v>
      </c>
      <c r="M912" s="1">
        <v>1164.0</v>
      </c>
      <c r="O912" s="1">
        <v>0.0</v>
      </c>
      <c r="P912" s="1">
        <v>0.0</v>
      </c>
      <c r="Q912" s="1" t="s">
        <v>3509</v>
      </c>
      <c r="R912" s="1">
        <v>153.0</v>
      </c>
      <c r="S912" s="1">
        <v>954.0</v>
      </c>
      <c r="U912" s="1">
        <v>0.0</v>
      </c>
      <c r="V912" s="1" t="s">
        <v>3507</v>
      </c>
      <c r="W912" s="1">
        <v>90.0</v>
      </c>
      <c r="Y912" s="1">
        <v>0.0</v>
      </c>
      <c r="Z912" s="1" t="s">
        <v>1050</v>
      </c>
      <c r="AA912" s="1">
        <v>17.0</v>
      </c>
      <c r="AB912" s="1" t="s">
        <v>1051</v>
      </c>
      <c r="AC912" s="1">
        <v>11.0</v>
      </c>
      <c r="AD912" s="1" t="s">
        <v>971</v>
      </c>
      <c r="AG912" s="9" t="s">
        <v>3506</v>
      </c>
      <c r="AM912" s="1">
        <v>173064.0</v>
      </c>
      <c r="AN912" s="1">
        <v>31316.0</v>
      </c>
      <c r="AO912" s="1">
        <v>31316.0</v>
      </c>
      <c r="AP912" s="1">
        <v>11.997</v>
      </c>
      <c r="AR912" s="1">
        <v>907.0</v>
      </c>
      <c r="AS912" s="1">
        <v>149.0</v>
      </c>
      <c r="AT912" s="1">
        <v>6.087</v>
      </c>
      <c r="AU912" s="1">
        <v>59.439</v>
      </c>
      <c r="AV912" s="1" t="s">
        <v>972</v>
      </c>
      <c r="AW912" s="1">
        <v>4.658</v>
      </c>
      <c r="AX912" s="1">
        <v>2.0</v>
      </c>
      <c r="AY912" s="1">
        <v>2.0</v>
      </c>
      <c r="AZ912" s="1">
        <v>1.0</v>
      </c>
      <c r="BA912" s="1">
        <v>6.0</v>
      </c>
      <c r="BB912" s="1">
        <v>4.0</v>
      </c>
      <c r="BC912" s="1">
        <v>0.0</v>
      </c>
      <c r="BD912" s="1">
        <v>0.53</v>
      </c>
      <c r="BE912" s="1">
        <v>128.0</v>
      </c>
      <c r="BF912" s="1">
        <v>46.0</v>
      </c>
      <c r="BG912" s="1">
        <v>0.0</v>
      </c>
      <c r="BH912" s="1">
        <v>16.0</v>
      </c>
      <c r="BI912" s="1">
        <v>8.0</v>
      </c>
      <c r="BJ912" s="1">
        <v>0.0</v>
      </c>
      <c r="BO912" s="1" t="s">
        <v>3510</v>
      </c>
      <c r="BP912" s="1">
        <v>0.991</v>
      </c>
      <c r="BU912" s="1" t="s">
        <v>974</v>
      </c>
      <c r="BV912" s="1">
        <v>1.1</v>
      </c>
      <c r="BW912" s="1">
        <v>49.0</v>
      </c>
      <c r="BX912" s="1">
        <v>3751.028</v>
      </c>
      <c r="BY912" s="1">
        <v>6996.398</v>
      </c>
      <c r="BZ912" s="1">
        <v>8551.067</v>
      </c>
      <c r="CA912" s="1">
        <v>17997.078</v>
      </c>
      <c r="CB912" s="1">
        <v>493.0</v>
      </c>
      <c r="CC912" s="1">
        <v>0.021</v>
      </c>
      <c r="CD912" s="1">
        <v>652054.0</v>
      </c>
      <c r="CE912" s="1">
        <v>1350.0</v>
      </c>
      <c r="CF912" s="1">
        <v>164.0</v>
      </c>
      <c r="CG912" s="1">
        <v>2323902.0</v>
      </c>
      <c r="CH912" s="1">
        <v>32499.0</v>
      </c>
      <c r="CI912" s="1">
        <v>2.0</v>
      </c>
      <c r="CJ912" s="1">
        <v>115260.0</v>
      </c>
      <c r="CK912" s="1">
        <v>17.0</v>
      </c>
      <c r="CL912" s="1">
        <v>118281.0</v>
      </c>
      <c r="CM912" s="1">
        <v>43.0</v>
      </c>
      <c r="CN912" s="1">
        <v>1747968.0</v>
      </c>
      <c r="CO912" s="1">
        <v>68.0</v>
      </c>
      <c r="CP912" s="1">
        <v>284722.0</v>
      </c>
      <c r="CQ912" s="1">
        <v>6.0</v>
      </c>
      <c r="CR912" s="1">
        <v>0.0</v>
      </c>
      <c r="CS912" s="1">
        <v>0.0</v>
      </c>
      <c r="CT912" s="1">
        <v>25172.0</v>
      </c>
      <c r="CU912" s="1">
        <v>28.0</v>
      </c>
      <c r="CV912" s="1">
        <v>1504049.0</v>
      </c>
      <c r="CW912" s="1">
        <v>63.0</v>
      </c>
      <c r="DC912" s="1">
        <v>0.0</v>
      </c>
      <c r="DD912" s="1">
        <v>5075.0</v>
      </c>
      <c r="DE912" s="1">
        <v>0.0</v>
      </c>
      <c r="DF912" s="1">
        <v>3396.0</v>
      </c>
      <c r="DG912" s="1">
        <v>300.0</v>
      </c>
      <c r="DH912" s="1">
        <v>50530.0</v>
      </c>
      <c r="DI912" s="1">
        <v>1050.0</v>
      </c>
      <c r="DJ912" s="1">
        <v>593053.0</v>
      </c>
      <c r="DK912" s="1">
        <v>1712.605</v>
      </c>
      <c r="DL912" s="1" t="s">
        <v>975</v>
      </c>
      <c r="DM912" s="1">
        <v>3059.618</v>
      </c>
      <c r="DN912" s="1" t="s">
        <v>975</v>
      </c>
      <c r="DO912" s="1">
        <v>2323361.0</v>
      </c>
      <c r="DP912" s="1">
        <v>1.0</v>
      </c>
      <c r="DQ912" s="1" t="s">
        <v>976</v>
      </c>
      <c r="DR912" s="1" t="s">
        <v>3511</v>
      </c>
      <c r="DS912" s="1" t="s">
        <v>978</v>
      </c>
      <c r="DT912" s="1" t="s">
        <v>979</v>
      </c>
      <c r="DU912" s="1" t="s">
        <v>980</v>
      </c>
      <c r="DV912" s="1">
        <v>13696.0</v>
      </c>
      <c r="DX912" s="1">
        <v>3789.0</v>
      </c>
      <c r="DY912" s="1">
        <v>638303.0</v>
      </c>
      <c r="DZ912" s="1" t="s">
        <v>981</v>
      </c>
      <c r="EA912" s="1">
        <v>910.0</v>
      </c>
      <c r="EB912" s="1">
        <v>18172.0</v>
      </c>
      <c r="EC912" s="1">
        <v>1.0</v>
      </c>
      <c r="ED912" s="1">
        <v>26492.0</v>
      </c>
      <c r="EF912" s="1">
        <v>240.0</v>
      </c>
      <c r="EG912" s="1" t="s">
        <v>982</v>
      </c>
      <c r="EH912" s="1">
        <v>100.0</v>
      </c>
      <c r="EK912" s="1">
        <v>100.0</v>
      </c>
      <c r="EQ912" s="9" t="s">
        <v>3506</v>
      </c>
      <c r="ER912" s="21">
        <v>46045.29976851852</v>
      </c>
    </row>
    <row r="913">
      <c r="A913" s="9" t="s">
        <v>3512</v>
      </c>
      <c r="B913" s="20" t="str">
        <f>IFERROR(__xludf.DUMMYFUNCTION("REGEXREPLACE(A913, ""^https?://[^/]+"", """")"),"/wp-content/uploads/2022/08/Developing-a-Go-to-Market-Strategy-for-Unparalleled-Success-Manufacturing-Case-Study-Thumbnail.jpg")</f>
        <v>/wp-content/uploads/2022/08/Developing-a-Go-to-Market-Strategy-for-Unparalleled-Success-Manufacturing-Case-Study-Thumbnail.jpg</v>
      </c>
      <c r="F913" s="1" t="s">
        <v>1004</v>
      </c>
      <c r="G913" s="1">
        <v>200.0</v>
      </c>
      <c r="H913" s="1" t="s">
        <v>966</v>
      </c>
      <c r="I913" s="1" t="s">
        <v>967</v>
      </c>
      <c r="L913" s="1">
        <v>0.0</v>
      </c>
      <c r="M913" s="1">
        <v>0.0</v>
      </c>
      <c r="O913" s="1">
        <v>0.0</v>
      </c>
      <c r="P913" s="1">
        <v>0.0</v>
      </c>
      <c r="R913" s="1">
        <v>0.0</v>
      </c>
      <c r="S913" s="1">
        <v>0.0</v>
      </c>
      <c r="U913" s="1">
        <v>0.0</v>
      </c>
      <c r="W913" s="1">
        <v>0.0</v>
      </c>
      <c r="Y913" s="1">
        <v>0.0</v>
      </c>
      <c r="AA913" s="1">
        <v>0.0</v>
      </c>
      <c r="AC913" s="1">
        <v>0.0</v>
      </c>
      <c r="AM913" s="1">
        <v>95739.0</v>
      </c>
      <c r="AN913" s="1">
        <v>95739.0</v>
      </c>
      <c r="AO913" s="1">
        <v>95739.0</v>
      </c>
      <c r="AP913" s="1">
        <v>36.676</v>
      </c>
      <c r="AR913" s="1">
        <v>0.0</v>
      </c>
      <c r="AW913" s="1">
        <v>0.0</v>
      </c>
      <c r="AX913" s="1">
        <v>2.0</v>
      </c>
      <c r="AY913" s="1">
        <v>4.0</v>
      </c>
      <c r="BA913" s="1">
        <v>0.0</v>
      </c>
      <c r="BB913" s="1">
        <v>0.0</v>
      </c>
      <c r="BC913" s="1">
        <v>0.0</v>
      </c>
      <c r="BD913" s="1">
        <v>0.0</v>
      </c>
      <c r="BE913" s="1">
        <v>0.0</v>
      </c>
      <c r="BF913" s="1">
        <v>0.0</v>
      </c>
      <c r="BG913" s="1">
        <v>0.0</v>
      </c>
      <c r="BH913" s="1">
        <v>0.0</v>
      </c>
      <c r="BI913" s="1">
        <v>0.0</v>
      </c>
      <c r="BJ913" s="1">
        <v>0.0</v>
      </c>
      <c r="BP913" s="1">
        <v>0.263</v>
      </c>
      <c r="BQ913" s="1" t="s">
        <v>3513</v>
      </c>
      <c r="BV913" s="1">
        <v>1.1</v>
      </c>
      <c r="EQ913" s="9" t="s">
        <v>3512</v>
      </c>
      <c r="ER913" s="21">
        <v>46045.299780092595</v>
      </c>
    </row>
    <row r="914">
      <c r="A914" s="9" t="s">
        <v>3514</v>
      </c>
      <c r="B914" s="20" t="str">
        <f>IFERROR(__xludf.DUMMYFUNCTION("REGEXREPLACE(A914, ""^https?://[^/]+"", """")"),"/wp-content/uploads/2024/09/Plastic-Manufacturing-22-Sales-Growth-Achieved-with-Expert-Sales-Leadership-Cover.jpg")</f>
        <v>/wp-content/uploads/2024/09/Plastic-Manufacturing-22-Sales-Growth-Achieved-with-Expert-Sales-Leadership-Cover.jpg</v>
      </c>
      <c r="F914" s="1" t="s">
        <v>1004</v>
      </c>
      <c r="G914" s="1">
        <v>200.0</v>
      </c>
      <c r="H914" s="1" t="s">
        <v>966</v>
      </c>
      <c r="I914" s="1" t="s">
        <v>967</v>
      </c>
      <c r="L914" s="1">
        <v>0.0</v>
      </c>
      <c r="M914" s="1">
        <v>0.0</v>
      </c>
      <c r="O914" s="1">
        <v>0.0</v>
      </c>
      <c r="P914" s="1">
        <v>0.0</v>
      </c>
      <c r="R914" s="1">
        <v>0.0</v>
      </c>
      <c r="S914" s="1">
        <v>0.0</v>
      </c>
      <c r="U914" s="1">
        <v>0.0</v>
      </c>
      <c r="W914" s="1">
        <v>0.0</v>
      </c>
      <c r="Y914" s="1">
        <v>0.0</v>
      </c>
      <c r="AA914" s="1">
        <v>0.0</v>
      </c>
      <c r="AC914" s="1">
        <v>0.0</v>
      </c>
      <c r="AM914" s="1">
        <v>82606.0</v>
      </c>
      <c r="AN914" s="1">
        <v>82606.0</v>
      </c>
      <c r="AO914" s="1">
        <v>82606.0</v>
      </c>
      <c r="AP914" s="1">
        <v>31.645</v>
      </c>
      <c r="AR914" s="1">
        <v>0.0</v>
      </c>
      <c r="AW914" s="1">
        <v>0.0</v>
      </c>
      <c r="AX914" s="1">
        <v>2.0</v>
      </c>
      <c r="AY914" s="1">
        <v>4.0</v>
      </c>
      <c r="BA914" s="1">
        <v>0.0</v>
      </c>
      <c r="BB914" s="1">
        <v>0.0</v>
      </c>
      <c r="BC914" s="1">
        <v>0.0</v>
      </c>
      <c r="BD914" s="1">
        <v>0.0</v>
      </c>
      <c r="BE914" s="1">
        <v>0.0</v>
      </c>
      <c r="BF914" s="1">
        <v>0.0</v>
      </c>
      <c r="BG914" s="1">
        <v>0.0</v>
      </c>
      <c r="BH914" s="1">
        <v>0.0</v>
      </c>
      <c r="BI914" s="1">
        <v>0.0</v>
      </c>
      <c r="BJ914" s="1">
        <v>0.0</v>
      </c>
      <c r="BP914" s="1">
        <v>0.269</v>
      </c>
      <c r="BQ914" s="1" t="s">
        <v>3515</v>
      </c>
      <c r="BV914" s="1">
        <v>1.1</v>
      </c>
      <c r="EQ914" s="9" t="s">
        <v>3514</v>
      </c>
      <c r="ER914" s="21">
        <v>46045.299780092595</v>
      </c>
    </row>
    <row r="915">
      <c r="A915" s="9" t="s">
        <v>3516</v>
      </c>
      <c r="B915" s="20" t="str">
        <f>IFERROR(__xludf.DUMMYFUNCTION("REGEXREPLACE(A915, ""^https?://[^/]+"", """")"),"/case-study/marketing-growth/")</f>
        <v>/case-study/marketing-growth/</v>
      </c>
      <c r="C915" s="1" t="s">
        <v>3517</v>
      </c>
      <c r="F915" s="1" t="s">
        <v>965</v>
      </c>
      <c r="G915" s="1">
        <v>200.0</v>
      </c>
      <c r="H915" s="1" t="s">
        <v>966</v>
      </c>
      <c r="I915" s="1" t="s">
        <v>967</v>
      </c>
      <c r="K915" s="1" t="s">
        <v>3518</v>
      </c>
      <c r="L915" s="1">
        <v>110.0</v>
      </c>
      <c r="M915" s="1">
        <v>992.0</v>
      </c>
      <c r="O915" s="1">
        <v>0.0</v>
      </c>
      <c r="P915" s="1">
        <v>0.0</v>
      </c>
      <c r="Q915" s="1" t="s">
        <v>3519</v>
      </c>
      <c r="R915" s="1">
        <v>70.0</v>
      </c>
      <c r="S915" s="1">
        <v>432.0</v>
      </c>
      <c r="U915" s="1">
        <v>0.0</v>
      </c>
      <c r="V915" s="1" t="s">
        <v>3517</v>
      </c>
      <c r="W915" s="1">
        <v>72.0</v>
      </c>
      <c r="Y915" s="1">
        <v>0.0</v>
      </c>
      <c r="AA915" s="1">
        <v>0.0</v>
      </c>
      <c r="AC915" s="1">
        <v>0.0</v>
      </c>
      <c r="AD915" s="1" t="s">
        <v>971</v>
      </c>
      <c r="AG915" s="9" t="s">
        <v>3516</v>
      </c>
      <c r="AM915" s="1">
        <v>170395.0</v>
      </c>
      <c r="AN915" s="1">
        <v>30855.0</v>
      </c>
      <c r="AO915" s="1">
        <v>30855.0</v>
      </c>
      <c r="AP915" s="1">
        <v>11.82</v>
      </c>
      <c r="AR915" s="1">
        <v>590.0</v>
      </c>
      <c r="AS915" s="1">
        <v>104.0</v>
      </c>
      <c r="AT915" s="1">
        <v>5.673</v>
      </c>
      <c r="AU915" s="1">
        <v>57.544</v>
      </c>
      <c r="AV915" s="1" t="s">
        <v>972</v>
      </c>
      <c r="AW915" s="1">
        <v>3.579</v>
      </c>
      <c r="AX915" s="1">
        <v>2.0</v>
      </c>
      <c r="AY915" s="1">
        <v>2.0</v>
      </c>
      <c r="AZ915" s="1">
        <v>1.0</v>
      </c>
      <c r="BA915" s="1">
        <v>9.0</v>
      </c>
      <c r="BB915" s="1">
        <v>7.0</v>
      </c>
      <c r="BC915" s="1">
        <v>0.0</v>
      </c>
      <c r="BD915" s="1">
        <v>0.93</v>
      </c>
      <c r="BE915" s="1">
        <v>128.0</v>
      </c>
      <c r="BF915" s="1">
        <v>47.0</v>
      </c>
      <c r="BG915" s="1">
        <v>0.0</v>
      </c>
      <c r="BH915" s="1">
        <v>16.0</v>
      </c>
      <c r="BI915" s="1">
        <v>8.0</v>
      </c>
      <c r="BJ915" s="1">
        <v>0.0</v>
      </c>
      <c r="BO915" s="1" t="s">
        <v>3520</v>
      </c>
      <c r="BP915" s="1">
        <v>1.416</v>
      </c>
      <c r="BU915" s="1" t="s">
        <v>974</v>
      </c>
      <c r="BV915" s="1">
        <v>1.1</v>
      </c>
      <c r="BW915" s="1">
        <v>57.0</v>
      </c>
      <c r="BX915" s="1">
        <v>4051.048</v>
      </c>
      <c r="BY915" s="1">
        <v>7420.652</v>
      </c>
      <c r="BZ915" s="1">
        <v>11701.146</v>
      </c>
      <c r="CA915" s="1">
        <v>18018.938</v>
      </c>
      <c r="CB915" s="1">
        <v>162.0</v>
      </c>
      <c r="CC915" s="1">
        <v>0.022</v>
      </c>
      <c r="CD915" s="1">
        <v>651436.0</v>
      </c>
      <c r="CE915" s="1">
        <v>1950.0</v>
      </c>
      <c r="CF915" s="1">
        <v>175.0</v>
      </c>
      <c r="CG915" s="1">
        <v>2425531.0</v>
      </c>
      <c r="CH915" s="1">
        <v>31697.0</v>
      </c>
      <c r="CI915" s="1">
        <v>2.0</v>
      </c>
      <c r="CJ915" s="1">
        <v>219754.0</v>
      </c>
      <c r="CK915" s="1">
        <v>30.0</v>
      </c>
      <c r="CL915" s="1">
        <v>115918.0</v>
      </c>
      <c r="CM915" s="1">
        <v>41.0</v>
      </c>
      <c r="CN915" s="1">
        <v>1748373.0</v>
      </c>
      <c r="CO915" s="1">
        <v>68.0</v>
      </c>
      <c r="CP915" s="1">
        <v>284722.0</v>
      </c>
      <c r="CQ915" s="1">
        <v>6.0</v>
      </c>
      <c r="CR915" s="1">
        <v>0.0</v>
      </c>
      <c r="CS915" s="1">
        <v>0.0</v>
      </c>
      <c r="CT915" s="1">
        <v>25067.0</v>
      </c>
      <c r="CU915" s="1">
        <v>28.0</v>
      </c>
      <c r="CV915" s="1">
        <v>1504978.0</v>
      </c>
      <c r="CW915" s="1">
        <v>67.0</v>
      </c>
      <c r="DC915" s="1">
        <v>150.0</v>
      </c>
      <c r="DD915" s="1">
        <v>5075.0</v>
      </c>
      <c r="DE915" s="1">
        <v>0.0</v>
      </c>
      <c r="DF915" s="1">
        <v>3396.0</v>
      </c>
      <c r="DG915" s="1">
        <v>750.0</v>
      </c>
      <c r="DH915" s="1">
        <v>50604.0</v>
      </c>
      <c r="DI915" s="1">
        <v>1050.0</v>
      </c>
      <c r="DJ915" s="1">
        <v>592361.0</v>
      </c>
      <c r="DK915" s="1">
        <v>1347.328</v>
      </c>
      <c r="DL915" s="1" t="s">
        <v>975</v>
      </c>
      <c r="DM915" s="1">
        <v>2443.856</v>
      </c>
      <c r="DN915" s="1" t="s">
        <v>975</v>
      </c>
      <c r="DO915" s="1">
        <v>2424484.0</v>
      </c>
      <c r="DP915" s="1">
        <v>1.0</v>
      </c>
      <c r="DQ915" s="1" t="s">
        <v>976</v>
      </c>
      <c r="DR915" s="1" t="s">
        <v>993</v>
      </c>
      <c r="DS915" s="1" t="s">
        <v>978</v>
      </c>
      <c r="DU915" s="1" t="s">
        <v>980</v>
      </c>
      <c r="DV915" s="1">
        <v>13545.0</v>
      </c>
      <c r="DX915" s="1">
        <v>3744.0</v>
      </c>
      <c r="DY915" s="1">
        <v>678951.0</v>
      </c>
      <c r="DZ915" s="1" t="s">
        <v>981</v>
      </c>
      <c r="EA915" s="1">
        <v>789.0</v>
      </c>
      <c r="EB915" s="1">
        <v>21450.0</v>
      </c>
      <c r="EC915" s="1">
        <v>1.0</v>
      </c>
      <c r="ED915" s="1">
        <v>26492.0</v>
      </c>
      <c r="EF915" s="1">
        <v>215.0</v>
      </c>
      <c r="EG915" s="1" t="s">
        <v>982</v>
      </c>
      <c r="EH915" s="1">
        <v>100.0</v>
      </c>
      <c r="EK915" s="1">
        <v>100.0</v>
      </c>
      <c r="EQ915" s="9" t="s">
        <v>3516</v>
      </c>
      <c r="ER915" s="21">
        <v>46045.29975694444</v>
      </c>
    </row>
    <row r="916">
      <c r="A916" s="9" t="s">
        <v>3521</v>
      </c>
      <c r="B916" s="20" t="str">
        <f>IFERROR(__xludf.DUMMYFUNCTION("REGEXREPLACE(A916, ""^https?://[^/]+"", """")"),"/wp-content/uploads/2020/09/cs-distrib-full-1.jpg")</f>
        <v>/wp-content/uploads/2020/09/cs-distrib-full-1.jpg</v>
      </c>
      <c r="F916" s="1" t="s">
        <v>1004</v>
      </c>
      <c r="G916" s="1">
        <v>200.0</v>
      </c>
      <c r="H916" s="1" t="s">
        <v>966</v>
      </c>
      <c r="I916" s="1" t="s">
        <v>967</v>
      </c>
      <c r="L916" s="1">
        <v>0.0</v>
      </c>
      <c r="M916" s="1">
        <v>0.0</v>
      </c>
      <c r="O916" s="1">
        <v>0.0</v>
      </c>
      <c r="P916" s="1">
        <v>0.0</v>
      </c>
      <c r="R916" s="1">
        <v>0.0</v>
      </c>
      <c r="S916" s="1">
        <v>0.0</v>
      </c>
      <c r="U916" s="1">
        <v>0.0</v>
      </c>
      <c r="W916" s="1">
        <v>0.0</v>
      </c>
      <c r="Y916" s="1">
        <v>0.0</v>
      </c>
      <c r="AA916" s="1">
        <v>0.0</v>
      </c>
      <c r="AC916" s="1">
        <v>0.0</v>
      </c>
      <c r="AM916" s="1">
        <v>122492.0</v>
      </c>
      <c r="AN916" s="1">
        <v>122492.0</v>
      </c>
      <c r="AO916" s="1">
        <v>122492.0</v>
      </c>
      <c r="AP916" s="1">
        <v>46.924</v>
      </c>
      <c r="AR916" s="1">
        <v>0.0</v>
      </c>
      <c r="AW916" s="1">
        <v>0.0</v>
      </c>
      <c r="AX916" s="1">
        <v>2.0</v>
      </c>
      <c r="AY916" s="1">
        <v>4.0</v>
      </c>
      <c r="BA916" s="1">
        <v>0.0</v>
      </c>
      <c r="BB916" s="1">
        <v>0.0</v>
      </c>
      <c r="BC916" s="1">
        <v>0.0</v>
      </c>
      <c r="BD916" s="1">
        <v>0.0</v>
      </c>
      <c r="BE916" s="1">
        <v>0.0</v>
      </c>
      <c r="BF916" s="1">
        <v>0.0</v>
      </c>
      <c r="BG916" s="1">
        <v>0.0</v>
      </c>
      <c r="BH916" s="1">
        <v>0.0</v>
      </c>
      <c r="BI916" s="1">
        <v>0.0</v>
      </c>
      <c r="BJ916" s="1">
        <v>0.0</v>
      </c>
      <c r="BP916" s="1">
        <v>0.273</v>
      </c>
      <c r="BQ916" s="1" t="s">
        <v>3522</v>
      </c>
      <c r="BV916" s="1">
        <v>1.1</v>
      </c>
      <c r="EQ916" s="9" t="s">
        <v>3521</v>
      </c>
      <c r="ER916" s="21">
        <v>46045.299780092595</v>
      </c>
    </row>
    <row r="917">
      <c r="A917" s="9" t="s">
        <v>3523</v>
      </c>
      <c r="B917" s="20" t="str">
        <f>IFERROR(__xludf.DUMMYFUNCTION("REGEXREPLACE(A917, ""^https?://[^/]+"", """")"),"/case-study/full-service-marketing-agency/")</f>
        <v>/case-study/full-service-marketing-agency/</v>
      </c>
      <c r="C917" s="1" t="s">
        <v>3524</v>
      </c>
      <c r="D917" s="1" t="s">
        <v>1050</v>
      </c>
      <c r="E917" s="1" t="s">
        <v>1051</v>
      </c>
      <c r="F917" s="1" t="s">
        <v>965</v>
      </c>
      <c r="G917" s="1">
        <v>200.0</v>
      </c>
      <c r="H917" s="1" t="s">
        <v>966</v>
      </c>
      <c r="I917" s="1" t="s">
        <v>967</v>
      </c>
      <c r="K917" s="1" t="s">
        <v>3525</v>
      </c>
      <c r="L917" s="1">
        <v>125.0</v>
      </c>
      <c r="M917" s="1">
        <v>1175.0</v>
      </c>
      <c r="O917" s="1">
        <v>0.0</v>
      </c>
      <c r="P917" s="1">
        <v>0.0</v>
      </c>
      <c r="Q917" s="1" t="s">
        <v>3526</v>
      </c>
      <c r="R917" s="1">
        <v>46.0</v>
      </c>
      <c r="S917" s="1">
        <v>288.0</v>
      </c>
      <c r="U917" s="1">
        <v>0.0</v>
      </c>
      <c r="V917" s="1" t="s">
        <v>3524</v>
      </c>
      <c r="W917" s="1">
        <v>87.0</v>
      </c>
      <c r="Y917" s="1">
        <v>0.0</v>
      </c>
      <c r="Z917" s="1" t="s">
        <v>1050</v>
      </c>
      <c r="AA917" s="1">
        <v>17.0</v>
      </c>
      <c r="AB917" s="1" t="s">
        <v>1051</v>
      </c>
      <c r="AC917" s="1">
        <v>11.0</v>
      </c>
      <c r="AD917" s="1" t="s">
        <v>971</v>
      </c>
      <c r="AG917" s="9" t="s">
        <v>3523</v>
      </c>
      <c r="AM917" s="1">
        <v>180458.0</v>
      </c>
      <c r="AN917" s="1">
        <v>31377.0</v>
      </c>
      <c r="AO917" s="1">
        <v>31377.0</v>
      </c>
      <c r="AP917" s="1">
        <v>12.02</v>
      </c>
      <c r="AR917" s="1">
        <v>824.0</v>
      </c>
      <c r="AS917" s="1">
        <v>141.0</v>
      </c>
      <c r="AT917" s="1">
        <v>5.844</v>
      </c>
      <c r="AU917" s="1">
        <v>59.014</v>
      </c>
      <c r="AV917" s="1" t="s">
        <v>972</v>
      </c>
      <c r="AW917" s="1">
        <v>4.177</v>
      </c>
      <c r="AX917" s="1">
        <v>2.0</v>
      </c>
      <c r="AY917" s="1">
        <v>2.0</v>
      </c>
      <c r="AZ917" s="1">
        <v>1.0</v>
      </c>
      <c r="BA917" s="1">
        <v>8.0</v>
      </c>
      <c r="BB917" s="1">
        <v>6.0</v>
      </c>
      <c r="BC917" s="1">
        <v>0.0</v>
      </c>
      <c r="BD917" s="1">
        <v>0.8</v>
      </c>
      <c r="BE917" s="1">
        <v>129.0</v>
      </c>
      <c r="BF917" s="1">
        <v>48.0</v>
      </c>
      <c r="BG917" s="1">
        <v>0.0</v>
      </c>
      <c r="BH917" s="1">
        <v>16.0</v>
      </c>
      <c r="BI917" s="1">
        <v>8.0</v>
      </c>
      <c r="BJ917" s="1">
        <v>0.0</v>
      </c>
      <c r="BO917" s="1" t="s">
        <v>3527</v>
      </c>
      <c r="BP917" s="1">
        <v>0.984</v>
      </c>
      <c r="BU917" s="1" t="s">
        <v>974</v>
      </c>
      <c r="BV917" s="1">
        <v>1.1</v>
      </c>
      <c r="BW917" s="1">
        <v>44.0</v>
      </c>
      <c r="BX917" s="1">
        <v>3751.036</v>
      </c>
      <c r="BY917" s="1">
        <v>7505.624</v>
      </c>
      <c r="BZ917" s="1">
        <v>8251.083</v>
      </c>
      <c r="CA917" s="1">
        <v>17968.947</v>
      </c>
      <c r="CB917" s="1">
        <v>676.0</v>
      </c>
      <c r="CC917" s="1">
        <v>0.0</v>
      </c>
      <c r="CD917" s="1">
        <v>651750.0</v>
      </c>
      <c r="CE917" s="1">
        <v>1800.0</v>
      </c>
      <c r="CF917" s="1">
        <v>174.0</v>
      </c>
      <c r="CG917" s="1">
        <v>2301082.0</v>
      </c>
      <c r="CH917" s="1">
        <v>32420.0</v>
      </c>
      <c r="CI917" s="1">
        <v>2.0</v>
      </c>
      <c r="CJ917" s="1">
        <v>92431.0</v>
      </c>
      <c r="CK917" s="1">
        <v>26.0</v>
      </c>
      <c r="CL917" s="1">
        <v>118293.0</v>
      </c>
      <c r="CM917" s="1">
        <v>43.0</v>
      </c>
      <c r="CN917" s="1">
        <v>1747801.0</v>
      </c>
      <c r="CO917" s="1">
        <v>68.0</v>
      </c>
      <c r="CP917" s="1">
        <v>284722.0</v>
      </c>
      <c r="CQ917" s="1">
        <v>6.0</v>
      </c>
      <c r="CR917" s="1">
        <v>0.0</v>
      </c>
      <c r="CS917" s="1">
        <v>0.0</v>
      </c>
      <c r="CT917" s="1">
        <v>25415.0</v>
      </c>
      <c r="CU917" s="1">
        <v>29.0</v>
      </c>
      <c r="CV917" s="1">
        <v>1505958.0</v>
      </c>
      <c r="CW917" s="1">
        <v>73.0</v>
      </c>
      <c r="DC917" s="1">
        <v>150.0</v>
      </c>
      <c r="DD917" s="1">
        <v>5075.0</v>
      </c>
      <c r="DE917" s="1">
        <v>0.0</v>
      </c>
      <c r="DF917" s="1">
        <v>3396.0</v>
      </c>
      <c r="DG917" s="1">
        <v>600.0</v>
      </c>
      <c r="DH917" s="1">
        <v>50529.0</v>
      </c>
      <c r="DI917" s="1">
        <v>1050.0</v>
      </c>
      <c r="DJ917" s="1">
        <v>592750.0</v>
      </c>
      <c r="DK917" s="1">
        <v>2082.072</v>
      </c>
      <c r="DL917" s="1" t="s">
        <v>975</v>
      </c>
      <c r="DM917" s="1">
        <v>3748.156</v>
      </c>
      <c r="DN917" s="1" t="s">
        <v>975</v>
      </c>
      <c r="DO917" s="1">
        <v>2300384.0</v>
      </c>
      <c r="DP917" s="1">
        <v>1.0</v>
      </c>
      <c r="DQ917" s="1" t="s">
        <v>976</v>
      </c>
      <c r="DR917" s="1" t="s">
        <v>1151</v>
      </c>
      <c r="DS917" s="1" t="s">
        <v>978</v>
      </c>
      <c r="DT917" s="1" t="s">
        <v>979</v>
      </c>
      <c r="DU917" s="1" t="s">
        <v>980</v>
      </c>
      <c r="DV917" s="1">
        <v>13547.0</v>
      </c>
      <c r="DX917" s="1">
        <v>4105.0</v>
      </c>
      <c r="DY917" s="1">
        <v>630074.0</v>
      </c>
      <c r="DZ917" s="1" t="s">
        <v>981</v>
      </c>
      <c r="EA917" s="1">
        <v>918.0</v>
      </c>
      <c r="EB917" s="1">
        <v>4453.0</v>
      </c>
      <c r="EC917" s="1">
        <v>23.0</v>
      </c>
      <c r="ED917" s="1">
        <v>26492.0</v>
      </c>
      <c r="EF917" s="1">
        <v>205.0</v>
      </c>
      <c r="EG917" s="1" t="s">
        <v>982</v>
      </c>
      <c r="EH917" s="1">
        <v>100.0</v>
      </c>
      <c r="EK917" s="1">
        <v>100.0</v>
      </c>
      <c r="EQ917" s="9" t="s">
        <v>3523</v>
      </c>
      <c r="ER917" s="21">
        <v>46045.29976851852</v>
      </c>
    </row>
    <row r="918">
      <c r="A918" s="9" t="s">
        <v>3528</v>
      </c>
      <c r="B918" s="20" t="str">
        <f>IFERROR(__xludf.DUMMYFUNCTION("REGEXREPLACE(A918, ""^https?://[^/]+"", """")"),"/wp-content/uploads/2021/02/thumb-mfg-cs.jpg")</f>
        <v>/wp-content/uploads/2021/02/thumb-mfg-cs.jpg</v>
      </c>
      <c r="F918" s="1" t="s">
        <v>1004</v>
      </c>
      <c r="G918" s="1">
        <v>200.0</v>
      </c>
      <c r="H918" s="1" t="s">
        <v>966</v>
      </c>
      <c r="I918" s="1" t="s">
        <v>967</v>
      </c>
      <c r="L918" s="1">
        <v>0.0</v>
      </c>
      <c r="M918" s="1">
        <v>0.0</v>
      </c>
      <c r="O918" s="1">
        <v>0.0</v>
      </c>
      <c r="P918" s="1">
        <v>0.0</v>
      </c>
      <c r="R918" s="1">
        <v>0.0</v>
      </c>
      <c r="S918" s="1">
        <v>0.0</v>
      </c>
      <c r="U918" s="1">
        <v>0.0</v>
      </c>
      <c r="W918" s="1">
        <v>0.0</v>
      </c>
      <c r="Y918" s="1">
        <v>0.0</v>
      </c>
      <c r="AA918" s="1">
        <v>0.0</v>
      </c>
      <c r="AC918" s="1">
        <v>0.0</v>
      </c>
      <c r="AM918" s="1">
        <v>163353.0</v>
      </c>
      <c r="AN918" s="1">
        <v>163353.0</v>
      </c>
      <c r="AO918" s="1">
        <v>163353.0</v>
      </c>
      <c r="AP918" s="1">
        <v>62.577</v>
      </c>
      <c r="AR918" s="1">
        <v>0.0</v>
      </c>
      <c r="AW918" s="1">
        <v>0.0</v>
      </c>
      <c r="AX918" s="1">
        <v>2.0</v>
      </c>
      <c r="AY918" s="1">
        <v>4.0</v>
      </c>
      <c r="BA918" s="1">
        <v>0.0</v>
      </c>
      <c r="BB918" s="1">
        <v>0.0</v>
      </c>
      <c r="BC918" s="1">
        <v>0.0</v>
      </c>
      <c r="BD918" s="1">
        <v>0.0</v>
      </c>
      <c r="BE918" s="1">
        <v>0.0</v>
      </c>
      <c r="BF918" s="1">
        <v>0.0</v>
      </c>
      <c r="BG918" s="1">
        <v>0.0</v>
      </c>
      <c r="BH918" s="1">
        <v>0.0</v>
      </c>
      <c r="BI918" s="1">
        <v>0.0</v>
      </c>
      <c r="BJ918" s="1">
        <v>0.0</v>
      </c>
      <c r="BP918" s="1">
        <v>0.263</v>
      </c>
      <c r="BQ918" s="1" t="s">
        <v>3529</v>
      </c>
      <c r="BV918" s="1">
        <v>1.1</v>
      </c>
      <c r="EQ918" s="9" t="s">
        <v>3528</v>
      </c>
      <c r="ER918" s="21">
        <v>46045.299780092595</v>
      </c>
    </row>
    <row r="919">
      <c r="A919" s="9" t="s">
        <v>3530</v>
      </c>
      <c r="B919" s="20" t="str">
        <f>IFERROR(__xludf.DUMMYFUNCTION("REGEXREPLACE(A919, ""^https?://[^/]+"", """")"),"/case-study/alarm-and-security/")</f>
        <v>/case-study/alarm-and-security/</v>
      </c>
      <c r="C919" s="1" t="s">
        <v>3531</v>
      </c>
      <c r="D919" s="1" t="s">
        <v>1050</v>
      </c>
      <c r="E919" s="1" t="s">
        <v>1051</v>
      </c>
      <c r="F919" s="1" t="s">
        <v>965</v>
      </c>
      <c r="G919" s="1">
        <v>200.0</v>
      </c>
      <c r="H919" s="1" t="s">
        <v>966</v>
      </c>
      <c r="I919" s="1" t="s">
        <v>967</v>
      </c>
      <c r="K919" s="1" t="s">
        <v>3532</v>
      </c>
      <c r="L919" s="1">
        <v>104.0</v>
      </c>
      <c r="M919" s="1">
        <v>947.0</v>
      </c>
      <c r="O919" s="1">
        <v>0.0</v>
      </c>
      <c r="P919" s="1">
        <v>0.0</v>
      </c>
      <c r="Q919" s="1" t="s">
        <v>3533</v>
      </c>
      <c r="R919" s="1">
        <v>158.0</v>
      </c>
      <c r="S919" s="1">
        <v>1008.0</v>
      </c>
      <c r="U919" s="1">
        <v>0.0</v>
      </c>
      <c r="V919" s="1" t="s">
        <v>3531</v>
      </c>
      <c r="W919" s="1">
        <v>66.0</v>
      </c>
      <c r="Y919" s="1">
        <v>0.0</v>
      </c>
      <c r="Z919" s="1" t="s">
        <v>1050</v>
      </c>
      <c r="AA919" s="1">
        <v>17.0</v>
      </c>
      <c r="AB919" s="1" t="s">
        <v>1051</v>
      </c>
      <c r="AC919" s="1">
        <v>11.0</v>
      </c>
      <c r="AD919" s="1" t="s">
        <v>971</v>
      </c>
      <c r="AG919" s="9" t="s">
        <v>3530</v>
      </c>
      <c r="AM919" s="1">
        <v>179628.0</v>
      </c>
      <c r="AN919" s="1">
        <v>31460.0</v>
      </c>
      <c r="AO919" s="1">
        <v>31460.0</v>
      </c>
      <c r="AP919" s="1">
        <v>12.052</v>
      </c>
      <c r="AR919" s="1">
        <v>843.0</v>
      </c>
      <c r="AS919" s="1">
        <v>141.0</v>
      </c>
      <c r="AT919" s="1">
        <v>5.979</v>
      </c>
      <c r="AU919" s="1">
        <v>57.659</v>
      </c>
      <c r="AV919" s="1" t="s">
        <v>972</v>
      </c>
      <c r="AW919" s="1">
        <v>4.295</v>
      </c>
      <c r="AX919" s="1">
        <v>2.0</v>
      </c>
      <c r="AY919" s="1">
        <v>2.0</v>
      </c>
      <c r="AZ919" s="1">
        <v>1.0</v>
      </c>
      <c r="BA919" s="1">
        <v>4.0</v>
      </c>
      <c r="BB919" s="1">
        <v>2.0</v>
      </c>
      <c r="BC919" s="1">
        <v>0.0</v>
      </c>
      <c r="BD919" s="1">
        <v>0.27</v>
      </c>
      <c r="BE919" s="1">
        <v>129.0</v>
      </c>
      <c r="BF919" s="1">
        <v>48.0</v>
      </c>
      <c r="BG919" s="1">
        <v>0.0</v>
      </c>
      <c r="BH919" s="1">
        <v>16.0</v>
      </c>
      <c r="BI919" s="1">
        <v>8.0</v>
      </c>
      <c r="BJ919" s="1">
        <v>0.0</v>
      </c>
      <c r="BO919" s="1" t="s">
        <v>3534</v>
      </c>
      <c r="BP919" s="1">
        <v>0.959</v>
      </c>
      <c r="BU919" s="1" t="s">
        <v>974</v>
      </c>
      <c r="BV919" s="1">
        <v>1.1</v>
      </c>
      <c r="BW919" s="1">
        <v>53.0</v>
      </c>
      <c r="BX919" s="1">
        <v>4051.027</v>
      </c>
      <c r="BY919" s="1">
        <v>6328.911</v>
      </c>
      <c r="BZ919" s="1">
        <v>8851.062</v>
      </c>
      <c r="CA919" s="1">
        <v>17976.275</v>
      </c>
      <c r="CB919" s="1">
        <v>366.5</v>
      </c>
      <c r="CC919" s="1">
        <v>0.0</v>
      </c>
      <c r="CD919" s="1">
        <v>652189.0</v>
      </c>
      <c r="CE919" s="1">
        <v>1350.0</v>
      </c>
      <c r="CF919" s="1">
        <v>167.0</v>
      </c>
      <c r="CG919" s="1">
        <v>2295623.0</v>
      </c>
      <c r="CH919" s="1">
        <v>32462.0</v>
      </c>
      <c r="CI919" s="1">
        <v>2.0</v>
      </c>
      <c r="CJ919" s="1">
        <v>86823.0</v>
      </c>
      <c r="CK919" s="1">
        <v>20.0</v>
      </c>
      <c r="CL919" s="1">
        <v>118286.0</v>
      </c>
      <c r="CM919" s="1">
        <v>43.0</v>
      </c>
      <c r="CN919" s="1">
        <v>1748235.0</v>
      </c>
      <c r="CO919" s="1">
        <v>68.0</v>
      </c>
      <c r="CP919" s="1">
        <v>284722.0</v>
      </c>
      <c r="CQ919" s="1">
        <v>6.0</v>
      </c>
      <c r="CR919" s="1">
        <v>0.0</v>
      </c>
      <c r="CS919" s="1">
        <v>0.0</v>
      </c>
      <c r="CT919" s="1">
        <v>25095.0</v>
      </c>
      <c r="CU919" s="1">
        <v>28.0</v>
      </c>
      <c r="CV919" s="1">
        <v>1504666.0</v>
      </c>
      <c r="CW919" s="1">
        <v>66.0</v>
      </c>
      <c r="DC919" s="1">
        <v>0.0</v>
      </c>
      <c r="DD919" s="1">
        <v>5077.0</v>
      </c>
      <c r="DE919" s="1">
        <v>0.0</v>
      </c>
      <c r="DF919" s="1">
        <v>3396.0</v>
      </c>
      <c r="DG919" s="1">
        <v>450.0</v>
      </c>
      <c r="DH919" s="1">
        <v>50534.0</v>
      </c>
      <c r="DI919" s="1">
        <v>900.0</v>
      </c>
      <c r="DJ919" s="1">
        <v>593182.0</v>
      </c>
      <c r="DK919" s="1">
        <v>1581.943</v>
      </c>
      <c r="DL919" s="1" t="s">
        <v>975</v>
      </c>
      <c r="DM919" s="1">
        <v>2911.552</v>
      </c>
      <c r="DN919" s="1" t="s">
        <v>975</v>
      </c>
      <c r="DO919" s="1">
        <v>2294744.0</v>
      </c>
      <c r="DP919" s="1">
        <v>1.0</v>
      </c>
      <c r="DQ919" s="1" t="s">
        <v>976</v>
      </c>
      <c r="DR919" s="1" t="s">
        <v>1055</v>
      </c>
      <c r="DS919" s="1" t="s">
        <v>978</v>
      </c>
      <c r="DT919" s="1" t="s">
        <v>979</v>
      </c>
      <c r="DU919" s="1" t="s">
        <v>980</v>
      </c>
      <c r="DV919" s="1">
        <v>13847.0</v>
      </c>
      <c r="DX919" s="1">
        <v>3528.0</v>
      </c>
      <c r="DY919" s="1">
        <v>626796.0</v>
      </c>
      <c r="EA919" s="1">
        <v>903.0</v>
      </c>
      <c r="EB919" s="1">
        <v>4453.0</v>
      </c>
      <c r="EC919" s="1">
        <v>1.0</v>
      </c>
      <c r="ED919" s="1">
        <v>26492.0</v>
      </c>
      <c r="EF919" s="1">
        <v>215.0</v>
      </c>
      <c r="EG919" s="1" t="s">
        <v>982</v>
      </c>
      <c r="EH919" s="1">
        <v>100.0</v>
      </c>
      <c r="EK919" s="1">
        <v>100.0</v>
      </c>
      <c r="EQ919" s="9" t="s">
        <v>3530</v>
      </c>
      <c r="ER919" s="21">
        <v>46045.299780092595</v>
      </c>
    </row>
    <row r="920">
      <c r="A920" s="9" t="s">
        <v>3535</v>
      </c>
      <c r="B920" s="20" t="str">
        <f>IFERROR(__xludf.DUMMYFUNCTION("REGEXREPLACE(A920, ""^https?://[^/]+"", """")"),"/wp-content/uploads/2020/02/foodagthumb.jpg")</f>
        <v>/wp-content/uploads/2020/02/foodagthumb.jpg</v>
      </c>
      <c r="F920" s="1" t="s">
        <v>1004</v>
      </c>
      <c r="G920" s="1">
        <v>200.0</v>
      </c>
      <c r="H920" s="1" t="s">
        <v>966</v>
      </c>
      <c r="I920" s="1" t="s">
        <v>967</v>
      </c>
      <c r="L920" s="1">
        <v>0.0</v>
      </c>
      <c r="M920" s="1">
        <v>0.0</v>
      </c>
      <c r="O920" s="1">
        <v>0.0</v>
      </c>
      <c r="P920" s="1">
        <v>0.0</v>
      </c>
      <c r="R920" s="1">
        <v>0.0</v>
      </c>
      <c r="S920" s="1">
        <v>0.0</v>
      </c>
      <c r="U920" s="1">
        <v>0.0</v>
      </c>
      <c r="W920" s="1">
        <v>0.0</v>
      </c>
      <c r="Y920" s="1">
        <v>0.0</v>
      </c>
      <c r="AA920" s="1">
        <v>0.0</v>
      </c>
      <c r="AC920" s="1">
        <v>0.0</v>
      </c>
      <c r="AM920" s="1">
        <v>63780.0</v>
      </c>
      <c r="AN920" s="1">
        <v>63780.0</v>
      </c>
      <c r="AO920" s="1">
        <v>63780.0</v>
      </c>
      <c r="AP920" s="1">
        <v>24.433</v>
      </c>
      <c r="AR920" s="1">
        <v>0.0</v>
      </c>
      <c r="AW920" s="1">
        <v>0.0</v>
      </c>
      <c r="AX920" s="1">
        <v>2.0</v>
      </c>
      <c r="AY920" s="1">
        <v>4.0</v>
      </c>
      <c r="BA920" s="1">
        <v>0.0</v>
      </c>
      <c r="BB920" s="1">
        <v>0.0</v>
      </c>
      <c r="BC920" s="1">
        <v>0.0</v>
      </c>
      <c r="BD920" s="1">
        <v>0.0</v>
      </c>
      <c r="BE920" s="1">
        <v>0.0</v>
      </c>
      <c r="BF920" s="1">
        <v>0.0</v>
      </c>
      <c r="BG920" s="1">
        <v>0.0</v>
      </c>
      <c r="BH920" s="1">
        <v>0.0</v>
      </c>
      <c r="BI920" s="1">
        <v>0.0</v>
      </c>
      <c r="BJ920" s="1">
        <v>0.0</v>
      </c>
      <c r="BP920" s="1">
        <v>0.271</v>
      </c>
      <c r="BQ920" s="1" t="s">
        <v>3536</v>
      </c>
      <c r="BV920" s="1">
        <v>1.1</v>
      </c>
      <c r="EQ920" s="9" t="s">
        <v>3535</v>
      </c>
      <c r="ER920" s="21">
        <v>46045.299791666665</v>
      </c>
    </row>
    <row r="921">
      <c r="A921" s="9" t="s">
        <v>3537</v>
      </c>
      <c r="B921" s="20" t="str">
        <f>IFERROR(__xludf.DUMMYFUNCTION("REGEXREPLACE(A921, ""^https?://[^/]+"", """")"),"/case-study/logistics/")</f>
        <v>/case-study/logistics/</v>
      </c>
      <c r="C921" s="1" t="s">
        <v>3538</v>
      </c>
      <c r="F921" s="1" t="s">
        <v>965</v>
      </c>
      <c r="G921" s="1">
        <v>200.0</v>
      </c>
      <c r="H921" s="1" t="s">
        <v>966</v>
      </c>
      <c r="I921" s="1" t="s">
        <v>967</v>
      </c>
      <c r="K921" s="1" t="s">
        <v>3539</v>
      </c>
      <c r="L921" s="1">
        <v>72.0</v>
      </c>
      <c r="M921" s="1">
        <v>685.0</v>
      </c>
      <c r="O921" s="1">
        <v>0.0</v>
      </c>
      <c r="P921" s="1">
        <v>0.0</v>
      </c>
      <c r="Q921" s="1" t="s">
        <v>3540</v>
      </c>
      <c r="R921" s="1">
        <v>161.0</v>
      </c>
      <c r="S921" s="1">
        <v>994.0</v>
      </c>
      <c r="U921" s="1">
        <v>0.0</v>
      </c>
      <c r="V921" s="1" t="s">
        <v>3538</v>
      </c>
      <c r="W921" s="1">
        <v>63.0</v>
      </c>
      <c r="Y921" s="1">
        <v>0.0</v>
      </c>
      <c r="AA921" s="1">
        <v>0.0</v>
      </c>
      <c r="AC921" s="1">
        <v>0.0</v>
      </c>
      <c r="AD921" s="1" t="s">
        <v>971</v>
      </c>
      <c r="AG921" s="9" t="s">
        <v>3537</v>
      </c>
      <c r="AM921" s="1">
        <v>162548.0</v>
      </c>
      <c r="AN921" s="1">
        <v>30512.0</v>
      </c>
      <c r="AO921" s="1">
        <v>30512.0</v>
      </c>
      <c r="AP921" s="1">
        <v>11.689</v>
      </c>
      <c r="AR921" s="1">
        <v>579.0</v>
      </c>
      <c r="AS921" s="1">
        <v>101.0</v>
      </c>
      <c r="AT921" s="1">
        <v>5.733</v>
      </c>
      <c r="AU921" s="1">
        <v>58.701</v>
      </c>
      <c r="AV921" s="1" t="s">
        <v>972</v>
      </c>
      <c r="AW921" s="1">
        <v>3.695</v>
      </c>
      <c r="AX921" s="1">
        <v>2.0</v>
      </c>
      <c r="AY921" s="1">
        <v>2.0</v>
      </c>
      <c r="AZ921" s="1">
        <v>1.0</v>
      </c>
      <c r="BA921" s="1">
        <v>6.0</v>
      </c>
      <c r="BB921" s="1">
        <v>4.0</v>
      </c>
      <c r="BC921" s="1">
        <v>0.0</v>
      </c>
      <c r="BD921" s="1">
        <v>0.53</v>
      </c>
      <c r="BE921" s="1">
        <v>125.0</v>
      </c>
      <c r="BF921" s="1">
        <v>45.0</v>
      </c>
      <c r="BG921" s="1">
        <v>0.0</v>
      </c>
      <c r="BH921" s="1">
        <v>16.0</v>
      </c>
      <c r="BI921" s="1">
        <v>8.0</v>
      </c>
      <c r="BJ921" s="1">
        <v>0.0</v>
      </c>
      <c r="BO921" s="1" t="s">
        <v>3541</v>
      </c>
      <c r="BP921" s="1">
        <v>0.946</v>
      </c>
      <c r="BU921" s="1" t="s">
        <v>974</v>
      </c>
      <c r="BV921" s="1">
        <v>1.1</v>
      </c>
      <c r="BW921" s="1">
        <v>56.0</v>
      </c>
      <c r="BX921" s="1">
        <v>3451.03</v>
      </c>
      <c r="BY921" s="1">
        <v>7104.195</v>
      </c>
      <c r="BZ921" s="1">
        <v>10951.103</v>
      </c>
      <c r="CA921" s="1">
        <v>17846.893</v>
      </c>
      <c r="CB921" s="1">
        <v>278.0</v>
      </c>
      <c r="CC921" s="1">
        <v>0.0</v>
      </c>
      <c r="CD921" s="1">
        <v>651789.0</v>
      </c>
      <c r="CE921" s="1">
        <v>1650.0</v>
      </c>
      <c r="CF921" s="1">
        <v>173.0</v>
      </c>
      <c r="CG921" s="1">
        <v>2388740.0</v>
      </c>
      <c r="CH921" s="1">
        <v>31356.0</v>
      </c>
      <c r="CI921" s="1">
        <v>2.0</v>
      </c>
      <c r="CJ921" s="1">
        <v>182622.0</v>
      </c>
      <c r="CK921" s="1">
        <v>28.0</v>
      </c>
      <c r="CL921" s="1">
        <v>116789.0</v>
      </c>
      <c r="CM921" s="1">
        <v>41.0</v>
      </c>
      <c r="CN921" s="1">
        <v>1747950.0</v>
      </c>
      <c r="CO921" s="1">
        <v>68.0</v>
      </c>
      <c r="CP921" s="1">
        <v>284722.0</v>
      </c>
      <c r="CQ921" s="1">
        <v>6.0</v>
      </c>
      <c r="CR921" s="1">
        <v>0.0</v>
      </c>
      <c r="CS921" s="1">
        <v>0.0</v>
      </c>
      <c r="CT921" s="1">
        <v>25301.0</v>
      </c>
      <c r="CU921" s="1">
        <v>28.0</v>
      </c>
      <c r="CV921" s="1">
        <v>1505729.0</v>
      </c>
      <c r="CW921" s="1">
        <v>67.0</v>
      </c>
      <c r="DC921" s="1">
        <v>0.0</v>
      </c>
      <c r="DD921" s="1">
        <v>5075.0</v>
      </c>
      <c r="DE921" s="1">
        <v>0.0</v>
      </c>
      <c r="DF921" s="1">
        <v>3396.0</v>
      </c>
      <c r="DG921" s="1">
        <v>450.0</v>
      </c>
      <c r="DH921" s="1">
        <v>50604.0</v>
      </c>
      <c r="DI921" s="1">
        <v>1200.0</v>
      </c>
      <c r="DJ921" s="1">
        <v>592714.0</v>
      </c>
      <c r="DK921" s="1">
        <v>1588.864</v>
      </c>
      <c r="DL921" s="1" t="s">
        <v>975</v>
      </c>
      <c r="DM921" s="1">
        <v>2938.646</v>
      </c>
      <c r="DN921" s="1" t="s">
        <v>975</v>
      </c>
      <c r="DO921" s="1">
        <v>2387693.0</v>
      </c>
      <c r="DP921" s="1">
        <v>1.0</v>
      </c>
      <c r="DQ921" s="1" t="s">
        <v>976</v>
      </c>
      <c r="DR921" s="1" t="s">
        <v>1064</v>
      </c>
      <c r="DS921" s="1" t="s">
        <v>978</v>
      </c>
      <c r="DU921" s="1" t="s">
        <v>980</v>
      </c>
      <c r="DV921" s="1">
        <v>13273.0</v>
      </c>
      <c r="DW921" s="1">
        <v>303.0</v>
      </c>
      <c r="DX921" s="1">
        <v>3713.0</v>
      </c>
      <c r="DY921" s="1">
        <v>664100.0</v>
      </c>
      <c r="DZ921" s="1" t="s">
        <v>981</v>
      </c>
      <c r="EA921" s="1">
        <v>779.0</v>
      </c>
      <c r="EB921" s="1">
        <v>4216.0</v>
      </c>
      <c r="EC921" s="1">
        <v>1.0</v>
      </c>
      <c r="ED921" s="1">
        <v>26492.0</v>
      </c>
      <c r="EF921" s="1">
        <v>215.0</v>
      </c>
      <c r="EG921" s="1" t="s">
        <v>982</v>
      </c>
      <c r="EH921" s="1">
        <v>100.0</v>
      </c>
      <c r="EK921" s="1">
        <v>100.0</v>
      </c>
      <c r="EQ921" s="9" t="s">
        <v>3537</v>
      </c>
      <c r="ER921" s="21">
        <v>46045.299780092595</v>
      </c>
    </row>
    <row r="922">
      <c r="A922" s="9" t="s">
        <v>3542</v>
      </c>
      <c r="B922" s="20" t="str">
        <f>IFERROR(__xludf.DUMMYFUNCTION("REGEXREPLACE(A922, ""^https?://[^/]+"", """")"),"/wp-content/uploads/2022/06/thumb-Case-Study_Security_SX-1.jpg")</f>
        <v>/wp-content/uploads/2022/06/thumb-Case-Study_Security_SX-1.jpg</v>
      </c>
      <c r="F922" s="1" t="s">
        <v>1004</v>
      </c>
      <c r="G922" s="1">
        <v>200.0</v>
      </c>
      <c r="H922" s="1" t="s">
        <v>966</v>
      </c>
      <c r="I922" s="1" t="s">
        <v>967</v>
      </c>
      <c r="L922" s="1">
        <v>0.0</v>
      </c>
      <c r="M922" s="1">
        <v>0.0</v>
      </c>
      <c r="O922" s="1">
        <v>0.0</v>
      </c>
      <c r="P922" s="1">
        <v>0.0</v>
      </c>
      <c r="R922" s="1">
        <v>0.0</v>
      </c>
      <c r="S922" s="1">
        <v>0.0</v>
      </c>
      <c r="U922" s="1">
        <v>0.0</v>
      </c>
      <c r="W922" s="1">
        <v>0.0</v>
      </c>
      <c r="Y922" s="1">
        <v>0.0</v>
      </c>
      <c r="AA922" s="1">
        <v>0.0</v>
      </c>
      <c r="AC922" s="1">
        <v>0.0</v>
      </c>
      <c r="AM922" s="1">
        <v>175858.0</v>
      </c>
      <c r="AN922" s="1">
        <v>175858.0</v>
      </c>
      <c r="AO922" s="1">
        <v>175858.0</v>
      </c>
      <c r="AP922" s="1">
        <v>67.368</v>
      </c>
      <c r="AR922" s="1">
        <v>0.0</v>
      </c>
      <c r="AW922" s="1">
        <v>0.0</v>
      </c>
      <c r="AX922" s="1">
        <v>2.0</v>
      </c>
      <c r="AY922" s="1">
        <v>4.0</v>
      </c>
      <c r="BA922" s="1">
        <v>0.0</v>
      </c>
      <c r="BB922" s="1">
        <v>0.0</v>
      </c>
      <c r="BC922" s="1">
        <v>0.0</v>
      </c>
      <c r="BD922" s="1">
        <v>0.0</v>
      </c>
      <c r="BE922" s="1">
        <v>0.0</v>
      </c>
      <c r="BF922" s="1">
        <v>0.0</v>
      </c>
      <c r="BG922" s="1">
        <v>0.0</v>
      </c>
      <c r="BH922" s="1">
        <v>0.0</v>
      </c>
      <c r="BI922" s="1">
        <v>0.0</v>
      </c>
      <c r="BJ922" s="1">
        <v>0.0</v>
      </c>
      <c r="BP922" s="1">
        <v>0.267</v>
      </c>
      <c r="BQ922" s="1" t="s">
        <v>3543</v>
      </c>
      <c r="BV922" s="1">
        <v>1.1</v>
      </c>
      <c r="EQ922" s="9" t="s">
        <v>3542</v>
      </c>
      <c r="ER922" s="21">
        <v>46045.299791666665</v>
      </c>
    </row>
    <row r="923">
      <c r="A923" s="9" t="s">
        <v>3544</v>
      </c>
      <c r="B923" s="20" t="str">
        <f>IFERROR(__xludf.DUMMYFUNCTION("REGEXREPLACE(A923, ""^https?://[^/]+"", """")"),"/wp-content/uploads/2020/01/tech-thumb.jpg")</f>
        <v>/wp-content/uploads/2020/01/tech-thumb.jpg</v>
      </c>
      <c r="F923" s="1" t="s">
        <v>1004</v>
      </c>
      <c r="G923" s="1">
        <v>200.0</v>
      </c>
      <c r="H923" s="1" t="s">
        <v>966</v>
      </c>
      <c r="I923" s="1" t="s">
        <v>967</v>
      </c>
      <c r="L923" s="1">
        <v>0.0</v>
      </c>
      <c r="M923" s="1">
        <v>0.0</v>
      </c>
      <c r="O923" s="1">
        <v>0.0</v>
      </c>
      <c r="P923" s="1">
        <v>0.0</v>
      </c>
      <c r="R923" s="1">
        <v>0.0</v>
      </c>
      <c r="S923" s="1">
        <v>0.0</v>
      </c>
      <c r="U923" s="1">
        <v>0.0</v>
      </c>
      <c r="W923" s="1">
        <v>0.0</v>
      </c>
      <c r="Y923" s="1">
        <v>0.0</v>
      </c>
      <c r="AA923" s="1">
        <v>0.0</v>
      </c>
      <c r="AC923" s="1">
        <v>0.0</v>
      </c>
      <c r="AM923" s="1">
        <v>79568.0</v>
      </c>
      <c r="AN923" s="1">
        <v>79568.0</v>
      </c>
      <c r="AO923" s="1">
        <v>79568.0</v>
      </c>
      <c r="AP923" s="1">
        <v>30.481</v>
      </c>
      <c r="AR923" s="1">
        <v>0.0</v>
      </c>
      <c r="AW923" s="1">
        <v>0.0</v>
      </c>
      <c r="AX923" s="1">
        <v>2.0</v>
      </c>
      <c r="AY923" s="1">
        <v>4.0</v>
      </c>
      <c r="BA923" s="1">
        <v>0.0</v>
      </c>
      <c r="BB923" s="1">
        <v>0.0</v>
      </c>
      <c r="BC923" s="1">
        <v>0.0</v>
      </c>
      <c r="BD923" s="1">
        <v>0.0</v>
      </c>
      <c r="BE923" s="1">
        <v>0.0</v>
      </c>
      <c r="BF923" s="1">
        <v>0.0</v>
      </c>
      <c r="BG923" s="1">
        <v>0.0</v>
      </c>
      <c r="BH923" s="1">
        <v>0.0</v>
      </c>
      <c r="BI923" s="1">
        <v>0.0</v>
      </c>
      <c r="BJ923" s="1">
        <v>0.0</v>
      </c>
      <c r="BP923" s="1">
        <v>0.27</v>
      </c>
      <c r="BQ923" s="1" t="s">
        <v>3545</v>
      </c>
      <c r="BV923" s="1">
        <v>1.1</v>
      </c>
      <c r="EQ923" s="9" t="s">
        <v>3544</v>
      </c>
      <c r="ER923" s="21">
        <v>46045.299791666665</v>
      </c>
    </row>
    <row r="924">
      <c r="A924" s="9" t="s">
        <v>3546</v>
      </c>
      <c r="B924" s="20" t="str">
        <f>IFERROR(__xludf.DUMMYFUNCTION("REGEXREPLACE(A924, ""^https?://[^/]+"", """")"),"/wp-content/uploads/2019/03/marketing-case-study1.jpg")</f>
        <v>/wp-content/uploads/2019/03/marketing-case-study1.jpg</v>
      </c>
      <c r="F924" s="1" t="s">
        <v>1004</v>
      </c>
      <c r="G924" s="1">
        <v>200.0</v>
      </c>
      <c r="H924" s="1" t="s">
        <v>966</v>
      </c>
      <c r="I924" s="1" t="s">
        <v>967</v>
      </c>
      <c r="L924" s="1">
        <v>0.0</v>
      </c>
      <c r="M924" s="1">
        <v>0.0</v>
      </c>
      <c r="O924" s="1">
        <v>0.0</v>
      </c>
      <c r="P924" s="1">
        <v>0.0</v>
      </c>
      <c r="R924" s="1">
        <v>0.0</v>
      </c>
      <c r="S924" s="1">
        <v>0.0</v>
      </c>
      <c r="U924" s="1">
        <v>0.0</v>
      </c>
      <c r="W924" s="1">
        <v>0.0</v>
      </c>
      <c r="Y924" s="1">
        <v>0.0</v>
      </c>
      <c r="AA924" s="1">
        <v>0.0</v>
      </c>
      <c r="AC924" s="1">
        <v>0.0</v>
      </c>
      <c r="AM924" s="1">
        <v>61183.0</v>
      </c>
      <c r="AN924" s="1">
        <v>61183.0</v>
      </c>
      <c r="AO924" s="1">
        <v>61183.0</v>
      </c>
      <c r="AP924" s="1">
        <v>23.438</v>
      </c>
      <c r="AR924" s="1">
        <v>0.0</v>
      </c>
      <c r="AW924" s="1">
        <v>0.0</v>
      </c>
      <c r="AX924" s="1">
        <v>2.0</v>
      </c>
      <c r="AY924" s="1">
        <v>4.0</v>
      </c>
      <c r="BA924" s="1">
        <v>0.0</v>
      </c>
      <c r="BB924" s="1">
        <v>0.0</v>
      </c>
      <c r="BC924" s="1">
        <v>0.0</v>
      </c>
      <c r="BD924" s="1">
        <v>0.0</v>
      </c>
      <c r="BE924" s="1">
        <v>0.0</v>
      </c>
      <c r="BF924" s="1">
        <v>0.0</v>
      </c>
      <c r="BG924" s="1">
        <v>0.0</v>
      </c>
      <c r="BH924" s="1">
        <v>0.0</v>
      </c>
      <c r="BI924" s="1">
        <v>0.0</v>
      </c>
      <c r="BJ924" s="1">
        <v>0.0</v>
      </c>
      <c r="BP924" s="1">
        <v>0.265</v>
      </c>
      <c r="BQ924" s="1" t="s">
        <v>3547</v>
      </c>
      <c r="BV924" s="1">
        <v>1.1</v>
      </c>
      <c r="EQ924" s="9" t="s">
        <v>3546</v>
      </c>
      <c r="ER924" s="21">
        <v>46045.299791666665</v>
      </c>
    </row>
    <row r="925">
      <c r="A925" s="9" t="s">
        <v>3548</v>
      </c>
      <c r="B925" s="20" t="str">
        <f>IFERROR(__xludf.DUMMYFUNCTION("REGEXREPLACE(A925, ""^https?://[^/]+"", """")"),"/case-study/driving-sales-efficiency-through-strategic-transformation/")</f>
        <v>/case-study/driving-sales-efficiency-through-strategic-transformation/</v>
      </c>
      <c r="C925" s="1" t="s">
        <v>3549</v>
      </c>
      <c r="D925" s="1" t="s">
        <v>1050</v>
      </c>
      <c r="E925" s="1" t="s">
        <v>1051</v>
      </c>
      <c r="F925" s="1" t="s">
        <v>965</v>
      </c>
      <c r="G925" s="1">
        <v>200.0</v>
      </c>
      <c r="H925" s="1" t="s">
        <v>966</v>
      </c>
      <c r="I925" s="1" t="s">
        <v>967</v>
      </c>
      <c r="K925" s="1" t="s">
        <v>3550</v>
      </c>
      <c r="L925" s="1">
        <v>120.0</v>
      </c>
      <c r="M925" s="1">
        <v>1092.0</v>
      </c>
      <c r="O925" s="1">
        <v>0.0</v>
      </c>
      <c r="P925" s="1">
        <v>0.0</v>
      </c>
      <c r="Q925" s="1" t="s">
        <v>3551</v>
      </c>
      <c r="R925" s="1">
        <v>149.0</v>
      </c>
      <c r="S925" s="1">
        <v>954.0</v>
      </c>
      <c r="U925" s="1">
        <v>0.0</v>
      </c>
      <c r="V925" s="1" t="s">
        <v>3549</v>
      </c>
      <c r="W925" s="1">
        <v>82.0</v>
      </c>
      <c r="Y925" s="1">
        <v>0.0</v>
      </c>
      <c r="Z925" s="1" t="s">
        <v>1050</v>
      </c>
      <c r="AA925" s="1">
        <v>17.0</v>
      </c>
      <c r="AB925" s="1" t="s">
        <v>1051</v>
      </c>
      <c r="AC925" s="1">
        <v>11.0</v>
      </c>
      <c r="AD925" s="1" t="s">
        <v>971</v>
      </c>
      <c r="AG925" s="9" t="s">
        <v>3548</v>
      </c>
      <c r="AM925" s="1">
        <v>184096.0</v>
      </c>
      <c r="AN925" s="1">
        <v>32173.0</v>
      </c>
      <c r="AO925" s="1">
        <v>32173.0</v>
      </c>
      <c r="AP925" s="1">
        <v>12.325</v>
      </c>
      <c r="AR925" s="1">
        <v>1029.0</v>
      </c>
      <c r="AS925" s="1">
        <v>161.0</v>
      </c>
      <c r="AT925" s="1">
        <v>6.391</v>
      </c>
      <c r="AU925" s="1">
        <v>54.908</v>
      </c>
      <c r="AV925" s="1" t="s">
        <v>972</v>
      </c>
      <c r="AW925" s="1">
        <v>4.89</v>
      </c>
      <c r="AX925" s="1">
        <v>2.0</v>
      </c>
      <c r="AY925" s="1">
        <v>2.0</v>
      </c>
      <c r="AZ925" s="1">
        <v>1.0</v>
      </c>
      <c r="BA925" s="1">
        <v>4.0</v>
      </c>
      <c r="BB925" s="1">
        <v>2.0</v>
      </c>
      <c r="BC925" s="1">
        <v>0.0</v>
      </c>
      <c r="BD925" s="1">
        <v>0.27</v>
      </c>
      <c r="BE925" s="1">
        <v>129.0</v>
      </c>
      <c r="BF925" s="1">
        <v>48.0</v>
      </c>
      <c r="BG925" s="1">
        <v>0.0</v>
      </c>
      <c r="BH925" s="1">
        <v>16.0</v>
      </c>
      <c r="BI925" s="1">
        <v>8.0</v>
      </c>
      <c r="BJ925" s="1">
        <v>0.0</v>
      </c>
      <c r="BO925" s="1" t="s">
        <v>3552</v>
      </c>
      <c r="BP925" s="1">
        <v>0.98</v>
      </c>
      <c r="BU925" s="1" t="s">
        <v>974</v>
      </c>
      <c r="BV925" s="1">
        <v>1.1</v>
      </c>
      <c r="EQ925" s="9" t="s">
        <v>3548</v>
      </c>
      <c r="ER925" s="21">
        <v>46045.299780092595</v>
      </c>
    </row>
    <row r="926">
      <c r="A926" s="9" t="s">
        <v>3553</v>
      </c>
      <c r="B926" s="20" t="str">
        <f>IFERROR(__xludf.DUMMYFUNCTION("REGEXREPLACE(A926, ""^https?://[^/]+"", """")"),"/wp-content/uploads/2022/05/thumb-Case-Study_Food-Industry_SX-1.jpg")</f>
        <v>/wp-content/uploads/2022/05/thumb-Case-Study_Food-Industry_SX-1.jpg</v>
      </c>
      <c r="F926" s="1" t="s">
        <v>1004</v>
      </c>
      <c r="G926" s="1">
        <v>200.0</v>
      </c>
      <c r="H926" s="1" t="s">
        <v>966</v>
      </c>
      <c r="I926" s="1" t="s">
        <v>967</v>
      </c>
      <c r="L926" s="1">
        <v>0.0</v>
      </c>
      <c r="M926" s="1">
        <v>0.0</v>
      </c>
      <c r="O926" s="1">
        <v>0.0</v>
      </c>
      <c r="P926" s="1">
        <v>0.0</v>
      </c>
      <c r="R926" s="1">
        <v>0.0</v>
      </c>
      <c r="S926" s="1">
        <v>0.0</v>
      </c>
      <c r="U926" s="1">
        <v>0.0</v>
      </c>
      <c r="W926" s="1">
        <v>0.0</v>
      </c>
      <c r="Y926" s="1">
        <v>0.0</v>
      </c>
      <c r="AA926" s="1">
        <v>0.0</v>
      </c>
      <c r="AC926" s="1">
        <v>0.0</v>
      </c>
      <c r="AM926" s="1">
        <v>290183.0</v>
      </c>
      <c r="AN926" s="1">
        <v>290183.0</v>
      </c>
      <c r="AO926" s="1">
        <v>290183.0</v>
      </c>
      <c r="AP926" s="1">
        <v>111.164</v>
      </c>
      <c r="AR926" s="1">
        <v>0.0</v>
      </c>
      <c r="AW926" s="1">
        <v>0.0</v>
      </c>
      <c r="AX926" s="1">
        <v>2.0</v>
      </c>
      <c r="AY926" s="1">
        <v>4.0</v>
      </c>
      <c r="BA926" s="1">
        <v>0.0</v>
      </c>
      <c r="BB926" s="1">
        <v>0.0</v>
      </c>
      <c r="BC926" s="1">
        <v>0.0</v>
      </c>
      <c r="BD926" s="1">
        <v>0.0</v>
      </c>
      <c r="BE926" s="1">
        <v>0.0</v>
      </c>
      <c r="BF926" s="1">
        <v>0.0</v>
      </c>
      <c r="BG926" s="1">
        <v>0.0</v>
      </c>
      <c r="BH926" s="1">
        <v>0.0</v>
      </c>
      <c r="BI926" s="1">
        <v>0.0</v>
      </c>
      <c r="BJ926" s="1">
        <v>0.0</v>
      </c>
      <c r="BP926" s="1">
        <v>0.277</v>
      </c>
      <c r="BQ926" s="1" t="s">
        <v>3554</v>
      </c>
      <c r="BV926" s="1">
        <v>1.1</v>
      </c>
      <c r="EQ926" s="9" t="s">
        <v>3553</v>
      </c>
      <c r="ER926" s="21">
        <v>46045.299791666665</v>
      </c>
    </row>
    <row r="927">
      <c r="A927" s="9" t="s">
        <v>3555</v>
      </c>
      <c r="B927" s="20" t="str">
        <f>IFERROR(__xludf.DUMMYFUNCTION("REGEXREPLACE(A927, ""^https?://[^/]+"", """")"),"/wp-content/uploads/2021/04/Case-Study_Manufacturing_SX_041221-1.jpg")</f>
        <v>/wp-content/uploads/2021/04/Case-Study_Manufacturing_SX_041221-1.jpg</v>
      </c>
      <c r="F927" s="1" t="s">
        <v>1004</v>
      </c>
      <c r="G927" s="1">
        <v>200.0</v>
      </c>
      <c r="H927" s="1" t="s">
        <v>966</v>
      </c>
      <c r="I927" s="1" t="s">
        <v>967</v>
      </c>
      <c r="L927" s="1">
        <v>0.0</v>
      </c>
      <c r="M927" s="1">
        <v>0.0</v>
      </c>
      <c r="O927" s="1">
        <v>0.0</v>
      </c>
      <c r="P927" s="1">
        <v>0.0</v>
      </c>
      <c r="R927" s="1">
        <v>0.0</v>
      </c>
      <c r="S927" s="1">
        <v>0.0</v>
      </c>
      <c r="U927" s="1">
        <v>0.0</v>
      </c>
      <c r="W927" s="1">
        <v>0.0</v>
      </c>
      <c r="Y927" s="1">
        <v>0.0</v>
      </c>
      <c r="AA927" s="1">
        <v>0.0</v>
      </c>
      <c r="AC927" s="1">
        <v>0.0</v>
      </c>
      <c r="AM927" s="1">
        <v>70312.0</v>
      </c>
      <c r="AN927" s="1">
        <v>70312.0</v>
      </c>
      <c r="AO927" s="1">
        <v>70312.0</v>
      </c>
      <c r="AP927" s="1">
        <v>26.935</v>
      </c>
      <c r="AR927" s="1">
        <v>0.0</v>
      </c>
      <c r="AW927" s="1">
        <v>0.0</v>
      </c>
      <c r="AX927" s="1">
        <v>2.0</v>
      </c>
      <c r="AY927" s="1">
        <v>4.0</v>
      </c>
      <c r="BA927" s="1">
        <v>0.0</v>
      </c>
      <c r="BB927" s="1">
        <v>0.0</v>
      </c>
      <c r="BC927" s="1">
        <v>0.0</v>
      </c>
      <c r="BD927" s="1">
        <v>0.0</v>
      </c>
      <c r="BE927" s="1">
        <v>0.0</v>
      </c>
      <c r="BF927" s="1">
        <v>0.0</v>
      </c>
      <c r="BG927" s="1">
        <v>0.0</v>
      </c>
      <c r="BH927" s="1">
        <v>0.0</v>
      </c>
      <c r="BI927" s="1">
        <v>0.0</v>
      </c>
      <c r="BJ927" s="1">
        <v>0.0</v>
      </c>
      <c r="BP927" s="1">
        <v>0.259</v>
      </c>
      <c r="BQ927" s="1" t="s">
        <v>3556</v>
      </c>
      <c r="BV927" s="1">
        <v>1.1</v>
      </c>
      <c r="EQ927" s="9" t="s">
        <v>3555</v>
      </c>
      <c r="ER927" s="21">
        <v>46045.299791666665</v>
      </c>
    </row>
    <row r="928">
      <c r="A928" s="9" t="s">
        <v>3557</v>
      </c>
      <c r="B928" s="20" t="str">
        <f>IFERROR(__xludf.DUMMYFUNCTION("REGEXREPLACE(A928, ""^https?://[^/]+"", """")"),"/wp-content/uploads/2021/02/case-study-sx1-thumb.jpg")</f>
        <v>/wp-content/uploads/2021/02/case-study-sx1-thumb.jpg</v>
      </c>
      <c r="F928" s="1" t="s">
        <v>1004</v>
      </c>
      <c r="G928" s="1">
        <v>200.0</v>
      </c>
      <c r="H928" s="1" t="s">
        <v>966</v>
      </c>
      <c r="I928" s="1" t="s">
        <v>967</v>
      </c>
      <c r="L928" s="1">
        <v>0.0</v>
      </c>
      <c r="M928" s="1">
        <v>0.0</v>
      </c>
      <c r="O928" s="1">
        <v>0.0</v>
      </c>
      <c r="P928" s="1">
        <v>0.0</v>
      </c>
      <c r="R928" s="1">
        <v>0.0</v>
      </c>
      <c r="S928" s="1">
        <v>0.0</v>
      </c>
      <c r="U928" s="1">
        <v>0.0</v>
      </c>
      <c r="W928" s="1">
        <v>0.0</v>
      </c>
      <c r="Y928" s="1">
        <v>0.0</v>
      </c>
      <c r="AA928" s="1">
        <v>0.0</v>
      </c>
      <c r="AC928" s="1">
        <v>0.0</v>
      </c>
      <c r="AM928" s="1">
        <v>78327.0</v>
      </c>
      <c r="AN928" s="1">
        <v>78327.0</v>
      </c>
      <c r="AO928" s="1">
        <v>78327.0</v>
      </c>
      <c r="AP928" s="1">
        <v>30.006</v>
      </c>
      <c r="AR928" s="1">
        <v>0.0</v>
      </c>
      <c r="AW928" s="1">
        <v>0.0</v>
      </c>
      <c r="AX928" s="1">
        <v>2.0</v>
      </c>
      <c r="AY928" s="1">
        <v>4.0</v>
      </c>
      <c r="BA928" s="1">
        <v>0.0</v>
      </c>
      <c r="BB928" s="1">
        <v>0.0</v>
      </c>
      <c r="BC928" s="1">
        <v>0.0</v>
      </c>
      <c r="BD928" s="1">
        <v>0.0</v>
      </c>
      <c r="BE928" s="1">
        <v>0.0</v>
      </c>
      <c r="BF928" s="1">
        <v>0.0</v>
      </c>
      <c r="BG928" s="1">
        <v>0.0</v>
      </c>
      <c r="BH928" s="1">
        <v>0.0</v>
      </c>
      <c r="BI928" s="1">
        <v>0.0</v>
      </c>
      <c r="BJ928" s="1">
        <v>0.0</v>
      </c>
      <c r="BP928" s="1">
        <v>0.266</v>
      </c>
      <c r="BQ928" s="1" t="s">
        <v>3558</v>
      </c>
      <c r="BV928" s="1">
        <v>1.1</v>
      </c>
      <c r="EQ928" s="9" t="s">
        <v>3557</v>
      </c>
      <c r="ER928" s="21">
        <v>46045.29980324074</v>
      </c>
    </row>
    <row r="929">
      <c r="A929" s="9" t="s">
        <v>3559</v>
      </c>
      <c r="B929" s="20" t="str">
        <f>IFERROR(__xludf.DUMMYFUNCTION("REGEXREPLACE(A929, ""^https?://[^/]+"", """")"),"/case-study/public-relations/")</f>
        <v>/case-study/public-relations/</v>
      </c>
      <c r="C929" s="1" t="s">
        <v>3560</v>
      </c>
      <c r="F929" s="1" t="s">
        <v>965</v>
      </c>
      <c r="G929" s="1">
        <v>200.0</v>
      </c>
      <c r="H929" s="1" t="s">
        <v>966</v>
      </c>
      <c r="I929" s="1" t="s">
        <v>967</v>
      </c>
      <c r="K929" s="1" t="s">
        <v>3561</v>
      </c>
      <c r="L929" s="1">
        <v>89.0</v>
      </c>
      <c r="M929" s="1">
        <v>773.0</v>
      </c>
      <c r="O929" s="1">
        <v>0.0</v>
      </c>
      <c r="P929" s="1">
        <v>0.0</v>
      </c>
      <c r="Q929" s="1" t="s">
        <v>3562</v>
      </c>
      <c r="R929" s="1">
        <v>79.0</v>
      </c>
      <c r="S929" s="1">
        <v>491.0</v>
      </c>
      <c r="U929" s="1">
        <v>0.0</v>
      </c>
      <c r="V929" s="1" t="s">
        <v>3560</v>
      </c>
      <c r="W929" s="1">
        <v>51.0</v>
      </c>
      <c r="Y929" s="1">
        <v>0.0</v>
      </c>
      <c r="AA929" s="1">
        <v>0.0</v>
      </c>
      <c r="AC929" s="1">
        <v>0.0</v>
      </c>
      <c r="AD929" s="1" t="s">
        <v>971</v>
      </c>
      <c r="AG929" s="9" t="s">
        <v>3559</v>
      </c>
      <c r="AM929" s="1">
        <v>170325.0</v>
      </c>
      <c r="AN929" s="1">
        <v>30913.0</v>
      </c>
      <c r="AO929" s="1">
        <v>30913.0</v>
      </c>
      <c r="AP929" s="1">
        <v>11.842</v>
      </c>
      <c r="AR929" s="1">
        <v>597.0</v>
      </c>
      <c r="AS929" s="1">
        <v>104.0</v>
      </c>
      <c r="AT929" s="1">
        <v>5.74</v>
      </c>
      <c r="AU929" s="1">
        <v>57.741</v>
      </c>
      <c r="AV929" s="1" t="s">
        <v>972</v>
      </c>
      <c r="AW929" s="1">
        <v>3.605</v>
      </c>
      <c r="AX929" s="1">
        <v>2.0</v>
      </c>
      <c r="AY929" s="1">
        <v>2.0</v>
      </c>
      <c r="AZ929" s="1">
        <v>1.0</v>
      </c>
      <c r="BA929" s="1">
        <v>9.0</v>
      </c>
      <c r="BB929" s="1">
        <v>7.0</v>
      </c>
      <c r="BC929" s="1">
        <v>0.0</v>
      </c>
      <c r="BD929" s="1">
        <v>0.93</v>
      </c>
      <c r="BE929" s="1">
        <v>128.0</v>
      </c>
      <c r="BF929" s="1">
        <v>47.0</v>
      </c>
      <c r="BG929" s="1">
        <v>0.0</v>
      </c>
      <c r="BH929" s="1">
        <v>16.0</v>
      </c>
      <c r="BI929" s="1">
        <v>8.0</v>
      </c>
      <c r="BJ929" s="1">
        <v>0.0</v>
      </c>
      <c r="BO929" s="1" t="s">
        <v>3563</v>
      </c>
      <c r="BP929" s="1">
        <v>0.986</v>
      </c>
      <c r="BU929" s="1" t="s">
        <v>974</v>
      </c>
      <c r="BV929" s="1">
        <v>1.1</v>
      </c>
      <c r="EQ929" s="9" t="s">
        <v>3559</v>
      </c>
      <c r="ER929" s="21">
        <v>46045.299791666665</v>
      </c>
    </row>
    <row r="930">
      <c r="A930" s="9" t="s">
        <v>3564</v>
      </c>
      <c r="B930" s="20" t="str">
        <f>IFERROR(__xludf.DUMMYFUNCTION("REGEXREPLACE(A930, ""^https?://[^/]+"", """")"),"/case-study/construction-manufacturing-2/")</f>
        <v>/case-study/construction-manufacturing-2/</v>
      </c>
      <c r="C930" s="1" t="s">
        <v>3565</v>
      </c>
      <c r="D930" s="1" t="s">
        <v>1050</v>
      </c>
      <c r="E930" s="1" t="s">
        <v>1051</v>
      </c>
      <c r="F930" s="1" t="s">
        <v>965</v>
      </c>
      <c r="G930" s="1">
        <v>200.0</v>
      </c>
      <c r="H930" s="1" t="s">
        <v>966</v>
      </c>
      <c r="I930" s="1" t="s">
        <v>967</v>
      </c>
      <c r="K930" s="1" t="s">
        <v>3566</v>
      </c>
      <c r="L930" s="1">
        <v>45.0</v>
      </c>
      <c r="M930" s="1">
        <v>411.0</v>
      </c>
      <c r="O930" s="1">
        <v>0.0</v>
      </c>
      <c r="P930" s="1">
        <v>0.0</v>
      </c>
      <c r="Q930" s="1" t="s">
        <v>3567</v>
      </c>
      <c r="R930" s="1">
        <v>47.0</v>
      </c>
      <c r="S930" s="1">
        <v>310.0</v>
      </c>
      <c r="U930" s="1">
        <v>0.0</v>
      </c>
      <c r="V930" s="1" t="s">
        <v>3565</v>
      </c>
      <c r="W930" s="1">
        <v>67.0</v>
      </c>
      <c r="Y930" s="1">
        <v>0.0</v>
      </c>
      <c r="Z930" s="1" t="s">
        <v>1050</v>
      </c>
      <c r="AA930" s="1">
        <v>17.0</v>
      </c>
      <c r="AB930" s="1" t="s">
        <v>1051</v>
      </c>
      <c r="AC930" s="1">
        <v>11.0</v>
      </c>
      <c r="AD930" s="1" t="s">
        <v>971</v>
      </c>
      <c r="AG930" s="9" t="s">
        <v>3564</v>
      </c>
      <c r="AM930" s="1">
        <v>179947.0</v>
      </c>
      <c r="AN930" s="1">
        <v>31369.0</v>
      </c>
      <c r="AO930" s="1">
        <v>31369.0</v>
      </c>
      <c r="AP930" s="1">
        <v>12.017</v>
      </c>
      <c r="AR930" s="1">
        <v>892.0</v>
      </c>
      <c r="AS930" s="1">
        <v>154.0</v>
      </c>
      <c r="AT930" s="1">
        <v>5.792</v>
      </c>
      <c r="AU930" s="1">
        <v>58.881</v>
      </c>
      <c r="AV930" s="1" t="s">
        <v>972</v>
      </c>
      <c r="AW930" s="1">
        <v>4.453</v>
      </c>
      <c r="AX930" s="1">
        <v>2.0</v>
      </c>
      <c r="AY930" s="1">
        <v>2.0</v>
      </c>
      <c r="AZ930" s="1">
        <v>1.0</v>
      </c>
      <c r="BA930" s="1">
        <v>4.0</v>
      </c>
      <c r="BB930" s="1">
        <v>2.0</v>
      </c>
      <c r="BC930" s="1">
        <v>0.0</v>
      </c>
      <c r="BD930" s="1">
        <v>0.27</v>
      </c>
      <c r="BE930" s="1">
        <v>128.0</v>
      </c>
      <c r="BF930" s="1">
        <v>48.0</v>
      </c>
      <c r="BG930" s="1">
        <v>0.0</v>
      </c>
      <c r="BH930" s="1">
        <v>16.0</v>
      </c>
      <c r="BI930" s="1">
        <v>8.0</v>
      </c>
      <c r="BJ930" s="1">
        <v>0.0</v>
      </c>
      <c r="BO930" s="1" t="s">
        <v>3568</v>
      </c>
      <c r="BP930" s="1">
        <v>1.005</v>
      </c>
      <c r="BU930" s="1" t="s">
        <v>974</v>
      </c>
      <c r="BV930" s="1">
        <v>1.1</v>
      </c>
      <c r="EQ930" s="9" t="s">
        <v>3564</v>
      </c>
      <c r="ER930" s="21">
        <v>46045.299791666665</v>
      </c>
    </row>
    <row r="931">
      <c r="A931" s="9" t="s">
        <v>3569</v>
      </c>
      <c r="B931" s="20" t="str">
        <f>IFERROR(__xludf.DUMMYFUNCTION("REGEXREPLACE(A931, ""^https?://[^/]+"", """")"),"/case-study/construction/")</f>
        <v>/case-study/construction/</v>
      </c>
      <c r="C931" s="1" t="s">
        <v>3570</v>
      </c>
      <c r="F931" s="1" t="s">
        <v>965</v>
      </c>
      <c r="G931" s="1">
        <v>200.0</v>
      </c>
      <c r="H931" s="1" t="s">
        <v>966</v>
      </c>
      <c r="I931" s="1" t="s">
        <v>967</v>
      </c>
      <c r="K931" s="1" t="s">
        <v>3571</v>
      </c>
      <c r="L931" s="1">
        <v>111.0</v>
      </c>
      <c r="M931" s="1">
        <v>992.0</v>
      </c>
      <c r="O931" s="1">
        <v>0.0</v>
      </c>
      <c r="P931" s="1">
        <v>0.0</v>
      </c>
      <c r="Q931" s="1" t="s">
        <v>3572</v>
      </c>
      <c r="R931" s="1">
        <v>139.0</v>
      </c>
      <c r="S931" s="1">
        <v>822.0</v>
      </c>
      <c r="U931" s="1">
        <v>0.0</v>
      </c>
      <c r="V931" s="1" t="s">
        <v>3570</v>
      </c>
      <c r="W931" s="1">
        <v>73.0</v>
      </c>
      <c r="Y931" s="1">
        <v>0.0</v>
      </c>
      <c r="AA931" s="1">
        <v>0.0</v>
      </c>
      <c r="AC931" s="1">
        <v>0.0</v>
      </c>
      <c r="AD931" s="1" t="s">
        <v>971</v>
      </c>
      <c r="AG931" s="9" t="s">
        <v>3569</v>
      </c>
      <c r="AM931" s="1">
        <v>167254.0</v>
      </c>
      <c r="AN931" s="1">
        <v>30656.0</v>
      </c>
      <c r="AO931" s="1">
        <v>30656.0</v>
      </c>
      <c r="AP931" s="1">
        <v>11.744</v>
      </c>
      <c r="AR931" s="1">
        <v>595.0</v>
      </c>
      <c r="AS931" s="1">
        <v>103.0</v>
      </c>
      <c r="AT931" s="1">
        <v>5.777</v>
      </c>
      <c r="AU931" s="1">
        <v>59.213</v>
      </c>
      <c r="AV931" s="1" t="s">
        <v>972</v>
      </c>
      <c r="AW931" s="1">
        <v>3.652</v>
      </c>
      <c r="AX931" s="1">
        <v>2.0</v>
      </c>
      <c r="AY931" s="1">
        <v>2.0</v>
      </c>
      <c r="AZ931" s="1">
        <v>1.0</v>
      </c>
      <c r="BA931" s="1">
        <v>7.0</v>
      </c>
      <c r="BB931" s="1">
        <v>5.0</v>
      </c>
      <c r="BC931" s="1">
        <v>0.0</v>
      </c>
      <c r="BD931" s="1">
        <v>0.66</v>
      </c>
      <c r="BE931" s="1">
        <v>126.0</v>
      </c>
      <c r="BF931" s="1">
        <v>46.0</v>
      </c>
      <c r="BG931" s="1">
        <v>0.0</v>
      </c>
      <c r="BH931" s="1">
        <v>16.0</v>
      </c>
      <c r="BI931" s="1">
        <v>8.0</v>
      </c>
      <c r="BJ931" s="1">
        <v>0.0</v>
      </c>
      <c r="BO931" s="1" t="s">
        <v>3573</v>
      </c>
      <c r="BP931" s="1">
        <v>1.016</v>
      </c>
      <c r="BU931" s="1" t="s">
        <v>974</v>
      </c>
      <c r="BV931" s="1">
        <v>1.1</v>
      </c>
      <c r="EQ931" s="9" t="s">
        <v>3569</v>
      </c>
      <c r="ER931" s="21">
        <v>46045.299791666665</v>
      </c>
    </row>
    <row r="932">
      <c r="A932" s="9" t="s">
        <v>3574</v>
      </c>
      <c r="B932" s="20" t="str">
        <f>IFERROR(__xludf.DUMMYFUNCTION("REGEXREPLACE(A932, ""^https?://[^/]+"", """")"),"/case-study/early-education-transforming-sales-success-with-18-year-over-year-revenue-growth/")</f>
        <v>/case-study/early-education-transforming-sales-success-with-18-year-over-year-revenue-growth/</v>
      </c>
      <c r="C932" s="1" t="s">
        <v>3575</v>
      </c>
      <c r="D932" s="1" t="s">
        <v>1417</v>
      </c>
      <c r="E932" s="1" t="s">
        <v>1418</v>
      </c>
      <c r="F932" s="1" t="s">
        <v>965</v>
      </c>
      <c r="G932" s="1">
        <v>200.0</v>
      </c>
      <c r="H932" s="1" t="s">
        <v>966</v>
      </c>
      <c r="I932" s="1" t="s">
        <v>967</v>
      </c>
      <c r="K932" s="1" t="s">
        <v>3576</v>
      </c>
      <c r="L932" s="1">
        <v>120.0</v>
      </c>
      <c r="M932" s="1">
        <v>1113.0</v>
      </c>
      <c r="O932" s="1">
        <v>0.0</v>
      </c>
      <c r="P932" s="1">
        <v>0.0</v>
      </c>
      <c r="Q932" s="1" t="s">
        <v>3577</v>
      </c>
      <c r="R932" s="1">
        <v>156.0</v>
      </c>
      <c r="S932" s="1">
        <v>948.0</v>
      </c>
      <c r="U932" s="1">
        <v>0.0</v>
      </c>
      <c r="V932" s="1" t="s">
        <v>3575</v>
      </c>
      <c r="W932" s="1">
        <v>82.0</v>
      </c>
      <c r="Y932" s="1">
        <v>0.0</v>
      </c>
      <c r="Z932" s="1" t="s">
        <v>1417</v>
      </c>
      <c r="AA932" s="1">
        <v>15.0</v>
      </c>
      <c r="AB932" s="1" t="s">
        <v>1418</v>
      </c>
      <c r="AC932" s="1">
        <v>22.0</v>
      </c>
      <c r="AD932" s="1" t="s">
        <v>971</v>
      </c>
      <c r="AG932" s="9" t="s">
        <v>3574</v>
      </c>
      <c r="AM932" s="1">
        <v>182789.0</v>
      </c>
      <c r="AN932" s="1">
        <v>32420.0</v>
      </c>
      <c r="AO932" s="1">
        <v>32420.0</v>
      </c>
      <c r="AP932" s="1">
        <v>12.419</v>
      </c>
      <c r="AR932" s="1">
        <v>1057.0</v>
      </c>
      <c r="AS932" s="1">
        <v>185.0</v>
      </c>
      <c r="AT932" s="1">
        <v>5.714</v>
      </c>
      <c r="AU932" s="1">
        <v>50.805</v>
      </c>
      <c r="AV932" s="1" t="s">
        <v>972</v>
      </c>
      <c r="AW932" s="1">
        <v>5.176</v>
      </c>
      <c r="AX932" s="1">
        <v>2.0</v>
      </c>
      <c r="AY932" s="1">
        <v>2.0</v>
      </c>
      <c r="AZ932" s="1">
        <v>1.0</v>
      </c>
      <c r="BA932" s="1">
        <v>4.0</v>
      </c>
      <c r="BB932" s="1">
        <v>2.0</v>
      </c>
      <c r="BC932" s="1">
        <v>0.0</v>
      </c>
      <c r="BD932" s="1">
        <v>0.27</v>
      </c>
      <c r="BE932" s="1">
        <v>129.0</v>
      </c>
      <c r="BF932" s="1">
        <v>48.0</v>
      </c>
      <c r="BG932" s="1">
        <v>0.0</v>
      </c>
      <c r="BH932" s="1">
        <v>16.0</v>
      </c>
      <c r="BI932" s="1">
        <v>8.0</v>
      </c>
      <c r="BJ932" s="1">
        <v>0.0</v>
      </c>
      <c r="BO932" s="1" t="s">
        <v>3578</v>
      </c>
      <c r="BP932" s="1">
        <v>1.101</v>
      </c>
      <c r="BU932" s="1" t="s">
        <v>974</v>
      </c>
      <c r="BV932" s="1">
        <v>1.1</v>
      </c>
      <c r="EQ932" s="9" t="s">
        <v>3574</v>
      </c>
      <c r="ER932" s="21">
        <v>46045.299791666665</v>
      </c>
    </row>
    <row r="933">
      <c r="A933" s="9" t="s">
        <v>3579</v>
      </c>
      <c r="B933" s="20" t="str">
        <f>IFERROR(__xludf.DUMMYFUNCTION("REGEXREPLACE(A933, ""^https?://[^/]+"", """")"),"/case-study/developing-a-go-to-market-strategy-for-unparalleled-success/")</f>
        <v>/case-study/developing-a-go-to-market-strategy-for-unparalleled-success/</v>
      </c>
      <c r="C933" s="1" t="s">
        <v>3580</v>
      </c>
      <c r="D933" s="1" t="s">
        <v>1050</v>
      </c>
      <c r="E933" s="1" t="s">
        <v>1051</v>
      </c>
      <c r="F933" s="1" t="s">
        <v>965</v>
      </c>
      <c r="G933" s="1">
        <v>200.0</v>
      </c>
      <c r="H933" s="1" t="s">
        <v>966</v>
      </c>
      <c r="I933" s="1" t="s">
        <v>967</v>
      </c>
      <c r="K933" s="1" t="s">
        <v>3581</v>
      </c>
      <c r="L933" s="1">
        <v>69.0</v>
      </c>
      <c r="M933" s="1">
        <v>641.0</v>
      </c>
      <c r="O933" s="1">
        <v>0.0</v>
      </c>
      <c r="P933" s="1">
        <v>0.0</v>
      </c>
      <c r="Q933" s="1" t="s">
        <v>3582</v>
      </c>
      <c r="R933" s="1">
        <v>160.0</v>
      </c>
      <c r="S933" s="1">
        <v>1026.0</v>
      </c>
      <c r="U933" s="1">
        <v>0.0</v>
      </c>
      <c r="V933" s="1" t="s">
        <v>3580</v>
      </c>
      <c r="W933" s="1">
        <v>84.0</v>
      </c>
      <c r="Y933" s="1">
        <v>0.0</v>
      </c>
      <c r="Z933" s="1" t="s">
        <v>1050</v>
      </c>
      <c r="AA933" s="1">
        <v>17.0</v>
      </c>
      <c r="AB933" s="1" t="s">
        <v>1051</v>
      </c>
      <c r="AC933" s="1">
        <v>11.0</v>
      </c>
      <c r="AD933" s="1" t="s">
        <v>971</v>
      </c>
      <c r="AG933" s="9" t="s">
        <v>3579</v>
      </c>
      <c r="AM933" s="1">
        <v>180772.0</v>
      </c>
      <c r="AN933" s="1">
        <v>31413.0</v>
      </c>
      <c r="AO933" s="1">
        <v>31413.0</v>
      </c>
      <c r="AP933" s="1">
        <v>12.034</v>
      </c>
      <c r="AR933" s="1">
        <v>932.0</v>
      </c>
      <c r="AS933" s="1">
        <v>150.0</v>
      </c>
      <c r="AT933" s="1">
        <v>6.213</v>
      </c>
      <c r="AU933" s="1">
        <v>62.191</v>
      </c>
      <c r="AV933" s="1" t="s">
        <v>990</v>
      </c>
      <c r="AW933" s="1">
        <v>4.508</v>
      </c>
      <c r="AX933" s="1">
        <v>2.0</v>
      </c>
      <c r="AY933" s="1">
        <v>2.0</v>
      </c>
      <c r="AZ933" s="1">
        <v>1.0</v>
      </c>
      <c r="BA933" s="1">
        <v>1.0</v>
      </c>
      <c r="BB933" s="1">
        <v>1.0</v>
      </c>
      <c r="BC933" s="1">
        <v>0.0</v>
      </c>
      <c r="BD933" s="1">
        <v>0.13</v>
      </c>
      <c r="BE933" s="1">
        <v>129.0</v>
      </c>
      <c r="BF933" s="1">
        <v>48.0</v>
      </c>
      <c r="BG933" s="1">
        <v>0.0</v>
      </c>
      <c r="BH933" s="1">
        <v>16.0</v>
      </c>
      <c r="BI933" s="1">
        <v>8.0</v>
      </c>
      <c r="BJ933" s="1">
        <v>0.0</v>
      </c>
      <c r="BO933" s="1" t="s">
        <v>3583</v>
      </c>
      <c r="BP933" s="1">
        <v>0.983</v>
      </c>
      <c r="BU933" s="1" t="s">
        <v>974</v>
      </c>
      <c r="BV933" s="1">
        <v>1.1</v>
      </c>
      <c r="EQ933" s="9" t="s">
        <v>3579</v>
      </c>
      <c r="ER933" s="21">
        <v>46045.29980324074</v>
      </c>
    </row>
    <row r="934">
      <c r="A934" s="9" t="s">
        <v>3584</v>
      </c>
      <c r="B934" s="20" t="str">
        <f>IFERROR(__xludf.DUMMYFUNCTION("REGEXREPLACE(A934, ""^https?://[^/]+"", """")"),"/case-study/intelligence-power-modules/")</f>
        <v>/case-study/intelligence-power-modules/</v>
      </c>
      <c r="C934" s="1" t="s">
        <v>3585</v>
      </c>
      <c r="D934" s="1" t="s">
        <v>1050</v>
      </c>
      <c r="E934" s="1" t="s">
        <v>1051</v>
      </c>
      <c r="F934" s="1" t="s">
        <v>965</v>
      </c>
      <c r="G934" s="1">
        <v>200.0</v>
      </c>
      <c r="H934" s="1" t="s">
        <v>966</v>
      </c>
      <c r="I934" s="1" t="s">
        <v>967</v>
      </c>
      <c r="K934" s="1" t="s">
        <v>3586</v>
      </c>
      <c r="L934" s="1">
        <v>124.0</v>
      </c>
      <c r="M934" s="1">
        <v>1114.0</v>
      </c>
      <c r="O934" s="1">
        <v>0.0</v>
      </c>
      <c r="P934" s="1">
        <v>0.0</v>
      </c>
      <c r="Q934" s="1" t="s">
        <v>3587</v>
      </c>
      <c r="R934" s="1">
        <v>63.0</v>
      </c>
      <c r="S934" s="1">
        <v>379.0</v>
      </c>
      <c r="U934" s="1">
        <v>0.0</v>
      </c>
      <c r="V934" s="1" t="s">
        <v>3585</v>
      </c>
      <c r="W934" s="1">
        <v>86.0</v>
      </c>
      <c r="Y934" s="1">
        <v>0.0</v>
      </c>
      <c r="Z934" s="1" t="s">
        <v>1050</v>
      </c>
      <c r="AA934" s="1">
        <v>17.0</v>
      </c>
      <c r="AB934" s="1" t="s">
        <v>1051</v>
      </c>
      <c r="AC934" s="1">
        <v>11.0</v>
      </c>
      <c r="AD934" s="1" t="s">
        <v>971</v>
      </c>
      <c r="AG934" s="9" t="s">
        <v>3584</v>
      </c>
      <c r="AM934" s="1">
        <v>180714.0</v>
      </c>
      <c r="AN934" s="1">
        <v>31287.0</v>
      </c>
      <c r="AO934" s="1">
        <v>31287.0</v>
      </c>
      <c r="AP934" s="1">
        <v>11.985</v>
      </c>
      <c r="AR934" s="1">
        <v>812.0</v>
      </c>
      <c r="AS934" s="1">
        <v>137.0</v>
      </c>
      <c r="AT934" s="1">
        <v>5.927</v>
      </c>
      <c r="AU934" s="1">
        <v>59.854</v>
      </c>
      <c r="AV934" s="1" t="s">
        <v>972</v>
      </c>
      <c r="AW934" s="1">
        <v>4.127</v>
      </c>
      <c r="AX934" s="1">
        <v>2.0</v>
      </c>
      <c r="AY934" s="1">
        <v>2.0</v>
      </c>
      <c r="AZ934" s="1">
        <v>1.0</v>
      </c>
      <c r="BA934" s="1">
        <v>4.0</v>
      </c>
      <c r="BB934" s="1">
        <v>2.0</v>
      </c>
      <c r="BC934" s="1">
        <v>0.0</v>
      </c>
      <c r="BD934" s="1">
        <v>0.27</v>
      </c>
      <c r="BE934" s="1">
        <v>130.0</v>
      </c>
      <c r="BF934" s="1">
        <v>48.0</v>
      </c>
      <c r="BG934" s="1">
        <v>0.0</v>
      </c>
      <c r="BH934" s="1">
        <v>16.0</v>
      </c>
      <c r="BI934" s="1">
        <v>8.0</v>
      </c>
      <c r="BJ934" s="1">
        <v>0.0</v>
      </c>
      <c r="BO934" s="1" t="s">
        <v>3588</v>
      </c>
      <c r="BP934" s="1">
        <v>1.019</v>
      </c>
      <c r="BU934" s="1" t="s">
        <v>974</v>
      </c>
      <c r="BV934" s="1">
        <v>1.1</v>
      </c>
      <c r="EQ934" s="9" t="s">
        <v>3584</v>
      </c>
      <c r="ER934" s="21">
        <v>46045.29980324074</v>
      </c>
    </row>
    <row r="935">
      <c r="A935" s="9" t="s">
        <v>3589</v>
      </c>
      <c r="B935" s="20" t="str">
        <f>IFERROR(__xludf.DUMMYFUNCTION("REGEXREPLACE(A935, ""^https?://[^/]+"", """")"),"/wp-content/uploads/2021/01/thumb-tech-case-study.jpg")</f>
        <v>/wp-content/uploads/2021/01/thumb-tech-case-study.jpg</v>
      </c>
      <c r="F935" s="1" t="s">
        <v>1004</v>
      </c>
      <c r="G935" s="1">
        <v>200.0</v>
      </c>
      <c r="H935" s="1" t="s">
        <v>966</v>
      </c>
      <c r="I935" s="1" t="s">
        <v>967</v>
      </c>
      <c r="L935" s="1">
        <v>0.0</v>
      </c>
      <c r="M935" s="1">
        <v>0.0</v>
      </c>
      <c r="O935" s="1">
        <v>0.0</v>
      </c>
      <c r="P935" s="1">
        <v>0.0</v>
      </c>
      <c r="R935" s="1">
        <v>0.0</v>
      </c>
      <c r="S935" s="1">
        <v>0.0</v>
      </c>
      <c r="U935" s="1">
        <v>0.0</v>
      </c>
      <c r="W935" s="1">
        <v>0.0</v>
      </c>
      <c r="Y935" s="1">
        <v>0.0</v>
      </c>
      <c r="AA935" s="1">
        <v>0.0</v>
      </c>
      <c r="AC935" s="1">
        <v>0.0</v>
      </c>
      <c r="AM935" s="1">
        <v>101275.0</v>
      </c>
      <c r="AN935" s="1">
        <v>101275.0</v>
      </c>
      <c r="AO935" s="1">
        <v>101275.0</v>
      </c>
      <c r="AP935" s="1">
        <v>38.797</v>
      </c>
      <c r="AR935" s="1">
        <v>0.0</v>
      </c>
      <c r="AW935" s="1">
        <v>0.0</v>
      </c>
      <c r="AX935" s="1">
        <v>2.0</v>
      </c>
      <c r="AY935" s="1">
        <v>4.0</v>
      </c>
      <c r="BA935" s="1">
        <v>0.0</v>
      </c>
      <c r="BB935" s="1">
        <v>0.0</v>
      </c>
      <c r="BC935" s="1">
        <v>0.0</v>
      </c>
      <c r="BD935" s="1">
        <v>0.0</v>
      </c>
      <c r="BE935" s="1">
        <v>0.0</v>
      </c>
      <c r="BF935" s="1">
        <v>0.0</v>
      </c>
      <c r="BG935" s="1">
        <v>0.0</v>
      </c>
      <c r="BH935" s="1">
        <v>0.0</v>
      </c>
      <c r="BI935" s="1">
        <v>0.0</v>
      </c>
      <c r="BJ935" s="1">
        <v>0.0</v>
      </c>
      <c r="BP935" s="1">
        <v>0.282</v>
      </c>
      <c r="BQ935" s="1" t="s">
        <v>3590</v>
      </c>
      <c r="BV935" s="1">
        <v>1.1</v>
      </c>
      <c r="EQ935" s="9" t="s">
        <v>3589</v>
      </c>
      <c r="ER935" s="21">
        <v>46045.29981481482</v>
      </c>
    </row>
    <row r="936">
      <c r="A936" s="9" t="s">
        <v>3591</v>
      </c>
      <c r="B936" s="20" t="str">
        <f>IFERROR(__xludf.DUMMYFUNCTION("REGEXREPLACE(A936, ""^https?://[^/]+"", """")"),"/case-study/software-technology-company/")</f>
        <v>/case-study/software-technology-company/</v>
      </c>
      <c r="C936" s="1" t="s">
        <v>3592</v>
      </c>
      <c r="D936" s="1" t="s">
        <v>1050</v>
      </c>
      <c r="E936" s="1" t="s">
        <v>1051</v>
      </c>
      <c r="F936" s="1" t="s">
        <v>965</v>
      </c>
      <c r="G936" s="1">
        <v>200.0</v>
      </c>
      <c r="H936" s="1" t="s">
        <v>966</v>
      </c>
      <c r="I936" s="1" t="s">
        <v>967</v>
      </c>
      <c r="K936" s="1" t="s">
        <v>3593</v>
      </c>
      <c r="L936" s="1">
        <v>102.0</v>
      </c>
      <c r="M936" s="1">
        <v>948.0</v>
      </c>
      <c r="O936" s="1">
        <v>0.0</v>
      </c>
      <c r="P936" s="1">
        <v>0.0</v>
      </c>
      <c r="Q936" s="1" t="s">
        <v>3594</v>
      </c>
      <c r="R936" s="1">
        <v>155.0</v>
      </c>
      <c r="S936" s="1">
        <v>971.0</v>
      </c>
      <c r="U936" s="1">
        <v>0.0</v>
      </c>
      <c r="V936" s="1" t="s">
        <v>3592</v>
      </c>
      <c r="W936" s="1">
        <v>64.0</v>
      </c>
      <c r="Y936" s="1">
        <v>0.0</v>
      </c>
      <c r="Z936" s="1" t="s">
        <v>1050</v>
      </c>
      <c r="AA936" s="1">
        <v>17.0</v>
      </c>
      <c r="AB936" s="1" t="s">
        <v>1051</v>
      </c>
      <c r="AC936" s="1">
        <v>11.0</v>
      </c>
      <c r="AD936" s="1" t="s">
        <v>971</v>
      </c>
      <c r="AG936" s="9" t="s">
        <v>3591</v>
      </c>
      <c r="AM936" s="1">
        <v>181061.0</v>
      </c>
      <c r="AN936" s="1">
        <v>31257.0</v>
      </c>
      <c r="AO936" s="1">
        <v>31257.0</v>
      </c>
      <c r="AP936" s="1">
        <v>11.974</v>
      </c>
      <c r="AR936" s="1">
        <v>822.0</v>
      </c>
      <c r="AS936" s="1">
        <v>140.0</v>
      </c>
      <c r="AT936" s="1">
        <v>5.871</v>
      </c>
      <c r="AU936" s="1">
        <v>61.008</v>
      </c>
      <c r="AV936" s="1" t="s">
        <v>990</v>
      </c>
      <c r="AW936" s="1">
        <v>4.109</v>
      </c>
      <c r="AX936" s="1">
        <v>2.0</v>
      </c>
      <c r="AY936" s="1">
        <v>2.0</v>
      </c>
      <c r="AZ936" s="1">
        <v>3.0</v>
      </c>
      <c r="BA936" s="1">
        <v>12.0</v>
      </c>
      <c r="BB936" s="1">
        <v>10.0</v>
      </c>
      <c r="BC936" s="1">
        <v>0.0</v>
      </c>
      <c r="BD936" s="1">
        <v>1.33</v>
      </c>
      <c r="BE936" s="1">
        <v>128.0</v>
      </c>
      <c r="BF936" s="1">
        <v>48.0</v>
      </c>
      <c r="BG936" s="1">
        <v>0.0</v>
      </c>
      <c r="BH936" s="1">
        <v>16.0</v>
      </c>
      <c r="BI936" s="1">
        <v>8.0</v>
      </c>
      <c r="BJ936" s="1">
        <v>0.0</v>
      </c>
      <c r="BO936" s="1" t="s">
        <v>3595</v>
      </c>
      <c r="BP936" s="1">
        <v>1.0</v>
      </c>
      <c r="BU936" s="1" t="s">
        <v>974</v>
      </c>
      <c r="BV936" s="1">
        <v>1.1</v>
      </c>
      <c r="EQ936" s="9" t="s">
        <v>3591</v>
      </c>
      <c r="ER936" s="21">
        <v>46045.29981481482</v>
      </c>
    </row>
    <row r="937">
      <c r="A937" s="9" t="s">
        <v>3596</v>
      </c>
      <c r="B937" s="20" t="str">
        <f>IFERROR(__xludf.DUMMYFUNCTION("REGEXREPLACE(A937, ""^https?://[^/]+"", """")"),"/case-study/office-supply-furniture-company/")</f>
        <v>/case-study/office-supply-furniture-company/</v>
      </c>
      <c r="C937" s="1" t="s">
        <v>3597</v>
      </c>
      <c r="F937" s="1" t="s">
        <v>965</v>
      </c>
      <c r="G937" s="1">
        <v>200.0</v>
      </c>
      <c r="H937" s="1" t="s">
        <v>966</v>
      </c>
      <c r="I937" s="1" t="s">
        <v>967</v>
      </c>
      <c r="K937" s="1" t="s">
        <v>3598</v>
      </c>
      <c r="L937" s="1">
        <v>123.0</v>
      </c>
      <c r="M937" s="1">
        <v>1098.0</v>
      </c>
      <c r="O937" s="1">
        <v>0.0</v>
      </c>
      <c r="P937" s="1">
        <v>0.0</v>
      </c>
      <c r="Q937" s="1" t="s">
        <v>3599</v>
      </c>
      <c r="R937" s="1">
        <v>97.0</v>
      </c>
      <c r="S937" s="1">
        <v>611.0</v>
      </c>
      <c r="U937" s="1">
        <v>0.0</v>
      </c>
      <c r="V937" s="1" t="s">
        <v>3597</v>
      </c>
      <c r="W937" s="1">
        <v>85.0</v>
      </c>
      <c r="Y937" s="1">
        <v>0.0</v>
      </c>
      <c r="AA937" s="1">
        <v>0.0</v>
      </c>
      <c r="AC937" s="1">
        <v>0.0</v>
      </c>
      <c r="AD937" s="1" t="s">
        <v>971</v>
      </c>
      <c r="AG937" s="9" t="s">
        <v>3596</v>
      </c>
      <c r="AM937" s="1">
        <v>170079.0</v>
      </c>
      <c r="AN937" s="1">
        <v>30924.0</v>
      </c>
      <c r="AO937" s="1">
        <v>30924.0</v>
      </c>
      <c r="AP937" s="1">
        <v>11.846</v>
      </c>
      <c r="AR937" s="1">
        <v>609.0</v>
      </c>
      <c r="AS937" s="1">
        <v>108.0</v>
      </c>
      <c r="AT937" s="1">
        <v>5.639</v>
      </c>
      <c r="AU937" s="1">
        <v>59.278</v>
      </c>
      <c r="AV937" s="1" t="s">
        <v>972</v>
      </c>
      <c r="AW937" s="1">
        <v>3.651</v>
      </c>
      <c r="AX937" s="1">
        <v>2.0</v>
      </c>
      <c r="AY937" s="1">
        <v>2.0</v>
      </c>
      <c r="AZ937" s="1">
        <v>1.0</v>
      </c>
      <c r="BA937" s="1">
        <v>12.0</v>
      </c>
      <c r="BB937" s="1">
        <v>10.0</v>
      </c>
      <c r="BC937" s="1">
        <v>0.0</v>
      </c>
      <c r="BD937" s="1">
        <v>1.33</v>
      </c>
      <c r="BE937" s="1">
        <v>128.0</v>
      </c>
      <c r="BF937" s="1">
        <v>47.0</v>
      </c>
      <c r="BG937" s="1">
        <v>0.0</v>
      </c>
      <c r="BH937" s="1">
        <v>16.0</v>
      </c>
      <c r="BI937" s="1">
        <v>8.0</v>
      </c>
      <c r="BJ937" s="1">
        <v>0.0</v>
      </c>
      <c r="BO937" s="1" t="s">
        <v>3600</v>
      </c>
      <c r="BP937" s="1">
        <v>0.984</v>
      </c>
      <c r="BU937" s="1" t="s">
        <v>974</v>
      </c>
      <c r="BV937" s="1">
        <v>1.1</v>
      </c>
      <c r="EQ937" s="9" t="s">
        <v>3596</v>
      </c>
      <c r="ER937" s="21">
        <v>46045.29981481482</v>
      </c>
    </row>
    <row r="938">
      <c r="A938" s="9" t="s">
        <v>3601</v>
      </c>
      <c r="B938" s="20" t="str">
        <f>IFERROR(__xludf.DUMMYFUNCTION("REGEXREPLACE(A938, ""^https?://[^/]+"", """")"),"/case-study/honey-and-sweetener-distributor/")</f>
        <v>/case-study/honey-and-sweetener-distributor/</v>
      </c>
      <c r="C938" s="1" t="s">
        <v>3602</v>
      </c>
      <c r="D938" s="1" t="s">
        <v>1050</v>
      </c>
      <c r="E938" s="1" t="s">
        <v>1051</v>
      </c>
      <c r="F938" s="1" t="s">
        <v>965</v>
      </c>
      <c r="G938" s="1">
        <v>200.0</v>
      </c>
      <c r="H938" s="1" t="s">
        <v>966</v>
      </c>
      <c r="I938" s="1" t="s">
        <v>967</v>
      </c>
      <c r="K938" s="1" t="s">
        <v>3603</v>
      </c>
      <c r="L938" s="1">
        <v>139.0</v>
      </c>
      <c r="M938" s="1">
        <v>1253.0</v>
      </c>
      <c r="O938" s="1">
        <v>0.0</v>
      </c>
      <c r="P938" s="1">
        <v>0.0</v>
      </c>
      <c r="Q938" s="1" t="s">
        <v>3604</v>
      </c>
      <c r="R938" s="1">
        <v>137.0</v>
      </c>
      <c r="S938" s="1">
        <v>819.0</v>
      </c>
      <c r="U938" s="1">
        <v>0.0</v>
      </c>
      <c r="V938" s="1" t="s">
        <v>3602</v>
      </c>
      <c r="W938" s="1">
        <v>101.0</v>
      </c>
      <c r="Y938" s="1">
        <v>0.0</v>
      </c>
      <c r="Z938" s="1" t="s">
        <v>1050</v>
      </c>
      <c r="AA938" s="1">
        <v>17.0</v>
      </c>
      <c r="AB938" s="1" t="s">
        <v>1051</v>
      </c>
      <c r="AC938" s="1">
        <v>11.0</v>
      </c>
      <c r="AD938" s="1" t="s">
        <v>971</v>
      </c>
      <c r="AG938" s="9" t="s">
        <v>3601</v>
      </c>
      <c r="AM938" s="1">
        <v>171620.0</v>
      </c>
      <c r="AN938" s="1">
        <v>30975.0</v>
      </c>
      <c r="AO938" s="1">
        <v>30975.0</v>
      </c>
      <c r="AP938" s="1">
        <v>11.866</v>
      </c>
      <c r="AR938" s="1">
        <v>830.0</v>
      </c>
      <c r="AS938" s="1">
        <v>137.0</v>
      </c>
      <c r="AT938" s="1">
        <v>6.058</v>
      </c>
      <c r="AU938" s="1">
        <v>53.094</v>
      </c>
      <c r="AV938" s="1" t="s">
        <v>972</v>
      </c>
      <c r="AW938" s="1">
        <v>4.484</v>
      </c>
      <c r="AX938" s="1">
        <v>2.0</v>
      </c>
      <c r="AY938" s="1">
        <v>2.0</v>
      </c>
      <c r="AZ938" s="1">
        <v>1.0</v>
      </c>
      <c r="BA938" s="1">
        <v>6.0</v>
      </c>
      <c r="BB938" s="1">
        <v>4.0</v>
      </c>
      <c r="BC938" s="1">
        <v>0.0</v>
      </c>
      <c r="BD938" s="1">
        <v>0.53</v>
      </c>
      <c r="BE938" s="1">
        <v>126.0</v>
      </c>
      <c r="BF938" s="1">
        <v>46.0</v>
      </c>
      <c r="BG938" s="1">
        <v>0.0</v>
      </c>
      <c r="BH938" s="1">
        <v>16.0</v>
      </c>
      <c r="BI938" s="1">
        <v>8.0</v>
      </c>
      <c r="BJ938" s="1">
        <v>0.0</v>
      </c>
      <c r="BO938" s="1" t="s">
        <v>3605</v>
      </c>
      <c r="BP938" s="1">
        <v>1.033</v>
      </c>
      <c r="BU938" s="1" t="s">
        <v>974</v>
      </c>
      <c r="BV938" s="1">
        <v>1.1</v>
      </c>
      <c r="EQ938" s="9" t="s">
        <v>3601</v>
      </c>
      <c r="ER938" s="21">
        <v>46045.29981481482</v>
      </c>
    </row>
    <row r="939">
      <c r="A939" s="9" t="s">
        <v>3606</v>
      </c>
      <c r="B939" s="20" t="str">
        <f>IFERROR(__xludf.DUMMYFUNCTION("REGEXREPLACE(A939, ""^https?://[^/]+"", """")"),"/wp-content/uploads/2024/07/Aerospace-Manufacturing-Thumbnail.jpg")</f>
        <v>/wp-content/uploads/2024/07/Aerospace-Manufacturing-Thumbnail.jpg</v>
      </c>
      <c r="F939" s="1" t="s">
        <v>1004</v>
      </c>
      <c r="G939" s="1">
        <v>200.0</v>
      </c>
      <c r="H939" s="1" t="s">
        <v>966</v>
      </c>
      <c r="I939" s="1" t="s">
        <v>967</v>
      </c>
      <c r="L939" s="1">
        <v>0.0</v>
      </c>
      <c r="M939" s="1">
        <v>0.0</v>
      </c>
      <c r="O939" s="1">
        <v>0.0</v>
      </c>
      <c r="P939" s="1">
        <v>0.0</v>
      </c>
      <c r="R939" s="1">
        <v>0.0</v>
      </c>
      <c r="S939" s="1">
        <v>0.0</v>
      </c>
      <c r="U939" s="1">
        <v>0.0</v>
      </c>
      <c r="W939" s="1">
        <v>0.0</v>
      </c>
      <c r="Y939" s="1">
        <v>0.0</v>
      </c>
      <c r="AA939" s="1">
        <v>0.0</v>
      </c>
      <c r="AC939" s="1">
        <v>0.0</v>
      </c>
      <c r="AM939" s="1">
        <v>100006.0</v>
      </c>
      <c r="AN939" s="1">
        <v>100006.0</v>
      </c>
      <c r="AO939" s="1">
        <v>100006.0</v>
      </c>
      <c r="AP939" s="1">
        <v>38.31</v>
      </c>
      <c r="AR939" s="1">
        <v>0.0</v>
      </c>
      <c r="AW939" s="1">
        <v>0.0</v>
      </c>
      <c r="AX939" s="1">
        <v>2.0</v>
      </c>
      <c r="AY939" s="1">
        <v>4.0</v>
      </c>
      <c r="BA939" s="1">
        <v>0.0</v>
      </c>
      <c r="BB939" s="1">
        <v>0.0</v>
      </c>
      <c r="BC939" s="1">
        <v>0.0</v>
      </c>
      <c r="BD939" s="1">
        <v>0.0</v>
      </c>
      <c r="BE939" s="1">
        <v>0.0</v>
      </c>
      <c r="BF939" s="1">
        <v>0.0</v>
      </c>
      <c r="BG939" s="1">
        <v>0.0</v>
      </c>
      <c r="BH939" s="1">
        <v>0.0</v>
      </c>
      <c r="BI939" s="1">
        <v>0.0</v>
      </c>
      <c r="BJ939" s="1">
        <v>0.0</v>
      </c>
      <c r="BP939" s="1">
        <v>0.276</v>
      </c>
      <c r="BQ939" s="1" t="s">
        <v>3607</v>
      </c>
      <c r="BV939" s="1">
        <v>1.1</v>
      </c>
      <c r="EQ939" s="9" t="s">
        <v>3606</v>
      </c>
      <c r="ER939" s="21">
        <v>46045.29982638889</v>
      </c>
    </row>
    <row r="940">
      <c r="A940" s="9" t="s">
        <v>3608</v>
      </c>
      <c r="B940" s="20" t="str">
        <f>IFERROR(__xludf.DUMMYFUNCTION("REGEXREPLACE(A940, ""^https?://[^/]+"", """")"),"/wp-content/uploads/2021/07/thumb-Case-Study_Manufacturing_Grew-6.jpg")</f>
        <v>/wp-content/uploads/2021/07/thumb-Case-Study_Manufacturing_Grew-6.jpg</v>
      </c>
      <c r="F940" s="1" t="s">
        <v>1004</v>
      </c>
      <c r="G940" s="1">
        <v>200.0</v>
      </c>
      <c r="H940" s="1" t="s">
        <v>966</v>
      </c>
      <c r="I940" s="1" t="s">
        <v>967</v>
      </c>
      <c r="L940" s="1">
        <v>0.0</v>
      </c>
      <c r="M940" s="1">
        <v>0.0</v>
      </c>
      <c r="O940" s="1">
        <v>0.0</v>
      </c>
      <c r="P940" s="1">
        <v>0.0</v>
      </c>
      <c r="R940" s="1">
        <v>0.0</v>
      </c>
      <c r="S940" s="1">
        <v>0.0</v>
      </c>
      <c r="U940" s="1">
        <v>0.0</v>
      </c>
      <c r="W940" s="1">
        <v>0.0</v>
      </c>
      <c r="Y940" s="1">
        <v>0.0</v>
      </c>
      <c r="AA940" s="1">
        <v>0.0</v>
      </c>
      <c r="AC940" s="1">
        <v>0.0</v>
      </c>
      <c r="AM940" s="1">
        <v>88530.0</v>
      </c>
      <c r="AN940" s="1">
        <v>88530.0</v>
      </c>
      <c r="AO940" s="1">
        <v>88530.0</v>
      </c>
      <c r="AP940" s="1">
        <v>33.914</v>
      </c>
      <c r="AR940" s="1">
        <v>0.0</v>
      </c>
      <c r="AW940" s="1">
        <v>0.0</v>
      </c>
      <c r="AX940" s="1">
        <v>2.0</v>
      </c>
      <c r="AY940" s="1">
        <v>4.0</v>
      </c>
      <c r="BA940" s="1">
        <v>0.0</v>
      </c>
      <c r="BB940" s="1">
        <v>0.0</v>
      </c>
      <c r="BC940" s="1">
        <v>0.0</v>
      </c>
      <c r="BD940" s="1">
        <v>0.0</v>
      </c>
      <c r="BE940" s="1">
        <v>0.0</v>
      </c>
      <c r="BF940" s="1">
        <v>0.0</v>
      </c>
      <c r="BG940" s="1">
        <v>0.0</v>
      </c>
      <c r="BH940" s="1">
        <v>0.0</v>
      </c>
      <c r="BI940" s="1">
        <v>0.0</v>
      </c>
      <c r="BJ940" s="1">
        <v>0.0</v>
      </c>
      <c r="BP940" s="1">
        <v>0.269</v>
      </c>
      <c r="BQ940" s="1" t="s">
        <v>3609</v>
      </c>
      <c r="BV940" s="1">
        <v>1.1</v>
      </c>
      <c r="EQ940" s="9" t="s">
        <v>3608</v>
      </c>
      <c r="ER940" s="21">
        <v>46045.29982638889</v>
      </c>
    </row>
    <row r="941">
      <c r="A941" s="9" t="s">
        <v>3610</v>
      </c>
      <c r="B941" s="20" t="str">
        <f>IFERROR(__xludf.DUMMYFUNCTION("REGEXREPLACE(A941, ""^https?://[^/]+"", """")"),"/wp-content/uploads/2019/03/Case_Study_Manufacturing-thumb.jpg")</f>
        <v>/wp-content/uploads/2019/03/Case_Study_Manufacturing-thumb.jpg</v>
      </c>
      <c r="F941" s="1" t="s">
        <v>1004</v>
      </c>
      <c r="G941" s="1">
        <v>200.0</v>
      </c>
      <c r="H941" s="1" t="s">
        <v>966</v>
      </c>
      <c r="I941" s="1" t="s">
        <v>967</v>
      </c>
      <c r="L941" s="1">
        <v>0.0</v>
      </c>
      <c r="M941" s="1">
        <v>0.0</v>
      </c>
      <c r="O941" s="1">
        <v>0.0</v>
      </c>
      <c r="P941" s="1">
        <v>0.0</v>
      </c>
      <c r="R941" s="1">
        <v>0.0</v>
      </c>
      <c r="S941" s="1">
        <v>0.0</v>
      </c>
      <c r="U941" s="1">
        <v>0.0</v>
      </c>
      <c r="W941" s="1">
        <v>0.0</v>
      </c>
      <c r="Y941" s="1">
        <v>0.0</v>
      </c>
      <c r="AA941" s="1">
        <v>0.0</v>
      </c>
      <c r="AC941" s="1">
        <v>0.0</v>
      </c>
      <c r="AM941" s="1">
        <v>124027.0</v>
      </c>
      <c r="AN941" s="1">
        <v>124027.0</v>
      </c>
      <c r="AO941" s="1">
        <v>124027.0</v>
      </c>
      <c r="AP941" s="1">
        <v>47.512</v>
      </c>
      <c r="AR941" s="1">
        <v>0.0</v>
      </c>
      <c r="AW941" s="1">
        <v>0.0</v>
      </c>
      <c r="AX941" s="1">
        <v>2.0</v>
      </c>
      <c r="AY941" s="1">
        <v>4.0</v>
      </c>
      <c r="BA941" s="1">
        <v>0.0</v>
      </c>
      <c r="BB941" s="1">
        <v>0.0</v>
      </c>
      <c r="BC941" s="1">
        <v>0.0</v>
      </c>
      <c r="BD941" s="1">
        <v>0.0</v>
      </c>
      <c r="BE941" s="1">
        <v>0.0</v>
      </c>
      <c r="BF941" s="1">
        <v>0.0</v>
      </c>
      <c r="BG941" s="1">
        <v>0.0</v>
      </c>
      <c r="BH941" s="1">
        <v>0.0</v>
      </c>
      <c r="BI941" s="1">
        <v>0.0</v>
      </c>
      <c r="BJ941" s="1">
        <v>0.0</v>
      </c>
      <c r="BP941" s="1">
        <v>0.287</v>
      </c>
      <c r="BQ941" s="1" t="s">
        <v>3611</v>
      </c>
      <c r="BV941" s="1">
        <v>1.1</v>
      </c>
      <c r="EQ941" s="9" t="s">
        <v>3610</v>
      </c>
      <c r="ER941" s="21">
        <v>46045.29982638889</v>
      </c>
    </row>
    <row r="942">
      <c r="A942" s="9" t="s">
        <v>3612</v>
      </c>
      <c r="B942" s="20" t="str">
        <f>IFERROR(__xludf.DUMMYFUNCTION("REGEXREPLACE(A942, ""^https?://[^/]+"", """")"),"/case-study/lab-equipment-microbiology-technology-company/")</f>
        <v>/case-study/lab-equipment-microbiology-technology-company/</v>
      </c>
      <c r="C942" s="1" t="s">
        <v>3613</v>
      </c>
      <c r="D942" s="1" t="s">
        <v>1050</v>
      </c>
      <c r="E942" s="1" t="s">
        <v>1051</v>
      </c>
      <c r="F942" s="1" t="s">
        <v>965</v>
      </c>
      <c r="G942" s="1">
        <v>200.0</v>
      </c>
      <c r="H942" s="1" t="s">
        <v>966</v>
      </c>
      <c r="I942" s="1" t="s">
        <v>967</v>
      </c>
      <c r="K942" s="1" t="s">
        <v>3614</v>
      </c>
      <c r="L942" s="1">
        <v>114.0</v>
      </c>
      <c r="M942" s="1">
        <v>1021.0</v>
      </c>
      <c r="O942" s="1">
        <v>0.0</v>
      </c>
      <c r="P942" s="1">
        <v>0.0</v>
      </c>
      <c r="Q942" s="1" t="s">
        <v>3615</v>
      </c>
      <c r="R942" s="1">
        <v>158.0</v>
      </c>
      <c r="S942" s="1">
        <v>985.0</v>
      </c>
      <c r="U942" s="1">
        <v>0.0</v>
      </c>
      <c r="V942" s="1" t="s">
        <v>3613</v>
      </c>
      <c r="W942" s="1">
        <v>76.0</v>
      </c>
      <c r="Y942" s="1">
        <v>0.0</v>
      </c>
      <c r="Z942" s="1" t="s">
        <v>1050</v>
      </c>
      <c r="AA942" s="1">
        <v>17.0</v>
      </c>
      <c r="AB942" s="1" t="s">
        <v>1051</v>
      </c>
      <c r="AC942" s="1">
        <v>11.0</v>
      </c>
      <c r="AD942" s="1" t="s">
        <v>971</v>
      </c>
      <c r="AG942" s="9" t="s">
        <v>3612</v>
      </c>
      <c r="AM942" s="1">
        <v>180902.0</v>
      </c>
      <c r="AN942" s="1">
        <v>31440.0</v>
      </c>
      <c r="AO942" s="1">
        <v>31440.0</v>
      </c>
      <c r="AP942" s="1">
        <v>12.044</v>
      </c>
      <c r="AR942" s="1">
        <v>845.0</v>
      </c>
      <c r="AS942" s="1">
        <v>138.0</v>
      </c>
      <c r="AT942" s="1">
        <v>6.123</v>
      </c>
      <c r="AU942" s="1">
        <v>57.751</v>
      </c>
      <c r="AV942" s="1" t="s">
        <v>972</v>
      </c>
      <c r="AW942" s="1">
        <v>4.238</v>
      </c>
      <c r="AX942" s="1">
        <v>2.0</v>
      </c>
      <c r="AY942" s="1">
        <v>2.0</v>
      </c>
      <c r="AZ942" s="1">
        <v>3.0</v>
      </c>
      <c r="BA942" s="1">
        <v>12.0</v>
      </c>
      <c r="BB942" s="1">
        <v>10.0</v>
      </c>
      <c r="BC942" s="1">
        <v>0.0</v>
      </c>
      <c r="BD942" s="1">
        <v>1.33</v>
      </c>
      <c r="BE942" s="1">
        <v>129.0</v>
      </c>
      <c r="BF942" s="1">
        <v>48.0</v>
      </c>
      <c r="BG942" s="1">
        <v>0.0</v>
      </c>
      <c r="BH942" s="1">
        <v>16.0</v>
      </c>
      <c r="BI942" s="1">
        <v>8.0</v>
      </c>
      <c r="BJ942" s="1">
        <v>0.0</v>
      </c>
      <c r="BO942" s="1" t="s">
        <v>3616</v>
      </c>
      <c r="BP942" s="1">
        <v>0.969</v>
      </c>
      <c r="BU942" s="1" t="s">
        <v>974</v>
      </c>
      <c r="BV942" s="1">
        <v>1.1</v>
      </c>
      <c r="EQ942" s="9" t="s">
        <v>3612</v>
      </c>
      <c r="ER942" s="21">
        <v>46045.29981481482</v>
      </c>
    </row>
    <row r="943">
      <c r="A943" s="9" t="s">
        <v>3617</v>
      </c>
      <c r="B943" s="20" t="str">
        <f>IFERROR(__xludf.DUMMYFUNCTION("REGEXREPLACE(A943, ""^https?://[^/]+"", """")"),"/case-study/construction-services/")</f>
        <v>/case-study/construction-services/</v>
      </c>
      <c r="C943" s="1" t="s">
        <v>3618</v>
      </c>
      <c r="D943" s="1" t="s">
        <v>3619</v>
      </c>
      <c r="E943" s="1" t="s">
        <v>1050</v>
      </c>
      <c r="F943" s="1" t="s">
        <v>965</v>
      </c>
      <c r="G943" s="1">
        <v>200.0</v>
      </c>
      <c r="H943" s="1" t="s">
        <v>966</v>
      </c>
      <c r="I943" s="1" t="s">
        <v>967</v>
      </c>
      <c r="K943" s="1" t="s">
        <v>3620</v>
      </c>
      <c r="L943" s="1">
        <v>125.0</v>
      </c>
      <c r="M943" s="1">
        <v>1156.0</v>
      </c>
      <c r="O943" s="1">
        <v>0.0</v>
      </c>
      <c r="P943" s="1">
        <v>0.0</v>
      </c>
      <c r="Q943" s="1" t="s">
        <v>3621</v>
      </c>
      <c r="R943" s="1">
        <v>127.0</v>
      </c>
      <c r="S943" s="1">
        <v>809.0</v>
      </c>
      <c r="U943" s="1">
        <v>0.0</v>
      </c>
      <c r="V943" s="1" t="s">
        <v>3618</v>
      </c>
      <c r="W943" s="1">
        <v>87.0</v>
      </c>
      <c r="Y943" s="1">
        <v>0.0</v>
      </c>
      <c r="Z943" s="1" t="s">
        <v>3619</v>
      </c>
      <c r="AA943" s="1">
        <v>15.0</v>
      </c>
      <c r="AB943" s="1" t="s">
        <v>1050</v>
      </c>
      <c r="AC943" s="1">
        <v>17.0</v>
      </c>
      <c r="AD943" s="1" t="s">
        <v>971</v>
      </c>
      <c r="AG943" s="9" t="s">
        <v>3617</v>
      </c>
      <c r="AM943" s="1">
        <v>178791.0</v>
      </c>
      <c r="AN943" s="1">
        <v>31555.0</v>
      </c>
      <c r="AO943" s="1">
        <v>31555.0</v>
      </c>
      <c r="AP943" s="1">
        <v>12.088</v>
      </c>
      <c r="AR943" s="1">
        <v>935.0</v>
      </c>
      <c r="AS943" s="1">
        <v>164.0</v>
      </c>
      <c r="AT943" s="1">
        <v>5.701</v>
      </c>
      <c r="AU943" s="1">
        <v>61.617</v>
      </c>
      <c r="AV943" s="1" t="s">
        <v>990</v>
      </c>
      <c r="AW943" s="1">
        <v>4.605</v>
      </c>
      <c r="AX943" s="1">
        <v>2.0</v>
      </c>
      <c r="AY943" s="1">
        <v>2.0</v>
      </c>
      <c r="AZ943" s="1">
        <v>1.0</v>
      </c>
      <c r="BA943" s="1">
        <v>7.0</v>
      </c>
      <c r="BB943" s="1">
        <v>5.0</v>
      </c>
      <c r="BC943" s="1">
        <v>0.0</v>
      </c>
      <c r="BD943" s="1">
        <v>0.66</v>
      </c>
      <c r="BE943" s="1">
        <v>127.0</v>
      </c>
      <c r="BF943" s="1">
        <v>47.0</v>
      </c>
      <c r="BG943" s="1">
        <v>0.0</v>
      </c>
      <c r="BH943" s="1">
        <v>16.0</v>
      </c>
      <c r="BI943" s="1">
        <v>8.0</v>
      </c>
      <c r="BJ943" s="1">
        <v>0.0</v>
      </c>
      <c r="BO943" s="1" t="s">
        <v>3622</v>
      </c>
      <c r="BP943" s="1">
        <v>1.002</v>
      </c>
      <c r="BU943" s="1" t="s">
        <v>974</v>
      </c>
      <c r="BV943" s="1">
        <v>1.1</v>
      </c>
      <c r="EQ943" s="9" t="s">
        <v>3617</v>
      </c>
      <c r="ER943" s="21">
        <v>46045.29982638889</v>
      </c>
    </row>
    <row r="944">
      <c r="A944" s="9" t="s">
        <v>3623</v>
      </c>
      <c r="B944" s="20" t="str">
        <f>IFERROR(__xludf.DUMMYFUNCTION("REGEXREPLACE(A944, ""^https?://[^/]+"", """")"),"/wp-content/uploads/2019/11/retail-thumb.jpg")</f>
        <v>/wp-content/uploads/2019/11/retail-thumb.jpg</v>
      </c>
      <c r="F944" s="1" t="s">
        <v>1004</v>
      </c>
      <c r="G944" s="1">
        <v>200.0</v>
      </c>
      <c r="H944" s="1" t="s">
        <v>966</v>
      </c>
      <c r="I944" s="1" t="s">
        <v>967</v>
      </c>
      <c r="L944" s="1">
        <v>0.0</v>
      </c>
      <c r="M944" s="1">
        <v>0.0</v>
      </c>
      <c r="O944" s="1">
        <v>0.0</v>
      </c>
      <c r="P944" s="1">
        <v>0.0</v>
      </c>
      <c r="R944" s="1">
        <v>0.0</v>
      </c>
      <c r="S944" s="1">
        <v>0.0</v>
      </c>
      <c r="U944" s="1">
        <v>0.0</v>
      </c>
      <c r="W944" s="1">
        <v>0.0</v>
      </c>
      <c r="Y944" s="1">
        <v>0.0</v>
      </c>
      <c r="AA944" s="1">
        <v>0.0</v>
      </c>
      <c r="AC944" s="1">
        <v>0.0</v>
      </c>
      <c r="AM944" s="1">
        <v>30327.0</v>
      </c>
      <c r="AN944" s="1">
        <v>30327.0</v>
      </c>
      <c r="AO944" s="1">
        <v>30327.0</v>
      </c>
      <c r="AP944" s="1">
        <v>11.618</v>
      </c>
      <c r="AR944" s="1">
        <v>0.0</v>
      </c>
      <c r="AW944" s="1">
        <v>0.0</v>
      </c>
      <c r="AX944" s="1">
        <v>2.0</v>
      </c>
      <c r="AY944" s="1">
        <v>4.0</v>
      </c>
      <c r="BA944" s="1">
        <v>0.0</v>
      </c>
      <c r="BB944" s="1">
        <v>0.0</v>
      </c>
      <c r="BC944" s="1">
        <v>0.0</v>
      </c>
      <c r="BD944" s="1">
        <v>0.0</v>
      </c>
      <c r="BE944" s="1">
        <v>0.0</v>
      </c>
      <c r="BF944" s="1">
        <v>0.0</v>
      </c>
      <c r="BG944" s="1">
        <v>0.0</v>
      </c>
      <c r="BH944" s="1">
        <v>0.0</v>
      </c>
      <c r="BI944" s="1">
        <v>0.0</v>
      </c>
      <c r="BJ944" s="1">
        <v>0.0</v>
      </c>
      <c r="BP944" s="1">
        <v>0.272</v>
      </c>
      <c r="BQ944" s="1" t="s">
        <v>3624</v>
      </c>
      <c r="BV944" s="1">
        <v>1.1</v>
      </c>
      <c r="EQ944" s="9" t="s">
        <v>3623</v>
      </c>
      <c r="ER944" s="21">
        <v>46045.299837962964</v>
      </c>
    </row>
    <row r="945">
      <c r="A945" s="9" t="s">
        <v>3625</v>
      </c>
      <c r="B945" s="20" t="str">
        <f>IFERROR(__xludf.DUMMYFUNCTION("REGEXREPLACE(A945, ""^https?://[^/]+"", """")"),"/wp-content/uploads/2019/05/case-study-thumb.jpg")</f>
        <v>/wp-content/uploads/2019/05/case-study-thumb.jpg</v>
      </c>
      <c r="F945" s="1" t="s">
        <v>1004</v>
      </c>
      <c r="G945" s="1">
        <v>200.0</v>
      </c>
      <c r="H945" s="1" t="s">
        <v>966</v>
      </c>
      <c r="I945" s="1" t="s">
        <v>967</v>
      </c>
      <c r="L945" s="1">
        <v>0.0</v>
      </c>
      <c r="M945" s="1">
        <v>0.0</v>
      </c>
      <c r="O945" s="1">
        <v>0.0</v>
      </c>
      <c r="P945" s="1">
        <v>0.0</v>
      </c>
      <c r="R945" s="1">
        <v>0.0</v>
      </c>
      <c r="S945" s="1">
        <v>0.0</v>
      </c>
      <c r="U945" s="1">
        <v>0.0</v>
      </c>
      <c r="W945" s="1">
        <v>0.0</v>
      </c>
      <c r="Y945" s="1">
        <v>0.0</v>
      </c>
      <c r="AA945" s="1">
        <v>0.0</v>
      </c>
      <c r="AC945" s="1">
        <v>0.0</v>
      </c>
      <c r="AM945" s="1">
        <v>74206.0</v>
      </c>
      <c r="AN945" s="1">
        <v>74206.0</v>
      </c>
      <c r="AO945" s="1">
        <v>74206.0</v>
      </c>
      <c r="AP945" s="1">
        <v>28.427</v>
      </c>
      <c r="AR945" s="1">
        <v>0.0</v>
      </c>
      <c r="AW945" s="1">
        <v>0.0</v>
      </c>
      <c r="AX945" s="1">
        <v>2.0</v>
      </c>
      <c r="AY945" s="1">
        <v>4.0</v>
      </c>
      <c r="BA945" s="1">
        <v>0.0</v>
      </c>
      <c r="BB945" s="1">
        <v>0.0</v>
      </c>
      <c r="BC945" s="1">
        <v>0.0</v>
      </c>
      <c r="BD945" s="1">
        <v>0.0</v>
      </c>
      <c r="BE945" s="1">
        <v>0.0</v>
      </c>
      <c r="BF945" s="1">
        <v>0.0</v>
      </c>
      <c r="BG945" s="1">
        <v>0.0</v>
      </c>
      <c r="BH945" s="1">
        <v>0.0</v>
      </c>
      <c r="BI945" s="1">
        <v>0.0</v>
      </c>
      <c r="BJ945" s="1">
        <v>0.0</v>
      </c>
      <c r="BP945" s="1">
        <v>0.31</v>
      </c>
      <c r="BQ945" s="1" t="s">
        <v>3626</v>
      </c>
      <c r="BV945" s="1">
        <v>1.1</v>
      </c>
      <c r="EQ945" s="9" t="s">
        <v>3625</v>
      </c>
      <c r="ER945" s="21">
        <v>46045.299837962964</v>
      </c>
    </row>
    <row r="946">
      <c r="A946" s="9" t="s">
        <v>3627</v>
      </c>
      <c r="B946" s="20" t="str">
        <f>IFERROR(__xludf.DUMMYFUNCTION("REGEXREPLACE(A946, ""^https?://[^/]+"", """")"),"/wp-content/uploads/2020/01/turning-flat-thumb.jpg")</f>
        <v>/wp-content/uploads/2020/01/turning-flat-thumb.jpg</v>
      </c>
      <c r="F946" s="1" t="s">
        <v>1004</v>
      </c>
      <c r="G946" s="1">
        <v>200.0</v>
      </c>
      <c r="H946" s="1" t="s">
        <v>966</v>
      </c>
      <c r="I946" s="1" t="s">
        <v>967</v>
      </c>
      <c r="L946" s="1">
        <v>0.0</v>
      </c>
      <c r="M946" s="1">
        <v>0.0</v>
      </c>
      <c r="O946" s="1">
        <v>0.0</v>
      </c>
      <c r="P946" s="1">
        <v>0.0</v>
      </c>
      <c r="R946" s="1">
        <v>0.0</v>
      </c>
      <c r="S946" s="1">
        <v>0.0</v>
      </c>
      <c r="U946" s="1">
        <v>0.0</v>
      </c>
      <c r="W946" s="1">
        <v>0.0</v>
      </c>
      <c r="Y946" s="1">
        <v>0.0</v>
      </c>
      <c r="AA946" s="1">
        <v>0.0</v>
      </c>
      <c r="AC946" s="1">
        <v>0.0</v>
      </c>
      <c r="AM946" s="1">
        <v>107415.0</v>
      </c>
      <c r="AN946" s="1">
        <v>107415.0</v>
      </c>
      <c r="AO946" s="1">
        <v>107415.0</v>
      </c>
      <c r="AP946" s="1">
        <v>41.149</v>
      </c>
      <c r="AR946" s="1">
        <v>0.0</v>
      </c>
      <c r="AW946" s="1">
        <v>0.0</v>
      </c>
      <c r="AX946" s="1">
        <v>2.0</v>
      </c>
      <c r="AY946" s="1">
        <v>4.0</v>
      </c>
      <c r="BA946" s="1">
        <v>0.0</v>
      </c>
      <c r="BB946" s="1">
        <v>0.0</v>
      </c>
      <c r="BC946" s="1">
        <v>0.0</v>
      </c>
      <c r="BD946" s="1">
        <v>0.0</v>
      </c>
      <c r="BE946" s="1">
        <v>0.0</v>
      </c>
      <c r="BF946" s="1">
        <v>0.0</v>
      </c>
      <c r="BG946" s="1">
        <v>0.0</v>
      </c>
      <c r="BH946" s="1">
        <v>0.0</v>
      </c>
      <c r="BI946" s="1">
        <v>0.0</v>
      </c>
      <c r="BJ946" s="1">
        <v>0.0</v>
      </c>
      <c r="BP946" s="1">
        <v>0.28</v>
      </c>
      <c r="BQ946" s="1" t="s">
        <v>3628</v>
      </c>
      <c r="BV946" s="1">
        <v>1.1</v>
      </c>
      <c r="EQ946" s="9" t="s">
        <v>3627</v>
      </c>
      <c r="ER946" s="21">
        <v>46045.299837962964</v>
      </c>
    </row>
    <row r="947">
      <c r="A947" s="9" t="s">
        <v>3629</v>
      </c>
      <c r="B947" s="20" t="str">
        <f>IFERROR(__xludf.DUMMYFUNCTION("REGEXREPLACE(A947, ""^https?://[^/]+"", """")"),"/wp-content/uploads/2022/03/Case-Study_Healthcare_SX-1-thumb.jpg")</f>
        <v>/wp-content/uploads/2022/03/Case-Study_Healthcare_SX-1-thumb.jpg</v>
      </c>
      <c r="F947" s="1" t="s">
        <v>1004</v>
      </c>
      <c r="G947" s="1">
        <v>200.0</v>
      </c>
      <c r="H947" s="1" t="s">
        <v>966</v>
      </c>
      <c r="I947" s="1" t="s">
        <v>967</v>
      </c>
      <c r="L947" s="1">
        <v>0.0</v>
      </c>
      <c r="M947" s="1">
        <v>0.0</v>
      </c>
      <c r="O947" s="1">
        <v>0.0</v>
      </c>
      <c r="P947" s="1">
        <v>0.0</v>
      </c>
      <c r="R947" s="1">
        <v>0.0</v>
      </c>
      <c r="S947" s="1">
        <v>0.0</v>
      </c>
      <c r="U947" s="1">
        <v>0.0</v>
      </c>
      <c r="W947" s="1">
        <v>0.0</v>
      </c>
      <c r="Y947" s="1">
        <v>0.0</v>
      </c>
      <c r="AA947" s="1">
        <v>0.0</v>
      </c>
      <c r="AC947" s="1">
        <v>0.0</v>
      </c>
      <c r="AM947" s="1">
        <v>424828.0</v>
      </c>
      <c r="AN947" s="1">
        <v>424828.0</v>
      </c>
      <c r="AO947" s="1">
        <v>424828.0</v>
      </c>
      <c r="AP947" s="1">
        <v>162.744</v>
      </c>
      <c r="AR947" s="1">
        <v>0.0</v>
      </c>
      <c r="AW947" s="1">
        <v>0.0</v>
      </c>
      <c r="AX947" s="1">
        <v>2.0</v>
      </c>
      <c r="AY947" s="1">
        <v>4.0</v>
      </c>
      <c r="BA947" s="1">
        <v>0.0</v>
      </c>
      <c r="BB947" s="1">
        <v>0.0</v>
      </c>
      <c r="BC947" s="1">
        <v>0.0</v>
      </c>
      <c r="BD947" s="1">
        <v>0.0</v>
      </c>
      <c r="BE947" s="1">
        <v>0.0</v>
      </c>
      <c r="BF947" s="1">
        <v>0.0</v>
      </c>
      <c r="BG947" s="1">
        <v>0.0</v>
      </c>
      <c r="BH947" s="1">
        <v>0.0</v>
      </c>
      <c r="BI947" s="1">
        <v>0.0</v>
      </c>
      <c r="BJ947" s="1">
        <v>0.0</v>
      </c>
      <c r="BP947" s="1">
        <v>0.264</v>
      </c>
      <c r="BQ947" s="1" t="s">
        <v>3630</v>
      </c>
      <c r="BV947" s="1">
        <v>1.1</v>
      </c>
      <c r="EQ947" s="9" t="s">
        <v>3629</v>
      </c>
      <c r="ER947" s="21">
        <v>46045.299837962964</v>
      </c>
    </row>
    <row r="948">
      <c r="A948" s="9" t="s">
        <v>3631</v>
      </c>
      <c r="B948" s="20" t="str">
        <f>IFERROR(__xludf.DUMMYFUNCTION("REGEXREPLACE(A948, ""^https?://[^/]+"", """")"),"/wp-content/uploads/2024/06/Building-a-Future-Proof-Sales-Infrastructure-Thumbnail.jpg")</f>
        <v>/wp-content/uploads/2024/06/Building-a-Future-Proof-Sales-Infrastructure-Thumbnail.jpg</v>
      </c>
      <c r="F948" s="1" t="s">
        <v>1004</v>
      </c>
      <c r="G948" s="1">
        <v>200.0</v>
      </c>
      <c r="H948" s="1" t="s">
        <v>966</v>
      </c>
      <c r="I948" s="1" t="s">
        <v>967</v>
      </c>
      <c r="L948" s="1">
        <v>0.0</v>
      </c>
      <c r="M948" s="1">
        <v>0.0</v>
      </c>
      <c r="O948" s="1">
        <v>0.0</v>
      </c>
      <c r="P948" s="1">
        <v>0.0</v>
      </c>
      <c r="R948" s="1">
        <v>0.0</v>
      </c>
      <c r="S948" s="1">
        <v>0.0</v>
      </c>
      <c r="U948" s="1">
        <v>0.0</v>
      </c>
      <c r="W948" s="1">
        <v>0.0</v>
      </c>
      <c r="Y948" s="1">
        <v>0.0</v>
      </c>
      <c r="AA948" s="1">
        <v>0.0</v>
      </c>
      <c r="AC948" s="1">
        <v>0.0</v>
      </c>
      <c r="AM948" s="1">
        <v>53319.0</v>
      </c>
      <c r="AN948" s="1">
        <v>53319.0</v>
      </c>
      <c r="AO948" s="1">
        <v>53319.0</v>
      </c>
      <c r="AP948" s="1">
        <v>20.425</v>
      </c>
      <c r="AR948" s="1">
        <v>0.0</v>
      </c>
      <c r="AW948" s="1">
        <v>0.0</v>
      </c>
      <c r="AX948" s="1">
        <v>2.0</v>
      </c>
      <c r="AY948" s="1">
        <v>4.0</v>
      </c>
      <c r="BA948" s="1">
        <v>0.0</v>
      </c>
      <c r="BB948" s="1">
        <v>0.0</v>
      </c>
      <c r="BC948" s="1">
        <v>0.0</v>
      </c>
      <c r="BD948" s="1">
        <v>0.0</v>
      </c>
      <c r="BE948" s="1">
        <v>0.0</v>
      </c>
      <c r="BF948" s="1">
        <v>0.0</v>
      </c>
      <c r="BG948" s="1">
        <v>0.0</v>
      </c>
      <c r="BH948" s="1">
        <v>0.0</v>
      </c>
      <c r="BI948" s="1">
        <v>0.0</v>
      </c>
      <c r="BJ948" s="1">
        <v>0.0</v>
      </c>
      <c r="BP948" s="1">
        <v>0.276</v>
      </c>
      <c r="BQ948" s="1" t="s">
        <v>3632</v>
      </c>
      <c r="BV948" s="1">
        <v>1.1</v>
      </c>
      <c r="EQ948" s="9" t="s">
        <v>3631</v>
      </c>
      <c r="ER948" s="21">
        <v>46045.299837962964</v>
      </c>
    </row>
    <row r="949">
      <c r="A949" s="9" t="s">
        <v>3633</v>
      </c>
      <c r="B949" s="20" t="str">
        <f>IFERROR(__xludf.DUMMYFUNCTION("REGEXREPLACE(A949, ""^https?://[^/]+"", """")"),"/wp-content/uploads/2020/01/manu_thumbnail.jpg")</f>
        <v>/wp-content/uploads/2020/01/manu_thumbnail.jpg</v>
      </c>
      <c r="F949" s="1" t="s">
        <v>1004</v>
      </c>
      <c r="G949" s="1">
        <v>200.0</v>
      </c>
      <c r="H949" s="1" t="s">
        <v>966</v>
      </c>
      <c r="I949" s="1" t="s">
        <v>967</v>
      </c>
      <c r="L949" s="1">
        <v>0.0</v>
      </c>
      <c r="M949" s="1">
        <v>0.0</v>
      </c>
      <c r="O949" s="1">
        <v>0.0</v>
      </c>
      <c r="P949" s="1">
        <v>0.0</v>
      </c>
      <c r="R949" s="1">
        <v>0.0</v>
      </c>
      <c r="S949" s="1">
        <v>0.0</v>
      </c>
      <c r="U949" s="1">
        <v>0.0</v>
      </c>
      <c r="W949" s="1">
        <v>0.0</v>
      </c>
      <c r="Y949" s="1">
        <v>0.0</v>
      </c>
      <c r="AA949" s="1">
        <v>0.0</v>
      </c>
      <c r="AC949" s="1">
        <v>0.0</v>
      </c>
      <c r="AM949" s="1">
        <v>95028.0</v>
      </c>
      <c r="AN949" s="1">
        <v>95028.0</v>
      </c>
      <c r="AO949" s="1">
        <v>95028.0</v>
      </c>
      <c r="AP949" s="1">
        <v>36.403</v>
      </c>
      <c r="AR949" s="1">
        <v>0.0</v>
      </c>
      <c r="AW949" s="1">
        <v>0.0</v>
      </c>
      <c r="AX949" s="1">
        <v>2.0</v>
      </c>
      <c r="AY949" s="1">
        <v>4.0</v>
      </c>
      <c r="BA949" s="1">
        <v>0.0</v>
      </c>
      <c r="BB949" s="1">
        <v>0.0</v>
      </c>
      <c r="BC949" s="1">
        <v>0.0</v>
      </c>
      <c r="BD949" s="1">
        <v>0.0</v>
      </c>
      <c r="BE949" s="1">
        <v>0.0</v>
      </c>
      <c r="BF949" s="1">
        <v>0.0</v>
      </c>
      <c r="BG949" s="1">
        <v>0.0</v>
      </c>
      <c r="BH949" s="1">
        <v>0.0</v>
      </c>
      <c r="BI949" s="1">
        <v>0.0</v>
      </c>
      <c r="BJ949" s="1">
        <v>0.0</v>
      </c>
      <c r="BP949" s="1">
        <v>0.377</v>
      </c>
      <c r="BQ949" s="1" t="s">
        <v>3634</v>
      </c>
      <c r="BV949" s="1">
        <v>1.1</v>
      </c>
      <c r="EQ949" s="9" t="s">
        <v>3633</v>
      </c>
      <c r="ER949" s="21">
        <v>46045.299837962964</v>
      </c>
    </row>
    <row r="950">
      <c r="A950" s="9" t="s">
        <v>3635</v>
      </c>
      <c r="B950" s="20" t="str">
        <f>IFERROR(__xludf.DUMMYFUNCTION("REGEXREPLACE(A950, ""^https?://[^/]+"", """")"),"/case-study/metal-fabrication-manufacturing/")</f>
        <v>/case-study/metal-fabrication-manufacturing/</v>
      </c>
      <c r="C950" s="1" t="s">
        <v>3636</v>
      </c>
      <c r="D950" s="1" t="s">
        <v>1050</v>
      </c>
      <c r="E950" s="1" t="s">
        <v>1051</v>
      </c>
      <c r="F950" s="1" t="s">
        <v>965</v>
      </c>
      <c r="G950" s="1">
        <v>200.0</v>
      </c>
      <c r="H950" s="1" t="s">
        <v>966</v>
      </c>
      <c r="I950" s="1" t="s">
        <v>967</v>
      </c>
      <c r="K950" s="1" t="s">
        <v>3637</v>
      </c>
      <c r="L950" s="1">
        <v>129.0</v>
      </c>
      <c r="M950" s="1">
        <v>1179.0</v>
      </c>
      <c r="O950" s="1">
        <v>0.0</v>
      </c>
      <c r="P950" s="1">
        <v>0.0</v>
      </c>
      <c r="Q950" s="1" t="s">
        <v>3638</v>
      </c>
      <c r="R950" s="1">
        <v>149.0</v>
      </c>
      <c r="S950" s="1">
        <v>908.0</v>
      </c>
      <c r="U950" s="1">
        <v>0.0</v>
      </c>
      <c r="V950" s="1" t="s">
        <v>3636</v>
      </c>
      <c r="W950" s="1">
        <v>91.0</v>
      </c>
      <c r="Y950" s="1">
        <v>0.0</v>
      </c>
      <c r="Z950" s="1" t="s">
        <v>1050</v>
      </c>
      <c r="AA950" s="1">
        <v>17.0</v>
      </c>
      <c r="AB950" s="1" t="s">
        <v>1051</v>
      </c>
      <c r="AC950" s="1">
        <v>11.0</v>
      </c>
      <c r="AD950" s="1" t="s">
        <v>971</v>
      </c>
      <c r="AG950" s="9" t="s">
        <v>3635</v>
      </c>
      <c r="AM950" s="1">
        <v>180732.0</v>
      </c>
      <c r="AN950" s="1">
        <v>31513.0</v>
      </c>
      <c r="AO950" s="1">
        <v>31513.0</v>
      </c>
      <c r="AP950" s="1">
        <v>12.072</v>
      </c>
      <c r="AR950" s="1">
        <v>889.0</v>
      </c>
      <c r="AS950" s="1">
        <v>143.0</v>
      </c>
      <c r="AT950" s="1">
        <v>6.217</v>
      </c>
      <c r="AU950" s="1">
        <v>65.489</v>
      </c>
      <c r="AV950" s="1" t="s">
        <v>990</v>
      </c>
      <c r="AW950" s="1">
        <v>4.304</v>
      </c>
      <c r="AX950" s="1">
        <v>2.0</v>
      </c>
      <c r="AY950" s="1">
        <v>2.0</v>
      </c>
      <c r="AZ950" s="1">
        <v>1.0</v>
      </c>
      <c r="BA950" s="1">
        <v>4.0</v>
      </c>
      <c r="BB950" s="1">
        <v>2.0</v>
      </c>
      <c r="BC950" s="1">
        <v>0.0</v>
      </c>
      <c r="BD950" s="1">
        <v>0.27</v>
      </c>
      <c r="BE950" s="1">
        <v>128.0</v>
      </c>
      <c r="BF950" s="1">
        <v>48.0</v>
      </c>
      <c r="BG950" s="1">
        <v>0.0</v>
      </c>
      <c r="BH950" s="1">
        <v>16.0</v>
      </c>
      <c r="BI950" s="1">
        <v>8.0</v>
      </c>
      <c r="BJ950" s="1">
        <v>0.0</v>
      </c>
      <c r="BO950" s="1" t="s">
        <v>3639</v>
      </c>
      <c r="BP950" s="1">
        <v>0.974</v>
      </c>
      <c r="BU950" s="1" t="s">
        <v>974</v>
      </c>
      <c r="BV950" s="1">
        <v>1.1</v>
      </c>
      <c r="EQ950" s="9" t="s">
        <v>3635</v>
      </c>
      <c r="ER950" s="21">
        <v>46045.29982638889</v>
      </c>
    </row>
    <row r="951">
      <c r="A951" s="9" t="s">
        <v>3640</v>
      </c>
      <c r="B951" s="20" t="str">
        <f>IFERROR(__xludf.DUMMYFUNCTION("REGEXREPLACE(A951, ""^https?://[^/]+"", """")"),"/wp-content/uploads/2019/11/marketing-thumb.jpg")</f>
        <v>/wp-content/uploads/2019/11/marketing-thumb.jpg</v>
      </c>
      <c r="F951" s="1" t="s">
        <v>1004</v>
      </c>
      <c r="G951" s="1">
        <v>200.0</v>
      </c>
      <c r="H951" s="1" t="s">
        <v>966</v>
      </c>
      <c r="I951" s="1" t="s">
        <v>967</v>
      </c>
      <c r="L951" s="1">
        <v>0.0</v>
      </c>
      <c r="M951" s="1">
        <v>0.0</v>
      </c>
      <c r="O951" s="1">
        <v>0.0</v>
      </c>
      <c r="P951" s="1">
        <v>0.0</v>
      </c>
      <c r="R951" s="1">
        <v>0.0</v>
      </c>
      <c r="S951" s="1">
        <v>0.0</v>
      </c>
      <c r="U951" s="1">
        <v>0.0</v>
      </c>
      <c r="W951" s="1">
        <v>0.0</v>
      </c>
      <c r="Y951" s="1">
        <v>0.0</v>
      </c>
      <c r="AA951" s="1">
        <v>0.0</v>
      </c>
      <c r="AC951" s="1">
        <v>0.0</v>
      </c>
      <c r="AM951" s="1">
        <v>148185.0</v>
      </c>
      <c r="AN951" s="1">
        <v>148185.0</v>
      </c>
      <c r="AO951" s="1">
        <v>148185.0</v>
      </c>
      <c r="AP951" s="1">
        <v>56.767</v>
      </c>
      <c r="AR951" s="1">
        <v>0.0</v>
      </c>
      <c r="AW951" s="1">
        <v>0.0</v>
      </c>
      <c r="AX951" s="1">
        <v>2.0</v>
      </c>
      <c r="AY951" s="1">
        <v>4.0</v>
      </c>
      <c r="BA951" s="1">
        <v>0.0</v>
      </c>
      <c r="BB951" s="1">
        <v>0.0</v>
      </c>
      <c r="BC951" s="1">
        <v>0.0</v>
      </c>
      <c r="BD951" s="1">
        <v>0.0</v>
      </c>
      <c r="BE951" s="1">
        <v>0.0</v>
      </c>
      <c r="BF951" s="1">
        <v>0.0</v>
      </c>
      <c r="BG951" s="1">
        <v>0.0</v>
      </c>
      <c r="BH951" s="1">
        <v>0.0</v>
      </c>
      <c r="BI951" s="1">
        <v>0.0</v>
      </c>
      <c r="BJ951" s="1">
        <v>0.0</v>
      </c>
      <c r="BP951" s="1">
        <v>0.279</v>
      </c>
      <c r="BQ951" s="1" t="s">
        <v>3641</v>
      </c>
      <c r="BV951" s="1">
        <v>1.1</v>
      </c>
      <c r="EQ951" s="9" t="s">
        <v>3640</v>
      </c>
      <c r="ER951" s="21">
        <v>46045.299837962964</v>
      </c>
    </row>
    <row r="952">
      <c r="A952" s="9" t="s">
        <v>3642</v>
      </c>
      <c r="B952" s="20" t="str">
        <f>IFERROR(__xludf.DUMMYFUNCTION("REGEXREPLACE(A952, ""^https?://[^/]+"", """")"),"/wp-content/uploads/2022/05/thumb-Case-Study_Construction_SX-1.jpg")</f>
        <v>/wp-content/uploads/2022/05/thumb-Case-Study_Construction_SX-1.jpg</v>
      </c>
      <c r="F952" s="1" t="s">
        <v>1004</v>
      </c>
      <c r="G952" s="1">
        <v>200.0</v>
      </c>
      <c r="H952" s="1" t="s">
        <v>966</v>
      </c>
      <c r="I952" s="1" t="s">
        <v>967</v>
      </c>
      <c r="L952" s="1">
        <v>0.0</v>
      </c>
      <c r="M952" s="1">
        <v>0.0</v>
      </c>
      <c r="O952" s="1">
        <v>0.0</v>
      </c>
      <c r="P952" s="1">
        <v>0.0</v>
      </c>
      <c r="R952" s="1">
        <v>0.0</v>
      </c>
      <c r="S952" s="1">
        <v>0.0</v>
      </c>
      <c r="U952" s="1">
        <v>0.0</v>
      </c>
      <c r="W952" s="1">
        <v>0.0</v>
      </c>
      <c r="Y952" s="1">
        <v>0.0</v>
      </c>
      <c r="AA952" s="1">
        <v>0.0</v>
      </c>
      <c r="AC952" s="1">
        <v>0.0</v>
      </c>
      <c r="AM952" s="1">
        <v>274819.0</v>
      </c>
      <c r="AN952" s="1">
        <v>274819.0</v>
      </c>
      <c r="AO952" s="1">
        <v>274819.0</v>
      </c>
      <c r="AP952" s="1">
        <v>105.278</v>
      </c>
      <c r="AR952" s="1">
        <v>0.0</v>
      </c>
      <c r="AW952" s="1">
        <v>0.0</v>
      </c>
      <c r="AX952" s="1">
        <v>2.0</v>
      </c>
      <c r="AY952" s="1">
        <v>4.0</v>
      </c>
      <c r="BA952" s="1">
        <v>0.0</v>
      </c>
      <c r="BB952" s="1">
        <v>0.0</v>
      </c>
      <c r="BC952" s="1">
        <v>0.0</v>
      </c>
      <c r="BD952" s="1">
        <v>0.0</v>
      </c>
      <c r="BE952" s="1">
        <v>0.0</v>
      </c>
      <c r="BF952" s="1">
        <v>0.0</v>
      </c>
      <c r="BG952" s="1">
        <v>0.0</v>
      </c>
      <c r="BH952" s="1">
        <v>0.0</v>
      </c>
      <c r="BI952" s="1">
        <v>0.0</v>
      </c>
      <c r="BJ952" s="1">
        <v>0.0</v>
      </c>
      <c r="BP952" s="1">
        <v>0.281</v>
      </c>
      <c r="BQ952" s="1" t="s">
        <v>3643</v>
      </c>
      <c r="BV952" s="1">
        <v>1.1</v>
      </c>
      <c r="EQ952" s="9" t="s">
        <v>3642</v>
      </c>
      <c r="ER952" s="21">
        <v>46045.299837962964</v>
      </c>
    </row>
    <row r="953">
      <c r="A953" s="9" t="s">
        <v>3644</v>
      </c>
      <c r="B953" s="20" t="str">
        <f>IFERROR(__xludf.DUMMYFUNCTION("REGEXREPLACE(A953, ""^https?://[^/]+"", """")"),"/wp-content/uploads/2019/07/2019-07-18_161018.jpg")</f>
        <v>/wp-content/uploads/2019/07/2019-07-18_161018.jpg</v>
      </c>
      <c r="F953" s="1" t="s">
        <v>1004</v>
      </c>
      <c r="G953" s="1">
        <v>200.0</v>
      </c>
      <c r="H953" s="1" t="s">
        <v>966</v>
      </c>
      <c r="I953" s="1" t="s">
        <v>967</v>
      </c>
      <c r="L953" s="1">
        <v>0.0</v>
      </c>
      <c r="M953" s="1">
        <v>0.0</v>
      </c>
      <c r="O953" s="1">
        <v>0.0</v>
      </c>
      <c r="P953" s="1">
        <v>0.0</v>
      </c>
      <c r="R953" s="1">
        <v>0.0</v>
      </c>
      <c r="S953" s="1">
        <v>0.0</v>
      </c>
      <c r="U953" s="1">
        <v>0.0</v>
      </c>
      <c r="W953" s="1">
        <v>0.0</v>
      </c>
      <c r="Y953" s="1">
        <v>0.0</v>
      </c>
      <c r="AA953" s="1">
        <v>0.0</v>
      </c>
      <c r="AC953" s="1">
        <v>0.0</v>
      </c>
      <c r="AM953" s="1">
        <v>59475.0</v>
      </c>
      <c r="AN953" s="1">
        <v>59475.0</v>
      </c>
      <c r="AO953" s="1">
        <v>59475.0</v>
      </c>
      <c r="AP953" s="1">
        <v>22.784</v>
      </c>
      <c r="AR953" s="1">
        <v>0.0</v>
      </c>
      <c r="AW953" s="1">
        <v>0.0</v>
      </c>
      <c r="AX953" s="1">
        <v>2.0</v>
      </c>
      <c r="AY953" s="1">
        <v>4.0</v>
      </c>
      <c r="BA953" s="1">
        <v>0.0</v>
      </c>
      <c r="BB953" s="1">
        <v>0.0</v>
      </c>
      <c r="BC953" s="1">
        <v>0.0</v>
      </c>
      <c r="BD953" s="1">
        <v>0.0</v>
      </c>
      <c r="BE953" s="1">
        <v>0.0</v>
      </c>
      <c r="BF953" s="1">
        <v>0.0</v>
      </c>
      <c r="BG953" s="1">
        <v>0.0</v>
      </c>
      <c r="BH953" s="1">
        <v>0.0</v>
      </c>
      <c r="BI953" s="1">
        <v>0.0</v>
      </c>
      <c r="BJ953" s="1">
        <v>0.0</v>
      </c>
      <c r="BP953" s="1">
        <v>0.383</v>
      </c>
      <c r="BQ953" s="1" t="s">
        <v>3645</v>
      </c>
      <c r="BV953" s="1">
        <v>1.1</v>
      </c>
      <c r="EQ953" s="9" t="s">
        <v>3644</v>
      </c>
      <c r="ER953" s="21">
        <v>46045.299837962964</v>
      </c>
    </row>
    <row r="954">
      <c r="A954" s="9" t="s">
        <v>3646</v>
      </c>
      <c r="B954" s="20" t="str">
        <f>IFERROR(__xludf.DUMMYFUNCTION("REGEXREPLACE(A954, ""^https?://[^/]+"", """")"),"/wp-content/uploads/2019/11/payroll-thumb-2048x2048.jpg")</f>
        <v>/wp-content/uploads/2019/11/payroll-thumb-2048x2048.jpg</v>
      </c>
      <c r="F954" s="1" t="s">
        <v>1004</v>
      </c>
      <c r="G954" s="1">
        <v>200.0</v>
      </c>
      <c r="H954" s="1" t="s">
        <v>966</v>
      </c>
      <c r="I954" s="1" t="s">
        <v>967</v>
      </c>
      <c r="L954" s="1">
        <v>0.0</v>
      </c>
      <c r="M954" s="1">
        <v>0.0</v>
      </c>
      <c r="O954" s="1">
        <v>0.0</v>
      </c>
      <c r="P954" s="1">
        <v>0.0</v>
      </c>
      <c r="R954" s="1">
        <v>0.0</v>
      </c>
      <c r="S954" s="1">
        <v>0.0</v>
      </c>
      <c r="U954" s="1">
        <v>0.0</v>
      </c>
      <c r="W954" s="1">
        <v>0.0</v>
      </c>
      <c r="Y954" s="1">
        <v>0.0</v>
      </c>
      <c r="AA954" s="1">
        <v>0.0</v>
      </c>
      <c r="AC954" s="1">
        <v>0.0</v>
      </c>
      <c r="AM954" s="1">
        <v>311959.0</v>
      </c>
      <c r="AN954" s="1">
        <v>311959.0</v>
      </c>
      <c r="AO954" s="1">
        <v>311959.0</v>
      </c>
      <c r="AP954" s="1">
        <v>119.506</v>
      </c>
      <c r="AR954" s="1">
        <v>0.0</v>
      </c>
      <c r="AW954" s="1">
        <v>0.0</v>
      </c>
      <c r="AX954" s="1">
        <v>2.0</v>
      </c>
      <c r="AY954" s="1">
        <v>4.0</v>
      </c>
      <c r="BA954" s="1">
        <v>0.0</v>
      </c>
      <c r="BB954" s="1">
        <v>0.0</v>
      </c>
      <c r="BC954" s="1">
        <v>0.0</v>
      </c>
      <c r="BD954" s="1">
        <v>0.0</v>
      </c>
      <c r="BE954" s="1">
        <v>0.0</v>
      </c>
      <c r="BF954" s="1">
        <v>0.0</v>
      </c>
      <c r="BG954" s="1">
        <v>0.0</v>
      </c>
      <c r="BH954" s="1">
        <v>0.0</v>
      </c>
      <c r="BI954" s="1">
        <v>0.0</v>
      </c>
      <c r="BJ954" s="1">
        <v>0.0</v>
      </c>
      <c r="BP954" s="1">
        <v>0.277</v>
      </c>
      <c r="BQ954" s="1" t="s">
        <v>3647</v>
      </c>
      <c r="BV954" s="1">
        <v>1.1</v>
      </c>
      <c r="EQ954" s="9" t="s">
        <v>3646</v>
      </c>
      <c r="ER954" s="21">
        <v>46045.299837962964</v>
      </c>
    </row>
    <row r="955">
      <c r="A955" s="9" t="s">
        <v>3648</v>
      </c>
      <c r="B955" s="20" t="str">
        <f>IFERROR(__xludf.DUMMYFUNCTION("REGEXREPLACE(A955, ""^https?://[^/]+"", """")"),"/wp-content/uploads/2024/04/Puzzle.svg")</f>
        <v>/wp-content/uploads/2024/04/Puzzle.svg</v>
      </c>
      <c r="F955" s="1" t="s">
        <v>1391</v>
      </c>
      <c r="G955" s="1">
        <v>200.0</v>
      </c>
      <c r="H955" s="1" t="s">
        <v>966</v>
      </c>
      <c r="I955" s="1" t="s">
        <v>967</v>
      </c>
      <c r="L955" s="1">
        <v>0.0</v>
      </c>
      <c r="M955" s="1">
        <v>0.0</v>
      </c>
      <c r="O955" s="1">
        <v>0.0</v>
      </c>
      <c r="P955" s="1">
        <v>0.0</v>
      </c>
      <c r="R955" s="1">
        <v>0.0</v>
      </c>
      <c r="S955" s="1">
        <v>0.0</v>
      </c>
      <c r="U955" s="1">
        <v>0.0</v>
      </c>
      <c r="W955" s="1">
        <v>0.0</v>
      </c>
      <c r="Y955" s="1">
        <v>0.0</v>
      </c>
      <c r="AA955" s="1">
        <v>0.0</v>
      </c>
      <c r="AC955" s="1">
        <v>0.0</v>
      </c>
      <c r="AM955" s="1">
        <v>0.0</v>
      </c>
      <c r="AN955" s="1">
        <v>0.0</v>
      </c>
      <c r="AO955" s="1">
        <v>0.0</v>
      </c>
      <c r="AP955" s="1">
        <v>0.0</v>
      </c>
      <c r="AR955" s="1">
        <v>0.0</v>
      </c>
      <c r="AW955" s="1">
        <v>0.0</v>
      </c>
      <c r="AX955" s="1">
        <v>2.0</v>
      </c>
      <c r="AY955" s="1">
        <v>4.0</v>
      </c>
      <c r="BA955" s="1">
        <v>0.0</v>
      </c>
      <c r="BB955" s="1">
        <v>0.0</v>
      </c>
      <c r="BC955" s="1">
        <v>0.0</v>
      </c>
      <c r="BD955" s="1">
        <v>0.0</v>
      </c>
      <c r="BE955" s="1">
        <v>0.0</v>
      </c>
      <c r="BF955" s="1">
        <v>0.0</v>
      </c>
      <c r="BG955" s="1">
        <v>0.0</v>
      </c>
      <c r="BH955" s="1">
        <v>0.0</v>
      </c>
      <c r="BI955" s="1">
        <v>0.0</v>
      </c>
      <c r="BJ955" s="1">
        <v>0.0</v>
      </c>
      <c r="BP955" s="1">
        <v>0.264</v>
      </c>
      <c r="BQ955" s="1" t="s">
        <v>3649</v>
      </c>
      <c r="BV955" s="1">
        <v>1.1</v>
      </c>
      <c r="EQ955" s="9" t="s">
        <v>3648</v>
      </c>
      <c r="ER955" s="21">
        <v>46045.299837962964</v>
      </c>
    </row>
    <row r="956">
      <c r="A956" s="9" t="s">
        <v>3650</v>
      </c>
      <c r="B956" s="20" t="str">
        <f>IFERROR(__xludf.DUMMYFUNCTION("REGEXREPLACE(A956, ""^https?://[^/]+"", """")"),"/wp-content/uploads/2024/04/Mag-Glass.svg")</f>
        <v>/wp-content/uploads/2024/04/Mag-Glass.svg</v>
      </c>
      <c r="F956" s="1" t="s">
        <v>1391</v>
      </c>
      <c r="G956" s="1">
        <v>200.0</v>
      </c>
      <c r="H956" s="1" t="s">
        <v>966</v>
      </c>
      <c r="I956" s="1" t="s">
        <v>967</v>
      </c>
      <c r="L956" s="1">
        <v>0.0</v>
      </c>
      <c r="M956" s="1">
        <v>0.0</v>
      </c>
      <c r="O956" s="1">
        <v>0.0</v>
      </c>
      <c r="P956" s="1">
        <v>0.0</v>
      </c>
      <c r="R956" s="1">
        <v>0.0</v>
      </c>
      <c r="S956" s="1">
        <v>0.0</v>
      </c>
      <c r="U956" s="1">
        <v>0.0</v>
      </c>
      <c r="W956" s="1">
        <v>0.0</v>
      </c>
      <c r="Y956" s="1">
        <v>0.0</v>
      </c>
      <c r="AA956" s="1">
        <v>0.0</v>
      </c>
      <c r="AC956" s="1">
        <v>0.0</v>
      </c>
      <c r="AM956" s="1">
        <v>0.0</v>
      </c>
      <c r="AN956" s="1">
        <v>0.0</v>
      </c>
      <c r="AO956" s="1">
        <v>0.0</v>
      </c>
      <c r="AP956" s="1">
        <v>0.0</v>
      </c>
      <c r="AR956" s="1">
        <v>0.0</v>
      </c>
      <c r="AW956" s="1">
        <v>0.0</v>
      </c>
      <c r="AX956" s="1">
        <v>2.0</v>
      </c>
      <c r="AY956" s="1">
        <v>4.0</v>
      </c>
      <c r="BA956" s="1">
        <v>0.0</v>
      </c>
      <c r="BB956" s="1">
        <v>0.0</v>
      </c>
      <c r="BC956" s="1">
        <v>0.0</v>
      </c>
      <c r="BD956" s="1">
        <v>0.0</v>
      </c>
      <c r="BE956" s="1">
        <v>0.0</v>
      </c>
      <c r="BF956" s="1">
        <v>0.0</v>
      </c>
      <c r="BG956" s="1">
        <v>0.0</v>
      </c>
      <c r="BH956" s="1">
        <v>0.0</v>
      </c>
      <c r="BI956" s="1">
        <v>0.0</v>
      </c>
      <c r="BJ956" s="1">
        <v>0.0</v>
      </c>
      <c r="BP956" s="1">
        <v>0.268</v>
      </c>
      <c r="BQ956" s="1" t="s">
        <v>3651</v>
      </c>
      <c r="BV956" s="1">
        <v>1.1</v>
      </c>
      <c r="EQ956" s="9" t="s">
        <v>3650</v>
      </c>
      <c r="ER956" s="21">
        <v>46045.299837962964</v>
      </c>
    </row>
    <row r="957">
      <c r="A957" s="9" t="s">
        <v>3652</v>
      </c>
      <c r="B957" s="20" t="str">
        <f>IFERROR(__xludf.DUMMYFUNCTION("REGEXREPLACE(A957, ""^https?://[^/]+"", """")"),"/wp-content/uploads/2024/04/Revitalizing-Sales-Strategy-for-Sustained-Growth-Human-Resources-Case-Study.pdf")</f>
        <v>/wp-content/uploads/2024/04/Revitalizing-Sales-Strategy-for-Sustained-Growth-Human-Resources-Case-Study.pdf</v>
      </c>
      <c r="F957" s="1" t="s">
        <v>1730</v>
      </c>
      <c r="G957" s="1">
        <v>200.0</v>
      </c>
      <c r="H957" s="1" t="s">
        <v>966</v>
      </c>
      <c r="I957" s="1" t="s">
        <v>967</v>
      </c>
      <c r="K957" s="1" t="s">
        <v>3653</v>
      </c>
      <c r="L957" s="1">
        <v>89.0</v>
      </c>
      <c r="M957" s="1">
        <v>810.0</v>
      </c>
      <c r="O957" s="1">
        <v>0.0</v>
      </c>
      <c r="P957" s="1">
        <v>0.0</v>
      </c>
      <c r="R957" s="1">
        <v>0.0</v>
      </c>
      <c r="S957" s="1">
        <v>0.0</v>
      </c>
      <c r="T957" s="1" t="s">
        <v>3654</v>
      </c>
      <c r="U957" s="1">
        <v>23.0</v>
      </c>
      <c r="W957" s="1">
        <v>0.0</v>
      </c>
      <c r="Y957" s="1">
        <v>0.0</v>
      </c>
      <c r="AA957" s="1">
        <v>0.0</v>
      </c>
      <c r="AC957" s="1">
        <v>0.0</v>
      </c>
      <c r="AM957" s="1">
        <v>1321052.0</v>
      </c>
      <c r="AN957" s="1">
        <v>1321052.0</v>
      </c>
      <c r="AO957" s="1">
        <v>1321052.0</v>
      </c>
      <c r="AP957" s="1">
        <v>506.07</v>
      </c>
      <c r="AR957" s="1">
        <v>0.0</v>
      </c>
      <c r="AW957" s="1">
        <v>0.0</v>
      </c>
      <c r="AX957" s="1">
        <v>2.0</v>
      </c>
      <c r="AY957" s="1">
        <v>4.0</v>
      </c>
      <c r="AZ957" s="1">
        <v>1.0</v>
      </c>
      <c r="BA957" s="1">
        <v>1.0</v>
      </c>
      <c r="BB957" s="1">
        <v>1.0</v>
      </c>
      <c r="BC957" s="1">
        <v>0.0</v>
      </c>
      <c r="BD957" s="1">
        <v>0.13</v>
      </c>
      <c r="BE957" s="1">
        <v>0.0</v>
      </c>
      <c r="BF957" s="1">
        <v>0.0</v>
      </c>
      <c r="BG957" s="1">
        <v>0.0</v>
      </c>
      <c r="BH957" s="1">
        <v>0.0</v>
      </c>
      <c r="BI957" s="1">
        <v>0.0</v>
      </c>
      <c r="BJ957" s="1">
        <v>0.0</v>
      </c>
      <c r="BP957" s="1">
        <v>0.26</v>
      </c>
      <c r="BQ957" s="1" t="s">
        <v>3655</v>
      </c>
      <c r="BV957" s="1">
        <v>1.1</v>
      </c>
      <c r="EQ957" s="9" t="s">
        <v>3652</v>
      </c>
      <c r="ER957" s="21">
        <v>46045.299837962964</v>
      </c>
    </row>
    <row r="958">
      <c r="A958" s="9" t="s">
        <v>3656</v>
      </c>
      <c r="B958" s="20" t="str">
        <f>IFERROR(__xludf.DUMMYFUNCTION("REGEXREPLACE(A958, ""^https?://[^/]+"", """")"),"/wp-content/themes/salesxceleratione/assets/css/style.css?ver=1769123338")</f>
        <v>/wp-content/themes/salesxceleratione/assets/css/style.css?ver=1769123338</v>
      </c>
      <c r="F958" s="1" t="s">
        <v>1016</v>
      </c>
      <c r="G958" s="1">
        <v>200.0</v>
      </c>
      <c r="H958" s="1" t="s">
        <v>966</v>
      </c>
      <c r="I958" s="1" t="s">
        <v>967</v>
      </c>
      <c r="L958" s="1">
        <v>0.0</v>
      </c>
      <c r="M958" s="1">
        <v>0.0</v>
      </c>
      <c r="O958" s="1">
        <v>0.0</v>
      </c>
      <c r="P958" s="1">
        <v>0.0</v>
      </c>
      <c r="R958" s="1">
        <v>0.0</v>
      </c>
      <c r="S958" s="1">
        <v>0.0</v>
      </c>
      <c r="U958" s="1">
        <v>0.0</v>
      </c>
      <c r="W958" s="1">
        <v>0.0</v>
      </c>
      <c r="Y958" s="1">
        <v>0.0</v>
      </c>
      <c r="AA958" s="1">
        <v>0.0</v>
      </c>
      <c r="AC958" s="1">
        <v>0.0</v>
      </c>
      <c r="AM958" s="1">
        <v>17704.0</v>
      </c>
      <c r="AN958" s="1">
        <v>17704.0</v>
      </c>
      <c r="AO958" s="1">
        <v>17704.0</v>
      </c>
      <c r="AP958" s="1">
        <v>6.782</v>
      </c>
      <c r="AR958" s="1">
        <v>0.0</v>
      </c>
      <c r="AW958" s="1">
        <v>0.0</v>
      </c>
      <c r="AX958" s="1">
        <v>2.0</v>
      </c>
      <c r="AY958" s="1">
        <v>5.0</v>
      </c>
      <c r="BA958" s="1">
        <v>0.0</v>
      </c>
      <c r="BB958" s="1">
        <v>0.0</v>
      </c>
      <c r="BC958" s="1">
        <v>0.0</v>
      </c>
      <c r="BD958" s="1">
        <v>0.0</v>
      </c>
      <c r="BE958" s="1">
        <v>0.0</v>
      </c>
      <c r="BF958" s="1">
        <v>0.0</v>
      </c>
      <c r="BG958" s="1">
        <v>0.0</v>
      </c>
      <c r="BH958" s="1">
        <v>0.0</v>
      </c>
      <c r="BI958" s="1">
        <v>0.0</v>
      </c>
      <c r="BJ958" s="1">
        <v>0.0</v>
      </c>
      <c r="BP958" s="1">
        <v>0.264</v>
      </c>
      <c r="BQ958" s="1" t="s">
        <v>3657</v>
      </c>
      <c r="BV958" s="1">
        <v>1.1</v>
      </c>
      <c r="EQ958" s="9" t="s">
        <v>3656</v>
      </c>
      <c r="ER958" s="21">
        <v>46045.299849537034</v>
      </c>
    </row>
    <row r="959">
      <c r="A959" s="9" t="s">
        <v>3658</v>
      </c>
      <c r="B959" s="20" t="str">
        <f>IFERROR(__xludf.DUMMYFUNCTION("REGEXREPLACE(A959, ""^https?://[^/]+"", """")"),"/wp-content/uploads/2024/04/Light-Bulb.svg")</f>
        <v>/wp-content/uploads/2024/04/Light-Bulb.svg</v>
      </c>
      <c r="F959" s="1" t="s">
        <v>1391</v>
      </c>
      <c r="G959" s="1">
        <v>200.0</v>
      </c>
      <c r="H959" s="1" t="s">
        <v>966</v>
      </c>
      <c r="I959" s="1" t="s">
        <v>967</v>
      </c>
      <c r="L959" s="1">
        <v>0.0</v>
      </c>
      <c r="M959" s="1">
        <v>0.0</v>
      </c>
      <c r="O959" s="1">
        <v>0.0</v>
      </c>
      <c r="P959" s="1">
        <v>0.0</v>
      </c>
      <c r="R959" s="1">
        <v>0.0</v>
      </c>
      <c r="S959" s="1">
        <v>0.0</v>
      </c>
      <c r="U959" s="1">
        <v>0.0</v>
      </c>
      <c r="W959" s="1">
        <v>0.0</v>
      </c>
      <c r="Y959" s="1">
        <v>0.0</v>
      </c>
      <c r="AA959" s="1">
        <v>0.0</v>
      </c>
      <c r="AC959" s="1">
        <v>0.0</v>
      </c>
      <c r="AM959" s="1">
        <v>0.0</v>
      </c>
      <c r="AN959" s="1">
        <v>0.0</v>
      </c>
      <c r="AO959" s="1">
        <v>0.0</v>
      </c>
      <c r="AP959" s="1">
        <v>0.0</v>
      </c>
      <c r="AR959" s="1">
        <v>0.0</v>
      </c>
      <c r="AW959" s="1">
        <v>0.0</v>
      </c>
      <c r="AX959" s="1">
        <v>2.0</v>
      </c>
      <c r="AY959" s="1">
        <v>4.0</v>
      </c>
      <c r="BA959" s="1">
        <v>0.0</v>
      </c>
      <c r="BB959" s="1">
        <v>0.0</v>
      </c>
      <c r="BC959" s="1">
        <v>0.0</v>
      </c>
      <c r="BD959" s="1">
        <v>0.0</v>
      </c>
      <c r="BE959" s="1">
        <v>0.0</v>
      </c>
      <c r="BF959" s="1">
        <v>0.0</v>
      </c>
      <c r="BG959" s="1">
        <v>0.0</v>
      </c>
      <c r="BH959" s="1">
        <v>0.0</v>
      </c>
      <c r="BI959" s="1">
        <v>0.0</v>
      </c>
      <c r="BJ959" s="1">
        <v>0.0</v>
      </c>
      <c r="BP959" s="1">
        <v>0.254</v>
      </c>
      <c r="BQ959" s="1" t="s">
        <v>3659</v>
      </c>
      <c r="BV959" s="1">
        <v>1.1</v>
      </c>
      <c r="EQ959" s="9" t="s">
        <v>3658</v>
      </c>
      <c r="ER959" s="21">
        <v>46045.299849537034</v>
      </c>
    </row>
    <row r="960">
      <c r="A960" s="9" t="s">
        <v>3660</v>
      </c>
      <c r="B960" s="20" t="str">
        <f>IFERROR(__xludf.DUMMYFUNCTION("REGEXREPLACE(A960, ""^https?://[^/]+"", """")"),"/wp-content/uploads/elementor/css/post-35036.css?ver=1768872586")</f>
        <v>/wp-content/uploads/elementor/css/post-35036.css?ver=1768872586</v>
      </c>
      <c r="F960" s="1" t="s">
        <v>1016</v>
      </c>
      <c r="G960" s="1">
        <v>200.0</v>
      </c>
      <c r="H960" s="1" t="s">
        <v>966</v>
      </c>
      <c r="I960" s="1" t="s">
        <v>967</v>
      </c>
      <c r="L960" s="1">
        <v>0.0</v>
      </c>
      <c r="M960" s="1">
        <v>0.0</v>
      </c>
      <c r="O960" s="1">
        <v>0.0</v>
      </c>
      <c r="P960" s="1">
        <v>0.0</v>
      </c>
      <c r="R960" s="1">
        <v>0.0</v>
      </c>
      <c r="S960" s="1">
        <v>0.0</v>
      </c>
      <c r="U960" s="1">
        <v>0.0</v>
      </c>
      <c r="W960" s="1">
        <v>0.0</v>
      </c>
      <c r="Y960" s="1">
        <v>0.0</v>
      </c>
      <c r="AA960" s="1">
        <v>0.0</v>
      </c>
      <c r="AC960" s="1">
        <v>0.0</v>
      </c>
      <c r="AM960" s="1">
        <v>1225.0</v>
      </c>
      <c r="AN960" s="1">
        <v>1225.0</v>
      </c>
      <c r="AO960" s="1">
        <v>1225.0</v>
      </c>
      <c r="AP960" s="1">
        <v>0.469</v>
      </c>
      <c r="AR960" s="1">
        <v>0.0</v>
      </c>
      <c r="AW960" s="1">
        <v>0.0</v>
      </c>
      <c r="AX960" s="1">
        <v>2.0</v>
      </c>
      <c r="AY960" s="1">
        <v>4.0</v>
      </c>
      <c r="BA960" s="1">
        <v>0.0</v>
      </c>
      <c r="BB960" s="1">
        <v>0.0</v>
      </c>
      <c r="BC960" s="1">
        <v>0.0</v>
      </c>
      <c r="BD960" s="1">
        <v>0.0</v>
      </c>
      <c r="BE960" s="1">
        <v>0.0</v>
      </c>
      <c r="BF960" s="1">
        <v>0.0</v>
      </c>
      <c r="BG960" s="1">
        <v>0.0</v>
      </c>
      <c r="BH960" s="1">
        <v>0.0</v>
      </c>
      <c r="BI960" s="1">
        <v>0.0</v>
      </c>
      <c r="BJ960" s="1">
        <v>0.0</v>
      </c>
      <c r="BP960" s="1">
        <v>0.257</v>
      </c>
      <c r="BQ960" s="1" t="s">
        <v>3661</v>
      </c>
      <c r="BV960" s="1">
        <v>1.1</v>
      </c>
      <c r="EQ960" s="9" t="s">
        <v>3660</v>
      </c>
      <c r="ER960" s="21">
        <v>46045.299849537034</v>
      </c>
    </row>
    <row r="961">
      <c r="A961" s="9" t="s">
        <v>3662</v>
      </c>
      <c r="B961" s="20" t="str">
        <f>IFERROR(__xludf.DUMMYFUNCTION("REGEXREPLACE(A961, ""^https?://[^/]+"", """")"),"/wp-content/uploads/2019/10/thumb-recruiting-cs-2048x2048.jpg")</f>
        <v>/wp-content/uploads/2019/10/thumb-recruiting-cs-2048x2048.jpg</v>
      </c>
      <c r="F961" s="1" t="s">
        <v>1004</v>
      </c>
      <c r="G961" s="1">
        <v>200.0</v>
      </c>
      <c r="H961" s="1" t="s">
        <v>966</v>
      </c>
      <c r="I961" s="1" t="s">
        <v>967</v>
      </c>
      <c r="L961" s="1">
        <v>0.0</v>
      </c>
      <c r="M961" s="1">
        <v>0.0</v>
      </c>
      <c r="O961" s="1">
        <v>0.0</v>
      </c>
      <c r="P961" s="1">
        <v>0.0</v>
      </c>
      <c r="R961" s="1">
        <v>0.0</v>
      </c>
      <c r="S961" s="1">
        <v>0.0</v>
      </c>
      <c r="U961" s="1">
        <v>0.0</v>
      </c>
      <c r="W961" s="1">
        <v>0.0</v>
      </c>
      <c r="Y961" s="1">
        <v>0.0</v>
      </c>
      <c r="AA961" s="1">
        <v>0.0</v>
      </c>
      <c r="AC961" s="1">
        <v>0.0</v>
      </c>
      <c r="AM961" s="1">
        <v>281505.0</v>
      </c>
      <c r="AN961" s="1">
        <v>281505.0</v>
      </c>
      <c r="AO961" s="1">
        <v>281505.0</v>
      </c>
      <c r="AP961" s="1">
        <v>107.839</v>
      </c>
      <c r="AR961" s="1">
        <v>0.0</v>
      </c>
      <c r="AW961" s="1">
        <v>0.0</v>
      </c>
      <c r="AX961" s="1">
        <v>2.0</v>
      </c>
      <c r="AY961" s="1">
        <v>4.0</v>
      </c>
      <c r="BA961" s="1">
        <v>0.0</v>
      </c>
      <c r="BB961" s="1">
        <v>0.0</v>
      </c>
      <c r="BC961" s="1">
        <v>0.0</v>
      </c>
      <c r="BD961" s="1">
        <v>0.0</v>
      </c>
      <c r="BE961" s="1">
        <v>0.0</v>
      </c>
      <c r="BF961" s="1">
        <v>0.0</v>
      </c>
      <c r="BG961" s="1">
        <v>0.0</v>
      </c>
      <c r="BH961" s="1">
        <v>0.0</v>
      </c>
      <c r="BI961" s="1">
        <v>0.0</v>
      </c>
      <c r="BJ961" s="1">
        <v>0.0</v>
      </c>
      <c r="BP961" s="1">
        <v>0.247</v>
      </c>
      <c r="BQ961" s="1" t="s">
        <v>3663</v>
      </c>
      <c r="BV961" s="1">
        <v>1.1</v>
      </c>
      <c r="EQ961" s="9" t="s">
        <v>3662</v>
      </c>
      <c r="ER961" s="21">
        <v>46045.299849537034</v>
      </c>
    </row>
    <row r="962">
      <c r="A962" s="9" t="s">
        <v>3664</v>
      </c>
      <c r="B962" s="20" t="str">
        <f>IFERROR(__xludf.DUMMYFUNCTION("REGEXREPLACE(A962, ""^https?://[^/]+"", """")"),"/wp-content/uploads/elementor/thumbs/Skills-Based-Hiring-rebnjrmv5xw9klq34f0918gjf47gj932vzwtx28f64.jpg")</f>
        <v>/wp-content/uploads/elementor/thumbs/Skills-Based-Hiring-rebnjrmv5xw9klq34f0918gjf47gj932vzwtx28f64.jpg</v>
      </c>
      <c r="F962" s="1" t="s">
        <v>1004</v>
      </c>
      <c r="G962" s="1">
        <v>200.0</v>
      </c>
      <c r="H962" s="1" t="s">
        <v>966</v>
      </c>
      <c r="I962" s="1" t="s">
        <v>967</v>
      </c>
      <c r="L962" s="1">
        <v>0.0</v>
      </c>
      <c r="M962" s="1">
        <v>0.0</v>
      </c>
      <c r="O962" s="1">
        <v>0.0</v>
      </c>
      <c r="P962" s="1">
        <v>0.0</v>
      </c>
      <c r="R962" s="1">
        <v>0.0</v>
      </c>
      <c r="S962" s="1">
        <v>0.0</v>
      </c>
      <c r="U962" s="1">
        <v>0.0</v>
      </c>
      <c r="W962" s="1">
        <v>0.0</v>
      </c>
      <c r="Y962" s="1">
        <v>0.0</v>
      </c>
      <c r="AA962" s="1">
        <v>0.0</v>
      </c>
      <c r="AC962" s="1">
        <v>0.0</v>
      </c>
      <c r="AM962" s="1">
        <v>63535.0</v>
      </c>
      <c r="AN962" s="1">
        <v>63535.0</v>
      </c>
      <c r="AO962" s="1">
        <v>63535.0</v>
      </c>
      <c r="AP962" s="1">
        <v>24.339</v>
      </c>
      <c r="AR962" s="1">
        <v>0.0</v>
      </c>
      <c r="AW962" s="1">
        <v>0.0</v>
      </c>
      <c r="AX962" s="1">
        <v>2.0</v>
      </c>
      <c r="AY962" s="1">
        <v>4.0</v>
      </c>
      <c r="BA962" s="1">
        <v>0.0</v>
      </c>
      <c r="BB962" s="1">
        <v>0.0</v>
      </c>
      <c r="BC962" s="1">
        <v>0.0</v>
      </c>
      <c r="BD962" s="1">
        <v>0.0</v>
      </c>
      <c r="BE962" s="1">
        <v>0.0</v>
      </c>
      <c r="BF962" s="1">
        <v>0.0</v>
      </c>
      <c r="BG962" s="1">
        <v>0.0</v>
      </c>
      <c r="BH962" s="1">
        <v>0.0</v>
      </c>
      <c r="BI962" s="1">
        <v>0.0</v>
      </c>
      <c r="BJ962" s="1">
        <v>0.0</v>
      </c>
      <c r="BP962" s="1">
        <v>0.268</v>
      </c>
      <c r="BQ962" s="1" t="s">
        <v>3665</v>
      </c>
      <c r="BV962" s="1">
        <v>1.1</v>
      </c>
      <c r="EQ962" s="9" t="s">
        <v>3664</v>
      </c>
      <c r="ER962" s="21">
        <v>46045.299849537034</v>
      </c>
    </row>
    <row r="963">
      <c r="A963" s="9" t="s">
        <v>3666</v>
      </c>
      <c r="B963" s="20" t="str">
        <f>IFERROR(__xludf.DUMMYFUNCTION("REGEXREPLACE(A963, ""^https?://[^/]+"", """")"),"/wp-content/uploads/elementor/css/post-72247.css?ver=1768857149")</f>
        <v>/wp-content/uploads/elementor/css/post-72247.css?ver=1768857149</v>
      </c>
      <c r="F963" s="1" t="s">
        <v>1016</v>
      </c>
      <c r="G963" s="1">
        <v>200.0</v>
      </c>
      <c r="H963" s="1" t="s">
        <v>966</v>
      </c>
      <c r="I963" s="1" t="s">
        <v>967</v>
      </c>
      <c r="L963" s="1">
        <v>0.0</v>
      </c>
      <c r="M963" s="1">
        <v>0.0</v>
      </c>
      <c r="O963" s="1">
        <v>0.0</v>
      </c>
      <c r="P963" s="1">
        <v>0.0</v>
      </c>
      <c r="R963" s="1">
        <v>0.0</v>
      </c>
      <c r="S963" s="1">
        <v>0.0</v>
      </c>
      <c r="U963" s="1">
        <v>0.0</v>
      </c>
      <c r="W963" s="1">
        <v>0.0</v>
      </c>
      <c r="Y963" s="1">
        <v>0.0</v>
      </c>
      <c r="AA963" s="1">
        <v>0.0</v>
      </c>
      <c r="AC963" s="1">
        <v>0.0</v>
      </c>
      <c r="AM963" s="1">
        <v>3947.0</v>
      </c>
      <c r="AN963" s="1">
        <v>3947.0</v>
      </c>
      <c r="AO963" s="1">
        <v>3947.0</v>
      </c>
      <c r="AP963" s="1">
        <v>1.512</v>
      </c>
      <c r="AR963" s="1">
        <v>0.0</v>
      </c>
      <c r="AW963" s="1">
        <v>0.0</v>
      </c>
      <c r="AX963" s="1">
        <v>2.0</v>
      </c>
      <c r="AY963" s="1">
        <v>4.0</v>
      </c>
      <c r="BA963" s="1">
        <v>0.0</v>
      </c>
      <c r="BB963" s="1">
        <v>0.0</v>
      </c>
      <c r="BC963" s="1">
        <v>0.0</v>
      </c>
      <c r="BD963" s="1">
        <v>0.0</v>
      </c>
      <c r="BE963" s="1">
        <v>0.0</v>
      </c>
      <c r="BF963" s="1">
        <v>0.0</v>
      </c>
      <c r="BG963" s="1">
        <v>0.0</v>
      </c>
      <c r="BH963" s="1">
        <v>0.0</v>
      </c>
      <c r="BI963" s="1">
        <v>0.0</v>
      </c>
      <c r="BJ963" s="1">
        <v>0.0</v>
      </c>
      <c r="BP963" s="1">
        <v>0.264</v>
      </c>
      <c r="BQ963" s="1" t="s">
        <v>3667</v>
      </c>
      <c r="BV963" s="1">
        <v>1.1</v>
      </c>
      <c r="EQ963" s="9" t="s">
        <v>3666</v>
      </c>
      <c r="ER963" s="21">
        <v>46045.299849537034</v>
      </c>
    </row>
    <row r="964">
      <c r="A964" s="9" t="s">
        <v>3668</v>
      </c>
      <c r="B964" s="20" t="str">
        <f>IFERROR(__xludf.DUMMYFUNCTION("REGEXREPLACE(A964, ""^https?://[^/]+"", """")"),"/wp-content/uploads/2025/02/goal-digital-marketing-strategy-service-through-digital-channel-search-engine-data-sci.jpg")</f>
        <v>/wp-content/uploads/2025/02/goal-digital-marketing-strategy-service-through-digital-channel-search-engine-data-sci.jpg</v>
      </c>
      <c r="F964" s="1" t="s">
        <v>1004</v>
      </c>
      <c r="G964" s="1">
        <v>200.0</v>
      </c>
      <c r="H964" s="1" t="s">
        <v>966</v>
      </c>
      <c r="I964" s="1" t="s">
        <v>967</v>
      </c>
      <c r="L964" s="1">
        <v>0.0</v>
      </c>
      <c r="M964" s="1">
        <v>0.0</v>
      </c>
      <c r="O964" s="1">
        <v>0.0</v>
      </c>
      <c r="P964" s="1">
        <v>0.0</v>
      </c>
      <c r="R964" s="1">
        <v>0.0</v>
      </c>
      <c r="S964" s="1">
        <v>0.0</v>
      </c>
      <c r="U964" s="1">
        <v>0.0</v>
      </c>
      <c r="W964" s="1">
        <v>0.0</v>
      </c>
      <c r="Y964" s="1">
        <v>0.0</v>
      </c>
      <c r="AA964" s="1">
        <v>0.0</v>
      </c>
      <c r="AC964" s="1">
        <v>0.0</v>
      </c>
      <c r="AM964" s="1">
        <v>253597.0</v>
      </c>
      <c r="AN964" s="1">
        <v>253597.0</v>
      </c>
      <c r="AO964" s="1">
        <v>253597.0</v>
      </c>
      <c r="AP964" s="1">
        <v>97.148</v>
      </c>
      <c r="AR964" s="1">
        <v>0.0</v>
      </c>
      <c r="AW964" s="1">
        <v>0.0</v>
      </c>
      <c r="AX964" s="1">
        <v>2.0</v>
      </c>
      <c r="AY964" s="1">
        <v>4.0</v>
      </c>
      <c r="BA964" s="1">
        <v>0.0</v>
      </c>
      <c r="BB964" s="1">
        <v>0.0</v>
      </c>
      <c r="BC964" s="1">
        <v>0.0</v>
      </c>
      <c r="BD964" s="1">
        <v>0.0</v>
      </c>
      <c r="BE964" s="1">
        <v>0.0</v>
      </c>
      <c r="BF964" s="1">
        <v>0.0</v>
      </c>
      <c r="BG964" s="1">
        <v>0.0</v>
      </c>
      <c r="BH964" s="1">
        <v>0.0</v>
      </c>
      <c r="BI964" s="1">
        <v>0.0</v>
      </c>
      <c r="BJ964" s="1">
        <v>0.0</v>
      </c>
      <c r="BP964" s="1">
        <v>0.266</v>
      </c>
      <c r="BQ964" s="1" t="s">
        <v>3669</v>
      </c>
      <c r="BV964" s="1">
        <v>1.1</v>
      </c>
      <c r="EQ964" s="9" t="s">
        <v>3668</v>
      </c>
      <c r="ER964" s="21">
        <v>46045.299849537034</v>
      </c>
    </row>
    <row r="965">
      <c r="A965" s="9" t="s">
        <v>3670</v>
      </c>
      <c r="B965" s="20" t="str">
        <f>IFERROR(__xludf.DUMMYFUNCTION("REGEXREPLACE(A965, ""^https?://[^/]+"", """")"),"/wp-content/themes/salesxceleratione/assets/css/style.css?ver=1769123333")</f>
        <v>/wp-content/themes/salesxceleratione/assets/css/style.css?ver=1769123333</v>
      </c>
      <c r="F965" s="1" t="s">
        <v>1016</v>
      </c>
      <c r="G965" s="1">
        <v>200.0</v>
      </c>
      <c r="H965" s="1" t="s">
        <v>966</v>
      </c>
      <c r="I965" s="1" t="s">
        <v>967</v>
      </c>
      <c r="L965" s="1">
        <v>0.0</v>
      </c>
      <c r="M965" s="1">
        <v>0.0</v>
      </c>
      <c r="O965" s="1">
        <v>0.0</v>
      </c>
      <c r="P965" s="1">
        <v>0.0</v>
      </c>
      <c r="R965" s="1">
        <v>0.0</v>
      </c>
      <c r="S965" s="1">
        <v>0.0</v>
      </c>
      <c r="U965" s="1">
        <v>0.0</v>
      </c>
      <c r="W965" s="1">
        <v>0.0</v>
      </c>
      <c r="Y965" s="1">
        <v>0.0</v>
      </c>
      <c r="AA965" s="1">
        <v>0.0</v>
      </c>
      <c r="AC965" s="1">
        <v>0.0</v>
      </c>
      <c r="AM965" s="1">
        <v>17704.0</v>
      </c>
      <c r="AN965" s="1">
        <v>17704.0</v>
      </c>
      <c r="AO965" s="1">
        <v>17704.0</v>
      </c>
      <c r="AP965" s="1">
        <v>6.782</v>
      </c>
      <c r="AR965" s="1">
        <v>0.0</v>
      </c>
      <c r="AW965" s="1">
        <v>0.0</v>
      </c>
      <c r="AX965" s="1">
        <v>2.0</v>
      </c>
      <c r="AY965" s="1">
        <v>5.0</v>
      </c>
      <c r="BA965" s="1">
        <v>0.0</v>
      </c>
      <c r="BB965" s="1">
        <v>0.0</v>
      </c>
      <c r="BC965" s="1">
        <v>0.0</v>
      </c>
      <c r="BD965" s="1">
        <v>0.0</v>
      </c>
      <c r="BE965" s="1">
        <v>0.0</v>
      </c>
      <c r="BF965" s="1">
        <v>0.0</v>
      </c>
      <c r="BG965" s="1">
        <v>0.0</v>
      </c>
      <c r="BH965" s="1">
        <v>0.0</v>
      </c>
      <c r="BI965" s="1">
        <v>0.0</v>
      </c>
      <c r="BJ965" s="1">
        <v>0.0</v>
      </c>
      <c r="BP965" s="1">
        <v>0.266</v>
      </c>
      <c r="BQ965" s="1" t="s">
        <v>3657</v>
      </c>
      <c r="BV965" s="1">
        <v>1.1</v>
      </c>
      <c r="EQ965" s="9" t="s">
        <v>3670</v>
      </c>
      <c r="ER965" s="21">
        <v>46045.299849537034</v>
      </c>
    </row>
    <row r="966">
      <c r="A966" s="9" t="s">
        <v>3671</v>
      </c>
      <c r="B966" s="20" t="str">
        <f>IFERROR(__xludf.DUMMYFUNCTION("REGEXREPLACE(A966, ""^https?://[^/]+"", """")"),"/wp-content/uploads/2025/10/Industry-Hub-Page-Sales-Xceleration-2.png")</f>
        <v>/wp-content/uploads/2025/10/Industry-Hub-Page-Sales-Xceleration-2.png</v>
      </c>
      <c r="F966" s="1" t="s">
        <v>1047</v>
      </c>
      <c r="G966" s="1">
        <v>200.0</v>
      </c>
      <c r="H966" s="1" t="s">
        <v>966</v>
      </c>
      <c r="I966" s="1" t="s">
        <v>967</v>
      </c>
      <c r="L966" s="1">
        <v>0.0</v>
      </c>
      <c r="M966" s="1">
        <v>0.0</v>
      </c>
      <c r="O966" s="1">
        <v>0.0</v>
      </c>
      <c r="P966" s="1">
        <v>0.0</v>
      </c>
      <c r="R966" s="1">
        <v>0.0</v>
      </c>
      <c r="S966" s="1">
        <v>0.0</v>
      </c>
      <c r="U966" s="1">
        <v>0.0</v>
      </c>
      <c r="W966" s="1">
        <v>0.0</v>
      </c>
      <c r="Y966" s="1">
        <v>0.0</v>
      </c>
      <c r="AA966" s="1">
        <v>0.0</v>
      </c>
      <c r="AC966" s="1">
        <v>0.0</v>
      </c>
      <c r="AM966" s="1">
        <v>89027.0</v>
      </c>
      <c r="AN966" s="1">
        <v>89027.0</v>
      </c>
      <c r="AO966" s="1">
        <v>89027.0</v>
      </c>
      <c r="AP966" s="1">
        <v>34.105</v>
      </c>
      <c r="AR966" s="1">
        <v>0.0</v>
      </c>
      <c r="AW966" s="1">
        <v>0.0</v>
      </c>
      <c r="AX966" s="1">
        <v>2.0</v>
      </c>
      <c r="AY966" s="1">
        <v>4.0</v>
      </c>
      <c r="BA966" s="1">
        <v>0.0</v>
      </c>
      <c r="BB966" s="1">
        <v>0.0</v>
      </c>
      <c r="BC966" s="1">
        <v>0.0</v>
      </c>
      <c r="BD966" s="1">
        <v>0.0</v>
      </c>
      <c r="BE966" s="1">
        <v>0.0</v>
      </c>
      <c r="BF966" s="1">
        <v>0.0</v>
      </c>
      <c r="BG966" s="1">
        <v>0.0</v>
      </c>
      <c r="BH966" s="1">
        <v>0.0</v>
      </c>
      <c r="BI966" s="1">
        <v>0.0</v>
      </c>
      <c r="BJ966" s="1">
        <v>0.0</v>
      </c>
      <c r="BP966" s="1">
        <v>0.284</v>
      </c>
      <c r="BQ966" s="1" t="s">
        <v>3672</v>
      </c>
      <c r="BV966" s="1">
        <v>1.1</v>
      </c>
      <c r="EQ966" s="9" t="s">
        <v>3671</v>
      </c>
      <c r="ER966" s="21">
        <v>46045.299849537034</v>
      </c>
    </row>
    <row r="967">
      <c r="A967" s="9" t="s">
        <v>3673</v>
      </c>
      <c r="B967" s="20" t="str">
        <f>IFERROR(__xludf.DUMMYFUNCTION("REGEXREPLACE(A967, ""^https?://[^/]+"", """")"),"/wp-content/uploads/elementor/css/post-70935.css?ver=1768847334")</f>
        <v>/wp-content/uploads/elementor/css/post-70935.css?ver=1768847334</v>
      </c>
      <c r="F967" s="1" t="s">
        <v>1016</v>
      </c>
      <c r="G967" s="1">
        <v>200.0</v>
      </c>
      <c r="H967" s="1" t="s">
        <v>966</v>
      </c>
      <c r="I967" s="1" t="s">
        <v>967</v>
      </c>
      <c r="L967" s="1">
        <v>0.0</v>
      </c>
      <c r="M967" s="1">
        <v>0.0</v>
      </c>
      <c r="O967" s="1">
        <v>0.0</v>
      </c>
      <c r="P967" s="1">
        <v>0.0</v>
      </c>
      <c r="R967" s="1">
        <v>0.0</v>
      </c>
      <c r="S967" s="1">
        <v>0.0</v>
      </c>
      <c r="U967" s="1">
        <v>0.0</v>
      </c>
      <c r="W967" s="1">
        <v>0.0</v>
      </c>
      <c r="Y967" s="1">
        <v>0.0</v>
      </c>
      <c r="AA967" s="1">
        <v>0.0</v>
      </c>
      <c r="AC967" s="1">
        <v>0.0</v>
      </c>
      <c r="AM967" s="1">
        <v>3460.0</v>
      </c>
      <c r="AN967" s="1">
        <v>3460.0</v>
      </c>
      <c r="AO967" s="1">
        <v>3460.0</v>
      </c>
      <c r="AP967" s="1">
        <v>1.325</v>
      </c>
      <c r="AR967" s="1">
        <v>0.0</v>
      </c>
      <c r="AW967" s="1">
        <v>0.0</v>
      </c>
      <c r="AX967" s="1">
        <v>2.0</v>
      </c>
      <c r="AY967" s="1">
        <v>4.0</v>
      </c>
      <c r="BA967" s="1">
        <v>0.0</v>
      </c>
      <c r="BB967" s="1">
        <v>0.0</v>
      </c>
      <c r="BC967" s="1">
        <v>0.0</v>
      </c>
      <c r="BD967" s="1">
        <v>0.0</v>
      </c>
      <c r="BE967" s="1">
        <v>0.0</v>
      </c>
      <c r="BF967" s="1">
        <v>0.0</v>
      </c>
      <c r="BG967" s="1">
        <v>0.0</v>
      </c>
      <c r="BH967" s="1">
        <v>0.0</v>
      </c>
      <c r="BI967" s="1">
        <v>0.0</v>
      </c>
      <c r="BJ967" s="1">
        <v>0.0</v>
      </c>
      <c r="BP967" s="1">
        <v>0.265</v>
      </c>
      <c r="BQ967" s="1" t="s">
        <v>3674</v>
      </c>
      <c r="BV967" s="1">
        <v>1.1</v>
      </c>
      <c r="EQ967" s="9" t="s">
        <v>3673</v>
      </c>
      <c r="ER967" s="21">
        <v>46045.299849537034</v>
      </c>
    </row>
    <row r="968">
      <c r="A968" s="9" t="s">
        <v>3675</v>
      </c>
      <c r="B968" s="20" t="str">
        <f>IFERROR(__xludf.DUMMYFUNCTION("REGEXREPLACE(A968, ""^https?://[^/]+"", """")"),"/wp-content/uploads/2025/08/Sales-Xcelerators-Peer-Group-1-1-300x85.png")</f>
        <v>/wp-content/uploads/2025/08/Sales-Xcelerators-Peer-Group-1-1-300x85.png</v>
      </c>
      <c r="F968" s="1" t="s">
        <v>1047</v>
      </c>
      <c r="G968" s="1">
        <v>200.0</v>
      </c>
      <c r="H968" s="1" t="s">
        <v>966</v>
      </c>
      <c r="I968" s="1" t="s">
        <v>967</v>
      </c>
      <c r="L968" s="1">
        <v>0.0</v>
      </c>
      <c r="M968" s="1">
        <v>0.0</v>
      </c>
      <c r="O968" s="1">
        <v>0.0</v>
      </c>
      <c r="P968" s="1">
        <v>0.0</v>
      </c>
      <c r="R968" s="1">
        <v>0.0</v>
      </c>
      <c r="S968" s="1">
        <v>0.0</v>
      </c>
      <c r="U968" s="1">
        <v>0.0</v>
      </c>
      <c r="W968" s="1">
        <v>0.0</v>
      </c>
      <c r="Y968" s="1">
        <v>0.0</v>
      </c>
      <c r="AA968" s="1">
        <v>0.0</v>
      </c>
      <c r="AC968" s="1">
        <v>0.0</v>
      </c>
      <c r="AM968" s="1">
        <v>15492.0</v>
      </c>
      <c r="AN968" s="1">
        <v>15492.0</v>
      </c>
      <c r="AO968" s="1">
        <v>15492.0</v>
      </c>
      <c r="AP968" s="1">
        <v>5.935</v>
      </c>
      <c r="AR968" s="1">
        <v>0.0</v>
      </c>
      <c r="AW968" s="1">
        <v>0.0</v>
      </c>
      <c r="AX968" s="1">
        <v>2.0</v>
      </c>
      <c r="AY968" s="1">
        <v>4.0</v>
      </c>
      <c r="BA968" s="1">
        <v>0.0</v>
      </c>
      <c r="BB968" s="1">
        <v>0.0</v>
      </c>
      <c r="BC968" s="1">
        <v>0.0</v>
      </c>
      <c r="BD968" s="1">
        <v>0.0</v>
      </c>
      <c r="BE968" s="1">
        <v>0.0</v>
      </c>
      <c r="BF968" s="1">
        <v>0.0</v>
      </c>
      <c r="BG968" s="1">
        <v>0.0</v>
      </c>
      <c r="BH968" s="1">
        <v>0.0</v>
      </c>
      <c r="BI968" s="1">
        <v>0.0</v>
      </c>
      <c r="BJ968" s="1">
        <v>0.0</v>
      </c>
      <c r="BP968" s="1">
        <v>0.282</v>
      </c>
      <c r="BQ968" s="1" t="s">
        <v>3676</v>
      </c>
      <c r="BV968" s="1">
        <v>1.1</v>
      </c>
      <c r="EQ968" s="9" t="s">
        <v>3675</v>
      </c>
      <c r="ER968" s="21">
        <v>46045.299849537034</v>
      </c>
    </row>
    <row r="969">
      <c r="A969" s="9" t="s">
        <v>3677</v>
      </c>
      <c r="B969" s="20" t="str">
        <f>IFERROR(__xludf.DUMMYFUNCTION("REGEXREPLACE(A969, ""^https?://[^/]+"", """")"),"/wp-content/themes/salesxceleratione/assets/css/style.css?ver=1769123339")</f>
        <v>/wp-content/themes/salesxceleratione/assets/css/style.css?ver=1769123339</v>
      </c>
      <c r="F969" s="1" t="s">
        <v>1016</v>
      </c>
      <c r="G969" s="1">
        <v>200.0</v>
      </c>
      <c r="H969" s="1" t="s">
        <v>966</v>
      </c>
      <c r="I969" s="1" t="s">
        <v>967</v>
      </c>
      <c r="L969" s="1">
        <v>0.0</v>
      </c>
      <c r="M969" s="1">
        <v>0.0</v>
      </c>
      <c r="O969" s="1">
        <v>0.0</v>
      </c>
      <c r="P969" s="1">
        <v>0.0</v>
      </c>
      <c r="R969" s="1">
        <v>0.0</v>
      </c>
      <c r="S969" s="1">
        <v>0.0</v>
      </c>
      <c r="U969" s="1">
        <v>0.0</v>
      </c>
      <c r="W969" s="1">
        <v>0.0</v>
      </c>
      <c r="Y969" s="1">
        <v>0.0</v>
      </c>
      <c r="AA969" s="1">
        <v>0.0</v>
      </c>
      <c r="AC969" s="1">
        <v>0.0</v>
      </c>
      <c r="AM969" s="1">
        <v>17704.0</v>
      </c>
      <c r="AN969" s="1">
        <v>17704.0</v>
      </c>
      <c r="AO969" s="1">
        <v>17704.0</v>
      </c>
      <c r="AP969" s="1">
        <v>6.782</v>
      </c>
      <c r="AR969" s="1">
        <v>0.0</v>
      </c>
      <c r="AW969" s="1">
        <v>0.0</v>
      </c>
      <c r="AX969" s="1">
        <v>2.0</v>
      </c>
      <c r="AY969" s="1">
        <v>5.0</v>
      </c>
      <c r="BA969" s="1">
        <v>0.0</v>
      </c>
      <c r="BB969" s="1">
        <v>0.0</v>
      </c>
      <c r="BC969" s="1">
        <v>0.0</v>
      </c>
      <c r="BD969" s="1">
        <v>0.0</v>
      </c>
      <c r="BE969" s="1">
        <v>0.0</v>
      </c>
      <c r="BF969" s="1">
        <v>0.0</v>
      </c>
      <c r="BG969" s="1">
        <v>0.0</v>
      </c>
      <c r="BH969" s="1">
        <v>0.0</v>
      </c>
      <c r="BI969" s="1">
        <v>0.0</v>
      </c>
      <c r="BJ969" s="1">
        <v>0.0</v>
      </c>
      <c r="BP969" s="1">
        <v>0.283</v>
      </c>
      <c r="BQ969" s="1" t="s">
        <v>3657</v>
      </c>
      <c r="BV969" s="1">
        <v>1.1</v>
      </c>
      <c r="EQ969" s="9" t="s">
        <v>3677</v>
      </c>
      <c r="ER969" s="21">
        <v>46045.299849537034</v>
      </c>
    </row>
    <row r="970">
      <c r="A970" s="9" t="s">
        <v>3678</v>
      </c>
      <c r="B970" s="20" t="str">
        <f>IFERROR(__xludf.DUMMYFUNCTION("REGEXREPLACE(A970, ""^https?://[^/]+"", """")"),"/wp-content/uploads/elementor/css/post-70160.css?ver=1768857132")</f>
        <v>/wp-content/uploads/elementor/css/post-70160.css?ver=1768857132</v>
      </c>
      <c r="F970" s="1" t="s">
        <v>1016</v>
      </c>
      <c r="G970" s="1">
        <v>200.0</v>
      </c>
      <c r="H970" s="1" t="s">
        <v>966</v>
      </c>
      <c r="I970" s="1" t="s">
        <v>967</v>
      </c>
      <c r="L970" s="1">
        <v>0.0</v>
      </c>
      <c r="M970" s="1">
        <v>0.0</v>
      </c>
      <c r="O970" s="1">
        <v>0.0</v>
      </c>
      <c r="P970" s="1">
        <v>0.0</v>
      </c>
      <c r="R970" s="1">
        <v>0.0</v>
      </c>
      <c r="S970" s="1">
        <v>0.0</v>
      </c>
      <c r="U970" s="1">
        <v>0.0</v>
      </c>
      <c r="W970" s="1">
        <v>0.0</v>
      </c>
      <c r="Y970" s="1">
        <v>0.0</v>
      </c>
      <c r="AA970" s="1">
        <v>0.0</v>
      </c>
      <c r="AC970" s="1">
        <v>0.0</v>
      </c>
      <c r="AM970" s="1">
        <v>303.0</v>
      </c>
      <c r="AN970" s="1">
        <v>303.0</v>
      </c>
      <c r="AO970" s="1">
        <v>303.0</v>
      </c>
      <c r="AP970" s="1">
        <v>0.116</v>
      </c>
      <c r="AR970" s="1">
        <v>0.0</v>
      </c>
      <c r="AW970" s="1">
        <v>0.0</v>
      </c>
      <c r="AX970" s="1">
        <v>2.0</v>
      </c>
      <c r="AY970" s="1">
        <v>4.0</v>
      </c>
      <c r="BA970" s="1">
        <v>0.0</v>
      </c>
      <c r="BB970" s="1">
        <v>0.0</v>
      </c>
      <c r="BC970" s="1">
        <v>0.0</v>
      </c>
      <c r="BD970" s="1">
        <v>0.0</v>
      </c>
      <c r="BE970" s="1">
        <v>0.0</v>
      </c>
      <c r="BF970" s="1">
        <v>0.0</v>
      </c>
      <c r="BG970" s="1">
        <v>0.0</v>
      </c>
      <c r="BH970" s="1">
        <v>0.0</v>
      </c>
      <c r="BI970" s="1">
        <v>0.0</v>
      </c>
      <c r="BJ970" s="1">
        <v>0.0</v>
      </c>
      <c r="BP970" s="1">
        <v>0.262</v>
      </c>
      <c r="BQ970" s="1" t="s">
        <v>3679</v>
      </c>
      <c r="BV970" s="1">
        <v>1.1</v>
      </c>
      <c r="EQ970" s="9" t="s">
        <v>3678</v>
      </c>
      <c r="ER970" s="21">
        <v>46045.299849537034</v>
      </c>
    </row>
    <row r="971">
      <c r="A971" s="9" t="s">
        <v>3680</v>
      </c>
      <c r="B971" s="20" t="str">
        <f>IFERROR(__xludf.DUMMYFUNCTION("REGEXREPLACE(A971, ""^https?://[^/]+"", """")"),"/wp-content/uploads/elementor/css/post-21538.css?ver=1768851689")</f>
        <v>/wp-content/uploads/elementor/css/post-21538.css?ver=1768851689</v>
      </c>
      <c r="F971" s="1" t="s">
        <v>1016</v>
      </c>
      <c r="G971" s="1">
        <v>200.0</v>
      </c>
      <c r="H971" s="1" t="s">
        <v>966</v>
      </c>
      <c r="I971" s="1" t="s">
        <v>967</v>
      </c>
      <c r="L971" s="1">
        <v>0.0</v>
      </c>
      <c r="M971" s="1">
        <v>0.0</v>
      </c>
      <c r="O971" s="1">
        <v>0.0</v>
      </c>
      <c r="P971" s="1">
        <v>0.0</v>
      </c>
      <c r="R971" s="1">
        <v>0.0</v>
      </c>
      <c r="S971" s="1">
        <v>0.0</v>
      </c>
      <c r="U971" s="1">
        <v>0.0</v>
      </c>
      <c r="W971" s="1">
        <v>0.0</v>
      </c>
      <c r="Y971" s="1">
        <v>0.0</v>
      </c>
      <c r="AA971" s="1">
        <v>0.0</v>
      </c>
      <c r="AC971" s="1">
        <v>0.0</v>
      </c>
      <c r="AM971" s="1">
        <v>660.0</v>
      </c>
      <c r="AN971" s="1">
        <v>660.0</v>
      </c>
      <c r="AO971" s="1">
        <v>660.0</v>
      </c>
      <c r="AP971" s="1">
        <v>0.253</v>
      </c>
      <c r="AR971" s="1">
        <v>0.0</v>
      </c>
      <c r="AW971" s="1">
        <v>0.0</v>
      </c>
      <c r="AX971" s="1">
        <v>2.0</v>
      </c>
      <c r="AY971" s="1">
        <v>4.0</v>
      </c>
      <c r="BA971" s="1">
        <v>0.0</v>
      </c>
      <c r="BB971" s="1">
        <v>0.0</v>
      </c>
      <c r="BC971" s="1">
        <v>0.0</v>
      </c>
      <c r="BD971" s="1">
        <v>0.0</v>
      </c>
      <c r="BE971" s="1">
        <v>0.0</v>
      </c>
      <c r="BF971" s="1">
        <v>0.0</v>
      </c>
      <c r="BG971" s="1">
        <v>0.0</v>
      </c>
      <c r="BH971" s="1">
        <v>0.0</v>
      </c>
      <c r="BI971" s="1">
        <v>0.0</v>
      </c>
      <c r="BJ971" s="1">
        <v>0.0</v>
      </c>
      <c r="BP971" s="1">
        <v>0.258</v>
      </c>
      <c r="BQ971" s="1" t="s">
        <v>3681</v>
      </c>
      <c r="BV971" s="1">
        <v>1.1</v>
      </c>
      <c r="EQ971" s="9" t="s">
        <v>3680</v>
      </c>
      <c r="ER971" s="21">
        <v>46045.299849537034</v>
      </c>
    </row>
    <row r="972">
      <c r="A972" s="9" t="s">
        <v>3682</v>
      </c>
      <c r="B972" s="20" t="str">
        <f>IFERROR(__xludf.DUMMYFUNCTION("REGEXREPLACE(A972, ""^https?://[^/]+"", """")"),"/wp-content/uploads/2014/12/That-was-then-2048x2048.jpg")</f>
        <v>/wp-content/uploads/2014/12/That-was-then-2048x2048.jpg</v>
      </c>
      <c r="F972" s="1" t="s">
        <v>1004</v>
      </c>
      <c r="G972" s="1">
        <v>200.0</v>
      </c>
      <c r="H972" s="1" t="s">
        <v>966</v>
      </c>
      <c r="I972" s="1" t="s">
        <v>967</v>
      </c>
      <c r="L972" s="1">
        <v>0.0</v>
      </c>
      <c r="M972" s="1">
        <v>0.0</v>
      </c>
      <c r="O972" s="1">
        <v>0.0</v>
      </c>
      <c r="P972" s="1">
        <v>0.0</v>
      </c>
      <c r="R972" s="1">
        <v>0.0</v>
      </c>
      <c r="S972" s="1">
        <v>0.0</v>
      </c>
      <c r="U972" s="1">
        <v>0.0</v>
      </c>
      <c r="W972" s="1">
        <v>0.0</v>
      </c>
      <c r="Y972" s="1">
        <v>0.0</v>
      </c>
      <c r="AA972" s="1">
        <v>0.0</v>
      </c>
      <c r="AC972" s="1">
        <v>0.0</v>
      </c>
      <c r="AM972" s="1">
        <v>171488.0</v>
      </c>
      <c r="AN972" s="1">
        <v>171488.0</v>
      </c>
      <c r="AO972" s="1">
        <v>171488.0</v>
      </c>
      <c r="AP972" s="1">
        <v>65.694</v>
      </c>
      <c r="AR972" s="1">
        <v>0.0</v>
      </c>
      <c r="AW972" s="1">
        <v>0.0</v>
      </c>
      <c r="AX972" s="1">
        <v>3.0</v>
      </c>
      <c r="AY972" s="1">
        <v>4.0</v>
      </c>
      <c r="BA972" s="1">
        <v>0.0</v>
      </c>
      <c r="BB972" s="1">
        <v>0.0</v>
      </c>
      <c r="BC972" s="1">
        <v>0.0</v>
      </c>
      <c r="BD972" s="1">
        <v>0.0</v>
      </c>
      <c r="BE972" s="1">
        <v>0.0</v>
      </c>
      <c r="BF972" s="1">
        <v>0.0</v>
      </c>
      <c r="BG972" s="1">
        <v>0.0</v>
      </c>
      <c r="BH972" s="1">
        <v>0.0</v>
      </c>
      <c r="BI972" s="1">
        <v>0.0</v>
      </c>
      <c r="BJ972" s="1">
        <v>0.0</v>
      </c>
      <c r="BP972" s="1">
        <v>0.272</v>
      </c>
      <c r="BQ972" s="1" t="s">
        <v>3683</v>
      </c>
      <c r="BV972" s="1">
        <v>1.1</v>
      </c>
      <c r="EQ972" s="9" t="s">
        <v>3682</v>
      </c>
      <c r="ER972" s="21">
        <v>46045.299849537034</v>
      </c>
    </row>
    <row r="973">
      <c r="A973" s="9" t="s">
        <v>3684</v>
      </c>
      <c r="B973" s="20" t="str">
        <f>IFERROR(__xludf.DUMMYFUNCTION("REGEXREPLACE(A973, ""^https?://[^/]+"", """")"),"/wp-content/uploads/elementor/css/post-73461.css?ver=1769100420")</f>
        <v>/wp-content/uploads/elementor/css/post-73461.css?ver=1769100420</v>
      </c>
      <c r="F973" s="1" t="s">
        <v>1016</v>
      </c>
      <c r="G973" s="1">
        <v>200.0</v>
      </c>
      <c r="H973" s="1" t="s">
        <v>966</v>
      </c>
      <c r="I973" s="1" t="s">
        <v>967</v>
      </c>
      <c r="L973" s="1">
        <v>0.0</v>
      </c>
      <c r="M973" s="1">
        <v>0.0</v>
      </c>
      <c r="O973" s="1">
        <v>0.0</v>
      </c>
      <c r="P973" s="1">
        <v>0.0</v>
      </c>
      <c r="R973" s="1">
        <v>0.0</v>
      </c>
      <c r="S973" s="1">
        <v>0.0</v>
      </c>
      <c r="U973" s="1">
        <v>0.0</v>
      </c>
      <c r="W973" s="1">
        <v>0.0</v>
      </c>
      <c r="Y973" s="1">
        <v>0.0</v>
      </c>
      <c r="AA973" s="1">
        <v>0.0</v>
      </c>
      <c r="AC973" s="1">
        <v>0.0</v>
      </c>
      <c r="AM973" s="1">
        <v>339.0</v>
      </c>
      <c r="AN973" s="1">
        <v>339.0</v>
      </c>
      <c r="AO973" s="1">
        <v>339.0</v>
      </c>
      <c r="AP973" s="1">
        <v>0.13</v>
      </c>
      <c r="AR973" s="1">
        <v>0.0</v>
      </c>
      <c r="AW973" s="1">
        <v>0.0</v>
      </c>
      <c r="AX973" s="1">
        <v>3.0</v>
      </c>
      <c r="AY973" s="1">
        <v>4.0</v>
      </c>
      <c r="BA973" s="1">
        <v>0.0</v>
      </c>
      <c r="BB973" s="1">
        <v>0.0</v>
      </c>
      <c r="BC973" s="1">
        <v>0.0</v>
      </c>
      <c r="BD973" s="1">
        <v>0.0</v>
      </c>
      <c r="BE973" s="1">
        <v>0.0</v>
      </c>
      <c r="BF973" s="1">
        <v>0.0</v>
      </c>
      <c r="BG973" s="1">
        <v>0.0</v>
      </c>
      <c r="BH973" s="1">
        <v>0.0</v>
      </c>
      <c r="BI973" s="1">
        <v>0.0</v>
      </c>
      <c r="BJ973" s="1">
        <v>0.0</v>
      </c>
      <c r="BP973" s="1">
        <v>0.259</v>
      </c>
      <c r="BQ973" s="1" t="s">
        <v>3685</v>
      </c>
      <c r="BV973" s="1">
        <v>1.1</v>
      </c>
      <c r="EQ973" s="9" t="s">
        <v>3684</v>
      </c>
      <c r="ER973" s="21">
        <v>46045.29986111111</v>
      </c>
    </row>
    <row r="974">
      <c r="A974" s="9" t="s">
        <v>3686</v>
      </c>
      <c r="B974" s="20" t="str">
        <f>IFERROR(__xludf.DUMMYFUNCTION("REGEXREPLACE(A974, ""^https?://[^/]+"", """")"),"/wp-content/uploads/2026/01/SAO-YT-Thumbnail-Donald-Miller.jpg")</f>
        <v>/wp-content/uploads/2026/01/SAO-YT-Thumbnail-Donald-Miller.jpg</v>
      </c>
      <c r="F974" s="1" t="s">
        <v>1004</v>
      </c>
      <c r="G974" s="1">
        <v>200.0</v>
      </c>
      <c r="H974" s="1" t="s">
        <v>966</v>
      </c>
      <c r="I974" s="1" t="s">
        <v>967</v>
      </c>
      <c r="L974" s="1">
        <v>0.0</v>
      </c>
      <c r="M974" s="1">
        <v>0.0</v>
      </c>
      <c r="O974" s="1">
        <v>0.0</v>
      </c>
      <c r="P974" s="1">
        <v>0.0</v>
      </c>
      <c r="R974" s="1">
        <v>0.0</v>
      </c>
      <c r="S974" s="1">
        <v>0.0</v>
      </c>
      <c r="U974" s="1">
        <v>0.0</v>
      </c>
      <c r="W974" s="1">
        <v>0.0</v>
      </c>
      <c r="Y974" s="1">
        <v>0.0</v>
      </c>
      <c r="AA974" s="1">
        <v>0.0</v>
      </c>
      <c r="AC974" s="1">
        <v>0.0</v>
      </c>
      <c r="AM974" s="1">
        <v>285099.0</v>
      </c>
      <c r="AN974" s="1">
        <v>285099.0</v>
      </c>
      <c r="AO974" s="1">
        <v>285099.0</v>
      </c>
      <c r="AP974" s="1">
        <v>109.216</v>
      </c>
      <c r="AR974" s="1">
        <v>0.0</v>
      </c>
      <c r="AW974" s="1">
        <v>0.0</v>
      </c>
      <c r="AX974" s="1">
        <v>3.0</v>
      </c>
      <c r="AY974" s="1">
        <v>4.0</v>
      </c>
      <c r="BA974" s="1">
        <v>0.0</v>
      </c>
      <c r="BB974" s="1">
        <v>0.0</v>
      </c>
      <c r="BC974" s="1">
        <v>0.0</v>
      </c>
      <c r="BD974" s="1">
        <v>0.0</v>
      </c>
      <c r="BE974" s="1">
        <v>0.0</v>
      </c>
      <c r="BF974" s="1">
        <v>0.0</v>
      </c>
      <c r="BG974" s="1">
        <v>0.0</v>
      </c>
      <c r="BH974" s="1">
        <v>0.0</v>
      </c>
      <c r="BI974" s="1">
        <v>0.0</v>
      </c>
      <c r="BJ974" s="1">
        <v>0.0</v>
      </c>
      <c r="BP974" s="1">
        <v>0.278</v>
      </c>
      <c r="BQ974" s="1" t="s">
        <v>3687</v>
      </c>
      <c r="BV974" s="1">
        <v>1.1</v>
      </c>
      <c r="EQ974" s="9" t="s">
        <v>3686</v>
      </c>
      <c r="ER974" s="21">
        <v>46045.29986111111</v>
      </c>
    </row>
    <row r="975">
      <c r="A975" s="9" t="s">
        <v>3688</v>
      </c>
      <c r="B975" s="20" t="str">
        <f>IFERROR(__xludf.DUMMYFUNCTION("REGEXREPLACE(A975, ""^https?://[^/]+"", """")"),"/now-sure-fire-way-sell/")</f>
        <v>/now-sure-fire-way-sell/</v>
      </c>
      <c r="C975" s="1" t="s">
        <v>3689</v>
      </c>
      <c r="F975" s="1" t="s">
        <v>965</v>
      </c>
      <c r="G975" s="1">
        <v>200.0</v>
      </c>
      <c r="H975" s="1" t="s">
        <v>966</v>
      </c>
      <c r="I975" s="1" t="s">
        <v>967</v>
      </c>
      <c r="K975" s="1" t="s">
        <v>3690</v>
      </c>
      <c r="L975" s="1">
        <v>83.0</v>
      </c>
      <c r="M975" s="1">
        <v>747.0</v>
      </c>
      <c r="O975" s="1">
        <v>0.0</v>
      </c>
      <c r="P975" s="1">
        <v>0.0</v>
      </c>
      <c r="Q975" s="1" t="s">
        <v>3691</v>
      </c>
      <c r="R975" s="1">
        <v>148.0</v>
      </c>
      <c r="S975" s="1">
        <v>859.0</v>
      </c>
      <c r="U975" s="1">
        <v>0.0</v>
      </c>
      <c r="V975" s="1" t="s">
        <v>3689</v>
      </c>
      <c r="W975" s="1">
        <v>58.0</v>
      </c>
      <c r="Y975" s="1">
        <v>0.0</v>
      </c>
      <c r="AA975" s="1">
        <v>0.0</v>
      </c>
      <c r="AC975" s="1">
        <v>0.0</v>
      </c>
      <c r="AD975" s="1" t="s">
        <v>971</v>
      </c>
      <c r="AG975" s="9" t="s">
        <v>3688</v>
      </c>
      <c r="AM975" s="1">
        <v>198368.0</v>
      </c>
      <c r="AN975" s="1">
        <v>35939.0</v>
      </c>
      <c r="AO975" s="1">
        <v>35939.0</v>
      </c>
      <c r="AP975" s="1">
        <v>13.768</v>
      </c>
      <c r="AR975" s="1">
        <v>1405.0</v>
      </c>
      <c r="AS975" s="1">
        <v>222.0</v>
      </c>
      <c r="AT975" s="1">
        <v>6.329</v>
      </c>
      <c r="AU975" s="1">
        <v>69.447</v>
      </c>
      <c r="AV975" s="1" t="s">
        <v>990</v>
      </c>
      <c r="AW975" s="1">
        <v>5.469</v>
      </c>
      <c r="AX975" s="1">
        <v>3.0</v>
      </c>
      <c r="AY975" s="1">
        <v>1.0</v>
      </c>
      <c r="AZ975" s="1">
        <v>1.0</v>
      </c>
      <c r="BA975" s="1">
        <v>7.0</v>
      </c>
      <c r="BB975" s="1">
        <v>7.0</v>
      </c>
      <c r="BC975" s="1">
        <v>0.0</v>
      </c>
      <c r="BD975" s="1">
        <v>0.93</v>
      </c>
      <c r="BE975" s="1">
        <v>130.0</v>
      </c>
      <c r="BF975" s="1">
        <v>48.0</v>
      </c>
      <c r="BG975" s="1">
        <v>0.0</v>
      </c>
      <c r="BH975" s="1">
        <v>16.0</v>
      </c>
      <c r="BI975" s="1">
        <v>8.0</v>
      </c>
      <c r="BJ975" s="1">
        <v>0.0</v>
      </c>
      <c r="BO975" s="1" t="s">
        <v>3692</v>
      </c>
      <c r="BP975" s="1">
        <v>1.046</v>
      </c>
      <c r="BU975" s="1" t="s">
        <v>974</v>
      </c>
      <c r="BV975" s="1">
        <v>1.1</v>
      </c>
      <c r="EQ975" s="9" t="s">
        <v>3688</v>
      </c>
      <c r="ER975" s="21">
        <v>46045.29986111111</v>
      </c>
    </row>
    <row r="976">
      <c r="A976" s="9" t="s">
        <v>3693</v>
      </c>
      <c r="B976" s="20" t="str">
        <f>IFERROR(__xludf.DUMMYFUNCTION("REGEXREPLACE(A976, ""^https?://[^/]+"", """")"),"/sales-xceleration-spotlight-why-many-small-businesses-dont-prepare-a-sales-forecast/")</f>
        <v>/sales-xceleration-spotlight-why-many-small-businesses-dont-prepare-a-sales-forecast/</v>
      </c>
      <c r="C976" s="1" t="s">
        <v>3694</v>
      </c>
      <c r="F976" s="1" t="s">
        <v>965</v>
      </c>
      <c r="G976" s="1">
        <v>200.0</v>
      </c>
      <c r="H976" s="1" t="s">
        <v>966</v>
      </c>
      <c r="I976" s="1" t="s">
        <v>967</v>
      </c>
      <c r="K976" s="1" t="s">
        <v>3695</v>
      </c>
      <c r="L976" s="1">
        <v>51.0</v>
      </c>
      <c r="M976" s="1">
        <v>479.0</v>
      </c>
      <c r="O976" s="1">
        <v>0.0</v>
      </c>
      <c r="P976" s="1">
        <v>0.0</v>
      </c>
      <c r="Q976" s="1" t="s">
        <v>3696</v>
      </c>
      <c r="R976" s="1">
        <v>153.0</v>
      </c>
      <c r="S976" s="1">
        <v>994.0</v>
      </c>
      <c r="U976" s="1">
        <v>0.0</v>
      </c>
      <c r="V976" s="1" t="s">
        <v>3694</v>
      </c>
      <c r="W976" s="1">
        <v>85.0</v>
      </c>
      <c r="Y976" s="1">
        <v>0.0</v>
      </c>
      <c r="AA976" s="1">
        <v>0.0</v>
      </c>
      <c r="AC976" s="1">
        <v>0.0</v>
      </c>
      <c r="AD976" s="1" t="s">
        <v>971</v>
      </c>
      <c r="AG976" s="9" t="s">
        <v>3693</v>
      </c>
      <c r="AM976" s="1">
        <v>196659.0</v>
      </c>
      <c r="AN976" s="1">
        <v>34915.0</v>
      </c>
      <c r="AO976" s="1">
        <v>34915.0</v>
      </c>
      <c r="AP976" s="1">
        <v>13.375</v>
      </c>
      <c r="AR976" s="1">
        <v>1099.0</v>
      </c>
      <c r="AS976" s="1">
        <v>177.0</v>
      </c>
      <c r="AT976" s="1">
        <v>6.209</v>
      </c>
      <c r="AU976" s="1">
        <v>63.125</v>
      </c>
      <c r="AV976" s="1" t="s">
        <v>990</v>
      </c>
      <c r="AW976" s="1">
        <v>4.639</v>
      </c>
      <c r="AX976" s="1">
        <v>3.0</v>
      </c>
      <c r="AY976" s="1">
        <v>1.0</v>
      </c>
      <c r="AZ976" s="1">
        <v>1.0</v>
      </c>
      <c r="BA976" s="1">
        <v>26.0</v>
      </c>
      <c r="BB976" s="1">
        <v>26.0</v>
      </c>
      <c r="BC976" s="1">
        <v>0.0</v>
      </c>
      <c r="BD976" s="1">
        <v>3.45</v>
      </c>
      <c r="BE976" s="1">
        <v>131.0</v>
      </c>
      <c r="BF976" s="1">
        <v>48.0</v>
      </c>
      <c r="BG976" s="1">
        <v>0.0</v>
      </c>
      <c r="BH976" s="1">
        <v>16.0</v>
      </c>
      <c r="BI976" s="1">
        <v>8.0</v>
      </c>
      <c r="BJ976" s="1">
        <v>0.0</v>
      </c>
      <c r="BO976" s="1" t="s">
        <v>3697</v>
      </c>
      <c r="BP976" s="1">
        <v>1.043</v>
      </c>
      <c r="BU976" s="1" t="s">
        <v>974</v>
      </c>
      <c r="BV976" s="1">
        <v>1.1</v>
      </c>
      <c r="EQ976" s="9" t="s">
        <v>3693</v>
      </c>
      <c r="ER976" s="21">
        <v>46045.29986111111</v>
      </c>
    </row>
    <row r="977">
      <c r="A977" s="9" t="s">
        <v>3698</v>
      </c>
      <c r="B977" s="20" t="str">
        <f>IFERROR(__xludf.DUMMYFUNCTION("REGEXREPLACE(A977, ""^https?://[^/]+"", """")"),"/wp-content/themes/salesxceleratione/assets/css/style.css?ver=1769123341")</f>
        <v>/wp-content/themes/salesxceleratione/assets/css/style.css?ver=1769123341</v>
      </c>
      <c r="F977" s="1" t="s">
        <v>1016</v>
      </c>
      <c r="G977" s="1">
        <v>200.0</v>
      </c>
      <c r="H977" s="1" t="s">
        <v>966</v>
      </c>
      <c r="I977" s="1" t="s">
        <v>967</v>
      </c>
      <c r="L977" s="1">
        <v>0.0</v>
      </c>
      <c r="M977" s="1">
        <v>0.0</v>
      </c>
      <c r="O977" s="1">
        <v>0.0</v>
      </c>
      <c r="P977" s="1">
        <v>0.0</v>
      </c>
      <c r="R977" s="1">
        <v>0.0</v>
      </c>
      <c r="S977" s="1">
        <v>0.0</v>
      </c>
      <c r="U977" s="1">
        <v>0.0</v>
      </c>
      <c r="W977" s="1">
        <v>0.0</v>
      </c>
      <c r="Y977" s="1">
        <v>0.0</v>
      </c>
      <c r="AA977" s="1">
        <v>0.0</v>
      </c>
      <c r="AC977" s="1">
        <v>0.0</v>
      </c>
      <c r="AM977" s="1">
        <v>17704.0</v>
      </c>
      <c r="AN977" s="1">
        <v>17704.0</v>
      </c>
      <c r="AO977" s="1">
        <v>17704.0</v>
      </c>
      <c r="AP977" s="1">
        <v>6.782</v>
      </c>
      <c r="AR977" s="1">
        <v>0.0</v>
      </c>
      <c r="AW977" s="1">
        <v>0.0</v>
      </c>
      <c r="AX977" s="1">
        <v>3.0</v>
      </c>
      <c r="AY977" s="1">
        <v>5.0</v>
      </c>
      <c r="BA977" s="1">
        <v>0.0</v>
      </c>
      <c r="BB977" s="1">
        <v>0.0</v>
      </c>
      <c r="BC977" s="1">
        <v>0.0</v>
      </c>
      <c r="BD977" s="1">
        <v>0.0</v>
      </c>
      <c r="BE977" s="1">
        <v>0.0</v>
      </c>
      <c r="BF977" s="1">
        <v>0.0</v>
      </c>
      <c r="BG977" s="1">
        <v>0.0</v>
      </c>
      <c r="BH977" s="1">
        <v>0.0</v>
      </c>
      <c r="BI977" s="1">
        <v>0.0</v>
      </c>
      <c r="BJ977" s="1">
        <v>0.0</v>
      </c>
      <c r="BP977" s="1">
        <v>0.276</v>
      </c>
      <c r="BQ977" s="1" t="s">
        <v>3699</v>
      </c>
      <c r="BV977" s="1">
        <v>1.1</v>
      </c>
      <c r="EQ977" s="9" t="s">
        <v>3698</v>
      </c>
      <c r="ER977" s="21">
        <v>46045.29987268519</v>
      </c>
    </row>
    <row r="978">
      <c r="A978" s="9" t="s">
        <v>3700</v>
      </c>
      <c r="B978" s="20" t="str">
        <f>IFERROR(__xludf.DUMMYFUNCTION("REGEXREPLACE(A978, ""^https?://[^/]+"", """")"),"/wp-content/uploads/2014/11/20151-2048x2048.png")</f>
        <v>/wp-content/uploads/2014/11/20151-2048x2048.png</v>
      </c>
      <c r="F978" s="1" t="s">
        <v>1047</v>
      </c>
      <c r="G978" s="1">
        <v>200.0</v>
      </c>
      <c r="H978" s="1" t="s">
        <v>966</v>
      </c>
      <c r="I978" s="1" t="s">
        <v>967</v>
      </c>
      <c r="L978" s="1">
        <v>0.0</v>
      </c>
      <c r="M978" s="1">
        <v>0.0</v>
      </c>
      <c r="O978" s="1">
        <v>0.0</v>
      </c>
      <c r="P978" s="1">
        <v>0.0</v>
      </c>
      <c r="R978" s="1">
        <v>0.0</v>
      </c>
      <c r="S978" s="1">
        <v>0.0</v>
      </c>
      <c r="U978" s="1">
        <v>0.0</v>
      </c>
      <c r="W978" s="1">
        <v>0.0</v>
      </c>
      <c r="Y978" s="1">
        <v>0.0</v>
      </c>
      <c r="AA978" s="1">
        <v>0.0</v>
      </c>
      <c r="AC978" s="1">
        <v>0.0</v>
      </c>
      <c r="AM978" s="1">
        <v>1658582.0</v>
      </c>
      <c r="AN978" s="1">
        <v>1658582.0</v>
      </c>
      <c r="AO978" s="1">
        <v>1658582.0</v>
      </c>
      <c r="AP978" s="1">
        <v>635.371</v>
      </c>
      <c r="AR978" s="1">
        <v>0.0</v>
      </c>
      <c r="AW978" s="1">
        <v>0.0</v>
      </c>
      <c r="AX978" s="1">
        <v>3.0</v>
      </c>
      <c r="AY978" s="1">
        <v>4.0</v>
      </c>
      <c r="BA978" s="1">
        <v>0.0</v>
      </c>
      <c r="BB978" s="1">
        <v>0.0</v>
      </c>
      <c r="BC978" s="1">
        <v>0.0</v>
      </c>
      <c r="BD978" s="1">
        <v>0.0</v>
      </c>
      <c r="BE978" s="1">
        <v>0.0</v>
      </c>
      <c r="BF978" s="1">
        <v>0.0</v>
      </c>
      <c r="BG978" s="1">
        <v>0.0</v>
      </c>
      <c r="BH978" s="1">
        <v>0.0</v>
      </c>
      <c r="BI978" s="1">
        <v>0.0</v>
      </c>
      <c r="BJ978" s="1">
        <v>0.0</v>
      </c>
      <c r="BP978" s="1">
        <v>0.265</v>
      </c>
      <c r="BQ978" s="1" t="s">
        <v>3701</v>
      </c>
      <c r="BV978" s="1">
        <v>1.1</v>
      </c>
      <c r="EQ978" s="9" t="s">
        <v>3700</v>
      </c>
      <c r="ER978" s="21">
        <v>46045.29987268519</v>
      </c>
    </row>
    <row r="979">
      <c r="A979" s="9" t="s">
        <v>3702</v>
      </c>
      <c r="B979" s="20" t="str">
        <f>IFERROR(__xludf.DUMMYFUNCTION("REGEXREPLACE(A979, ""^https?://[^/]+"", """")"),"/wp-content/uploads/2013/11/small-businesses-sales-forecast-2048x2048.jpg")</f>
        <v>/wp-content/uploads/2013/11/small-businesses-sales-forecast-2048x2048.jpg</v>
      </c>
      <c r="F979" s="1" t="s">
        <v>1004</v>
      </c>
      <c r="G979" s="1">
        <v>200.0</v>
      </c>
      <c r="H979" s="1" t="s">
        <v>966</v>
      </c>
      <c r="I979" s="1" t="s">
        <v>967</v>
      </c>
      <c r="L979" s="1">
        <v>0.0</v>
      </c>
      <c r="M979" s="1">
        <v>0.0</v>
      </c>
      <c r="O979" s="1">
        <v>0.0</v>
      </c>
      <c r="P979" s="1">
        <v>0.0</v>
      </c>
      <c r="R979" s="1">
        <v>0.0</v>
      </c>
      <c r="S979" s="1">
        <v>0.0</v>
      </c>
      <c r="U979" s="1">
        <v>0.0</v>
      </c>
      <c r="W979" s="1">
        <v>0.0</v>
      </c>
      <c r="Y979" s="1">
        <v>0.0</v>
      </c>
      <c r="AA979" s="1">
        <v>0.0</v>
      </c>
      <c r="AC979" s="1">
        <v>0.0</v>
      </c>
      <c r="AM979" s="1">
        <v>352514.0</v>
      </c>
      <c r="AN979" s="1">
        <v>352514.0</v>
      </c>
      <c r="AO979" s="1">
        <v>352514.0</v>
      </c>
      <c r="AP979" s="1">
        <v>135.041</v>
      </c>
      <c r="AR979" s="1">
        <v>0.0</v>
      </c>
      <c r="AW979" s="1">
        <v>0.0</v>
      </c>
      <c r="AX979" s="1">
        <v>3.0</v>
      </c>
      <c r="AY979" s="1">
        <v>4.0</v>
      </c>
      <c r="BA979" s="1">
        <v>0.0</v>
      </c>
      <c r="BB979" s="1">
        <v>0.0</v>
      </c>
      <c r="BC979" s="1">
        <v>0.0</v>
      </c>
      <c r="BD979" s="1">
        <v>0.0</v>
      </c>
      <c r="BE979" s="1">
        <v>0.0</v>
      </c>
      <c r="BF979" s="1">
        <v>0.0</v>
      </c>
      <c r="BG979" s="1">
        <v>0.0</v>
      </c>
      <c r="BH979" s="1">
        <v>0.0</v>
      </c>
      <c r="BI979" s="1">
        <v>0.0</v>
      </c>
      <c r="BJ979" s="1">
        <v>0.0</v>
      </c>
      <c r="BP979" s="1">
        <v>1.274</v>
      </c>
      <c r="BQ979" s="1" t="s">
        <v>3703</v>
      </c>
      <c r="BV979" s="1">
        <v>1.1</v>
      </c>
      <c r="EQ979" s="9" t="s">
        <v>3702</v>
      </c>
      <c r="ER979" s="21">
        <v>46045.29987268519</v>
      </c>
    </row>
    <row r="980">
      <c r="A980" s="9" t="s">
        <v>3704</v>
      </c>
      <c r="B980" s="20" t="str">
        <f>IFERROR(__xludf.DUMMYFUNCTION("REGEXREPLACE(A980, ""^https?://[^/]+"", """")"),"/wp-content/uploads/2014/02/onboarding-2048x2048.jpg")</f>
        <v>/wp-content/uploads/2014/02/onboarding-2048x2048.jpg</v>
      </c>
      <c r="F980" s="1" t="s">
        <v>1004</v>
      </c>
      <c r="G980" s="1">
        <v>200.0</v>
      </c>
      <c r="H980" s="1" t="s">
        <v>966</v>
      </c>
      <c r="I980" s="1" t="s">
        <v>967</v>
      </c>
      <c r="L980" s="1">
        <v>0.0</v>
      </c>
      <c r="M980" s="1">
        <v>0.0</v>
      </c>
      <c r="O980" s="1">
        <v>0.0</v>
      </c>
      <c r="P980" s="1">
        <v>0.0</v>
      </c>
      <c r="R980" s="1">
        <v>0.0</v>
      </c>
      <c r="S980" s="1">
        <v>0.0</v>
      </c>
      <c r="U980" s="1">
        <v>0.0</v>
      </c>
      <c r="W980" s="1">
        <v>0.0</v>
      </c>
      <c r="Y980" s="1">
        <v>0.0</v>
      </c>
      <c r="AA980" s="1">
        <v>0.0</v>
      </c>
      <c r="AC980" s="1">
        <v>0.0</v>
      </c>
      <c r="AM980" s="1">
        <v>294128.0</v>
      </c>
      <c r="AN980" s="1">
        <v>294128.0</v>
      </c>
      <c r="AO980" s="1">
        <v>294128.0</v>
      </c>
      <c r="AP980" s="1">
        <v>112.675</v>
      </c>
      <c r="AR980" s="1">
        <v>0.0</v>
      </c>
      <c r="AW980" s="1">
        <v>0.0</v>
      </c>
      <c r="AX980" s="1">
        <v>3.0</v>
      </c>
      <c r="AY980" s="1">
        <v>4.0</v>
      </c>
      <c r="BA980" s="1">
        <v>0.0</v>
      </c>
      <c r="BB980" s="1">
        <v>0.0</v>
      </c>
      <c r="BC980" s="1">
        <v>0.0</v>
      </c>
      <c r="BD980" s="1">
        <v>0.0</v>
      </c>
      <c r="BE980" s="1">
        <v>0.0</v>
      </c>
      <c r="BF980" s="1">
        <v>0.0</v>
      </c>
      <c r="BG980" s="1">
        <v>0.0</v>
      </c>
      <c r="BH980" s="1">
        <v>0.0</v>
      </c>
      <c r="BI980" s="1">
        <v>0.0</v>
      </c>
      <c r="BJ980" s="1">
        <v>0.0</v>
      </c>
      <c r="BP980" s="1">
        <v>0.263</v>
      </c>
      <c r="BQ980" s="1" t="s">
        <v>3705</v>
      </c>
      <c r="BV980" s="1">
        <v>1.1</v>
      </c>
      <c r="EQ980" s="9" t="s">
        <v>3704</v>
      </c>
      <c r="ER980" s="21">
        <v>46045.29988425926</v>
      </c>
    </row>
    <row r="981">
      <c r="A981" s="9" t="s">
        <v>3706</v>
      </c>
      <c r="B981" s="20" t="str">
        <f>IFERROR(__xludf.DUMMYFUNCTION("REGEXREPLACE(A981, ""^https?://[^/]+"", """")"),"/wp-content/uploads/2014/05/Consulting-Ease-Into-Retirement-2048x2048.jpg")</f>
        <v>/wp-content/uploads/2014/05/Consulting-Ease-Into-Retirement-2048x2048.jpg</v>
      </c>
      <c r="F981" s="1" t="s">
        <v>1004</v>
      </c>
      <c r="G981" s="1">
        <v>200.0</v>
      </c>
      <c r="H981" s="1" t="s">
        <v>966</v>
      </c>
      <c r="I981" s="1" t="s">
        <v>967</v>
      </c>
      <c r="L981" s="1">
        <v>0.0</v>
      </c>
      <c r="M981" s="1">
        <v>0.0</v>
      </c>
      <c r="O981" s="1">
        <v>0.0</v>
      </c>
      <c r="P981" s="1">
        <v>0.0</v>
      </c>
      <c r="R981" s="1">
        <v>0.0</v>
      </c>
      <c r="S981" s="1">
        <v>0.0</v>
      </c>
      <c r="U981" s="1">
        <v>0.0</v>
      </c>
      <c r="W981" s="1">
        <v>0.0</v>
      </c>
      <c r="Y981" s="1">
        <v>0.0</v>
      </c>
      <c r="AA981" s="1">
        <v>0.0</v>
      </c>
      <c r="AC981" s="1">
        <v>0.0</v>
      </c>
      <c r="AM981" s="1">
        <v>398820.0</v>
      </c>
      <c r="AN981" s="1">
        <v>398820.0</v>
      </c>
      <c r="AO981" s="1">
        <v>398820.0</v>
      </c>
      <c r="AP981" s="1">
        <v>152.78</v>
      </c>
      <c r="AR981" s="1">
        <v>0.0</v>
      </c>
      <c r="AW981" s="1">
        <v>0.0</v>
      </c>
      <c r="AX981" s="1">
        <v>3.0</v>
      </c>
      <c r="AY981" s="1">
        <v>4.0</v>
      </c>
      <c r="BA981" s="1">
        <v>0.0</v>
      </c>
      <c r="BB981" s="1">
        <v>0.0</v>
      </c>
      <c r="BC981" s="1">
        <v>0.0</v>
      </c>
      <c r="BD981" s="1">
        <v>0.0</v>
      </c>
      <c r="BE981" s="1">
        <v>0.0</v>
      </c>
      <c r="BF981" s="1">
        <v>0.0</v>
      </c>
      <c r="BG981" s="1">
        <v>0.0</v>
      </c>
      <c r="BH981" s="1">
        <v>0.0</v>
      </c>
      <c r="BI981" s="1">
        <v>0.0</v>
      </c>
      <c r="BJ981" s="1">
        <v>0.0</v>
      </c>
      <c r="BP981" s="1">
        <v>0.273</v>
      </c>
      <c r="BQ981" s="1" t="s">
        <v>3707</v>
      </c>
      <c r="BV981" s="1">
        <v>1.1</v>
      </c>
      <c r="EQ981" s="9" t="s">
        <v>3706</v>
      </c>
      <c r="ER981" s="21">
        <v>46045.29988425926</v>
      </c>
    </row>
    <row r="982">
      <c r="A982" s="9" t="s">
        <v>3708</v>
      </c>
      <c r="B982" s="20" t="str">
        <f>IFERROR(__xludf.DUMMYFUNCTION("REGEXREPLACE(A982, ""^https?://[^/]+"", """")"),"/wp-content/uploads/2014/01/Write-better-advertisements-2048x2048.jpg")</f>
        <v>/wp-content/uploads/2014/01/Write-better-advertisements-2048x2048.jpg</v>
      </c>
      <c r="F982" s="1" t="s">
        <v>1004</v>
      </c>
      <c r="G982" s="1">
        <v>200.0</v>
      </c>
      <c r="H982" s="1" t="s">
        <v>966</v>
      </c>
      <c r="I982" s="1" t="s">
        <v>967</v>
      </c>
      <c r="L982" s="1">
        <v>0.0</v>
      </c>
      <c r="M982" s="1">
        <v>0.0</v>
      </c>
      <c r="O982" s="1">
        <v>0.0</v>
      </c>
      <c r="P982" s="1">
        <v>0.0</v>
      </c>
      <c r="R982" s="1">
        <v>0.0</v>
      </c>
      <c r="S982" s="1">
        <v>0.0</v>
      </c>
      <c r="U982" s="1">
        <v>0.0</v>
      </c>
      <c r="W982" s="1">
        <v>0.0</v>
      </c>
      <c r="Y982" s="1">
        <v>0.0</v>
      </c>
      <c r="AA982" s="1">
        <v>0.0</v>
      </c>
      <c r="AC982" s="1">
        <v>0.0</v>
      </c>
      <c r="AM982" s="1">
        <v>274626.0</v>
      </c>
      <c r="AN982" s="1">
        <v>274626.0</v>
      </c>
      <c r="AO982" s="1">
        <v>274626.0</v>
      </c>
      <c r="AP982" s="1">
        <v>105.204</v>
      </c>
      <c r="AR982" s="1">
        <v>0.0</v>
      </c>
      <c r="AW982" s="1">
        <v>0.0</v>
      </c>
      <c r="AX982" s="1">
        <v>3.0</v>
      </c>
      <c r="AY982" s="1">
        <v>4.0</v>
      </c>
      <c r="BA982" s="1">
        <v>0.0</v>
      </c>
      <c r="BB982" s="1">
        <v>0.0</v>
      </c>
      <c r="BC982" s="1">
        <v>0.0</v>
      </c>
      <c r="BD982" s="1">
        <v>0.0</v>
      </c>
      <c r="BE982" s="1">
        <v>0.0</v>
      </c>
      <c r="BF982" s="1">
        <v>0.0</v>
      </c>
      <c r="BG982" s="1">
        <v>0.0</v>
      </c>
      <c r="BH982" s="1">
        <v>0.0</v>
      </c>
      <c r="BI982" s="1">
        <v>0.0</v>
      </c>
      <c r="BJ982" s="1">
        <v>0.0</v>
      </c>
      <c r="BP982" s="1">
        <v>0.262</v>
      </c>
      <c r="BQ982" s="1" t="s">
        <v>3709</v>
      </c>
      <c r="BV982" s="1">
        <v>1.1</v>
      </c>
      <c r="EQ982" s="9" t="s">
        <v>3708</v>
      </c>
      <c r="ER982" s="21">
        <v>46045.29988425926</v>
      </c>
    </row>
    <row r="983">
      <c r="A983" s="9" t="s">
        <v>3710</v>
      </c>
      <c r="B983" s="20" t="str">
        <f>IFERROR(__xludf.DUMMYFUNCTION("REGEXREPLACE(A983, ""^https?://[^/]+"", """")"),"/2015-outlook-bigger-growth-smaller-businesses/")</f>
        <v>/2015-outlook-bigger-growth-smaller-businesses/</v>
      </c>
      <c r="C983" s="1" t="s">
        <v>3711</v>
      </c>
      <c r="F983" s="1" t="s">
        <v>965</v>
      </c>
      <c r="G983" s="1">
        <v>200.0</v>
      </c>
      <c r="H983" s="1" t="s">
        <v>966</v>
      </c>
      <c r="I983" s="1" t="s">
        <v>967</v>
      </c>
      <c r="K983" s="1" t="s">
        <v>3712</v>
      </c>
      <c r="L983" s="1">
        <v>75.0</v>
      </c>
      <c r="M983" s="1">
        <v>680.0</v>
      </c>
      <c r="O983" s="1">
        <v>0.0</v>
      </c>
      <c r="P983" s="1">
        <v>0.0</v>
      </c>
      <c r="Q983" s="1" t="s">
        <v>3713</v>
      </c>
      <c r="R983" s="1">
        <v>154.0</v>
      </c>
      <c r="S983" s="1">
        <v>981.0</v>
      </c>
      <c r="U983" s="1">
        <v>0.0</v>
      </c>
      <c r="V983" s="1" t="s">
        <v>3711</v>
      </c>
      <c r="W983" s="1">
        <v>50.0</v>
      </c>
      <c r="Y983" s="1">
        <v>0.0</v>
      </c>
      <c r="AA983" s="1">
        <v>0.0</v>
      </c>
      <c r="AC983" s="1">
        <v>0.0</v>
      </c>
      <c r="AD983" s="1" t="s">
        <v>971</v>
      </c>
      <c r="AG983" s="9" t="s">
        <v>3710</v>
      </c>
      <c r="AM983" s="1">
        <v>200360.0</v>
      </c>
      <c r="AN983" s="1">
        <v>35887.0</v>
      </c>
      <c r="AO983" s="1">
        <v>35887.0</v>
      </c>
      <c r="AP983" s="1">
        <v>13.748</v>
      </c>
      <c r="AR983" s="1">
        <v>1358.0</v>
      </c>
      <c r="AS983" s="1">
        <v>213.0</v>
      </c>
      <c r="AT983" s="1">
        <v>6.376</v>
      </c>
      <c r="AU983" s="1">
        <v>67.608</v>
      </c>
      <c r="AV983" s="1" t="s">
        <v>990</v>
      </c>
      <c r="AW983" s="1">
        <v>5.355</v>
      </c>
      <c r="AX983" s="1">
        <v>3.0</v>
      </c>
      <c r="AY983" s="1">
        <v>1.0</v>
      </c>
      <c r="AZ983" s="1">
        <v>1.0</v>
      </c>
      <c r="BA983" s="1">
        <v>22.0</v>
      </c>
      <c r="BB983" s="1">
        <v>22.0</v>
      </c>
      <c r="BC983" s="1">
        <v>0.0</v>
      </c>
      <c r="BD983" s="1">
        <v>2.92</v>
      </c>
      <c r="BE983" s="1">
        <v>130.0</v>
      </c>
      <c r="BF983" s="1">
        <v>47.0</v>
      </c>
      <c r="BG983" s="1">
        <v>0.0</v>
      </c>
      <c r="BH983" s="1">
        <v>16.0</v>
      </c>
      <c r="BI983" s="1">
        <v>8.0</v>
      </c>
      <c r="BJ983" s="1">
        <v>0.0</v>
      </c>
      <c r="BO983" s="1" t="s">
        <v>3714</v>
      </c>
      <c r="BP983" s="1">
        <v>0.973</v>
      </c>
      <c r="BU983" s="1" t="s">
        <v>974</v>
      </c>
      <c r="BV983" s="1">
        <v>1.1</v>
      </c>
      <c r="EQ983" s="9" t="s">
        <v>3710</v>
      </c>
      <c r="ER983" s="21">
        <v>46045.29987268519</v>
      </c>
    </row>
    <row r="984">
      <c r="A984" s="9" t="s">
        <v>3715</v>
      </c>
      <c r="B984" s="20" t="str">
        <f>IFERROR(__xludf.DUMMYFUNCTION("REGEXREPLACE(A984, ""^https?://[^/]+"", """")"),"/how-onboarding-can-help-salespeople-get-and-stay-on-track-for-sales-success/")</f>
        <v>/how-onboarding-can-help-salespeople-get-and-stay-on-track-for-sales-success/</v>
      </c>
      <c r="C984" s="1" t="s">
        <v>3716</v>
      </c>
      <c r="F984" s="1" t="s">
        <v>965</v>
      </c>
      <c r="G984" s="1">
        <v>200.0</v>
      </c>
      <c r="H984" s="1" t="s">
        <v>966</v>
      </c>
      <c r="I984" s="1" t="s">
        <v>967</v>
      </c>
      <c r="K984" s="1" t="s">
        <v>3717</v>
      </c>
      <c r="L984" s="1">
        <v>61.0</v>
      </c>
      <c r="M984" s="1">
        <v>571.0</v>
      </c>
      <c r="O984" s="1">
        <v>0.0</v>
      </c>
      <c r="P984" s="1">
        <v>0.0</v>
      </c>
      <c r="Q984" s="1" t="s">
        <v>3718</v>
      </c>
      <c r="R984" s="1">
        <v>132.0</v>
      </c>
      <c r="S984" s="1">
        <v>858.0</v>
      </c>
      <c r="U984" s="1">
        <v>0.0</v>
      </c>
      <c r="V984" s="1" t="s">
        <v>3716</v>
      </c>
      <c r="W984" s="1">
        <v>75.0</v>
      </c>
      <c r="Y984" s="1">
        <v>0.0</v>
      </c>
      <c r="AA984" s="1">
        <v>0.0</v>
      </c>
      <c r="AC984" s="1">
        <v>0.0</v>
      </c>
      <c r="AD984" s="1" t="s">
        <v>971</v>
      </c>
      <c r="AG984" s="9" t="s">
        <v>3715</v>
      </c>
      <c r="AM984" s="1">
        <v>200959.0</v>
      </c>
      <c r="AN984" s="1">
        <v>36095.0</v>
      </c>
      <c r="AO984" s="1">
        <v>36095.0</v>
      </c>
      <c r="AP984" s="1">
        <v>13.827</v>
      </c>
      <c r="AR984" s="1">
        <v>1455.0</v>
      </c>
      <c r="AS984" s="1">
        <v>217.0</v>
      </c>
      <c r="AT984" s="1">
        <v>6.705</v>
      </c>
      <c r="AU984" s="1">
        <v>60.599</v>
      </c>
      <c r="AV984" s="1" t="s">
        <v>990</v>
      </c>
      <c r="AW984" s="1">
        <v>5.713</v>
      </c>
      <c r="AX984" s="1">
        <v>3.0</v>
      </c>
      <c r="AY984" s="1">
        <v>1.0</v>
      </c>
      <c r="AZ984" s="1">
        <v>1.0</v>
      </c>
      <c r="BA984" s="1">
        <v>47.0</v>
      </c>
      <c r="BB984" s="1">
        <v>47.0</v>
      </c>
      <c r="BC984" s="1">
        <v>0.0</v>
      </c>
      <c r="BD984" s="1">
        <v>6.23</v>
      </c>
      <c r="BE984" s="1">
        <v>130.0</v>
      </c>
      <c r="BF984" s="1">
        <v>48.0</v>
      </c>
      <c r="BG984" s="1">
        <v>0.0</v>
      </c>
      <c r="BH984" s="1">
        <v>16.0</v>
      </c>
      <c r="BI984" s="1">
        <v>8.0</v>
      </c>
      <c r="BJ984" s="1">
        <v>0.0</v>
      </c>
      <c r="BO984" s="1" t="s">
        <v>3719</v>
      </c>
      <c r="BP984" s="1">
        <v>1.015</v>
      </c>
      <c r="BU984" s="1" t="s">
        <v>974</v>
      </c>
      <c r="BV984" s="1">
        <v>1.1</v>
      </c>
      <c r="EQ984" s="9" t="s">
        <v>3715</v>
      </c>
      <c r="ER984" s="21">
        <v>46045.29988425926</v>
      </c>
    </row>
    <row r="985">
      <c r="A985" s="9" t="s">
        <v>3720</v>
      </c>
      <c r="B985" s="20" t="str">
        <f>IFERROR(__xludf.DUMMYFUNCTION("REGEXREPLACE(A985, ""^https?://[^/]+"", """")"),"/wp-content/uploads/2014/01/Job-candidate-search-2048x2048.jpg")</f>
        <v>/wp-content/uploads/2014/01/Job-candidate-search-2048x2048.jpg</v>
      </c>
      <c r="F985" s="1" t="s">
        <v>1004</v>
      </c>
      <c r="G985" s="1">
        <v>200.0</v>
      </c>
      <c r="H985" s="1" t="s">
        <v>966</v>
      </c>
      <c r="I985" s="1" t="s">
        <v>967</v>
      </c>
      <c r="L985" s="1">
        <v>0.0</v>
      </c>
      <c r="M985" s="1">
        <v>0.0</v>
      </c>
      <c r="O985" s="1">
        <v>0.0</v>
      </c>
      <c r="P985" s="1">
        <v>0.0</v>
      </c>
      <c r="R985" s="1">
        <v>0.0</v>
      </c>
      <c r="S985" s="1">
        <v>0.0</v>
      </c>
      <c r="U985" s="1">
        <v>0.0</v>
      </c>
      <c r="W985" s="1">
        <v>0.0</v>
      </c>
      <c r="Y985" s="1">
        <v>0.0</v>
      </c>
      <c r="AA985" s="1">
        <v>0.0</v>
      </c>
      <c r="AC985" s="1">
        <v>0.0</v>
      </c>
      <c r="AM985" s="1">
        <v>444915.0</v>
      </c>
      <c r="AN985" s="1">
        <v>444915.0</v>
      </c>
      <c r="AO985" s="1">
        <v>444915.0</v>
      </c>
      <c r="AP985" s="1">
        <v>170.438</v>
      </c>
      <c r="AR985" s="1">
        <v>0.0</v>
      </c>
      <c r="AW985" s="1">
        <v>0.0</v>
      </c>
      <c r="AX985" s="1">
        <v>3.0</v>
      </c>
      <c r="AY985" s="1">
        <v>4.0</v>
      </c>
      <c r="BA985" s="1">
        <v>0.0</v>
      </c>
      <c r="BB985" s="1">
        <v>0.0</v>
      </c>
      <c r="BC985" s="1">
        <v>0.0</v>
      </c>
      <c r="BD985" s="1">
        <v>0.0</v>
      </c>
      <c r="BE985" s="1">
        <v>0.0</v>
      </c>
      <c r="BF985" s="1">
        <v>0.0</v>
      </c>
      <c r="BG985" s="1">
        <v>0.0</v>
      </c>
      <c r="BH985" s="1">
        <v>0.0</v>
      </c>
      <c r="BI985" s="1">
        <v>0.0</v>
      </c>
      <c r="BJ985" s="1">
        <v>0.0</v>
      </c>
      <c r="BP985" s="1">
        <v>0.266</v>
      </c>
      <c r="BQ985" s="1" t="s">
        <v>3721</v>
      </c>
      <c r="BV985" s="1">
        <v>1.1</v>
      </c>
      <c r="EQ985" s="9" t="s">
        <v>3720</v>
      </c>
      <c r="ER985" s="21">
        <v>46045.299895833334</v>
      </c>
    </row>
    <row r="986">
      <c r="A986" s="9" t="s">
        <v>3722</v>
      </c>
      <c r="B986" s="20" t="str">
        <f>IFERROR(__xludf.DUMMYFUNCTION("REGEXREPLACE(A986, ""^https?://[^/]+"", """")"),"/wp-content/uploads/2023/08/Businessman-Selling-Virtually-300x200.jpg")</f>
        <v>/wp-content/uploads/2023/08/Businessman-Selling-Virtually-300x200.jpg</v>
      </c>
      <c r="F986" s="1" t="s">
        <v>1004</v>
      </c>
      <c r="G986" s="1">
        <v>200.0</v>
      </c>
      <c r="H986" s="1" t="s">
        <v>966</v>
      </c>
      <c r="I986" s="1" t="s">
        <v>967</v>
      </c>
      <c r="L986" s="1">
        <v>0.0</v>
      </c>
      <c r="M986" s="1">
        <v>0.0</v>
      </c>
      <c r="O986" s="1">
        <v>0.0</v>
      </c>
      <c r="P986" s="1">
        <v>0.0</v>
      </c>
      <c r="R986" s="1">
        <v>0.0</v>
      </c>
      <c r="S986" s="1">
        <v>0.0</v>
      </c>
      <c r="U986" s="1">
        <v>0.0</v>
      </c>
      <c r="W986" s="1">
        <v>0.0</v>
      </c>
      <c r="Y986" s="1">
        <v>0.0</v>
      </c>
      <c r="AA986" s="1">
        <v>0.0</v>
      </c>
      <c r="AC986" s="1">
        <v>0.0</v>
      </c>
      <c r="AM986" s="1">
        <v>22171.0</v>
      </c>
      <c r="AN986" s="1">
        <v>22171.0</v>
      </c>
      <c r="AO986" s="1">
        <v>22171.0</v>
      </c>
      <c r="AP986" s="1">
        <v>8.493</v>
      </c>
      <c r="AR986" s="1">
        <v>0.0</v>
      </c>
      <c r="AW986" s="1">
        <v>0.0</v>
      </c>
      <c r="AX986" s="1">
        <v>3.0</v>
      </c>
      <c r="AY986" s="1">
        <v>4.0</v>
      </c>
      <c r="BA986" s="1">
        <v>0.0</v>
      </c>
      <c r="BB986" s="1">
        <v>0.0</v>
      </c>
      <c r="BC986" s="1">
        <v>0.0</v>
      </c>
      <c r="BD986" s="1">
        <v>0.0</v>
      </c>
      <c r="BE986" s="1">
        <v>0.0</v>
      </c>
      <c r="BF986" s="1">
        <v>0.0</v>
      </c>
      <c r="BG986" s="1">
        <v>0.0</v>
      </c>
      <c r="BH986" s="1">
        <v>0.0</v>
      </c>
      <c r="BI986" s="1">
        <v>0.0</v>
      </c>
      <c r="BJ986" s="1">
        <v>0.0</v>
      </c>
      <c r="BP986" s="1">
        <v>0.284</v>
      </c>
      <c r="BQ986" s="1" t="s">
        <v>3723</v>
      </c>
      <c r="BV986" s="1">
        <v>1.1</v>
      </c>
      <c r="EQ986" s="9" t="s">
        <v>3722</v>
      </c>
      <c r="ER986" s="21">
        <v>46045.299895833334</v>
      </c>
    </row>
    <row r="987">
      <c r="A987" s="9" t="s">
        <v>3724</v>
      </c>
      <c r="B987" s="20" t="str">
        <f>IFERROR(__xludf.DUMMYFUNCTION("REGEXREPLACE(A987, ""^https?://[^/]+"", """")"),"/how-consulting-can-help-you-ease-into-retirement/")</f>
        <v>/how-consulting-can-help-you-ease-into-retirement/</v>
      </c>
      <c r="C987" s="1" t="s">
        <v>3725</v>
      </c>
      <c r="F987" s="1" t="s">
        <v>965</v>
      </c>
      <c r="G987" s="1">
        <v>200.0</v>
      </c>
      <c r="H987" s="1" t="s">
        <v>966</v>
      </c>
      <c r="I987" s="1" t="s">
        <v>967</v>
      </c>
      <c r="K987" s="1" t="s">
        <v>3726</v>
      </c>
      <c r="L987" s="1">
        <v>68.0</v>
      </c>
      <c r="M987" s="1">
        <v>628.0</v>
      </c>
      <c r="O987" s="1">
        <v>0.0</v>
      </c>
      <c r="P987" s="1">
        <v>0.0</v>
      </c>
      <c r="Q987" s="1" t="s">
        <v>3727</v>
      </c>
      <c r="R987" s="1">
        <v>151.0</v>
      </c>
      <c r="S987" s="1">
        <v>923.0</v>
      </c>
      <c r="U987" s="1">
        <v>0.0</v>
      </c>
      <c r="V987" s="1" t="s">
        <v>3725</v>
      </c>
      <c r="W987" s="1">
        <v>48.0</v>
      </c>
      <c r="Y987" s="1">
        <v>0.0</v>
      </c>
      <c r="AA987" s="1">
        <v>0.0</v>
      </c>
      <c r="AC987" s="1">
        <v>0.0</v>
      </c>
      <c r="AD987" s="1" t="s">
        <v>971</v>
      </c>
      <c r="AG987" s="9" t="s">
        <v>3724</v>
      </c>
      <c r="AM987" s="1">
        <v>198532.0</v>
      </c>
      <c r="AN987" s="1">
        <v>35388.0</v>
      </c>
      <c r="AO987" s="1">
        <v>35388.0</v>
      </c>
      <c r="AP987" s="1">
        <v>13.556</v>
      </c>
      <c r="AR987" s="1">
        <v>1262.0</v>
      </c>
      <c r="AS987" s="1">
        <v>185.0</v>
      </c>
      <c r="AT987" s="1">
        <v>6.822</v>
      </c>
      <c r="AU987" s="1">
        <v>68.855</v>
      </c>
      <c r="AV987" s="1" t="s">
        <v>990</v>
      </c>
      <c r="AW987" s="1">
        <v>4.993</v>
      </c>
      <c r="AX987" s="1">
        <v>3.0</v>
      </c>
      <c r="AY987" s="1">
        <v>1.0</v>
      </c>
      <c r="AZ987" s="1">
        <v>1.0</v>
      </c>
      <c r="BA987" s="1">
        <v>36.0</v>
      </c>
      <c r="BB987" s="1">
        <v>36.0</v>
      </c>
      <c r="BC987" s="1">
        <v>0.0</v>
      </c>
      <c r="BD987" s="1">
        <v>4.77</v>
      </c>
      <c r="BE987" s="1">
        <v>130.0</v>
      </c>
      <c r="BF987" s="1">
        <v>47.0</v>
      </c>
      <c r="BG987" s="1">
        <v>0.0</v>
      </c>
      <c r="BH987" s="1">
        <v>16.0</v>
      </c>
      <c r="BI987" s="1">
        <v>8.0</v>
      </c>
      <c r="BJ987" s="1">
        <v>0.0</v>
      </c>
      <c r="BO987" s="1" t="s">
        <v>3728</v>
      </c>
      <c r="BP987" s="1">
        <v>1.019</v>
      </c>
      <c r="BU987" s="1" t="s">
        <v>974</v>
      </c>
      <c r="BV987" s="1">
        <v>1.1</v>
      </c>
      <c r="EQ987" s="9" t="s">
        <v>3724</v>
      </c>
      <c r="ER987" s="21">
        <v>46045.29988425926</v>
      </c>
    </row>
    <row r="988">
      <c r="A988" s="9" t="s">
        <v>3729</v>
      </c>
      <c r="B988" s="20" t="str">
        <f>IFERROR(__xludf.DUMMYFUNCTION("REGEXREPLACE(A988, ""^https?://[^/]+"", """")"),"/turn-your-job-candidate-search-inside-out-by-looking-beyond-your-industry/")</f>
        <v>/turn-your-job-candidate-search-inside-out-by-looking-beyond-your-industry/</v>
      </c>
      <c r="C988" s="1" t="s">
        <v>3730</v>
      </c>
      <c r="F988" s="1" t="s">
        <v>965</v>
      </c>
      <c r="G988" s="1">
        <v>200.0</v>
      </c>
      <c r="H988" s="1" t="s">
        <v>966</v>
      </c>
      <c r="I988" s="1" t="s">
        <v>967</v>
      </c>
      <c r="K988" s="1" t="s">
        <v>3731</v>
      </c>
      <c r="L988" s="1">
        <v>44.0</v>
      </c>
      <c r="M988" s="1">
        <v>406.0</v>
      </c>
      <c r="O988" s="1">
        <v>0.0</v>
      </c>
      <c r="P988" s="1">
        <v>0.0</v>
      </c>
      <c r="Q988" s="1" t="s">
        <v>3732</v>
      </c>
      <c r="R988" s="1">
        <v>158.0</v>
      </c>
      <c r="S988" s="1">
        <v>905.0</v>
      </c>
      <c r="U988" s="1">
        <v>0.0</v>
      </c>
      <c r="V988" s="1" t="s">
        <v>3730</v>
      </c>
      <c r="W988" s="1">
        <v>73.0</v>
      </c>
      <c r="Y988" s="1">
        <v>0.0</v>
      </c>
      <c r="AA988" s="1">
        <v>0.0</v>
      </c>
      <c r="AC988" s="1">
        <v>0.0</v>
      </c>
      <c r="AD988" s="1" t="s">
        <v>971</v>
      </c>
      <c r="AG988" s="9" t="s">
        <v>3729</v>
      </c>
      <c r="AM988" s="1">
        <v>200088.0</v>
      </c>
      <c r="AN988" s="1">
        <v>36027.0</v>
      </c>
      <c r="AO988" s="1">
        <v>36027.0</v>
      </c>
      <c r="AP988" s="1">
        <v>13.801</v>
      </c>
      <c r="AR988" s="1">
        <v>1361.0</v>
      </c>
      <c r="AS988" s="1">
        <v>203.0</v>
      </c>
      <c r="AT988" s="1">
        <v>6.704</v>
      </c>
      <c r="AU988" s="1">
        <v>62.283</v>
      </c>
      <c r="AV988" s="1" t="s">
        <v>990</v>
      </c>
      <c r="AW988" s="1">
        <v>5.436</v>
      </c>
      <c r="AX988" s="1">
        <v>3.0</v>
      </c>
      <c r="AY988" s="1">
        <v>1.0</v>
      </c>
      <c r="AZ988" s="1">
        <v>1.0</v>
      </c>
      <c r="BA988" s="1">
        <v>10.0</v>
      </c>
      <c r="BB988" s="1">
        <v>10.0</v>
      </c>
      <c r="BC988" s="1">
        <v>0.0</v>
      </c>
      <c r="BD988" s="1">
        <v>1.33</v>
      </c>
      <c r="BE988" s="1">
        <v>130.0</v>
      </c>
      <c r="BF988" s="1">
        <v>48.0</v>
      </c>
      <c r="BG988" s="1">
        <v>0.0</v>
      </c>
      <c r="BH988" s="1">
        <v>16.0</v>
      </c>
      <c r="BI988" s="1">
        <v>8.0</v>
      </c>
      <c r="BJ988" s="1">
        <v>0.0</v>
      </c>
      <c r="BO988" s="1" t="s">
        <v>3733</v>
      </c>
      <c r="BP988" s="1">
        <v>0.993</v>
      </c>
      <c r="BU988" s="1" t="s">
        <v>974</v>
      </c>
      <c r="BV988" s="1">
        <v>1.1</v>
      </c>
      <c r="EQ988" s="9" t="s">
        <v>3729</v>
      </c>
      <c r="ER988" s="21">
        <v>46045.29988425926</v>
      </c>
    </row>
    <row r="989">
      <c r="A989" s="9" t="s">
        <v>3734</v>
      </c>
      <c r="B989" s="20" t="str">
        <f>IFERROR(__xludf.DUMMYFUNCTION("REGEXREPLACE(A989, ""^https?://[^/]+"", """")"),"/7-ways-to-write-a-better-sales-job-advertisement/")</f>
        <v>/7-ways-to-write-a-better-sales-job-advertisement/</v>
      </c>
      <c r="C989" s="1" t="s">
        <v>3735</v>
      </c>
      <c r="F989" s="1" t="s">
        <v>965</v>
      </c>
      <c r="G989" s="1">
        <v>200.0</v>
      </c>
      <c r="H989" s="1" t="s">
        <v>966</v>
      </c>
      <c r="I989" s="1" t="s">
        <v>967</v>
      </c>
      <c r="K989" s="1" t="s">
        <v>3736</v>
      </c>
      <c r="L989" s="1">
        <v>73.0</v>
      </c>
      <c r="M989" s="1">
        <v>660.0</v>
      </c>
      <c r="O989" s="1">
        <v>0.0</v>
      </c>
      <c r="P989" s="1">
        <v>0.0</v>
      </c>
      <c r="Q989" s="1" t="s">
        <v>3737</v>
      </c>
      <c r="R989" s="1">
        <v>152.0</v>
      </c>
      <c r="S989" s="1">
        <v>919.0</v>
      </c>
      <c r="U989" s="1">
        <v>0.0</v>
      </c>
      <c r="V989" s="1" t="s">
        <v>3735</v>
      </c>
      <c r="W989" s="1">
        <v>48.0</v>
      </c>
      <c r="Y989" s="1">
        <v>0.0</v>
      </c>
      <c r="AA989" s="1">
        <v>0.0</v>
      </c>
      <c r="AC989" s="1">
        <v>0.0</v>
      </c>
      <c r="AD989" s="1" t="s">
        <v>971</v>
      </c>
      <c r="AG989" s="9" t="s">
        <v>3734</v>
      </c>
      <c r="AM989" s="1">
        <v>198595.0</v>
      </c>
      <c r="AN989" s="1">
        <v>35117.0</v>
      </c>
      <c r="AO989" s="1">
        <v>35117.0</v>
      </c>
      <c r="AP989" s="1">
        <v>13.453</v>
      </c>
      <c r="AR989" s="1">
        <v>1134.0</v>
      </c>
      <c r="AS989" s="1">
        <v>177.0</v>
      </c>
      <c r="AT989" s="1">
        <v>6.407</v>
      </c>
      <c r="AU989" s="1">
        <v>65.972</v>
      </c>
      <c r="AV989" s="1" t="s">
        <v>990</v>
      </c>
      <c r="AW989" s="1">
        <v>4.671</v>
      </c>
      <c r="AX989" s="1">
        <v>3.0</v>
      </c>
      <c r="AY989" s="1">
        <v>1.0</v>
      </c>
      <c r="AZ989" s="1">
        <v>1.0</v>
      </c>
      <c r="BA989" s="1">
        <v>10.0</v>
      </c>
      <c r="BB989" s="1">
        <v>10.0</v>
      </c>
      <c r="BC989" s="1">
        <v>0.0</v>
      </c>
      <c r="BD989" s="1">
        <v>1.33</v>
      </c>
      <c r="BE989" s="1">
        <v>132.0</v>
      </c>
      <c r="BF989" s="1">
        <v>49.0</v>
      </c>
      <c r="BG989" s="1">
        <v>0.0</v>
      </c>
      <c r="BH989" s="1">
        <v>16.0</v>
      </c>
      <c r="BI989" s="1">
        <v>8.0</v>
      </c>
      <c r="BJ989" s="1">
        <v>0.0</v>
      </c>
      <c r="BO989" s="1" t="s">
        <v>3738</v>
      </c>
      <c r="BP989" s="1">
        <v>1.0</v>
      </c>
      <c r="BU989" s="1" t="s">
        <v>974</v>
      </c>
      <c r="BV989" s="1">
        <v>1.1</v>
      </c>
      <c r="EQ989" s="9" t="s">
        <v>3734</v>
      </c>
      <c r="ER989" s="21">
        <v>46045.29988425926</v>
      </c>
    </row>
    <row r="990">
      <c r="A990" s="9" t="s">
        <v>3739</v>
      </c>
      <c r="B990" s="20" t="str">
        <f>IFERROR(__xludf.DUMMYFUNCTION("REGEXREPLACE(A990, ""^https?://[^/]+"", """")"),"/wp-content/uploads/elementor/css/post-20795.css?ver=1768846660")</f>
        <v>/wp-content/uploads/elementor/css/post-20795.css?ver=1768846660</v>
      </c>
      <c r="F990" s="1" t="s">
        <v>1016</v>
      </c>
      <c r="G990" s="1">
        <v>200.0</v>
      </c>
      <c r="H990" s="1" t="s">
        <v>966</v>
      </c>
      <c r="I990" s="1" t="s">
        <v>967</v>
      </c>
      <c r="L990" s="1">
        <v>0.0</v>
      </c>
      <c r="M990" s="1">
        <v>0.0</v>
      </c>
      <c r="O990" s="1">
        <v>0.0</v>
      </c>
      <c r="P990" s="1">
        <v>0.0</v>
      </c>
      <c r="R990" s="1">
        <v>0.0</v>
      </c>
      <c r="S990" s="1">
        <v>0.0</v>
      </c>
      <c r="U990" s="1">
        <v>0.0</v>
      </c>
      <c r="W990" s="1">
        <v>0.0</v>
      </c>
      <c r="Y990" s="1">
        <v>0.0</v>
      </c>
      <c r="AA990" s="1">
        <v>0.0</v>
      </c>
      <c r="AC990" s="1">
        <v>0.0</v>
      </c>
      <c r="AM990" s="1">
        <v>799.0</v>
      </c>
      <c r="AN990" s="1">
        <v>799.0</v>
      </c>
      <c r="AO990" s="1">
        <v>799.0</v>
      </c>
      <c r="AP990" s="1">
        <v>0.306</v>
      </c>
      <c r="AR990" s="1">
        <v>0.0</v>
      </c>
      <c r="AW990" s="1">
        <v>0.0</v>
      </c>
      <c r="AX990" s="1">
        <v>3.0</v>
      </c>
      <c r="AY990" s="1">
        <v>4.0</v>
      </c>
      <c r="BA990" s="1">
        <v>0.0</v>
      </c>
      <c r="BB990" s="1">
        <v>0.0</v>
      </c>
      <c r="BC990" s="1">
        <v>0.0</v>
      </c>
      <c r="BD990" s="1">
        <v>0.0</v>
      </c>
      <c r="BE990" s="1">
        <v>0.0</v>
      </c>
      <c r="BF990" s="1">
        <v>0.0</v>
      </c>
      <c r="BG990" s="1">
        <v>0.0</v>
      </c>
      <c r="BH990" s="1">
        <v>0.0</v>
      </c>
      <c r="BI990" s="1">
        <v>0.0</v>
      </c>
      <c r="BJ990" s="1">
        <v>0.0</v>
      </c>
      <c r="BP990" s="1">
        <v>0.258</v>
      </c>
      <c r="BQ990" s="1" t="s">
        <v>3740</v>
      </c>
      <c r="BV990" s="1">
        <v>1.1</v>
      </c>
      <c r="EQ990" s="9" t="s">
        <v>3739</v>
      </c>
      <c r="ER990" s="21">
        <v>46045.299895833334</v>
      </c>
    </row>
    <row r="991">
      <c r="A991" s="9" t="s">
        <v>3741</v>
      </c>
      <c r="B991" s="20" t="str">
        <f>IFERROR(__xludf.DUMMYFUNCTION("REGEXREPLACE(A991, ""^https?://[^/]+"", """")"),"/wp-content/uploads/2022/07/Sales-Automation-300x300.jpg")</f>
        <v>/wp-content/uploads/2022/07/Sales-Automation-300x300.jpg</v>
      </c>
      <c r="F991" s="1" t="s">
        <v>1004</v>
      </c>
      <c r="G991" s="1">
        <v>200.0</v>
      </c>
      <c r="H991" s="1" t="s">
        <v>966</v>
      </c>
      <c r="I991" s="1" t="s">
        <v>967</v>
      </c>
      <c r="L991" s="1">
        <v>0.0</v>
      </c>
      <c r="M991" s="1">
        <v>0.0</v>
      </c>
      <c r="O991" s="1">
        <v>0.0</v>
      </c>
      <c r="P991" s="1">
        <v>0.0</v>
      </c>
      <c r="R991" s="1">
        <v>0.0</v>
      </c>
      <c r="S991" s="1">
        <v>0.0</v>
      </c>
      <c r="U991" s="1">
        <v>0.0</v>
      </c>
      <c r="W991" s="1">
        <v>0.0</v>
      </c>
      <c r="Y991" s="1">
        <v>0.0</v>
      </c>
      <c r="AA991" s="1">
        <v>0.0</v>
      </c>
      <c r="AC991" s="1">
        <v>0.0</v>
      </c>
      <c r="AM991" s="1">
        <v>30685.0</v>
      </c>
      <c r="AN991" s="1">
        <v>30685.0</v>
      </c>
      <c r="AO991" s="1">
        <v>30685.0</v>
      </c>
      <c r="AP991" s="1">
        <v>11.755</v>
      </c>
      <c r="AR991" s="1">
        <v>0.0</v>
      </c>
      <c r="AW991" s="1">
        <v>0.0</v>
      </c>
      <c r="AX991" s="1">
        <v>3.0</v>
      </c>
      <c r="AY991" s="1">
        <v>4.0</v>
      </c>
      <c r="BA991" s="1">
        <v>0.0</v>
      </c>
      <c r="BB991" s="1">
        <v>0.0</v>
      </c>
      <c r="BC991" s="1">
        <v>0.0</v>
      </c>
      <c r="BD991" s="1">
        <v>0.0</v>
      </c>
      <c r="BE991" s="1">
        <v>0.0</v>
      </c>
      <c r="BF991" s="1">
        <v>0.0</v>
      </c>
      <c r="BG991" s="1">
        <v>0.0</v>
      </c>
      <c r="BH991" s="1">
        <v>0.0</v>
      </c>
      <c r="BI991" s="1">
        <v>0.0</v>
      </c>
      <c r="BJ991" s="1">
        <v>0.0</v>
      </c>
      <c r="BP991" s="1">
        <v>0.356</v>
      </c>
      <c r="BQ991" s="1" t="s">
        <v>3742</v>
      </c>
      <c r="BV991" s="1">
        <v>1.1</v>
      </c>
      <c r="EQ991" s="9" t="s">
        <v>3741</v>
      </c>
      <c r="ER991" s="21">
        <v>46045.299895833334</v>
      </c>
    </row>
    <row r="992">
      <c r="A992" s="9" t="s">
        <v>3743</v>
      </c>
      <c r="B992" s="20" t="str">
        <f>IFERROR(__xludf.DUMMYFUNCTION("REGEXREPLACE(A992, ""^https?://[^/]+"", """")"),"/is-small-business-success-possible-during-a-period-of-inflation/")</f>
        <v>/is-small-business-success-possible-during-a-period-of-inflation/</v>
      </c>
      <c r="C992" s="1" t="s">
        <v>3744</v>
      </c>
      <c r="D992" s="1" t="s">
        <v>3745</v>
      </c>
      <c r="E992" s="1" t="s">
        <v>3746</v>
      </c>
      <c r="F992" s="1" t="s">
        <v>965</v>
      </c>
      <c r="G992" s="1">
        <v>200.0</v>
      </c>
      <c r="H992" s="1" t="s">
        <v>966</v>
      </c>
      <c r="I992" s="1" t="s">
        <v>967</v>
      </c>
      <c r="K992" s="1" t="s">
        <v>3747</v>
      </c>
      <c r="L992" s="1">
        <v>89.0</v>
      </c>
      <c r="M992" s="1">
        <v>783.0</v>
      </c>
      <c r="O992" s="1">
        <v>0.0</v>
      </c>
      <c r="P992" s="1">
        <v>0.0</v>
      </c>
      <c r="Q992" s="1" t="s">
        <v>3748</v>
      </c>
      <c r="R992" s="1">
        <v>111.0</v>
      </c>
      <c r="S992" s="1">
        <v>691.0</v>
      </c>
      <c r="U992" s="1">
        <v>0.0</v>
      </c>
      <c r="V992" s="1" t="s">
        <v>3744</v>
      </c>
      <c r="W992" s="1">
        <v>64.0</v>
      </c>
      <c r="Y992" s="1">
        <v>0.0</v>
      </c>
      <c r="Z992" s="1" t="s">
        <v>3745</v>
      </c>
      <c r="AA992" s="1">
        <v>41.0</v>
      </c>
      <c r="AB992" s="1" t="s">
        <v>3746</v>
      </c>
      <c r="AC992" s="1">
        <v>32.0</v>
      </c>
      <c r="AD992" s="1" t="s">
        <v>971</v>
      </c>
      <c r="AG992" s="9" t="s">
        <v>3743</v>
      </c>
      <c r="AM992" s="1">
        <v>206039.0</v>
      </c>
      <c r="AN992" s="1">
        <v>37589.0</v>
      </c>
      <c r="AO992" s="1">
        <v>37589.0</v>
      </c>
      <c r="AP992" s="1">
        <v>14.4</v>
      </c>
      <c r="AR992" s="1">
        <v>1651.0</v>
      </c>
      <c r="AS992" s="1">
        <v>243.0</v>
      </c>
      <c r="AT992" s="1">
        <v>6.794</v>
      </c>
      <c r="AU992" s="1">
        <v>63.277</v>
      </c>
      <c r="AV992" s="1" t="s">
        <v>990</v>
      </c>
      <c r="AW992" s="1">
        <v>6.108</v>
      </c>
      <c r="AX992" s="1">
        <v>3.0</v>
      </c>
      <c r="AY992" s="1">
        <v>1.0</v>
      </c>
      <c r="AZ992" s="1">
        <v>1.0</v>
      </c>
      <c r="BA992" s="1">
        <v>5.0</v>
      </c>
      <c r="BB992" s="1">
        <v>2.0</v>
      </c>
      <c r="BC992" s="1">
        <v>0.0</v>
      </c>
      <c r="BD992" s="1">
        <v>0.27</v>
      </c>
      <c r="BE992" s="1">
        <v>131.0</v>
      </c>
      <c r="BF992" s="1">
        <v>48.0</v>
      </c>
      <c r="BG992" s="1">
        <v>0.0</v>
      </c>
      <c r="BH992" s="1">
        <v>23.0</v>
      </c>
      <c r="BI992" s="1">
        <v>15.0</v>
      </c>
      <c r="BJ992" s="1">
        <v>0.0</v>
      </c>
      <c r="BO992" s="1" t="s">
        <v>3749</v>
      </c>
      <c r="BP992" s="1">
        <v>0.994</v>
      </c>
      <c r="BU992" s="1" t="s">
        <v>974</v>
      </c>
      <c r="BV992" s="1">
        <v>1.1</v>
      </c>
      <c r="EQ992" s="9" t="s">
        <v>3743</v>
      </c>
      <c r="ER992" s="21">
        <v>46045.299895833334</v>
      </c>
    </row>
    <row r="993">
      <c r="A993" s="9" t="s">
        <v>3750</v>
      </c>
      <c r="B993" s="20" t="str">
        <f>IFERROR(__xludf.DUMMYFUNCTION("REGEXREPLACE(A993, ""^https?://[^/]+"", """")"),"/adapting-leadership-styles-to-the-situation-sales-growth-vs-sales-recovery-part-one-sales-growth/")</f>
        <v>/adapting-leadership-styles-to-the-situation-sales-growth-vs-sales-recovery-part-one-sales-growth/</v>
      </c>
      <c r="C993" s="1" t="s">
        <v>3751</v>
      </c>
      <c r="D993" s="1" t="s">
        <v>3752</v>
      </c>
      <c r="E993" s="1" t="s">
        <v>3753</v>
      </c>
      <c r="F993" s="1" t="s">
        <v>965</v>
      </c>
      <c r="G993" s="1">
        <v>200.0</v>
      </c>
      <c r="H993" s="1" t="s">
        <v>966</v>
      </c>
      <c r="I993" s="1" t="s">
        <v>967</v>
      </c>
      <c r="K993" s="1" t="s">
        <v>3754</v>
      </c>
      <c r="L993" s="1">
        <v>124.0</v>
      </c>
      <c r="M993" s="1">
        <v>1112.0</v>
      </c>
      <c r="O993" s="1">
        <v>0.0</v>
      </c>
      <c r="P993" s="1">
        <v>0.0</v>
      </c>
      <c r="Q993" s="1" t="s">
        <v>3755</v>
      </c>
      <c r="R993" s="1">
        <v>134.0</v>
      </c>
      <c r="S993" s="1">
        <v>824.0</v>
      </c>
      <c r="U993" s="1">
        <v>0.0</v>
      </c>
      <c r="V993" s="1" t="s">
        <v>3751</v>
      </c>
      <c r="W993" s="1">
        <v>99.0</v>
      </c>
      <c r="Y993" s="1">
        <v>0.0</v>
      </c>
      <c r="Z993" s="1" t="s">
        <v>3752</v>
      </c>
      <c r="AA993" s="1">
        <v>25.0</v>
      </c>
      <c r="AB993" s="1" t="s">
        <v>3753</v>
      </c>
      <c r="AC993" s="1">
        <v>27.0</v>
      </c>
      <c r="AD993" s="1" t="s">
        <v>971</v>
      </c>
      <c r="AG993" s="9" t="s">
        <v>3750</v>
      </c>
      <c r="AM993" s="1">
        <v>213920.0</v>
      </c>
      <c r="AN993" s="1">
        <v>38024.0</v>
      </c>
      <c r="AO993" s="1">
        <v>38024.0</v>
      </c>
      <c r="AP993" s="1">
        <v>14.566</v>
      </c>
      <c r="AR993" s="1">
        <v>1735.0</v>
      </c>
      <c r="AS993" s="1">
        <v>259.0</v>
      </c>
      <c r="AT993" s="1">
        <v>6.699</v>
      </c>
      <c r="AU993" s="1">
        <v>54.924</v>
      </c>
      <c r="AV993" s="1" t="s">
        <v>972</v>
      </c>
      <c r="AW993" s="1">
        <v>6.424</v>
      </c>
      <c r="AX993" s="1">
        <v>3.0</v>
      </c>
      <c r="AY993" s="1">
        <v>1.0</v>
      </c>
      <c r="AZ993" s="1">
        <v>1.0</v>
      </c>
      <c r="BA993" s="1">
        <v>9.0</v>
      </c>
      <c r="BB993" s="1">
        <v>4.0</v>
      </c>
      <c r="BC993" s="1">
        <v>0.0</v>
      </c>
      <c r="BD993" s="1">
        <v>0.53</v>
      </c>
      <c r="BE993" s="1">
        <v>136.0</v>
      </c>
      <c r="BF993" s="1">
        <v>51.0</v>
      </c>
      <c r="BG993" s="1">
        <v>0.0</v>
      </c>
      <c r="BH993" s="1">
        <v>16.0</v>
      </c>
      <c r="BI993" s="1">
        <v>8.0</v>
      </c>
      <c r="BJ993" s="1">
        <v>0.0</v>
      </c>
      <c r="BO993" s="1" t="s">
        <v>3756</v>
      </c>
      <c r="BP993" s="1">
        <v>1.028</v>
      </c>
      <c r="BU993" s="1" t="s">
        <v>974</v>
      </c>
      <c r="BV993" s="1">
        <v>1.1</v>
      </c>
      <c r="EQ993" s="9" t="s">
        <v>3750</v>
      </c>
      <c r="ER993" s="21">
        <v>46045.299895833334</v>
      </c>
    </row>
    <row r="994">
      <c r="A994" s="9" t="s">
        <v>3757</v>
      </c>
      <c r="B994" s="20" t="str">
        <f>IFERROR(__xludf.DUMMYFUNCTION("REGEXREPLACE(A994, ""^https?://[^/]+"", """")"),"/the-consequences-of-price-reductions/")</f>
        <v>/the-consequences-of-price-reductions/</v>
      </c>
      <c r="C994" s="1" t="s">
        <v>3758</v>
      </c>
      <c r="D994" s="1" t="s">
        <v>3759</v>
      </c>
      <c r="E994" s="1" t="s">
        <v>3760</v>
      </c>
      <c r="F994" s="1" t="s">
        <v>965</v>
      </c>
      <c r="G994" s="1">
        <v>200.0</v>
      </c>
      <c r="H994" s="1" t="s">
        <v>966</v>
      </c>
      <c r="I994" s="1" t="s">
        <v>967</v>
      </c>
      <c r="K994" s="1" t="s">
        <v>3761</v>
      </c>
      <c r="L994" s="1">
        <v>61.0</v>
      </c>
      <c r="M994" s="1">
        <v>563.0</v>
      </c>
      <c r="O994" s="1">
        <v>0.0</v>
      </c>
      <c r="P994" s="1">
        <v>0.0</v>
      </c>
      <c r="Q994" s="1" t="s">
        <v>3762</v>
      </c>
      <c r="R994" s="1">
        <v>120.0</v>
      </c>
      <c r="S994" s="1">
        <v>736.0</v>
      </c>
      <c r="U994" s="1">
        <v>0.0</v>
      </c>
      <c r="V994" s="1" t="s">
        <v>3758</v>
      </c>
      <c r="W994" s="1">
        <v>36.0</v>
      </c>
      <c r="Y994" s="1">
        <v>0.0</v>
      </c>
      <c r="Z994" s="1" t="s">
        <v>3759</v>
      </c>
      <c r="AA994" s="1">
        <v>31.0</v>
      </c>
      <c r="AB994" s="1" t="s">
        <v>3760</v>
      </c>
      <c r="AC994" s="1">
        <v>32.0</v>
      </c>
      <c r="AD994" s="1" t="s">
        <v>971</v>
      </c>
      <c r="AG994" s="9" t="s">
        <v>3757</v>
      </c>
      <c r="AM994" s="1">
        <v>203142.0</v>
      </c>
      <c r="AN994" s="1">
        <v>37058.0</v>
      </c>
      <c r="AO994" s="1">
        <v>37058.0</v>
      </c>
      <c r="AP994" s="1">
        <v>14.196</v>
      </c>
      <c r="AR994" s="1">
        <v>1697.0</v>
      </c>
      <c r="AS994" s="1">
        <v>240.0</v>
      </c>
      <c r="AT994" s="1">
        <v>7.071</v>
      </c>
      <c r="AU994" s="1">
        <v>70.041</v>
      </c>
      <c r="AV994" s="1" t="s">
        <v>1264</v>
      </c>
      <c r="AW994" s="1">
        <v>6.253</v>
      </c>
      <c r="AX994" s="1">
        <v>3.0</v>
      </c>
      <c r="AY994" s="1">
        <v>1.0</v>
      </c>
      <c r="AZ994" s="1">
        <v>1.0</v>
      </c>
      <c r="BA994" s="1">
        <v>3.0</v>
      </c>
      <c r="BB994" s="1">
        <v>2.0</v>
      </c>
      <c r="BC994" s="1">
        <v>0.0</v>
      </c>
      <c r="BD994" s="1">
        <v>0.27</v>
      </c>
      <c r="BE994" s="1">
        <v>129.0</v>
      </c>
      <c r="BF994" s="1">
        <v>47.0</v>
      </c>
      <c r="BG994" s="1">
        <v>0.0</v>
      </c>
      <c r="BH994" s="1">
        <v>17.0</v>
      </c>
      <c r="BI994" s="1">
        <v>9.0</v>
      </c>
      <c r="BJ994" s="1">
        <v>0.0</v>
      </c>
      <c r="BO994" s="1" t="s">
        <v>3763</v>
      </c>
      <c r="BP994" s="1">
        <v>1.006</v>
      </c>
      <c r="BU994" s="1" t="s">
        <v>974</v>
      </c>
      <c r="BV994" s="1">
        <v>1.1</v>
      </c>
      <c r="EQ994" s="9" t="s">
        <v>3757</v>
      </c>
      <c r="ER994" s="21">
        <v>46045.299895833334</v>
      </c>
    </row>
    <row r="995">
      <c r="A995" s="9" t="s">
        <v>3764</v>
      </c>
      <c r="B995" s="20" t="str">
        <f>IFERROR(__xludf.DUMMYFUNCTION("REGEXREPLACE(A995, ""^https?://[^/]+"", """")"),"/wp-content/uploads/2022/03/117623-2018-09-InSight-Sales-ORG-300x300.jpg")</f>
        <v>/wp-content/uploads/2022/03/117623-2018-09-InSight-Sales-ORG-300x300.jpg</v>
      </c>
      <c r="F995" s="1" t="s">
        <v>1004</v>
      </c>
      <c r="G995" s="1">
        <v>200.0</v>
      </c>
      <c r="H995" s="1" t="s">
        <v>966</v>
      </c>
      <c r="I995" s="1" t="s">
        <v>967</v>
      </c>
      <c r="L995" s="1">
        <v>0.0</v>
      </c>
      <c r="M995" s="1">
        <v>0.0</v>
      </c>
      <c r="O995" s="1">
        <v>0.0</v>
      </c>
      <c r="P995" s="1">
        <v>0.0</v>
      </c>
      <c r="R995" s="1">
        <v>0.0</v>
      </c>
      <c r="S995" s="1">
        <v>0.0</v>
      </c>
      <c r="U995" s="1">
        <v>0.0</v>
      </c>
      <c r="W995" s="1">
        <v>0.0</v>
      </c>
      <c r="Y995" s="1">
        <v>0.0</v>
      </c>
      <c r="AA995" s="1">
        <v>0.0</v>
      </c>
      <c r="AC995" s="1">
        <v>0.0</v>
      </c>
      <c r="AM995" s="1">
        <v>19694.0</v>
      </c>
      <c r="AN995" s="1">
        <v>19694.0</v>
      </c>
      <c r="AO995" s="1">
        <v>19694.0</v>
      </c>
      <c r="AP995" s="1">
        <v>7.544</v>
      </c>
      <c r="AR995" s="1">
        <v>0.0</v>
      </c>
      <c r="AW995" s="1">
        <v>0.0</v>
      </c>
      <c r="AX995" s="1">
        <v>3.0</v>
      </c>
      <c r="AY995" s="1">
        <v>4.0</v>
      </c>
      <c r="BA995" s="1">
        <v>0.0</v>
      </c>
      <c r="BB995" s="1">
        <v>0.0</v>
      </c>
      <c r="BC995" s="1">
        <v>0.0</v>
      </c>
      <c r="BD995" s="1">
        <v>0.0</v>
      </c>
      <c r="BE995" s="1">
        <v>0.0</v>
      </c>
      <c r="BF995" s="1">
        <v>0.0</v>
      </c>
      <c r="BG995" s="1">
        <v>0.0</v>
      </c>
      <c r="BH995" s="1">
        <v>0.0</v>
      </c>
      <c r="BI995" s="1">
        <v>0.0</v>
      </c>
      <c r="BJ995" s="1">
        <v>0.0</v>
      </c>
      <c r="BP995" s="1">
        <v>0.269</v>
      </c>
      <c r="BQ995" s="1" t="s">
        <v>3765</v>
      </c>
      <c r="BV995" s="1">
        <v>1.1</v>
      </c>
      <c r="EQ995" s="9" t="s">
        <v>3764</v>
      </c>
      <c r="ER995" s="21">
        <v>46045.29991898148</v>
      </c>
    </row>
    <row r="996">
      <c r="A996" s="9" t="s">
        <v>3766</v>
      </c>
      <c r="B996" s="20" t="str">
        <f>IFERROR(__xludf.DUMMYFUNCTION("REGEXREPLACE(A996, ""^https?://[^/]+"", """")"),"/wp-content/uploads/2023/08/Enhance-Sales-Using-AI-300x182.jpg")</f>
        <v>/wp-content/uploads/2023/08/Enhance-Sales-Using-AI-300x182.jpg</v>
      </c>
      <c r="F996" s="1" t="s">
        <v>1004</v>
      </c>
      <c r="G996" s="1">
        <v>200.0</v>
      </c>
      <c r="H996" s="1" t="s">
        <v>966</v>
      </c>
      <c r="I996" s="1" t="s">
        <v>967</v>
      </c>
      <c r="L996" s="1">
        <v>0.0</v>
      </c>
      <c r="M996" s="1">
        <v>0.0</v>
      </c>
      <c r="O996" s="1">
        <v>0.0</v>
      </c>
      <c r="P996" s="1">
        <v>0.0</v>
      </c>
      <c r="R996" s="1">
        <v>0.0</v>
      </c>
      <c r="S996" s="1">
        <v>0.0</v>
      </c>
      <c r="U996" s="1">
        <v>0.0</v>
      </c>
      <c r="W996" s="1">
        <v>0.0</v>
      </c>
      <c r="Y996" s="1">
        <v>0.0</v>
      </c>
      <c r="AA996" s="1">
        <v>0.0</v>
      </c>
      <c r="AC996" s="1">
        <v>0.0</v>
      </c>
      <c r="AM996" s="1">
        <v>13846.0</v>
      </c>
      <c r="AN996" s="1">
        <v>13846.0</v>
      </c>
      <c r="AO996" s="1">
        <v>13846.0</v>
      </c>
      <c r="AP996" s="1">
        <v>5.304</v>
      </c>
      <c r="AR996" s="1">
        <v>0.0</v>
      </c>
      <c r="AW996" s="1">
        <v>0.0</v>
      </c>
      <c r="AX996" s="1">
        <v>3.0</v>
      </c>
      <c r="AY996" s="1">
        <v>4.0</v>
      </c>
      <c r="BA996" s="1">
        <v>0.0</v>
      </c>
      <c r="BB996" s="1">
        <v>0.0</v>
      </c>
      <c r="BC996" s="1">
        <v>0.0</v>
      </c>
      <c r="BD996" s="1">
        <v>0.0</v>
      </c>
      <c r="BE996" s="1">
        <v>0.0</v>
      </c>
      <c r="BF996" s="1">
        <v>0.0</v>
      </c>
      <c r="BG996" s="1">
        <v>0.0</v>
      </c>
      <c r="BH996" s="1">
        <v>0.0</v>
      </c>
      <c r="BI996" s="1">
        <v>0.0</v>
      </c>
      <c r="BJ996" s="1">
        <v>0.0</v>
      </c>
      <c r="BP996" s="1">
        <v>0.266</v>
      </c>
      <c r="BQ996" s="1" t="s">
        <v>3767</v>
      </c>
      <c r="BV996" s="1">
        <v>1.1</v>
      </c>
      <c r="EQ996" s="9" t="s">
        <v>3766</v>
      </c>
      <c r="ER996" s="21">
        <v>46045.29991898148</v>
      </c>
    </row>
    <row r="997">
      <c r="A997" s="9" t="s">
        <v>3768</v>
      </c>
      <c r="B997" s="20" t="str">
        <f>IFERROR(__xludf.DUMMYFUNCTION("REGEXREPLACE(A997, ""^https?://[^/]+"", """")"),"/why-focus-on-sales-if-they-are-already-thriving/")</f>
        <v>/why-focus-on-sales-if-they-are-already-thriving/</v>
      </c>
      <c r="C997" s="1" t="s">
        <v>3769</v>
      </c>
      <c r="D997" s="1" t="s">
        <v>3770</v>
      </c>
      <c r="E997" s="1" t="s">
        <v>3771</v>
      </c>
      <c r="F997" s="1" t="s">
        <v>965</v>
      </c>
      <c r="G997" s="1">
        <v>200.0</v>
      </c>
      <c r="H997" s="1" t="s">
        <v>966</v>
      </c>
      <c r="I997" s="1" t="s">
        <v>967</v>
      </c>
      <c r="K997" s="1" t="s">
        <v>3772</v>
      </c>
      <c r="L997" s="1">
        <v>73.0</v>
      </c>
      <c r="M997" s="1">
        <v>649.0</v>
      </c>
      <c r="O997" s="1">
        <v>0.0</v>
      </c>
      <c r="P997" s="1">
        <v>0.0</v>
      </c>
      <c r="Q997" s="1" t="s">
        <v>3773</v>
      </c>
      <c r="R997" s="1">
        <v>124.0</v>
      </c>
      <c r="S997" s="1">
        <v>780.0</v>
      </c>
      <c r="U997" s="1">
        <v>0.0</v>
      </c>
      <c r="V997" s="1" t="s">
        <v>3769</v>
      </c>
      <c r="W997" s="1">
        <v>48.0</v>
      </c>
      <c r="Y997" s="1">
        <v>0.0</v>
      </c>
      <c r="Z997" s="1" t="s">
        <v>3770</v>
      </c>
      <c r="AA997" s="1">
        <v>15.0</v>
      </c>
      <c r="AB997" s="1" t="s">
        <v>3771</v>
      </c>
      <c r="AC997" s="1">
        <v>10.0</v>
      </c>
      <c r="AD997" s="1" t="s">
        <v>971</v>
      </c>
      <c r="AG997" s="9" t="s">
        <v>3768</v>
      </c>
      <c r="AM997" s="1">
        <v>202473.0</v>
      </c>
      <c r="AN997" s="1">
        <v>36266.0</v>
      </c>
      <c r="AO997" s="1">
        <v>36266.0</v>
      </c>
      <c r="AP997" s="1">
        <v>13.893</v>
      </c>
      <c r="AR997" s="1">
        <v>1403.0</v>
      </c>
      <c r="AS997" s="1">
        <v>210.0</v>
      </c>
      <c r="AT997" s="1">
        <v>6.681</v>
      </c>
      <c r="AU997" s="1">
        <v>70.832</v>
      </c>
      <c r="AV997" s="1" t="s">
        <v>1264</v>
      </c>
      <c r="AW997" s="1">
        <v>5.29</v>
      </c>
      <c r="AX997" s="1">
        <v>3.0</v>
      </c>
      <c r="AY997" s="1">
        <v>1.0</v>
      </c>
      <c r="AZ997" s="1">
        <v>1.0</v>
      </c>
      <c r="BA997" s="1">
        <v>5.0</v>
      </c>
      <c r="BB997" s="1">
        <v>2.0</v>
      </c>
      <c r="BC997" s="1">
        <v>0.0</v>
      </c>
      <c r="BD997" s="1">
        <v>0.27</v>
      </c>
      <c r="BE997" s="1">
        <v>133.0</v>
      </c>
      <c r="BF997" s="1">
        <v>49.0</v>
      </c>
      <c r="BG997" s="1">
        <v>0.0</v>
      </c>
      <c r="BH997" s="1">
        <v>16.0</v>
      </c>
      <c r="BI997" s="1">
        <v>8.0</v>
      </c>
      <c r="BJ997" s="1">
        <v>0.0</v>
      </c>
      <c r="BO997" s="1" t="s">
        <v>3774</v>
      </c>
      <c r="BP997" s="1">
        <v>1.041</v>
      </c>
      <c r="BU997" s="1" t="s">
        <v>974</v>
      </c>
      <c r="BV997" s="1">
        <v>1.1</v>
      </c>
      <c r="EQ997" s="9" t="s">
        <v>3768</v>
      </c>
      <c r="ER997" s="21">
        <v>46045.29990740741</v>
      </c>
    </row>
    <row r="998">
      <c r="A998" s="9" t="s">
        <v>3775</v>
      </c>
      <c r="B998" s="20" t="str">
        <f>IFERROR(__xludf.DUMMYFUNCTION("REGEXREPLACE(A998, ""^https?://[^/]+"", """")"),"/category/revenue-growth/page/4/")</f>
        <v>/category/revenue-growth/page/4/</v>
      </c>
      <c r="C998" s="1" t="s">
        <v>1484</v>
      </c>
      <c r="F998" s="1" t="s">
        <v>965</v>
      </c>
      <c r="G998" s="1">
        <v>200.0</v>
      </c>
      <c r="H998" s="1" t="s">
        <v>966</v>
      </c>
      <c r="I998" s="1" t="s">
        <v>967</v>
      </c>
      <c r="K998" s="1" t="s">
        <v>3776</v>
      </c>
      <c r="L998" s="1">
        <v>58.0</v>
      </c>
      <c r="M998" s="1">
        <v>527.0</v>
      </c>
      <c r="O998" s="1">
        <v>0.0</v>
      </c>
      <c r="P998" s="1">
        <v>0.0</v>
      </c>
      <c r="R998" s="1">
        <v>0.0</v>
      </c>
      <c r="S998" s="1">
        <v>0.0</v>
      </c>
      <c r="U998" s="1">
        <v>0.0</v>
      </c>
      <c r="V998" s="1" t="s">
        <v>1484</v>
      </c>
      <c r="W998" s="1">
        <v>24.0</v>
      </c>
      <c r="Y998" s="1">
        <v>0.0</v>
      </c>
      <c r="AA998" s="1">
        <v>0.0</v>
      </c>
      <c r="AC998" s="1">
        <v>0.0</v>
      </c>
      <c r="AD998" s="1" t="s">
        <v>971</v>
      </c>
      <c r="AG998" s="9" t="s">
        <v>3775</v>
      </c>
      <c r="AH998" s="9" t="s">
        <v>3777</v>
      </c>
      <c r="AI998" s="9" t="s">
        <v>3778</v>
      </c>
      <c r="AM998" s="1">
        <v>170513.0</v>
      </c>
      <c r="AN998" s="1">
        <v>31353.0</v>
      </c>
      <c r="AO998" s="1">
        <v>31353.0</v>
      </c>
      <c r="AP998" s="1">
        <v>12.011</v>
      </c>
      <c r="AR998" s="1">
        <v>639.0</v>
      </c>
      <c r="AS998" s="1">
        <v>111.0</v>
      </c>
      <c r="AT998" s="1">
        <v>5.757</v>
      </c>
      <c r="AU998" s="1">
        <v>58.8</v>
      </c>
      <c r="AV998" s="1" t="s">
        <v>972</v>
      </c>
      <c r="AW998" s="1">
        <v>3.769</v>
      </c>
      <c r="AX998" s="1">
        <v>3.0</v>
      </c>
      <c r="AY998" s="1">
        <v>4.0</v>
      </c>
      <c r="AZ998" s="1">
        <v>1.0</v>
      </c>
      <c r="BA998" s="1">
        <v>6.0</v>
      </c>
      <c r="BB998" s="1">
        <v>4.0</v>
      </c>
      <c r="BC998" s="1">
        <v>0.0</v>
      </c>
      <c r="BD998" s="1">
        <v>0.53</v>
      </c>
      <c r="BE998" s="1">
        <v>152.0</v>
      </c>
      <c r="BF998" s="1">
        <v>58.0</v>
      </c>
      <c r="BG998" s="1">
        <v>0.0</v>
      </c>
      <c r="BH998" s="1">
        <v>16.0</v>
      </c>
      <c r="BI998" s="1">
        <v>8.0</v>
      </c>
      <c r="BJ998" s="1">
        <v>0.0</v>
      </c>
      <c r="BO998" s="1" t="s">
        <v>3779</v>
      </c>
      <c r="BP998" s="1">
        <v>0.972</v>
      </c>
      <c r="BU998" s="1" t="s">
        <v>974</v>
      </c>
      <c r="BV998" s="1">
        <v>1.1</v>
      </c>
      <c r="EQ998" s="9" t="s">
        <v>3775</v>
      </c>
      <c r="ER998" s="21">
        <v>46045.29990740741</v>
      </c>
    </row>
    <row r="999">
      <c r="A999" s="9" t="s">
        <v>3780</v>
      </c>
      <c r="B999" s="20" t="str">
        <f>IFERROR(__xludf.DUMMYFUNCTION("REGEXREPLACE(A999, ""^https?://[^/]+"", """")"),"/wp-content/uploads/2023/04/Leadership-Styles-Sales-Recovery-300x200.jpg")</f>
        <v>/wp-content/uploads/2023/04/Leadership-Styles-Sales-Recovery-300x200.jpg</v>
      </c>
      <c r="F999" s="1" t="s">
        <v>1004</v>
      </c>
      <c r="G999" s="1">
        <v>200.0</v>
      </c>
      <c r="H999" s="1" t="s">
        <v>966</v>
      </c>
      <c r="I999" s="1" t="s">
        <v>967</v>
      </c>
      <c r="L999" s="1">
        <v>0.0</v>
      </c>
      <c r="M999" s="1">
        <v>0.0</v>
      </c>
      <c r="O999" s="1">
        <v>0.0</v>
      </c>
      <c r="P999" s="1">
        <v>0.0</v>
      </c>
      <c r="R999" s="1">
        <v>0.0</v>
      </c>
      <c r="S999" s="1">
        <v>0.0</v>
      </c>
      <c r="U999" s="1">
        <v>0.0</v>
      </c>
      <c r="W999" s="1">
        <v>0.0</v>
      </c>
      <c r="Y999" s="1">
        <v>0.0</v>
      </c>
      <c r="AA999" s="1">
        <v>0.0</v>
      </c>
      <c r="AC999" s="1">
        <v>0.0</v>
      </c>
      <c r="AM999" s="1">
        <v>18016.0</v>
      </c>
      <c r="AN999" s="1">
        <v>18016.0</v>
      </c>
      <c r="AO999" s="1">
        <v>18016.0</v>
      </c>
      <c r="AP999" s="1">
        <v>6.902</v>
      </c>
      <c r="AR999" s="1">
        <v>0.0</v>
      </c>
      <c r="AW999" s="1">
        <v>0.0</v>
      </c>
      <c r="AX999" s="1">
        <v>3.0</v>
      </c>
      <c r="AY999" s="1">
        <v>4.0</v>
      </c>
      <c r="BA999" s="1">
        <v>0.0</v>
      </c>
      <c r="BB999" s="1">
        <v>0.0</v>
      </c>
      <c r="BC999" s="1">
        <v>0.0</v>
      </c>
      <c r="BD999" s="1">
        <v>0.0</v>
      </c>
      <c r="BE999" s="1">
        <v>0.0</v>
      </c>
      <c r="BF999" s="1">
        <v>0.0</v>
      </c>
      <c r="BG999" s="1">
        <v>0.0</v>
      </c>
      <c r="BH999" s="1">
        <v>0.0</v>
      </c>
      <c r="BI999" s="1">
        <v>0.0</v>
      </c>
      <c r="BJ999" s="1">
        <v>0.0</v>
      </c>
      <c r="BP999" s="1">
        <v>0.265</v>
      </c>
      <c r="BQ999" s="1" t="s">
        <v>1589</v>
      </c>
      <c r="BV999" s="1">
        <v>1.1</v>
      </c>
      <c r="EQ999" s="9" t="s">
        <v>3780</v>
      </c>
      <c r="ER999" s="21">
        <v>46045.29991898148</v>
      </c>
    </row>
    <row r="1000">
      <c r="A1000" s="9" t="s">
        <v>3781</v>
      </c>
      <c r="B1000" s="20" t="str">
        <f>IFERROR(__xludf.DUMMYFUNCTION("REGEXREPLACE(A1000, ""^https?://[^/]+"", """")"),"/wp-content/uploads/2023/04/Leadership-Styles-Sales-Growth-1-300x200.jpg")</f>
        <v>/wp-content/uploads/2023/04/Leadership-Styles-Sales-Growth-1-300x200.jpg</v>
      </c>
      <c r="F1000" s="1" t="s">
        <v>1004</v>
      </c>
      <c r="G1000" s="1">
        <v>200.0</v>
      </c>
      <c r="H1000" s="1" t="s">
        <v>966</v>
      </c>
      <c r="I1000" s="1" t="s">
        <v>967</v>
      </c>
      <c r="L1000" s="1">
        <v>0.0</v>
      </c>
      <c r="M1000" s="1">
        <v>0.0</v>
      </c>
      <c r="O1000" s="1">
        <v>0.0</v>
      </c>
      <c r="P1000" s="1">
        <v>0.0</v>
      </c>
      <c r="R1000" s="1">
        <v>0.0</v>
      </c>
      <c r="S1000" s="1">
        <v>0.0</v>
      </c>
      <c r="U1000" s="1">
        <v>0.0</v>
      </c>
      <c r="W1000" s="1">
        <v>0.0</v>
      </c>
      <c r="Y1000" s="1">
        <v>0.0</v>
      </c>
      <c r="AA1000" s="1">
        <v>0.0</v>
      </c>
      <c r="AC1000" s="1">
        <v>0.0</v>
      </c>
      <c r="AM1000" s="1">
        <v>13942.0</v>
      </c>
      <c r="AN1000" s="1">
        <v>13942.0</v>
      </c>
      <c r="AO1000" s="1">
        <v>13942.0</v>
      </c>
      <c r="AP1000" s="1">
        <v>5.341</v>
      </c>
      <c r="AR1000" s="1">
        <v>0.0</v>
      </c>
      <c r="AW1000" s="1">
        <v>0.0</v>
      </c>
      <c r="AX1000" s="1">
        <v>3.0</v>
      </c>
      <c r="AY1000" s="1">
        <v>4.0</v>
      </c>
      <c r="BA1000" s="1">
        <v>0.0</v>
      </c>
      <c r="BB1000" s="1">
        <v>0.0</v>
      </c>
      <c r="BC1000" s="1">
        <v>0.0</v>
      </c>
      <c r="BD1000" s="1">
        <v>0.0</v>
      </c>
      <c r="BE1000" s="1">
        <v>0.0</v>
      </c>
      <c r="BF1000" s="1">
        <v>0.0</v>
      </c>
      <c r="BG1000" s="1">
        <v>0.0</v>
      </c>
      <c r="BH1000" s="1">
        <v>0.0</v>
      </c>
      <c r="BI1000" s="1">
        <v>0.0</v>
      </c>
      <c r="BJ1000" s="1">
        <v>0.0</v>
      </c>
      <c r="BP1000" s="1">
        <v>0.269</v>
      </c>
      <c r="BQ1000" s="1" t="s">
        <v>3782</v>
      </c>
      <c r="BV1000" s="1">
        <v>1.1</v>
      </c>
      <c r="EQ1000" s="9" t="s">
        <v>3781</v>
      </c>
      <c r="ER1000" s="21">
        <v>46045.29991898148</v>
      </c>
    </row>
    <row r="1001">
      <c r="A1001" s="9" t="s">
        <v>3783</v>
      </c>
      <c r="B1001" s="20" t="str">
        <f>IFERROR(__xludf.DUMMYFUNCTION("REGEXREPLACE(A1001, ""^https?://[^/]+"", """")"),"/wp-content/uploads/2022/05/Discount-300x300.jpg")</f>
        <v>/wp-content/uploads/2022/05/Discount-300x300.jpg</v>
      </c>
      <c r="F1001" s="1" t="s">
        <v>1004</v>
      </c>
      <c r="G1001" s="1">
        <v>200.0</v>
      </c>
      <c r="H1001" s="1" t="s">
        <v>966</v>
      </c>
      <c r="I1001" s="1" t="s">
        <v>967</v>
      </c>
      <c r="L1001" s="1">
        <v>0.0</v>
      </c>
      <c r="M1001" s="1">
        <v>0.0</v>
      </c>
      <c r="O1001" s="1">
        <v>0.0</v>
      </c>
      <c r="P1001" s="1">
        <v>0.0</v>
      </c>
      <c r="R1001" s="1">
        <v>0.0</v>
      </c>
      <c r="S1001" s="1">
        <v>0.0</v>
      </c>
      <c r="U1001" s="1">
        <v>0.0</v>
      </c>
      <c r="W1001" s="1">
        <v>0.0</v>
      </c>
      <c r="Y1001" s="1">
        <v>0.0</v>
      </c>
      <c r="AA1001" s="1">
        <v>0.0</v>
      </c>
      <c r="AC1001" s="1">
        <v>0.0</v>
      </c>
      <c r="AM1001" s="1">
        <v>11260.0</v>
      </c>
      <c r="AN1001" s="1">
        <v>11260.0</v>
      </c>
      <c r="AO1001" s="1">
        <v>11260.0</v>
      </c>
      <c r="AP1001" s="1">
        <v>4.313</v>
      </c>
      <c r="AR1001" s="1">
        <v>0.0</v>
      </c>
      <c r="AW1001" s="1">
        <v>0.0</v>
      </c>
      <c r="AX1001" s="1">
        <v>3.0</v>
      </c>
      <c r="AY1001" s="1">
        <v>4.0</v>
      </c>
      <c r="BA1001" s="1">
        <v>0.0</v>
      </c>
      <c r="BB1001" s="1">
        <v>0.0</v>
      </c>
      <c r="BC1001" s="1">
        <v>0.0</v>
      </c>
      <c r="BD1001" s="1">
        <v>0.0</v>
      </c>
      <c r="BE1001" s="1">
        <v>0.0</v>
      </c>
      <c r="BF1001" s="1">
        <v>0.0</v>
      </c>
      <c r="BG1001" s="1">
        <v>0.0</v>
      </c>
      <c r="BH1001" s="1">
        <v>0.0</v>
      </c>
      <c r="BI1001" s="1">
        <v>0.0</v>
      </c>
      <c r="BJ1001" s="1">
        <v>0.0</v>
      </c>
      <c r="BP1001" s="1">
        <v>0.267</v>
      </c>
      <c r="BQ1001" s="1" t="s">
        <v>3784</v>
      </c>
      <c r="BV1001" s="1">
        <v>1.1</v>
      </c>
      <c r="EQ1001" s="9" t="s">
        <v>3783</v>
      </c>
      <c r="ER1001" s="21">
        <v>46045.29993055556</v>
      </c>
    </row>
    <row r="1002">
      <c r="A1002" s="9" t="s">
        <v>1486</v>
      </c>
      <c r="B1002" s="20" t="str">
        <f>IFERROR(__xludf.DUMMYFUNCTION("REGEXREPLACE(A1002, ""^https?://[^/]+"", """")"),"/category/revenue-growth/page/2/")</f>
        <v>/category/revenue-growth/page/2/</v>
      </c>
      <c r="C1002" s="1" t="s">
        <v>1484</v>
      </c>
      <c r="F1002" s="1" t="s">
        <v>965</v>
      </c>
      <c r="G1002" s="1">
        <v>200.0</v>
      </c>
      <c r="H1002" s="1" t="s">
        <v>966</v>
      </c>
      <c r="I1002" s="1" t="s">
        <v>967</v>
      </c>
      <c r="K1002" s="1" t="s">
        <v>3785</v>
      </c>
      <c r="L1002" s="1">
        <v>58.0</v>
      </c>
      <c r="M1002" s="1">
        <v>527.0</v>
      </c>
      <c r="O1002" s="1">
        <v>0.0</v>
      </c>
      <c r="P1002" s="1">
        <v>0.0</v>
      </c>
      <c r="R1002" s="1">
        <v>0.0</v>
      </c>
      <c r="S1002" s="1">
        <v>0.0</v>
      </c>
      <c r="U1002" s="1">
        <v>0.0</v>
      </c>
      <c r="V1002" s="1" t="s">
        <v>1484</v>
      </c>
      <c r="W1002" s="1">
        <v>24.0</v>
      </c>
      <c r="Y1002" s="1">
        <v>0.0</v>
      </c>
      <c r="AA1002" s="1">
        <v>0.0</v>
      </c>
      <c r="AC1002" s="1">
        <v>0.0</v>
      </c>
      <c r="AD1002" s="1" t="s">
        <v>971</v>
      </c>
      <c r="AG1002" s="9" t="s">
        <v>1486</v>
      </c>
      <c r="AH1002" s="9" t="s">
        <v>3778</v>
      </c>
      <c r="AI1002" s="9" t="s">
        <v>1483</v>
      </c>
      <c r="AM1002" s="1">
        <v>168435.0</v>
      </c>
      <c r="AN1002" s="1">
        <v>31157.0</v>
      </c>
      <c r="AO1002" s="1">
        <v>31157.0</v>
      </c>
      <c r="AP1002" s="1">
        <v>11.936</v>
      </c>
      <c r="AR1002" s="1">
        <v>650.0</v>
      </c>
      <c r="AS1002" s="1">
        <v>108.0</v>
      </c>
      <c r="AT1002" s="1">
        <v>6.019</v>
      </c>
      <c r="AU1002" s="1">
        <v>62.893</v>
      </c>
      <c r="AV1002" s="1" t="s">
        <v>990</v>
      </c>
      <c r="AW1002" s="1">
        <v>3.817</v>
      </c>
      <c r="AX1002" s="1">
        <v>3.0</v>
      </c>
      <c r="AY1002" s="1">
        <v>4.0</v>
      </c>
      <c r="AZ1002" s="1">
        <v>1.0</v>
      </c>
      <c r="BA1002" s="1">
        <v>6.0</v>
      </c>
      <c r="BB1002" s="1">
        <v>4.0</v>
      </c>
      <c r="BC1002" s="1">
        <v>0.0</v>
      </c>
      <c r="BD1002" s="1">
        <v>0.53</v>
      </c>
      <c r="BE1002" s="1">
        <v>152.0</v>
      </c>
      <c r="BF1002" s="1">
        <v>58.0</v>
      </c>
      <c r="BG1002" s="1">
        <v>0.0</v>
      </c>
      <c r="BH1002" s="1">
        <v>16.0</v>
      </c>
      <c r="BI1002" s="1">
        <v>8.0</v>
      </c>
      <c r="BJ1002" s="1">
        <v>0.0</v>
      </c>
      <c r="BO1002" s="1" t="s">
        <v>3786</v>
      </c>
      <c r="BP1002" s="1">
        <v>0.981</v>
      </c>
      <c r="BU1002" s="1" t="s">
        <v>974</v>
      </c>
      <c r="BV1002" s="1">
        <v>1.1</v>
      </c>
      <c r="EQ1002" s="9" t="s">
        <v>1486</v>
      </c>
      <c r="ER1002" s="21">
        <v>46045.29991898148</v>
      </c>
    </row>
    <row r="1003">
      <c r="A1003" s="9" t="s">
        <v>3787</v>
      </c>
      <c r="B1003" s="20" t="str">
        <f>IFERROR(__xludf.DUMMYFUNCTION("REGEXREPLACE(A1003, ""^https?://[^/]+"", """")"),"/wp-content/uploads/2022/12/Recession-300x200.jpg")</f>
        <v>/wp-content/uploads/2022/12/Recession-300x200.jpg</v>
      </c>
      <c r="F1003" s="1" t="s">
        <v>1004</v>
      </c>
      <c r="G1003" s="1">
        <v>200.0</v>
      </c>
      <c r="H1003" s="1" t="s">
        <v>966</v>
      </c>
      <c r="I1003" s="1" t="s">
        <v>967</v>
      </c>
      <c r="L1003" s="1">
        <v>0.0</v>
      </c>
      <c r="M1003" s="1">
        <v>0.0</v>
      </c>
      <c r="O1003" s="1">
        <v>0.0</v>
      </c>
      <c r="P1003" s="1">
        <v>0.0</v>
      </c>
      <c r="R1003" s="1">
        <v>0.0</v>
      </c>
      <c r="S1003" s="1">
        <v>0.0</v>
      </c>
      <c r="U1003" s="1">
        <v>0.0</v>
      </c>
      <c r="W1003" s="1">
        <v>0.0</v>
      </c>
      <c r="Y1003" s="1">
        <v>0.0</v>
      </c>
      <c r="AA1003" s="1">
        <v>0.0</v>
      </c>
      <c r="AC1003" s="1">
        <v>0.0</v>
      </c>
      <c r="AM1003" s="1">
        <v>16021.0</v>
      </c>
      <c r="AN1003" s="1">
        <v>16021.0</v>
      </c>
      <c r="AO1003" s="1">
        <v>16021.0</v>
      </c>
      <c r="AP1003" s="1">
        <v>6.137</v>
      </c>
      <c r="AR1003" s="1">
        <v>0.0</v>
      </c>
      <c r="AW1003" s="1">
        <v>0.0</v>
      </c>
      <c r="AX1003" s="1">
        <v>3.0</v>
      </c>
      <c r="AY1003" s="1">
        <v>4.0</v>
      </c>
      <c r="BA1003" s="1">
        <v>0.0</v>
      </c>
      <c r="BB1003" s="1">
        <v>0.0</v>
      </c>
      <c r="BC1003" s="1">
        <v>0.0</v>
      </c>
      <c r="BD1003" s="1">
        <v>0.0</v>
      </c>
      <c r="BE1003" s="1">
        <v>0.0</v>
      </c>
      <c r="BF1003" s="1">
        <v>0.0</v>
      </c>
      <c r="BG1003" s="1">
        <v>0.0</v>
      </c>
      <c r="BH1003" s="1">
        <v>0.0</v>
      </c>
      <c r="BI1003" s="1">
        <v>0.0</v>
      </c>
      <c r="BJ1003" s="1">
        <v>0.0</v>
      </c>
      <c r="BP1003" s="1">
        <v>0.266</v>
      </c>
      <c r="BQ1003" s="1" t="s">
        <v>3788</v>
      </c>
      <c r="BV1003" s="1">
        <v>1.1</v>
      </c>
      <c r="EQ1003" s="9" t="s">
        <v>3787</v>
      </c>
      <c r="ER1003" s="21">
        <v>46045.29993055556</v>
      </c>
    </row>
    <row r="1004">
      <c r="A1004" s="9" t="s">
        <v>3789</v>
      </c>
      <c r="B1004" s="20" t="str">
        <f>IFERROR(__xludf.DUMMYFUNCTION("REGEXREPLACE(A1004, ""^https?://[^/]+"", """")"),"/5-reasons-to-focus-on-increasing-sales-with-existing-customers/")</f>
        <v>/5-reasons-to-focus-on-increasing-sales-with-existing-customers/</v>
      </c>
      <c r="C1004" s="1" t="s">
        <v>3790</v>
      </c>
      <c r="D1004" s="1" t="s">
        <v>3791</v>
      </c>
      <c r="E1004" s="1" t="s">
        <v>3792</v>
      </c>
      <c r="F1004" s="1" t="s">
        <v>965</v>
      </c>
      <c r="G1004" s="1">
        <v>200.0</v>
      </c>
      <c r="H1004" s="1" t="s">
        <v>966</v>
      </c>
      <c r="I1004" s="1" t="s">
        <v>967</v>
      </c>
      <c r="K1004" s="1" t="s">
        <v>3793</v>
      </c>
      <c r="L1004" s="1">
        <v>87.0</v>
      </c>
      <c r="M1004" s="1">
        <v>787.0</v>
      </c>
      <c r="O1004" s="1">
        <v>0.0</v>
      </c>
      <c r="P1004" s="1">
        <v>0.0</v>
      </c>
      <c r="Q1004" s="1" t="s">
        <v>3794</v>
      </c>
      <c r="R1004" s="1">
        <v>146.0</v>
      </c>
      <c r="S1004" s="1">
        <v>895.0</v>
      </c>
      <c r="U1004" s="1">
        <v>0.0</v>
      </c>
      <c r="V1004" s="1" t="s">
        <v>3790</v>
      </c>
      <c r="W1004" s="1">
        <v>62.0</v>
      </c>
      <c r="Y1004" s="1">
        <v>0.0</v>
      </c>
      <c r="Z1004" s="1" t="s">
        <v>3791</v>
      </c>
      <c r="AA1004" s="1">
        <v>91.0</v>
      </c>
      <c r="AB1004" s="1" t="s">
        <v>3792</v>
      </c>
      <c r="AC1004" s="1">
        <v>49.0</v>
      </c>
      <c r="AD1004" s="1" t="s">
        <v>971</v>
      </c>
      <c r="AG1004" s="9" t="s">
        <v>3789</v>
      </c>
      <c r="AM1004" s="1">
        <v>205991.0</v>
      </c>
      <c r="AN1004" s="1">
        <v>36776.0</v>
      </c>
      <c r="AO1004" s="1">
        <v>36776.0</v>
      </c>
      <c r="AP1004" s="1">
        <v>14.088</v>
      </c>
      <c r="AR1004" s="1">
        <v>1470.0</v>
      </c>
      <c r="AS1004" s="1">
        <v>229.0</v>
      </c>
      <c r="AT1004" s="1">
        <v>6.419</v>
      </c>
      <c r="AU1004" s="1">
        <v>62.6</v>
      </c>
      <c r="AV1004" s="1" t="s">
        <v>990</v>
      </c>
      <c r="AW1004" s="1">
        <v>5.61</v>
      </c>
      <c r="AX1004" s="1">
        <v>3.0</v>
      </c>
      <c r="AY1004" s="1">
        <v>1.0</v>
      </c>
      <c r="AZ1004" s="1">
        <v>1.0</v>
      </c>
      <c r="BA1004" s="1">
        <v>2.0</v>
      </c>
      <c r="BB1004" s="1">
        <v>1.0</v>
      </c>
      <c r="BC1004" s="1">
        <v>0.0</v>
      </c>
      <c r="BD1004" s="1">
        <v>0.13</v>
      </c>
      <c r="BE1004" s="1">
        <v>136.0</v>
      </c>
      <c r="BF1004" s="1">
        <v>51.0</v>
      </c>
      <c r="BG1004" s="1">
        <v>0.0</v>
      </c>
      <c r="BH1004" s="1">
        <v>17.0</v>
      </c>
      <c r="BI1004" s="1">
        <v>9.0</v>
      </c>
      <c r="BJ1004" s="1">
        <v>0.0</v>
      </c>
      <c r="BO1004" s="1" t="s">
        <v>3795</v>
      </c>
      <c r="BP1004" s="1">
        <v>1.027</v>
      </c>
      <c r="BU1004" s="1" t="s">
        <v>974</v>
      </c>
      <c r="BV1004" s="1">
        <v>1.1</v>
      </c>
      <c r="EQ1004" s="9" t="s">
        <v>3789</v>
      </c>
      <c r="ER1004" s="21">
        <v>46045.29991898148</v>
      </c>
    </row>
    <row r="1005">
      <c r="A1005" s="9" t="s">
        <v>3796</v>
      </c>
      <c r="B1005" s="20" t="str">
        <f>IFERROR(__xludf.DUMMYFUNCTION("REGEXREPLACE(A1005, ""^https?://[^/]+"", """")"),"/mastering-virtual-selling-to-accelerate-growth/")</f>
        <v>/mastering-virtual-selling-to-accelerate-growth/</v>
      </c>
      <c r="C1005" s="1" t="s">
        <v>3797</v>
      </c>
      <c r="D1005" s="1" t="s">
        <v>3798</v>
      </c>
      <c r="E1005" s="1" t="s">
        <v>3799</v>
      </c>
      <c r="F1005" s="1" t="s">
        <v>965</v>
      </c>
      <c r="G1005" s="1">
        <v>200.0</v>
      </c>
      <c r="H1005" s="1" t="s">
        <v>966</v>
      </c>
      <c r="I1005" s="1" t="s">
        <v>967</v>
      </c>
      <c r="K1005" s="1" t="s">
        <v>3800</v>
      </c>
      <c r="L1005" s="1">
        <v>71.0</v>
      </c>
      <c r="M1005" s="1">
        <v>628.0</v>
      </c>
      <c r="O1005" s="1">
        <v>0.0</v>
      </c>
      <c r="P1005" s="1">
        <v>0.0</v>
      </c>
      <c r="Q1005" s="1" t="s">
        <v>3801</v>
      </c>
      <c r="R1005" s="1">
        <v>152.0</v>
      </c>
      <c r="S1005" s="1">
        <v>929.0</v>
      </c>
      <c r="U1005" s="1">
        <v>0.0</v>
      </c>
      <c r="V1005" s="1" t="s">
        <v>3797</v>
      </c>
      <c r="W1005" s="1">
        <v>46.0</v>
      </c>
      <c r="Y1005" s="1">
        <v>0.0</v>
      </c>
      <c r="Z1005" s="1" t="s">
        <v>3798</v>
      </c>
      <c r="AA1005" s="1">
        <v>24.0</v>
      </c>
      <c r="AB1005" s="1" t="s">
        <v>3799</v>
      </c>
      <c r="AC1005" s="1">
        <v>42.0</v>
      </c>
      <c r="AD1005" s="1" t="s">
        <v>971</v>
      </c>
      <c r="AG1005" s="9" t="s">
        <v>3796</v>
      </c>
      <c r="AM1005" s="1">
        <v>205056.0</v>
      </c>
      <c r="AN1005" s="1">
        <v>36892.0</v>
      </c>
      <c r="AO1005" s="1">
        <v>36892.0</v>
      </c>
      <c r="AP1005" s="1">
        <v>14.133</v>
      </c>
      <c r="AR1005" s="1">
        <v>1513.0</v>
      </c>
      <c r="AS1005" s="1">
        <v>234.0</v>
      </c>
      <c r="AT1005" s="1">
        <v>6.466</v>
      </c>
      <c r="AU1005" s="1">
        <v>57.912</v>
      </c>
      <c r="AV1005" s="1" t="s">
        <v>972</v>
      </c>
      <c r="AW1005" s="1">
        <v>5.873</v>
      </c>
      <c r="AX1005" s="1">
        <v>3.0</v>
      </c>
      <c r="AY1005" s="1">
        <v>1.0</v>
      </c>
      <c r="AZ1005" s="1">
        <v>1.0</v>
      </c>
      <c r="BA1005" s="1">
        <v>3.0</v>
      </c>
      <c r="BB1005" s="1">
        <v>2.0</v>
      </c>
      <c r="BC1005" s="1">
        <v>0.0</v>
      </c>
      <c r="BD1005" s="1">
        <v>0.27</v>
      </c>
      <c r="BE1005" s="1">
        <v>132.0</v>
      </c>
      <c r="BF1005" s="1">
        <v>49.0</v>
      </c>
      <c r="BG1005" s="1">
        <v>0.0</v>
      </c>
      <c r="BH1005" s="1">
        <v>16.0</v>
      </c>
      <c r="BI1005" s="1">
        <v>8.0</v>
      </c>
      <c r="BJ1005" s="1">
        <v>0.0</v>
      </c>
      <c r="BO1005" s="1" t="s">
        <v>3802</v>
      </c>
      <c r="BP1005" s="1">
        <v>1.009</v>
      </c>
      <c r="BU1005" s="1" t="s">
        <v>974</v>
      </c>
      <c r="BV1005" s="1">
        <v>1.1</v>
      </c>
      <c r="EQ1005" s="9" t="s">
        <v>3796</v>
      </c>
      <c r="ER1005" s="21">
        <v>46045.29991898148</v>
      </c>
    </row>
    <row r="1006">
      <c r="A1006" s="9" t="s">
        <v>3803</v>
      </c>
      <c r="B1006" s="20" t="str">
        <f>IFERROR(__xludf.DUMMYFUNCTION("REGEXREPLACE(A1006, ""^https?://[^/]+"", """")"),"/how-to-enhance-sales-using-ai/")</f>
        <v>/how-to-enhance-sales-using-ai/</v>
      </c>
      <c r="C1006" s="1" t="s">
        <v>3804</v>
      </c>
      <c r="D1006" s="1" t="s">
        <v>3805</v>
      </c>
      <c r="E1006" s="1" t="s">
        <v>3806</v>
      </c>
      <c r="F1006" s="1" t="s">
        <v>965</v>
      </c>
      <c r="G1006" s="1">
        <v>200.0</v>
      </c>
      <c r="H1006" s="1" t="s">
        <v>966</v>
      </c>
      <c r="I1006" s="1" t="s">
        <v>967</v>
      </c>
      <c r="K1006" s="1" t="s">
        <v>3807</v>
      </c>
      <c r="L1006" s="1">
        <v>54.0</v>
      </c>
      <c r="M1006" s="1">
        <v>491.0</v>
      </c>
      <c r="O1006" s="1">
        <v>0.0</v>
      </c>
      <c r="P1006" s="1">
        <v>0.0</v>
      </c>
      <c r="Q1006" s="1" t="s">
        <v>3808</v>
      </c>
      <c r="R1006" s="1">
        <v>147.0</v>
      </c>
      <c r="S1006" s="1">
        <v>923.0</v>
      </c>
      <c r="U1006" s="1">
        <v>0.0</v>
      </c>
      <c r="V1006" s="1" t="s">
        <v>3804</v>
      </c>
      <c r="W1006" s="1">
        <v>29.0</v>
      </c>
      <c r="Y1006" s="1">
        <v>0.0</v>
      </c>
      <c r="Z1006" s="1" t="s">
        <v>3805</v>
      </c>
      <c r="AA1006" s="1">
        <v>11.0</v>
      </c>
      <c r="AB1006" s="1" t="s">
        <v>3806</v>
      </c>
      <c r="AC1006" s="1">
        <v>39.0</v>
      </c>
      <c r="AD1006" s="1" t="s">
        <v>971</v>
      </c>
      <c r="AG1006" s="9" t="s">
        <v>3803</v>
      </c>
      <c r="AM1006" s="1">
        <v>201612.0</v>
      </c>
      <c r="AN1006" s="1">
        <v>36548.0</v>
      </c>
      <c r="AO1006" s="1">
        <v>36548.0</v>
      </c>
      <c r="AP1006" s="1">
        <v>14.001</v>
      </c>
      <c r="AR1006" s="1">
        <v>1490.0</v>
      </c>
      <c r="AS1006" s="1">
        <v>226.0</v>
      </c>
      <c r="AT1006" s="1">
        <v>6.593</v>
      </c>
      <c r="AU1006" s="1">
        <v>57.686</v>
      </c>
      <c r="AV1006" s="1" t="s">
        <v>972</v>
      </c>
      <c r="AW1006" s="1">
        <v>5.796</v>
      </c>
      <c r="AX1006" s="1">
        <v>3.0</v>
      </c>
      <c r="AY1006" s="1">
        <v>1.0</v>
      </c>
      <c r="AZ1006" s="1">
        <v>1.0</v>
      </c>
      <c r="BA1006" s="1">
        <v>14.0</v>
      </c>
      <c r="BB1006" s="1">
        <v>12.0</v>
      </c>
      <c r="BC1006" s="1">
        <v>0.0</v>
      </c>
      <c r="BD1006" s="1">
        <v>1.59</v>
      </c>
      <c r="BE1006" s="1">
        <v>132.0</v>
      </c>
      <c r="BF1006" s="1">
        <v>48.0</v>
      </c>
      <c r="BG1006" s="1">
        <v>0.0</v>
      </c>
      <c r="BH1006" s="1">
        <v>16.0</v>
      </c>
      <c r="BI1006" s="1">
        <v>8.0</v>
      </c>
      <c r="BJ1006" s="1">
        <v>0.0</v>
      </c>
      <c r="BO1006" s="1" t="s">
        <v>3809</v>
      </c>
      <c r="BP1006" s="1">
        <v>0.991</v>
      </c>
      <c r="BU1006" s="1" t="s">
        <v>974</v>
      </c>
      <c r="BV1006" s="1">
        <v>1.1</v>
      </c>
      <c r="EQ1006" s="9" t="s">
        <v>3803</v>
      </c>
      <c r="ER1006" s="21">
        <v>46045.29991898148</v>
      </c>
    </row>
    <row r="1007">
      <c r="A1007" s="9" t="s">
        <v>3810</v>
      </c>
      <c r="B1007" s="20" t="str">
        <f>IFERROR(__xludf.DUMMYFUNCTION("REGEXREPLACE(A1007, ""^https?://[^/]+"", """")"),"/wp-content/uploads/2022/07/hannah-carr-I079C4gOe8s-unsplash-241x300.jpg")</f>
        <v>/wp-content/uploads/2022/07/hannah-carr-I079C4gOe8s-unsplash-241x300.jpg</v>
      </c>
      <c r="F1007" s="1" t="s">
        <v>1004</v>
      </c>
      <c r="G1007" s="1">
        <v>200.0</v>
      </c>
      <c r="H1007" s="1" t="s">
        <v>966</v>
      </c>
      <c r="I1007" s="1" t="s">
        <v>967</v>
      </c>
      <c r="L1007" s="1">
        <v>0.0</v>
      </c>
      <c r="M1007" s="1">
        <v>0.0</v>
      </c>
      <c r="O1007" s="1">
        <v>0.0</v>
      </c>
      <c r="P1007" s="1">
        <v>0.0</v>
      </c>
      <c r="R1007" s="1">
        <v>0.0</v>
      </c>
      <c r="S1007" s="1">
        <v>0.0</v>
      </c>
      <c r="U1007" s="1">
        <v>0.0</v>
      </c>
      <c r="W1007" s="1">
        <v>0.0</v>
      </c>
      <c r="Y1007" s="1">
        <v>0.0</v>
      </c>
      <c r="AA1007" s="1">
        <v>0.0</v>
      </c>
      <c r="AC1007" s="1">
        <v>0.0</v>
      </c>
      <c r="AM1007" s="1">
        <v>14221.0</v>
      </c>
      <c r="AN1007" s="1">
        <v>14221.0</v>
      </c>
      <c r="AO1007" s="1">
        <v>14221.0</v>
      </c>
      <c r="AP1007" s="1">
        <v>5.448</v>
      </c>
      <c r="AR1007" s="1">
        <v>0.0</v>
      </c>
      <c r="AW1007" s="1">
        <v>0.0</v>
      </c>
      <c r="AX1007" s="1">
        <v>3.0</v>
      </c>
      <c r="AY1007" s="1">
        <v>4.0</v>
      </c>
      <c r="BA1007" s="1">
        <v>0.0</v>
      </c>
      <c r="BB1007" s="1">
        <v>0.0</v>
      </c>
      <c r="BC1007" s="1">
        <v>0.0</v>
      </c>
      <c r="BD1007" s="1">
        <v>0.0</v>
      </c>
      <c r="BE1007" s="1">
        <v>0.0</v>
      </c>
      <c r="BF1007" s="1">
        <v>0.0</v>
      </c>
      <c r="BG1007" s="1">
        <v>0.0</v>
      </c>
      <c r="BH1007" s="1">
        <v>0.0</v>
      </c>
      <c r="BI1007" s="1">
        <v>0.0</v>
      </c>
      <c r="BJ1007" s="1">
        <v>0.0</v>
      </c>
      <c r="BP1007" s="1">
        <v>0.36</v>
      </c>
      <c r="BQ1007" s="1" t="s">
        <v>3811</v>
      </c>
      <c r="BV1007" s="1">
        <v>1.1</v>
      </c>
      <c r="EQ1007" s="9" t="s">
        <v>3810</v>
      </c>
      <c r="ER1007" s="21">
        <v>46045.29993055556</v>
      </c>
    </row>
    <row r="1008">
      <c r="A1008" s="9" t="s">
        <v>3812</v>
      </c>
      <c r="B1008" s="20" t="str">
        <f>IFERROR(__xludf.DUMMYFUNCTION("REGEXREPLACE(A1008, ""^https?://[^/]+"", """")"),"/wp-content/uploads/2026/01/SAO-YT-Thumbnail-Donald-Miller-300x169.jpg")</f>
        <v>/wp-content/uploads/2026/01/SAO-YT-Thumbnail-Donald-Miller-300x169.jpg</v>
      </c>
      <c r="F1008" s="1" t="s">
        <v>1004</v>
      </c>
      <c r="G1008" s="1">
        <v>200.0</v>
      </c>
      <c r="H1008" s="1" t="s">
        <v>966</v>
      </c>
      <c r="I1008" s="1" t="s">
        <v>967</v>
      </c>
      <c r="L1008" s="1">
        <v>0.0</v>
      </c>
      <c r="M1008" s="1">
        <v>0.0</v>
      </c>
      <c r="O1008" s="1">
        <v>0.0</v>
      </c>
      <c r="P1008" s="1">
        <v>0.0</v>
      </c>
      <c r="R1008" s="1">
        <v>0.0</v>
      </c>
      <c r="S1008" s="1">
        <v>0.0</v>
      </c>
      <c r="U1008" s="1">
        <v>0.0</v>
      </c>
      <c r="W1008" s="1">
        <v>0.0</v>
      </c>
      <c r="Y1008" s="1">
        <v>0.0</v>
      </c>
      <c r="AA1008" s="1">
        <v>0.0</v>
      </c>
      <c r="AC1008" s="1">
        <v>0.0</v>
      </c>
      <c r="AM1008" s="1">
        <v>9893.0</v>
      </c>
      <c r="AN1008" s="1">
        <v>9893.0</v>
      </c>
      <c r="AO1008" s="1">
        <v>9893.0</v>
      </c>
      <c r="AP1008" s="1">
        <v>3.79</v>
      </c>
      <c r="AR1008" s="1">
        <v>0.0</v>
      </c>
      <c r="AW1008" s="1">
        <v>0.0</v>
      </c>
      <c r="AX1008" s="1">
        <v>3.0</v>
      </c>
      <c r="AY1008" s="1">
        <v>4.0</v>
      </c>
      <c r="BA1008" s="1">
        <v>0.0</v>
      </c>
      <c r="BB1008" s="1">
        <v>0.0</v>
      </c>
      <c r="BC1008" s="1">
        <v>0.0</v>
      </c>
      <c r="BD1008" s="1">
        <v>0.0</v>
      </c>
      <c r="BE1008" s="1">
        <v>0.0</v>
      </c>
      <c r="BF1008" s="1">
        <v>0.0</v>
      </c>
      <c r="BG1008" s="1">
        <v>0.0</v>
      </c>
      <c r="BH1008" s="1">
        <v>0.0</v>
      </c>
      <c r="BI1008" s="1">
        <v>0.0</v>
      </c>
      <c r="BJ1008" s="1">
        <v>0.0</v>
      </c>
      <c r="BP1008" s="1">
        <v>0.434</v>
      </c>
      <c r="BQ1008" s="1" t="s">
        <v>1539</v>
      </c>
      <c r="BV1008" s="1">
        <v>1.1</v>
      </c>
      <c r="EQ1008" s="9" t="s">
        <v>3812</v>
      </c>
      <c r="ER1008" s="21">
        <v>46045.29993055556</v>
      </c>
    </row>
    <row r="1009">
      <c r="A1009" s="9" t="s">
        <v>3813</v>
      </c>
      <c r="B1009" s="20" t="str">
        <f>IFERROR(__xludf.DUMMYFUNCTION("REGEXREPLACE(A1009, ""^https?://[^/]+"", """")"),"/why-do-businesses-struggle-with-key-performance-indicators/")</f>
        <v>/why-do-businesses-struggle-with-key-performance-indicators/</v>
      </c>
      <c r="C1009" s="1" t="s">
        <v>3814</v>
      </c>
      <c r="D1009" s="1" t="s">
        <v>3815</v>
      </c>
      <c r="F1009" s="1" t="s">
        <v>965</v>
      </c>
      <c r="G1009" s="1">
        <v>200.0</v>
      </c>
      <c r="H1009" s="1" t="s">
        <v>966</v>
      </c>
      <c r="I1009" s="1" t="s">
        <v>967</v>
      </c>
      <c r="K1009" s="1" t="s">
        <v>3816</v>
      </c>
      <c r="L1009" s="1">
        <v>84.0</v>
      </c>
      <c r="M1009" s="1">
        <v>771.0</v>
      </c>
      <c r="O1009" s="1">
        <v>0.0</v>
      </c>
      <c r="P1009" s="1">
        <v>0.0</v>
      </c>
      <c r="Q1009" s="1" t="s">
        <v>3817</v>
      </c>
      <c r="R1009" s="1">
        <v>155.0</v>
      </c>
      <c r="S1009" s="1">
        <v>916.0</v>
      </c>
      <c r="U1009" s="1">
        <v>0.0</v>
      </c>
      <c r="V1009" s="1" t="s">
        <v>3814</v>
      </c>
      <c r="W1009" s="1">
        <v>59.0</v>
      </c>
      <c r="Y1009" s="1">
        <v>0.0</v>
      </c>
      <c r="Z1009" s="1" t="s">
        <v>3815</v>
      </c>
      <c r="AA1009" s="1">
        <v>17.0</v>
      </c>
      <c r="AC1009" s="1">
        <v>0.0</v>
      </c>
      <c r="AD1009" s="1" t="s">
        <v>971</v>
      </c>
      <c r="AG1009" s="9" t="s">
        <v>3813</v>
      </c>
      <c r="AM1009" s="1">
        <v>199635.0</v>
      </c>
      <c r="AN1009" s="1">
        <v>35189.0</v>
      </c>
      <c r="AO1009" s="1">
        <v>35189.0</v>
      </c>
      <c r="AP1009" s="1">
        <v>13.48</v>
      </c>
      <c r="AR1009" s="1">
        <v>1033.0</v>
      </c>
      <c r="AS1009" s="1">
        <v>157.0</v>
      </c>
      <c r="AT1009" s="1">
        <v>6.58</v>
      </c>
      <c r="AU1009" s="1">
        <v>68.875</v>
      </c>
      <c r="AV1009" s="1" t="s">
        <v>990</v>
      </c>
      <c r="AW1009" s="1">
        <v>4.263</v>
      </c>
      <c r="AX1009" s="1">
        <v>3.0</v>
      </c>
      <c r="AY1009" s="1">
        <v>1.0</v>
      </c>
      <c r="AZ1009" s="1">
        <v>1.0</v>
      </c>
      <c r="BA1009" s="1">
        <v>5.0</v>
      </c>
      <c r="BB1009" s="1">
        <v>2.0</v>
      </c>
      <c r="BC1009" s="1">
        <v>0.0</v>
      </c>
      <c r="BD1009" s="1">
        <v>0.27</v>
      </c>
      <c r="BE1009" s="1">
        <v>131.0</v>
      </c>
      <c r="BF1009" s="1">
        <v>49.0</v>
      </c>
      <c r="BG1009" s="1">
        <v>0.0</v>
      </c>
      <c r="BH1009" s="1">
        <v>16.0</v>
      </c>
      <c r="BI1009" s="1">
        <v>8.0</v>
      </c>
      <c r="BJ1009" s="1">
        <v>0.0</v>
      </c>
      <c r="BO1009" s="1" t="s">
        <v>3818</v>
      </c>
      <c r="BP1009" s="1">
        <v>0.997</v>
      </c>
      <c r="BU1009" s="1" t="s">
        <v>974</v>
      </c>
      <c r="BV1009" s="1">
        <v>1.1</v>
      </c>
      <c r="EQ1009" s="9" t="s">
        <v>3813</v>
      </c>
      <c r="ER1009" s="21">
        <v>46045.29993055556</v>
      </c>
    </row>
    <row r="1010">
      <c r="A1010" s="9" t="s">
        <v>3778</v>
      </c>
      <c r="B1010" s="20" t="str">
        <f>IFERROR(__xludf.DUMMYFUNCTION("REGEXREPLACE(A1010, ""^https?://[^/]+"", """")"),"/category/revenue-growth/page/3/")</f>
        <v>/category/revenue-growth/page/3/</v>
      </c>
      <c r="C1010" s="1" t="s">
        <v>1484</v>
      </c>
      <c r="F1010" s="1" t="s">
        <v>965</v>
      </c>
      <c r="G1010" s="1">
        <v>200.0</v>
      </c>
      <c r="H1010" s="1" t="s">
        <v>966</v>
      </c>
      <c r="I1010" s="1" t="s">
        <v>967</v>
      </c>
      <c r="K1010" s="1" t="s">
        <v>3819</v>
      </c>
      <c r="L1010" s="1">
        <v>58.0</v>
      </c>
      <c r="M1010" s="1">
        <v>527.0</v>
      </c>
      <c r="O1010" s="1">
        <v>0.0</v>
      </c>
      <c r="P1010" s="1">
        <v>0.0</v>
      </c>
      <c r="R1010" s="1">
        <v>0.0</v>
      </c>
      <c r="S1010" s="1">
        <v>0.0</v>
      </c>
      <c r="U1010" s="1">
        <v>0.0</v>
      </c>
      <c r="V1010" s="1" t="s">
        <v>1484</v>
      </c>
      <c r="W1010" s="1">
        <v>24.0</v>
      </c>
      <c r="Y1010" s="1">
        <v>0.0</v>
      </c>
      <c r="AA1010" s="1">
        <v>0.0</v>
      </c>
      <c r="AC1010" s="1">
        <v>0.0</v>
      </c>
      <c r="AD1010" s="1" t="s">
        <v>971</v>
      </c>
      <c r="AG1010" s="9" t="s">
        <v>3778</v>
      </c>
      <c r="AH1010" s="9" t="s">
        <v>3775</v>
      </c>
      <c r="AI1010" s="9" t="s">
        <v>1486</v>
      </c>
      <c r="AM1010" s="1">
        <v>169569.0</v>
      </c>
      <c r="AN1010" s="1">
        <v>31195.0</v>
      </c>
      <c r="AO1010" s="1">
        <v>31195.0</v>
      </c>
      <c r="AP1010" s="1">
        <v>11.95</v>
      </c>
      <c r="AR1010" s="1">
        <v>645.0</v>
      </c>
      <c r="AS1010" s="1">
        <v>112.0</v>
      </c>
      <c r="AT1010" s="1">
        <v>5.759</v>
      </c>
      <c r="AU1010" s="1">
        <v>59.465</v>
      </c>
      <c r="AV1010" s="1" t="s">
        <v>972</v>
      </c>
      <c r="AW1010" s="1">
        <v>3.804</v>
      </c>
      <c r="AX1010" s="1">
        <v>3.0</v>
      </c>
      <c r="AY1010" s="1">
        <v>4.0</v>
      </c>
      <c r="AZ1010" s="1">
        <v>1.0</v>
      </c>
      <c r="BA1010" s="1">
        <v>6.0</v>
      </c>
      <c r="BB1010" s="1">
        <v>4.0</v>
      </c>
      <c r="BC1010" s="1">
        <v>0.0</v>
      </c>
      <c r="BD1010" s="1">
        <v>0.53</v>
      </c>
      <c r="BE1010" s="1">
        <v>152.0</v>
      </c>
      <c r="BF1010" s="1">
        <v>58.0</v>
      </c>
      <c r="BG1010" s="1">
        <v>0.0</v>
      </c>
      <c r="BH1010" s="1">
        <v>16.0</v>
      </c>
      <c r="BI1010" s="1">
        <v>8.0</v>
      </c>
      <c r="BJ1010" s="1">
        <v>0.0</v>
      </c>
      <c r="BO1010" s="1" t="s">
        <v>3820</v>
      </c>
      <c r="BP1010" s="1">
        <v>1.042</v>
      </c>
      <c r="BU1010" s="1" t="s">
        <v>974</v>
      </c>
      <c r="BV1010" s="1">
        <v>1.1</v>
      </c>
      <c r="EQ1010" s="9" t="s">
        <v>3778</v>
      </c>
      <c r="ER1010" s="21">
        <v>46045.29993055556</v>
      </c>
    </row>
    <row r="1011">
      <c r="A1011" s="9" t="s">
        <v>3821</v>
      </c>
      <c r="B1011" s="20" t="str">
        <f>IFERROR(__xludf.DUMMYFUNCTION("REGEXREPLACE(A1011, ""^https?://[^/]+"", """")"),"/wp-content/uploads/2023/04/Increasing-Sales-with-Existing-Customers-300x228.jpg")</f>
        <v>/wp-content/uploads/2023/04/Increasing-Sales-with-Existing-Customers-300x228.jpg</v>
      </c>
      <c r="F1011" s="1" t="s">
        <v>1004</v>
      </c>
      <c r="G1011" s="1">
        <v>200.0</v>
      </c>
      <c r="H1011" s="1" t="s">
        <v>966</v>
      </c>
      <c r="I1011" s="1" t="s">
        <v>967</v>
      </c>
      <c r="L1011" s="1">
        <v>0.0</v>
      </c>
      <c r="M1011" s="1">
        <v>0.0</v>
      </c>
      <c r="O1011" s="1">
        <v>0.0</v>
      </c>
      <c r="P1011" s="1">
        <v>0.0</v>
      </c>
      <c r="R1011" s="1">
        <v>0.0</v>
      </c>
      <c r="S1011" s="1">
        <v>0.0</v>
      </c>
      <c r="U1011" s="1">
        <v>0.0</v>
      </c>
      <c r="W1011" s="1">
        <v>0.0</v>
      </c>
      <c r="Y1011" s="1">
        <v>0.0</v>
      </c>
      <c r="AA1011" s="1">
        <v>0.0</v>
      </c>
      <c r="AC1011" s="1">
        <v>0.0</v>
      </c>
      <c r="AM1011" s="1">
        <v>8415.0</v>
      </c>
      <c r="AN1011" s="1">
        <v>8415.0</v>
      </c>
      <c r="AO1011" s="1">
        <v>8415.0</v>
      </c>
      <c r="AP1011" s="1">
        <v>3.224</v>
      </c>
      <c r="AR1011" s="1">
        <v>0.0</v>
      </c>
      <c r="AW1011" s="1">
        <v>0.0</v>
      </c>
      <c r="AX1011" s="1">
        <v>3.0</v>
      </c>
      <c r="AY1011" s="1">
        <v>4.0</v>
      </c>
      <c r="BA1011" s="1">
        <v>0.0</v>
      </c>
      <c r="BB1011" s="1">
        <v>0.0</v>
      </c>
      <c r="BC1011" s="1">
        <v>0.0</v>
      </c>
      <c r="BD1011" s="1">
        <v>0.0</v>
      </c>
      <c r="BE1011" s="1">
        <v>0.0</v>
      </c>
      <c r="BF1011" s="1">
        <v>0.0</v>
      </c>
      <c r="BG1011" s="1">
        <v>0.0</v>
      </c>
      <c r="BH1011" s="1">
        <v>0.0</v>
      </c>
      <c r="BI1011" s="1">
        <v>0.0</v>
      </c>
      <c r="BJ1011" s="1">
        <v>0.0</v>
      </c>
      <c r="BP1011" s="1">
        <v>0.275</v>
      </c>
      <c r="BQ1011" s="1" t="s">
        <v>3822</v>
      </c>
      <c r="BV1011" s="1">
        <v>1.1</v>
      </c>
      <c r="EQ1011" s="9" t="s">
        <v>3821</v>
      </c>
      <c r="ER1011" s="21">
        <v>46045.299942129626</v>
      </c>
    </row>
    <row r="1012">
      <c r="A1012" s="9" t="s">
        <v>3777</v>
      </c>
      <c r="B1012" s="20" t="str">
        <f>IFERROR(__xludf.DUMMYFUNCTION("REGEXREPLACE(A1012, ""^https?://[^/]+"", """")"),"/category/revenue-growth/page/5/")</f>
        <v>/category/revenue-growth/page/5/</v>
      </c>
      <c r="C1012" s="1" t="s">
        <v>1484</v>
      </c>
      <c r="F1012" s="1" t="s">
        <v>965</v>
      </c>
      <c r="G1012" s="1">
        <v>200.0</v>
      </c>
      <c r="H1012" s="1" t="s">
        <v>966</v>
      </c>
      <c r="I1012" s="1" t="s">
        <v>967</v>
      </c>
      <c r="K1012" s="1" t="s">
        <v>3823</v>
      </c>
      <c r="L1012" s="1">
        <v>58.0</v>
      </c>
      <c r="M1012" s="1">
        <v>527.0</v>
      </c>
      <c r="O1012" s="1">
        <v>0.0</v>
      </c>
      <c r="P1012" s="1">
        <v>0.0</v>
      </c>
      <c r="R1012" s="1">
        <v>0.0</v>
      </c>
      <c r="S1012" s="1">
        <v>0.0</v>
      </c>
      <c r="U1012" s="1">
        <v>0.0</v>
      </c>
      <c r="V1012" s="1" t="s">
        <v>1484</v>
      </c>
      <c r="W1012" s="1">
        <v>24.0</v>
      </c>
      <c r="Y1012" s="1">
        <v>0.0</v>
      </c>
      <c r="AA1012" s="1">
        <v>0.0</v>
      </c>
      <c r="AC1012" s="1">
        <v>0.0</v>
      </c>
      <c r="AD1012" s="1" t="s">
        <v>971</v>
      </c>
      <c r="AG1012" s="9" t="s">
        <v>3777</v>
      </c>
      <c r="AH1012" s="9" t="s">
        <v>3824</v>
      </c>
      <c r="AI1012" s="9" t="s">
        <v>3775</v>
      </c>
      <c r="AM1012" s="1">
        <v>168307.0</v>
      </c>
      <c r="AN1012" s="1">
        <v>31312.0</v>
      </c>
      <c r="AO1012" s="1">
        <v>31312.0</v>
      </c>
      <c r="AP1012" s="1">
        <v>11.995</v>
      </c>
      <c r="AR1012" s="1">
        <v>654.0</v>
      </c>
      <c r="AS1012" s="1">
        <v>110.0</v>
      </c>
      <c r="AT1012" s="1">
        <v>5.945</v>
      </c>
      <c r="AU1012" s="1">
        <v>62.258</v>
      </c>
      <c r="AV1012" s="1" t="s">
        <v>990</v>
      </c>
      <c r="AW1012" s="1">
        <v>3.846</v>
      </c>
      <c r="AX1012" s="1">
        <v>3.0</v>
      </c>
      <c r="AY1012" s="1">
        <v>4.0</v>
      </c>
      <c r="AZ1012" s="1">
        <v>1.0</v>
      </c>
      <c r="BA1012" s="1">
        <v>5.0</v>
      </c>
      <c r="BB1012" s="1">
        <v>4.0</v>
      </c>
      <c r="BC1012" s="1">
        <v>0.0</v>
      </c>
      <c r="BD1012" s="1">
        <v>0.53</v>
      </c>
      <c r="BE1012" s="1">
        <v>151.0</v>
      </c>
      <c r="BF1012" s="1">
        <v>58.0</v>
      </c>
      <c r="BG1012" s="1">
        <v>0.0</v>
      </c>
      <c r="BH1012" s="1">
        <v>16.0</v>
      </c>
      <c r="BI1012" s="1">
        <v>8.0</v>
      </c>
      <c r="BJ1012" s="1">
        <v>0.0</v>
      </c>
      <c r="BO1012" s="1" t="s">
        <v>3825</v>
      </c>
      <c r="BP1012" s="1">
        <v>1.045</v>
      </c>
      <c r="BU1012" s="1" t="s">
        <v>974</v>
      </c>
      <c r="BV1012" s="1">
        <v>1.1</v>
      </c>
      <c r="EQ1012" s="9" t="s">
        <v>3777</v>
      </c>
      <c r="ER1012" s="21">
        <v>46045.29993055556</v>
      </c>
    </row>
    <row r="1013">
      <c r="A1013" s="9" t="s">
        <v>3826</v>
      </c>
      <c r="B1013" s="20" t="str">
        <f>IFERROR(__xludf.DUMMYFUNCTION("REGEXREPLACE(A1013, ""^https?://[^/]+"", """")"),"/wp-content/uploads/2022/11/Why-Focus-on-Sales-300x176.jpg")</f>
        <v>/wp-content/uploads/2022/11/Why-Focus-on-Sales-300x176.jpg</v>
      </c>
      <c r="F1013" s="1" t="s">
        <v>1004</v>
      </c>
      <c r="G1013" s="1">
        <v>200.0</v>
      </c>
      <c r="H1013" s="1" t="s">
        <v>966</v>
      </c>
      <c r="I1013" s="1" t="s">
        <v>967</v>
      </c>
      <c r="L1013" s="1">
        <v>0.0</v>
      </c>
      <c r="M1013" s="1">
        <v>0.0</v>
      </c>
      <c r="O1013" s="1">
        <v>0.0</v>
      </c>
      <c r="P1013" s="1">
        <v>0.0</v>
      </c>
      <c r="R1013" s="1">
        <v>0.0</v>
      </c>
      <c r="S1013" s="1">
        <v>0.0</v>
      </c>
      <c r="U1013" s="1">
        <v>0.0</v>
      </c>
      <c r="W1013" s="1">
        <v>0.0</v>
      </c>
      <c r="Y1013" s="1">
        <v>0.0</v>
      </c>
      <c r="AA1013" s="1">
        <v>0.0</v>
      </c>
      <c r="AC1013" s="1">
        <v>0.0</v>
      </c>
      <c r="AM1013" s="1">
        <v>11781.0</v>
      </c>
      <c r="AN1013" s="1">
        <v>11781.0</v>
      </c>
      <c r="AO1013" s="1">
        <v>11781.0</v>
      </c>
      <c r="AP1013" s="1">
        <v>4.513</v>
      </c>
      <c r="AR1013" s="1">
        <v>0.0</v>
      </c>
      <c r="AW1013" s="1">
        <v>0.0</v>
      </c>
      <c r="AX1013" s="1">
        <v>3.0</v>
      </c>
      <c r="AY1013" s="1">
        <v>4.0</v>
      </c>
      <c r="BA1013" s="1">
        <v>0.0</v>
      </c>
      <c r="BB1013" s="1">
        <v>0.0</v>
      </c>
      <c r="BC1013" s="1">
        <v>0.0</v>
      </c>
      <c r="BD1013" s="1">
        <v>0.0</v>
      </c>
      <c r="BE1013" s="1">
        <v>0.0</v>
      </c>
      <c r="BF1013" s="1">
        <v>0.0</v>
      </c>
      <c r="BG1013" s="1">
        <v>0.0</v>
      </c>
      <c r="BH1013" s="1">
        <v>0.0</v>
      </c>
      <c r="BI1013" s="1">
        <v>0.0</v>
      </c>
      <c r="BJ1013" s="1">
        <v>0.0</v>
      </c>
      <c r="BP1013" s="1">
        <v>0.27</v>
      </c>
      <c r="BQ1013" s="1" t="s">
        <v>3827</v>
      </c>
      <c r="BV1013" s="1">
        <v>1.1</v>
      </c>
      <c r="EQ1013" s="9" t="s">
        <v>3826</v>
      </c>
      <c r="ER1013" s="21">
        <v>46045.2999537037</v>
      </c>
    </row>
    <row r="1014">
      <c r="A1014" s="9" t="s">
        <v>3828</v>
      </c>
      <c r="B1014" s="20" t="str">
        <f>IFERROR(__xludf.DUMMYFUNCTION("REGEXREPLACE(A1014, ""^https?://[^/]+"", """")"),"/afraid-of-sales-automation-heres-how-to-use-it-to-your-competitive-advantage/")</f>
        <v>/afraid-of-sales-automation-heres-how-to-use-it-to-your-competitive-advantage/</v>
      </c>
      <c r="C1014" s="1" t="s">
        <v>3829</v>
      </c>
      <c r="D1014" s="1" t="s">
        <v>3830</v>
      </c>
      <c r="E1014" s="1" t="s">
        <v>3831</v>
      </c>
      <c r="F1014" s="1" t="s">
        <v>965</v>
      </c>
      <c r="G1014" s="1">
        <v>200.0</v>
      </c>
      <c r="H1014" s="1" t="s">
        <v>966</v>
      </c>
      <c r="I1014" s="1" t="s">
        <v>967</v>
      </c>
      <c r="K1014" s="1" t="s">
        <v>3832</v>
      </c>
      <c r="L1014" s="1">
        <v>105.0</v>
      </c>
      <c r="M1014" s="1">
        <v>949.0</v>
      </c>
      <c r="O1014" s="1">
        <v>0.0</v>
      </c>
      <c r="P1014" s="1">
        <v>0.0</v>
      </c>
      <c r="Q1014" s="1" t="s">
        <v>3833</v>
      </c>
      <c r="R1014" s="1">
        <v>76.0</v>
      </c>
      <c r="S1014" s="1">
        <v>488.0</v>
      </c>
      <c r="U1014" s="1">
        <v>0.0</v>
      </c>
      <c r="V1014" s="1" t="s">
        <v>3829</v>
      </c>
      <c r="W1014" s="1">
        <v>80.0</v>
      </c>
      <c r="Y1014" s="1">
        <v>0.0</v>
      </c>
      <c r="Z1014" s="1" t="s">
        <v>3830</v>
      </c>
      <c r="AA1014" s="1">
        <v>24.0</v>
      </c>
      <c r="AB1014" s="1" t="s">
        <v>3831</v>
      </c>
      <c r="AC1014" s="1">
        <v>28.0</v>
      </c>
      <c r="AD1014" s="1" t="s">
        <v>971</v>
      </c>
      <c r="AG1014" s="9" t="s">
        <v>3828</v>
      </c>
      <c r="AM1014" s="1">
        <v>198629.0</v>
      </c>
      <c r="AN1014" s="1">
        <v>35631.0</v>
      </c>
      <c r="AO1014" s="1">
        <v>35631.0</v>
      </c>
      <c r="AP1014" s="1">
        <v>13.65</v>
      </c>
      <c r="AR1014" s="1">
        <v>1285.0</v>
      </c>
      <c r="AS1014" s="1">
        <v>194.0</v>
      </c>
      <c r="AT1014" s="1">
        <v>6.624</v>
      </c>
      <c r="AU1014" s="1">
        <v>52.44</v>
      </c>
      <c r="AV1014" s="1" t="s">
        <v>972</v>
      </c>
      <c r="AW1014" s="1">
        <v>5.346</v>
      </c>
      <c r="AX1014" s="1">
        <v>3.0</v>
      </c>
      <c r="AY1014" s="1">
        <v>1.0</v>
      </c>
      <c r="AZ1014" s="1">
        <v>1.0</v>
      </c>
      <c r="BA1014" s="1">
        <v>3.0</v>
      </c>
      <c r="BB1014" s="1">
        <v>2.0</v>
      </c>
      <c r="BC1014" s="1">
        <v>0.0</v>
      </c>
      <c r="BD1014" s="1">
        <v>0.27</v>
      </c>
      <c r="BE1014" s="1">
        <v>133.0</v>
      </c>
      <c r="BF1014" s="1">
        <v>51.0</v>
      </c>
      <c r="BG1014" s="1">
        <v>0.0</v>
      </c>
      <c r="BH1014" s="1">
        <v>16.0</v>
      </c>
      <c r="BI1014" s="1">
        <v>8.0</v>
      </c>
      <c r="BJ1014" s="1">
        <v>0.0</v>
      </c>
      <c r="BO1014" s="1" t="s">
        <v>3834</v>
      </c>
      <c r="BP1014" s="1">
        <v>1.03</v>
      </c>
      <c r="BU1014" s="1" t="s">
        <v>974</v>
      </c>
      <c r="BV1014" s="1">
        <v>1.1</v>
      </c>
      <c r="EQ1014" s="9" t="s">
        <v>3828</v>
      </c>
      <c r="ER1014" s="21">
        <v>46045.299942129626</v>
      </c>
    </row>
    <row r="1015">
      <c r="A1015" s="9" t="s">
        <v>3835</v>
      </c>
      <c r="B1015" s="20" t="str">
        <f>IFERROR(__xludf.DUMMYFUNCTION("REGEXREPLACE(A1015, ""^https?://[^/]+"", """")"),"/4-tips-for-using-a-sales-process-to-improve-your-wins/")</f>
        <v>/4-tips-for-using-a-sales-process-to-improve-your-wins/</v>
      </c>
      <c r="C1015" s="1" t="s">
        <v>3836</v>
      </c>
      <c r="F1015" s="1" t="s">
        <v>965</v>
      </c>
      <c r="G1015" s="1">
        <v>200.0</v>
      </c>
      <c r="H1015" s="1" t="s">
        <v>966</v>
      </c>
      <c r="I1015" s="1" t="s">
        <v>967</v>
      </c>
      <c r="K1015" s="1" t="s">
        <v>3837</v>
      </c>
      <c r="L1015" s="1">
        <v>78.0</v>
      </c>
      <c r="M1015" s="1">
        <v>697.0</v>
      </c>
      <c r="O1015" s="1">
        <v>0.0</v>
      </c>
      <c r="P1015" s="1">
        <v>0.0</v>
      </c>
      <c r="Q1015" s="1" t="s">
        <v>3838</v>
      </c>
      <c r="R1015" s="1">
        <v>103.0</v>
      </c>
      <c r="S1015" s="1">
        <v>645.0</v>
      </c>
      <c r="U1015" s="1">
        <v>0.0</v>
      </c>
      <c r="V1015" s="1" t="s">
        <v>3836</v>
      </c>
      <c r="W1015" s="1">
        <v>53.0</v>
      </c>
      <c r="Y1015" s="1">
        <v>0.0</v>
      </c>
      <c r="AA1015" s="1">
        <v>0.0</v>
      </c>
      <c r="AC1015" s="1">
        <v>0.0</v>
      </c>
      <c r="AD1015" s="1" t="s">
        <v>971</v>
      </c>
      <c r="AG1015" s="9" t="s">
        <v>3835</v>
      </c>
      <c r="AM1015" s="1">
        <v>196197.0</v>
      </c>
      <c r="AN1015" s="1">
        <v>34006.0</v>
      </c>
      <c r="AO1015" s="1">
        <v>34006.0</v>
      </c>
      <c r="AP1015" s="1">
        <v>13.027</v>
      </c>
      <c r="AR1015" s="1">
        <v>656.0</v>
      </c>
      <c r="AS1015" s="1">
        <v>112.0</v>
      </c>
      <c r="AT1015" s="1">
        <v>5.857</v>
      </c>
      <c r="AU1015" s="1">
        <v>63.157</v>
      </c>
      <c r="AV1015" s="1" t="s">
        <v>990</v>
      </c>
      <c r="AW1015" s="1">
        <v>3.266</v>
      </c>
      <c r="AX1015" s="1">
        <v>3.0</v>
      </c>
      <c r="AY1015" s="1">
        <v>1.0</v>
      </c>
      <c r="AZ1015" s="1">
        <v>1.0</v>
      </c>
      <c r="BA1015" s="1">
        <v>6.0</v>
      </c>
      <c r="BB1015" s="1">
        <v>3.0</v>
      </c>
      <c r="BC1015" s="1">
        <v>0.0</v>
      </c>
      <c r="BD1015" s="1">
        <v>0.4</v>
      </c>
      <c r="BE1015" s="1">
        <v>129.0</v>
      </c>
      <c r="BF1015" s="1">
        <v>47.0</v>
      </c>
      <c r="BG1015" s="1">
        <v>0.0</v>
      </c>
      <c r="BH1015" s="1">
        <v>17.0</v>
      </c>
      <c r="BI1015" s="1">
        <v>9.0</v>
      </c>
      <c r="BJ1015" s="1">
        <v>0.0</v>
      </c>
      <c r="BO1015" s="1" t="s">
        <v>3839</v>
      </c>
      <c r="BP1015" s="1">
        <v>1.047</v>
      </c>
      <c r="BU1015" s="1" t="s">
        <v>974</v>
      </c>
      <c r="BV1015" s="1">
        <v>1.1</v>
      </c>
      <c r="EQ1015" s="9" t="s">
        <v>3835</v>
      </c>
      <c r="ER1015" s="21">
        <v>46045.299942129626</v>
      </c>
    </row>
    <row r="1016">
      <c r="A1016" s="9" t="s">
        <v>3840</v>
      </c>
      <c r="B1016" s="20" t="str">
        <f>IFERROR(__xludf.DUMMYFUNCTION("REGEXREPLACE(A1016, ""^https?://[^/]+"", """")"),"/wp-content/uploads/2025/11/Hiring-Trends-Forecast-for-2025-1024x576-1.jpg")</f>
        <v>/wp-content/uploads/2025/11/Hiring-Trends-Forecast-for-2025-1024x576-1.jpg</v>
      </c>
      <c r="F1016" s="1" t="s">
        <v>1004</v>
      </c>
      <c r="G1016" s="1">
        <v>200.0</v>
      </c>
      <c r="H1016" s="1" t="s">
        <v>966</v>
      </c>
      <c r="I1016" s="1" t="s">
        <v>967</v>
      </c>
      <c r="L1016" s="1">
        <v>0.0</v>
      </c>
      <c r="M1016" s="1">
        <v>0.0</v>
      </c>
      <c r="O1016" s="1">
        <v>0.0</v>
      </c>
      <c r="P1016" s="1">
        <v>0.0</v>
      </c>
      <c r="R1016" s="1">
        <v>0.0</v>
      </c>
      <c r="S1016" s="1">
        <v>0.0</v>
      </c>
      <c r="U1016" s="1">
        <v>0.0</v>
      </c>
      <c r="W1016" s="1">
        <v>0.0</v>
      </c>
      <c r="Y1016" s="1">
        <v>0.0</v>
      </c>
      <c r="AA1016" s="1">
        <v>0.0</v>
      </c>
      <c r="AC1016" s="1">
        <v>0.0</v>
      </c>
      <c r="AM1016" s="1">
        <v>66590.0</v>
      </c>
      <c r="AN1016" s="1">
        <v>66590.0</v>
      </c>
      <c r="AO1016" s="1">
        <v>66590.0</v>
      </c>
      <c r="AP1016" s="1">
        <v>25.509</v>
      </c>
      <c r="AR1016" s="1">
        <v>0.0</v>
      </c>
      <c r="AW1016" s="1">
        <v>0.0</v>
      </c>
      <c r="AX1016" s="1">
        <v>3.0</v>
      </c>
      <c r="AY1016" s="1">
        <v>4.0</v>
      </c>
      <c r="BA1016" s="1">
        <v>0.0</v>
      </c>
      <c r="BB1016" s="1">
        <v>0.0</v>
      </c>
      <c r="BC1016" s="1">
        <v>0.0</v>
      </c>
      <c r="BD1016" s="1">
        <v>0.0</v>
      </c>
      <c r="BE1016" s="1">
        <v>0.0</v>
      </c>
      <c r="BF1016" s="1">
        <v>0.0</v>
      </c>
      <c r="BG1016" s="1">
        <v>0.0</v>
      </c>
      <c r="BH1016" s="1">
        <v>0.0</v>
      </c>
      <c r="BI1016" s="1">
        <v>0.0</v>
      </c>
      <c r="BJ1016" s="1">
        <v>0.0</v>
      </c>
      <c r="BP1016" s="1">
        <v>0.266</v>
      </c>
      <c r="BQ1016" s="1" t="s">
        <v>3841</v>
      </c>
      <c r="BV1016" s="1">
        <v>1.1</v>
      </c>
      <c r="EQ1016" s="9" t="s">
        <v>3840</v>
      </c>
      <c r="ER1016" s="21">
        <v>46045.2999537037</v>
      </c>
    </row>
    <row r="1017">
      <c r="A1017" s="9" t="s">
        <v>3842</v>
      </c>
      <c r="B1017" s="20" t="str">
        <f>IFERROR(__xludf.DUMMYFUNCTION("REGEXREPLACE(A1017, ""^https?://[^/]+"", """")"),"/wp-content/themes/salesxceleratione/assets/css/style.css?ver=1769123342")</f>
        <v>/wp-content/themes/salesxceleratione/assets/css/style.css?ver=1769123342</v>
      </c>
      <c r="F1017" s="1" t="s">
        <v>1016</v>
      </c>
      <c r="G1017" s="1">
        <v>200.0</v>
      </c>
      <c r="H1017" s="1" t="s">
        <v>966</v>
      </c>
      <c r="I1017" s="1" t="s">
        <v>967</v>
      </c>
      <c r="L1017" s="1">
        <v>0.0</v>
      </c>
      <c r="M1017" s="1">
        <v>0.0</v>
      </c>
      <c r="O1017" s="1">
        <v>0.0</v>
      </c>
      <c r="P1017" s="1">
        <v>0.0</v>
      </c>
      <c r="R1017" s="1">
        <v>0.0</v>
      </c>
      <c r="S1017" s="1">
        <v>0.0</v>
      </c>
      <c r="U1017" s="1">
        <v>0.0</v>
      </c>
      <c r="W1017" s="1">
        <v>0.0</v>
      </c>
      <c r="Y1017" s="1">
        <v>0.0</v>
      </c>
      <c r="AA1017" s="1">
        <v>0.0</v>
      </c>
      <c r="AC1017" s="1">
        <v>0.0</v>
      </c>
      <c r="AM1017" s="1">
        <v>17704.0</v>
      </c>
      <c r="AN1017" s="1">
        <v>17704.0</v>
      </c>
      <c r="AO1017" s="1">
        <v>17704.0</v>
      </c>
      <c r="AP1017" s="1">
        <v>6.782</v>
      </c>
      <c r="AR1017" s="1">
        <v>0.0</v>
      </c>
      <c r="AW1017" s="1">
        <v>0.0</v>
      </c>
      <c r="AX1017" s="1">
        <v>3.0</v>
      </c>
      <c r="AY1017" s="1">
        <v>5.0</v>
      </c>
      <c r="BA1017" s="1">
        <v>0.0</v>
      </c>
      <c r="BB1017" s="1">
        <v>0.0</v>
      </c>
      <c r="BC1017" s="1">
        <v>0.0</v>
      </c>
      <c r="BD1017" s="1">
        <v>0.0</v>
      </c>
      <c r="BE1017" s="1">
        <v>0.0</v>
      </c>
      <c r="BF1017" s="1">
        <v>0.0</v>
      </c>
      <c r="BG1017" s="1">
        <v>0.0</v>
      </c>
      <c r="BH1017" s="1">
        <v>0.0</v>
      </c>
      <c r="BI1017" s="1">
        <v>0.0</v>
      </c>
      <c r="BJ1017" s="1">
        <v>0.0</v>
      </c>
      <c r="BP1017" s="1">
        <v>0.273</v>
      </c>
      <c r="BQ1017" s="1" t="s">
        <v>3843</v>
      </c>
      <c r="BV1017" s="1">
        <v>1.1</v>
      </c>
      <c r="EQ1017" s="9" t="s">
        <v>3842</v>
      </c>
      <c r="ER1017" s="21">
        <v>46045.2999537037</v>
      </c>
    </row>
    <row r="1018">
      <c r="A1018" s="9" t="s">
        <v>3844</v>
      </c>
      <c r="B1018" s="20" t="str">
        <f>IFERROR(__xludf.DUMMYFUNCTION("REGEXREPLACE(A1018, ""^https?://[^/]+"", """")"),"/wp-content/uploads/2025/11/Skills-Based-Hiring.jpg")</f>
        <v>/wp-content/uploads/2025/11/Skills-Based-Hiring.jpg</v>
      </c>
      <c r="F1018" s="1" t="s">
        <v>1004</v>
      </c>
      <c r="G1018" s="1">
        <v>200.0</v>
      </c>
      <c r="H1018" s="1" t="s">
        <v>966</v>
      </c>
      <c r="I1018" s="1" t="s">
        <v>967</v>
      </c>
      <c r="L1018" s="1">
        <v>0.0</v>
      </c>
      <c r="M1018" s="1">
        <v>0.0</v>
      </c>
      <c r="O1018" s="1">
        <v>0.0</v>
      </c>
      <c r="P1018" s="1">
        <v>0.0</v>
      </c>
      <c r="R1018" s="1">
        <v>0.0</v>
      </c>
      <c r="S1018" s="1">
        <v>0.0</v>
      </c>
      <c r="U1018" s="1">
        <v>0.0</v>
      </c>
      <c r="W1018" s="1">
        <v>0.0</v>
      </c>
      <c r="Y1018" s="1">
        <v>0.0</v>
      </c>
      <c r="AA1018" s="1">
        <v>0.0</v>
      </c>
      <c r="AC1018" s="1">
        <v>0.0</v>
      </c>
      <c r="AM1018" s="1">
        <v>74225.0</v>
      </c>
      <c r="AN1018" s="1">
        <v>74225.0</v>
      </c>
      <c r="AO1018" s="1">
        <v>74225.0</v>
      </c>
      <c r="AP1018" s="1">
        <v>28.434</v>
      </c>
      <c r="AR1018" s="1">
        <v>0.0</v>
      </c>
      <c r="AW1018" s="1">
        <v>0.0</v>
      </c>
      <c r="AX1018" s="1">
        <v>3.0</v>
      </c>
      <c r="AY1018" s="1">
        <v>4.0</v>
      </c>
      <c r="BA1018" s="1">
        <v>0.0</v>
      </c>
      <c r="BB1018" s="1">
        <v>0.0</v>
      </c>
      <c r="BC1018" s="1">
        <v>0.0</v>
      </c>
      <c r="BD1018" s="1">
        <v>0.0</v>
      </c>
      <c r="BE1018" s="1">
        <v>0.0</v>
      </c>
      <c r="BF1018" s="1">
        <v>0.0</v>
      </c>
      <c r="BG1018" s="1">
        <v>0.0</v>
      </c>
      <c r="BH1018" s="1">
        <v>0.0</v>
      </c>
      <c r="BI1018" s="1">
        <v>0.0</v>
      </c>
      <c r="BJ1018" s="1">
        <v>0.0</v>
      </c>
      <c r="BP1018" s="1">
        <v>0.272</v>
      </c>
      <c r="BQ1018" s="1" t="s">
        <v>3845</v>
      </c>
      <c r="BV1018" s="1">
        <v>1.1</v>
      </c>
      <c r="EQ1018" s="9" t="s">
        <v>3844</v>
      </c>
      <c r="ER1018" s="21">
        <v>46045.2999537037</v>
      </c>
    </row>
    <row r="1019">
      <c r="A1019" s="9" t="s">
        <v>3846</v>
      </c>
      <c r="B1019" s="20" t="str">
        <f>IFERROR(__xludf.DUMMYFUNCTION("REGEXREPLACE(A1019, ""^https?://[^/]+"", """")"),"/wp-content/uploads/2025/11/Hiring-Sales-Talent-in-a-Slow-Economy-1024x683-1.jpg")</f>
        <v>/wp-content/uploads/2025/11/Hiring-Sales-Talent-in-a-Slow-Economy-1024x683-1.jpg</v>
      </c>
      <c r="F1019" s="1" t="s">
        <v>1004</v>
      </c>
      <c r="G1019" s="1">
        <v>200.0</v>
      </c>
      <c r="H1019" s="1" t="s">
        <v>966</v>
      </c>
      <c r="I1019" s="1" t="s">
        <v>967</v>
      </c>
      <c r="L1019" s="1">
        <v>0.0</v>
      </c>
      <c r="M1019" s="1">
        <v>0.0</v>
      </c>
      <c r="O1019" s="1">
        <v>0.0</v>
      </c>
      <c r="P1019" s="1">
        <v>0.0</v>
      </c>
      <c r="R1019" s="1">
        <v>0.0</v>
      </c>
      <c r="S1019" s="1">
        <v>0.0</v>
      </c>
      <c r="U1019" s="1">
        <v>0.0</v>
      </c>
      <c r="W1019" s="1">
        <v>0.0</v>
      </c>
      <c r="Y1019" s="1">
        <v>0.0</v>
      </c>
      <c r="AA1019" s="1">
        <v>0.0</v>
      </c>
      <c r="AC1019" s="1">
        <v>0.0</v>
      </c>
      <c r="AM1019" s="1">
        <v>76447.0</v>
      </c>
      <c r="AN1019" s="1">
        <v>76447.0</v>
      </c>
      <c r="AO1019" s="1">
        <v>76447.0</v>
      </c>
      <c r="AP1019" s="1">
        <v>29.285</v>
      </c>
      <c r="AR1019" s="1">
        <v>0.0</v>
      </c>
      <c r="AW1019" s="1">
        <v>0.0</v>
      </c>
      <c r="AX1019" s="1">
        <v>3.0</v>
      </c>
      <c r="AY1019" s="1">
        <v>4.0</v>
      </c>
      <c r="BA1019" s="1">
        <v>0.0</v>
      </c>
      <c r="BB1019" s="1">
        <v>0.0</v>
      </c>
      <c r="BC1019" s="1">
        <v>0.0</v>
      </c>
      <c r="BD1019" s="1">
        <v>0.0</v>
      </c>
      <c r="BE1019" s="1">
        <v>0.0</v>
      </c>
      <c r="BF1019" s="1">
        <v>0.0</v>
      </c>
      <c r="BG1019" s="1">
        <v>0.0</v>
      </c>
      <c r="BH1019" s="1">
        <v>0.0</v>
      </c>
      <c r="BI1019" s="1">
        <v>0.0</v>
      </c>
      <c r="BJ1019" s="1">
        <v>0.0</v>
      </c>
      <c r="BP1019" s="1">
        <v>0.271</v>
      </c>
      <c r="BQ1019" s="1" t="s">
        <v>3847</v>
      </c>
      <c r="BV1019" s="1">
        <v>1.1</v>
      </c>
      <c r="EQ1019" s="9" t="s">
        <v>3846</v>
      </c>
      <c r="ER1019" s="21">
        <v>46045.2999537037</v>
      </c>
    </row>
    <row r="1020">
      <c r="A1020" s="9" t="s">
        <v>3848</v>
      </c>
      <c r="B1020" s="20" t="str">
        <f>IFERROR(__xludf.DUMMYFUNCTION("REGEXREPLACE(A1020, ""^https?://[^/]+"", """")"),"/wp-content/uploads/2025/12/Sales-Team-Meeting.jpg")</f>
        <v>/wp-content/uploads/2025/12/Sales-Team-Meeting.jpg</v>
      </c>
      <c r="F1020" s="1" t="s">
        <v>1004</v>
      </c>
      <c r="G1020" s="1">
        <v>200.0</v>
      </c>
      <c r="H1020" s="1" t="s">
        <v>966</v>
      </c>
      <c r="I1020" s="1" t="s">
        <v>967</v>
      </c>
      <c r="L1020" s="1">
        <v>0.0</v>
      </c>
      <c r="M1020" s="1">
        <v>0.0</v>
      </c>
      <c r="O1020" s="1">
        <v>0.0</v>
      </c>
      <c r="P1020" s="1">
        <v>0.0</v>
      </c>
      <c r="R1020" s="1">
        <v>0.0</v>
      </c>
      <c r="S1020" s="1">
        <v>0.0</v>
      </c>
      <c r="U1020" s="1">
        <v>0.0</v>
      </c>
      <c r="W1020" s="1">
        <v>0.0</v>
      </c>
      <c r="Y1020" s="1">
        <v>0.0</v>
      </c>
      <c r="AA1020" s="1">
        <v>0.0</v>
      </c>
      <c r="AC1020" s="1">
        <v>0.0</v>
      </c>
      <c r="AM1020" s="1">
        <v>315443.0</v>
      </c>
      <c r="AN1020" s="1">
        <v>315443.0</v>
      </c>
      <c r="AO1020" s="1">
        <v>315443.0</v>
      </c>
      <c r="AP1020" s="1">
        <v>120.84</v>
      </c>
      <c r="AR1020" s="1">
        <v>0.0</v>
      </c>
      <c r="AW1020" s="1">
        <v>0.0</v>
      </c>
      <c r="AX1020" s="1">
        <v>3.0</v>
      </c>
      <c r="AY1020" s="1">
        <v>4.0</v>
      </c>
      <c r="BA1020" s="1">
        <v>0.0</v>
      </c>
      <c r="BB1020" s="1">
        <v>0.0</v>
      </c>
      <c r="BC1020" s="1">
        <v>0.0</v>
      </c>
      <c r="BD1020" s="1">
        <v>0.0</v>
      </c>
      <c r="BE1020" s="1">
        <v>0.0</v>
      </c>
      <c r="BF1020" s="1">
        <v>0.0</v>
      </c>
      <c r="BG1020" s="1">
        <v>0.0</v>
      </c>
      <c r="BH1020" s="1">
        <v>0.0</v>
      </c>
      <c r="BI1020" s="1">
        <v>0.0</v>
      </c>
      <c r="BJ1020" s="1">
        <v>0.0</v>
      </c>
      <c r="BP1020" s="1">
        <v>0.254</v>
      </c>
      <c r="BQ1020" s="1" t="s">
        <v>1506</v>
      </c>
      <c r="BV1020" s="1">
        <v>1.1</v>
      </c>
      <c r="EQ1020" s="9" t="s">
        <v>3848</v>
      </c>
      <c r="ER1020" s="21">
        <v>46045.2999537037</v>
      </c>
    </row>
    <row r="1021">
      <c r="A1021" s="9" t="s">
        <v>3849</v>
      </c>
      <c r="B1021" s="20" t="str">
        <f>IFERROR(__xludf.DUMMYFUNCTION("REGEXREPLACE(A1021, ""^https?://[^/]+"", """")"),"/adapting-leadership-styles-to-the-situation-sales-growth-vs-sales-recovery-part-two-sales-recovery/")</f>
        <v>/adapting-leadership-styles-to-the-situation-sales-growth-vs-sales-recovery-part-two-sales-recovery/</v>
      </c>
      <c r="C1021" s="1" t="s">
        <v>3850</v>
      </c>
      <c r="D1021" s="1" t="s">
        <v>3851</v>
      </c>
      <c r="F1021" s="1" t="s">
        <v>965</v>
      </c>
      <c r="G1021" s="1">
        <v>200.0</v>
      </c>
      <c r="H1021" s="1" t="s">
        <v>966</v>
      </c>
      <c r="I1021" s="1" t="s">
        <v>967</v>
      </c>
      <c r="K1021" s="1" t="s">
        <v>3852</v>
      </c>
      <c r="L1021" s="1">
        <v>126.0</v>
      </c>
      <c r="M1021" s="1">
        <v>1130.0</v>
      </c>
      <c r="O1021" s="1">
        <v>0.0</v>
      </c>
      <c r="P1021" s="1">
        <v>0.0</v>
      </c>
      <c r="Q1021" s="1" t="s">
        <v>3853</v>
      </c>
      <c r="R1021" s="1">
        <v>149.0</v>
      </c>
      <c r="S1021" s="1">
        <v>921.0</v>
      </c>
      <c r="U1021" s="1">
        <v>0.0</v>
      </c>
      <c r="V1021" s="1" t="s">
        <v>3850</v>
      </c>
      <c r="W1021" s="1">
        <v>101.0</v>
      </c>
      <c r="Y1021" s="1">
        <v>0.0</v>
      </c>
      <c r="Z1021" s="1" t="s">
        <v>3851</v>
      </c>
      <c r="AA1021" s="1">
        <v>32.0</v>
      </c>
      <c r="AC1021" s="1">
        <v>0.0</v>
      </c>
      <c r="AD1021" s="1" t="s">
        <v>971</v>
      </c>
      <c r="AG1021" s="9" t="s">
        <v>3849</v>
      </c>
      <c r="AM1021" s="1">
        <v>212569.0</v>
      </c>
      <c r="AN1021" s="1">
        <v>37472.0</v>
      </c>
      <c r="AO1021" s="1">
        <v>37472.0</v>
      </c>
      <c r="AP1021" s="1">
        <v>14.355</v>
      </c>
      <c r="AR1021" s="1">
        <v>1453.0</v>
      </c>
      <c r="AS1021" s="1">
        <v>225.0</v>
      </c>
      <c r="AT1021" s="1">
        <v>6.458</v>
      </c>
      <c r="AU1021" s="1">
        <v>53.147</v>
      </c>
      <c r="AV1021" s="1" t="s">
        <v>972</v>
      </c>
      <c r="AW1021" s="1">
        <v>5.603</v>
      </c>
      <c r="AX1021" s="1">
        <v>3.0</v>
      </c>
      <c r="AY1021" s="1">
        <v>1.0</v>
      </c>
      <c r="AZ1021" s="1">
        <v>1.0</v>
      </c>
      <c r="BA1021" s="1">
        <v>8.0</v>
      </c>
      <c r="BB1021" s="1">
        <v>3.0</v>
      </c>
      <c r="BC1021" s="1">
        <v>0.0</v>
      </c>
      <c r="BD1021" s="1">
        <v>0.4</v>
      </c>
      <c r="BE1021" s="1">
        <v>138.0</v>
      </c>
      <c r="BF1021" s="1">
        <v>52.0</v>
      </c>
      <c r="BG1021" s="1">
        <v>0.0</v>
      </c>
      <c r="BH1021" s="1">
        <v>16.0</v>
      </c>
      <c r="BI1021" s="1">
        <v>8.0</v>
      </c>
      <c r="BJ1021" s="1">
        <v>0.0</v>
      </c>
      <c r="BO1021" s="1" t="s">
        <v>3854</v>
      </c>
      <c r="BP1021" s="1">
        <v>1.106</v>
      </c>
      <c r="BU1021" s="1" t="s">
        <v>974</v>
      </c>
      <c r="BV1021" s="1">
        <v>1.1</v>
      </c>
      <c r="EQ1021" s="9" t="s">
        <v>3849</v>
      </c>
      <c r="ER1021" s="21">
        <v>46045.299942129626</v>
      </c>
    </row>
    <row r="1022">
      <c r="A1022" s="9" t="s">
        <v>3855</v>
      </c>
      <c r="B1022" s="20" t="str">
        <f>IFERROR(__xludf.DUMMYFUNCTION("REGEXREPLACE(A1022, ""^https?://[^/]+"", """")"),"/wp-content/uploads/2025/11/The-Power-of-SMART-Goals-in-Recruiting-1024x683-1.jpg")</f>
        <v>/wp-content/uploads/2025/11/The-Power-of-SMART-Goals-in-Recruiting-1024x683-1.jpg</v>
      </c>
      <c r="F1022" s="1" t="s">
        <v>1004</v>
      </c>
      <c r="G1022" s="1">
        <v>200.0</v>
      </c>
      <c r="H1022" s="1" t="s">
        <v>966</v>
      </c>
      <c r="I1022" s="1" t="s">
        <v>967</v>
      </c>
      <c r="L1022" s="1">
        <v>0.0</v>
      </c>
      <c r="M1022" s="1">
        <v>0.0</v>
      </c>
      <c r="O1022" s="1">
        <v>0.0</v>
      </c>
      <c r="P1022" s="1">
        <v>0.0</v>
      </c>
      <c r="R1022" s="1">
        <v>0.0</v>
      </c>
      <c r="S1022" s="1">
        <v>0.0</v>
      </c>
      <c r="U1022" s="1">
        <v>0.0</v>
      </c>
      <c r="W1022" s="1">
        <v>0.0</v>
      </c>
      <c r="Y1022" s="1">
        <v>0.0</v>
      </c>
      <c r="AA1022" s="1">
        <v>0.0</v>
      </c>
      <c r="AC1022" s="1">
        <v>0.0</v>
      </c>
      <c r="AM1022" s="1">
        <v>46012.0</v>
      </c>
      <c r="AN1022" s="1">
        <v>46012.0</v>
      </c>
      <c r="AO1022" s="1">
        <v>46012.0</v>
      </c>
      <c r="AP1022" s="1">
        <v>17.626</v>
      </c>
      <c r="AR1022" s="1">
        <v>0.0</v>
      </c>
      <c r="AW1022" s="1">
        <v>0.0</v>
      </c>
      <c r="AX1022" s="1">
        <v>3.0</v>
      </c>
      <c r="AY1022" s="1">
        <v>4.0</v>
      </c>
      <c r="BA1022" s="1">
        <v>0.0</v>
      </c>
      <c r="BB1022" s="1">
        <v>0.0</v>
      </c>
      <c r="BC1022" s="1">
        <v>0.0</v>
      </c>
      <c r="BD1022" s="1">
        <v>0.0</v>
      </c>
      <c r="BE1022" s="1">
        <v>0.0</v>
      </c>
      <c r="BF1022" s="1">
        <v>0.0</v>
      </c>
      <c r="BG1022" s="1">
        <v>0.0</v>
      </c>
      <c r="BH1022" s="1">
        <v>0.0</v>
      </c>
      <c r="BI1022" s="1">
        <v>0.0</v>
      </c>
      <c r="BJ1022" s="1">
        <v>0.0</v>
      </c>
      <c r="BP1022" s="1">
        <v>0.279</v>
      </c>
      <c r="BQ1022" s="1" t="s">
        <v>3856</v>
      </c>
      <c r="BV1022" s="1">
        <v>1.1</v>
      </c>
      <c r="EQ1022" s="9" t="s">
        <v>3855</v>
      </c>
      <c r="ER1022" s="21">
        <v>46045.29996527778</v>
      </c>
    </row>
    <row r="1023">
      <c r="A1023" s="9" t="s">
        <v>3857</v>
      </c>
      <c r="B1023" s="20" t="str">
        <f>IFERROR(__xludf.DUMMYFUNCTION("REGEXREPLACE(A1023, ""^https?://[^/]+"", """")"),"/hiring-trends-forecast-for-2025/")</f>
        <v>/hiring-trends-forecast-for-2025/</v>
      </c>
      <c r="C1023" s="1" t="s">
        <v>3858</v>
      </c>
      <c r="D1023" s="1" t="s">
        <v>3859</v>
      </c>
      <c r="F1023" s="1" t="s">
        <v>965</v>
      </c>
      <c r="G1023" s="1">
        <v>200.0</v>
      </c>
      <c r="H1023" s="1" t="s">
        <v>966</v>
      </c>
      <c r="I1023" s="1" t="s">
        <v>967</v>
      </c>
      <c r="K1023" s="1" t="s">
        <v>3860</v>
      </c>
      <c r="L1023" s="1">
        <v>56.0</v>
      </c>
      <c r="M1023" s="1">
        <v>497.0</v>
      </c>
      <c r="O1023" s="1">
        <v>0.0</v>
      </c>
      <c r="P1023" s="1">
        <v>0.0</v>
      </c>
      <c r="Q1023" s="1" t="s">
        <v>3861</v>
      </c>
      <c r="R1023" s="1">
        <v>151.0</v>
      </c>
      <c r="S1023" s="1">
        <v>927.0</v>
      </c>
      <c r="U1023" s="1">
        <v>0.0</v>
      </c>
      <c r="V1023" s="1" t="s">
        <v>3858</v>
      </c>
      <c r="W1023" s="1">
        <v>31.0</v>
      </c>
      <c r="Y1023" s="1">
        <v>0.0</v>
      </c>
      <c r="Z1023" s="1" t="s">
        <v>3859</v>
      </c>
      <c r="AA1023" s="1">
        <v>13.0</v>
      </c>
      <c r="AC1023" s="1">
        <v>0.0</v>
      </c>
      <c r="AD1023" s="1" t="s">
        <v>971</v>
      </c>
      <c r="AG1023" s="9" t="s">
        <v>3857</v>
      </c>
      <c r="AM1023" s="1">
        <v>188724.0</v>
      </c>
      <c r="AN1023" s="1">
        <v>33956.0</v>
      </c>
      <c r="AO1023" s="1">
        <v>33956.0</v>
      </c>
      <c r="AP1023" s="1">
        <v>13.008</v>
      </c>
      <c r="AR1023" s="1">
        <v>910.0</v>
      </c>
      <c r="AS1023" s="1">
        <v>142.0</v>
      </c>
      <c r="AT1023" s="1">
        <v>6.408</v>
      </c>
      <c r="AU1023" s="1">
        <v>57.905</v>
      </c>
      <c r="AV1023" s="1" t="s">
        <v>972</v>
      </c>
      <c r="AW1023" s="1">
        <v>4.322</v>
      </c>
      <c r="AX1023" s="1">
        <v>3.0</v>
      </c>
      <c r="AY1023" s="1">
        <v>1.0</v>
      </c>
      <c r="AZ1023" s="1">
        <v>1.0</v>
      </c>
      <c r="BA1023" s="1">
        <v>13.0</v>
      </c>
      <c r="BB1023" s="1">
        <v>12.0</v>
      </c>
      <c r="BC1023" s="1">
        <v>0.0</v>
      </c>
      <c r="BD1023" s="1">
        <v>1.59</v>
      </c>
      <c r="BE1023" s="1">
        <v>131.0</v>
      </c>
      <c r="BF1023" s="1">
        <v>47.0</v>
      </c>
      <c r="BG1023" s="1">
        <v>0.0</v>
      </c>
      <c r="BH1023" s="1">
        <v>16.0</v>
      </c>
      <c r="BI1023" s="1">
        <v>8.0</v>
      </c>
      <c r="BJ1023" s="1">
        <v>0.0</v>
      </c>
      <c r="BO1023" s="1" t="s">
        <v>3862</v>
      </c>
      <c r="BP1023" s="1">
        <v>1.018</v>
      </c>
      <c r="BU1023" s="1" t="s">
        <v>974</v>
      </c>
      <c r="BV1023" s="1">
        <v>1.1</v>
      </c>
      <c r="EQ1023" s="9" t="s">
        <v>3857</v>
      </c>
      <c r="ER1023" s="21">
        <v>46045.2999537037</v>
      </c>
    </row>
    <row r="1024">
      <c r="A1024" s="9" t="s">
        <v>3863</v>
      </c>
      <c r="B1024" s="20" t="str">
        <f>IFERROR(__xludf.DUMMYFUNCTION("REGEXREPLACE(A1024, ""^https?://[^/]+"", """")"),"/the-rise-of-skills-based-hiring/")</f>
        <v>/the-rise-of-skills-based-hiring/</v>
      </c>
      <c r="C1024" s="1" t="s">
        <v>3864</v>
      </c>
      <c r="D1024" s="1" t="s">
        <v>3865</v>
      </c>
      <c r="E1024" s="1" t="s">
        <v>3866</v>
      </c>
      <c r="F1024" s="1" t="s">
        <v>965</v>
      </c>
      <c r="G1024" s="1">
        <v>200.0</v>
      </c>
      <c r="H1024" s="1" t="s">
        <v>966</v>
      </c>
      <c r="I1024" s="1" t="s">
        <v>967</v>
      </c>
      <c r="K1024" s="1" t="s">
        <v>3867</v>
      </c>
      <c r="L1024" s="1">
        <v>56.0</v>
      </c>
      <c r="M1024" s="1">
        <v>486.0</v>
      </c>
      <c r="O1024" s="1">
        <v>0.0</v>
      </c>
      <c r="P1024" s="1">
        <v>0.0</v>
      </c>
      <c r="Q1024" s="1" t="s">
        <v>3868</v>
      </c>
      <c r="R1024" s="1">
        <v>146.0</v>
      </c>
      <c r="S1024" s="1">
        <v>899.0</v>
      </c>
      <c r="U1024" s="1">
        <v>0.0</v>
      </c>
      <c r="V1024" s="1" t="s">
        <v>3864</v>
      </c>
      <c r="W1024" s="1">
        <v>31.0</v>
      </c>
      <c r="Y1024" s="1">
        <v>0.0</v>
      </c>
      <c r="Z1024" s="1" t="s">
        <v>3865</v>
      </c>
      <c r="AA1024" s="1">
        <v>28.0</v>
      </c>
      <c r="AB1024" s="1" t="s">
        <v>3866</v>
      </c>
      <c r="AC1024" s="1">
        <v>32.0</v>
      </c>
      <c r="AD1024" s="1" t="s">
        <v>971</v>
      </c>
      <c r="AG1024" s="9" t="s">
        <v>3863</v>
      </c>
      <c r="AM1024" s="1">
        <v>195276.0</v>
      </c>
      <c r="AN1024" s="1">
        <v>36728.0</v>
      </c>
      <c r="AO1024" s="1">
        <v>36728.0</v>
      </c>
      <c r="AP1024" s="1">
        <v>14.07</v>
      </c>
      <c r="AR1024" s="1">
        <v>1808.0</v>
      </c>
      <c r="AS1024" s="1">
        <v>290.0</v>
      </c>
      <c r="AT1024" s="1">
        <v>6.234</v>
      </c>
      <c r="AU1024" s="1">
        <v>53.627</v>
      </c>
      <c r="AV1024" s="1" t="s">
        <v>972</v>
      </c>
      <c r="AW1024" s="1">
        <v>7.299</v>
      </c>
      <c r="AX1024" s="1">
        <v>3.0</v>
      </c>
      <c r="AY1024" s="1">
        <v>1.0</v>
      </c>
      <c r="AZ1024" s="1">
        <v>1.0</v>
      </c>
      <c r="BA1024" s="1">
        <v>13.0</v>
      </c>
      <c r="BB1024" s="1">
        <v>12.0</v>
      </c>
      <c r="BC1024" s="1">
        <v>0.0</v>
      </c>
      <c r="BD1024" s="1">
        <v>1.59</v>
      </c>
      <c r="BE1024" s="1">
        <v>131.0</v>
      </c>
      <c r="BF1024" s="1">
        <v>47.0</v>
      </c>
      <c r="BG1024" s="1">
        <v>0.0</v>
      </c>
      <c r="BH1024" s="1">
        <v>16.0</v>
      </c>
      <c r="BI1024" s="1">
        <v>8.0</v>
      </c>
      <c r="BJ1024" s="1">
        <v>0.0</v>
      </c>
      <c r="BO1024" s="1" t="s">
        <v>3869</v>
      </c>
      <c r="BP1024" s="1">
        <v>1.022</v>
      </c>
      <c r="BU1024" s="1" t="s">
        <v>974</v>
      </c>
      <c r="BV1024" s="1">
        <v>1.1</v>
      </c>
      <c r="EQ1024" s="9" t="s">
        <v>3863</v>
      </c>
      <c r="ER1024" s="21">
        <v>46045.2999537037</v>
      </c>
    </row>
    <row r="1025">
      <c r="A1025" s="9" t="s">
        <v>3870</v>
      </c>
      <c r="B1025" s="20" t="str">
        <f>IFERROR(__xludf.DUMMYFUNCTION("REGEXREPLACE(A1025, ""^https?://[^/]+"", """")"),"/the-power-of-smart-goals-in-recruiting/")</f>
        <v>/the-power-of-smart-goals-in-recruiting/</v>
      </c>
      <c r="C1025" s="1" t="s">
        <v>3871</v>
      </c>
      <c r="D1025" s="1" t="s">
        <v>3872</v>
      </c>
      <c r="E1025" s="1" t="s">
        <v>3873</v>
      </c>
      <c r="F1025" s="1" t="s">
        <v>965</v>
      </c>
      <c r="G1025" s="1">
        <v>200.0</v>
      </c>
      <c r="H1025" s="1" t="s">
        <v>966</v>
      </c>
      <c r="I1025" s="1" t="s">
        <v>967</v>
      </c>
      <c r="K1025" s="1" t="s">
        <v>3874</v>
      </c>
      <c r="L1025" s="1">
        <v>63.0</v>
      </c>
      <c r="M1025" s="1">
        <v>577.0</v>
      </c>
      <c r="O1025" s="1">
        <v>0.0</v>
      </c>
      <c r="P1025" s="1">
        <v>0.0</v>
      </c>
      <c r="Q1025" s="1" t="s">
        <v>3875</v>
      </c>
      <c r="R1025" s="1">
        <v>176.0</v>
      </c>
      <c r="S1025" s="1">
        <v>1049.0</v>
      </c>
      <c r="U1025" s="1">
        <v>0.0</v>
      </c>
      <c r="V1025" s="1" t="s">
        <v>3871</v>
      </c>
      <c r="W1025" s="1">
        <v>38.0</v>
      </c>
      <c r="Y1025" s="1">
        <v>0.0</v>
      </c>
      <c r="Z1025" s="1" t="s">
        <v>3872</v>
      </c>
      <c r="AA1025" s="1">
        <v>36.0</v>
      </c>
      <c r="AB1025" s="1" t="s">
        <v>3873</v>
      </c>
      <c r="AC1025" s="1">
        <v>30.0</v>
      </c>
      <c r="AD1025" s="1" t="s">
        <v>971</v>
      </c>
      <c r="AG1025" s="9" t="s">
        <v>3870</v>
      </c>
      <c r="AM1025" s="1">
        <v>189297.0</v>
      </c>
      <c r="AN1025" s="1">
        <v>34091.0</v>
      </c>
      <c r="AO1025" s="1">
        <v>34091.0</v>
      </c>
      <c r="AP1025" s="1">
        <v>13.06</v>
      </c>
      <c r="AR1025" s="1">
        <v>926.0</v>
      </c>
      <c r="AS1025" s="1">
        <v>159.0</v>
      </c>
      <c r="AT1025" s="1">
        <v>5.824</v>
      </c>
      <c r="AU1025" s="1">
        <v>58.767</v>
      </c>
      <c r="AV1025" s="1" t="s">
        <v>972</v>
      </c>
      <c r="AW1025" s="1">
        <v>4.416</v>
      </c>
      <c r="AX1025" s="1">
        <v>3.0</v>
      </c>
      <c r="AY1025" s="1">
        <v>1.0</v>
      </c>
      <c r="AZ1025" s="1">
        <v>1.0</v>
      </c>
      <c r="BA1025" s="1">
        <v>13.0</v>
      </c>
      <c r="BB1025" s="1">
        <v>12.0</v>
      </c>
      <c r="BC1025" s="1">
        <v>0.0</v>
      </c>
      <c r="BD1025" s="1">
        <v>1.59</v>
      </c>
      <c r="BE1025" s="1">
        <v>131.0</v>
      </c>
      <c r="BF1025" s="1">
        <v>47.0</v>
      </c>
      <c r="BG1025" s="1">
        <v>0.0</v>
      </c>
      <c r="BH1025" s="1">
        <v>16.0</v>
      </c>
      <c r="BI1025" s="1">
        <v>8.0</v>
      </c>
      <c r="BJ1025" s="1">
        <v>0.0</v>
      </c>
      <c r="BO1025" s="1" t="s">
        <v>3876</v>
      </c>
      <c r="BP1025" s="1">
        <v>1.052</v>
      </c>
      <c r="BU1025" s="1" t="s">
        <v>974</v>
      </c>
      <c r="BV1025" s="1">
        <v>1.1</v>
      </c>
      <c r="EQ1025" s="9" t="s">
        <v>3870</v>
      </c>
      <c r="ER1025" s="21">
        <v>46045.29996527778</v>
      </c>
    </row>
    <row r="1026">
      <c r="A1026" s="9" t="s">
        <v>3877</v>
      </c>
      <c r="B1026" s="20" t="str">
        <f>IFERROR(__xludf.DUMMYFUNCTION("REGEXREPLACE(A1026, ""^https?://[^/]+"", """")"),"/the-competitive-advantage-of-hiring-sales-talent-in-a-slow-economy/")</f>
        <v>/the-competitive-advantage-of-hiring-sales-talent-in-a-slow-economy/</v>
      </c>
      <c r="C1026" s="1" t="s">
        <v>3878</v>
      </c>
      <c r="D1026" s="1" t="s">
        <v>3879</v>
      </c>
      <c r="E1026" s="1" t="s">
        <v>3880</v>
      </c>
      <c r="F1026" s="1" t="s">
        <v>965</v>
      </c>
      <c r="G1026" s="1">
        <v>200.0</v>
      </c>
      <c r="H1026" s="1" t="s">
        <v>966</v>
      </c>
      <c r="I1026" s="1" t="s">
        <v>967</v>
      </c>
      <c r="K1026" s="1" t="s">
        <v>3881</v>
      </c>
      <c r="L1026" s="1">
        <v>91.0</v>
      </c>
      <c r="M1026" s="1">
        <v>832.0</v>
      </c>
      <c r="O1026" s="1">
        <v>0.0</v>
      </c>
      <c r="P1026" s="1">
        <v>0.0</v>
      </c>
      <c r="Q1026" s="1" t="s">
        <v>3882</v>
      </c>
      <c r="R1026" s="1">
        <v>142.0</v>
      </c>
      <c r="S1026" s="1">
        <v>901.0</v>
      </c>
      <c r="U1026" s="1">
        <v>0.0</v>
      </c>
      <c r="V1026" s="1" t="s">
        <v>3878</v>
      </c>
      <c r="W1026" s="1">
        <v>66.0</v>
      </c>
      <c r="Y1026" s="1">
        <v>0.0</v>
      </c>
      <c r="Z1026" s="1" t="s">
        <v>3879</v>
      </c>
      <c r="AA1026" s="1">
        <v>54.0</v>
      </c>
      <c r="AB1026" s="1" t="s">
        <v>3880</v>
      </c>
      <c r="AC1026" s="1">
        <v>32.0</v>
      </c>
      <c r="AD1026" s="1" t="s">
        <v>971</v>
      </c>
      <c r="AG1026" s="9" t="s">
        <v>3877</v>
      </c>
      <c r="AM1026" s="1">
        <v>191240.0</v>
      </c>
      <c r="AN1026" s="1">
        <v>34873.0</v>
      </c>
      <c r="AO1026" s="1">
        <v>34873.0</v>
      </c>
      <c r="AP1026" s="1">
        <v>13.359</v>
      </c>
      <c r="AR1026" s="1">
        <v>1169.0</v>
      </c>
      <c r="AS1026" s="1">
        <v>185.0</v>
      </c>
      <c r="AT1026" s="1">
        <v>6.319</v>
      </c>
      <c r="AU1026" s="1">
        <v>63.281</v>
      </c>
      <c r="AV1026" s="1" t="s">
        <v>990</v>
      </c>
      <c r="AW1026" s="1">
        <v>5.068</v>
      </c>
      <c r="AX1026" s="1">
        <v>3.0</v>
      </c>
      <c r="AY1026" s="1">
        <v>1.0</v>
      </c>
      <c r="AZ1026" s="1">
        <v>1.0</v>
      </c>
      <c r="BA1026" s="1">
        <v>13.0</v>
      </c>
      <c r="BB1026" s="1">
        <v>12.0</v>
      </c>
      <c r="BC1026" s="1">
        <v>0.0</v>
      </c>
      <c r="BD1026" s="1">
        <v>1.59</v>
      </c>
      <c r="BE1026" s="1">
        <v>131.0</v>
      </c>
      <c r="BF1026" s="1">
        <v>47.0</v>
      </c>
      <c r="BG1026" s="1">
        <v>0.0</v>
      </c>
      <c r="BH1026" s="1">
        <v>16.0</v>
      </c>
      <c r="BI1026" s="1">
        <v>8.0</v>
      </c>
      <c r="BJ1026" s="1">
        <v>0.0</v>
      </c>
      <c r="BO1026" s="1" t="s">
        <v>3883</v>
      </c>
      <c r="BP1026" s="1">
        <v>0.999</v>
      </c>
      <c r="BU1026" s="1" t="s">
        <v>974</v>
      </c>
      <c r="BV1026" s="1">
        <v>1.1</v>
      </c>
      <c r="EQ1026" s="9" t="s">
        <v>3877</v>
      </c>
      <c r="ER1026" s="21">
        <v>46045.29996527778</v>
      </c>
    </row>
    <row r="1027">
      <c r="A1027" s="9" t="s">
        <v>3884</v>
      </c>
      <c r="B1027" s="20" t="str">
        <f>IFERROR(__xludf.DUMMYFUNCTION("REGEXREPLACE(A1027, ""^https?://[^/]+"", """")"),"/wp-content/uploads/2025/10/Predictive-Sales-Analytics.jpg")</f>
        <v>/wp-content/uploads/2025/10/Predictive-Sales-Analytics.jpg</v>
      </c>
      <c r="F1027" s="1" t="s">
        <v>1004</v>
      </c>
      <c r="G1027" s="1">
        <v>200.0</v>
      </c>
      <c r="H1027" s="1" t="s">
        <v>966</v>
      </c>
      <c r="I1027" s="1" t="s">
        <v>967</v>
      </c>
      <c r="L1027" s="1">
        <v>0.0</v>
      </c>
      <c r="M1027" s="1">
        <v>0.0</v>
      </c>
      <c r="O1027" s="1">
        <v>0.0</v>
      </c>
      <c r="P1027" s="1">
        <v>0.0</v>
      </c>
      <c r="R1027" s="1">
        <v>0.0</v>
      </c>
      <c r="S1027" s="1">
        <v>0.0</v>
      </c>
      <c r="U1027" s="1">
        <v>0.0</v>
      </c>
      <c r="W1027" s="1">
        <v>0.0</v>
      </c>
      <c r="Y1027" s="1">
        <v>0.0</v>
      </c>
      <c r="AA1027" s="1">
        <v>0.0</v>
      </c>
      <c r="AC1027" s="1">
        <v>0.0</v>
      </c>
      <c r="AM1027" s="1">
        <v>199702.0</v>
      </c>
      <c r="AN1027" s="1">
        <v>199702.0</v>
      </c>
      <c r="AO1027" s="1">
        <v>199702.0</v>
      </c>
      <c r="AP1027" s="1">
        <v>76.502</v>
      </c>
      <c r="AR1027" s="1">
        <v>0.0</v>
      </c>
      <c r="AW1027" s="1">
        <v>0.0</v>
      </c>
      <c r="AX1027" s="1">
        <v>3.0</v>
      </c>
      <c r="AY1027" s="1">
        <v>4.0</v>
      </c>
      <c r="BA1027" s="1">
        <v>0.0</v>
      </c>
      <c r="BB1027" s="1">
        <v>0.0</v>
      </c>
      <c r="BC1027" s="1">
        <v>0.0</v>
      </c>
      <c r="BD1027" s="1">
        <v>0.0</v>
      </c>
      <c r="BE1027" s="1">
        <v>0.0</v>
      </c>
      <c r="BF1027" s="1">
        <v>0.0</v>
      </c>
      <c r="BG1027" s="1">
        <v>0.0</v>
      </c>
      <c r="BH1027" s="1">
        <v>0.0</v>
      </c>
      <c r="BI1027" s="1">
        <v>0.0</v>
      </c>
      <c r="BJ1027" s="1">
        <v>0.0</v>
      </c>
      <c r="BP1027" s="1">
        <v>0.262</v>
      </c>
      <c r="BQ1027" s="1" t="s">
        <v>3885</v>
      </c>
      <c r="BV1027" s="1">
        <v>1.1</v>
      </c>
      <c r="EQ1027" s="9" t="s">
        <v>3884</v>
      </c>
      <c r="ER1027" s="21">
        <v>46045.29997685185</v>
      </c>
    </row>
    <row r="1028">
      <c r="A1028" s="9" t="s">
        <v>3886</v>
      </c>
      <c r="B1028" s="20" t="str">
        <f>IFERROR(__xludf.DUMMYFUNCTION("REGEXREPLACE(A1028, ""^https?://[^/]+"", """")"),"/wp-content/uploads/2014/07/Focus-Activity-Management-Copy-2048x2048.jpg")</f>
        <v>/wp-content/uploads/2014/07/Focus-Activity-Management-Copy-2048x2048.jpg</v>
      </c>
      <c r="F1028" s="1" t="s">
        <v>1004</v>
      </c>
      <c r="G1028" s="1">
        <v>200.0</v>
      </c>
      <c r="H1028" s="1" t="s">
        <v>966</v>
      </c>
      <c r="I1028" s="1" t="s">
        <v>967</v>
      </c>
      <c r="L1028" s="1">
        <v>0.0</v>
      </c>
      <c r="M1028" s="1">
        <v>0.0</v>
      </c>
      <c r="O1028" s="1">
        <v>0.0</v>
      </c>
      <c r="P1028" s="1">
        <v>0.0</v>
      </c>
      <c r="R1028" s="1">
        <v>0.0</v>
      </c>
      <c r="S1028" s="1">
        <v>0.0</v>
      </c>
      <c r="U1028" s="1">
        <v>0.0</v>
      </c>
      <c r="W1028" s="1">
        <v>0.0</v>
      </c>
      <c r="Y1028" s="1">
        <v>0.0</v>
      </c>
      <c r="AA1028" s="1">
        <v>0.0</v>
      </c>
      <c r="AC1028" s="1">
        <v>0.0</v>
      </c>
      <c r="AM1028" s="1">
        <v>491282.0</v>
      </c>
      <c r="AN1028" s="1">
        <v>491282.0</v>
      </c>
      <c r="AO1028" s="1">
        <v>491282.0</v>
      </c>
      <c r="AP1028" s="1">
        <v>188.201</v>
      </c>
      <c r="AR1028" s="1">
        <v>0.0</v>
      </c>
      <c r="AW1028" s="1">
        <v>0.0</v>
      </c>
      <c r="AX1028" s="1">
        <v>3.0</v>
      </c>
      <c r="AY1028" s="1">
        <v>4.0</v>
      </c>
      <c r="BA1028" s="1">
        <v>0.0</v>
      </c>
      <c r="BB1028" s="1">
        <v>0.0</v>
      </c>
      <c r="BC1028" s="1">
        <v>0.0</v>
      </c>
      <c r="BD1028" s="1">
        <v>0.0</v>
      </c>
      <c r="BE1028" s="1">
        <v>0.0</v>
      </c>
      <c r="BF1028" s="1">
        <v>0.0</v>
      </c>
      <c r="BG1028" s="1">
        <v>0.0</v>
      </c>
      <c r="BH1028" s="1">
        <v>0.0</v>
      </c>
      <c r="BI1028" s="1">
        <v>0.0</v>
      </c>
      <c r="BJ1028" s="1">
        <v>0.0</v>
      </c>
      <c r="BP1028" s="1">
        <v>0.279</v>
      </c>
      <c r="BQ1028" s="1" t="s">
        <v>3887</v>
      </c>
      <c r="BV1028" s="1">
        <v>1.1</v>
      </c>
      <c r="EQ1028" s="9" t="s">
        <v>3886</v>
      </c>
      <c r="ER1028" s="21">
        <v>46045.29997685185</v>
      </c>
    </row>
    <row r="1029">
      <c r="A1029" s="9" t="s">
        <v>3888</v>
      </c>
      <c r="B1029" s="20" t="str">
        <f>IFERROR(__xludf.DUMMYFUNCTION("REGEXREPLACE(A1029, ""^https?://[^/]+"", """")"),"/one-less-hat-to-wear-how-business-owners-can-achieve-more-growth-and-success/")</f>
        <v>/one-less-hat-to-wear-how-business-owners-can-achieve-more-growth-and-success/</v>
      </c>
      <c r="C1029" s="1" t="s">
        <v>3889</v>
      </c>
      <c r="F1029" s="1" t="s">
        <v>965</v>
      </c>
      <c r="G1029" s="1">
        <v>200.0</v>
      </c>
      <c r="H1029" s="1" t="s">
        <v>966</v>
      </c>
      <c r="I1029" s="1" t="s">
        <v>967</v>
      </c>
      <c r="K1029" s="1" t="s">
        <v>3890</v>
      </c>
      <c r="L1029" s="1">
        <v>32.0</v>
      </c>
      <c r="M1029" s="1">
        <v>314.0</v>
      </c>
      <c r="O1029" s="1">
        <v>0.0</v>
      </c>
      <c r="P1029" s="1">
        <v>0.0</v>
      </c>
      <c r="Q1029" s="1" t="s">
        <v>3891</v>
      </c>
      <c r="R1029" s="1">
        <v>153.0</v>
      </c>
      <c r="S1029" s="1">
        <v>935.0</v>
      </c>
      <c r="U1029" s="1">
        <v>0.0</v>
      </c>
      <c r="V1029" s="1" t="s">
        <v>3889</v>
      </c>
      <c r="W1029" s="1">
        <v>77.0</v>
      </c>
      <c r="Y1029" s="1">
        <v>0.0</v>
      </c>
      <c r="AA1029" s="1">
        <v>0.0</v>
      </c>
      <c r="AC1029" s="1">
        <v>0.0</v>
      </c>
      <c r="AD1029" s="1" t="s">
        <v>971</v>
      </c>
      <c r="AG1029" s="9" t="s">
        <v>3888</v>
      </c>
      <c r="AM1029" s="1">
        <v>201173.0</v>
      </c>
      <c r="AN1029" s="1">
        <v>36142.0</v>
      </c>
      <c r="AO1029" s="1">
        <v>36142.0</v>
      </c>
      <c r="AP1029" s="1">
        <v>13.845</v>
      </c>
      <c r="AR1029" s="1">
        <v>1557.0</v>
      </c>
      <c r="AS1029" s="1">
        <v>215.0</v>
      </c>
      <c r="AT1029" s="1">
        <v>7.242</v>
      </c>
      <c r="AU1029" s="1">
        <v>64.081</v>
      </c>
      <c r="AV1029" s="1" t="s">
        <v>990</v>
      </c>
      <c r="AW1029" s="1">
        <v>5.946</v>
      </c>
      <c r="AX1029" s="1">
        <v>3.0</v>
      </c>
      <c r="AY1029" s="1">
        <v>1.0</v>
      </c>
      <c r="AZ1029" s="1">
        <v>1.0</v>
      </c>
      <c r="BA1029" s="1">
        <v>18.0</v>
      </c>
      <c r="BB1029" s="1">
        <v>18.0</v>
      </c>
      <c r="BC1029" s="1">
        <v>0.0</v>
      </c>
      <c r="BD1029" s="1">
        <v>2.39</v>
      </c>
      <c r="BE1029" s="1">
        <v>134.0</v>
      </c>
      <c r="BF1029" s="1">
        <v>48.0</v>
      </c>
      <c r="BG1029" s="1">
        <v>0.0</v>
      </c>
      <c r="BH1029" s="1">
        <v>16.0</v>
      </c>
      <c r="BI1029" s="1">
        <v>8.0</v>
      </c>
      <c r="BJ1029" s="1">
        <v>0.0</v>
      </c>
      <c r="BO1029" s="1" t="s">
        <v>3892</v>
      </c>
      <c r="BP1029" s="1">
        <v>1.033</v>
      </c>
      <c r="BU1029" s="1" t="s">
        <v>974</v>
      </c>
      <c r="BV1029" s="1">
        <v>1.1</v>
      </c>
      <c r="EQ1029" s="9" t="s">
        <v>3888</v>
      </c>
      <c r="ER1029" s="21">
        <v>46045.29996527778</v>
      </c>
    </row>
    <row r="1030">
      <c r="A1030" s="9" t="s">
        <v>3893</v>
      </c>
      <c r="B1030" s="20" t="str">
        <f>IFERROR(__xludf.DUMMYFUNCTION("REGEXREPLACE(A1030, ""^https?://[^/]+"", """")"),"/making-a-difference-how-sales-xceleration-helps-you-keep-business-owners-from-making-even-more-critical-hiring-mistakes/")</f>
        <v>/making-a-difference-how-sales-xceleration-helps-you-keep-business-owners-from-making-even-more-critical-hiring-mistakes/</v>
      </c>
      <c r="C1030" s="1" t="s">
        <v>3894</v>
      </c>
      <c r="F1030" s="1" t="s">
        <v>965</v>
      </c>
      <c r="G1030" s="1">
        <v>200.0</v>
      </c>
      <c r="H1030" s="1" t="s">
        <v>966</v>
      </c>
      <c r="I1030" s="1" t="s">
        <v>967</v>
      </c>
      <c r="K1030" s="1" t="s">
        <v>3895</v>
      </c>
      <c r="L1030" s="1">
        <v>53.0</v>
      </c>
      <c r="M1030" s="1">
        <v>478.0</v>
      </c>
      <c r="O1030" s="1">
        <v>0.0</v>
      </c>
      <c r="P1030" s="1">
        <v>0.0</v>
      </c>
      <c r="Q1030" s="1" t="s">
        <v>3896</v>
      </c>
      <c r="R1030" s="1">
        <v>158.0</v>
      </c>
      <c r="S1030" s="1">
        <v>979.0</v>
      </c>
      <c r="U1030" s="1">
        <v>0.0</v>
      </c>
      <c r="V1030" s="1" t="s">
        <v>3894</v>
      </c>
      <c r="W1030" s="1">
        <v>120.0</v>
      </c>
      <c r="Y1030" s="1">
        <v>0.0</v>
      </c>
      <c r="AA1030" s="1">
        <v>0.0</v>
      </c>
      <c r="AC1030" s="1">
        <v>0.0</v>
      </c>
      <c r="AD1030" s="1" t="s">
        <v>971</v>
      </c>
      <c r="AG1030" s="9" t="s">
        <v>3893</v>
      </c>
      <c r="AM1030" s="1">
        <v>202906.0</v>
      </c>
      <c r="AN1030" s="1">
        <v>36605.0</v>
      </c>
      <c r="AO1030" s="1">
        <v>36605.0</v>
      </c>
      <c r="AP1030" s="1">
        <v>14.023</v>
      </c>
      <c r="AR1030" s="1">
        <v>1573.0</v>
      </c>
      <c r="AS1030" s="1">
        <v>233.0</v>
      </c>
      <c r="AT1030" s="1">
        <v>6.751</v>
      </c>
      <c r="AU1030" s="1">
        <v>62.568</v>
      </c>
      <c r="AV1030" s="1" t="s">
        <v>990</v>
      </c>
      <c r="AW1030" s="1">
        <v>6.007</v>
      </c>
      <c r="AX1030" s="1">
        <v>3.0</v>
      </c>
      <c r="AY1030" s="1">
        <v>1.0</v>
      </c>
      <c r="AZ1030" s="1">
        <v>1.0</v>
      </c>
      <c r="BA1030" s="1">
        <v>38.0</v>
      </c>
      <c r="BB1030" s="1">
        <v>38.0</v>
      </c>
      <c r="BC1030" s="1">
        <v>0.0</v>
      </c>
      <c r="BD1030" s="1">
        <v>5.04</v>
      </c>
      <c r="BE1030" s="1">
        <v>133.0</v>
      </c>
      <c r="BF1030" s="1">
        <v>49.0</v>
      </c>
      <c r="BG1030" s="1">
        <v>0.0</v>
      </c>
      <c r="BH1030" s="1">
        <v>16.0</v>
      </c>
      <c r="BI1030" s="1">
        <v>8.0</v>
      </c>
      <c r="BJ1030" s="1">
        <v>0.0</v>
      </c>
      <c r="BO1030" s="1" t="s">
        <v>3897</v>
      </c>
      <c r="BP1030" s="1">
        <v>1.038</v>
      </c>
      <c r="BU1030" s="1" t="s">
        <v>974</v>
      </c>
      <c r="BV1030" s="1">
        <v>1.1</v>
      </c>
      <c r="EQ1030" s="9" t="s">
        <v>3893</v>
      </c>
      <c r="ER1030" s="21">
        <v>46045.29996527778</v>
      </c>
    </row>
    <row r="1031">
      <c r="A1031" s="9" t="s">
        <v>3898</v>
      </c>
      <c r="B1031" s="20" t="str">
        <f>IFERROR(__xludf.DUMMYFUNCTION("REGEXREPLACE(A1031, ""^https?://[^/]+"", """")"),"/wp-content/uploads/2025/10/How-Does-Predictive-Analytics-Work.jpg")</f>
        <v>/wp-content/uploads/2025/10/How-Does-Predictive-Analytics-Work.jpg</v>
      </c>
      <c r="F1031" s="1" t="s">
        <v>1004</v>
      </c>
      <c r="G1031" s="1">
        <v>200.0</v>
      </c>
      <c r="H1031" s="1" t="s">
        <v>966</v>
      </c>
      <c r="I1031" s="1" t="s">
        <v>967</v>
      </c>
      <c r="L1031" s="1">
        <v>0.0</v>
      </c>
      <c r="M1031" s="1">
        <v>0.0</v>
      </c>
      <c r="O1031" s="1">
        <v>0.0</v>
      </c>
      <c r="P1031" s="1">
        <v>0.0</v>
      </c>
      <c r="R1031" s="1">
        <v>0.0</v>
      </c>
      <c r="S1031" s="1">
        <v>0.0</v>
      </c>
      <c r="U1031" s="1">
        <v>0.0</v>
      </c>
      <c r="W1031" s="1">
        <v>0.0</v>
      </c>
      <c r="Y1031" s="1">
        <v>0.0</v>
      </c>
      <c r="AA1031" s="1">
        <v>0.0</v>
      </c>
      <c r="AC1031" s="1">
        <v>0.0</v>
      </c>
      <c r="AM1031" s="1">
        <v>345696.0</v>
      </c>
      <c r="AN1031" s="1">
        <v>345696.0</v>
      </c>
      <c r="AO1031" s="1">
        <v>345696.0</v>
      </c>
      <c r="AP1031" s="1">
        <v>132.43</v>
      </c>
      <c r="AR1031" s="1">
        <v>0.0</v>
      </c>
      <c r="AW1031" s="1">
        <v>0.0</v>
      </c>
      <c r="AX1031" s="1">
        <v>3.0</v>
      </c>
      <c r="AY1031" s="1">
        <v>4.0</v>
      </c>
      <c r="BA1031" s="1">
        <v>0.0</v>
      </c>
      <c r="BB1031" s="1">
        <v>0.0</v>
      </c>
      <c r="BC1031" s="1">
        <v>0.0</v>
      </c>
      <c r="BD1031" s="1">
        <v>0.0</v>
      </c>
      <c r="BE1031" s="1">
        <v>0.0</v>
      </c>
      <c r="BF1031" s="1">
        <v>0.0</v>
      </c>
      <c r="BG1031" s="1">
        <v>0.0</v>
      </c>
      <c r="BH1031" s="1">
        <v>0.0</v>
      </c>
      <c r="BI1031" s="1">
        <v>0.0</v>
      </c>
      <c r="BJ1031" s="1">
        <v>0.0</v>
      </c>
      <c r="BP1031" s="1">
        <v>0.282</v>
      </c>
      <c r="BQ1031" s="1" t="s">
        <v>3899</v>
      </c>
      <c r="BV1031" s="1">
        <v>1.1</v>
      </c>
      <c r="EQ1031" s="9" t="s">
        <v>3898</v>
      </c>
      <c r="ER1031" s="21">
        <v>46045.29997685185</v>
      </c>
    </row>
    <row r="1032">
      <c r="A1032" s="9" t="s">
        <v>3900</v>
      </c>
      <c r="B1032" s="20" t="str">
        <f>IFERROR(__xludf.DUMMYFUNCTION("REGEXREPLACE(A1032, ""^https?://[^/]+"", """")"),"/wp-content/uploads/2014/07/many-hats-2048x2048.jpg")</f>
        <v>/wp-content/uploads/2014/07/many-hats-2048x2048.jpg</v>
      </c>
      <c r="F1032" s="1" t="s">
        <v>1004</v>
      </c>
      <c r="G1032" s="1">
        <v>200.0</v>
      </c>
      <c r="H1032" s="1" t="s">
        <v>966</v>
      </c>
      <c r="I1032" s="1" t="s">
        <v>967</v>
      </c>
      <c r="L1032" s="1">
        <v>0.0</v>
      </c>
      <c r="M1032" s="1">
        <v>0.0</v>
      </c>
      <c r="O1032" s="1">
        <v>0.0</v>
      </c>
      <c r="P1032" s="1">
        <v>0.0</v>
      </c>
      <c r="R1032" s="1">
        <v>0.0</v>
      </c>
      <c r="S1032" s="1">
        <v>0.0</v>
      </c>
      <c r="U1032" s="1">
        <v>0.0</v>
      </c>
      <c r="W1032" s="1">
        <v>0.0</v>
      </c>
      <c r="Y1032" s="1">
        <v>0.0</v>
      </c>
      <c r="AA1032" s="1">
        <v>0.0</v>
      </c>
      <c r="AC1032" s="1">
        <v>0.0</v>
      </c>
      <c r="AM1032" s="1">
        <v>349745.0</v>
      </c>
      <c r="AN1032" s="1">
        <v>349745.0</v>
      </c>
      <c r="AO1032" s="1">
        <v>349745.0</v>
      </c>
      <c r="AP1032" s="1">
        <v>133.981</v>
      </c>
      <c r="AR1032" s="1">
        <v>0.0</v>
      </c>
      <c r="AW1032" s="1">
        <v>0.0</v>
      </c>
      <c r="AX1032" s="1">
        <v>3.0</v>
      </c>
      <c r="AY1032" s="1">
        <v>4.0</v>
      </c>
      <c r="BA1032" s="1">
        <v>0.0</v>
      </c>
      <c r="BB1032" s="1">
        <v>0.0</v>
      </c>
      <c r="BC1032" s="1">
        <v>0.0</v>
      </c>
      <c r="BD1032" s="1">
        <v>0.0</v>
      </c>
      <c r="BE1032" s="1">
        <v>0.0</v>
      </c>
      <c r="BF1032" s="1">
        <v>0.0</v>
      </c>
      <c r="BG1032" s="1">
        <v>0.0</v>
      </c>
      <c r="BH1032" s="1">
        <v>0.0</v>
      </c>
      <c r="BI1032" s="1">
        <v>0.0</v>
      </c>
      <c r="BJ1032" s="1">
        <v>0.0</v>
      </c>
      <c r="BP1032" s="1">
        <v>0.277</v>
      </c>
      <c r="BQ1032" s="1" t="s">
        <v>3901</v>
      </c>
      <c r="BV1032" s="1">
        <v>1.1</v>
      </c>
      <c r="EQ1032" s="9" t="s">
        <v>3900</v>
      </c>
      <c r="ER1032" s="21">
        <v>46045.29997685185</v>
      </c>
    </row>
    <row r="1033">
      <c r="A1033" s="9" t="s">
        <v>3902</v>
      </c>
      <c r="B1033" s="20" t="str">
        <f>IFERROR(__xludf.DUMMYFUNCTION("REGEXREPLACE(A1033, ""^https?://[^/]+"", """")"),"/wp-content/uploads/2013/12/Hiring-mistakes-2048x2048.jpg")</f>
        <v>/wp-content/uploads/2013/12/Hiring-mistakes-2048x2048.jpg</v>
      </c>
      <c r="F1033" s="1" t="s">
        <v>1004</v>
      </c>
      <c r="G1033" s="1">
        <v>200.0</v>
      </c>
      <c r="H1033" s="1" t="s">
        <v>966</v>
      </c>
      <c r="I1033" s="1" t="s">
        <v>967</v>
      </c>
      <c r="L1033" s="1">
        <v>0.0</v>
      </c>
      <c r="M1033" s="1">
        <v>0.0</v>
      </c>
      <c r="O1033" s="1">
        <v>0.0</v>
      </c>
      <c r="P1033" s="1">
        <v>0.0</v>
      </c>
      <c r="R1033" s="1">
        <v>0.0</v>
      </c>
      <c r="S1033" s="1">
        <v>0.0</v>
      </c>
      <c r="U1033" s="1">
        <v>0.0</v>
      </c>
      <c r="W1033" s="1">
        <v>0.0</v>
      </c>
      <c r="Y1033" s="1">
        <v>0.0</v>
      </c>
      <c r="AA1033" s="1">
        <v>0.0</v>
      </c>
      <c r="AC1033" s="1">
        <v>0.0</v>
      </c>
      <c r="AM1033" s="1">
        <v>281054.0</v>
      </c>
      <c r="AN1033" s="1">
        <v>281054.0</v>
      </c>
      <c r="AO1033" s="1">
        <v>281054.0</v>
      </c>
      <c r="AP1033" s="1">
        <v>107.666</v>
      </c>
      <c r="AR1033" s="1">
        <v>0.0</v>
      </c>
      <c r="AW1033" s="1">
        <v>0.0</v>
      </c>
      <c r="AX1033" s="1">
        <v>3.0</v>
      </c>
      <c r="AY1033" s="1">
        <v>4.0</v>
      </c>
      <c r="BA1033" s="1">
        <v>0.0</v>
      </c>
      <c r="BB1033" s="1">
        <v>0.0</v>
      </c>
      <c r="BC1033" s="1">
        <v>0.0</v>
      </c>
      <c r="BD1033" s="1">
        <v>0.0</v>
      </c>
      <c r="BE1033" s="1">
        <v>0.0</v>
      </c>
      <c r="BF1033" s="1">
        <v>0.0</v>
      </c>
      <c r="BG1033" s="1">
        <v>0.0</v>
      </c>
      <c r="BH1033" s="1">
        <v>0.0</v>
      </c>
      <c r="BI1033" s="1">
        <v>0.0</v>
      </c>
      <c r="BJ1033" s="1">
        <v>0.0</v>
      </c>
      <c r="BP1033" s="1">
        <v>0.269</v>
      </c>
      <c r="BQ1033" s="1" t="s">
        <v>3903</v>
      </c>
      <c r="BV1033" s="1">
        <v>1.1</v>
      </c>
      <c r="EQ1033" s="9" t="s">
        <v>3902</v>
      </c>
      <c r="ER1033" s="21">
        <v>46045.29997685185</v>
      </c>
    </row>
    <row r="1034">
      <c r="A1034" s="9" t="s">
        <v>3904</v>
      </c>
      <c r="B1034" s="20" t="str">
        <f>IFERROR(__xludf.DUMMYFUNCTION("REGEXREPLACE(A1034, ""^https?://[^/]+"", """")"),"/wp-content/uploads/2025/12/2025-Recruiting-Trends-300x173.jpg")</f>
        <v>/wp-content/uploads/2025/12/2025-Recruiting-Trends-300x173.jpg</v>
      </c>
      <c r="F1034" s="1" t="s">
        <v>1004</v>
      </c>
      <c r="G1034" s="1">
        <v>200.0</v>
      </c>
      <c r="H1034" s="1" t="s">
        <v>966</v>
      </c>
      <c r="I1034" s="1" t="s">
        <v>967</v>
      </c>
      <c r="L1034" s="1">
        <v>0.0</v>
      </c>
      <c r="M1034" s="1">
        <v>0.0</v>
      </c>
      <c r="O1034" s="1">
        <v>0.0</v>
      </c>
      <c r="P1034" s="1">
        <v>0.0</v>
      </c>
      <c r="R1034" s="1">
        <v>0.0</v>
      </c>
      <c r="S1034" s="1">
        <v>0.0</v>
      </c>
      <c r="U1034" s="1">
        <v>0.0</v>
      </c>
      <c r="W1034" s="1">
        <v>0.0</v>
      </c>
      <c r="Y1034" s="1">
        <v>0.0</v>
      </c>
      <c r="AA1034" s="1">
        <v>0.0</v>
      </c>
      <c r="AC1034" s="1">
        <v>0.0</v>
      </c>
      <c r="AM1034" s="1">
        <v>14544.0</v>
      </c>
      <c r="AN1034" s="1">
        <v>14544.0</v>
      </c>
      <c r="AO1034" s="1">
        <v>14544.0</v>
      </c>
      <c r="AP1034" s="1">
        <v>5.572</v>
      </c>
      <c r="AR1034" s="1">
        <v>0.0</v>
      </c>
      <c r="AW1034" s="1">
        <v>0.0</v>
      </c>
      <c r="AX1034" s="1">
        <v>3.0</v>
      </c>
      <c r="AY1034" s="1">
        <v>4.0</v>
      </c>
      <c r="BA1034" s="1">
        <v>0.0</v>
      </c>
      <c r="BB1034" s="1">
        <v>0.0</v>
      </c>
      <c r="BC1034" s="1">
        <v>0.0</v>
      </c>
      <c r="BD1034" s="1">
        <v>0.0</v>
      </c>
      <c r="BE1034" s="1">
        <v>0.0</v>
      </c>
      <c r="BF1034" s="1">
        <v>0.0</v>
      </c>
      <c r="BG1034" s="1">
        <v>0.0</v>
      </c>
      <c r="BH1034" s="1">
        <v>0.0</v>
      </c>
      <c r="BI1034" s="1">
        <v>0.0</v>
      </c>
      <c r="BJ1034" s="1">
        <v>0.0</v>
      </c>
      <c r="BP1034" s="1">
        <v>0.282</v>
      </c>
      <c r="BQ1034" s="1" t="s">
        <v>3905</v>
      </c>
      <c r="BV1034" s="1">
        <v>1.1</v>
      </c>
      <c r="EQ1034" s="9" t="s">
        <v>3904</v>
      </c>
      <c r="ER1034" s="21">
        <v>46045.299988425926</v>
      </c>
    </row>
    <row r="1035">
      <c r="A1035" s="9" t="s">
        <v>3906</v>
      </c>
      <c r="B1035" s="20" t="str">
        <f>IFERROR(__xludf.DUMMYFUNCTION("REGEXREPLACE(A1035, ""^https?://[^/]+"", """")"),"/a-beginners-guide-to-sales-forecasting/")</f>
        <v>/a-beginners-guide-to-sales-forecasting/</v>
      </c>
      <c r="C1035" s="1" t="s">
        <v>3907</v>
      </c>
      <c r="D1035" s="1" t="s">
        <v>3908</v>
      </c>
      <c r="E1035" s="1" t="s">
        <v>3909</v>
      </c>
      <c r="F1035" s="1" t="s">
        <v>965</v>
      </c>
      <c r="G1035" s="1">
        <v>200.0</v>
      </c>
      <c r="H1035" s="1" t="s">
        <v>966</v>
      </c>
      <c r="I1035" s="1" t="s">
        <v>967</v>
      </c>
      <c r="K1035" s="1" t="s">
        <v>3910</v>
      </c>
      <c r="L1035" s="1">
        <v>64.0</v>
      </c>
      <c r="M1035" s="1">
        <v>570.0</v>
      </c>
      <c r="O1035" s="1">
        <v>0.0</v>
      </c>
      <c r="P1035" s="1">
        <v>0.0</v>
      </c>
      <c r="Q1035" s="1" t="s">
        <v>3911</v>
      </c>
      <c r="R1035" s="1">
        <v>112.0</v>
      </c>
      <c r="S1035" s="1">
        <v>703.0</v>
      </c>
      <c r="U1035" s="1">
        <v>0.0</v>
      </c>
      <c r="V1035" s="1" t="s">
        <v>3907</v>
      </c>
      <c r="W1035" s="1">
        <v>39.0</v>
      </c>
      <c r="Y1035" s="1">
        <v>0.0</v>
      </c>
      <c r="Z1035" s="1" t="s">
        <v>3908</v>
      </c>
      <c r="AA1035" s="1">
        <v>34.0</v>
      </c>
      <c r="AB1035" s="1" t="s">
        <v>3909</v>
      </c>
      <c r="AC1035" s="1">
        <v>26.0</v>
      </c>
      <c r="AD1035" s="1" t="s">
        <v>971</v>
      </c>
      <c r="AG1035" s="9" t="s">
        <v>3906</v>
      </c>
      <c r="AM1035" s="1">
        <v>206088.0</v>
      </c>
      <c r="AN1035" s="1">
        <v>36498.0</v>
      </c>
      <c r="AO1035" s="1">
        <v>36498.0</v>
      </c>
      <c r="AP1035" s="1">
        <v>13.982</v>
      </c>
      <c r="AR1035" s="1">
        <v>1310.0</v>
      </c>
      <c r="AS1035" s="1">
        <v>199.0</v>
      </c>
      <c r="AT1035" s="1">
        <v>6.583</v>
      </c>
      <c r="AU1035" s="1">
        <v>51.425</v>
      </c>
      <c r="AV1035" s="1" t="s">
        <v>972</v>
      </c>
      <c r="AW1035" s="1">
        <v>5.246</v>
      </c>
      <c r="AX1035" s="1">
        <v>3.0</v>
      </c>
      <c r="AY1035" s="1">
        <v>1.0</v>
      </c>
      <c r="AZ1035" s="1">
        <v>1.0</v>
      </c>
      <c r="BA1035" s="1">
        <v>2.0</v>
      </c>
      <c r="BB1035" s="1">
        <v>2.0</v>
      </c>
      <c r="BC1035" s="1">
        <v>0.0</v>
      </c>
      <c r="BD1035" s="1">
        <v>0.27</v>
      </c>
      <c r="BE1035" s="1">
        <v>132.0</v>
      </c>
      <c r="BF1035" s="1">
        <v>50.0</v>
      </c>
      <c r="BG1035" s="1">
        <v>0.0</v>
      </c>
      <c r="BH1035" s="1">
        <v>16.0</v>
      </c>
      <c r="BI1035" s="1">
        <v>8.0</v>
      </c>
      <c r="BJ1035" s="1">
        <v>0.0</v>
      </c>
      <c r="BO1035" s="1" t="s">
        <v>3912</v>
      </c>
      <c r="BP1035" s="1">
        <v>1.001</v>
      </c>
      <c r="BU1035" s="1" t="s">
        <v>974</v>
      </c>
      <c r="BV1035" s="1">
        <v>1.1</v>
      </c>
      <c r="EQ1035" s="9" t="s">
        <v>3906</v>
      </c>
      <c r="ER1035" s="21">
        <v>46045.29997685185</v>
      </c>
    </row>
    <row r="1036">
      <c r="A1036" s="9" t="s">
        <v>3913</v>
      </c>
      <c r="B1036" s="20" t="str">
        <f>IFERROR(__xludf.DUMMYFUNCTION("REGEXREPLACE(A1036, ""^https?://[^/]+"", """")"),"/wp-content/uploads/2025/12/Comp-Plan-Error-300x200.jpg")</f>
        <v>/wp-content/uploads/2025/12/Comp-Plan-Error-300x200.jpg</v>
      </c>
      <c r="F1036" s="1" t="s">
        <v>1004</v>
      </c>
      <c r="G1036" s="1">
        <v>200.0</v>
      </c>
      <c r="H1036" s="1" t="s">
        <v>966</v>
      </c>
      <c r="I1036" s="1" t="s">
        <v>967</v>
      </c>
      <c r="L1036" s="1">
        <v>0.0</v>
      </c>
      <c r="M1036" s="1">
        <v>0.0</v>
      </c>
      <c r="O1036" s="1">
        <v>0.0</v>
      </c>
      <c r="P1036" s="1">
        <v>0.0</v>
      </c>
      <c r="R1036" s="1">
        <v>0.0</v>
      </c>
      <c r="S1036" s="1">
        <v>0.0</v>
      </c>
      <c r="U1036" s="1">
        <v>0.0</v>
      </c>
      <c r="W1036" s="1">
        <v>0.0</v>
      </c>
      <c r="Y1036" s="1">
        <v>0.0</v>
      </c>
      <c r="AA1036" s="1">
        <v>0.0</v>
      </c>
      <c r="AC1036" s="1">
        <v>0.0</v>
      </c>
      <c r="AM1036" s="1">
        <v>12025.0</v>
      </c>
      <c r="AN1036" s="1">
        <v>12025.0</v>
      </c>
      <c r="AO1036" s="1">
        <v>12025.0</v>
      </c>
      <c r="AP1036" s="1">
        <v>4.607</v>
      </c>
      <c r="AR1036" s="1">
        <v>0.0</v>
      </c>
      <c r="AW1036" s="1">
        <v>0.0</v>
      </c>
      <c r="AX1036" s="1">
        <v>3.0</v>
      </c>
      <c r="AY1036" s="1">
        <v>4.0</v>
      </c>
      <c r="BA1036" s="1">
        <v>0.0</v>
      </c>
      <c r="BB1036" s="1">
        <v>0.0</v>
      </c>
      <c r="BC1036" s="1">
        <v>0.0</v>
      </c>
      <c r="BD1036" s="1">
        <v>0.0</v>
      </c>
      <c r="BE1036" s="1">
        <v>0.0</v>
      </c>
      <c r="BF1036" s="1">
        <v>0.0</v>
      </c>
      <c r="BG1036" s="1">
        <v>0.0</v>
      </c>
      <c r="BH1036" s="1">
        <v>0.0</v>
      </c>
      <c r="BI1036" s="1">
        <v>0.0</v>
      </c>
      <c r="BJ1036" s="1">
        <v>0.0</v>
      </c>
      <c r="BP1036" s="1">
        <v>0.266</v>
      </c>
      <c r="BQ1036" s="1" t="s">
        <v>1469</v>
      </c>
      <c r="BV1036" s="1">
        <v>1.1</v>
      </c>
      <c r="EQ1036" s="9" t="s">
        <v>3913</v>
      </c>
      <c r="ER1036" s="21">
        <v>46045.299988425926</v>
      </c>
    </row>
    <row r="1037">
      <c r="A1037" s="9" t="s">
        <v>3914</v>
      </c>
      <c r="B1037" s="20" t="str">
        <f>IFERROR(__xludf.DUMMYFUNCTION("REGEXREPLACE(A1037, ""^https?://[^/]+"", """")"),"/wp-content/themes/salesxceleratione/assets/css/style.css?ver=1769123343")</f>
        <v>/wp-content/themes/salesxceleratione/assets/css/style.css?ver=1769123343</v>
      </c>
      <c r="F1037" s="1" t="s">
        <v>1016</v>
      </c>
      <c r="G1037" s="1">
        <v>200.0</v>
      </c>
      <c r="H1037" s="1" t="s">
        <v>966</v>
      </c>
      <c r="I1037" s="1" t="s">
        <v>967</v>
      </c>
      <c r="L1037" s="1">
        <v>0.0</v>
      </c>
      <c r="M1037" s="1">
        <v>0.0</v>
      </c>
      <c r="O1037" s="1">
        <v>0.0</v>
      </c>
      <c r="P1037" s="1">
        <v>0.0</v>
      </c>
      <c r="R1037" s="1">
        <v>0.0</v>
      </c>
      <c r="S1037" s="1">
        <v>0.0</v>
      </c>
      <c r="U1037" s="1">
        <v>0.0</v>
      </c>
      <c r="W1037" s="1">
        <v>0.0</v>
      </c>
      <c r="Y1037" s="1">
        <v>0.0</v>
      </c>
      <c r="AA1037" s="1">
        <v>0.0</v>
      </c>
      <c r="AC1037" s="1">
        <v>0.0</v>
      </c>
      <c r="AM1037" s="1">
        <v>17704.0</v>
      </c>
      <c r="AN1037" s="1">
        <v>17704.0</v>
      </c>
      <c r="AO1037" s="1">
        <v>17704.0</v>
      </c>
      <c r="AP1037" s="1">
        <v>6.782</v>
      </c>
      <c r="AR1037" s="1">
        <v>0.0</v>
      </c>
      <c r="AW1037" s="1">
        <v>0.0</v>
      </c>
      <c r="AX1037" s="1">
        <v>3.0</v>
      </c>
      <c r="AY1037" s="1">
        <v>5.0</v>
      </c>
      <c r="BA1037" s="1">
        <v>0.0</v>
      </c>
      <c r="BB1037" s="1">
        <v>0.0</v>
      </c>
      <c r="BC1037" s="1">
        <v>0.0</v>
      </c>
      <c r="BD1037" s="1">
        <v>0.0</v>
      </c>
      <c r="BE1037" s="1">
        <v>0.0</v>
      </c>
      <c r="BF1037" s="1">
        <v>0.0</v>
      </c>
      <c r="BG1037" s="1">
        <v>0.0</v>
      </c>
      <c r="BH1037" s="1">
        <v>0.0</v>
      </c>
      <c r="BI1037" s="1">
        <v>0.0</v>
      </c>
      <c r="BJ1037" s="1">
        <v>0.0</v>
      </c>
      <c r="BP1037" s="1">
        <v>0.291</v>
      </c>
      <c r="BQ1037" s="1" t="s">
        <v>3915</v>
      </c>
      <c r="BV1037" s="1">
        <v>1.1</v>
      </c>
      <c r="EQ1037" s="9" t="s">
        <v>3914</v>
      </c>
      <c r="ER1037" s="21">
        <v>46045.299988425926</v>
      </c>
    </row>
    <row r="1038">
      <c r="A1038" s="9" t="s">
        <v>3916</v>
      </c>
      <c r="B1038" s="20" t="str">
        <f>IFERROR(__xludf.DUMMYFUNCTION("REGEXREPLACE(A1038, ""^https?://[^/]+"", """")"),"/focus-on-activity-management-doing-and-measuring-the-right-things-for-sales-success-2/")</f>
        <v>/focus-on-activity-management-doing-and-measuring-the-right-things-for-sales-success-2/</v>
      </c>
      <c r="C1038" s="1" t="s">
        <v>3917</v>
      </c>
      <c r="F1038" s="1" t="s">
        <v>965</v>
      </c>
      <c r="G1038" s="1">
        <v>200.0</v>
      </c>
      <c r="H1038" s="1" t="s">
        <v>966</v>
      </c>
      <c r="I1038" s="1" t="s">
        <v>967</v>
      </c>
      <c r="K1038" s="1" t="s">
        <v>3918</v>
      </c>
      <c r="L1038" s="1">
        <v>70.0</v>
      </c>
      <c r="M1038" s="1">
        <v>649.0</v>
      </c>
      <c r="O1038" s="1">
        <v>0.0</v>
      </c>
      <c r="P1038" s="1">
        <v>0.0</v>
      </c>
      <c r="Q1038" s="1" t="s">
        <v>3919</v>
      </c>
      <c r="R1038" s="1">
        <v>139.0</v>
      </c>
      <c r="S1038" s="1">
        <v>815.0</v>
      </c>
      <c r="U1038" s="1">
        <v>0.0</v>
      </c>
      <c r="V1038" s="1" t="s">
        <v>3917</v>
      </c>
      <c r="W1038" s="1">
        <v>86.0</v>
      </c>
      <c r="Y1038" s="1">
        <v>0.0</v>
      </c>
      <c r="AA1038" s="1">
        <v>0.0</v>
      </c>
      <c r="AC1038" s="1">
        <v>0.0</v>
      </c>
      <c r="AD1038" s="1" t="s">
        <v>971</v>
      </c>
      <c r="AG1038" s="9" t="s">
        <v>3916</v>
      </c>
      <c r="AM1038" s="1">
        <v>201295.0</v>
      </c>
      <c r="AN1038" s="1">
        <v>36061.0</v>
      </c>
      <c r="AO1038" s="1">
        <v>36061.0</v>
      </c>
      <c r="AP1038" s="1">
        <v>13.814</v>
      </c>
      <c r="AR1038" s="1">
        <v>1460.0</v>
      </c>
      <c r="AS1038" s="1">
        <v>223.0</v>
      </c>
      <c r="AT1038" s="1">
        <v>6.547</v>
      </c>
      <c r="AU1038" s="1">
        <v>64.772</v>
      </c>
      <c r="AV1038" s="1" t="s">
        <v>990</v>
      </c>
      <c r="AW1038" s="1">
        <v>5.67</v>
      </c>
      <c r="AX1038" s="1">
        <v>3.0</v>
      </c>
      <c r="AY1038" s="1">
        <v>1.0</v>
      </c>
      <c r="AZ1038" s="1">
        <v>1.0</v>
      </c>
      <c r="BA1038" s="1">
        <v>47.0</v>
      </c>
      <c r="BB1038" s="1">
        <v>46.0</v>
      </c>
      <c r="BC1038" s="1">
        <v>0.0</v>
      </c>
      <c r="BD1038" s="1">
        <v>6.1</v>
      </c>
      <c r="BE1038" s="1">
        <v>132.0</v>
      </c>
      <c r="BF1038" s="1">
        <v>48.0</v>
      </c>
      <c r="BG1038" s="1">
        <v>0.0</v>
      </c>
      <c r="BH1038" s="1">
        <v>16.0</v>
      </c>
      <c r="BI1038" s="1">
        <v>8.0</v>
      </c>
      <c r="BJ1038" s="1">
        <v>0.0</v>
      </c>
      <c r="BO1038" s="1" t="s">
        <v>3920</v>
      </c>
      <c r="BP1038" s="1">
        <v>0.971</v>
      </c>
      <c r="BU1038" s="1" t="s">
        <v>974</v>
      </c>
      <c r="BV1038" s="1">
        <v>1.1</v>
      </c>
      <c r="EQ1038" s="9" t="s">
        <v>3916</v>
      </c>
      <c r="ER1038" s="21">
        <v>46045.29997685185</v>
      </c>
    </row>
    <row r="1039">
      <c r="A1039" s="9" t="s">
        <v>3921</v>
      </c>
      <c r="B1039" s="20" t="str">
        <f>IFERROR(__xludf.DUMMYFUNCTION("REGEXREPLACE(A1039, ""^https?://[^/]+"", """")"),"/which-role-is-right-for-your-new-hire-account-manager-or-business-development-representative/")</f>
        <v>/which-role-is-right-for-your-new-hire-account-manager-or-business-development-representative/</v>
      </c>
      <c r="C1039" s="1" t="s">
        <v>3922</v>
      </c>
      <c r="D1039" s="1" t="s">
        <v>3923</v>
      </c>
      <c r="E1039" s="1" t="s">
        <v>3924</v>
      </c>
      <c r="F1039" s="1" t="s">
        <v>965</v>
      </c>
      <c r="G1039" s="1">
        <v>200.0</v>
      </c>
      <c r="H1039" s="1" t="s">
        <v>966</v>
      </c>
      <c r="I1039" s="1" t="s">
        <v>967</v>
      </c>
      <c r="K1039" s="1" t="s">
        <v>3925</v>
      </c>
      <c r="L1039" s="1">
        <v>119.0</v>
      </c>
      <c r="M1039" s="1">
        <v>1096.0</v>
      </c>
      <c r="O1039" s="1">
        <v>0.0</v>
      </c>
      <c r="P1039" s="1">
        <v>0.0</v>
      </c>
      <c r="Q1039" s="1" t="s">
        <v>3926</v>
      </c>
      <c r="R1039" s="1">
        <v>155.0</v>
      </c>
      <c r="S1039" s="1">
        <v>962.0</v>
      </c>
      <c r="U1039" s="1">
        <v>0.0</v>
      </c>
      <c r="V1039" s="1" t="s">
        <v>3922</v>
      </c>
      <c r="W1039" s="1">
        <v>94.0</v>
      </c>
      <c r="Y1039" s="1">
        <v>0.0</v>
      </c>
      <c r="Z1039" s="1" t="s">
        <v>3923</v>
      </c>
      <c r="AA1039" s="1">
        <v>20.0</v>
      </c>
      <c r="AB1039" s="1" t="s">
        <v>3924</v>
      </c>
      <c r="AC1039" s="1">
        <v>41.0</v>
      </c>
      <c r="AD1039" s="1" t="s">
        <v>971</v>
      </c>
      <c r="AG1039" s="9" t="s">
        <v>3921</v>
      </c>
      <c r="AM1039" s="1">
        <v>204085.0</v>
      </c>
      <c r="AN1039" s="1">
        <v>35953.0</v>
      </c>
      <c r="AO1039" s="1">
        <v>35953.0</v>
      </c>
      <c r="AP1039" s="1">
        <v>13.773</v>
      </c>
      <c r="AR1039" s="1">
        <v>1327.0</v>
      </c>
      <c r="AS1039" s="1">
        <v>197.0</v>
      </c>
      <c r="AT1039" s="1">
        <v>6.736</v>
      </c>
      <c r="AU1039" s="1">
        <v>58.658</v>
      </c>
      <c r="AV1039" s="1" t="s">
        <v>972</v>
      </c>
      <c r="AW1039" s="1">
        <v>5.232</v>
      </c>
      <c r="AX1039" s="1">
        <v>3.0</v>
      </c>
      <c r="AY1039" s="1">
        <v>1.0</v>
      </c>
      <c r="AZ1039" s="1">
        <v>1.0</v>
      </c>
      <c r="BA1039" s="1">
        <v>5.0</v>
      </c>
      <c r="BB1039" s="1">
        <v>2.0</v>
      </c>
      <c r="BC1039" s="1">
        <v>0.0</v>
      </c>
      <c r="BD1039" s="1">
        <v>0.27</v>
      </c>
      <c r="BE1039" s="1">
        <v>133.0</v>
      </c>
      <c r="BF1039" s="1">
        <v>49.0</v>
      </c>
      <c r="BG1039" s="1">
        <v>0.0</v>
      </c>
      <c r="BH1039" s="1">
        <v>16.0</v>
      </c>
      <c r="BI1039" s="1">
        <v>8.0</v>
      </c>
      <c r="BJ1039" s="1">
        <v>0.0</v>
      </c>
      <c r="BO1039" s="1" t="s">
        <v>3927</v>
      </c>
      <c r="BP1039" s="1">
        <v>1.013</v>
      </c>
      <c r="BU1039" s="1" t="s">
        <v>974</v>
      </c>
      <c r="BV1039" s="1">
        <v>1.1</v>
      </c>
      <c r="EQ1039" s="9" t="s">
        <v>3921</v>
      </c>
      <c r="ER1039" s="21">
        <v>46045.29997685185</v>
      </c>
    </row>
    <row r="1040">
      <c r="A1040" s="9" t="s">
        <v>3928</v>
      </c>
      <c r="B1040" s="20" t="str">
        <f>IFERROR(__xludf.DUMMYFUNCTION("REGEXREPLACE(A1040, ""^https?://[^/]+"", """")"),"/wp-content/uploads/2025/12/Salespeople-in-Seats-300x171.jpg")</f>
        <v>/wp-content/uploads/2025/12/Salespeople-in-Seats-300x171.jpg</v>
      </c>
      <c r="F1040" s="1" t="s">
        <v>1004</v>
      </c>
      <c r="G1040" s="1">
        <v>200.0</v>
      </c>
      <c r="H1040" s="1" t="s">
        <v>966</v>
      </c>
      <c r="I1040" s="1" t="s">
        <v>967</v>
      </c>
      <c r="L1040" s="1">
        <v>0.0</v>
      </c>
      <c r="M1040" s="1">
        <v>0.0</v>
      </c>
      <c r="O1040" s="1">
        <v>0.0</v>
      </c>
      <c r="P1040" s="1">
        <v>0.0</v>
      </c>
      <c r="R1040" s="1">
        <v>0.0</v>
      </c>
      <c r="S1040" s="1">
        <v>0.0</v>
      </c>
      <c r="U1040" s="1">
        <v>0.0</v>
      </c>
      <c r="W1040" s="1">
        <v>0.0</v>
      </c>
      <c r="Y1040" s="1">
        <v>0.0</v>
      </c>
      <c r="AA1040" s="1">
        <v>0.0</v>
      </c>
      <c r="AC1040" s="1">
        <v>0.0</v>
      </c>
      <c r="AM1040" s="1">
        <v>14180.0</v>
      </c>
      <c r="AN1040" s="1">
        <v>14180.0</v>
      </c>
      <c r="AO1040" s="1">
        <v>14180.0</v>
      </c>
      <c r="AP1040" s="1">
        <v>5.432</v>
      </c>
      <c r="AR1040" s="1">
        <v>0.0</v>
      </c>
      <c r="AW1040" s="1">
        <v>0.0</v>
      </c>
      <c r="AX1040" s="1">
        <v>3.0</v>
      </c>
      <c r="AY1040" s="1">
        <v>4.0</v>
      </c>
      <c r="BA1040" s="1">
        <v>0.0</v>
      </c>
      <c r="BB1040" s="1">
        <v>0.0</v>
      </c>
      <c r="BC1040" s="1">
        <v>0.0</v>
      </c>
      <c r="BD1040" s="1">
        <v>0.0</v>
      </c>
      <c r="BE1040" s="1">
        <v>0.0</v>
      </c>
      <c r="BF1040" s="1">
        <v>0.0</v>
      </c>
      <c r="BG1040" s="1">
        <v>0.0</v>
      </c>
      <c r="BH1040" s="1">
        <v>0.0</v>
      </c>
      <c r="BI1040" s="1">
        <v>0.0</v>
      </c>
      <c r="BJ1040" s="1">
        <v>0.0</v>
      </c>
      <c r="BP1040" s="1">
        <v>0.273</v>
      </c>
      <c r="BQ1040" s="1" t="s">
        <v>1471</v>
      </c>
      <c r="BV1040" s="1">
        <v>1.1</v>
      </c>
      <c r="EQ1040" s="9" t="s">
        <v>3928</v>
      </c>
      <c r="ER1040" s="21">
        <v>46045.3</v>
      </c>
    </row>
    <row r="1041">
      <c r="A1041" s="9" t="s">
        <v>3929</v>
      </c>
      <c r="B1041" s="20" t="str">
        <f>IFERROR(__xludf.DUMMYFUNCTION("REGEXREPLACE(A1041, ""^https?://[^/]+"", """")"),"/2025-in-review-key-recruiting-trends-that-shaped-the-year/")</f>
        <v>/2025-in-review-key-recruiting-trends-that-shaped-the-year/</v>
      </c>
      <c r="C1041" s="1" t="s">
        <v>3930</v>
      </c>
      <c r="D1041" s="1" t="s">
        <v>3931</v>
      </c>
      <c r="E1041" s="1" t="s">
        <v>3932</v>
      </c>
      <c r="F1041" s="1" t="s">
        <v>965</v>
      </c>
      <c r="G1041" s="1">
        <v>200.0</v>
      </c>
      <c r="H1041" s="1" t="s">
        <v>966</v>
      </c>
      <c r="I1041" s="1" t="s">
        <v>967</v>
      </c>
      <c r="K1041" s="1" t="s">
        <v>3933</v>
      </c>
      <c r="L1041" s="1">
        <v>83.0</v>
      </c>
      <c r="M1041" s="1">
        <v>752.0</v>
      </c>
      <c r="O1041" s="1">
        <v>0.0</v>
      </c>
      <c r="P1041" s="1">
        <v>0.0</v>
      </c>
      <c r="Q1041" s="1" t="s">
        <v>3934</v>
      </c>
      <c r="R1041" s="1">
        <v>141.0</v>
      </c>
      <c r="S1041" s="1">
        <v>873.0</v>
      </c>
      <c r="U1041" s="1">
        <v>0.0</v>
      </c>
      <c r="V1041" s="1" t="s">
        <v>3930</v>
      </c>
      <c r="W1041" s="1">
        <v>58.0</v>
      </c>
      <c r="Y1041" s="1">
        <v>0.0</v>
      </c>
      <c r="Z1041" s="1" t="s">
        <v>3931</v>
      </c>
      <c r="AA1041" s="1">
        <v>48.0</v>
      </c>
      <c r="AB1041" s="1" t="s">
        <v>3932</v>
      </c>
      <c r="AC1041" s="1">
        <v>42.0</v>
      </c>
      <c r="AD1041" s="1" t="s">
        <v>971</v>
      </c>
      <c r="AG1041" s="9" t="s">
        <v>3929</v>
      </c>
      <c r="AM1041" s="1">
        <v>200445.0</v>
      </c>
      <c r="AN1041" s="1">
        <v>35607.0</v>
      </c>
      <c r="AO1041" s="1">
        <v>35607.0</v>
      </c>
      <c r="AP1041" s="1">
        <v>13.64</v>
      </c>
      <c r="AR1041" s="1">
        <v>1185.0</v>
      </c>
      <c r="AS1041" s="1">
        <v>181.0</v>
      </c>
      <c r="AT1041" s="1">
        <v>6.547</v>
      </c>
      <c r="AU1041" s="1">
        <v>53.55</v>
      </c>
      <c r="AV1041" s="1" t="s">
        <v>972</v>
      </c>
      <c r="AW1041" s="1">
        <v>5.076</v>
      </c>
      <c r="AX1041" s="1">
        <v>3.0</v>
      </c>
      <c r="AY1041" s="1">
        <v>1.0</v>
      </c>
      <c r="AZ1041" s="1">
        <v>1.0</v>
      </c>
      <c r="BA1041" s="1">
        <v>2.0</v>
      </c>
      <c r="BB1041" s="1">
        <v>1.0</v>
      </c>
      <c r="BC1041" s="1">
        <v>0.0</v>
      </c>
      <c r="BD1041" s="1">
        <v>0.13</v>
      </c>
      <c r="BE1041" s="1">
        <v>129.0</v>
      </c>
      <c r="BF1041" s="1">
        <v>47.0</v>
      </c>
      <c r="BG1041" s="1">
        <v>0.0</v>
      </c>
      <c r="BH1041" s="1">
        <v>16.0</v>
      </c>
      <c r="BI1041" s="1">
        <v>8.0</v>
      </c>
      <c r="BJ1041" s="1">
        <v>0.0</v>
      </c>
      <c r="BO1041" s="1" t="s">
        <v>3935</v>
      </c>
      <c r="BP1041" s="1">
        <v>0.993</v>
      </c>
      <c r="BU1041" s="1" t="s">
        <v>974</v>
      </c>
      <c r="BV1041" s="1">
        <v>1.1</v>
      </c>
      <c r="EQ1041" s="9" t="s">
        <v>3929</v>
      </c>
      <c r="ER1041" s="21">
        <v>46045.299988425926</v>
      </c>
    </row>
    <row r="1042">
      <c r="A1042" s="9" t="s">
        <v>3936</v>
      </c>
      <c r="B1042" s="20" t="str">
        <f>IFERROR(__xludf.DUMMYFUNCTION("REGEXREPLACE(A1042, ""^https?://[^/]+"", """")"),"/category/hiring-onboarding/page/3/")</f>
        <v>/category/hiring-onboarding/page/3/</v>
      </c>
      <c r="C1042" s="1" t="s">
        <v>1508</v>
      </c>
      <c r="F1042" s="1" t="s">
        <v>965</v>
      </c>
      <c r="G1042" s="1">
        <v>200.0</v>
      </c>
      <c r="H1042" s="1" t="s">
        <v>966</v>
      </c>
      <c r="I1042" s="1" t="s">
        <v>967</v>
      </c>
      <c r="K1042" s="1" t="s">
        <v>3937</v>
      </c>
      <c r="L1042" s="1">
        <v>61.0</v>
      </c>
      <c r="M1042" s="1">
        <v>544.0</v>
      </c>
      <c r="O1042" s="1">
        <v>0.0</v>
      </c>
      <c r="P1042" s="1">
        <v>0.0</v>
      </c>
      <c r="Q1042" s="1" t="s">
        <v>1510</v>
      </c>
      <c r="R1042" s="1">
        <v>131.0</v>
      </c>
      <c r="S1042" s="1">
        <v>806.0</v>
      </c>
      <c r="U1042" s="1">
        <v>0.0</v>
      </c>
      <c r="V1042" s="1" t="s">
        <v>1508</v>
      </c>
      <c r="W1042" s="1">
        <v>27.0</v>
      </c>
      <c r="Y1042" s="1">
        <v>0.0</v>
      </c>
      <c r="AA1042" s="1">
        <v>0.0</v>
      </c>
      <c r="AC1042" s="1">
        <v>0.0</v>
      </c>
      <c r="AD1042" s="1" t="s">
        <v>971</v>
      </c>
      <c r="AG1042" s="9" t="s">
        <v>3936</v>
      </c>
      <c r="AH1042" s="9" t="s">
        <v>3938</v>
      </c>
      <c r="AI1042" s="9" t="s">
        <v>1511</v>
      </c>
      <c r="AM1042" s="1">
        <v>170777.0</v>
      </c>
      <c r="AN1042" s="1">
        <v>31492.0</v>
      </c>
      <c r="AO1042" s="1">
        <v>31492.0</v>
      </c>
      <c r="AP1042" s="1">
        <v>12.064</v>
      </c>
      <c r="AR1042" s="1">
        <v>654.0</v>
      </c>
      <c r="AS1042" s="1">
        <v>110.0</v>
      </c>
      <c r="AT1042" s="1">
        <v>5.945</v>
      </c>
      <c r="AU1042" s="1">
        <v>62.129</v>
      </c>
      <c r="AV1042" s="1" t="s">
        <v>990</v>
      </c>
      <c r="AW1042" s="1">
        <v>3.788</v>
      </c>
      <c r="AX1042" s="1">
        <v>3.0</v>
      </c>
      <c r="AY1042" s="1">
        <v>4.0</v>
      </c>
      <c r="AZ1042" s="1">
        <v>1.0</v>
      </c>
      <c r="BA1042" s="1">
        <v>6.0</v>
      </c>
      <c r="BB1042" s="1">
        <v>4.0</v>
      </c>
      <c r="BC1042" s="1">
        <v>0.0</v>
      </c>
      <c r="BD1042" s="1">
        <v>0.53</v>
      </c>
      <c r="BE1042" s="1">
        <v>152.0</v>
      </c>
      <c r="BF1042" s="1">
        <v>58.0</v>
      </c>
      <c r="BG1042" s="1">
        <v>0.0</v>
      </c>
      <c r="BH1042" s="1">
        <v>16.0</v>
      </c>
      <c r="BI1042" s="1">
        <v>8.0</v>
      </c>
      <c r="BJ1042" s="1">
        <v>0.0</v>
      </c>
      <c r="BO1042" s="1" t="s">
        <v>3939</v>
      </c>
      <c r="BP1042" s="1">
        <v>1.013</v>
      </c>
      <c r="BU1042" s="1" t="s">
        <v>974</v>
      </c>
      <c r="BV1042" s="1">
        <v>1.1</v>
      </c>
      <c r="EQ1042" s="9" t="s">
        <v>3936</v>
      </c>
      <c r="ER1042" s="21">
        <v>46045.299988425926</v>
      </c>
    </row>
    <row r="1043">
      <c r="A1043" s="9" t="s">
        <v>3940</v>
      </c>
      <c r="B1043" s="20" t="str">
        <f>IFERROR(__xludf.DUMMYFUNCTION("REGEXREPLACE(A1043, ""^https?://[^/]+"", """")"),"/finding-a-sales-star-player-using-ideal-candidate-profiles-to-help-you-build-the-best-team/")</f>
        <v>/finding-a-sales-star-player-using-ideal-candidate-profiles-to-help-you-build-the-best-team/</v>
      </c>
      <c r="C1043" s="1" t="s">
        <v>3941</v>
      </c>
      <c r="D1043" s="1" t="s">
        <v>3942</v>
      </c>
      <c r="E1043" s="1" t="s">
        <v>3943</v>
      </c>
      <c r="F1043" s="1" t="s">
        <v>965</v>
      </c>
      <c r="G1043" s="1">
        <v>200.0</v>
      </c>
      <c r="H1043" s="1" t="s">
        <v>966</v>
      </c>
      <c r="I1043" s="1" t="s">
        <v>967</v>
      </c>
      <c r="K1043" s="1" t="s">
        <v>3944</v>
      </c>
      <c r="L1043" s="1">
        <v>116.0</v>
      </c>
      <c r="M1043" s="1">
        <v>1024.0</v>
      </c>
      <c r="O1043" s="1">
        <v>0.0</v>
      </c>
      <c r="P1043" s="1">
        <v>0.0</v>
      </c>
      <c r="Q1043" s="1" t="s">
        <v>3945</v>
      </c>
      <c r="R1043" s="1">
        <v>150.0</v>
      </c>
      <c r="S1043" s="1">
        <v>927.0</v>
      </c>
      <c r="U1043" s="1">
        <v>0.0</v>
      </c>
      <c r="V1043" s="1" t="s">
        <v>3941</v>
      </c>
      <c r="W1043" s="1">
        <v>91.0</v>
      </c>
      <c r="Y1043" s="1">
        <v>0.0</v>
      </c>
      <c r="Z1043" s="1" t="s">
        <v>3942</v>
      </c>
      <c r="AA1043" s="1">
        <v>29.0</v>
      </c>
      <c r="AB1043" s="1" t="s">
        <v>3943</v>
      </c>
      <c r="AC1043" s="1">
        <v>55.0</v>
      </c>
      <c r="AD1043" s="1" t="s">
        <v>971</v>
      </c>
      <c r="AG1043" s="9" t="s">
        <v>3940</v>
      </c>
      <c r="AM1043" s="1">
        <v>201900.0</v>
      </c>
      <c r="AN1043" s="1">
        <v>35352.0</v>
      </c>
      <c r="AO1043" s="1">
        <v>35352.0</v>
      </c>
      <c r="AP1043" s="1">
        <v>13.543</v>
      </c>
      <c r="AR1043" s="1">
        <v>1067.0</v>
      </c>
      <c r="AS1043" s="1">
        <v>167.0</v>
      </c>
      <c r="AT1043" s="1">
        <v>6.389</v>
      </c>
      <c r="AU1043" s="1">
        <v>66.354</v>
      </c>
      <c r="AV1043" s="1" t="s">
        <v>990</v>
      </c>
      <c r="AW1043" s="1">
        <v>4.445</v>
      </c>
      <c r="AX1043" s="1">
        <v>3.0</v>
      </c>
      <c r="AY1043" s="1">
        <v>1.0</v>
      </c>
      <c r="AZ1043" s="1">
        <v>1.0</v>
      </c>
      <c r="BA1043" s="1">
        <v>2.0</v>
      </c>
      <c r="BB1043" s="1">
        <v>1.0</v>
      </c>
      <c r="BC1043" s="1">
        <v>0.0</v>
      </c>
      <c r="BD1043" s="1">
        <v>0.13</v>
      </c>
      <c r="BE1043" s="1">
        <v>129.0</v>
      </c>
      <c r="BF1043" s="1">
        <v>47.0</v>
      </c>
      <c r="BG1043" s="1">
        <v>0.0</v>
      </c>
      <c r="BH1043" s="1">
        <v>16.0</v>
      </c>
      <c r="BI1043" s="1">
        <v>8.0</v>
      </c>
      <c r="BJ1043" s="1">
        <v>0.0</v>
      </c>
      <c r="BO1043" s="1" t="s">
        <v>3946</v>
      </c>
      <c r="BP1043" s="1">
        <v>1.013</v>
      </c>
      <c r="BU1043" s="1" t="s">
        <v>974</v>
      </c>
      <c r="BV1043" s="1">
        <v>1.1</v>
      </c>
      <c r="EQ1043" s="9" t="s">
        <v>3940</v>
      </c>
      <c r="ER1043" s="21">
        <v>46045.299988425926</v>
      </c>
    </row>
    <row r="1044">
      <c r="A1044" s="9" t="s">
        <v>3947</v>
      </c>
      <c r="B1044" s="20" t="str">
        <f>IFERROR(__xludf.DUMMYFUNCTION("REGEXREPLACE(A1044, ""^https?://[^/]+"", """")"),"/wp-content/uploads/2024/02/Finding-a-Sales-Star-Player-300x200.jpg")</f>
        <v>/wp-content/uploads/2024/02/Finding-a-Sales-Star-Player-300x200.jpg</v>
      </c>
      <c r="F1044" s="1" t="s">
        <v>1004</v>
      </c>
      <c r="G1044" s="1">
        <v>200.0</v>
      </c>
      <c r="H1044" s="1" t="s">
        <v>966</v>
      </c>
      <c r="I1044" s="1" t="s">
        <v>967</v>
      </c>
      <c r="L1044" s="1">
        <v>0.0</v>
      </c>
      <c r="M1044" s="1">
        <v>0.0</v>
      </c>
      <c r="O1044" s="1">
        <v>0.0</v>
      </c>
      <c r="P1044" s="1">
        <v>0.0</v>
      </c>
      <c r="R1044" s="1">
        <v>0.0</v>
      </c>
      <c r="S1044" s="1">
        <v>0.0</v>
      </c>
      <c r="U1044" s="1">
        <v>0.0</v>
      </c>
      <c r="W1044" s="1">
        <v>0.0</v>
      </c>
      <c r="Y1044" s="1">
        <v>0.0</v>
      </c>
      <c r="AA1044" s="1">
        <v>0.0</v>
      </c>
      <c r="AC1044" s="1">
        <v>0.0</v>
      </c>
      <c r="AM1044" s="1">
        <v>9201.0</v>
      </c>
      <c r="AN1044" s="1">
        <v>9201.0</v>
      </c>
      <c r="AO1044" s="1">
        <v>9201.0</v>
      </c>
      <c r="AP1044" s="1">
        <v>3.525</v>
      </c>
      <c r="AR1044" s="1">
        <v>0.0</v>
      </c>
      <c r="AW1044" s="1">
        <v>0.0</v>
      </c>
      <c r="AX1044" s="1">
        <v>3.0</v>
      </c>
      <c r="AY1044" s="1">
        <v>4.0</v>
      </c>
      <c r="BA1044" s="1">
        <v>0.0</v>
      </c>
      <c r="BB1044" s="1">
        <v>0.0</v>
      </c>
      <c r="BC1044" s="1">
        <v>0.0</v>
      </c>
      <c r="BD1044" s="1">
        <v>0.0</v>
      </c>
      <c r="BE1044" s="1">
        <v>0.0</v>
      </c>
      <c r="BF1044" s="1">
        <v>0.0</v>
      </c>
      <c r="BG1044" s="1">
        <v>0.0</v>
      </c>
      <c r="BH1044" s="1">
        <v>0.0</v>
      </c>
      <c r="BI1044" s="1">
        <v>0.0</v>
      </c>
      <c r="BJ1044" s="1">
        <v>0.0</v>
      </c>
      <c r="BP1044" s="1">
        <v>0.274</v>
      </c>
      <c r="BQ1044" s="1" t="s">
        <v>3948</v>
      </c>
      <c r="BV1044" s="1">
        <v>1.1</v>
      </c>
      <c r="EQ1044" s="9" t="s">
        <v>3947</v>
      </c>
      <c r="ER1044" s="21">
        <v>46045.3</v>
      </c>
    </row>
    <row r="1045">
      <c r="A1045" s="9" t="s">
        <v>3949</v>
      </c>
      <c r="B1045" s="20" t="str">
        <f>IFERROR(__xludf.DUMMYFUNCTION("REGEXREPLACE(A1045, ""^https?://[^/]+"", """")"),"/category/hiring-onboarding/page/5/")</f>
        <v>/category/hiring-onboarding/page/5/</v>
      </c>
      <c r="C1045" s="1" t="s">
        <v>1508</v>
      </c>
      <c r="F1045" s="1" t="s">
        <v>965</v>
      </c>
      <c r="G1045" s="1">
        <v>200.0</v>
      </c>
      <c r="H1045" s="1" t="s">
        <v>966</v>
      </c>
      <c r="I1045" s="1" t="s">
        <v>967</v>
      </c>
      <c r="K1045" s="1" t="s">
        <v>3950</v>
      </c>
      <c r="L1045" s="1">
        <v>61.0</v>
      </c>
      <c r="M1045" s="1">
        <v>544.0</v>
      </c>
      <c r="O1045" s="1">
        <v>0.0</v>
      </c>
      <c r="P1045" s="1">
        <v>0.0</v>
      </c>
      <c r="Q1045" s="1" t="s">
        <v>1510</v>
      </c>
      <c r="R1045" s="1">
        <v>131.0</v>
      </c>
      <c r="S1045" s="1">
        <v>806.0</v>
      </c>
      <c r="U1045" s="1">
        <v>0.0</v>
      </c>
      <c r="V1045" s="1" t="s">
        <v>1508</v>
      </c>
      <c r="W1045" s="1">
        <v>27.0</v>
      </c>
      <c r="Y1045" s="1">
        <v>0.0</v>
      </c>
      <c r="AA1045" s="1">
        <v>0.0</v>
      </c>
      <c r="AC1045" s="1">
        <v>0.0</v>
      </c>
      <c r="AD1045" s="1" t="s">
        <v>971</v>
      </c>
      <c r="AG1045" s="9" t="s">
        <v>3949</v>
      </c>
      <c r="AH1045" s="9" t="s">
        <v>3951</v>
      </c>
      <c r="AI1045" s="9" t="s">
        <v>3938</v>
      </c>
      <c r="AM1045" s="1">
        <v>170761.0</v>
      </c>
      <c r="AN1045" s="1">
        <v>31553.0</v>
      </c>
      <c r="AO1045" s="1">
        <v>31553.0</v>
      </c>
      <c r="AP1045" s="1">
        <v>12.087</v>
      </c>
      <c r="AR1045" s="1">
        <v>655.0</v>
      </c>
      <c r="AS1045" s="1">
        <v>109.0</v>
      </c>
      <c r="AT1045" s="1">
        <v>6.009</v>
      </c>
      <c r="AU1045" s="1">
        <v>59.434</v>
      </c>
      <c r="AV1045" s="1" t="s">
        <v>972</v>
      </c>
      <c r="AW1045" s="1">
        <v>3.804</v>
      </c>
      <c r="AX1045" s="1">
        <v>3.0</v>
      </c>
      <c r="AY1045" s="1">
        <v>4.0</v>
      </c>
      <c r="AZ1045" s="1">
        <v>1.0</v>
      </c>
      <c r="BA1045" s="1">
        <v>5.0</v>
      </c>
      <c r="BB1045" s="1">
        <v>4.0</v>
      </c>
      <c r="BC1045" s="1">
        <v>0.0</v>
      </c>
      <c r="BD1045" s="1">
        <v>0.53</v>
      </c>
      <c r="BE1045" s="1">
        <v>151.0</v>
      </c>
      <c r="BF1045" s="1">
        <v>58.0</v>
      </c>
      <c r="BG1045" s="1">
        <v>0.0</v>
      </c>
      <c r="BH1045" s="1">
        <v>16.0</v>
      </c>
      <c r="BI1045" s="1">
        <v>8.0</v>
      </c>
      <c r="BJ1045" s="1">
        <v>0.0</v>
      </c>
      <c r="BO1045" s="1" t="s">
        <v>3952</v>
      </c>
      <c r="BP1045" s="1">
        <v>0.956</v>
      </c>
      <c r="BU1045" s="1" t="s">
        <v>974</v>
      </c>
      <c r="BV1045" s="1">
        <v>1.1</v>
      </c>
      <c r="EQ1045" s="9" t="s">
        <v>3949</v>
      </c>
      <c r="ER1045" s="21">
        <v>46045.299988425926</v>
      </c>
    </row>
    <row r="1046">
      <c r="A1046" s="9" t="s">
        <v>3953</v>
      </c>
      <c r="B1046" s="20" t="str">
        <f>IFERROR(__xludf.DUMMYFUNCTION("REGEXREPLACE(A1046, ""^https?://[^/]+"", """")"),"/wp-content/uploads/2025/11/Attracting-Top-Tier-Sales-Professionals-300x200.jpg")</f>
        <v>/wp-content/uploads/2025/11/Attracting-Top-Tier-Sales-Professionals-300x200.jpg</v>
      </c>
      <c r="F1046" s="1" t="s">
        <v>1004</v>
      </c>
      <c r="G1046" s="1">
        <v>200.0</v>
      </c>
      <c r="H1046" s="1" t="s">
        <v>966</v>
      </c>
      <c r="I1046" s="1" t="s">
        <v>967</v>
      </c>
      <c r="L1046" s="1">
        <v>0.0</v>
      </c>
      <c r="M1046" s="1">
        <v>0.0</v>
      </c>
      <c r="O1046" s="1">
        <v>0.0</v>
      </c>
      <c r="P1046" s="1">
        <v>0.0</v>
      </c>
      <c r="R1046" s="1">
        <v>0.0</v>
      </c>
      <c r="S1046" s="1">
        <v>0.0</v>
      </c>
      <c r="U1046" s="1">
        <v>0.0</v>
      </c>
      <c r="W1046" s="1">
        <v>0.0</v>
      </c>
      <c r="Y1046" s="1">
        <v>0.0</v>
      </c>
      <c r="AA1046" s="1">
        <v>0.0</v>
      </c>
      <c r="AC1046" s="1">
        <v>0.0</v>
      </c>
      <c r="AM1046" s="1">
        <v>7002.0</v>
      </c>
      <c r="AN1046" s="1">
        <v>7002.0</v>
      </c>
      <c r="AO1046" s="1">
        <v>7002.0</v>
      </c>
      <c r="AP1046" s="1">
        <v>2.682</v>
      </c>
      <c r="AR1046" s="1">
        <v>0.0</v>
      </c>
      <c r="AW1046" s="1">
        <v>0.0</v>
      </c>
      <c r="AX1046" s="1">
        <v>3.0</v>
      </c>
      <c r="AY1046" s="1">
        <v>4.0</v>
      </c>
      <c r="BA1046" s="1">
        <v>0.0</v>
      </c>
      <c r="BB1046" s="1">
        <v>0.0</v>
      </c>
      <c r="BC1046" s="1">
        <v>0.0</v>
      </c>
      <c r="BD1046" s="1">
        <v>0.0</v>
      </c>
      <c r="BE1046" s="1">
        <v>0.0</v>
      </c>
      <c r="BF1046" s="1">
        <v>0.0</v>
      </c>
      <c r="BG1046" s="1">
        <v>0.0</v>
      </c>
      <c r="BH1046" s="1">
        <v>0.0</v>
      </c>
      <c r="BI1046" s="1">
        <v>0.0</v>
      </c>
      <c r="BJ1046" s="1">
        <v>0.0</v>
      </c>
      <c r="BP1046" s="1">
        <v>0.317</v>
      </c>
      <c r="BQ1046" s="1" t="s">
        <v>3954</v>
      </c>
      <c r="BV1046" s="1">
        <v>1.1</v>
      </c>
      <c r="EQ1046" s="9" t="s">
        <v>3953</v>
      </c>
      <c r="ER1046" s="21">
        <v>46045.30001157407</v>
      </c>
    </row>
    <row r="1047">
      <c r="A1047" s="9" t="s">
        <v>3955</v>
      </c>
      <c r="B1047" s="20" t="str">
        <f>IFERROR(__xludf.DUMMYFUNCTION("REGEXREPLACE(A1047, ""^https?://[^/]+"", """")"),"/wp-content/uploads/2024/09/Interviewing-Top-Sales-Talent-300x200.jpg")</f>
        <v>/wp-content/uploads/2024/09/Interviewing-Top-Sales-Talent-300x200.jpg</v>
      </c>
      <c r="F1047" s="1" t="s">
        <v>1004</v>
      </c>
      <c r="G1047" s="1">
        <v>200.0</v>
      </c>
      <c r="H1047" s="1" t="s">
        <v>966</v>
      </c>
      <c r="I1047" s="1" t="s">
        <v>967</v>
      </c>
      <c r="L1047" s="1">
        <v>0.0</v>
      </c>
      <c r="M1047" s="1">
        <v>0.0</v>
      </c>
      <c r="O1047" s="1">
        <v>0.0</v>
      </c>
      <c r="P1047" s="1">
        <v>0.0</v>
      </c>
      <c r="R1047" s="1">
        <v>0.0</v>
      </c>
      <c r="S1047" s="1">
        <v>0.0</v>
      </c>
      <c r="U1047" s="1">
        <v>0.0</v>
      </c>
      <c r="W1047" s="1">
        <v>0.0</v>
      </c>
      <c r="Y1047" s="1">
        <v>0.0</v>
      </c>
      <c r="AA1047" s="1">
        <v>0.0</v>
      </c>
      <c r="AC1047" s="1">
        <v>0.0</v>
      </c>
      <c r="AM1047" s="1">
        <v>13294.0</v>
      </c>
      <c r="AN1047" s="1">
        <v>13294.0</v>
      </c>
      <c r="AO1047" s="1">
        <v>13294.0</v>
      </c>
      <c r="AP1047" s="1">
        <v>5.093</v>
      </c>
      <c r="AR1047" s="1">
        <v>0.0</v>
      </c>
      <c r="AW1047" s="1">
        <v>0.0</v>
      </c>
      <c r="AX1047" s="1">
        <v>3.0</v>
      </c>
      <c r="AY1047" s="1">
        <v>4.0</v>
      </c>
      <c r="BA1047" s="1">
        <v>0.0</v>
      </c>
      <c r="BB1047" s="1">
        <v>0.0</v>
      </c>
      <c r="BC1047" s="1">
        <v>0.0</v>
      </c>
      <c r="BD1047" s="1">
        <v>0.0</v>
      </c>
      <c r="BE1047" s="1">
        <v>0.0</v>
      </c>
      <c r="BF1047" s="1">
        <v>0.0</v>
      </c>
      <c r="BG1047" s="1">
        <v>0.0</v>
      </c>
      <c r="BH1047" s="1">
        <v>0.0</v>
      </c>
      <c r="BI1047" s="1">
        <v>0.0</v>
      </c>
      <c r="BJ1047" s="1">
        <v>0.0</v>
      </c>
      <c r="BP1047" s="1">
        <v>0.275</v>
      </c>
      <c r="BQ1047" s="1" t="s">
        <v>3956</v>
      </c>
      <c r="BV1047" s="1">
        <v>1.1</v>
      </c>
      <c r="EQ1047" s="9" t="s">
        <v>3955</v>
      </c>
      <c r="ER1047" s="21">
        <v>46045.30001157407</v>
      </c>
    </row>
    <row r="1048">
      <c r="A1048" s="9" t="s">
        <v>3957</v>
      </c>
      <c r="B1048" s="20" t="str">
        <f>IFERROR(__xludf.DUMMYFUNCTION("REGEXREPLACE(A1048, ""^https?://[^/]+"", """")"),"/the-high-potential-myth-how-comfort-zones-hinder-hiring-progress/")</f>
        <v>/the-high-potential-myth-how-comfort-zones-hinder-hiring-progress/</v>
      </c>
      <c r="C1048" s="1" t="s">
        <v>3958</v>
      </c>
      <c r="D1048" s="1" t="s">
        <v>3959</v>
      </c>
      <c r="E1048" s="1" t="s">
        <v>3960</v>
      </c>
      <c r="F1048" s="1" t="s">
        <v>965</v>
      </c>
      <c r="G1048" s="1">
        <v>200.0</v>
      </c>
      <c r="H1048" s="1" t="s">
        <v>966</v>
      </c>
      <c r="I1048" s="1" t="s">
        <v>967</v>
      </c>
      <c r="K1048" s="1" t="s">
        <v>3961</v>
      </c>
      <c r="L1048" s="1">
        <v>90.0</v>
      </c>
      <c r="M1048" s="1">
        <v>826.0</v>
      </c>
      <c r="O1048" s="1">
        <v>0.0</v>
      </c>
      <c r="P1048" s="1">
        <v>0.0</v>
      </c>
      <c r="Q1048" s="1" t="s">
        <v>1480</v>
      </c>
      <c r="R1048" s="1">
        <v>144.0</v>
      </c>
      <c r="S1048" s="1">
        <v>864.0</v>
      </c>
      <c r="U1048" s="1">
        <v>0.0</v>
      </c>
      <c r="V1048" s="1" t="s">
        <v>3958</v>
      </c>
      <c r="W1048" s="1">
        <v>65.0</v>
      </c>
      <c r="Y1048" s="1">
        <v>0.0</v>
      </c>
      <c r="Z1048" s="1" t="s">
        <v>3959</v>
      </c>
      <c r="AA1048" s="1">
        <v>27.0</v>
      </c>
      <c r="AB1048" s="1" t="s">
        <v>3960</v>
      </c>
      <c r="AC1048" s="1">
        <v>37.0</v>
      </c>
      <c r="AD1048" s="1" t="s">
        <v>971</v>
      </c>
      <c r="AG1048" s="9" t="s">
        <v>3957</v>
      </c>
      <c r="AM1048" s="1">
        <v>204183.0</v>
      </c>
      <c r="AN1048" s="1">
        <v>36382.0</v>
      </c>
      <c r="AO1048" s="1">
        <v>36382.0</v>
      </c>
      <c r="AP1048" s="1">
        <v>13.937</v>
      </c>
      <c r="AR1048" s="1">
        <v>1204.0</v>
      </c>
      <c r="AS1048" s="1">
        <v>188.0</v>
      </c>
      <c r="AT1048" s="1">
        <v>6.404</v>
      </c>
      <c r="AU1048" s="1">
        <v>58.468</v>
      </c>
      <c r="AV1048" s="1" t="s">
        <v>972</v>
      </c>
      <c r="AW1048" s="1">
        <v>4.91</v>
      </c>
      <c r="AX1048" s="1">
        <v>3.0</v>
      </c>
      <c r="AY1048" s="1">
        <v>1.0</v>
      </c>
      <c r="AZ1048" s="1">
        <v>1.0</v>
      </c>
      <c r="BA1048" s="1">
        <v>2.0</v>
      </c>
      <c r="BB1048" s="1">
        <v>1.0</v>
      </c>
      <c r="BC1048" s="1">
        <v>0.0</v>
      </c>
      <c r="BD1048" s="1">
        <v>0.13</v>
      </c>
      <c r="BE1048" s="1">
        <v>132.0</v>
      </c>
      <c r="BF1048" s="1">
        <v>49.0</v>
      </c>
      <c r="BG1048" s="1">
        <v>0.0</v>
      </c>
      <c r="BH1048" s="1">
        <v>23.0</v>
      </c>
      <c r="BI1048" s="1">
        <v>14.0</v>
      </c>
      <c r="BJ1048" s="1">
        <v>0.0</v>
      </c>
      <c r="BO1048" s="1" t="s">
        <v>3962</v>
      </c>
      <c r="BP1048" s="1">
        <v>1.006</v>
      </c>
      <c r="BU1048" s="1" t="s">
        <v>974</v>
      </c>
      <c r="BV1048" s="1">
        <v>1.1</v>
      </c>
      <c r="EQ1048" s="9" t="s">
        <v>3957</v>
      </c>
      <c r="ER1048" s="21">
        <v>46045.3</v>
      </c>
    </row>
    <row r="1049">
      <c r="A1049" s="9" t="s">
        <v>3963</v>
      </c>
      <c r="B1049" s="20" t="str">
        <f>IFERROR(__xludf.DUMMYFUNCTION("REGEXREPLACE(A1049, ""^https?://[^/]+"", """")"),"/wp-content/uploads/2023/10/Hire-Top-Sales-Talent-300x200.jpg")</f>
        <v>/wp-content/uploads/2023/10/Hire-Top-Sales-Talent-300x200.jpg</v>
      </c>
      <c r="F1049" s="1" t="s">
        <v>1004</v>
      </c>
      <c r="G1049" s="1">
        <v>200.0</v>
      </c>
      <c r="H1049" s="1" t="s">
        <v>966</v>
      </c>
      <c r="I1049" s="1" t="s">
        <v>967</v>
      </c>
      <c r="L1049" s="1">
        <v>0.0</v>
      </c>
      <c r="M1049" s="1">
        <v>0.0</v>
      </c>
      <c r="O1049" s="1">
        <v>0.0</v>
      </c>
      <c r="P1049" s="1">
        <v>0.0</v>
      </c>
      <c r="R1049" s="1">
        <v>0.0</v>
      </c>
      <c r="S1049" s="1">
        <v>0.0</v>
      </c>
      <c r="U1049" s="1">
        <v>0.0</v>
      </c>
      <c r="W1049" s="1">
        <v>0.0</v>
      </c>
      <c r="Y1049" s="1">
        <v>0.0</v>
      </c>
      <c r="AA1049" s="1">
        <v>0.0</v>
      </c>
      <c r="AC1049" s="1">
        <v>0.0</v>
      </c>
      <c r="AM1049" s="1">
        <v>14553.0</v>
      </c>
      <c r="AN1049" s="1">
        <v>14553.0</v>
      </c>
      <c r="AO1049" s="1">
        <v>14553.0</v>
      </c>
      <c r="AP1049" s="1">
        <v>5.575</v>
      </c>
      <c r="AR1049" s="1">
        <v>0.0</v>
      </c>
      <c r="AW1049" s="1">
        <v>0.0</v>
      </c>
      <c r="AX1049" s="1">
        <v>3.0</v>
      </c>
      <c r="AY1049" s="1">
        <v>4.0</v>
      </c>
      <c r="BA1049" s="1">
        <v>0.0</v>
      </c>
      <c r="BB1049" s="1">
        <v>0.0</v>
      </c>
      <c r="BC1049" s="1">
        <v>0.0</v>
      </c>
      <c r="BD1049" s="1">
        <v>0.0</v>
      </c>
      <c r="BE1049" s="1">
        <v>0.0</v>
      </c>
      <c r="BF1049" s="1">
        <v>0.0</v>
      </c>
      <c r="BG1049" s="1">
        <v>0.0</v>
      </c>
      <c r="BH1049" s="1">
        <v>0.0</v>
      </c>
      <c r="BI1049" s="1">
        <v>0.0</v>
      </c>
      <c r="BJ1049" s="1">
        <v>0.0</v>
      </c>
      <c r="BP1049" s="1">
        <v>0.303</v>
      </c>
      <c r="BQ1049" s="1" t="s">
        <v>3964</v>
      </c>
      <c r="BV1049" s="1">
        <v>1.1</v>
      </c>
      <c r="EQ1049" s="9" t="s">
        <v>3963</v>
      </c>
      <c r="ER1049" s="21">
        <v>46045.30001157407</v>
      </c>
    </row>
    <row r="1050">
      <c r="A1050" s="9" t="s">
        <v>3965</v>
      </c>
      <c r="B1050" s="20" t="str">
        <f>IFERROR(__xludf.DUMMYFUNCTION("REGEXREPLACE(A1050, ""^https?://[^/]+"", """")"),"/wp-content/uploads/2023/05/Which-Role-is-Right-for-Your-New-Hire-300x200.jpg")</f>
        <v>/wp-content/uploads/2023/05/Which-Role-is-Right-for-Your-New-Hire-300x200.jpg</v>
      </c>
      <c r="F1050" s="1" t="s">
        <v>1004</v>
      </c>
      <c r="G1050" s="1">
        <v>200.0</v>
      </c>
      <c r="H1050" s="1" t="s">
        <v>966</v>
      </c>
      <c r="I1050" s="1" t="s">
        <v>967</v>
      </c>
      <c r="L1050" s="1">
        <v>0.0</v>
      </c>
      <c r="M1050" s="1">
        <v>0.0</v>
      </c>
      <c r="O1050" s="1">
        <v>0.0</v>
      </c>
      <c r="P1050" s="1">
        <v>0.0</v>
      </c>
      <c r="R1050" s="1">
        <v>0.0</v>
      </c>
      <c r="S1050" s="1">
        <v>0.0</v>
      </c>
      <c r="U1050" s="1">
        <v>0.0</v>
      </c>
      <c r="W1050" s="1">
        <v>0.0</v>
      </c>
      <c r="Y1050" s="1">
        <v>0.0</v>
      </c>
      <c r="AA1050" s="1">
        <v>0.0</v>
      </c>
      <c r="AC1050" s="1">
        <v>0.0</v>
      </c>
      <c r="AM1050" s="1">
        <v>12085.0</v>
      </c>
      <c r="AN1050" s="1">
        <v>12085.0</v>
      </c>
      <c r="AO1050" s="1">
        <v>12085.0</v>
      </c>
      <c r="AP1050" s="1">
        <v>4.63</v>
      </c>
      <c r="AR1050" s="1">
        <v>0.0</v>
      </c>
      <c r="AW1050" s="1">
        <v>0.0</v>
      </c>
      <c r="AX1050" s="1">
        <v>3.0</v>
      </c>
      <c r="AY1050" s="1">
        <v>4.0</v>
      </c>
      <c r="BA1050" s="1">
        <v>0.0</v>
      </c>
      <c r="BB1050" s="1">
        <v>0.0</v>
      </c>
      <c r="BC1050" s="1">
        <v>0.0</v>
      </c>
      <c r="BD1050" s="1">
        <v>0.0</v>
      </c>
      <c r="BE1050" s="1">
        <v>0.0</v>
      </c>
      <c r="BF1050" s="1">
        <v>0.0</v>
      </c>
      <c r="BG1050" s="1">
        <v>0.0</v>
      </c>
      <c r="BH1050" s="1">
        <v>0.0</v>
      </c>
      <c r="BI1050" s="1">
        <v>0.0</v>
      </c>
      <c r="BJ1050" s="1">
        <v>0.0</v>
      </c>
      <c r="BP1050" s="1">
        <v>0.283</v>
      </c>
      <c r="BQ1050" s="1" t="s">
        <v>3966</v>
      </c>
      <c r="BV1050" s="1">
        <v>1.1</v>
      </c>
      <c r="EQ1050" s="9" t="s">
        <v>3965</v>
      </c>
      <c r="ER1050" s="21">
        <v>46045.30001157407</v>
      </c>
    </row>
    <row r="1051">
      <c r="A1051" s="9" t="s">
        <v>3967</v>
      </c>
      <c r="B1051" s="20" t="str">
        <f>IFERROR(__xludf.DUMMYFUNCTION("REGEXREPLACE(A1051, ""^https?://[^/]+"", """")"),"/sales-hiring-strategy-how-to-hire-top-sales-talent/")</f>
        <v>/sales-hiring-strategy-how-to-hire-top-sales-talent/</v>
      </c>
      <c r="C1051" s="1" t="s">
        <v>3968</v>
      </c>
      <c r="D1051" s="1" t="s">
        <v>3969</v>
      </c>
      <c r="E1051" s="1" t="s">
        <v>3970</v>
      </c>
      <c r="F1051" s="1" t="s">
        <v>965</v>
      </c>
      <c r="G1051" s="1">
        <v>200.0</v>
      </c>
      <c r="H1051" s="1" t="s">
        <v>966</v>
      </c>
      <c r="I1051" s="1" t="s">
        <v>967</v>
      </c>
      <c r="K1051" s="1" t="s">
        <v>3971</v>
      </c>
      <c r="L1051" s="1">
        <v>76.0</v>
      </c>
      <c r="M1051" s="1">
        <v>672.0</v>
      </c>
      <c r="O1051" s="1">
        <v>0.0</v>
      </c>
      <c r="P1051" s="1">
        <v>0.0</v>
      </c>
      <c r="Q1051" s="1" t="s">
        <v>3972</v>
      </c>
      <c r="R1051" s="1">
        <v>155.0</v>
      </c>
      <c r="S1051" s="1">
        <v>915.0</v>
      </c>
      <c r="U1051" s="1">
        <v>0.0</v>
      </c>
      <c r="V1051" s="1" t="s">
        <v>3968</v>
      </c>
      <c r="W1051" s="1">
        <v>51.0</v>
      </c>
      <c r="Y1051" s="1">
        <v>0.0</v>
      </c>
      <c r="Z1051" s="1" t="s">
        <v>3969</v>
      </c>
      <c r="AA1051" s="1">
        <v>30.0</v>
      </c>
      <c r="AB1051" s="1" t="s">
        <v>3970</v>
      </c>
      <c r="AC1051" s="1">
        <v>56.0</v>
      </c>
      <c r="AD1051" s="1" t="s">
        <v>971</v>
      </c>
      <c r="AG1051" s="9" t="s">
        <v>3967</v>
      </c>
      <c r="AM1051" s="1">
        <v>204800.0</v>
      </c>
      <c r="AN1051" s="1">
        <v>36439.0</v>
      </c>
      <c r="AO1051" s="1">
        <v>36439.0</v>
      </c>
      <c r="AP1051" s="1">
        <v>13.959</v>
      </c>
      <c r="AR1051" s="1">
        <v>1304.0</v>
      </c>
      <c r="AS1051" s="1">
        <v>205.0</v>
      </c>
      <c r="AT1051" s="1">
        <v>6.361</v>
      </c>
      <c r="AU1051" s="1">
        <v>55.832</v>
      </c>
      <c r="AV1051" s="1" t="s">
        <v>972</v>
      </c>
      <c r="AW1051" s="1">
        <v>5.24</v>
      </c>
      <c r="AX1051" s="1">
        <v>3.0</v>
      </c>
      <c r="AY1051" s="1">
        <v>1.0</v>
      </c>
      <c r="AZ1051" s="1">
        <v>1.0</v>
      </c>
      <c r="BA1051" s="1">
        <v>2.0</v>
      </c>
      <c r="BB1051" s="1">
        <v>1.0</v>
      </c>
      <c r="BC1051" s="1">
        <v>0.0</v>
      </c>
      <c r="BD1051" s="1">
        <v>0.13</v>
      </c>
      <c r="BE1051" s="1">
        <v>132.0</v>
      </c>
      <c r="BF1051" s="1">
        <v>48.0</v>
      </c>
      <c r="BG1051" s="1">
        <v>0.0</v>
      </c>
      <c r="BH1051" s="1">
        <v>19.0</v>
      </c>
      <c r="BI1051" s="1">
        <v>11.0</v>
      </c>
      <c r="BJ1051" s="1">
        <v>0.0</v>
      </c>
      <c r="BO1051" s="1" t="s">
        <v>3973</v>
      </c>
      <c r="BP1051" s="1">
        <v>1.022</v>
      </c>
      <c r="BU1051" s="1" t="s">
        <v>974</v>
      </c>
      <c r="BV1051" s="1">
        <v>1.1</v>
      </c>
      <c r="EQ1051" s="9" t="s">
        <v>3967</v>
      </c>
      <c r="ER1051" s="21">
        <v>46045.3</v>
      </c>
    </row>
    <row r="1052">
      <c r="A1052" s="9" t="s">
        <v>3974</v>
      </c>
      <c r="B1052" s="20" t="str">
        <f>IFERROR(__xludf.DUMMYFUNCTION("REGEXREPLACE(A1052, ""^https?://[^/]+"", """")"),"/wp-content/uploads/2023/05/pod-thumb-300x195.jpg")</f>
        <v>/wp-content/uploads/2023/05/pod-thumb-300x195.jpg</v>
      </c>
      <c r="F1052" s="1" t="s">
        <v>1004</v>
      </c>
      <c r="G1052" s="1">
        <v>200.0</v>
      </c>
      <c r="H1052" s="1" t="s">
        <v>966</v>
      </c>
      <c r="I1052" s="1" t="s">
        <v>967</v>
      </c>
      <c r="L1052" s="1">
        <v>0.0</v>
      </c>
      <c r="M1052" s="1">
        <v>0.0</v>
      </c>
      <c r="O1052" s="1">
        <v>0.0</v>
      </c>
      <c r="P1052" s="1">
        <v>0.0</v>
      </c>
      <c r="R1052" s="1">
        <v>0.0</v>
      </c>
      <c r="S1052" s="1">
        <v>0.0</v>
      </c>
      <c r="U1052" s="1">
        <v>0.0</v>
      </c>
      <c r="W1052" s="1">
        <v>0.0</v>
      </c>
      <c r="Y1052" s="1">
        <v>0.0</v>
      </c>
      <c r="AA1052" s="1">
        <v>0.0</v>
      </c>
      <c r="AC1052" s="1">
        <v>0.0</v>
      </c>
      <c r="AM1052" s="1">
        <v>14185.0</v>
      </c>
      <c r="AN1052" s="1">
        <v>14185.0</v>
      </c>
      <c r="AO1052" s="1">
        <v>14185.0</v>
      </c>
      <c r="AP1052" s="1">
        <v>5.434</v>
      </c>
      <c r="AR1052" s="1">
        <v>0.0</v>
      </c>
      <c r="AW1052" s="1">
        <v>0.0</v>
      </c>
      <c r="AX1052" s="1">
        <v>3.0</v>
      </c>
      <c r="AY1052" s="1">
        <v>4.0</v>
      </c>
      <c r="BA1052" s="1">
        <v>0.0</v>
      </c>
      <c r="BB1052" s="1">
        <v>0.0</v>
      </c>
      <c r="BC1052" s="1">
        <v>0.0</v>
      </c>
      <c r="BD1052" s="1">
        <v>0.0</v>
      </c>
      <c r="BE1052" s="1">
        <v>0.0</v>
      </c>
      <c r="BF1052" s="1">
        <v>0.0</v>
      </c>
      <c r="BG1052" s="1">
        <v>0.0</v>
      </c>
      <c r="BH1052" s="1">
        <v>0.0</v>
      </c>
      <c r="BI1052" s="1">
        <v>0.0</v>
      </c>
      <c r="BJ1052" s="1">
        <v>0.0</v>
      </c>
      <c r="BP1052" s="1">
        <v>0.261</v>
      </c>
      <c r="BQ1052" s="1" t="s">
        <v>3975</v>
      </c>
      <c r="BV1052" s="1">
        <v>1.1</v>
      </c>
      <c r="EQ1052" s="9" t="s">
        <v>3974</v>
      </c>
      <c r="ER1052" s="21">
        <v>46045.30002314815</v>
      </c>
    </row>
    <row r="1053">
      <c r="A1053" s="9" t="s">
        <v>3976</v>
      </c>
      <c r="B1053" s="20" t="str">
        <f>IFERROR(__xludf.DUMMYFUNCTION("REGEXREPLACE(A1053, ""^https?://[^/]+"", """")"),"/5-hiring-strategies-you-cant-overlook-if-you-want-to-avoid-the-wrong-hire/")</f>
        <v>/5-hiring-strategies-you-cant-overlook-if-you-want-to-avoid-the-wrong-hire/</v>
      </c>
      <c r="C1053" s="1" t="s">
        <v>3977</v>
      </c>
      <c r="D1053" s="1" t="s">
        <v>3978</v>
      </c>
      <c r="E1053" s="1" t="s">
        <v>3979</v>
      </c>
      <c r="F1053" s="1" t="s">
        <v>965</v>
      </c>
      <c r="G1053" s="1">
        <v>200.0</v>
      </c>
      <c r="H1053" s="1" t="s">
        <v>966</v>
      </c>
      <c r="I1053" s="1" t="s">
        <v>967</v>
      </c>
      <c r="K1053" s="1" t="s">
        <v>3980</v>
      </c>
      <c r="L1053" s="1">
        <v>99.0</v>
      </c>
      <c r="M1053" s="1">
        <v>879.0</v>
      </c>
      <c r="O1053" s="1">
        <v>0.0</v>
      </c>
      <c r="P1053" s="1">
        <v>0.0</v>
      </c>
      <c r="Q1053" s="1" t="s">
        <v>3981</v>
      </c>
      <c r="R1053" s="1">
        <v>155.0</v>
      </c>
      <c r="S1053" s="1">
        <v>940.0</v>
      </c>
      <c r="U1053" s="1">
        <v>0.0</v>
      </c>
      <c r="V1053" s="1" t="s">
        <v>3977</v>
      </c>
      <c r="W1053" s="1">
        <v>74.0</v>
      </c>
      <c r="Y1053" s="1">
        <v>0.0</v>
      </c>
      <c r="Z1053" s="1" t="s">
        <v>3978</v>
      </c>
      <c r="AA1053" s="1">
        <v>28.0</v>
      </c>
      <c r="AB1053" s="1" t="s">
        <v>3979</v>
      </c>
      <c r="AC1053" s="1">
        <v>42.0</v>
      </c>
      <c r="AD1053" s="1" t="s">
        <v>971</v>
      </c>
      <c r="AG1053" s="9" t="s">
        <v>3976</v>
      </c>
      <c r="AM1053" s="1">
        <v>203889.0</v>
      </c>
      <c r="AN1053" s="1">
        <v>36577.0</v>
      </c>
      <c r="AO1053" s="1">
        <v>36577.0</v>
      </c>
      <c r="AP1053" s="1">
        <v>14.012</v>
      </c>
      <c r="AR1053" s="1">
        <v>1379.0</v>
      </c>
      <c r="AS1053" s="1">
        <v>225.0</v>
      </c>
      <c r="AT1053" s="1">
        <v>6.129</v>
      </c>
      <c r="AU1053" s="1">
        <v>56.751</v>
      </c>
      <c r="AV1053" s="1" t="s">
        <v>972</v>
      </c>
      <c r="AW1053" s="1">
        <v>5.494</v>
      </c>
      <c r="AX1053" s="1">
        <v>3.0</v>
      </c>
      <c r="AY1053" s="1">
        <v>1.0</v>
      </c>
      <c r="AZ1053" s="1">
        <v>1.0</v>
      </c>
      <c r="BA1053" s="1">
        <v>2.0</v>
      </c>
      <c r="BB1053" s="1">
        <v>1.0</v>
      </c>
      <c r="BC1053" s="1">
        <v>0.0</v>
      </c>
      <c r="BD1053" s="1">
        <v>0.13</v>
      </c>
      <c r="BE1053" s="1">
        <v>132.0</v>
      </c>
      <c r="BF1053" s="1">
        <v>48.0</v>
      </c>
      <c r="BG1053" s="1">
        <v>0.0</v>
      </c>
      <c r="BH1053" s="1">
        <v>18.0</v>
      </c>
      <c r="BI1053" s="1">
        <v>10.0</v>
      </c>
      <c r="BJ1053" s="1">
        <v>0.0</v>
      </c>
      <c r="BO1053" s="1" t="s">
        <v>3982</v>
      </c>
      <c r="BP1053" s="1">
        <v>1.246</v>
      </c>
      <c r="BU1053" s="1" t="s">
        <v>974</v>
      </c>
      <c r="BV1053" s="1">
        <v>1.1</v>
      </c>
      <c r="EQ1053" s="9" t="s">
        <v>3976</v>
      </c>
      <c r="ER1053" s="21">
        <v>46045.30001157407</v>
      </c>
    </row>
    <row r="1054">
      <c r="A1054" s="9" t="s">
        <v>3983</v>
      </c>
      <c r="B1054" s="20" t="str">
        <f>IFERROR(__xludf.DUMMYFUNCTION("REGEXREPLACE(A1054, ""^https?://[^/]+"", """")"),"/wp-content/uploads/2025/12/adasdaadada-300x164.jpg")</f>
        <v>/wp-content/uploads/2025/12/adasdaadada-300x164.jpg</v>
      </c>
      <c r="F1054" s="1" t="s">
        <v>1004</v>
      </c>
      <c r="G1054" s="1">
        <v>200.0</v>
      </c>
      <c r="H1054" s="1" t="s">
        <v>966</v>
      </c>
      <c r="I1054" s="1" t="s">
        <v>967</v>
      </c>
      <c r="L1054" s="1">
        <v>0.0</v>
      </c>
      <c r="M1054" s="1">
        <v>0.0</v>
      </c>
      <c r="O1054" s="1">
        <v>0.0</v>
      </c>
      <c r="P1054" s="1">
        <v>0.0</v>
      </c>
      <c r="R1054" s="1">
        <v>0.0</v>
      </c>
      <c r="S1054" s="1">
        <v>0.0</v>
      </c>
      <c r="U1054" s="1">
        <v>0.0</v>
      </c>
      <c r="W1054" s="1">
        <v>0.0</v>
      </c>
      <c r="Y1054" s="1">
        <v>0.0</v>
      </c>
      <c r="AA1054" s="1">
        <v>0.0</v>
      </c>
      <c r="AC1054" s="1">
        <v>0.0</v>
      </c>
      <c r="AM1054" s="1">
        <v>14557.0</v>
      </c>
      <c r="AN1054" s="1">
        <v>14557.0</v>
      </c>
      <c r="AO1054" s="1">
        <v>14557.0</v>
      </c>
      <c r="AP1054" s="1">
        <v>5.577</v>
      </c>
      <c r="AR1054" s="1">
        <v>0.0</v>
      </c>
      <c r="AW1054" s="1">
        <v>0.0</v>
      </c>
      <c r="AX1054" s="1">
        <v>3.0</v>
      </c>
      <c r="AY1054" s="1">
        <v>4.0</v>
      </c>
      <c r="BA1054" s="1">
        <v>0.0</v>
      </c>
      <c r="BB1054" s="1">
        <v>0.0</v>
      </c>
      <c r="BC1054" s="1">
        <v>0.0</v>
      </c>
      <c r="BD1054" s="1">
        <v>0.0</v>
      </c>
      <c r="BE1054" s="1">
        <v>0.0</v>
      </c>
      <c r="BF1054" s="1">
        <v>0.0</v>
      </c>
      <c r="BG1054" s="1">
        <v>0.0</v>
      </c>
      <c r="BH1054" s="1">
        <v>0.0</v>
      </c>
      <c r="BI1054" s="1">
        <v>0.0</v>
      </c>
      <c r="BJ1054" s="1">
        <v>0.0</v>
      </c>
      <c r="BP1054" s="1">
        <v>0.264</v>
      </c>
      <c r="BQ1054" s="1" t="s">
        <v>1514</v>
      </c>
      <c r="BV1054" s="1">
        <v>1.1</v>
      </c>
      <c r="EQ1054" s="9" t="s">
        <v>3983</v>
      </c>
      <c r="ER1054" s="21">
        <v>46045.30002314815</v>
      </c>
    </row>
    <row r="1055">
      <c r="A1055" s="9" t="s">
        <v>3984</v>
      </c>
      <c r="B1055" s="20" t="str">
        <f>IFERROR(__xludf.DUMMYFUNCTION("REGEXREPLACE(A1055, ""^https?://[^/]+"", """")"),"/how-leaders-of-sales-teams-should-approach-retention/")</f>
        <v>/how-leaders-of-sales-teams-should-approach-retention/</v>
      </c>
      <c r="C1055" s="1" t="s">
        <v>3985</v>
      </c>
      <c r="D1055" s="1" t="s">
        <v>3986</v>
      </c>
      <c r="F1055" s="1" t="s">
        <v>965</v>
      </c>
      <c r="G1055" s="1">
        <v>200.0</v>
      </c>
      <c r="H1055" s="1" t="s">
        <v>966</v>
      </c>
      <c r="I1055" s="1" t="s">
        <v>967</v>
      </c>
      <c r="K1055" s="1" t="s">
        <v>3987</v>
      </c>
      <c r="L1055" s="1">
        <v>52.0</v>
      </c>
      <c r="M1055" s="1">
        <v>487.0</v>
      </c>
      <c r="O1055" s="1">
        <v>0.0</v>
      </c>
      <c r="P1055" s="1">
        <v>0.0</v>
      </c>
      <c r="Q1055" s="1" t="s">
        <v>3988</v>
      </c>
      <c r="R1055" s="1">
        <v>156.0</v>
      </c>
      <c r="S1055" s="1">
        <v>963.0</v>
      </c>
      <c r="U1055" s="1">
        <v>0.0</v>
      </c>
      <c r="V1055" s="1" t="s">
        <v>3985</v>
      </c>
      <c r="W1055" s="1">
        <v>52.0</v>
      </c>
      <c r="Y1055" s="1">
        <v>0.0</v>
      </c>
      <c r="Z1055" s="1" t="s">
        <v>3986</v>
      </c>
      <c r="AA1055" s="1">
        <v>11.0</v>
      </c>
      <c r="AC1055" s="1">
        <v>0.0</v>
      </c>
      <c r="AD1055" s="1" t="s">
        <v>971</v>
      </c>
      <c r="AG1055" s="9" t="s">
        <v>3984</v>
      </c>
      <c r="AM1055" s="1">
        <v>195983.0</v>
      </c>
      <c r="AN1055" s="1">
        <v>33058.0</v>
      </c>
      <c r="AO1055" s="1">
        <v>33058.0</v>
      </c>
      <c r="AP1055" s="1">
        <v>12.664</v>
      </c>
      <c r="AR1055" s="1">
        <v>616.0</v>
      </c>
      <c r="AS1055" s="1">
        <v>108.0</v>
      </c>
      <c r="AT1055" s="1">
        <v>5.704</v>
      </c>
      <c r="AU1055" s="1">
        <v>61.373</v>
      </c>
      <c r="AV1055" s="1" t="s">
        <v>990</v>
      </c>
      <c r="AW1055" s="1">
        <v>3.163</v>
      </c>
      <c r="AX1055" s="1">
        <v>3.0</v>
      </c>
      <c r="AY1055" s="1">
        <v>1.0</v>
      </c>
      <c r="AZ1055" s="1">
        <v>1.0</v>
      </c>
      <c r="BA1055" s="1">
        <v>2.0</v>
      </c>
      <c r="BB1055" s="1">
        <v>1.0</v>
      </c>
      <c r="BC1055" s="1">
        <v>0.0</v>
      </c>
      <c r="BD1055" s="1">
        <v>0.13</v>
      </c>
      <c r="BE1055" s="1">
        <v>129.0</v>
      </c>
      <c r="BF1055" s="1">
        <v>47.0</v>
      </c>
      <c r="BG1055" s="1">
        <v>0.0</v>
      </c>
      <c r="BH1055" s="1">
        <v>16.0</v>
      </c>
      <c r="BI1055" s="1">
        <v>8.0</v>
      </c>
      <c r="BJ1055" s="1">
        <v>0.0</v>
      </c>
      <c r="BO1055" s="1" t="s">
        <v>3989</v>
      </c>
      <c r="BP1055" s="1">
        <v>1.348</v>
      </c>
      <c r="BU1055" s="1" t="s">
        <v>974</v>
      </c>
      <c r="BV1055" s="1">
        <v>1.1</v>
      </c>
      <c r="EQ1055" s="9" t="s">
        <v>3984</v>
      </c>
      <c r="ER1055" s="21">
        <v>46045.30001157407</v>
      </c>
    </row>
    <row r="1056">
      <c r="A1056" s="9" t="s">
        <v>3990</v>
      </c>
      <c r="B1056" s="20" t="str">
        <f>IFERROR(__xludf.DUMMYFUNCTION("REGEXREPLACE(A1056, ""^https?://[^/]+"", """")"),"/wp-content/uploads/2024/11/Hiring-Strategies-to-Avoid-the-Wrong-Hire-300x200.jpg")</f>
        <v>/wp-content/uploads/2024/11/Hiring-Strategies-to-Avoid-the-Wrong-Hire-300x200.jpg</v>
      </c>
      <c r="F1056" s="1" t="s">
        <v>1004</v>
      </c>
      <c r="G1056" s="1">
        <v>200.0</v>
      </c>
      <c r="H1056" s="1" t="s">
        <v>966</v>
      </c>
      <c r="I1056" s="1" t="s">
        <v>967</v>
      </c>
      <c r="L1056" s="1">
        <v>0.0</v>
      </c>
      <c r="M1056" s="1">
        <v>0.0</v>
      </c>
      <c r="O1056" s="1">
        <v>0.0</v>
      </c>
      <c r="P1056" s="1">
        <v>0.0</v>
      </c>
      <c r="R1056" s="1">
        <v>0.0</v>
      </c>
      <c r="S1056" s="1">
        <v>0.0</v>
      </c>
      <c r="U1056" s="1">
        <v>0.0</v>
      </c>
      <c r="W1056" s="1">
        <v>0.0</v>
      </c>
      <c r="Y1056" s="1">
        <v>0.0</v>
      </c>
      <c r="AA1056" s="1">
        <v>0.0</v>
      </c>
      <c r="AC1056" s="1">
        <v>0.0</v>
      </c>
      <c r="AM1056" s="1">
        <v>14615.0</v>
      </c>
      <c r="AN1056" s="1">
        <v>14615.0</v>
      </c>
      <c r="AO1056" s="1">
        <v>14615.0</v>
      </c>
      <c r="AP1056" s="1">
        <v>5.599</v>
      </c>
      <c r="AR1056" s="1">
        <v>0.0</v>
      </c>
      <c r="AW1056" s="1">
        <v>0.0</v>
      </c>
      <c r="AX1056" s="1">
        <v>3.0</v>
      </c>
      <c r="AY1056" s="1">
        <v>4.0</v>
      </c>
      <c r="BA1056" s="1">
        <v>0.0</v>
      </c>
      <c r="BB1056" s="1">
        <v>0.0</v>
      </c>
      <c r="BC1056" s="1">
        <v>0.0</v>
      </c>
      <c r="BD1056" s="1">
        <v>0.0</v>
      </c>
      <c r="BE1056" s="1">
        <v>0.0</v>
      </c>
      <c r="BF1056" s="1">
        <v>0.0</v>
      </c>
      <c r="BG1056" s="1">
        <v>0.0</v>
      </c>
      <c r="BH1056" s="1">
        <v>0.0</v>
      </c>
      <c r="BI1056" s="1">
        <v>0.0</v>
      </c>
      <c r="BJ1056" s="1">
        <v>0.0</v>
      </c>
      <c r="BP1056" s="1">
        <v>0.267</v>
      </c>
      <c r="BQ1056" s="1" t="s">
        <v>3991</v>
      </c>
      <c r="BV1056" s="1">
        <v>1.1</v>
      </c>
      <c r="EQ1056" s="9" t="s">
        <v>3990</v>
      </c>
      <c r="ER1056" s="21">
        <v>46045.30002314815</v>
      </c>
    </row>
    <row r="1057">
      <c r="A1057" s="9" t="s">
        <v>3992</v>
      </c>
      <c r="B1057" s="20" t="str">
        <f>IFERROR(__xludf.DUMMYFUNCTION("REGEXREPLACE(A1057, ""^https?://[^/]+"", """")"),"/wp-content/uploads/2025/12/Sales-Team-Meeting-300x105.jpg")</f>
        <v>/wp-content/uploads/2025/12/Sales-Team-Meeting-300x105.jpg</v>
      </c>
      <c r="F1057" s="1" t="s">
        <v>1004</v>
      </c>
      <c r="G1057" s="1">
        <v>200.0</v>
      </c>
      <c r="H1057" s="1" t="s">
        <v>966</v>
      </c>
      <c r="I1057" s="1" t="s">
        <v>967</v>
      </c>
      <c r="L1057" s="1">
        <v>0.0</v>
      </c>
      <c r="M1057" s="1">
        <v>0.0</v>
      </c>
      <c r="O1057" s="1">
        <v>0.0</v>
      </c>
      <c r="P1057" s="1">
        <v>0.0</v>
      </c>
      <c r="R1057" s="1">
        <v>0.0</v>
      </c>
      <c r="S1057" s="1">
        <v>0.0</v>
      </c>
      <c r="U1057" s="1">
        <v>0.0</v>
      </c>
      <c r="W1057" s="1">
        <v>0.0</v>
      </c>
      <c r="Y1057" s="1">
        <v>0.0</v>
      </c>
      <c r="AA1057" s="1">
        <v>0.0</v>
      </c>
      <c r="AC1057" s="1">
        <v>0.0</v>
      </c>
      <c r="AM1057" s="1">
        <v>11227.0</v>
      </c>
      <c r="AN1057" s="1">
        <v>11227.0</v>
      </c>
      <c r="AO1057" s="1">
        <v>11227.0</v>
      </c>
      <c r="AP1057" s="1">
        <v>4.301</v>
      </c>
      <c r="AR1057" s="1">
        <v>0.0</v>
      </c>
      <c r="AW1057" s="1">
        <v>0.0</v>
      </c>
      <c r="AX1057" s="1">
        <v>3.0</v>
      </c>
      <c r="AY1057" s="1">
        <v>4.0</v>
      </c>
      <c r="BA1057" s="1">
        <v>0.0</v>
      </c>
      <c r="BB1057" s="1">
        <v>0.0</v>
      </c>
      <c r="BC1057" s="1">
        <v>0.0</v>
      </c>
      <c r="BD1057" s="1">
        <v>0.0</v>
      </c>
      <c r="BE1057" s="1">
        <v>0.0</v>
      </c>
      <c r="BF1057" s="1">
        <v>0.0</v>
      </c>
      <c r="BG1057" s="1">
        <v>0.0</v>
      </c>
      <c r="BH1057" s="1">
        <v>0.0</v>
      </c>
      <c r="BI1057" s="1">
        <v>0.0</v>
      </c>
      <c r="BJ1057" s="1">
        <v>0.0</v>
      </c>
      <c r="BP1057" s="1">
        <v>0.268</v>
      </c>
      <c r="BQ1057" s="1" t="s">
        <v>1506</v>
      </c>
      <c r="BV1057" s="1">
        <v>1.1</v>
      </c>
      <c r="EQ1057" s="9" t="s">
        <v>3992</v>
      </c>
      <c r="ER1057" s="21">
        <v>46045.30002314815</v>
      </c>
    </row>
    <row r="1058">
      <c r="A1058" s="9" t="s">
        <v>3993</v>
      </c>
      <c r="B1058" s="20" t="str">
        <f>IFERROR(__xludf.DUMMYFUNCTION("REGEXREPLACE(A1058, ""^https?://[^/]+"", """")"),"/wp-content/uploads/2025/11/The-Power-of-SMART-Goals-in-Recruiting-1024x683-1-300x200.jpg")</f>
        <v>/wp-content/uploads/2025/11/The-Power-of-SMART-Goals-in-Recruiting-1024x683-1-300x200.jpg</v>
      </c>
      <c r="F1058" s="1" t="s">
        <v>1004</v>
      </c>
      <c r="G1058" s="1">
        <v>200.0</v>
      </c>
      <c r="H1058" s="1" t="s">
        <v>966</v>
      </c>
      <c r="I1058" s="1" t="s">
        <v>967</v>
      </c>
      <c r="L1058" s="1">
        <v>0.0</v>
      </c>
      <c r="M1058" s="1">
        <v>0.0</v>
      </c>
      <c r="O1058" s="1">
        <v>0.0</v>
      </c>
      <c r="P1058" s="1">
        <v>0.0</v>
      </c>
      <c r="R1058" s="1">
        <v>0.0</v>
      </c>
      <c r="S1058" s="1">
        <v>0.0</v>
      </c>
      <c r="U1058" s="1">
        <v>0.0</v>
      </c>
      <c r="W1058" s="1">
        <v>0.0</v>
      </c>
      <c r="Y1058" s="1">
        <v>0.0</v>
      </c>
      <c r="AA1058" s="1">
        <v>0.0</v>
      </c>
      <c r="AC1058" s="1">
        <v>0.0</v>
      </c>
      <c r="AM1058" s="1">
        <v>7661.0</v>
      </c>
      <c r="AN1058" s="1">
        <v>7661.0</v>
      </c>
      <c r="AO1058" s="1">
        <v>7661.0</v>
      </c>
      <c r="AP1058" s="1">
        <v>2.935</v>
      </c>
      <c r="AR1058" s="1">
        <v>0.0</v>
      </c>
      <c r="AW1058" s="1">
        <v>0.0</v>
      </c>
      <c r="AX1058" s="1">
        <v>3.0</v>
      </c>
      <c r="AY1058" s="1">
        <v>4.0</v>
      </c>
      <c r="BA1058" s="1">
        <v>0.0</v>
      </c>
      <c r="BB1058" s="1">
        <v>0.0</v>
      </c>
      <c r="BC1058" s="1">
        <v>0.0</v>
      </c>
      <c r="BD1058" s="1">
        <v>0.0</v>
      </c>
      <c r="BE1058" s="1">
        <v>0.0</v>
      </c>
      <c r="BF1058" s="1">
        <v>0.0</v>
      </c>
      <c r="BG1058" s="1">
        <v>0.0</v>
      </c>
      <c r="BH1058" s="1">
        <v>0.0</v>
      </c>
      <c r="BI1058" s="1">
        <v>0.0</v>
      </c>
      <c r="BJ1058" s="1">
        <v>0.0</v>
      </c>
      <c r="BP1058" s="1">
        <v>0.275</v>
      </c>
      <c r="BQ1058" s="1" t="s">
        <v>3856</v>
      </c>
      <c r="BV1058" s="1">
        <v>1.1</v>
      </c>
      <c r="EQ1058" s="9" t="s">
        <v>3993</v>
      </c>
      <c r="ER1058" s="21">
        <v>46045.30003472222</v>
      </c>
    </row>
    <row r="1059">
      <c r="A1059" s="9" t="s">
        <v>3994</v>
      </c>
      <c r="B1059" s="20" t="str">
        <f>IFERROR(__xludf.DUMMYFUNCTION("REGEXREPLACE(A1059, ""^https?://[^/]+"", """")"),"/7-essential-tips-for-interviewing-top-sales-talent/")</f>
        <v>/7-essential-tips-for-interviewing-top-sales-talent/</v>
      </c>
      <c r="C1059" s="1" t="s">
        <v>3995</v>
      </c>
      <c r="D1059" s="1" t="s">
        <v>3996</v>
      </c>
      <c r="E1059" s="1" t="s">
        <v>3997</v>
      </c>
      <c r="F1059" s="1" t="s">
        <v>965</v>
      </c>
      <c r="G1059" s="1">
        <v>200.0</v>
      </c>
      <c r="H1059" s="1" t="s">
        <v>966</v>
      </c>
      <c r="I1059" s="1" t="s">
        <v>967</v>
      </c>
      <c r="K1059" s="1" t="s">
        <v>3998</v>
      </c>
      <c r="L1059" s="1">
        <v>75.0</v>
      </c>
      <c r="M1059" s="1">
        <v>654.0</v>
      </c>
      <c r="O1059" s="1">
        <v>0.0</v>
      </c>
      <c r="P1059" s="1">
        <v>0.0</v>
      </c>
      <c r="Q1059" s="1" t="s">
        <v>3999</v>
      </c>
      <c r="R1059" s="1">
        <v>154.0</v>
      </c>
      <c r="S1059" s="1">
        <v>929.0</v>
      </c>
      <c r="U1059" s="1">
        <v>0.0</v>
      </c>
      <c r="V1059" s="1" t="s">
        <v>3995</v>
      </c>
      <c r="W1059" s="1">
        <v>50.0</v>
      </c>
      <c r="Y1059" s="1">
        <v>0.0</v>
      </c>
      <c r="Z1059" s="1" t="s">
        <v>3996</v>
      </c>
      <c r="AA1059" s="1">
        <v>86.0</v>
      </c>
      <c r="AB1059" s="1" t="s">
        <v>3997</v>
      </c>
      <c r="AC1059" s="1">
        <v>15.0</v>
      </c>
      <c r="AD1059" s="1" t="s">
        <v>971</v>
      </c>
      <c r="AG1059" s="9" t="s">
        <v>3994</v>
      </c>
      <c r="AM1059" s="1">
        <v>200093.0</v>
      </c>
      <c r="AN1059" s="1">
        <v>35750.0</v>
      </c>
      <c r="AO1059" s="1">
        <v>35750.0</v>
      </c>
      <c r="AP1059" s="1">
        <v>13.695</v>
      </c>
      <c r="AR1059" s="1">
        <v>1188.0</v>
      </c>
      <c r="AS1059" s="1">
        <v>189.0</v>
      </c>
      <c r="AT1059" s="1">
        <v>6.286</v>
      </c>
      <c r="AU1059" s="1">
        <v>56.678</v>
      </c>
      <c r="AV1059" s="1" t="s">
        <v>972</v>
      </c>
      <c r="AW1059" s="1">
        <v>4.968</v>
      </c>
      <c r="AX1059" s="1">
        <v>3.0</v>
      </c>
      <c r="AY1059" s="1">
        <v>1.0</v>
      </c>
      <c r="AZ1059" s="1">
        <v>1.0</v>
      </c>
      <c r="BA1059" s="1">
        <v>5.0</v>
      </c>
      <c r="BB1059" s="1">
        <v>2.0</v>
      </c>
      <c r="BC1059" s="1">
        <v>0.0</v>
      </c>
      <c r="BD1059" s="1">
        <v>0.27</v>
      </c>
      <c r="BE1059" s="1">
        <v>131.0</v>
      </c>
      <c r="BF1059" s="1">
        <v>49.0</v>
      </c>
      <c r="BG1059" s="1">
        <v>0.0</v>
      </c>
      <c r="BH1059" s="1">
        <v>16.0</v>
      </c>
      <c r="BI1059" s="1">
        <v>8.0</v>
      </c>
      <c r="BJ1059" s="1">
        <v>0.0</v>
      </c>
      <c r="BO1059" s="1" t="s">
        <v>4000</v>
      </c>
      <c r="BP1059" s="1">
        <v>0.989</v>
      </c>
      <c r="BU1059" s="1" t="s">
        <v>974</v>
      </c>
      <c r="BV1059" s="1">
        <v>1.1</v>
      </c>
      <c r="EQ1059" s="9" t="s">
        <v>3994</v>
      </c>
      <c r="ER1059" s="21">
        <v>46045.30002314815</v>
      </c>
    </row>
    <row r="1060">
      <c r="A1060" s="9" t="s">
        <v>4001</v>
      </c>
      <c r="B1060" s="20" t="str">
        <f>IFERROR(__xludf.DUMMYFUNCTION("REGEXREPLACE(A1060, ""^https?://[^/]+"", """")"),"/high-level-strategies-for-identifying-and-attracting-top-tier-sales-professionals/")</f>
        <v>/high-level-strategies-for-identifying-and-attracting-top-tier-sales-professionals/</v>
      </c>
      <c r="C1060" s="1" t="s">
        <v>4002</v>
      </c>
      <c r="D1060" s="1" t="s">
        <v>4003</v>
      </c>
      <c r="E1060" s="1" t="s">
        <v>4004</v>
      </c>
      <c r="F1060" s="1" t="s">
        <v>965</v>
      </c>
      <c r="G1060" s="1">
        <v>200.0</v>
      </c>
      <c r="H1060" s="1" t="s">
        <v>966</v>
      </c>
      <c r="I1060" s="1" t="s">
        <v>967</v>
      </c>
      <c r="K1060" s="1" t="s">
        <v>4005</v>
      </c>
      <c r="L1060" s="1">
        <v>106.0</v>
      </c>
      <c r="M1060" s="1">
        <v>928.0</v>
      </c>
      <c r="O1060" s="1">
        <v>0.0</v>
      </c>
      <c r="P1060" s="1">
        <v>0.0</v>
      </c>
      <c r="Q1060" s="1" t="s">
        <v>4006</v>
      </c>
      <c r="R1060" s="1">
        <v>162.0</v>
      </c>
      <c r="S1060" s="1">
        <v>956.0</v>
      </c>
      <c r="U1060" s="1">
        <v>0.0</v>
      </c>
      <c r="V1060" s="1" t="s">
        <v>4002</v>
      </c>
      <c r="W1060" s="1">
        <v>81.0</v>
      </c>
      <c r="Y1060" s="1">
        <v>0.0</v>
      </c>
      <c r="Z1060" s="1" t="s">
        <v>4003</v>
      </c>
      <c r="AA1060" s="1">
        <v>68.0</v>
      </c>
      <c r="AB1060" s="1" t="s">
        <v>4004</v>
      </c>
      <c r="AC1060" s="1">
        <v>61.0</v>
      </c>
      <c r="AD1060" s="1" t="s">
        <v>971</v>
      </c>
      <c r="AG1060" s="9" t="s">
        <v>4001</v>
      </c>
      <c r="AM1060" s="1">
        <v>202548.0</v>
      </c>
      <c r="AN1060" s="1">
        <v>36033.0</v>
      </c>
      <c r="AO1060" s="1">
        <v>36033.0</v>
      </c>
      <c r="AP1060" s="1">
        <v>13.804</v>
      </c>
      <c r="AR1060" s="1">
        <v>1204.0</v>
      </c>
      <c r="AS1060" s="1">
        <v>202.0</v>
      </c>
      <c r="AT1060" s="1">
        <v>5.96</v>
      </c>
      <c r="AU1060" s="1">
        <v>51.4</v>
      </c>
      <c r="AV1060" s="1" t="s">
        <v>972</v>
      </c>
      <c r="AW1060" s="1">
        <v>5.121</v>
      </c>
      <c r="AX1060" s="1">
        <v>3.0</v>
      </c>
      <c r="AY1060" s="1">
        <v>1.0</v>
      </c>
      <c r="AZ1060" s="1">
        <v>1.0</v>
      </c>
      <c r="BA1060" s="1">
        <v>5.0</v>
      </c>
      <c r="BB1060" s="1">
        <v>2.0</v>
      </c>
      <c r="BC1060" s="1">
        <v>0.0</v>
      </c>
      <c r="BD1060" s="1">
        <v>0.27</v>
      </c>
      <c r="BE1060" s="1">
        <v>130.0</v>
      </c>
      <c r="BF1060" s="1">
        <v>48.0</v>
      </c>
      <c r="BG1060" s="1">
        <v>0.0</v>
      </c>
      <c r="BH1060" s="1">
        <v>16.0</v>
      </c>
      <c r="BI1060" s="1">
        <v>8.0</v>
      </c>
      <c r="BJ1060" s="1">
        <v>0.0</v>
      </c>
      <c r="BO1060" s="1" t="s">
        <v>4007</v>
      </c>
      <c r="BP1060" s="1">
        <v>1.04</v>
      </c>
      <c r="BU1060" s="1" t="s">
        <v>974</v>
      </c>
      <c r="BV1060" s="1">
        <v>1.1</v>
      </c>
      <c r="EQ1060" s="9" t="s">
        <v>4001</v>
      </c>
      <c r="ER1060" s="21">
        <v>46045.30002314815</v>
      </c>
    </row>
    <row r="1061">
      <c r="A1061" s="9" t="s">
        <v>4008</v>
      </c>
      <c r="B1061" s="20" t="str">
        <f>IFERROR(__xludf.DUMMYFUNCTION("REGEXREPLACE(A1061, ""^https?://[^/]+"", """")"),"/wp-content/uploads/2025/12/how-firing-your-topsales-300x200.jpg")</f>
        <v>/wp-content/uploads/2025/12/how-firing-your-topsales-300x200.jpg</v>
      </c>
      <c r="F1061" s="1" t="s">
        <v>1004</v>
      </c>
      <c r="G1061" s="1">
        <v>200.0</v>
      </c>
      <c r="H1061" s="1" t="s">
        <v>966</v>
      </c>
      <c r="I1061" s="1" t="s">
        <v>967</v>
      </c>
      <c r="L1061" s="1">
        <v>0.0</v>
      </c>
      <c r="M1061" s="1">
        <v>0.0</v>
      </c>
      <c r="O1061" s="1">
        <v>0.0</v>
      </c>
      <c r="P1061" s="1">
        <v>0.0</v>
      </c>
      <c r="R1061" s="1">
        <v>0.0</v>
      </c>
      <c r="S1061" s="1">
        <v>0.0</v>
      </c>
      <c r="U1061" s="1">
        <v>0.0</v>
      </c>
      <c r="W1061" s="1">
        <v>0.0</v>
      </c>
      <c r="Y1061" s="1">
        <v>0.0</v>
      </c>
      <c r="AA1061" s="1">
        <v>0.0</v>
      </c>
      <c r="AC1061" s="1">
        <v>0.0</v>
      </c>
      <c r="AM1061" s="1">
        <v>16842.0</v>
      </c>
      <c r="AN1061" s="1">
        <v>16842.0</v>
      </c>
      <c r="AO1061" s="1">
        <v>16842.0</v>
      </c>
      <c r="AP1061" s="1">
        <v>6.452</v>
      </c>
      <c r="AR1061" s="1">
        <v>0.0</v>
      </c>
      <c r="AW1061" s="1">
        <v>0.0</v>
      </c>
      <c r="AX1061" s="1">
        <v>3.0</v>
      </c>
      <c r="AY1061" s="1">
        <v>4.0</v>
      </c>
      <c r="BA1061" s="1">
        <v>0.0</v>
      </c>
      <c r="BB1061" s="1">
        <v>0.0</v>
      </c>
      <c r="BC1061" s="1">
        <v>0.0</v>
      </c>
      <c r="BD1061" s="1">
        <v>0.0</v>
      </c>
      <c r="BE1061" s="1">
        <v>0.0</v>
      </c>
      <c r="BF1061" s="1">
        <v>0.0</v>
      </c>
      <c r="BG1061" s="1">
        <v>0.0</v>
      </c>
      <c r="BH1061" s="1">
        <v>0.0</v>
      </c>
      <c r="BI1061" s="1">
        <v>0.0</v>
      </c>
      <c r="BJ1061" s="1">
        <v>0.0</v>
      </c>
      <c r="BP1061" s="1">
        <v>0.283</v>
      </c>
      <c r="BQ1061" s="1" t="s">
        <v>4009</v>
      </c>
      <c r="BV1061" s="1">
        <v>1.1</v>
      </c>
      <c r="EQ1061" s="9" t="s">
        <v>4008</v>
      </c>
      <c r="ER1061" s="21">
        <v>46045.30003472222</v>
      </c>
    </row>
    <row r="1062">
      <c r="A1062" s="9" t="s">
        <v>4010</v>
      </c>
      <c r="B1062" s="20" t="str">
        <f>IFERROR(__xludf.DUMMYFUNCTION("REGEXREPLACE(A1062, ""^https?://[^/]+"", """")"),"/wp-content/uploads/2025/11/Remote-Sales-Teams-1024x683-1-300x200.jpg")</f>
        <v>/wp-content/uploads/2025/11/Remote-Sales-Teams-1024x683-1-300x200.jpg</v>
      </c>
      <c r="F1062" s="1" t="s">
        <v>1004</v>
      </c>
      <c r="G1062" s="1">
        <v>200.0</v>
      </c>
      <c r="H1062" s="1" t="s">
        <v>966</v>
      </c>
      <c r="I1062" s="1" t="s">
        <v>967</v>
      </c>
      <c r="L1062" s="1">
        <v>0.0</v>
      </c>
      <c r="M1062" s="1">
        <v>0.0</v>
      </c>
      <c r="O1062" s="1">
        <v>0.0</v>
      </c>
      <c r="P1062" s="1">
        <v>0.0</v>
      </c>
      <c r="R1062" s="1">
        <v>0.0</v>
      </c>
      <c r="S1062" s="1">
        <v>0.0</v>
      </c>
      <c r="U1062" s="1">
        <v>0.0</v>
      </c>
      <c r="W1062" s="1">
        <v>0.0</v>
      </c>
      <c r="Y1062" s="1">
        <v>0.0</v>
      </c>
      <c r="AA1062" s="1">
        <v>0.0</v>
      </c>
      <c r="AC1062" s="1">
        <v>0.0</v>
      </c>
      <c r="AM1062" s="1">
        <v>10063.0</v>
      </c>
      <c r="AN1062" s="1">
        <v>10063.0</v>
      </c>
      <c r="AO1062" s="1">
        <v>10063.0</v>
      </c>
      <c r="AP1062" s="1">
        <v>3.855</v>
      </c>
      <c r="AR1062" s="1">
        <v>0.0</v>
      </c>
      <c r="AW1062" s="1">
        <v>0.0</v>
      </c>
      <c r="AX1062" s="1">
        <v>3.0</v>
      </c>
      <c r="AY1062" s="1">
        <v>4.0</v>
      </c>
      <c r="BA1062" s="1">
        <v>0.0</v>
      </c>
      <c r="BB1062" s="1">
        <v>0.0</v>
      </c>
      <c r="BC1062" s="1">
        <v>0.0</v>
      </c>
      <c r="BD1062" s="1">
        <v>0.0</v>
      </c>
      <c r="BE1062" s="1">
        <v>0.0</v>
      </c>
      <c r="BF1062" s="1">
        <v>0.0</v>
      </c>
      <c r="BG1062" s="1">
        <v>0.0</v>
      </c>
      <c r="BH1062" s="1">
        <v>0.0</v>
      </c>
      <c r="BI1062" s="1">
        <v>0.0</v>
      </c>
      <c r="BJ1062" s="1">
        <v>0.0</v>
      </c>
      <c r="BP1062" s="1">
        <v>0.281</v>
      </c>
      <c r="BQ1062" s="1" t="s">
        <v>4011</v>
      </c>
      <c r="BV1062" s="1">
        <v>1.1</v>
      </c>
      <c r="EQ1062" s="9" t="s">
        <v>4010</v>
      </c>
      <c r="ER1062" s="21">
        <v>46045.30003472222</v>
      </c>
    </row>
    <row r="1063">
      <c r="A1063" s="9" t="s">
        <v>1511</v>
      </c>
      <c r="B1063" s="20" t="str">
        <f>IFERROR(__xludf.DUMMYFUNCTION("REGEXREPLACE(A1063, ""^https?://[^/]+"", """")"),"/category/hiring-onboarding/page/2/")</f>
        <v>/category/hiring-onboarding/page/2/</v>
      </c>
      <c r="C1063" s="1" t="s">
        <v>1508</v>
      </c>
      <c r="F1063" s="1" t="s">
        <v>965</v>
      </c>
      <c r="G1063" s="1">
        <v>200.0</v>
      </c>
      <c r="H1063" s="1" t="s">
        <v>966</v>
      </c>
      <c r="I1063" s="1" t="s">
        <v>967</v>
      </c>
      <c r="K1063" s="1" t="s">
        <v>4012</v>
      </c>
      <c r="L1063" s="1">
        <v>61.0</v>
      </c>
      <c r="M1063" s="1">
        <v>544.0</v>
      </c>
      <c r="O1063" s="1">
        <v>0.0</v>
      </c>
      <c r="P1063" s="1">
        <v>0.0</v>
      </c>
      <c r="Q1063" s="1" t="s">
        <v>1510</v>
      </c>
      <c r="R1063" s="1">
        <v>131.0</v>
      </c>
      <c r="S1063" s="1">
        <v>806.0</v>
      </c>
      <c r="U1063" s="1">
        <v>0.0</v>
      </c>
      <c r="V1063" s="1" t="s">
        <v>1508</v>
      </c>
      <c r="W1063" s="1">
        <v>27.0</v>
      </c>
      <c r="Y1063" s="1">
        <v>0.0</v>
      </c>
      <c r="AA1063" s="1">
        <v>0.0</v>
      </c>
      <c r="AC1063" s="1">
        <v>0.0</v>
      </c>
      <c r="AD1063" s="1" t="s">
        <v>971</v>
      </c>
      <c r="AG1063" s="9" t="s">
        <v>1511</v>
      </c>
      <c r="AH1063" s="9" t="s">
        <v>3936</v>
      </c>
      <c r="AI1063" s="9" t="s">
        <v>1507</v>
      </c>
      <c r="AM1063" s="1">
        <v>169773.0</v>
      </c>
      <c r="AN1063" s="1">
        <v>31438.0</v>
      </c>
      <c r="AO1063" s="1">
        <v>31438.0</v>
      </c>
      <c r="AP1063" s="1">
        <v>12.043</v>
      </c>
      <c r="AR1063" s="1">
        <v>645.0</v>
      </c>
      <c r="AS1063" s="1">
        <v>110.0</v>
      </c>
      <c r="AT1063" s="1">
        <v>5.864</v>
      </c>
      <c r="AU1063" s="1">
        <v>60.802</v>
      </c>
      <c r="AV1063" s="1" t="s">
        <v>990</v>
      </c>
      <c r="AW1063" s="1">
        <v>3.793</v>
      </c>
      <c r="AX1063" s="1">
        <v>3.0</v>
      </c>
      <c r="AY1063" s="1">
        <v>4.0</v>
      </c>
      <c r="AZ1063" s="1">
        <v>1.0</v>
      </c>
      <c r="BA1063" s="1">
        <v>6.0</v>
      </c>
      <c r="BB1063" s="1">
        <v>4.0</v>
      </c>
      <c r="BC1063" s="1">
        <v>0.0</v>
      </c>
      <c r="BD1063" s="1">
        <v>0.53</v>
      </c>
      <c r="BE1063" s="1">
        <v>152.0</v>
      </c>
      <c r="BF1063" s="1">
        <v>58.0</v>
      </c>
      <c r="BG1063" s="1">
        <v>0.0</v>
      </c>
      <c r="BH1063" s="1">
        <v>16.0</v>
      </c>
      <c r="BI1063" s="1">
        <v>8.0</v>
      </c>
      <c r="BJ1063" s="1">
        <v>0.0</v>
      </c>
      <c r="BO1063" s="1" t="s">
        <v>4013</v>
      </c>
      <c r="BP1063" s="1">
        <v>0.955</v>
      </c>
      <c r="BU1063" s="1" t="s">
        <v>974</v>
      </c>
      <c r="BV1063" s="1">
        <v>1.1</v>
      </c>
      <c r="EQ1063" s="9" t="s">
        <v>1511</v>
      </c>
      <c r="ER1063" s="21">
        <v>46045.30002314815</v>
      </c>
    </row>
    <row r="1064">
      <c r="A1064" s="9" t="s">
        <v>3938</v>
      </c>
      <c r="B1064" s="20" t="str">
        <f>IFERROR(__xludf.DUMMYFUNCTION("REGEXREPLACE(A1064, ""^https?://[^/]+"", """")"),"/category/hiring-onboarding/page/4/")</f>
        <v>/category/hiring-onboarding/page/4/</v>
      </c>
      <c r="C1064" s="1" t="s">
        <v>1508</v>
      </c>
      <c r="F1064" s="1" t="s">
        <v>965</v>
      </c>
      <c r="G1064" s="1">
        <v>200.0</v>
      </c>
      <c r="H1064" s="1" t="s">
        <v>966</v>
      </c>
      <c r="I1064" s="1" t="s">
        <v>967</v>
      </c>
      <c r="K1064" s="1" t="s">
        <v>4014</v>
      </c>
      <c r="L1064" s="1">
        <v>61.0</v>
      </c>
      <c r="M1064" s="1">
        <v>544.0</v>
      </c>
      <c r="O1064" s="1">
        <v>0.0</v>
      </c>
      <c r="P1064" s="1">
        <v>0.0</v>
      </c>
      <c r="Q1064" s="1" t="s">
        <v>1510</v>
      </c>
      <c r="R1064" s="1">
        <v>131.0</v>
      </c>
      <c r="S1064" s="1">
        <v>806.0</v>
      </c>
      <c r="U1064" s="1">
        <v>0.0</v>
      </c>
      <c r="V1064" s="1" t="s">
        <v>1508</v>
      </c>
      <c r="W1064" s="1">
        <v>27.0</v>
      </c>
      <c r="Y1064" s="1">
        <v>0.0</v>
      </c>
      <c r="AA1064" s="1">
        <v>0.0</v>
      </c>
      <c r="AC1064" s="1">
        <v>0.0</v>
      </c>
      <c r="AD1064" s="1" t="s">
        <v>971</v>
      </c>
      <c r="AG1064" s="9" t="s">
        <v>3938</v>
      </c>
      <c r="AH1064" s="9" t="s">
        <v>3949</v>
      </c>
      <c r="AI1064" s="9" t="s">
        <v>3936</v>
      </c>
      <c r="AM1064" s="1">
        <v>170950.0</v>
      </c>
      <c r="AN1064" s="1">
        <v>31477.0</v>
      </c>
      <c r="AO1064" s="1">
        <v>31477.0</v>
      </c>
      <c r="AP1064" s="1">
        <v>12.058</v>
      </c>
      <c r="AR1064" s="1">
        <v>665.0</v>
      </c>
      <c r="AS1064" s="1">
        <v>110.0</v>
      </c>
      <c r="AT1064" s="1">
        <v>6.045</v>
      </c>
      <c r="AU1064" s="1">
        <v>63.431</v>
      </c>
      <c r="AV1064" s="1" t="s">
        <v>990</v>
      </c>
      <c r="AW1064" s="1">
        <v>3.82</v>
      </c>
      <c r="AX1064" s="1">
        <v>3.0</v>
      </c>
      <c r="AY1064" s="1">
        <v>4.0</v>
      </c>
      <c r="AZ1064" s="1">
        <v>1.0</v>
      </c>
      <c r="BA1064" s="1">
        <v>6.0</v>
      </c>
      <c r="BB1064" s="1">
        <v>4.0</v>
      </c>
      <c r="BC1064" s="1">
        <v>0.0</v>
      </c>
      <c r="BD1064" s="1">
        <v>0.53</v>
      </c>
      <c r="BE1064" s="1">
        <v>152.0</v>
      </c>
      <c r="BF1064" s="1">
        <v>58.0</v>
      </c>
      <c r="BG1064" s="1">
        <v>0.0</v>
      </c>
      <c r="BH1064" s="1">
        <v>16.0</v>
      </c>
      <c r="BI1064" s="1">
        <v>8.0</v>
      </c>
      <c r="BJ1064" s="1">
        <v>0.0</v>
      </c>
      <c r="BO1064" s="1" t="s">
        <v>4015</v>
      </c>
      <c r="BP1064" s="1">
        <v>0.96</v>
      </c>
      <c r="BU1064" s="1" t="s">
        <v>974</v>
      </c>
      <c r="BV1064" s="1">
        <v>1.1</v>
      </c>
      <c r="EQ1064" s="9" t="s">
        <v>3938</v>
      </c>
      <c r="ER1064" s="21">
        <v>46045.30002314815</v>
      </c>
    </row>
    <row r="1065">
      <c r="A1065" s="9" t="s">
        <v>4016</v>
      </c>
      <c r="B1065" s="20" t="str">
        <f>IFERROR(__xludf.DUMMYFUNCTION("REGEXREPLACE(A1065, ""^https?://[^/]+"", """")"),"/wp-content/uploads/2025/11/hire-outside-of-industry-1030x579-1-1024x576-1-300x169.jpg")</f>
        <v>/wp-content/uploads/2025/11/hire-outside-of-industry-1030x579-1-1024x576-1-300x169.jpg</v>
      </c>
      <c r="F1065" s="1" t="s">
        <v>1004</v>
      </c>
      <c r="G1065" s="1">
        <v>200.0</v>
      </c>
      <c r="H1065" s="1" t="s">
        <v>966</v>
      </c>
      <c r="I1065" s="1" t="s">
        <v>967</v>
      </c>
      <c r="L1065" s="1">
        <v>0.0</v>
      </c>
      <c r="M1065" s="1">
        <v>0.0</v>
      </c>
      <c r="O1065" s="1">
        <v>0.0</v>
      </c>
      <c r="P1065" s="1">
        <v>0.0</v>
      </c>
      <c r="R1065" s="1">
        <v>0.0</v>
      </c>
      <c r="S1065" s="1">
        <v>0.0</v>
      </c>
      <c r="U1065" s="1">
        <v>0.0</v>
      </c>
      <c r="W1065" s="1">
        <v>0.0</v>
      </c>
      <c r="Y1065" s="1">
        <v>0.0</v>
      </c>
      <c r="AA1065" s="1">
        <v>0.0</v>
      </c>
      <c r="AC1065" s="1">
        <v>0.0</v>
      </c>
      <c r="AM1065" s="1">
        <v>13062.0</v>
      </c>
      <c r="AN1065" s="1">
        <v>13062.0</v>
      </c>
      <c r="AO1065" s="1">
        <v>13062.0</v>
      </c>
      <c r="AP1065" s="1">
        <v>5.004</v>
      </c>
      <c r="AR1065" s="1">
        <v>0.0</v>
      </c>
      <c r="AW1065" s="1">
        <v>0.0</v>
      </c>
      <c r="AX1065" s="1">
        <v>3.0</v>
      </c>
      <c r="AY1065" s="1">
        <v>4.0</v>
      </c>
      <c r="BA1065" s="1">
        <v>0.0</v>
      </c>
      <c r="BB1065" s="1">
        <v>0.0</v>
      </c>
      <c r="BC1065" s="1">
        <v>0.0</v>
      </c>
      <c r="BD1065" s="1">
        <v>0.0</v>
      </c>
      <c r="BE1065" s="1">
        <v>0.0</v>
      </c>
      <c r="BF1065" s="1">
        <v>0.0</v>
      </c>
      <c r="BG1065" s="1">
        <v>0.0</v>
      </c>
      <c r="BH1065" s="1">
        <v>0.0</v>
      </c>
      <c r="BI1065" s="1">
        <v>0.0</v>
      </c>
      <c r="BJ1065" s="1">
        <v>0.0</v>
      </c>
      <c r="BP1065" s="1">
        <v>0.284</v>
      </c>
      <c r="BQ1065" s="1" t="s">
        <v>4017</v>
      </c>
      <c r="BV1065" s="1">
        <v>1.1</v>
      </c>
      <c r="EQ1065" s="9" t="s">
        <v>4016</v>
      </c>
      <c r="ER1065" s="21">
        <v>46045.30003472222</v>
      </c>
    </row>
    <row r="1066">
      <c r="A1066" s="9" t="s">
        <v>4018</v>
      </c>
      <c r="B1066" s="20" t="str">
        <f>IFERROR(__xludf.DUMMYFUNCTION("REGEXREPLACE(A1066, ""^https?://[^/]+"", """")"),"/wp-content/uploads/2025/11/Hiring-Trends-Forecast-for-2025-1024x576-1-300x169.jpg")</f>
        <v>/wp-content/uploads/2025/11/Hiring-Trends-Forecast-for-2025-1024x576-1-300x169.jpg</v>
      </c>
      <c r="F1066" s="1" t="s">
        <v>1004</v>
      </c>
      <c r="G1066" s="1">
        <v>200.0</v>
      </c>
      <c r="H1066" s="1" t="s">
        <v>966</v>
      </c>
      <c r="I1066" s="1" t="s">
        <v>967</v>
      </c>
      <c r="L1066" s="1">
        <v>0.0</v>
      </c>
      <c r="M1066" s="1">
        <v>0.0</v>
      </c>
      <c r="O1066" s="1">
        <v>0.0</v>
      </c>
      <c r="P1066" s="1">
        <v>0.0</v>
      </c>
      <c r="R1066" s="1">
        <v>0.0</v>
      </c>
      <c r="S1066" s="1">
        <v>0.0</v>
      </c>
      <c r="U1066" s="1">
        <v>0.0</v>
      </c>
      <c r="W1066" s="1">
        <v>0.0</v>
      </c>
      <c r="Y1066" s="1">
        <v>0.0</v>
      </c>
      <c r="AA1066" s="1">
        <v>0.0</v>
      </c>
      <c r="AC1066" s="1">
        <v>0.0</v>
      </c>
      <c r="AM1066" s="1">
        <v>10481.0</v>
      </c>
      <c r="AN1066" s="1">
        <v>10481.0</v>
      </c>
      <c r="AO1066" s="1">
        <v>10481.0</v>
      </c>
      <c r="AP1066" s="1">
        <v>4.015</v>
      </c>
      <c r="AR1066" s="1">
        <v>0.0</v>
      </c>
      <c r="AW1066" s="1">
        <v>0.0</v>
      </c>
      <c r="AX1066" s="1">
        <v>3.0</v>
      </c>
      <c r="AY1066" s="1">
        <v>4.0</v>
      </c>
      <c r="BA1066" s="1">
        <v>0.0</v>
      </c>
      <c r="BB1066" s="1">
        <v>0.0</v>
      </c>
      <c r="BC1066" s="1">
        <v>0.0</v>
      </c>
      <c r="BD1066" s="1">
        <v>0.0</v>
      </c>
      <c r="BE1066" s="1">
        <v>0.0</v>
      </c>
      <c r="BF1066" s="1">
        <v>0.0</v>
      </c>
      <c r="BG1066" s="1">
        <v>0.0</v>
      </c>
      <c r="BH1066" s="1">
        <v>0.0</v>
      </c>
      <c r="BI1066" s="1">
        <v>0.0</v>
      </c>
      <c r="BJ1066" s="1">
        <v>0.0</v>
      </c>
      <c r="BP1066" s="1">
        <v>0.277</v>
      </c>
      <c r="BQ1066" s="1" t="s">
        <v>3841</v>
      </c>
      <c r="BV1066" s="1">
        <v>1.1</v>
      </c>
      <c r="EQ1066" s="9" t="s">
        <v>4018</v>
      </c>
      <c r="ER1066" s="21">
        <v>46045.30003472222</v>
      </c>
    </row>
    <row r="1067">
      <c r="A1067" s="9" t="s">
        <v>4019</v>
      </c>
      <c r="B1067" s="20" t="str">
        <f>IFERROR(__xludf.DUMMYFUNCTION("REGEXREPLACE(A1067, ""^https?://[^/]+"", """")"),"/wp-content/themes/salesxceleratione/assets/css/style.css?ver=1769123344")</f>
        <v>/wp-content/themes/salesxceleratione/assets/css/style.css?ver=1769123344</v>
      </c>
      <c r="F1067" s="1" t="s">
        <v>1016</v>
      </c>
      <c r="G1067" s="1">
        <v>200.0</v>
      </c>
      <c r="H1067" s="1" t="s">
        <v>966</v>
      </c>
      <c r="I1067" s="1" t="s">
        <v>967</v>
      </c>
      <c r="L1067" s="1">
        <v>0.0</v>
      </c>
      <c r="M1067" s="1">
        <v>0.0</v>
      </c>
      <c r="O1067" s="1">
        <v>0.0</v>
      </c>
      <c r="P1067" s="1">
        <v>0.0</v>
      </c>
      <c r="R1067" s="1">
        <v>0.0</v>
      </c>
      <c r="S1067" s="1">
        <v>0.0</v>
      </c>
      <c r="U1067" s="1">
        <v>0.0</v>
      </c>
      <c r="W1067" s="1">
        <v>0.0</v>
      </c>
      <c r="Y1067" s="1">
        <v>0.0</v>
      </c>
      <c r="AA1067" s="1">
        <v>0.0</v>
      </c>
      <c r="AC1067" s="1">
        <v>0.0</v>
      </c>
      <c r="AM1067" s="1">
        <v>17704.0</v>
      </c>
      <c r="AN1067" s="1">
        <v>17704.0</v>
      </c>
      <c r="AO1067" s="1">
        <v>17704.0</v>
      </c>
      <c r="AP1067" s="1">
        <v>6.782</v>
      </c>
      <c r="AR1067" s="1">
        <v>0.0</v>
      </c>
      <c r="AW1067" s="1">
        <v>0.0</v>
      </c>
      <c r="AX1067" s="1">
        <v>3.0</v>
      </c>
      <c r="AY1067" s="1">
        <v>5.0</v>
      </c>
      <c r="BA1067" s="1">
        <v>0.0</v>
      </c>
      <c r="BB1067" s="1">
        <v>0.0</v>
      </c>
      <c r="BC1067" s="1">
        <v>0.0</v>
      </c>
      <c r="BD1067" s="1">
        <v>0.0</v>
      </c>
      <c r="BE1067" s="1">
        <v>0.0</v>
      </c>
      <c r="BF1067" s="1">
        <v>0.0</v>
      </c>
      <c r="BG1067" s="1">
        <v>0.0</v>
      </c>
      <c r="BH1067" s="1">
        <v>0.0</v>
      </c>
      <c r="BI1067" s="1">
        <v>0.0</v>
      </c>
      <c r="BJ1067" s="1">
        <v>0.0</v>
      </c>
      <c r="BP1067" s="1">
        <v>0.27</v>
      </c>
      <c r="BQ1067" s="1" t="s">
        <v>4020</v>
      </c>
      <c r="BV1067" s="1">
        <v>1.1</v>
      </c>
      <c r="EQ1067" s="9" t="s">
        <v>4019</v>
      </c>
      <c r="ER1067" s="21">
        <v>46045.300046296295</v>
      </c>
    </row>
    <row r="1068">
      <c r="A1068" s="9" t="s">
        <v>4021</v>
      </c>
      <c r="B1068" s="20" t="str">
        <f>IFERROR(__xludf.DUMMYFUNCTION("REGEXREPLACE(A1068, ""^https?://[^/]+"", """")"),"/wp-content/uploads/2025/12/Improving-Your-Sales-Recruitment-and-Hiring-Process-200x300.jpg")</f>
        <v>/wp-content/uploads/2025/12/Improving-Your-Sales-Recruitment-and-Hiring-Process-200x300.jpg</v>
      </c>
      <c r="F1068" s="1" t="s">
        <v>1004</v>
      </c>
      <c r="G1068" s="1">
        <v>200.0</v>
      </c>
      <c r="H1068" s="1" t="s">
        <v>966</v>
      </c>
      <c r="I1068" s="1" t="s">
        <v>967</v>
      </c>
      <c r="L1068" s="1">
        <v>0.0</v>
      </c>
      <c r="M1068" s="1">
        <v>0.0</v>
      </c>
      <c r="O1068" s="1">
        <v>0.0</v>
      </c>
      <c r="P1068" s="1">
        <v>0.0</v>
      </c>
      <c r="R1068" s="1">
        <v>0.0</v>
      </c>
      <c r="S1068" s="1">
        <v>0.0</v>
      </c>
      <c r="U1068" s="1">
        <v>0.0</v>
      </c>
      <c r="W1068" s="1">
        <v>0.0</v>
      </c>
      <c r="Y1068" s="1">
        <v>0.0</v>
      </c>
      <c r="AA1068" s="1">
        <v>0.0</v>
      </c>
      <c r="AC1068" s="1">
        <v>0.0</v>
      </c>
      <c r="AM1068" s="1">
        <v>11274.0</v>
      </c>
      <c r="AN1068" s="1">
        <v>11274.0</v>
      </c>
      <c r="AO1068" s="1">
        <v>11274.0</v>
      </c>
      <c r="AP1068" s="1">
        <v>4.319</v>
      </c>
      <c r="AR1068" s="1">
        <v>0.0</v>
      </c>
      <c r="AW1068" s="1">
        <v>0.0</v>
      </c>
      <c r="AX1068" s="1">
        <v>3.0</v>
      </c>
      <c r="AY1068" s="1">
        <v>4.0</v>
      </c>
      <c r="BA1068" s="1">
        <v>0.0</v>
      </c>
      <c r="BB1068" s="1">
        <v>0.0</v>
      </c>
      <c r="BC1068" s="1">
        <v>0.0</v>
      </c>
      <c r="BD1068" s="1">
        <v>0.0</v>
      </c>
      <c r="BE1068" s="1">
        <v>0.0</v>
      </c>
      <c r="BF1068" s="1">
        <v>0.0</v>
      </c>
      <c r="BG1068" s="1">
        <v>0.0</v>
      </c>
      <c r="BH1068" s="1">
        <v>0.0</v>
      </c>
      <c r="BI1068" s="1">
        <v>0.0</v>
      </c>
      <c r="BJ1068" s="1">
        <v>0.0</v>
      </c>
      <c r="BP1068" s="1">
        <v>0.271</v>
      </c>
      <c r="BQ1068" s="1" t="s">
        <v>4022</v>
      </c>
      <c r="BV1068" s="1">
        <v>1.1</v>
      </c>
      <c r="EQ1068" s="9" t="s">
        <v>4021</v>
      </c>
      <c r="ER1068" s="21">
        <v>46045.300046296295</v>
      </c>
    </row>
    <row r="1069">
      <c r="A1069" s="9" t="s">
        <v>4023</v>
      </c>
      <c r="B1069" s="20" t="str">
        <f>IFERROR(__xludf.DUMMYFUNCTION("REGEXREPLACE(A1069, ""^https?://[^/]+"", """")"),"/hiring-a-salesperson-consider-recruiting-outside-your-industry/")</f>
        <v>/hiring-a-salesperson-consider-recruiting-outside-your-industry/</v>
      </c>
      <c r="C1069" s="1" t="s">
        <v>4024</v>
      </c>
      <c r="D1069" s="1" t="s">
        <v>4025</v>
      </c>
      <c r="E1069" s="1" t="s">
        <v>4026</v>
      </c>
      <c r="F1069" s="1" t="s">
        <v>965</v>
      </c>
      <c r="G1069" s="1">
        <v>200.0</v>
      </c>
      <c r="H1069" s="1" t="s">
        <v>966</v>
      </c>
      <c r="I1069" s="1" t="s">
        <v>967</v>
      </c>
      <c r="K1069" s="1" t="s">
        <v>4027</v>
      </c>
      <c r="L1069" s="1">
        <v>88.0</v>
      </c>
      <c r="M1069" s="1">
        <v>783.0</v>
      </c>
      <c r="O1069" s="1">
        <v>0.0</v>
      </c>
      <c r="P1069" s="1">
        <v>0.0</v>
      </c>
      <c r="Q1069" s="1" t="s">
        <v>1480</v>
      </c>
      <c r="R1069" s="1">
        <v>144.0</v>
      </c>
      <c r="S1069" s="1">
        <v>864.0</v>
      </c>
      <c r="U1069" s="1">
        <v>0.0</v>
      </c>
      <c r="V1069" s="1" t="s">
        <v>4024</v>
      </c>
      <c r="W1069" s="1">
        <v>63.0</v>
      </c>
      <c r="Y1069" s="1">
        <v>0.0</v>
      </c>
      <c r="Z1069" s="1" t="s">
        <v>4025</v>
      </c>
      <c r="AA1069" s="1">
        <v>55.0</v>
      </c>
      <c r="AB1069" s="1" t="s">
        <v>4026</v>
      </c>
      <c r="AC1069" s="1">
        <v>71.0</v>
      </c>
      <c r="AD1069" s="1" t="s">
        <v>971</v>
      </c>
      <c r="AG1069" s="9" t="s">
        <v>4023</v>
      </c>
      <c r="AM1069" s="1">
        <v>191977.0</v>
      </c>
      <c r="AN1069" s="1">
        <v>34982.0</v>
      </c>
      <c r="AO1069" s="1">
        <v>34982.0</v>
      </c>
      <c r="AP1069" s="1">
        <v>13.401</v>
      </c>
      <c r="AR1069" s="1">
        <v>1257.0</v>
      </c>
      <c r="AS1069" s="1">
        <v>201.0</v>
      </c>
      <c r="AT1069" s="1">
        <v>6.254</v>
      </c>
      <c r="AU1069" s="1">
        <v>55.315</v>
      </c>
      <c r="AV1069" s="1" t="s">
        <v>972</v>
      </c>
      <c r="AW1069" s="1">
        <v>5.441</v>
      </c>
      <c r="AX1069" s="1">
        <v>3.0</v>
      </c>
      <c r="AY1069" s="1">
        <v>1.0</v>
      </c>
      <c r="AZ1069" s="1">
        <v>1.0</v>
      </c>
      <c r="BA1069" s="1">
        <v>5.0</v>
      </c>
      <c r="BB1069" s="1">
        <v>2.0</v>
      </c>
      <c r="BC1069" s="1">
        <v>0.0</v>
      </c>
      <c r="BD1069" s="1">
        <v>0.27</v>
      </c>
      <c r="BE1069" s="1">
        <v>131.0</v>
      </c>
      <c r="BF1069" s="1">
        <v>48.0</v>
      </c>
      <c r="BG1069" s="1">
        <v>0.0</v>
      </c>
      <c r="BH1069" s="1">
        <v>16.0</v>
      </c>
      <c r="BI1069" s="1">
        <v>8.0</v>
      </c>
      <c r="BJ1069" s="1">
        <v>0.0</v>
      </c>
      <c r="BO1069" s="1" t="s">
        <v>4028</v>
      </c>
      <c r="BP1069" s="1">
        <v>1.005</v>
      </c>
      <c r="BU1069" s="1" t="s">
        <v>974</v>
      </c>
      <c r="BV1069" s="1">
        <v>1.1</v>
      </c>
      <c r="EQ1069" s="9" t="s">
        <v>4023</v>
      </c>
      <c r="ER1069" s="21">
        <v>46045.30003472222</v>
      </c>
    </row>
    <row r="1070">
      <c r="A1070" s="9" t="s">
        <v>1520</v>
      </c>
      <c r="B1070" s="20" t="str">
        <f>IFERROR(__xludf.DUMMYFUNCTION("REGEXREPLACE(A1070, ""^https?://[^/]+"", """")"),"/category/sales-recruiting/page/2/")</f>
        <v>/category/sales-recruiting/page/2/</v>
      </c>
      <c r="C1070" s="1" t="s">
        <v>1517</v>
      </c>
      <c r="F1070" s="1" t="s">
        <v>965</v>
      </c>
      <c r="G1070" s="1">
        <v>200.0</v>
      </c>
      <c r="H1070" s="1" t="s">
        <v>966</v>
      </c>
      <c r="I1070" s="1" t="s">
        <v>967</v>
      </c>
      <c r="K1070" s="1" t="s">
        <v>4029</v>
      </c>
      <c r="L1070" s="1">
        <v>59.0</v>
      </c>
      <c r="M1070" s="1">
        <v>513.0</v>
      </c>
      <c r="O1070" s="1">
        <v>0.0</v>
      </c>
      <c r="P1070" s="1">
        <v>0.0</v>
      </c>
      <c r="Q1070" s="1" t="s">
        <v>1519</v>
      </c>
      <c r="R1070" s="1">
        <v>365.0</v>
      </c>
      <c r="S1070" s="1">
        <v>2241.0</v>
      </c>
      <c r="U1070" s="1">
        <v>0.0</v>
      </c>
      <c r="V1070" s="1" t="s">
        <v>1517</v>
      </c>
      <c r="W1070" s="1">
        <v>26.0</v>
      </c>
      <c r="Y1070" s="1">
        <v>0.0</v>
      </c>
      <c r="AA1070" s="1">
        <v>0.0</v>
      </c>
      <c r="AC1070" s="1">
        <v>0.0</v>
      </c>
      <c r="AD1070" s="1" t="s">
        <v>971</v>
      </c>
      <c r="AG1070" s="9" t="s">
        <v>1520</v>
      </c>
      <c r="AI1070" s="9" t="s">
        <v>1516</v>
      </c>
      <c r="AM1070" s="1">
        <v>151781.0</v>
      </c>
      <c r="AN1070" s="1">
        <v>29441.0</v>
      </c>
      <c r="AO1070" s="1">
        <v>29441.0</v>
      </c>
      <c r="AP1070" s="1">
        <v>11.278</v>
      </c>
      <c r="AR1070" s="1">
        <v>535.0</v>
      </c>
      <c r="AS1070" s="1">
        <v>93.0</v>
      </c>
      <c r="AT1070" s="1">
        <v>5.753</v>
      </c>
      <c r="AU1070" s="1">
        <v>60.892</v>
      </c>
      <c r="AV1070" s="1" t="s">
        <v>990</v>
      </c>
      <c r="AW1070" s="1">
        <v>3.765</v>
      </c>
      <c r="AX1070" s="1">
        <v>3.0</v>
      </c>
      <c r="AY1070" s="1">
        <v>4.0</v>
      </c>
      <c r="AZ1070" s="1">
        <v>1.0</v>
      </c>
      <c r="BA1070" s="1">
        <v>2.0</v>
      </c>
      <c r="BB1070" s="1">
        <v>1.0</v>
      </c>
      <c r="BC1070" s="1">
        <v>0.0</v>
      </c>
      <c r="BD1070" s="1">
        <v>0.13</v>
      </c>
      <c r="BE1070" s="1">
        <v>126.0</v>
      </c>
      <c r="BF1070" s="1">
        <v>44.0</v>
      </c>
      <c r="BG1070" s="1">
        <v>0.0</v>
      </c>
      <c r="BH1070" s="1">
        <v>16.0</v>
      </c>
      <c r="BI1070" s="1">
        <v>8.0</v>
      </c>
      <c r="BJ1070" s="1">
        <v>0.0</v>
      </c>
      <c r="BO1070" s="1" t="s">
        <v>4030</v>
      </c>
      <c r="BP1070" s="1">
        <v>0.93</v>
      </c>
      <c r="BU1070" s="1" t="s">
        <v>974</v>
      </c>
      <c r="BV1070" s="1">
        <v>1.1</v>
      </c>
      <c r="EQ1070" s="9" t="s">
        <v>1520</v>
      </c>
      <c r="ER1070" s="21">
        <v>46045.30003472222</v>
      </c>
    </row>
    <row r="1071">
      <c r="A1071" s="9" t="s">
        <v>4031</v>
      </c>
      <c r="B1071" s="20" t="str">
        <f>IFERROR(__xludf.DUMMYFUNCTION("REGEXREPLACE(A1071, ""^https?://[^/]+"", """")"),"/talent-acquisition-trends-for-small-to-mid-sized-businesses/")</f>
        <v>/talent-acquisition-trends-for-small-to-mid-sized-businesses/</v>
      </c>
      <c r="C1071" s="1" t="s">
        <v>4032</v>
      </c>
      <c r="D1071" s="1" t="s">
        <v>4033</v>
      </c>
      <c r="E1071" s="1" t="s">
        <v>4034</v>
      </c>
      <c r="F1071" s="1" t="s">
        <v>965</v>
      </c>
      <c r="G1071" s="1">
        <v>200.0</v>
      </c>
      <c r="H1071" s="1" t="s">
        <v>966</v>
      </c>
      <c r="I1071" s="1" t="s">
        <v>967</v>
      </c>
      <c r="K1071" s="1" t="s">
        <v>4035</v>
      </c>
      <c r="L1071" s="1">
        <v>84.0</v>
      </c>
      <c r="M1071" s="1">
        <v>749.0</v>
      </c>
      <c r="O1071" s="1">
        <v>0.0</v>
      </c>
      <c r="P1071" s="1">
        <v>0.0</v>
      </c>
      <c r="Q1071" s="1" t="s">
        <v>1480</v>
      </c>
      <c r="R1071" s="1">
        <v>144.0</v>
      </c>
      <c r="S1071" s="1">
        <v>864.0</v>
      </c>
      <c r="U1071" s="1">
        <v>0.0</v>
      </c>
      <c r="V1071" s="1" t="s">
        <v>4032</v>
      </c>
      <c r="W1071" s="1">
        <v>59.0</v>
      </c>
      <c r="Y1071" s="1">
        <v>0.0</v>
      </c>
      <c r="Z1071" s="1" t="s">
        <v>4033</v>
      </c>
      <c r="AA1071" s="1">
        <v>22.0</v>
      </c>
      <c r="AB1071" s="1" t="s">
        <v>4034</v>
      </c>
      <c r="AC1071" s="1">
        <v>17.0</v>
      </c>
      <c r="AD1071" s="1" t="s">
        <v>971</v>
      </c>
      <c r="AG1071" s="9" t="s">
        <v>4031</v>
      </c>
      <c r="AM1071" s="1">
        <v>200953.0</v>
      </c>
      <c r="AN1071" s="1">
        <v>36489.0</v>
      </c>
      <c r="AO1071" s="1">
        <v>36489.0</v>
      </c>
      <c r="AP1071" s="1">
        <v>13.978</v>
      </c>
      <c r="AR1071" s="1">
        <v>1073.0</v>
      </c>
      <c r="AS1071" s="1">
        <v>163.0</v>
      </c>
      <c r="AT1071" s="1">
        <v>6.583</v>
      </c>
      <c r="AU1071" s="1">
        <v>58.864</v>
      </c>
      <c r="AV1071" s="1" t="s">
        <v>972</v>
      </c>
      <c r="AW1071" s="1">
        <v>4.573</v>
      </c>
      <c r="AX1071" s="1">
        <v>3.0</v>
      </c>
      <c r="AY1071" s="1">
        <v>1.0</v>
      </c>
      <c r="AZ1071" s="1">
        <v>1.0</v>
      </c>
      <c r="BA1071" s="1">
        <v>5.0</v>
      </c>
      <c r="BB1071" s="1">
        <v>2.0</v>
      </c>
      <c r="BC1071" s="1">
        <v>0.0</v>
      </c>
      <c r="BD1071" s="1">
        <v>0.27</v>
      </c>
      <c r="BE1071" s="1">
        <v>131.0</v>
      </c>
      <c r="BF1071" s="1">
        <v>48.0</v>
      </c>
      <c r="BG1071" s="1">
        <v>0.0</v>
      </c>
      <c r="BH1071" s="1">
        <v>17.0</v>
      </c>
      <c r="BI1071" s="1">
        <v>9.0</v>
      </c>
      <c r="BJ1071" s="1">
        <v>0.0</v>
      </c>
      <c r="BO1071" s="1" t="s">
        <v>4036</v>
      </c>
      <c r="BP1071" s="1">
        <v>1.273</v>
      </c>
      <c r="BU1071" s="1" t="s">
        <v>974</v>
      </c>
      <c r="BV1071" s="1">
        <v>1.1</v>
      </c>
      <c r="EQ1071" s="9" t="s">
        <v>4031</v>
      </c>
      <c r="ER1071" s="21">
        <v>46045.30003472222</v>
      </c>
    </row>
    <row r="1072">
      <c r="A1072" s="9" t="s">
        <v>4037</v>
      </c>
      <c r="B1072" s="20" t="str">
        <f>IFERROR(__xludf.DUMMYFUNCTION("REGEXREPLACE(A1072, ""^https?://[^/]+"", """")"),"/the-surprising-data-behind-sales-team-effectiveness/")</f>
        <v>/the-surprising-data-behind-sales-team-effectiveness/</v>
      </c>
      <c r="C1072" s="1" t="s">
        <v>4038</v>
      </c>
      <c r="D1072" s="1" t="s">
        <v>4039</v>
      </c>
      <c r="E1072" s="1" t="s">
        <v>4040</v>
      </c>
      <c r="F1072" s="1" t="s">
        <v>965</v>
      </c>
      <c r="G1072" s="1">
        <v>200.0</v>
      </c>
      <c r="H1072" s="1" t="s">
        <v>966</v>
      </c>
      <c r="I1072" s="1" t="s">
        <v>967</v>
      </c>
      <c r="K1072" s="1" t="s">
        <v>4041</v>
      </c>
      <c r="L1072" s="1">
        <v>76.0</v>
      </c>
      <c r="M1072" s="1">
        <v>694.0</v>
      </c>
      <c r="O1072" s="1">
        <v>0.0</v>
      </c>
      <c r="P1072" s="1">
        <v>0.0</v>
      </c>
      <c r="Q1072" s="1" t="s">
        <v>1480</v>
      </c>
      <c r="R1072" s="1">
        <v>144.0</v>
      </c>
      <c r="S1072" s="1">
        <v>864.0</v>
      </c>
      <c r="U1072" s="1">
        <v>0.0</v>
      </c>
      <c r="V1072" s="1" t="s">
        <v>4038</v>
      </c>
      <c r="W1072" s="1">
        <v>51.0</v>
      </c>
      <c r="Y1072" s="1">
        <v>0.0</v>
      </c>
      <c r="Z1072" s="1" t="s">
        <v>4039</v>
      </c>
      <c r="AA1072" s="1">
        <v>44.0</v>
      </c>
      <c r="AB1072" s="1" t="s">
        <v>4040</v>
      </c>
      <c r="AC1072" s="1">
        <v>43.0</v>
      </c>
      <c r="AD1072" s="1" t="s">
        <v>971</v>
      </c>
      <c r="AG1072" s="9" t="s">
        <v>4037</v>
      </c>
      <c r="AM1072" s="1">
        <v>196696.0</v>
      </c>
      <c r="AN1072" s="1">
        <v>35436.0</v>
      </c>
      <c r="AO1072" s="1">
        <v>35436.0</v>
      </c>
      <c r="AP1072" s="1">
        <v>13.575</v>
      </c>
      <c r="AR1072" s="1">
        <v>1248.0</v>
      </c>
      <c r="AS1072" s="1">
        <v>188.0</v>
      </c>
      <c r="AT1072" s="1">
        <v>6.638</v>
      </c>
      <c r="AU1072" s="1">
        <v>57.199</v>
      </c>
      <c r="AV1072" s="1" t="s">
        <v>972</v>
      </c>
      <c r="AW1072" s="1">
        <v>5.28</v>
      </c>
      <c r="AX1072" s="1">
        <v>3.0</v>
      </c>
      <c r="AY1072" s="1">
        <v>1.0</v>
      </c>
      <c r="AZ1072" s="1">
        <v>1.0</v>
      </c>
      <c r="BA1072" s="1">
        <v>5.0</v>
      </c>
      <c r="BB1072" s="1">
        <v>2.0</v>
      </c>
      <c r="BC1072" s="1">
        <v>0.0</v>
      </c>
      <c r="BD1072" s="1">
        <v>0.27</v>
      </c>
      <c r="BE1072" s="1">
        <v>132.0</v>
      </c>
      <c r="BF1072" s="1">
        <v>48.0</v>
      </c>
      <c r="BG1072" s="1">
        <v>0.0</v>
      </c>
      <c r="BH1072" s="1">
        <v>16.0</v>
      </c>
      <c r="BI1072" s="1">
        <v>8.0</v>
      </c>
      <c r="BJ1072" s="1">
        <v>0.0</v>
      </c>
      <c r="BO1072" s="1" t="s">
        <v>4042</v>
      </c>
      <c r="BP1072" s="1">
        <v>0.987</v>
      </c>
      <c r="BU1072" s="1" t="s">
        <v>974</v>
      </c>
      <c r="BV1072" s="1">
        <v>1.1</v>
      </c>
      <c r="EQ1072" s="9" t="s">
        <v>4037</v>
      </c>
      <c r="ER1072" s="21">
        <v>46045.300046296295</v>
      </c>
    </row>
    <row r="1073">
      <c r="A1073" s="9" t="s">
        <v>4043</v>
      </c>
      <c r="B1073" s="20" t="str">
        <f>IFERROR(__xludf.DUMMYFUNCTION("REGEXREPLACE(A1073, ""^https?://[^/]+"", """")"),"/how-firing-your-top-salesperson-might-fire-up-overall-sales-performance/")</f>
        <v>/how-firing-your-top-salesperson-might-fire-up-overall-sales-performance/</v>
      </c>
      <c r="C1073" s="1" t="s">
        <v>4044</v>
      </c>
      <c r="D1073" s="1" t="s">
        <v>4045</v>
      </c>
      <c r="E1073" s="1" t="s">
        <v>4046</v>
      </c>
      <c r="F1073" s="1" t="s">
        <v>965</v>
      </c>
      <c r="G1073" s="1">
        <v>200.0</v>
      </c>
      <c r="H1073" s="1" t="s">
        <v>966</v>
      </c>
      <c r="I1073" s="1" t="s">
        <v>967</v>
      </c>
      <c r="K1073" s="1" t="s">
        <v>4047</v>
      </c>
      <c r="L1073" s="1">
        <v>97.0</v>
      </c>
      <c r="M1073" s="1">
        <v>887.0</v>
      </c>
      <c r="O1073" s="1">
        <v>0.0</v>
      </c>
      <c r="P1073" s="1">
        <v>0.0</v>
      </c>
      <c r="Q1073" s="1" t="s">
        <v>4048</v>
      </c>
      <c r="R1073" s="1">
        <v>167.0</v>
      </c>
      <c r="S1073" s="1">
        <v>1002.0</v>
      </c>
      <c r="U1073" s="1">
        <v>0.0</v>
      </c>
      <c r="V1073" s="1" t="s">
        <v>4044</v>
      </c>
      <c r="W1073" s="1">
        <v>72.0</v>
      </c>
      <c r="Y1073" s="1">
        <v>0.0</v>
      </c>
      <c r="Z1073" s="1" t="s">
        <v>4045</v>
      </c>
      <c r="AA1073" s="1">
        <v>22.0</v>
      </c>
      <c r="AB1073" s="1" t="s">
        <v>4046</v>
      </c>
      <c r="AC1073" s="1">
        <v>34.0</v>
      </c>
      <c r="AD1073" s="1" t="s">
        <v>971</v>
      </c>
      <c r="AG1073" s="9" t="s">
        <v>4043</v>
      </c>
      <c r="AM1073" s="1">
        <v>192903.0</v>
      </c>
      <c r="AN1073" s="1">
        <v>35507.0</v>
      </c>
      <c r="AO1073" s="1">
        <v>35507.0</v>
      </c>
      <c r="AP1073" s="1">
        <v>13.602</v>
      </c>
      <c r="AR1073" s="1">
        <v>1453.0</v>
      </c>
      <c r="AS1073" s="1">
        <v>209.0</v>
      </c>
      <c r="AT1073" s="1">
        <v>6.952</v>
      </c>
      <c r="AU1073" s="1">
        <v>64.29</v>
      </c>
      <c r="AV1073" s="1" t="s">
        <v>990</v>
      </c>
      <c r="AW1073" s="1">
        <v>5.832</v>
      </c>
      <c r="AX1073" s="1">
        <v>3.0</v>
      </c>
      <c r="AY1073" s="1">
        <v>1.0</v>
      </c>
      <c r="AZ1073" s="1">
        <v>1.0</v>
      </c>
      <c r="BA1073" s="1">
        <v>5.0</v>
      </c>
      <c r="BB1073" s="1">
        <v>2.0</v>
      </c>
      <c r="BC1073" s="1">
        <v>0.0</v>
      </c>
      <c r="BD1073" s="1">
        <v>0.27</v>
      </c>
      <c r="BE1073" s="1">
        <v>131.0</v>
      </c>
      <c r="BF1073" s="1">
        <v>47.0</v>
      </c>
      <c r="BG1073" s="1">
        <v>0.0</v>
      </c>
      <c r="BH1073" s="1">
        <v>16.0</v>
      </c>
      <c r="BI1073" s="1">
        <v>8.0</v>
      </c>
      <c r="BJ1073" s="1">
        <v>0.0</v>
      </c>
      <c r="BO1073" s="1" t="s">
        <v>4049</v>
      </c>
      <c r="BP1073" s="1">
        <v>0.992</v>
      </c>
      <c r="BU1073" s="1" t="s">
        <v>974</v>
      </c>
      <c r="BV1073" s="1">
        <v>1.1</v>
      </c>
      <c r="EQ1073" s="9" t="s">
        <v>4043</v>
      </c>
      <c r="ER1073" s="21">
        <v>46045.300046296295</v>
      </c>
    </row>
    <row r="1074">
      <c r="A1074" s="9" t="s">
        <v>4050</v>
      </c>
      <c r="B1074" s="20" t="str">
        <f>IFERROR(__xludf.DUMMYFUNCTION("REGEXREPLACE(A1074, ""^https?://[^/]+"", """")"),"/wp-content/uploads/2025/11/Hiring-Sales-Talent-in-a-Slow-Economy-1024x683-1-300x200.jpg")</f>
        <v>/wp-content/uploads/2025/11/Hiring-Sales-Talent-in-a-Slow-Economy-1024x683-1-300x200.jpg</v>
      </c>
      <c r="F1074" s="1" t="s">
        <v>1004</v>
      </c>
      <c r="G1074" s="1">
        <v>200.0</v>
      </c>
      <c r="H1074" s="1" t="s">
        <v>966</v>
      </c>
      <c r="I1074" s="1" t="s">
        <v>967</v>
      </c>
      <c r="L1074" s="1">
        <v>0.0</v>
      </c>
      <c r="M1074" s="1">
        <v>0.0</v>
      </c>
      <c r="O1074" s="1">
        <v>0.0</v>
      </c>
      <c r="P1074" s="1">
        <v>0.0</v>
      </c>
      <c r="R1074" s="1">
        <v>0.0</v>
      </c>
      <c r="S1074" s="1">
        <v>0.0</v>
      </c>
      <c r="U1074" s="1">
        <v>0.0</v>
      </c>
      <c r="W1074" s="1">
        <v>0.0</v>
      </c>
      <c r="Y1074" s="1">
        <v>0.0</v>
      </c>
      <c r="AA1074" s="1">
        <v>0.0</v>
      </c>
      <c r="AC1074" s="1">
        <v>0.0</v>
      </c>
      <c r="AM1074" s="1">
        <v>12768.0</v>
      </c>
      <c r="AN1074" s="1">
        <v>12768.0</v>
      </c>
      <c r="AO1074" s="1">
        <v>12768.0</v>
      </c>
      <c r="AP1074" s="1">
        <v>4.891</v>
      </c>
      <c r="AR1074" s="1">
        <v>0.0</v>
      </c>
      <c r="AW1074" s="1">
        <v>0.0</v>
      </c>
      <c r="AX1074" s="1">
        <v>3.0</v>
      </c>
      <c r="AY1074" s="1">
        <v>4.0</v>
      </c>
      <c r="BA1074" s="1">
        <v>0.0</v>
      </c>
      <c r="BB1074" s="1">
        <v>0.0</v>
      </c>
      <c r="BC1074" s="1">
        <v>0.0</v>
      </c>
      <c r="BD1074" s="1">
        <v>0.0</v>
      </c>
      <c r="BE1074" s="1">
        <v>0.0</v>
      </c>
      <c r="BF1074" s="1">
        <v>0.0</v>
      </c>
      <c r="BG1074" s="1">
        <v>0.0</v>
      </c>
      <c r="BH1074" s="1">
        <v>0.0</v>
      </c>
      <c r="BI1074" s="1">
        <v>0.0</v>
      </c>
      <c r="BJ1074" s="1">
        <v>0.0</v>
      </c>
      <c r="BP1074" s="1">
        <v>0.289</v>
      </c>
      <c r="BQ1074" s="1" t="s">
        <v>3847</v>
      </c>
      <c r="BV1074" s="1">
        <v>1.1</v>
      </c>
      <c r="EQ1074" s="9" t="s">
        <v>4050</v>
      </c>
      <c r="ER1074" s="21">
        <v>46045.30005787037</v>
      </c>
    </row>
    <row r="1075">
      <c r="A1075" s="9" t="s">
        <v>4051</v>
      </c>
      <c r="B1075" s="20" t="str">
        <f>IFERROR(__xludf.DUMMYFUNCTION("REGEXREPLACE(A1075, ""^https?://[^/]+"", """")"),"/wp-content/uploads/2025/11/Skills-Based-Hiring-300x200.jpg")</f>
        <v>/wp-content/uploads/2025/11/Skills-Based-Hiring-300x200.jpg</v>
      </c>
      <c r="F1075" s="1" t="s">
        <v>1004</v>
      </c>
      <c r="G1075" s="1">
        <v>200.0</v>
      </c>
      <c r="H1075" s="1" t="s">
        <v>966</v>
      </c>
      <c r="I1075" s="1" t="s">
        <v>967</v>
      </c>
      <c r="L1075" s="1">
        <v>0.0</v>
      </c>
      <c r="M1075" s="1">
        <v>0.0</v>
      </c>
      <c r="O1075" s="1">
        <v>0.0</v>
      </c>
      <c r="P1075" s="1">
        <v>0.0</v>
      </c>
      <c r="R1075" s="1">
        <v>0.0</v>
      </c>
      <c r="S1075" s="1">
        <v>0.0</v>
      </c>
      <c r="U1075" s="1">
        <v>0.0</v>
      </c>
      <c r="W1075" s="1">
        <v>0.0</v>
      </c>
      <c r="Y1075" s="1">
        <v>0.0</v>
      </c>
      <c r="AA1075" s="1">
        <v>0.0</v>
      </c>
      <c r="AC1075" s="1">
        <v>0.0</v>
      </c>
      <c r="AM1075" s="1">
        <v>11223.0</v>
      </c>
      <c r="AN1075" s="1">
        <v>11223.0</v>
      </c>
      <c r="AO1075" s="1">
        <v>11223.0</v>
      </c>
      <c r="AP1075" s="1">
        <v>4.299</v>
      </c>
      <c r="AR1075" s="1">
        <v>0.0</v>
      </c>
      <c r="AW1075" s="1">
        <v>0.0</v>
      </c>
      <c r="AX1075" s="1">
        <v>3.0</v>
      </c>
      <c r="AY1075" s="1">
        <v>4.0</v>
      </c>
      <c r="BA1075" s="1">
        <v>0.0</v>
      </c>
      <c r="BB1075" s="1">
        <v>0.0</v>
      </c>
      <c r="BC1075" s="1">
        <v>0.0</v>
      </c>
      <c r="BD1075" s="1">
        <v>0.0</v>
      </c>
      <c r="BE1075" s="1">
        <v>0.0</v>
      </c>
      <c r="BF1075" s="1">
        <v>0.0</v>
      </c>
      <c r="BG1075" s="1">
        <v>0.0</v>
      </c>
      <c r="BH1075" s="1">
        <v>0.0</v>
      </c>
      <c r="BI1075" s="1">
        <v>0.0</v>
      </c>
      <c r="BJ1075" s="1">
        <v>0.0</v>
      </c>
      <c r="BP1075" s="1">
        <v>0.281</v>
      </c>
      <c r="BQ1075" s="1" t="s">
        <v>3845</v>
      </c>
      <c r="BV1075" s="1">
        <v>1.1</v>
      </c>
      <c r="EQ1075" s="9" t="s">
        <v>4051</v>
      </c>
      <c r="ER1075" s="21">
        <v>46045.30005787037</v>
      </c>
    </row>
    <row r="1076">
      <c r="A1076" s="9" t="s">
        <v>4052</v>
      </c>
      <c r="B1076" s="20" t="str">
        <f>IFERROR(__xludf.DUMMYFUNCTION("REGEXREPLACE(A1076, ""^https?://[^/]+"", """")"),"/wp-content/uploads/2023/08/businessman-using-digital.jpg")</f>
        <v>/wp-content/uploads/2023/08/businessman-using-digital.jpg</v>
      </c>
      <c r="F1076" s="1" t="s">
        <v>1004</v>
      </c>
      <c r="G1076" s="1">
        <v>200.0</v>
      </c>
      <c r="H1076" s="1" t="s">
        <v>966</v>
      </c>
      <c r="I1076" s="1" t="s">
        <v>967</v>
      </c>
      <c r="L1076" s="1">
        <v>0.0</v>
      </c>
      <c r="M1076" s="1">
        <v>0.0</v>
      </c>
      <c r="O1076" s="1">
        <v>0.0</v>
      </c>
      <c r="P1076" s="1">
        <v>0.0</v>
      </c>
      <c r="R1076" s="1">
        <v>0.0</v>
      </c>
      <c r="S1076" s="1">
        <v>0.0</v>
      </c>
      <c r="U1076" s="1">
        <v>0.0</v>
      </c>
      <c r="W1076" s="1">
        <v>0.0</v>
      </c>
      <c r="Y1076" s="1">
        <v>0.0</v>
      </c>
      <c r="AA1076" s="1">
        <v>0.0</v>
      </c>
      <c r="AC1076" s="1">
        <v>0.0</v>
      </c>
      <c r="AM1076" s="1">
        <v>227295.0</v>
      </c>
      <c r="AN1076" s="1">
        <v>227295.0</v>
      </c>
      <c r="AO1076" s="1">
        <v>227295.0</v>
      </c>
      <c r="AP1076" s="1">
        <v>87.072</v>
      </c>
      <c r="AR1076" s="1">
        <v>0.0</v>
      </c>
      <c r="AW1076" s="1">
        <v>0.0</v>
      </c>
      <c r="AX1076" s="1">
        <v>3.0</v>
      </c>
      <c r="AY1076" s="1">
        <v>4.0</v>
      </c>
      <c r="BA1076" s="1">
        <v>0.0</v>
      </c>
      <c r="BB1076" s="1">
        <v>0.0</v>
      </c>
      <c r="BC1076" s="1">
        <v>0.0</v>
      </c>
      <c r="BD1076" s="1">
        <v>0.0</v>
      </c>
      <c r="BE1076" s="1">
        <v>0.0</v>
      </c>
      <c r="BF1076" s="1">
        <v>0.0</v>
      </c>
      <c r="BG1076" s="1">
        <v>0.0</v>
      </c>
      <c r="BH1076" s="1">
        <v>0.0</v>
      </c>
      <c r="BI1076" s="1">
        <v>0.0</v>
      </c>
      <c r="BJ1076" s="1">
        <v>0.0</v>
      </c>
      <c r="BP1076" s="1">
        <v>0.263</v>
      </c>
      <c r="BQ1076" s="1" t="s">
        <v>4053</v>
      </c>
      <c r="BV1076" s="1">
        <v>1.1</v>
      </c>
      <c r="EQ1076" s="9" t="s">
        <v>4052</v>
      </c>
      <c r="ER1076" s="21">
        <v>46045.30005787037</v>
      </c>
    </row>
    <row r="1077">
      <c r="A1077" s="9" t="s">
        <v>4054</v>
      </c>
      <c r="B1077" s="20" t="str">
        <f>IFERROR(__xludf.DUMMYFUNCTION("REGEXREPLACE(A1077, ""^https?://[^/]+"", """")"),"/why-remote-sales-teams-have-a-competitive-advantage-in-2025-and-beyond/")</f>
        <v>/why-remote-sales-teams-have-a-competitive-advantage-in-2025-and-beyond/</v>
      </c>
      <c r="C1077" s="1" t="s">
        <v>4055</v>
      </c>
      <c r="D1077" s="1" t="s">
        <v>4056</v>
      </c>
      <c r="E1077" s="1" t="s">
        <v>4057</v>
      </c>
      <c r="F1077" s="1" t="s">
        <v>965</v>
      </c>
      <c r="G1077" s="1">
        <v>200.0</v>
      </c>
      <c r="H1077" s="1" t="s">
        <v>966</v>
      </c>
      <c r="I1077" s="1" t="s">
        <v>967</v>
      </c>
      <c r="K1077" s="1" t="s">
        <v>4058</v>
      </c>
      <c r="L1077" s="1">
        <v>95.0</v>
      </c>
      <c r="M1077" s="1">
        <v>909.0</v>
      </c>
      <c r="O1077" s="1">
        <v>0.0</v>
      </c>
      <c r="P1077" s="1">
        <v>0.0</v>
      </c>
      <c r="Q1077" s="1" t="s">
        <v>3868</v>
      </c>
      <c r="R1077" s="1">
        <v>146.0</v>
      </c>
      <c r="S1077" s="1">
        <v>899.0</v>
      </c>
      <c r="U1077" s="1">
        <v>0.0</v>
      </c>
      <c r="V1077" s="1" t="s">
        <v>4055</v>
      </c>
      <c r="W1077" s="1">
        <v>70.0</v>
      </c>
      <c r="Y1077" s="1">
        <v>0.0</v>
      </c>
      <c r="Z1077" s="1" t="s">
        <v>4056</v>
      </c>
      <c r="AA1077" s="1">
        <v>45.0</v>
      </c>
      <c r="AB1077" s="1" t="s">
        <v>4057</v>
      </c>
      <c r="AC1077" s="1">
        <v>24.0</v>
      </c>
      <c r="AD1077" s="1" t="s">
        <v>971</v>
      </c>
      <c r="AG1077" s="9" t="s">
        <v>4054</v>
      </c>
      <c r="AM1077" s="1">
        <v>189979.0</v>
      </c>
      <c r="AN1077" s="1">
        <v>34277.0</v>
      </c>
      <c r="AO1077" s="1">
        <v>34277.0</v>
      </c>
      <c r="AP1077" s="1">
        <v>13.131</v>
      </c>
      <c r="AR1077" s="1">
        <v>998.0</v>
      </c>
      <c r="AS1077" s="1">
        <v>169.0</v>
      </c>
      <c r="AT1077" s="1">
        <v>5.905</v>
      </c>
      <c r="AU1077" s="1">
        <v>58.598</v>
      </c>
      <c r="AV1077" s="1" t="s">
        <v>972</v>
      </c>
      <c r="AW1077" s="1">
        <v>4.613</v>
      </c>
      <c r="AX1077" s="1">
        <v>3.0</v>
      </c>
      <c r="AY1077" s="1">
        <v>1.0</v>
      </c>
      <c r="AZ1077" s="1">
        <v>1.0</v>
      </c>
      <c r="BA1077" s="1">
        <v>6.0</v>
      </c>
      <c r="BB1077" s="1">
        <v>5.0</v>
      </c>
      <c r="BC1077" s="1">
        <v>0.0</v>
      </c>
      <c r="BD1077" s="1">
        <v>0.66</v>
      </c>
      <c r="BE1077" s="1">
        <v>130.0</v>
      </c>
      <c r="BF1077" s="1">
        <v>47.0</v>
      </c>
      <c r="BG1077" s="1">
        <v>0.0</v>
      </c>
      <c r="BH1077" s="1">
        <v>16.0</v>
      </c>
      <c r="BI1077" s="1">
        <v>8.0</v>
      </c>
      <c r="BJ1077" s="1">
        <v>0.0</v>
      </c>
      <c r="BO1077" s="1" t="s">
        <v>4059</v>
      </c>
      <c r="BP1077" s="1">
        <v>1.013</v>
      </c>
      <c r="BU1077" s="1" t="s">
        <v>974</v>
      </c>
      <c r="BV1077" s="1">
        <v>1.1</v>
      </c>
      <c r="EQ1077" s="9" t="s">
        <v>4054</v>
      </c>
      <c r="ER1077" s="21">
        <v>46045.30005787037</v>
      </c>
    </row>
    <row r="1078">
      <c r="A1078" s="9" t="s">
        <v>4060</v>
      </c>
      <c r="B1078" s="20" t="str">
        <f>IFERROR(__xludf.DUMMYFUNCTION("REGEXREPLACE(A1078, ""^https?://[^/]+"", """")"),"/wp-content/uploads/2023/09/Technology-is-Creating-New-Ways-to-Sell-to-Prospects.jpg")</f>
        <v>/wp-content/uploads/2023/09/Technology-is-Creating-New-Ways-to-Sell-to-Prospects.jpg</v>
      </c>
      <c r="F1078" s="1" t="s">
        <v>1004</v>
      </c>
      <c r="G1078" s="1">
        <v>200.0</v>
      </c>
      <c r="H1078" s="1" t="s">
        <v>966</v>
      </c>
      <c r="I1078" s="1" t="s">
        <v>967</v>
      </c>
      <c r="L1078" s="1">
        <v>0.0</v>
      </c>
      <c r="M1078" s="1">
        <v>0.0</v>
      </c>
      <c r="O1078" s="1">
        <v>0.0</v>
      </c>
      <c r="P1078" s="1">
        <v>0.0</v>
      </c>
      <c r="R1078" s="1">
        <v>0.0</v>
      </c>
      <c r="S1078" s="1">
        <v>0.0</v>
      </c>
      <c r="U1078" s="1">
        <v>0.0</v>
      </c>
      <c r="W1078" s="1">
        <v>0.0</v>
      </c>
      <c r="Y1078" s="1">
        <v>0.0</v>
      </c>
      <c r="AA1078" s="1">
        <v>0.0</v>
      </c>
      <c r="AC1078" s="1">
        <v>0.0</v>
      </c>
      <c r="AM1078" s="1">
        <v>137442.0</v>
      </c>
      <c r="AN1078" s="1">
        <v>137442.0</v>
      </c>
      <c r="AO1078" s="1">
        <v>137442.0</v>
      </c>
      <c r="AP1078" s="1">
        <v>52.651</v>
      </c>
      <c r="AR1078" s="1">
        <v>0.0</v>
      </c>
      <c r="AW1078" s="1">
        <v>0.0</v>
      </c>
      <c r="AX1078" s="1">
        <v>3.0</v>
      </c>
      <c r="AY1078" s="1">
        <v>4.0</v>
      </c>
      <c r="BA1078" s="1">
        <v>0.0</v>
      </c>
      <c r="BB1078" s="1">
        <v>0.0</v>
      </c>
      <c r="BC1078" s="1">
        <v>0.0</v>
      </c>
      <c r="BD1078" s="1">
        <v>0.0</v>
      </c>
      <c r="BE1078" s="1">
        <v>0.0</v>
      </c>
      <c r="BF1078" s="1">
        <v>0.0</v>
      </c>
      <c r="BG1078" s="1">
        <v>0.0</v>
      </c>
      <c r="BH1078" s="1">
        <v>0.0</v>
      </c>
      <c r="BI1078" s="1">
        <v>0.0</v>
      </c>
      <c r="BJ1078" s="1">
        <v>0.0</v>
      </c>
      <c r="BP1078" s="1">
        <v>0.262</v>
      </c>
      <c r="BQ1078" s="1" t="s">
        <v>4061</v>
      </c>
      <c r="BV1078" s="1">
        <v>1.1</v>
      </c>
      <c r="EQ1078" s="9" t="s">
        <v>4060</v>
      </c>
      <c r="ER1078" s="21">
        <v>46045.30006944444</v>
      </c>
    </row>
    <row r="1079">
      <c r="A1079" s="9" t="s">
        <v>4062</v>
      </c>
      <c r="B1079" s="20" t="str">
        <f>IFERROR(__xludf.DUMMYFUNCTION("REGEXREPLACE(A1079, ""^https?://[^/]+"", """")"),"/sales-hiring-strategy-how-to-hire-top-sales-talent-2/")</f>
        <v>/sales-hiring-strategy-how-to-hire-top-sales-talent-2/</v>
      </c>
      <c r="C1079" s="1" t="s">
        <v>3968</v>
      </c>
      <c r="D1079" s="1" t="s">
        <v>3969</v>
      </c>
      <c r="E1079" s="1" t="s">
        <v>3970</v>
      </c>
      <c r="F1079" s="1" t="s">
        <v>965</v>
      </c>
      <c r="G1079" s="1">
        <v>200.0</v>
      </c>
      <c r="H1079" s="1" t="s">
        <v>966</v>
      </c>
      <c r="I1079" s="1" t="s">
        <v>967</v>
      </c>
      <c r="K1079" s="1" t="s">
        <v>3971</v>
      </c>
      <c r="L1079" s="1">
        <v>76.0</v>
      </c>
      <c r="M1079" s="1">
        <v>672.0</v>
      </c>
      <c r="O1079" s="1">
        <v>0.0</v>
      </c>
      <c r="P1079" s="1">
        <v>0.0</v>
      </c>
      <c r="Q1079" s="1" t="s">
        <v>1480</v>
      </c>
      <c r="R1079" s="1">
        <v>144.0</v>
      </c>
      <c r="S1079" s="1">
        <v>864.0</v>
      </c>
      <c r="U1079" s="1">
        <v>0.0</v>
      </c>
      <c r="V1079" s="1" t="s">
        <v>3968</v>
      </c>
      <c r="W1079" s="1">
        <v>51.0</v>
      </c>
      <c r="Y1079" s="1">
        <v>0.0</v>
      </c>
      <c r="Z1079" s="1" t="s">
        <v>3969</v>
      </c>
      <c r="AA1079" s="1">
        <v>30.0</v>
      </c>
      <c r="AB1079" s="1" t="s">
        <v>3970</v>
      </c>
      <c r="AC1079" s="1">
        <v>56.0</v>
      </c>
      <c r="AD1079" s="1" t="s">
        <v>971</v>
      </c>
      <c r="AG1079" s="9" t="s">
        <v>4062</v>
      </c>
      <c r="AM1079" s="1">
        <v>211528.0</v>
      </c>
      <c r="AN1079" s="1">
        <v>38199.0</v>
      </c>
      <c r="AO1079" s="1">
        <v>38199.0</v>
      </c>
      <c r="AP1079" s="1">
        <v>14.633</v>
      </c>
      <c r="AR1079" s="1">
        <v>1276.0</v>
      </c>
      <c r="AS1079" s="1">
        <v>201.0</v>
      </c>
      <c r="AT1079" s="1">
        <v>6.348</v>
      </c>
      <c r="AU1079" s="1">
        <v>55.789</v>
      </c>
      <c r="AV1079" s="1" t="s">
        <v>972</v>
      </c>
      <c r="AW1079" s="1">
        <v>4.981</v>
      </c>
      <c r="AX1079" s="1">
        <v>3.0</v>
      </c>
      <c r="AY1079" s="1">
        <v>1.0</v>
      </c>
      <c r="AZ1079" s="1">
        <v>1.0</v>
      </c>
      <c r="BA1079" s="1">
        <v>5.0</v>
      </c>
      <c r="BB1079" s="1">
        <v>2.0</v>
      </c>
      <c r="BC1079" s="1">
        <v>0.0</v>
      </c>
      <c r="BD1079" s="1">
        <v>0.27</v>
      </c>
      <c r="BE1079" s="1">
        <v>131.0</v>
      </c>
      <c r="BF1079" s="1">
        <v>48.0</v>
      </c>
      <c r="BG1079" s="1">
        <v>0.0</v>
      </c>
      <c r="BH1079" s="1">
        <v>21.0</v>
      </c>
      <c r="BI1079" s="1">
        <v>13.0</v>
      </c>
      <c r="BJ1079" s="1">
        <v>0.0</v>
      </c>
      <c r="BO1079" s="1" t="s">
        <v>4063</v>
      </c>
      <c r="BP1079" s="1">
        <v>1.063</v>
      </c>
      <c r="BU1079" s="1" t="s">
        <v>974</v>
      </c>
      <c r="BV1079" s="1">
        <v>1.1</v>
      </c>
      <c r="EQ1079" s="9" t="s">
        <v>4062</v>
      </c>
      <c r="ER1079" s="21">
        <v>46045.30005787037</v>
      </c>
    </row>
    <row r="1080">
      <c r="A1080" s="9" t="s">
        <v>4064</v>
      </c>
      <c r="B1080" s="20" t="str">
        <f>IFERROR(__xludf.DUMMYFUNCTION("REGEXREPLACE(A1080, ""^https?://[^/]+"", """")"),"/wp-content/uploads/2025/09/AI-in-Sales-Forecasting.jpg")</f>
        <v>/wp-content/uploads/2025/09/AI-in-Sales-Forecasting.jpg</v>
      </c>
      <c r="F1080" s="1" t="s">
        <v>1004</v>
      </c>
      <c r="G1080" s="1">
        <v>200.0</v>
      </c>
      <c r="H1080" s="1" t="s">
        <v>966</v>
      </c>
      <c r="I1080" s="1" t="s">
        <v>967</v>
      </c>
      <c r="L1080" s="1">
        <v>0.0</v>
      </c>
      <c r="M1080" s="1">
        <v>0.0</v>
      </c>
      <c r="O1080" s="1">
        <v>0.0</v>
      </c>
      <c r="P1080" s="1">
        <v>0.0</v>
      </c>
      <c r="R1080" s="1">
        <v>0.0</v>
      </c>
      <c r="S1080" s="1">
        <v>0.0</v>
      </c>
      <c r="U1080" s="1">
        <v>0.0</v>
      </c>
      <c r="W1080" s="1">
        <v>0.0</v>
      </c>
      <c r="Y1080" s="1">
        <v>0.0</v>
      </c>
      <c r="AA1080" s="1">
        <v>0.0</v>
      </c>
      <c r="AC1080" s="1">
        <v>0.0</v>
      </c>
      <c r="AM1080" s="1">
        <v>385060.0</v>
      </c>
      <c r="AN1080" s="1">
        <v>385060.0</v>
      </c>
      <c r="AO1080" s="1">
        <v>385060.0</v>
      </c>
      <c r="AP1080" s="1">
        <v>147.509</v>
      </c>
      <c r="AR1080" s="1">
        <v>0.0</v>
      </c>
      <c r="AW1080" s="1">
        <v>0.0</v>
      </c>
      <c r="AX1080" s="1">
        <v>3.0</v>
      </c>
      <c r="AY1080" s="1">
        <v>4.0</v>
      </c>
      <c r="BA1080" s="1">
        <v>0.0</v>
      </c>
      <c r="BB1080" s="1">
        <v>0.0</v>
      </c>
      <c r="BC1080" s="1">
        <v>0.0</v>
      </c>
      <c r="BD1080" s="1">
        <v>0.0</v>
      </c>
      <c r="BE1080" s="1">
        <v>0.0</v>
      </c>
      <c r="BF1080" s="1">
        <v>0.0</v>
      </c>
      <c r="BG1080" s="1">
        <v>0.0</v>
      </c>
      <c r="BH1080" s="1">
        <v>0.0</v>
      </c>
      <c r="BI1080" s="1">
        <v>0.0</v>
      </c>
      <c r="BJ1080" s="1">
        <v>0.0</v>
      </c>
      <c r="BP1080" s="1">
        <v>0.503</v>
      </c>
      <c r="BQ1080" s="1" t="s">
        <v>3255</v>
      </c>
      <c r="BV1080" s="1">
        <v>1.1</v>
      </c>
      <c r="EQ1080" s="9" t="s">
        <v>4064</v>
      </c>
      <c r="ER1080" s="21">
        <v>46045.30006944444</v>
      </c>
    </row>
    <row r="1081">
      <c r="A1081" s="9" t="s">
        <v>4065</v>
      </c>
      <c r="B1081" s="20" t="str">
        <f>IFERROR(__xludf.DUMMYFUNCTION("REGEXREPLACE(A1081, ""^https?://[^/]+"", """")"),"/do-chatbots-increase-sales-what-you-need-to-know-about-using-ai-chatbots-for-sales-success/")</f>
        <v>/do-chatbots-increase-sales-what-you-need-to-know-about-using-ai-chatbots-for-sales-success/</v>
      </c>
      <c r="C1081" s="1" t="s">
        <v>4066</v>
      </c>
      <c r="D1081" s="1" t="s">
        <v>4067</v>
      </c>
      <c r="E1081" s="1" t="s">
        <v>4068</v>
      </c>
      <c r="F1081" s="1" t="s">
        <v>965</v>
      </c>
      <c r="G1081" s="1">
        <v>200.0</v>
      </c>
      <c r="H1081" s="1" t="s">
        <v>966</v>
      </c>
      <c r="I1081" s="1" t="s">
        <v>967</v>
      </c>
      <c r="K1081" s="1" t="s">
        <v>4069</v>
      </c>
      <c r="L1081" s="1">
        <v>116.0</v>
      </c>
      <c r="M1081" s="1">
        <v>1055.0</v>
      </c>
      <c r="O1081" s="1">
        <v>0.0</v>
      </c>
      <c r="P1081" s="1">
        <v>0.0</v>
      </c>
      <c r="Q1081" s="1" t="s">
        <v>4070</v>
      </c>
      <c r="R1081" s="1">
        <v>116.0</v>
      </c>
      <c r="S1081" s="1">
        <v>734.0</v>
      </c>
      <c r="U1081" s="1">
        <v>0.0</v>
      </c>
      <c r="V1081" s="1" t="s">
        <v>4066</v>
      </c>
      <c r="W1081" s="1">
        <v>91.0</v>
      </c>
      <c r="Y1081" s="1">
        <v>0.0</v>
      </c>
      <c r="Z1081" s="1" t="s">
        <v>4067</v>
      </c>
      <c r="AA1081" s="1">
        <v>51.0</v>
      </c>
      <c r="AB1081" s="1" t="s">
        <v>4068</v>
      </c>
      <c r="AC1081" s="1">
        <v>18.0</v>
      </c>
      <c r="AD1081" s="1" t="s">
        <v>971</v>
      </c>
      <c r="AG1081" s="9" t="s">
        <v>4065</v>
      </c>
      <c r="AM1081" s="1">
        <v>199307.0</v>
      </c>
      <c r="AN1081" s="1">
        <v>36602.0</v>
      </c>
      <c r="AO1081" s="1">
        <v>36602.0</v>
      </c>
      <c r="AP1081" s="1">
        <v>14.022</v>
      </c>
      <c r="AR1081" s="1">
        <v>1437.0</v>
      </c>
      <c r="AS1081" s="1">
        <v>224.0</v>
      </c>
      <c r="AT1081" s="1">
        <v>6.415</v>
      </c>
      <c r="AU1081" s="1">
        <v>43.605</v>
      </c>
      <c r="AV1081" s="1" t="s">
        <v>1075</v>
      </c>
      <c r="AW1081" s="1">
        <v>6.116</v>
      </c>
      <c r="AX1081" s="1">
        <v>3.0</v>
      </c>
      <c r="AY1081" s="1">
        <v>1.0</v>
      </c>
      <c r="AZ1081" s="1">
        <v>1.0</v>
      </c>
      <c r="BA1081" s="1">
        <v>12.0</v>
      </c>
      <c r="BB1081" s="1">
        <v>10.0</v>
      </c>
      <c r="BC1081" s="1">
        <v>0.0</v>
      </c>
      <c r="BD1081" s="1">
        <v>1.33</v>
      </c>
      <c r="BE1081" s="1">
        <v>131.0</v>
      </c>
      <c r="BF1081" s="1">
        <v>47.0</v>
      </c>
      <c r="BG1081" s="1">
        <v>0.0</v>
      </c>
      <c r="BH1081" s="1">
        <v>23.0</v>
      </c>
      <c r="BI1081" s="1">
        <v>15.0</v>
      </c>
      <c r="BJ1081" s="1">
        <v>0.0</v>
      </c>
      <c r="BO1081" s="1" t="s">
        <v>4071</v>
      </c>
      <c r="BP1081" s="1">
        <v>1.015</v>
      </c>
      <c r="BU1081" s="1" t="s">
        <v>974</v>
      </c>
      <c r="BV1081" s="1">
        <v>1.1</v>
      </c>
      <c r="EQ1081" s="9" t="s">
        <v>4065</v>
      </c>
      <c r="ER1081" s="21">
        <v>46045.30005787037</v>
      </c>
    </row>
    <row r="1082">
      <c r="A1082" s="9" t="s">
        <v>4072</v>
      </c>
      <c r="B1082" s="20" t="str">
        <f>IFERROR(__xludf.DUMMYFUNCTION("REGEXREPLACE(A1082, ""^https?://[^/]+"", """")"),"/important-benefits-and-pitfalls-of-ai-for-sales/")</f>
        <v>/important-benefits-and-pitfalls-of-ai-for-sales/</v>
      </c>
      <c r="C1082" s="1" t="s">
        <v>4073</v>
      </c>
      <c r="D1082" s="1" t="s">
        <v>3805</v>
      </c>
      <c r="E1082" s="1" t="s">
        <v>4074</v>
      </c>
      <c r="F1082" s="1" t="s">
        <v>965</v>
      </c>
      <c r="G1082" s="1">
        <v>200.0</v>
      </c>
      <c r="H1082" s="1" t="s">
        <v>966</v>
      </c>
      <c r="I1082" s="1" t="s">
        <v>967</v>
      </c>
      <c r="K1082" s="1" t="s">
        <v>4075</v>
      </c>
      <c r="L1082" s="1">
        <v>72.0</v>
      </c>
      <c r="M1082" s="1">
        <v>618.0</v>
      </c>
      <c r="O1082" s="1">
        <v>0.0</v>
      </c>
      <c r="P1082" s="1">
        <v>0.0</v>
      </c>
      <c r="Q1082" s="1" t="s">
        <v>4076</v>
      </c>
      <c r="R1082" s="1">
        <v>144.0</v>
      </c>
      <c r="S1082" s="1">
        <v>876.0</v>
      </c>
      <c r="U1082" s="1">
        <v>0.0</v>
      </c>
      <c r="V1082" s="1" t="s">
        <v>4073</v>
      </c>
      <c r="W1082" s="1">
        <v>47.0</v>
      </c>
      <c r="Y1082" s="1">
        <v>0.0</v>
      </c>
      <c r="Z1082" s="1" t="s">
        <v>3805</v>
      </c>
      <c r="AA1082" s="1">
        <v>11.0</v>
      </c>
      <c r="AB1082" s="1" t="s">
        <v>4074</v>
      </c>
      <c r="AC1082" s="1">
        <v>20.0</v>
      </c>
      <c r="AD1082" s="1" t="s">
        <v>971</v>
      </c>
      <c r="AG1082" s="9" t="s">
        <v>4072</v>
      </c>
      <c r="AM1082" s="1">
        <v>201546.0</v>
      </c>
      <c r="AN1082" s="1">
        <v>36954.0</v>
      </c>
      <c r="AO1082" s="1">
        <v>36954.0</v>
      </c>
      <c r="AP1082" s="1">
        <v>14.156</v>
      </c>
      <c r="AR1082" s="1">
        <v>1581.0</v>
      </c>
      <c r="AS1082" s="1">
        <v>235.0</v>
      </c>
      <c r="AT1082" s="1">
        <v>6.728</v>
      </c>
      <c r="AU1082" s="1">
        <v>56.063</v>
      </c>
      <c r="AV1082" s="1" t="s">
        <v>972</v>
      </c>
      <c r="AW1082" s="1">
        <v>6.164</v>
      </c>
      <c r="AX1082" s="1">
        <v>3.0</v>
      </c>
      <c r="AY1082" s="1">
        <v>1.0</v>
      </c>
      <c r="AZ1082" s="1">
        <v>1.0</v>
      </c>
      <c r="BA1082" s="1">
        <v>12.0</v>
      </c>
      <c r="BB1082" s="1">
        <v>10.0</v>
      </c>
      <c r="BC1082" s="1">
        <v>0.0</v>
      </c>
      <c r="BD1082" s="1">
        <v>1.33</v>
      </c>
      <c r="BE1082" s="1">
        <v>136.0</v>
      </c>
      <c r="BF1082" s="1">
        <v>50.0</v>
      </c>
      <c r="BG1082" s="1">
        <v>0.0</v>
      </c>
      <c r="BH1082" s="1">
        <v>16.0</v>
      </c>
      <c r="BI1082" s="1">
        <v>8.0</v>
      </c>
      <c r="BJ1082" s="1">
        <v>0.0</v>
      </c>
      <c r="BO1082" s="1" t="s">
        <v>4077</v>
      </c>
      <c r="BP1082" s="1">
        <v>1.076</v>
      </c>
      <c r="BU1082" s="1" t="s">
        <v>974</v>
      </c>
      <c r="BV1082" s="1">
        <v>1.1</v>
      </c>
      <c r="EQ1082" s="9" t="s">
        <v>4072</v>
      </c>
      <c r="ER1082" s="21">
        <v>46045.30005787037</v>
      </c>
    </row>
    <row r="1083">
      <c r="A1083" s="9" t="s">
        <v>4078</v>
      </c>
      <c r="B1083" s="20" t="str">
        <f>IFERROR(__xludf.DUMMYFUNCTION("REGEXREPLACE(A1083, ""^https?://[^/]+"", """")"),"/crm-definition-and-tips-for-success/")</f>
        <v>/crm-definition-and-tips-for-success/</v>
      </c>
      <c r="C1083" s="1" t="s">
        <v>4079</v>
      </c>
      <c r="F1083" s="1" t="s">
        <v>965</v>
      </c>
      <c r="G1083" s="1">
        <v>200.0</v>
      </c>
      <c r="H1083" s="1" t="s">
        <v>966</v>
      </c>
      <c r="I1083" s="1" t="s">
        <v>967</v>
      </c>
      <c r="K1083" s="1" t="s">
        <v>4080</v>
      </c>
      <c r="L1083" s="1">
        <v>94.0</v>
      </c>
      <c r="M1083" s="1">
        <v>850.0</v>
      </c>
      <c r="O1083" s="1">
        <v>0.0</v>
      </c>
      <c r="P1083" s="1">
        <v>0.0</v>
      </c>
      <c r="Q1083" s="1" t="s">
        <v>4081</v>
      </c>
      <c r="R1083" s="1">
        <v>148.0</v>
      </c>
      <c r="S1083" s="1">
        <v>936.0</v>
      </c>
      <c r="U1083" s="1">
        <v>0.0</v>
      </c>
      <c r="V1083" s="1" t="s">
        <v>4079</v>
      </c>
      <c r="W1083" s="1">
        <v>69.0</v>
      </c>
      <c r="Y1083" s="1">
        <v>0.0</v>
      </c>
      <c r="AA1083" s="1">
        <v>0.0</v>
      </c>
      <c r="AC1083" s="1">
        <v>0.0</v>
      </c>
      <c r="AD1083" s="1" t="s">
        <v>971</v>
      </c>
      <c r="AG1083" s="9" t="s">
        <v>4078</v>
      </c>
      <c r="AM1083" s="1">
        <v>203457.0</v>
      </c>
      <c r="AN1083" s="1">
        <v>36554.0</v>
      </c>
      <c r="AO1083" s="1">
        <v>36554.0</v>
      </c>
      <c r="AP1083" s="1">
        <v>14.003</v>
      </c>
      <c r="AR1083" s="1">
        <v>1453.0</v>
      </c>
      <c r="AS1083" s="1">
        <v>214.0</v>
      </c>
      <c r="AT1083" s="1">
        <v>6.79</v>
      </c>
      <c r="AU1083" s="1">
        <v>62.534</v>
      </c>
      <c r="AV1083" s="1" t="s">
        <v>990</v>
      </c>
      <c r="AW1083" s="1">
        <v>5.581</v>
      </c>
      <c r="AX1083" s="1">
        <v>3.0</v>
      </c>
      <c r="AY1083" s="1">
        <v>1.0</v>
      </c>
      <c r="AZ1083" s="1">
        <v>1.0</v>
      </c>
      <c r="BA1083" s="1">
        <v>2.0</v>
      </c>
      <c r="BB1083" s="1">
        <v>2.0</v>
      </c>
      <c r="BC1083" s="1">
        <v>0.0</v>
      </c>
      <c r="BD1083" s="1">
        <v>0.27</v>
      </c>
      <c r="BE1083" s="1">
        <v>130.0</v>
      </c>
      <c r="BF1083" s="1">
        <v>48.0</v>
      </c>
      <c r="BG1083" s="1">
        <v>0.0</v>
      </c>
      <c r="BH1083" s="1">
        <v>16.0</v>
      </c>
      <c r="BI1083" s="1">
        <v>8.0</v>
      </c>
      <c r="BJ1083" s="1">
        <v>0.0</v>
      </c>
      <c r="BO1083" s="1" t="s">
        <v>4082</v>
      </c>
      <c r="BP1083" s="1">
        <v>1.019</v>
      </c>
      <c r="BU1083" s="1" t="s">
        <v>974</v>
      </c>
      <c r="BV1083" s="1">
        <v>1.1</v>
      </c>
      <c r="EQ1083" s="9" t="s">
        <v>4078</v>
      </c>
      <c r="ER1083" s="21">
        <v>46045.30006944444</v>
      </c>
    </row>
    <row r="1084">
      <c r="A1084" s="9" t="s">
        <v>4083</v>
      </c>
      <c r="B1084" s="20" t="str">
        <f>IFERROR(__xludf.DUMMYFUNCTION("REGEXREPLACE(A1084, ""^https?://[^/]+"", """")"),"/wp-content/uploads/2022/04/Daly-Tom-1-275x275-1-100x100.jpg")</f>
        <v>/wp-content/uploads/2022/04/Daly-Tom-1-275x275-1-100x100.jpg</v>
      </c>
      <c r="F1084" s="1" t="s">
        <v>1004</v>
      </c>
      <c r="G1084" s="1">
        <v>200.0</v>
      </c>
      <c r="H1084" s="1" t="s">
        <v>966</v>
      </c>
      <c r="I1084" s="1" t="s">
        <v>967</v>
      </c>
      <c r="L1084" s="1">
        <v>0.0</v>
      </c>
      <c r="M1084" s="1">
        <v>0.0</v>
      </c>
      <c r="O1084" s="1">
        <v>0.0</v>
      </c>
      <c r="P1084" s="1">
        <v>0.0</v>
      </c>
      <c r="R1084" s="1">
        <v>0.0</v>
      </c>
      <c r="S1084" s="1">
        <v>0.0</v>
      </c>
      <c r="U1084" s="1">
        <v>0.0</v>
      </c>
      <c r="W1084" s="1">
        <v>0.0</v>
      </c>
      <c r="Y1084" s="1">
        <v>0.0</v>
      </c>
      <c r="AA1084" s="1">
        <v>0.0</v>
      </c>
      <c r="AC1084" s="1">
        <v>0.0</v>
      </c>
      <c r="AM1084" s="1">
        <v>2626.0</v>
      </c>
      <c r="AN1084" s="1">
        <v>2626.0</v>
      </c>
      <c r="AO1084" s="1">
        <v>2626.0</v>
      </c>
      <c r="AP1084" s="1">
        <v>1.006</v>
      </c>
      <c r="AR1084" s="1">
        <v>0.0</v>
      </c>
      <c r="AW1084" s="1">
        <v>0.0</v>
      </c>
      <c r="AX1084" s="1">
        <v>3.0</v>
      </c>
      <c r="AY1084" s="1">
        <v>4.0</v>
      </c>
      <c r="BA1084" s="1">
        <v>0.0</v>
      </c>
      <c r="BB1084" s="1">
        <v>0.0</v>
      </c>
      <c r="BC1084" s="1">
        <v>0.0</v>
      </c>
      <c r="BD1084" s="1">
        <v>0.0</v>
      </c>
      <c r="BE1084" s="1">
        <v>0.0</v>
      </c>
      <c r="BF1084" s="1">
        <v>0.0</v>
      </c>
      <c r="BG1084" s="1">
        <v>0.0</v>
      </c>
      <c r="BH1084" s="1">
        <v>0.0</v>
      </c>
      <c r="BI1084" s="1">
        <v>0.0</v>
      </c>
      <c r="BJ1084" s="1">
        <v>0.0</v>
      </c>
      <c r="BP1084" s="1">
        <v>0.375</v>
      </c>
      <c r="BQ1084" s="1" t="s">
        <v>4084</v>
      </c>
      <c r="BV1084" s="1">
        <v>1.1</v>
      </c>
      <c r="EQ1084" s="9" t="s">
        <v>4083</v>
      </c>
      <c r="ER1084" s="21">
        <v>46045.30008101852</v>
      </c>
    </row>
    <row r="1085">
      <c r="A1085" s="9" t="s">
        <v>4085</v>
      </c>
      <c r="B1085" s="20" t="str">
        <f>IFERROR(__xludf.DUMMYFUNCTION("REGEXREPLACE(A1085, ""^https?://[^/]+"", """")"),"/wp-content/uploads/2023/05/AI-for-Sales.jpg")</f>
        <v>/wp-content/uploads/2023/05/AI-for-Sales.jpg</v>
      </c>
      <c r="F1085" s="1" t="s">
        <v>1004</v>
      </c>
      <c r="G1085" s="1">
        <v>200.0</v>
      </c>
      <c r="H1085" s="1" t="s">
        <v>966</v>
      </c>
      <c r="I1085" s="1" t="s">
        <v>967</v>
      </c>
      <c r="L1085" s="1">
        <v>0.0</v>
      </c>
      <c r="M1085" s="1">
        <v>0.0</v>
      </c>
      <c r="O1085" s="1">
        <v>0.0</v>
      </c>
      <c r="P1085" s="1">
        <v>0.0</v>
      </c>
      <c r="R1085" s="1">
        <v>0.0</v>
      </c>
      <c r="S1085" s="1">
        <v>0.0</v>
      </c>
      <c r="U1085" s="1">
        <v>0.0</v>
      </c>
      <c r="W1085" s="1">
        <v>0.0</v>
      </c>
      <c r="Y1085" s="1">
        <v>0.0</v>
      </c>
      <c r="AA1085" s="1">
        <v>0.0</v>
      </c>
      <c r="AC1085" s="1">
        <v>0.0</v>
      </c>
      <c r="AM1085" s="1">
        <v>143553.0</v>
      </c>
      <c r="AN1085" s="1">
        <v>143553.0</v>
      </c>
      <c r="AO1085" s="1">
        <v>143553.0</v>
      </c>
      <c r="AP1085" s="1">
        <v>54.992</v>
      </c>
      <c r="AR1085" s="1">
        <v>0.0</v>
      </c>
      <c r="AW1085" s="1">
        <v>0.0</v>
      </c>
      <c r="AX1085" s="1">
        <v>3.0</v>
      </c>
      <c r="AY1085" s="1">
        <v>4.0</v>
      </c>
      <c r="BA1085" s="1">
        <v>0.0</v>
      </c>
      <c r="BB1085" s="1">
        <v>0.0</v>
      </c>
      <c r="BC1085" s="1">
        <v>0.0</v>
      </c>
      <c r="BD1085" s="1">
        <v>0.0</v>
      </c>
      <c r="BE1085" s="1">
        <v>0.0</v>
      </c>
      <c r="BF1085" s="1">
        <v>0.0</v>
      </c>
      <c r="BG1085" s="1">
        <v>0.0</v>
      </c>
      <c r="BH1085" s="1">
        <v>0.0</v>
      </c>
      <c r="BI1085" s="1">
        <v>0.0</v>
      </c>
      <c r="BJ1085" s="1">
        <v>0.0</v>
      </c>
      <c r="BP1085" s="1">
        <v>0.262</v>
      </c>
      <c r="BQ1085" s="1" t="s">
        <v>4086</v>
      </c>
      <c r="BV1085" s="1">
        <v>1.1</v>
      </c>
      <c r="EQ1085" s="9" t="s">
        <v>4085</v>
      </c>
      <c r="ER1085" s="21">
        <v>46045.30008101852</v>
      </c>
    </row>
    <row r="1086">
      <c r="A1086" s="9" t="s">
        <v>4087</v>
      </c>
      <c r="B1086" s="20" t="str">
        <f>IFERROR(__xludf.DUMMYFUNCTION("REGEXREPLACE(A1086, ""^https?://[^/]+"", """")"),"/wp-content/uploads/2023/08/Enhance-Sales-Using-AI.jpg")</f>
        <v>/wp-content/uploads/2023/08/Enhance-Sales-Using-AI.jpg</v>
      </c>
      <c r="F1086" s="1" t="s">
        <v>1004</v>
      </c>
      <c r="G1086" s="1">
        <v>200.0</v>
      </c>
      <c r="H1086" s="1" t="s">
        <v>966</v>
      </c>
      <c r="I1086" s="1" t="s">
        <v>967</v>
      </c>
      <c r="L1086" s="1">
        <v>0.0</v>
      </c>
      <c r="M1086" s="1">
        <v>0.0</v>
      </c>
      <c r="O1086" s="1">
        <v>0.0</v>
      </c>
      <c r="P1086" s="1">
        <v>0.0</v>
      </c>
      <c r="R1086" s="1">
        <v>0.0</v>
      </c>
      <c r="S1086" s="1">
        <v>0.0</v>
      </c>
      <c r="U1086" s="1">
        <v>0.0</v>
      </c>
      <c r="W1086" s="1">
        <v>0.0</v>
      </c>
      <c r="Y1086" s="1">
        <v>0.0</v>
      </c>
      <c r="AA1086" s="1">
        <v>0.0</v>
      </c>
      <c r="AC1086" s="1">
        <v>0.0</v>
      </c>
      <c r="AM1086" s="1">
        <v>320504.0</v>
      </c>
      <c r="AN1086" s="1">
        <v>320504.0</v>
      </c>
      <c r="AO1086" s="1">
        <v>320504.0</v>
      </c>
      <c r="AP1086" s="1">
        <v>122.779</v>
      </c>
      <c r="AR1086" s="1">
        <v>0.0</v>
      </c>
      <c r="AW1086" s="1">
        <v>0.0</v>
      </c>
      <c r="AX1086" s="1">
        <v>3.0</v>
      </c>
      <c r="AY1086" s="1">
        <v>4.0</v>
      </c>
      <c r="BA1086" s="1">
        <v>0.0</v>
      </c>
      <c r="BB1086" s="1">
        <v>0.0</v>
      </c>
      <c r="BC1086" s="1">
        <v>0.0</v>
      </c>
      <c r="BD1086" s="1">
        <v>0.0</v>
      </c>
      <c r="BE1086" s="1">
        <v>0.0</v>
      </c>
      <c r="BF1086" s="1">
        <v>0.0</v>
      </c>
      <c r="BG1086" s="1">
        <v>0.0</v>
      </c>
      <c r="BH1086" s="1">
        <v>0.0</v>
      </c>
      <c r="BI1086" s="1">
        <v>0.0</v>
      </c>
      <c r="BJ1086" s="1">
        <v>0.0</v>
      </c>
      <c r="BP1086" s="1">
        <v>0.28</v>
      </c>
      <c r="BQ1086" s="1" t="s">
        <v>4088</v>
      </c>
      <c r="BV1086" s="1">
        <v>1.1</v>
      </c>
      <c r="EQ1086" s="9" t="s">
        <v>4087</v>
      </c>
      <c r="ER1086" s="21">
        <v>46045.30008101852</v>
      </c>
    </row>
    <row r="1087">
      <c r="A1087" s="9" t="s">
        <v>4089</v>
      </c>
      <c r="B1087" s="20" t="str">
        <f>IFERROR(__xludf.DUMMYFUNCTION("REGEXREPLACE(A1087, ""^https?://[^/]+"", """")"),"/sales-agility-assessment?locationid=29820526")</f>
        <v>/sales-agility-assessment?locationid=29820526</v>
      </c>
      <c r="F1087" s="1" t="s">
        <v>965</v>
      </c>
      <c r="G1087" s="1">
        <v>301.0</v>
      </c>
      <c r="H1087" s="1" t="s">
        <v>1304</v>
      </c>
      <c r="I1087" s="1" t="s">
        <v>1214</v>
      </c>
      <c r="J1087" s="1" t="s">
        <v>1305</v>
      </c>
      <c r="L1087" s="1">
        <v>0.0</v>
      </c>
      <c r="M1087" s="1">
        <v>0.0</v>
      </c>
      <c r="O1087" s="1">
        <v>0.0</v>
      </c>
      <c r="P1087" s="1">
        <v>0.0</v>
      </c>
      <c r="R1087" s="1">
        <v>0.0</v>
      </c>
      <c r="S1087" s="1">
        <v>0.0</v>
      </c>
      <c r="U1087" s="1">
        <v>0.0</v>
      </c>
      <c r="W1087" s="1">
        <v>0.0</v>
      </c>
      <c r="Y1087" s="1">
        <v>0.0</v>
      </c>
      <c r="AA1087" s="1">
        <v>0.0</v>
      </c>
      <c r="AC1087" s="1">
        <v>0.0</v>
      </c>
      <c r="AM1087" s="1">
        <v>0.0</v>
      </c>
      <c r="AN1087" s="1">
        <v>0.0</v>
      </c>
      <c r="AO1087" s="1">
        <v>0.0</v>
      </c>
      <c r="AP1087" s="1">
        <v>0.0</v>
      </c>
      <c r="AR1087" s="1">
        <v>0.0</v>
      </c>
      <c r="AW1087" s="1">
        <v>0.0</v>
      </c>
      <c r="AX1087" s="1">
        <v>3.0</v>
      </c>
      <c r="AY1087" s="1">
        <v>0.0</v>
      </c>
      <c r="BA1087" s="1">
        <v>2.0</v>
      </c>
      <c r="BB1087" s="1">
        <v>2.0</v>
      </c>
      <c r="BC1087" s="1">
        <v>0.0</v>
      </c>
      <c r="BD1087" s="1">
        <v>0.27</v>
      </c>
      <c r="BE1087" s="1">
        <v>0.0</v>
      </c>
      <c r="BF1087" s="1">
        <v>0.0</v>
      </c>
      <c r="BG1087" s="1">
        <v>0.0</v>
      </c>
      <c r="BH1087" s="1">
        <v>0.0</v>
      </c>
      <c r="BI1087" s="1">
        <v>0.0</v>
      </c>
      <c r="BJ1087" s="1">
        <v>0.0</v>
      </c>
      <c r="BP1087" s="1">
        <v>0.566</v>
      </c>
      <c r="BR1087" s="9" t="s">
        <v>4090</v>
      </c>
      <c r="BS1087" s="1" t="s">
        <v>1307</v>
      </c>
      <c r="BV1087" s="1">
        <v>1.1</v>
      </c>
      <c r="EQ1087" s="9" t="s">
        <v>4089</v>
      </c>
      <c r="ER1087" s="21">
        <v>46045.30008101852</v>
      </c>
    </row>
    <row r="1088">
      <c r="A1088" s="9" t="s">
        <v>4091</v>
      </c>
      <c r="B1088" s="20" t="str">
        <f>IFERROR(__xludf.DUMMYFUNCTION("REGEXREPLACE(A1088, ""^https?://[^/]+"", """")"),"/author/tdaly/")</f>
        <v>/author/tdaly/</v>
      </c>
      <c r="C1088" s="1" t="s">
        <v>4092</v>
      </c>
      <c r="F1088" s="1" t="s">
        <v>965</v>
      </c>
      <c r="G1088" s="1">
        <v>200.0</v>
      </c>
      <c r="H1088" s="1" t="s">
        <v>966</v>
      </c>
      <c r="I1088" s="1" t="s">
        <v>967</v>
      </c>
      <c r="K1088" s="1" t="s">
        <v>4093</v>
      </c>
      <c r="L1088" s="1">
        <v>37.0</v>
      </c>
      <c r="M1088" s="1">
        <v>337.0</v>
      </c>
      <c r="O1088" s="1">
        <v>0.0</v>
      </c>
      <c r="P1088" s="1">
        <v>0.0</v>
      </c>
      <c r="R1088" s="1">
        <v>0.0</v>
      </c>
      <c r="S1088" s="1">
        <v>0.0</v>
      </c>
      <c r="U1088" s="1">
        <v>0.0</v>
      </c>
      <c r="V1088" s="1" t="s">
        <v>4092</v>
      </c>
      <c r="W1088" s="1">
        <v>8.0</v>
      </c>
      <c r="Y1088" s="1">
        <v>0.0</v>
      </c>
      <c r="AA1088" s="1">
        <v>0.0</v>
      </c>
      <c r="AC1088" s="1">
        <v>0.0</v>
      </c>
      <c r="AD1088" s="1" t="s">
        <v>971</v>
      </c>
      <c r="AG1088" s="9" t="s">
        <v>4091</v>
      </c>
      <c r="AM1088" s="1">
        <v>151829.0</v>
      </c>
      <c r="AN1088" s="1">
        <v>29765.0</v>
      </c>
      <c r="AO1088" s="1">
        <v>29765.0</v>
      </c>
      <c r="AP1088" s="1">
        <v>11.402</v>
      </c>
      <c r="AR1088" s="1">
        <v>614.0</v>
      </c>
      <c r="AS1088" s="1">
        <v>105.0</v>
      </c>
      <c r="AT1088" s="1">
        <v>5.848</v>
      </c>
      <c r="AU1088" s="1">
        <v>60.221</v>
      </c>
      <c r="AV1088" s="1" t="s">
        <v>990</v>
      </c>
      <c r="AW1088" s="1">
        <v>4.082</v>
      </c>
      <c r="AX1088" s="1">
        <v>3.0</v>
      </c>
      <c r="AY1088" s="1">
        <v>2.0</v>
      </c>
      <c r="AZ1088" s="1">
        <v>1.0</v>
      </c>
      <c r="BA1088" s="1">
        <v>3.0</v>
      </c>
      <c r="BB1088" s="1">
        <v>1.0</v>
      </c>
      <c r="BC1088" s="1">
        <v>0.0</v>
      </c>
      <c r="BD1088" s="1">
        <v>0.13</v>
      </c>
      <c r="BE1088" s="1">
        <v>127.0</v>
      </c>
      <c r="BF1088" s="1">
        <v>45.0</v>
      </c>
      <c r="BG1088" s="1">
        <v>0.0</v>
      </c>
      <c r="BH1088" s="1">
        <v>16.0</v>
      </c>
      <c r="BI1088" s="1">
        <v>8.0</v>
      </c>
      <c r="BJ1088" s="1">
        <v>0.0</v>
      </c>
      <c r="BO1088" s="1" t="s">
        <v>4094</v>
      </c>
      <c r="BP1088" s="1">
        <v>1.034</v>
      </c>
      <c r="BU1088" s="1" t="s">
        <v>974</v>
      </c>
      <c r="BV1088" s="1">
        <v>1.1</v>
      </c>
      <c r="EQ1088" s="9" t="s">
        <v>4091</v>
      </c>
      <c r="ER1088" s="21">
        <v>46045.30006944444</v>
      </c>
    </row>
    <row r="1089">
      <c r="A1089" s="9" t="s">
        <v>4095</v>
      </c>
      <c r="B1089" s="20" t="str">
        <f>IFERROR(__xludf.DUMMYFUNCTION("REGEXREPLACE(A1089, ""^https?://[^/]+"", """")"),"/wp-content/uploads/2025/12/Improving-Your-Sales-Recruitment-and-Hiring-Process.jpg")</f>
        <v>/wp-content/uploads/2025/12/Improving-Your-Sales-Recruitment-and-Hiring-Process.jpg</v>
      </c>
      <c r="F1089" s="1" t="s">
        <v>1004</v>
      </c>
      <c r="G1089" s="1">
        <v>200.0</v>
      </c>
      <c r="H1089" s="1" t="s">
        <v>966</v>
      </c>
      <c r="I1089" s="1" t="s">
        <v>967</v>
      </c>
      <c r="L1089" s="1">
        <v>0.0</v>
      </c>
      <c r="M1089" s="1">
        <v>0.0</v>
      </c>
      <c r="O1089" s="1">
        <v>0.0</v>
      </c>
      <c r="P1089" s="1">
        <v>0.0</v>
      </c>
      <c r="R1089" s="1">
        <v>0.0</v>
      </c>
      <c r="S1089" s="1">
        <v>0.0</v>
      </c>
      <c r="U1089" s="1">
        <v>0.0</v>
      </c>
      <c r="W1089" s="1">
        <v>0.0</v>
      </c>
      <c r="Y1089" s="1">
        <v>0.0</v>
      </c>
      <c r="AA1089" s="1">
        <v>0.0</v>
      </c>
      <c r="AC1089" s="1">
        <v>0.0</v>
      </c>
      <c r="AM1089" s="1">
        <v>335474.0</v>
      </c>
      <c r="AN1089" s="1">
        <v>335474.0</v>
      </c>
      <c r="AO1089" s="1">
        <v>335474.0</v>
      </c>
      <c r="AP1089" s="1">
        <v>128.514</v>
      </c>
      <c r="AR1089" s="1">
        <v>0.0</v>
      </c>
      <c r="AW1089" s="1">
        <v>0.0</v>
      </c>
      <c r="AX1089" s="1">
        <v>3.0</v>
      </c>
      <c r="AY1089" s="1">
        <v>4.0</v>
      </c>
      <c r="BA1089" s="1">
        <v>0.0</v>
      </c>
      <c r="BB1089" s="1">
        <v>0.0</v>
      </c>
      <c r="BC1089" s="1">
        <v>0.0</v>
      </c>
      <c r="BD1089" s="1">
        <v>0.0</v>
      </c>
      <c r="BE1089" s="1">
        <v>0.0</v>
      </c>
      <c r="BF1089" s="1">
        <v>0.0</v>
      </c>
      <c r="BG1089" s="1">
        <v>0.0</v>
      </c>
      <c r="BH1089" s="1">
        <v>0.0</v>
      </c>
      <c r="BI1089" s="1">
        <v>0.0</v>
      </c>
      <c r="BJ1089" s="1">
        <v>0.0</v>
      </c>
      <c r="BP1089" s="1">
        <v>0.266</v>
      </c>
      <c r="BQ1089" s="1" t="s">
        <v>4022</v>
      </c>
      <c r="BV1089" s="1">
        <v>1.1</v>
      </c>
      <c r="EQ1089" s="9" t="s">
        <v>4095</v>
      </c>
      <c r="ER1089" s="21">
        <v>46045.300092592595</v>
      </c>
    </row>
    <row r="1090">
      <c r="A1090" s="9" t="s">
        <v>4096</v>
      </c>
      <c r="B1090" s="20" t="str">
        <f>IFERROR(__xludf.DUMMYFUNCTION("REGEXREPLACE(A1090, ""^https?://[^/]+"", """")"),"/wp-content/themes/salesxceleratione/assets/css/style.css?ver=1769123345")</f>
        <v>/wp-content/themes/salesxceleratione/assets/css/style.css?ver=1769123345</v>
      </c>
      <c r="F1090" s="1" t="s">
        <v>1016</v>
      </c>
      <c r="G1090" s="1">
        <v>200.0</v>
      </c>
      <c r="H1090" s="1" t="s">
        <v>966</v>
      </c>
      <c r="I1090" s="1" t="s">
        <v>967</v>
      </c>
      <c r="L1090" s="1">
        <v>0.0</v>
      </c>
      <c r="M1090" s="1">
        <v>0.0</v>
      </c>
      <c r="O1090" s="1">
        <v>0.0</v>
      </c>
      <c r="P1090" s="1">
        <v>0.0</v>
      </c>
      <c r="R1090" s="1">
        <v>0.0</v>
      </c>
      <c r="S1090" s="1">
        <v>0.0</v>
      </c>
      <c r="U1090" s="1">
        <v>0.0</v>
      </c>
      <c r="W1090" s="1">
        <v>0.0</v>
      </c>
      <c r="Y1090" s="1">
        <v>0.0</v>
      </c>
      <c r="AA1090" s="1">
        <v>0.0</v>
      </c>
      <c r="AC1090" s="1">
        <v>0.0</v>
      </c>
      <c r="AM1090" s="1">
        <v>17704.0</v>
      </c>
      <c r="AN1090" s="1">
        <v>17704.0</v>
      </c>
      <c r="AO1090" s="1">
        <v>17704.0</v>
      </c>
      <c r="AP1090" s="1">
        <v>6.782</v>
      </c>
      <c r="AR1090" s="1">
        <v>0.0</v>
      </c>
      <c r="AW1090" s="1">
        <v>0.0</v>
      </c>
      <c r="AX1090" s="1">
        <v>3.0</v>
      </c>
      <c r="AY1090" s="1">
        <v>5.0</v>
      </c>
      <c r="BA1090" s="1">
        <v>0.0</v>
      </c>
      <c r="BB1090" s="1">
        <v>0.0</v>
      </c>
      <c r="BC1090" s="1">
        <v>0.0</v>
      </c>
      <c r="BD1090" s="1">
        <v>0.0</v>
      </c>
      <c r="BE1090" s="1">
        <v>0.0</v>
      </c>
      <c r="BF1090" s="1">
        <v>0.0</v>
      </c>
      <c r="BG1090" s="1">
        <v>0.0</v>
      </c>
      <c r="BH1090" s="1">
        <v>0.0</v>
      </c>
      <c r="BI1090" s="1">
        <v>0.0</v>
      </c>
      <c r="BJ1090" s="1">
        <v>0.0</v>
      </c>
      <c r="BP1090" s="1">
        <v>0.289</v>
      </c>
      <c r="BQ1090" s="1" t="s">
        <v>4097</v>
      </c>
      <c r="BV1090" s="1">
        <v>1.1</v>
      </c>
      <c r="EQ1090" s="9" t="s">
        <v>4096</v>
      </c>
      <c r="ER1090" s="21">
        <v>46045.300092592595</v>
      </c>
    </row>
    <row r="1091">
      <c r="A1091" s="9" t="s">
        <v>4098</v>
      </c>
      <c r="B1091" s="20" t="str">
        <f>IFERROR(__xludf.DUMMYFUNCTION("REGEXREPLACE(A1091, ""^https?://[^/]+"", """")"),"/wp-content/uploads/2025/12/Comp-Plan-Error.jpg")</f>
        <v>/wp-content/uploads/2025/12/Comp-Plan-Error.jpg</v>
      </c>
      <c r="F1091" s="1" t="s">
        <v>1004</v>
      </c>
      <c r="G1091" s="1">
        <v>200.0</v>
      </c>
      <c r="H1091" s="1" t="s">
        <v>966</v>
      </c>
      <c r="I1091" s="1" t="s">
        <v>967</v>
      </c>
      <c r="L1091" s="1">
        <v>0.0</v>
      </c>
      <c r="M1091" s="1">
        <v>0.0</v>
      </c>
      <c r="O1091" s="1">
        <v>0.0</v>
      </c>
      <c r="P1091" s="1">
        <v>0.0</v>
      </c>
      <c r="R1091" s="1">
        <v>0.0</v>
      </c>
      <c r="S1091" s="1">
        <v>0.0</v>
      </c>
      <c r="U1091" s="1">
        <v>0.0</v>
      </c>
      <c r="W1091" s="1">
        <v>0.0</v>
      </c>
      <c r="Y1091" s="1">
        <v>0.0</v>
      </c>
      <c r="AA1091" s="1">
        <v>0.0</v>
      </c>
      <c r="AC1091" s="1">
        <v>0.0</v>
      </c>
      <c r="AM1091" s="1">
        <v>437606.0</v>
      </c>
      <c r="AN1091" s="1">
        <v>437606.0</v>
      </c>
      <c r="AO1091" s="1">
        <v>437606.0</v>
      </c>
      <c r="AP1091" s="1">
        <v>167.639</v>
      </c>
      <c r="AR1091" s="1">
        <v>0.0</v>
      </c>
      <c r="AW1091" s="1">
        <v>0.0</v>
      </c>
      <c r="AX1091" s="1">
        <v>3.0</v>
      </c>
      <c r="AY1091" s="1">
        <v>4.0</v>
      </c>
      <c r="BA1091" s="1">
        <v>0.0</v>
      </c>
      <c r="BB1091" s="1">
        <v>0.0</v>
      </c>
      <c r="BC1091" s="1">
        <v>0.0</v>
      </c>
      <c r="BD1091" s="1">
        <v>0.0</v>
      </c>
      <c r="BE1091" s="1">
        <v>0.0</v>
      </c>
      <c r="BF1091" s="1">
        <v>0.0</v>
      </c>
      <c r="BG1091" s="1">
        <v>0.0</v>
      </c>
      <c r="BH1091" s="1">
        <v>0.0</v>
      </c>
      <c r="BI1091" s="1">
        <v>0.0</v>
      </c>
      <c r="BJ1091" s="1">
        <v>0.0</v>
      </c>
      <c r="BP1091" s="1">
        <v>0.259</v>
      </c>
      <c r="BQ1091" s="1" t="s">
        <v>1469</v>
      </c>
      <c r="BV1091" s="1">
        <v>1.1</v>
      </c>
      <c r="EQ1091" s="9" t="s">
        <v>4098</v>
      </c>
      <c r="ER1091" s="21">
        <v>46045.300092592595</v>
      </c>
    </row>
    <row r="1092">
      <c r="A1092" s="9" t="s">
        <v>4099</v>
      </c>
      <c r="B1092" s="20" t="str">
        <f>IFERROR(__xludf.DUMMYFUNCTION("REGEXREPLACE(A1092, ""^https?://[^/]+"", """")"),"/technology-is-creating-new-ways-to-sell-to-prospects-heres-how/")</f>
        <v>/technology-is-creating-new-ways-to-sell-to-prospects-heres-how/</v>
      </c>
      <c r="C1092" s="1" t="s">
        <v>4100</v>
      </c>
      <c r="F1092" s="1" t="s">
        <v>965</v>
      </c>
      <c r="G1092" s="1">
        <v>200.0</v>
      </c>
      <c r="H1092" s="1" t="s">
        <v>966</v>
      </c>
      <c r="I1092" s="1" t="s">
        <v>967</v>
      </c>
      <c r="K1092" s="1" t="s">
        <v>4101</v>
      </c>
      <c r="L1092" s="1">
        <v>90.0</v>
      </c>
      <c r="M1092" s="1">
        <v>812.0</v>
      </c>
      <c r="O1092" s="1">
        <v>0.0</v>
      </c>
      <c r="P1092" s="1">
        <v>0.0</v>
      </c>
      <c r="Q1092" s="1" t="s">
        <v>4102</v>
      </c>
      <c r="R1092" s="1">
        <v>134.0</v>
      </c>
      <c r="S1092" s="1">
        <v>825.0</v>
      </c>
      <c r="U1092" s="1">
        <v>0.0</v>
      </c>
      <c r="V1092" s="1" t="s">
        <v>4100</v>
      </c>
      <c r="W1092" s="1">
        <v>65.0</v>
      </c>
      <c r="Y1092" s="1">
        <v>0.0</v>
      </c>
      <c r="AA1092" s="1">
        <v>0.0</v>
      </c>
      <c r="AC1092" s="1">
        <v>0.0</v>
      </c>
      <c r="AD1092" s="1" t="s">
        <v>971</v>
      </c>
      <c r="AG1092" s="9" t="s">
        <v>4099</v>
      </c>
      <c r="AM1092" s="1">
        <v>200641.0</v>
      </c>
      <c r="AN1092" s="1">
        <v>34926.0</v>
      </c>
      <c r="AO1092" s="1">
        <v>34926.0</v>
      </c>
      <c r="AP1092" s="1">
        <v>13.379</v>
      </c>
      <c r="AR1092" s="1">
        <v>862.0</v>
      </c>
      <c r="AS1092" s="1">
        <v>134.0</v>
      </c>
      <c r="AT1092" s="1">
        <v>6.433</v>
      </c>
      <c r="AU1092" s="1">
        <v>61.825</v>
      </c>
      <c r="AV1092" s="1" t="s">
        <v>990</v>
      </c>
      <c r="AW1092" s="1">
        <v>3.849</v>
      </c>
      <c r="AX1092" s="1">
        <v>3.0</v>
      </c>
      <c r="AY1092" s="1">
        <v>1.0</v>
      </c>
      <c r="AZ1092" s="1">
        <v>1.0</v>
      </c>
      <c r="BA1092" s="1">
        <v>15.0</v>
      </c>
      <c r="BB1092" s="1">
        <v>12.0</v>
      </c>
      <c r="BC1092" s="1">
        <v>0.0</v>
      </c>
      <c r="BD1092" s="1">
        <v>1.59</v>
      </c>
      <c r="BE1092" s="1">
        <v>129.0</v>
      </c>
      <c r="BF1092" s="1">
        <v>47.0</v>
      </c>
      <c r="BG1092" s="1">
        <v>0.0</v>
      </c>
      <c r="BH1092" s="1">
        <v>18.0</v>
      </c>
      <c r="BI1092" s="1">
        <v>10.0</v>
      </c>
      <c r="BJ1092" s="1">
        <v>0.0</v>
      </c>
      <c r="BO1092" s="1" t="s">
        <v>4103</v>
      </c>
      <c r="BP1092" s="1">
        <v>1.033</v>
      </c>
      <c r="BU1092" s="1" t="s">
        <v>974</v>
      </c>
      <c r="BV1092" s="1">
        <v>1.1</v>
      </c>
      <c r="EQ1092" s="9" t="s">
        <v>4099</v>
      </c>
      <c r="ER1092" s="21">
        <v>46045.30008101852</v>
      </c>
    </row>
    <row r="1093">
      <c r="A1093" s="9" t="s">
        <v>4104</v>
      </c>
      <c r="B1093" s="20" t="str">
        <f>IFERROR(__xludf.DUMMYFUNCTION("REGEXREPLACE(A1093, ""^https?://[^/]+"", """")"),"/wp-content/uploads/2020/01/tech-thumb-2048x2048.jpg")</f>
        <v>/wp-content/uploads/2020/01/tech-thumb-2048x2048.jpg</v>
      </c>
      <c r="F1093" s="1" t="s">
        <v>1004</v>
      </c>
      <c r="G1093" s="1">
        <v>200.0</v>
      </c>
      <c r="H1093" s="1" t="s">
        <v>966</v>
      </c>
      <c r="I1093" s="1" t="s">
        <v>967</v>
      </c>
      <c r="L1093" s="1">
        <v>0.0</v>
      </c>
      <c r="M1093" s="1">
        <v>0.0</v>
      </c>
      <c r="O1093" s="1">
        <v>0.0</v>
      </c>
      <c r="P1093" s="1">
        <v>0.0</v>
      </c>
      <c r="R1093" s="1">
        <v>0.0</v>
      </c>
      <c r="S1093" s="1">
        <v>0.0</v>
      </c>
      <c r="U1093" s="1">
        <v>0.0</v>
      </c>
      <c r="W1093" s="1">
        <v>0.0</v>
      </c>
      <c r="Y1093" s="1">
        <v>0.0</v>
      </c>
      <c r="AA1093" s="1">
        <v>0.0</v>
      </c>
      <c r="AC1093" s="1">
        <v>0.0</v>
      </c>
      <c r="AM1093" s="1">
        <v>370003.0</v>
      </c>
      <c r="AN1093" s="1">
        <v>370003.0</v>
      </c>
      <c r="AO1093" s="1">
        <v>370003.0</v>
      </c>
      <c r="AP1093" s="1">
        <v>141.741</v>
      </c>
      <c r="AR1093" s="1">
        <v>0.0</v>
      </c>
      <c r="AW1093" s="1">
        <v>0.0</v>
      </c>
      <c r="AX1093" s="1">
        <v>3.0</v>
      </c>
      <c r="AY1093" s="1">
        <v>4.0</v>
      </c>
      <c r="BA1093" s="1">
        <v>0.0</v>
      </c>
      <c r="BB1093" s="1">
        <v>0.0</v>
      </c>
      <c r="BC1093" s="1">
        <v>0.0</v>
      </c>
      <c r="BD1093" s="1">
        <v>0.0</v>
      </c>
      <c r="BE1093" s="1">
        <v>0.0</v>
      </c>
      <c r="BF1093" s="1">
        <v>0.0</v>
      </c>
      <c r="BG1093" s="1">
        <v>0.0</v>
      </c>
      <c r="BH1093" s="1">
        <v>0.0</v>
      </c>
      <c r="BI1093" s="1">
        <v>0.0</v>
      </c>
      <c r="BJ1093" s="1">
        <v>0.0</v>
      </c>
      <c r="BP1093" s="1">
        <v>0.415</v>
      </c>
      <c r="BQ1093" s="1" t="s">
        <v>4105</v>
      </c>
      <c r="BV1093" s="1">
        <v>1.1</v>
      </c>
      <c r="EQ1093" s="9" t="s">
        <v>4104</v>
      </c>
      <c r="ER1093" s="21">
        <v>46045.300104166665</v>
      </c>
    </row>
    <row r="1094">
      <c r="A1094" s="9" t="s">
        <v>4106</v>
      </c>
      <c r="B1094" s="20" t="str">
        <f>IFERROR(__xludf.DUMMYFUNCTION("REGEXREPLACE(A1094, ""^https?://[^/]+"", """")"),"/wp-content/uploads/2019/03/tech-case-study1-2048x2048.jpg")</f>
        <v>/wp-content/uploads/2019/03/tech-case-study1-2048x2048.jpg</v>
      </c>
      <c r="F1094" s="1" t="s">
        <v>1004</v>
      </c>
      <c r="G1094" s="1">
        <v>200.0</v>
      </c>
      <c r="H1094" s="1" t="s">
        <v>966</v>
      </c>
      <c r="I1094" s="1" t="s">
        <v>967</v>
      </c>
      <c r="L1094" s="1">
        <v>0.0</v>
      </c>
      <c r="M1094" s="1">
        <v>0.0</v>
      </c>
      <c r="O1094" s="1">
        <v>0.0</v>
      </c>
      <c r="P1094" s="1">
        <v>0.0</v>
      </c>
      <c r="R1094" s="1">
        <v>0.0</v>
      </c>
      <c r="S1094" s="1">
        <v>0.0</v>
      </c>
      <c r="U1094" s="1">
        <v>0.0</v>
      </c>
      <c r="W1094" s="1">
        <v>0.0</v>
      </c>
      <c r="Y1094" s="1">
        <v>0.0</v>
      </c>
      <c r="AA1094" s="1">
        <v>0.0</v>
      </c>
      <c r="AC1094" s="1">
        <v>0.0</v>
      </c>
      <c r="AM1094" s="1">
        <v>209034.0</v>
      </c>
      <c r="AN1094" s="1">
        <v>209034.0</v>
      </c>
      <c r="AO1094" s="1">
        <v>209034.0</v>
      </c>
      <c r="AP1094" s="1">
        <v>80.077</v>
      </c>
      <c r="AR1094" s="1">
        <v>0.0</v>
      </c>
      <c r="AW1094" s="1">
        <v>0.0</v>
      </c>
      <c r="AX1094" s="1">
        <v>3.0</v>
      </c>
      <c r="AY1094" s="1">
        <v>4.0</v>
      </c>
      <c r="BA1094" s="1">
        <v>0.0</v>
      </c>
      <c r="BB1094" s="1">
        <v>0.0</v>
      </c>
      <c r="BC1094" s="1">
        <v>0.0</v>
      </c>
      <c r="BD1094" s="1">
        <v>0.0</v>
      </c>
      <c r="BE1094" s="1">
        <v>0.0</v>
      </c>
      <c r="BF1094" s="1">
        <v>0.0</v>
      </c>
      <c r="BG1094" s="1">
        <v>0.0</v>
      </c>
      <c r="BH1094" s="1">
        <v>0.0</v>
      </c>
      <c r="BI1094" s="1">
        <v>0.0</v>
      </c>
      <c r="BJ1094" s="1">
        <v>0.0</v>
      </c>
      <c r="BP1094" s="1">
        <v>0.379</v>
      </c>
      <c r="BQ1094" s="1" t="s">
        <v>4107</v>
      </c>
      <c r="BV1094" s="1">
        <v>1.1</v>
      </c>
      <c r="EQ1094" s="9" t="s">
        <v>4106</v>
      </c>
      <c r="ER1094" s="21">
        <v>46045.300104166665</v>
      </c>
    </row>
    <row r="1095">
      <c r="A1095" s="9" t="s">
        <v>4108</v>
      </c>
      <c r="B1095" s="20" t="str">
        <f>IFERROR(__xludf.DUMMYFUNCTION("REGEXREPLACE(A1095, ""^https?://[^/]+"", """")"),"/sales-playbook-why-need/")</f>
        <v>/sales-playbook-why-need/</v>
      </c>
      <c r="C1095" s="1" t="s">
        <v>4109</v>
      </c>
      <c r="F1095" s="1" t="s">
        <v>965</v>
      </c>
      <c r="G1095" s="1">
        <v>200.0</v>
      </c>
      <c r="H1095" s="1" t="s">
        <v>966</v>
      </c>
      <c r="I1095" s="1" t="s">
        <v>967</v>
      </c>
      <c r="K1095" s="1" t="s">
        <v>4110</v>
      </c>
      <c r="L1095" s="1">
        <v>96.0</v>
      </c>
      <c r="M1095" s="1">
        <v>866.0</v>
      </c>
      <c r="O1095" s="1">
        <v>0.0</v>
      </c>
      <c r="P1095" s="1">
        <v>0.0</v>
      </c>
      <c r="Q1095" s="1" t="s">
        <v>4111</v>
      </c>
      <c r="R1095" s="1">
        <v>127.0</v>
      </c>
      <c r="S1095" s="1">
        <v>780.0</v>
      </c>
      <c r="U1095" s="1">
        <v>0.0</v>
      </c>
      <c r="V1095" s="1" t="s">
        <v>4109</v>
      </c>
      <c r="W1095" s="1">
        <v>71.0</v>
      </c>
      <c r="Y1095" s="1">
        <v>0.0</v>
      </c>
      <c r="AA1095" s="1">
        <v>0.0</v>
      </c>
      <c r="AC1095" s="1">
        <v>0.0</v>
      </c>
      <c r="AD1095" s="1" t="s">
        <v>971</v>
      </c>
      <c r="AG1095" s="9" t="s">
        <v>4108</v>
      </c>
      <c r="AM1095" s="1">
        <v>201823.0</v>
      </c>
      <c r="AN1095" s="1">
        <v>36557.0</v>
      </c>
      <c r="AO1095" s="1">
        <v>36557.0</v>
      </c>
      <c r="AP1095" s="1">
        <v>14.004</v>
      </c>
      <c r="AR1095" s="1">
        <v>1557.0</v>
      </c>
      <c r="AS1095" s="1">
        <v>224.0</v>
      </c>
      <c r="AT1095" s="1">
        <v>6.951</v>
      </c>
      <c r="AU1095" s="1">
        <v>63.616</v>
      </c>
      <c r="AV1095" s="1" t="s">
        <v>990</v>
      </c>
      <c r="AW1095" s="1">
        <v>5.963</v>
      </c>
      <c r="AX1095" s="1">
        <v>3.0</v>
      </c>
      <c r="AY1095" s="1">
        <v>1.0</v>
      </c>
      <c r="AZ1095" s="1">
        <v>1.0</v>
      </c>
      <c r="BA1095" s="1">
        <v>1.0</v>
      </c>
      <c r="BB1095" s="1">
        <v>1.0</v>
      </c>
      <c r="BC1095" s="1">
        <v>0.0</v>
      </c>
      <c r="BD1095" s="1">
        <v>0.13</v>
      </c>
      <c r="BE1095" s="1">
        <v>133.0</v>
      </c>
      <c r="BF1095" s="1">
        <v>49.0</v>
      </c>
      <c r="BG1095" s="1">
        <v>0.0</v>
      </c>
      <c r="BH1095" s="1">
        <v>16.0</v>
      </c>
      <c r="BI1095" s="1">
        <v>8.0</v>
      </c>
      <c r="BJ1095" s="1">
        <v>0.0</v>
      </c>
      <c r="BO1095" s="1" t="s">
        <v>4112</v>
      </c>
      <c r="BP1095" s="1">
        <v>1.097</v>
      </c>
      <c r="BU1095" s="1" t="s">
        <v>974</v>
      </c>
      <c r="BV1095" s="1">
        <v>1.1</v>
      </c>
      <c r="EQ1095" s="9" t="s">
        <v>4108</v>
      </c>
      <c r="ER1095" s="21">
        <v>46045.30008101852</v>
      </c>
    </row>
    <row r="1096">
      <c r="A1096" s="9" t="s">
        <v>4113</v>
      </c>
      <c r="B1096" s="20" t="str">
        <f>IFERROR(__xludf.DUMMYFUNCTION("REGEXREPLACE(A1096, ""^https?://[^/]+"", """")"),"/wp-content/uploads/elementor/css/post-58303.css?ver=1768862546")</f>
        <v>/wp-content/uploads/elementor/css/post-58303.css?ver=1768862546</v>
      </c>
      <c r="F1096" s="1" t="s">
        <v>1016</v>
      </c>
      <c r="G1096" s="1">
        <v>200.0</v>
      </c>
      <c r="H1096" s="1" t="s">
        <v>966</v>
      </c>
      <c r="I1096" s="1" t="s">
        <v>967</v>
      </c>
      <c r="L1096" s="1">
        <v>0.0</v>
      </c>
      <c r="M1096" s="1">
        <v>0.0</v>
      </c>
      <c r="O1096" s="1">
        <v>0.0</v>
      </c>
      <c r="P1096" s="1">
        <v>0.0</v>
      </c>
      <c r="R1096" s="1">
        <v>0.0</v>
      </c>
      <c r="S1096" s="1">
        <v>0.0</v>
      </c>
      <c r="U1096" s="1">
        <v>0.0</v>
      </c>
      <c r="W1096" s="1">
        <v>0.0</v>
      </c>
      <c r="Y1096" s="1">
        <v>0.0</v>
      </c>
      <c r="AA1096" s="1">
        <v>0.0</v>
      </c>
      <c r="AC1096" s="1">
        <v>0.0</v>
      </c>
      <c r="AM1096" s="1">
        <v>1329.0</v>
      </c>
      <c r="AN1096" s="1">
        <v>1329.0</v>
      </c>
      <c r="AO1096" s="1">
        <v>1329.0</v>
      </c>
      <c r="AP1096" s="1">
        <v>0.509</v>
      </c>
      <c r="AR1096" s="1">
        <v>0.0</v>
      </c>
      <c r="AW1096" s="1">
        <v>0.0</v>
      </c>
      <c r="AX1096" s="1">
        <v>3.0</v>
      </c>
      <c r="AY1096" s="1">
        <v>4.0</v>
      </c>
      <c r="BA1096" s="1">
        <v>0.0</v>
      </c>
      <c r="BB1096" s="1">
        <v>0.0</v>
      </c>
      <c r="BC1096" s="1">
        <v>0.0</v>
      </c>
      <c r="BD1096" s="1">
        <v>0.0</v>
      </c>
      <c r="BE1096" s="1">
        <v>0.0</v>
      </c>
      <c r="BF1096" s="1">
        <v>0.0</v>
      </c>
      <c r="BG1096" s="1">
        <v>0.0</v>
      </c>
      <c r="BH1096" s="1">
        <v>0.0</v>
      </c>
      <c r="BI1096" s="1">
        <v>0.0</v>
      </c>
      <c r="BJ1096" s="1">
        <v>0.0</v>
      </c>
      <c r="BP1096" s="1">
        <v>0.257</v>
      </c>
      <c r="BQ1096" s="1" t="s">
        <v>4114</v>
      </c>
      <c r="BV1096" s="1">
        <v>1.1</v>
      </c>
      <c r="EQ1096" s="9" t="s">
        <v>4113</v>
      </c>
      <c r="ER1096" s="21">
        <v>46045.300104166665</v>
      </c>
    </row>
    <row r="1097">
      <c r="A1097" s="9" t="s">
        <v>4115</v>
      </c>
      <c r="B1097" s="20" t="str">
        <f>IFERROR(__xludf.DUMMYFUNCTION("REGEXREPLACE(A1097, ""^https?://[^/]+"", """")"),"/wp-content/uploads/2021/01/thumb-tech-case-study-2048x2048.jpg")</f>
        <v>/wp-content/uploads/2021/01/thumb-tech-case-study-2048x2048.jpg</v>
      </c>
      <c r="F1097" s="1" t="s">
        <v>1004</v>
      </c>
      <c r="G1097" s="1">
        <v>200.0</v>
      </c>
      <c r="H1097" s="1" t="s">
        <v>966</v>
      </c>
      <c r="I1097" s="1" t="s">
        <v>967</v>
      </c>
      <c r="L1097" s="1">
        <v>0.0</v>
      </c>
      <c r="M1097" s="1">
        <v>0.0</v>
      </c>
      <c r="O1097" s="1">
        <v>0.0</v>
      </c>
      <c r="P1097" s="1">
        <v>0.0</v>
      </c>
      <c r="R1097" s="1">
        <v>0.0</v>
      </c>
      <c r="S1097" s="1">
        <v>0.0</v>
      </c>
      <c r="U1097" s="1">
        <v>0.0</v>
      </c>
      <c r="W1097" s="1">
        <v>0.0</v>
      </c>
      <c r="Y1097" s="1">
        <v>0.0</v>
      </c>
      <c r="AA1097" s="1">
        <v>0.0</v>
      </c>
      <c r="AC1097" s="1">
        <v>0.0</v>
      </c>
      <c r="AM1097" s="1">
        <v>320484.0</v>
      </c>
      <c r="AN1097" s="1">
        <v>320484.0</v>
      </c>
      <c r="AO1097" s="1">
        <v>320484.0</v>
      </c>
      <c r="AP1097" s="1">
        <v>122.771</v>
      </c>
      <c r="AR1097" s="1">
        <v>0.0</v>
      </c>
      <c r="AW1097" s="1">
        <v>0.0</v>
      </c>
      <c r="AX1097" s="1">
        <v>3.0</v>
      </c>
      <c r="AY1097" s="1">
        <v>4.0</v>
      </c>
      <c r="BA1097" s="1">
        <v>0.0</v>
      </c>
      <c r="BB1097" s="1">
        <v>0.0</v>
      </c>
      <c r="BC1097" s="1">
        <v>0.0</v>
      </c>
      <c r="BD1097" s="1">
        <v>0.0</v>
      </c>
      <c r="BE1097" s="1">
        <v>0.0</v>
      </c>
      <c r="BF1097" s="1">
        <v>0.0</v>
      </c>
      <c r="BG1097" s="1">
        <v>0.0</v>
      </c>
      <c r="BH1097" s="1">
        <v>0.0</v>
      </c>
      <c r="BI1097" s="1">
        <v>0.0</v>
      </c>
      <c r="BJ1097" s="1">
        <v>0.0</v>
      </c>
      <c r="BP1097" s="1">
        <v>0.284</v>
      </c>
      <c r="BQ1097" s="1" t="s">
        <v>4116</v>
      </c>
      <c r="BV1097" s="1">
        <v>1.1</v>
      </c>
      <c r="EQ1097" s="9" t="s">
        <v>4115</v>
      </c>
      <c r="ER1097" s="21">
        <v>46045.300104166665</v>
      </c>
    </row>
    <row r="1098">
      <c r="A1098" s="9" t="s">
        <v>4117</v>
      </c>
      <c r="B1098" s="20" t="str">
        <f>IFERROR(__xludf.DUMMYFUNCTION("REGEXREPLACE(A1098, ""^https?://[^/]+"", """")"),"/wp-content/themes/salesxceleratione/assets/css/style.css?ver=1769123349")</f>
        <v>/wp-content/themes/salesxceleratione/assets/css/style.css?ver=1769123349</v>
      </c>
      <c r="F1098" s="1" t="s">
        <v>1016</v>
      </c>
      <c r="G1098" s="1">
        <v>200.0</v>
      </c>
      <c r="H1098" s="1" t="s">
        <v>966</v>
      </c>
      <c r="I1098" s="1" t="s">
        <v>967</v>
      </c>
      <c r="L1098" s="1">
        <v>0.0</v>
      </c>
      <c r="M1098" s="1">
        <v>0.0</v>
      </c>
      <c r="O1098" s="1">
        <v>0.0</v>
      </c>
      <c r="P1098" s="1">
        <v>0.0</v>
      </c>
      <c r="R1098" s="1">
        <v>0.0</v>
      </c>
      <c r="S1098" s="1">
        <v>0.0</v>
      </c>
      <c r="U1098" s="1">
        <v>0.0</v>
      </c>
      <c r="W1098" s="1">
        <v>0.0</v>
      </c>
      <c r="Y1098" s="1">
        <v>0.0</v>
      </c>
      <c r="AA1098" s="1">
        <v>0.0</v>
      </c>
      <c r="AC1098" s="1">
        <v>0.0</v>
      </c>
      <c r="AM1098" s="1">
        <v>17704.0</v>
      </c>
      <c r="AN1098" s="1">
        <v>17704.0</v>
      </c>
      <c r="AO1098" s="1">
        <v>17704.0</v>
      </c>
      <c r="AP1098" s="1">
        <v>6.782</v>
      </c>
      <c r="AR1098" s="1">
        <v>0.0</v>
      </c>
      <c r="AW1098" s="1">
        <v>0.0</v>
      </c>
      <c r="AX1098" s="1">
        <v>3.0</v>
      </c>
      <c r="AY1098" s="1">
        <v>5.0</v>
      </c>
      <c r="BA1098" s="1">
        <v>0.0</v>
      </c>
      <c r="BB1098" s="1">
        <v>0.0</v>
      </c>
      <c r="BC1098" s="1">
        <v>0.0</v>
      </c>
      <c r="BD1098" s="1">
        <v>0.0</v>
      </c>
      <c r="BE1098" s="1">
        <v>0.0</v>
      </c>
      <c r="BF1098" s="1">
        <v>0.0</v>
      </c>
      <c r="BG1098" s="1">
        <v>0.0</v>
      </c>
      <c r="BH1098" s="1">
        <v>0.0</v>
      </c>
      <c r="BI1098" s="1">
        <v>0.0</v>
      </c>
      <c r="BJ1098" s="1">
        <v>0.0</v>
      </c>
      <c r="BP1098" s="1">
        <v>0.279</v>
      </c>
      <c r="BQ1098" s="1" t="s">
        <v>4097</v>
      </c>
      <c r="BV1098" s="1">
        <v>1.1</v>
      </c>
      <c r="EQ1098" s="9" t="s">
        <v>4117</v>
      </c>
      <c r="ER1098" s="21">
        <v>46045.300104166665</v>
      </c>
    </row>
    <row r="1099">
      <c r="A1099" s="9" t="s">
        <v>4118</v>
      </c>
      <c r="B1099" s="20" t="str">
        <f>IFERROR(__xludf.DUMMYFUNCTION("REGEXREPLACE(A1099, ""^https?://[^/]+"", """")"),"/wp-content/uploads/2021/02/case-study-jp-thumb-2048x2048.jpg")</f>
        <v>/wp-content/uploads/2021/02/case-study-jp-thumb-2048x2048.jpg</v>
      </c>
      <c r="F1099" s="1" t="s">
        <v>1004</v>
      </c>
      <c r="G1099" s="1">
        <v>200.0</v>
      </c>
      <c r="H1099" s="1" t="s">
        <v>966</v>
      </c>
      <c r="I1099" s="1" t="s">
        <v>967</v>
      </c>
      <c r="L1099" s="1">
        <v>0.0</v>
      </c>
      <c r="M1099" s="1">
        <v>0.0</v>
      </c>
      <c r="O1099" s="1">
        <v>0.0</v>
      </c>
      <c r="P1099" s="1">
        <v>0.0</v>
      </c>
      <c r="R1099" s="1">
        <v>0.0</v>
      </c>
      <c r="S1099" s="1">
        <v>0.0</v>
      </c>
      <c r="U1099" s="1">
        <v>0.0</v>
      </c>
      <c r="W1099" s="1">
        <v>0.0</v>
      </c>
      <c r="Y1099" s="1">
        <v>0.0</v>
      </c>
      <c r="AA1099" s="1">
        <v>0.0</v>
      </c>
      <c r="AC1099" s="1">
        <v>0.0</v>
      </c>
      <c r="AM1099" s="1">
        <v>196448.0</v>
      </c>
      <c r="AN1099" s="1">
        <v>196448.0</v>
      </c>
      <c r="AO1099" s="1">
        <v>196448.0</v>
      </c>
      <c r="AP1099" s="1">
        <v>75.255</v>
      </c>
      <c r="AR1099" s="1">
        <v>0.0</v>
      </c>
      <c r="AW1099" s="1">
        <v>0.0</v>
      </c>
      <c r="AX1099" s="1">
        <v>3.0</v>
      </c>
      <c r="AY1099" s="1">
        <v>4.0</v>
      </c>
      <c r="BA1099" s="1">
        <v>0.0</v>
      </c>
      <c r="BB1099" s="1">
        <v>0.0</v>
      </c>
      <c r="BC1099" s="1">
        <v>0.0</v>
      </c>
      <c r="BD1099" s="1">
        <v>0.0</v>
      </c>
      <c r="BE1099" s="1">
        <v>0.0</v>
      </c>
      <c r="BF1099" s="1">
        <v>0.0</v>
      </c>
      <c r="BG1099" s="1">
        <v>0.0</v>
      </c>
      <c r="BH1099" s="1">
        <v>0.0</v>
      </c>
      <c r="BI1099" s="1">
        <v>0.0</v>
      </c>
      <c r="BJ1099" s="1">
        <v>0.0</v>
      </c>
      <c r="BP1099" s="1">
        <v>0.26</v>
      </c>
      <c r="BQ1099" s="1" t="s">
        <v>4119</v>
      </c>
      <c r="BV1099" s="1">
        <v>1.1</v>
      </c>
      <c r="EQ1099" s="9" t="s">
        <v>4118</v>
      </c>
      <c r="ER1099" s="21">
        <v>46045.300104166665</v>
      </c>
    </row>
    <row r="1100">
      <c r="A1100" s="9" t="s">
        <v>4120</v>
      </c>
      <c r="B1100" s="20" t="str">
        <f>IFERROR(__xludf.DUMMYFUNCTION("REGEXREPLACE(A1100, ""^https?://[^/]+"", """")"),"/wp-content/uploads/2024/11/Internet-Service-Provider_Improving-Close-Rates-to-44.09.pdf")</f>
        <v>/wp-content/uploads/2024/11/Internet-Service-Provider_Improving-Close-Rates-to-44.09.pdf</v>
      </c>
      <c r="F1100" s="1" t="s">
        <v>1730</v>
      </c>
      <c r="G1100" s="1">
        <v>200.0</v>
      </c>
      <c r="H1100" s="1" t="s">
        <v>966</v>
      </c>
      <c r="I1100" s="1" t="s">
        <v>967</v>
      </c>
      <c r="K1100" s="1" t="s">
        <v>1612</v>
      </c>
      <c r="L1100" s="1">
        <v>58.0</v>
      </c>
      <c r="M1100" s="1">
        <v>523.0</v>
      </c>
      <c r="O1100" s="1">
        <v>0.0</v>
      </c>
      <c r="P1100" s="1">
        <v>0.0</v>
      </c>
      <c r="R1100" s="1">
        <v>0.0</v>
      </c>
      <c r="S1100" s="1">
        <v>0.0</v>
      </c>
      <c r="T1100" s="1" t="s">
        <v>4121</v>
      </c>
      <c r="U1100" s="1">
        <v>23.0</v>
      </c>
      <c r="W1100" s="1">
        <v>0.0</v>
      </c>
      <c r="Y1100" s="1">
        <v>0.0</v>
      </c>
      <c r="AA1100" s="1">
        <v>0.0</v>
      </c>
      <c r="AC1100" s="1">
        <v>0.0</v>
      </c>
      <c r="AM1100" s="1">
        <v>908266.0</v>
      </c>
      <c r="AN1100" s="1">
        <v>908266.0</v>
      </c>
      <c r="AO1100" s="1">
        <v>908266.0</v>
      </c>
      <c r="AP1100" s="1">
        <v>347.939</v>
      </c>
      <c r="AR1100" s="1">
        <v>0.0</v>
      </c>
      <c r="AW1100" s="1">
        <v>0.0</v>
      </c>
      <c r="AX1100" s="1">
        <v>3.0</v>
      </c>
      <c r="AY1100" s="1">
        <v>4.0</v>
      </c>
      <c r="AZ1100" s="1">
        <v>1.0</v>
      </c>
      <c r="BA1100" s="1">
        <v>1.0</v>
      </c>
      <c r="BB1100" s="1">
        <v>1.0</v>
      </c>
      <c r="BC1100" s="1">
        <v>0.0</v>
      </c>
      <c r="BD1100" s="1">
        <v>0.13</v>
      </c>
      <c r="BE1100" s="1">
        <v>0.0</v>
      </c>
      <c r="BF1100" s="1">
        <v>0.0</v>
      </c>
      <c r="BG1100" s="1">
        <v>0.0</v>
      </c>
      <c r="BH1100" s="1">
        <v>0.0</v>
      </c>
      <c r="BI1100" s="1">
        <v>0.0</v>
      </c>
      <c r="BJ1100" s="1">
        <v>0.0</v>
      </c>
      <c r="BP1100" s="1">
        <v>0.263</v>
      </c>
      <c r="BQ1100" s="1" t="s">
        <v>4122</v>
      </c>
      <c r="BV1100" s="1">
        <v>1.1</v>
      </c>
      <c r="EQ1100" s="9" t="s">
        <v>4120</v>
      </c>
      <c r="ER1100" s="21">
        <v>46045.300104166665</v>
      </c>
    </row>
    <row r="1101">
      <c r="A1101" s="9" t="s">
        <v>4123</v>
      </c>
      <c r="B1101" s="20" t="str">
        <f>IFERROR(__xludf.DUMMYFUNCTION("REGEXREPLACE(A1101, ""^https?://[^/]+"", """")"),"/wp-content/uploads/elementor/css/post-47504.css?ver=1768862544")</f>
        <v>/wp-content/uploads/elementor/css/post-47504.css?ver=1768862544</v>
      </c>
      <c r="F1101" s="1" t="s">
        <v>1016</v>
      </c>
      <c r="G1101" s="1">
        <v>200.0</v>
      </c>
      <c r="H1101" s="1" t="s">
        <v>966</v>
      </c>
      <c r="I1101" s="1" t="s">
        <v>967</v>
      </c>
      <c r="L1101" s="1">
        <v>0.0</v>
      </c>
      <c r="M1101" s="1">
        <v>0.0</v>
      </c>
      <c r="O1101" s="1">
        <v>0.0</v>
      </c>
      <c r="P1101" s="1">
        <v>0.0</v>
      </c>
      <c r="R1101" s="1">
        <v>0.0</v>
      </c>
      <c r="S1101" s="1">
        <v>0.0</v>
      </c>
      <c r="U1101" s="1">
        <v>0.0</v>
      </c>
      <c r="W1101" s="1">
        <v>0.0</v>
      </c>
      <c r="Y1101" s="1">
        <v>0.0</v>
      </c>
      <c r="AA1101" s="1">
        <v>0.0</v>
      </c>
      <c r="AC1101" s="1">
        <v>0.0</v>
      </c>
      <c r="AM1101" s="1">
        <v>1315.0</v>
      </c>
      <c r="AN1101" s="1">
        <v>1315.0</v>
      </c>
      <c r="AO1101" s="1">
        <v>1315.0</v>
      </c>
      <c r="AP1101" s="1">
        <v>0.504</v>
      </c>
      <c r="AR1101" s="1">
        <v>0.0</v>
      </c>
      <c r="AW1101" s="1">
        <v>0.0</v>
      </c>
      <c r="AX1101" s="1">
        <v>3.0</v>
      </c>
      <c r="AY1101" s="1">
        <v>4.0</v>
      </c>
      <c r="BA1101" s="1">
        <v>0.0</v>
      </c>
      <c r="BB1101" s="1">
        <v>0.0</v>
      </c>
      <c r="BC1101" s="1">
        <v>0.0</v>
      </c>
      <c r="BD1101" s="1">
        <v>0.0</v>
      </c>
      <c r="BE1101" s="1">
        <v>0.0</v>
      </c>
      <c r="BF1101" s="1">
        <v>0.0</v>
      </c>
      <c r="BG1101" s="1">
        <v>0.0</v>
      </c>
      <c r="BH1101" s="1">
        <v>0.0</v>
      </c>
      <c r="BI1101" s="1">
        <v>0.0</v>
      </c>
      <c r="BJ1101" s="1">
        <v>0.0</v>
      </c>
      <c r="BP1101" s="1">
        <v>0.278</v>
      </c>
      <c r="BQ1101" s="1" t="s">
        <v>4124</v>
      </c>
      <c r="BV1101" s="1">
        <v>1.1</v>
      </c>
      <c r="EQ1101" s="9" t="s">
        <v>4123</v>
      </c>
      <c r="ER1101" s="21">
        <v>46045.30011574074</v>
      </c>
    </row>
    <row r="1102">
      <c r="A1102" s="9" t="s">
        <v>4125</v>
      </c>
      <c r="B1102" s="20" t="str">
        <f>IFERROR(__xludf.DUMMYFUNCTION("REGEXREPLACE(A1102, ""^https?://[^/]+"", """")"),"/?__hstc=264954448.5a75b0ce6ded236b1a525ae32d6f058b.1762363628984.1766428279618.1766479596590.6&amp;__hssc=264954448.6.1766479596590&amp;__hsfp=2277555685")</f>
        <v>/?__hstc=264954448.5a75b0ce6ded236b1a525ae32d6f058b.1762363628984.1766428279618.1766479596590.6&amp;__hssc=264954448.6.1766479596590&amp;__hsfp=2277555685</v>
      </c>
      <c r="C1102" s="1" t="s">
        <v>962</v>
      </c>
      <c r="D1102" s="1" t="s">
        <v>963</v>
      </c>
      <c r="E1102" s="1" t="s">
        <v>964</v>
      </c>
      <c r="F1102" s="1" t="s">
        <v>965</v>
      </c>
      <c r="G1102" s="1">
        <v>200.0</v>
      </c>
      <c r="H1102" s="1" t="s">
        <v>966</v>
      </c>
      <c r="I1102" s="1" t="s">
        <v>1214</v>
      </c>
      <c r="J1102" s="1" t="s">
        <v>1215</v>
      </c>
      <c r="K1102" s="1" t="s">
        <v>968</v>
      </c>
      <c r="L1102" s="1">
        <v>60.0</v>
      </c>
      <c r="M1102" s="1">
        <v>543.0</v>
      </c>
      <c r="O1102" s="1">
        <v>0.0</v>
      </c>
      <c r="P1102" s="1">
        <v>0.0</v>
      </c>
      <c r="Q1102" s="1" t="s">
        <v>969</v>
      </c>
      <c r="R1102" s="1">
        <v>162.0</v>
      </c>
      <c r="S1102" s="1">
        <v>1020.0</v>
      </c>
      <c r="U1102" s="1">
        <v>0.0</v>
      </c>
      <c r="V1102" s="1" t="s">
        <v>962</v>
      </c>
      <c r="W1102" s="1">
        <v>47.0</v>
      </c>
      <c r="X1102" s="1" t="s">
        <v>970</v>
      </c>
      <c r="Y1102" s="1">
        <v>12.0</v>
      </c>
      <c r="Z1102" s="1" t="s">
        <v>963</v>
      </c>
      <c r="AA1102" s="1">
        <v>24.0</v>
      </c>
      <c r="AB1102" s="1" t="s">
        <v>964</v>
      </c>
      <c r="AC1102" s="1">
        <v>25.0</v>
      </c>
      <c r="AD1102" s="1" t="s">
        <v>971</v>
      </c>
      <c r="AG1102" s="9" t="s">
        <v>961</v>
      </c>
      <c r="AM1102" s="1">
        <v>749412.0</v>
      </c>
      <c r="AN1102" s="1">
        <v>234709.0</v>
      </c>
      <c r="AO1102" s="1">
        <v>234709.0</v>
      </c>
      <c r="AP1102" s="1">
        <v>89.913</v>
      </c>
      <c r="AR1102" s="1">
        <v>1084.0</v>
      </c>
      <c r="AS1102" s="1">
        <v>188.0</v>
      </c>
      <c r="AT1102" s="1">
        <v>5.766</v>
      </c>
      <c r="AU1102" s="1">
        <v>54.571</v>
      </c>
      <c r="AV1102" s="1" t="s">
        <v>972</v>
      </c>
      <c r="AW1102" s="1">
        <v>1.671</v>
      </c>
      <c r="AX1102" s="1">
        <v>3.0</v>
      </c>
      <c r="AY1102" s="1">
        <v>0.0</v>
      </c>
      <c r="BA1102" s="1">
        <v>1.0</v>
      </c>
      <c r="BB1102" s="1">
        <v>1.0</v>
      </c>
      <c r="BC1102" s="1">
        <v>0.0</v>
      </c>
      <c r="BD1102" s="1">
        <v>0.13</v>
      </c>
      <c r="BE1102" s="1">
        <v>155.0</v>
      </c>
      <c r="BF1102" s="1">
        <v>49.0</v>
      </c>
      <c r="BG1102" s="1">
        <v>0.0</v>
      </c>
      <c r="BH1102" s="1">
        <v>23.0</v>
      </c>
      <c r="BI1102" s="1">
        <v>15.0</v>
      </c>
      <c r="BJ1102" s="1">
        <v>0.0</v>
      </c>
      <c r="BO1102" s="1" t="s">
        <v>4126</v>
      </c>
      <c r="BP1102" s="1">
        <v>1.235</v>
      </c>
      <c r="BU1102" s="1" t="s">
        <v>974</v>
      </c>
      <c r="BV1102" s="1">
        <v>1.1</v>
      </c>
      <c r="EQ1102" s="9" t="s">
        <v>4125</v>
      </c>
      <c r="ER1102" s="21">
        <v>46045.300092592595</v>
      </c>
    </row>
    <row r="1103">
      <c r="A1103" s="9" t="s">
        <v>4127</v>
      </c>
      <c r="B1103" s="20" t="str">
        <f>IFERROR(__xludf.DUMMYFUNCTION("REGEXREPLACE(A1103, ""^https?://[^/]+"", """")"),"/wp-content/plugins/gravityforms/assets/css/dist/gravity-forms-theme-reset.min.css?ver=2.9.24")</f>
        <v>/wp-content/plugins/gravityforms/assets/css/dist/gravity-forms-theme-reset.min.css?ver=2.9.24</v>
      </c>
      <c r="F1103" s="1" t="s">
        <v>1016</v>
      </c>
      <c r="G1103" s="1">
        <v>200.0</v>
      </c>
      <c r="H1103" s="1" t="s">
        <v>966</v>
      </c>
      <c r="I1103" s="1" t="s">
        <v>967</v>
      </c>
      <c r="L1103" s="1">
        <v>0.0</v>
      </c>
      <c r="M1103" s="1">
        <v>0.0</v>
      </c>
      <c r="O1103" s="1">
        <v>0.0</v>
      </c>
      <c r="P1103" s="1">
        <v>0.0</v>
      </c>
      <c r="R1103" s="1">
        <v>0.0</v>
      </c>
      <c r="S1103" s="1">
        <v>0.0</v>
      </c>
      <c r="U1103" s="1">
        <v>0.0</v>
      </c>
      <c r="W1103" s="1">
        <v>0.0</v>
      </c>
      <c r="Y1103" s="1">
        <v>0.0</v>
      </c>
      <c r="AA1103" s="1">
        <v>0.0</v>
      </c>
      <c r="AC1103" s="1">
        <v>0.0</v>
      </c>
      <c r="AM1103" s="1">
        <v>706.0</v>
      </c>
      <c r="AN1103" s="1">
        <v>706.0</v>
      </c>
      <c r="AO1103" s="1">
        <v>706.0</v>
      </c>
      <c r="AP1103" s="1">
        <v>0.27</v>
      </c>
      <c r="AR1103" s="1">
        <v>0.0</v>
      </c>
      <c r="AW1103" s="1">
        <v>0.0</v>
      </c>
      <c r="AX1103" s="1">
        <v>3.0</v>
      </c>
      <c r="AY1103" s="1">
        <v>6.0</v>
      </c>
      <c r="BA1103" s="1">
        <v>0.0</v>
      </c>
      <c r="BB1103" s="1">
        <v>0.0</v>
      </c>
      <c r="BC1103" s="1">
        <v>0.0</v>
      </c>
      <c r="BD1103" s="1">
        <v>0.0</v>
      </c>
      <c r="BE1103" s="1">
        <v>0.0</v>
      </c>
      <c r="BF1103" s="1">
        <v>0.0</v>
      </c>
      <c r="BG1103" s="1">
        <v>0.0</v>
      </c>
      <c r="BH1103" s="1">
        <v>0.0</v>
      </c>
      <c r="BI1103" s="1">
        <v>0.0</v>
      </c>
      <c r="BJ1103" s="1">
        <v>0.0</v>
      </c>
      <c r="BP1103" s="1">
        <v>0.234</v>
      </c>
      <c r="BQ1103" s="1" t="s">
        <v>1631</v>
      </c>
      <c r="BV1103" s="1">
        <v>1.1</v>
      </c>
      <c r="EQ1103" s="9" t="s">
        <v>4127</v>
      </c>
      <c r="ER1103" s="21">
        <v>46045.30011574074</v>
      </c>
    </row>
    <row r="1104">
      <c r="A1104" s="9" t="s">
        <v>4128</v>
      </c>
      <c r="B1104" s="20" t="str">
        <f>IFERROR(__xludf.DUMMYFUNCTION("REGEXREPLACE(A1104, ""^https?://[^/]+"", """")"),"/wp-content/uploads/elementor/css/post-21953.css?ver=1768846880")</f>
        <v>/wp-content/uploads/elementor/css/post-21953.css?ver=1768846880</v>
      </c>
      <c r="F1104" s="1" t="s">
        <v>1016</v>
      </c>
      <c r="G1104" s="1">
        <v>200.0</v>
      </c>
      <c r="H1104" s="1" t="s">
        <v>966</v>
      </c>
      <c r="I1104" s="1" t="s">
        <v>967</v>
      </c>
      <c r="L1104" s="1">
        <v>0.0</v>
      </c>
      <c r="M1104" s="1">
        <v>0.0</v>
      </c>
      <c r="O1104" s="1">
        <v>0.0</v>
      </c>
      <c r="P1104" s="1">
        <v>0.0</v>
      </c>
      <c r="R1104" s="1">
        <v>0.0</v>
      </c>
      <c r="S1104" s="1">
        <v>0.0</v>
      </c>
      <c r="U1104" s="1">
        <v>0.0</v>
      </c>
      <c r="W1104" s="1">
        <v>0.0</v>
      </c>
      <c r="Y1104" s="1">
        <v>0.0</v>
      </c>
      <c r="AA1104" s="1">
        <v>0.0</v>
      </c>
      <c r="AC1104" s="1">
        <v>0.0</v>
      </c>
      <c r="AM1104" s="1">
        <v>504.0</v>
      </c>
      <c r="AN1104" s="1">
        <v>504.0</v>
      </c>
      <c r="AO1104" s="1">
        <v>504.0</v>
      </c>
      <c r="AP1104" s="1">
        <v>0.193</v>
      </c>
      <c r="AR1104" s="1">
        <v>0.0</v>
      </c>
      <c r="AW1104" s="1">
        <v>0.0</v>
      </c>
      <c r="AX1104" s="1">
        <v>3.0</v>
      </c>
      <c r="AY1104" s="1">
        <v>4.0</v>
      </c>
      <c r="BA1104" s="1">
        <v>0.0</v>
      </c>
      <c r="BB1104" s="1">
        <v>0.0</v>
      </c>
      <c r="BC1104" s="1">
        <v>0.0</v>
      </c>
      <c r="BD1104" s="1">
        <v>0.0</v>
      </c>
      <c r="BE1104" s="1">
        <v>0.0</v>
      </c>
      <c r="BF1104" s="1">
        <v>0.0</v>
      </c>
      <c r="BG1104" s="1">
        <v>0.0</v>
      </c>
      <c r="BH1104" s="1">
        <v>0.0</v>
      </c>
      <c r="BI1104" s="1">
        <v>0.0</v>
      </c>
      <c r="BJ1104" s="1">
        <v>0.0</v>
      </c>
      <c r="BP1104" s="1">
        <v>0.269</v>
      </c>
      <c r="BQ1104" s="1" t="s">
        <v>4129</v>
      </c>
      <c r="BV1104" s="1">
        <v>1.1</v>
      </c>
      <c r="EQ1104" s="9" t="s">
        <v>4128</v>
      </c>
      <c r="ER1104" s="21">
        <v>46045.30011574074</v>
      </c>
    </row>
    <row r="1105">
      <c r="A1105" s="9" t="s">
        <v>4130</v>
      </c>
      <c r="B1105" s="20" t="str">
        <f>IFERROR(__xludf.DUMMYFUNCTION("REGEXREPLACE(A1105, ""^https?://[^/]+"", """")"),"/wp-content/plugins/gravityforms/assets/css/dist/gravity-forms-theme-foundation.min.css?ver=2.9.24")</f>
        <v>/wp-content/plugins/gravityforms/assets/css/dist/gravity-forms-theme-foundation.min.css?ver=2.9.24</v>
      </c>
      <c r="F1105" s="1" t="s">
        <v>1016</v>
      </c>
      <c r="G1105" s="1">
        <v>200.0</v>
      </c>
      <c r="H1105" s="1" t="s">
        <v>966</v>
      </c>
      <c r="I1105" s="1" t="s">
        <v>967</v>
      </c>
      <c r="L1105" s="1">
        <v>0.0</v>
      </c>
      <c r="M1105" s="1">
        <v>0.0</v>
      </c>
      <c r="O1105" s="1">
        <v>0.0</v>
      </c>
      <c r="P1105" s="1">
        <v>0.0</v>
      </c>
      <c r="R1105" s="1">
        <v>0.0</v>
      </c>
      <c r="S1105" s="1">
        <v>0.0</v>
      </c>
      <c r="U1105" s="1">
        <v>0.0</v>
      </c>
      <c r="W1105" s="1">
        <v>0.0</v>
      </c>
      <c r="Y1105" s="1">
        <v>0.0</v>
      </c>
      <c r="AA1105" s="1">
        <v>0.0</v>
      </c>
      <c r="AC1105" s="1">
        <v>0.0</v>
      </c>
      <c r="AM1105" s="1">
        <v>6780.0</v>
      </c>
      <c r="AN1105" s="1">
        <v>6780.0</v>
      </c>
      <c r="AO1105" s="1">
        <v>6780.0</v>
      </c>
      <c r="AP1105" s="1">
        <v>2.597</v>
      </c>
      <c r="AR1105" s="1">
        <v>0.0</v>
      </c>
      <c r="AW1105" s="1">
        <v>0.0</v>
      </c>
      <c r="AX1105" s="1">
        <v>3.0</v>
      </c>
      <c r="AY1105" s="1">
        <v>6.0</v>
      </c>
      <c r="BA1105" s="1">
        <v>0.0</v>
      </c>
      <c r="BB1105" s="1">
        <v>0.0</v>
      </c>
      <c r="BC1105" s="1">
        <v>0.0</v>
      </c>
      <c r="BD1105" s="1">
        <v>0.0</v>
      </c>
      <c r="BE1105" s="1">
        <v>0.0</v>
      </c>
      <c r="BF1105" s="1">
        <v>0.0</v>
      </c>
      <c r="BG1105" s="1">
        <v>0.0</v>
      </c>
      <c r="BH1105" s="1">
        <v>0.0</v>
      </c>
      <c r="BI1105" s="1">
        <v>0.0</v>
      </c>
      <c r="BJ1105" s="1">
        <v>0.0</v>
      </c>
      <c r="BP1105" s="1">
        <v>0.27</v>
      </c>
      <c r="BQ1105" s="1" t="s">
        <v>1631</v>
      </c>
      <c r="BV1105" s="1">
        <v>1.1</v>
      </c>
      <c r="EQ1105" s="9" t="s">
        <v>4130</v>
      </c>
      <c r="ER1105" s="21">
        <v>46045.30011574074</v>
      </c>
    </row>
    <row r="1106">
      <c r="A1106" s="9" t="s">
        <v>4131</v>
      </c>
      <c r="B1106" s="20" t="str">
        <f>IFERROR(__xludf.DUMMYFUNCTION("REGEXREPLACE(A1106, ""^https?://[^/]+"", """")"),"/wp-content/plugins/gravityforms/assets/css/dist/gravity-forms-theme-framework.min.css?ver=2.9.24")</f>
        <v>/wp-content/plugins/gravityforms/assets/css/dist/gravity-forms-theme-framework.min.css?ver=2.9.24</v>
      </c>
      <c r="F1106" s="1" t="s">
        <v>1016</v>
      </c>
      <c r="G1106" s="1">
        <v>200.0</v>
      </c>
      <c r="H1106" s="1" t="s">
        <v>966</v>
      </c>
      <c r="I1106" s="1" t="s">
        <v>967</v>
      </c>
      <c r="L1106" s="1">
        <v>0.0</v>
      </c>
      <c r="M1106" s="1">
        <v>0.0</v>
      </c>
      <c r="O1106" s="1">
        <v>0.0</v>
      </c>
      <c r="P1106" s="1">
        <v>0.0</v>
      </c>
      <c r="R1106" s="1">
        <v>0.0</v>
      </c>
      <c r="S1106" s="1">
        <v>0.0</v>
      </c>
      <c r="U1106" s="1">
        <v>0.0</v>
      </c>
      <c r="W1106" s="1">
        <v>0.0</v>
      </c>
      <c r="Y1106" s="1">
        <v>0.0</v>
      </c>
      <c r="AA1106" s="1">
        <v>0.0</v>
      </c>
      <c r="AC1106" s="1">
        <v>0.0</v>
      </c>
      <c r="AM1106" s="1">
        <v>21816.0</v>
      </c>
      <c r="AN1106" s="1">
        <v>21816.0</v>
      </c>
      <c r="AO1106" s="1">
        <v>21816.0</v>
      </c>
      <c r="AP1106" s="1">
        <v>8.357</v>
      </c>
      <c r="AR1106" s="1">
        <v>0.0</v>
      </c>
      <c r="AW1106" s="1">
        <v>0.0</v>
      </c>
      <c r="AX1106" s="1">
        <v>3.0</v>
      </c>
      <c r="AY1106" s="1">
        <v>6.0</v>
      </c>
      <c r="BA1106" s="1">
        <v>0.0</v>
      </c>
      <c r="BB1106" s="1">
        <v>0.0</v>
      </c>
      <c r="BC1106" s="1">
        <v>0.0</v>
      </c>
      <c r="BD1106" s="1">
        <v>0.0</v>
      </c>
      <c r="BE1106" s="1">
        <v>0.0</v>
      </c>
      <c r="BF1106" s="1">
        <v>0.0</v>
      </c>
      <c r="BG1106" s="1">
        <v>0.0</v>
      </c>
      <c r="BH1106" s="1">
        <v>0.0</v>
      </c>
      <c r="BI1106" s="1">
        <v>0.0</v>
      </c>
      <c r="BJ1106" s="1">
        <v>0.0</v>
      </c>
      <c r="BP1106" s="1">
        <v>0.254</v>
      </c>
      <c r="BQ1106" s="1" t="s">
        <v>1631</v>
      </c>
      <c r="BV1106" s="1">
        <v>1.1</v>
      </c>
      <c r="EQ1106" s="9" t="s">
        <v>4131</v>
      </c>
      <c r="ER1106" s="21">
        <v>46045.30011574074</v>
      </c>
    </row>
    <row r="1107">
      <c r="A1107" s="9" t="s">
        <v>4132</v>
      </c>
      <c r="B1107" s="20" t="str">
        <f>IFERROR(__xludf.DUMMYFUNCTION("REGEXREPLACE(A1107, ""^https?://[^/]+"", """")"),"/wp-content/uploads/2024/07/Aerospace-Manufacturing-Turning-a-10-Decrease-in-Sales-into-a-14-Increase.pdf")</f>
        <v>/wp-content/uploads/2024/07/Aerospace-Manufacturing-Turning-a-10-Decrease-in-Sales-into-a-14-Increase.pdf</v>
      </c>
      <c r="F1107" s="1" t="s">
        <v>1730</v>
      </c>
      <c r="G1107" s="1">
        <v>200.0</v>
      </c>
      <c r="H1107" s="1" t="s">
        <v>966</v>
      </c>
      <c r="I1107" s="1" t="s">
        <v>967</v>
      </c>
      <c r="K1107" s="1" t="s">
        <v>4133</v>
      </c>
      <c r="L1107" s="1">
        <v>91.0</v>
      </c>
      <c r="M1107" s="1">
        <v>841.0</v>
      </c>
      <c r="O1107" s="1">
        <v>0.0</v>
      </c>
      <c r="P1107" s="1">
        <v>0.0</v>
      </c>
      <c r="R1107" s="1">
        <v>0.0</v>
      </c>
      <c r="S1107" s="1">
        <v>0.0</v>
      </c>
      <c r="T1107" s="1" t="s">
        <v>4134</v>
      </c>
      <c r="U1107" s="1">
        <v>23.0</v>
      </c>
      <c r="W1107" s="1">
        <v>0.0</v>
      </c>
      <c r="Y1107" s="1">
        <v>0.0</v>
      </c>
      <c r="AA1107" s="1">
        <v>0.0</v>
      </c>
      <c r="AC1107" s="1">
        <v>0.0</v>
      </c>
      <c r="AM1107" s="1">
        <v>632413.0</v>
      </c>
      <c r="AN1107" s="1">
        <v>632413.0</v>
      </c>
      <c r="AO1107" s="1">
        <v>632413.0</v>
      </c>
      <c r="AP1107" s="1">
        <v>242.265</v>
      </c>
      <c r="AR1107" s="1">
        <v>0.0</v>
      </c>
      <c r="AW1107" s="1">
        <v>0.0</v>
      </c>
      <c r="AX1107" s="1">
        <v>3.0</v>
      </c>
      <c r="AY1107" s="1">
        <v>4.0</v>
      </c>
      <c r="AZ1107" s="1">
        <v>1.0</v>
      </c>
      <c r="BA1107" s="1">
        <v>1.0</v>
      </c>
      <c r="BB1107" s="1">
        <v>1.0</v>
      </c>
      <c r="BC1107" s="1">
        <v>0.0</v>
      </c>
      <c r="BD1107" s="1">
        <v>0.13</v>
      </c>
      <c r="BE1107" s="1">
        <v>0.0</v>
      </c>
      <c r="BF1107" s="1">
        <v>0.0</v>
      </c>
      <c r="BG1107" s="1">
        <v>0.0</v>
      </c>
      <c r="BH1107" s="1">
        <v>0.0</v>
      </c>
      <c r="BI1107" s="1">
        <v>0.0</v>
      </c>
      <c r="BJ1107" s="1">
        <v>0.0</v>
      </c>
      <c r="BP1107" s="1">
        <v>0.352</v>
      </c>
      <c r="BQ1107" s="1" t="s">
        <v>4135</v>
      </c>
      <c r="BV1107" s="1">
        <v>1.1</v>
      </c>
      <c r="EQ1107" s="9" t="s">
        <v>4132</v>
      </c>
      <c r="ER1107" s="21">
        <v>46045.300104166665</v>
      </c>
    </row>
    <row r="1108">
      <c r="A1108" s="9" t="s">
        <v>4136</v>
      </c>
      <c r="B1108" s="20" t="str">
        <f>IFERROR(__xludf.DUMMYFUNCTION("REGEXREPLACE(A1108, ""^https?://[^/]+"", """")"),"/wp-content/themes/salesxceleratione/assets/css/style.css?ver=1769123350")</f>
        <v>/wp-content/themes/salesxceleratione/assets/css/style.css?ver=1769123350</v>
      </c>
      <c r="F1108" s="1" t="s">
        <v>1016</v>
      </c>
      <c r="G1108" s="1">
        <v>200.0</v>
      </c>
      <c r="H1108" s="1" t="s">
        <v>966</v>
      </c>
      <c r="I1108" s="1" t="s">
        <v>967</v>
      </c>
      <c r="L1108" s="1">
        <v>0.0</v>
      </c>
      <c r="M1108" s="1">
        <v>0.0</v>
      </c>
      <c r="O1108" s="1">
        <v>0.0</v>
      </c>
      <c r="P1108" s="1">
        <v>0.0</v>
      </c>
      <c r="R1108" s="1">
        <v>0.0</v>
      </c>
      <c r="S1108" s="1">
        <v>0.0</v>
      </c>
      <c r="U1108" s="1">
        <v>0.0</v>
      </c>
      <c r="W1108" s="1">
        <v>0.0</v>
      </c>
      <c r="Y1108" s="1">
        <v>0.0</v>
      </c>
      <c r="AA1108" s="1">
        <v>0.0</v>
      </c>
      <c r="AC1108" s="1">
        <v>0.0</v>
      </c>
      <c r="AM1108" s="1">
        <v>17704.0</v>
      </c>
      <c r="AN1108" s="1">
        <v>17704.0</v>
      </c>
      <c r="AO1108" s="1">
        <v>17704.0</v>
      </c>
      <c r="AP1108" s="1">
        <v>6.782</v>
      </c>
      <c r="AR1108" s="1">
        <v>0.0</v>
      </c>
      <c r="AW1108" s="1">
        <v>0.0</v>
      </c>
      <c r="AX1108" s="1">
        <v>3.0</v>
      </c>
      <c r="AY1108" s="1">
        <v>5.0</v>
      </c>
      <c r="BA1108" s="1">
        <v>0.0</v>
      </c>
      <c r="BB1108" s="1">
        <v>0.0</v>
      </c>
      <c r="BC1108" s="1">
        <v>0.0</v>
      </c>
      <c r="BD1108" s="1">
        <v>0.0</v>
      </c>
      <c r="BE1108" s="1">
        <v>0.0</v>
      </c>
      <c r="BF1108" s="1">
        <v>0.0</v>
      </c>
      <c r="BG1108" s="1">
        <v>0.0</v>
      </c>
      <c r="BH1108" s="1">
        <v>0.0</v>
      </c>
      <c r="BI1108" s="1">
        <v>0.0</v>
      </c>
      <c r="BJ1108" s="1">
        <v>0.0</v>
      </c>
      <c r="BP1108" s="1">
        <v>0.301</v>
      </c>
      <c r="BQ1108" s="1" t="s">
        <v>4137</v>
      </c>
      <c r="BV1108" s="1">
        <v>1.1</v>
      </c>
      <c r="EQ1108" s="9" t="s">
        <v>4136</v>
      </c>
      <c r="ER1108" s="21">
        <v>46045.30011574074</v>
      </c>
    </row>
    <row r="1109">
      <c r="A1109" s="9" t="s">
        <v>4138</v>
      </c>
      <c r="B1109" s="20" t="str">
        <f>IFERROR(__xludf.DUMMYFUNCTION("REGEXREPLACE(A1109, ""^https?://[^/]+"", """")"),"/wp-content/plugins/gravityforms/assets/css/dist/gravity-forms-orbital-theme.min.css?ver=2.9.24")</f>
        <v>/wp-content/plugins/gravityforms/assets/css/dist/gravity-forms-orbital-theme.min.css?ver=2.9.24</v>
      </c>
      <c r="F1109" s="1" t="s">
        <v>1016</v>
      </c>
      <c r="G1109" s="1">
        <v>200.0</v>
      </c>
      <c r="H1109" s="1" t="s">
        <v>966</v>
      </c>
      <c r="I1109" s="1" t="s">
        <v>967</v>
      </c>
      <c r="L1109" s="1">
        <v>0.0</v>
      </c>
      <c r="M1109" s="1">
        <v>0.0</v>
      </c>
      <c r="O1109" s="1">
        <v>0.0</v>
      </c>
      <c r="P1109" s="1">
        <v>0.0</v>
      </c>
      <c r="R1109" s="1">
        <v>0.0</v>
      </c>
      <c r="S1109" s="1">
        <v>0.0</v>
      </c>
      <c r="U1109" s="1">
        <v>0.0</v>
      </c>
      <c r="W1109" s="1">
        <v>0.0</v>
      </c>
      <c r="Y1109" s="1">
        <v>0.0</v>
      </c>
      <c r="AA1109" s="1">
        <v>0.0</v>
      </c>
      <c r="AC1109" s="1">
        <v>0.0</v>
      </c>
      <c r="AM1109" s="1">
        <v>0.0</v>
      </c>
      <c r="AN1109" s="1">
        <v>0.0</v>
      </c>
      <c r="AO1109" s="1">
        <v>0.0</v>
      </c>
      <c r="AP1109" s="1">
        <v>0.0</v>
      </c>
      <c r="AR1109" s="1">
        <v>0.0</v>
      </c>
      <c r="AW1109" s="1">
        <v>0.0</v>
      </c>
      <c r="AX1109" s="1">
        <v>3.0</v>
      </c>
      <c r="AY1109" s="1">
        <v>6.0</v>
      </c>
      <c r="BA1109" s="1">
        <v>0.0</v>
      </c>
      <c r="BB1109" s="1">
        <v>0.0</v>
      </c>
      <c r="BC1109" s="1">
        <v>0.0</v>
      </c>
      <c r="BD1109" s="1">
        <v>0.0</v>
      </c>
      <c r="BE1109" s="1">
        <v>0.0</v>
      </c>
      <c r="BF1109" s="1">
        <v>0.0</v>
      </c>
      <c r="BG1109" s="1">
        <v>0.0</v>
      </c>
      <c r="BH1109" s="1">
        <v>0.0</v>
      </c>
      <c r="BI1109" s="1">
        <v>0.0</v>
      </c>
      <c r="BJ1109" s="1">
        <v>0.0</v>
      </c>
      <c r="BP1109" s="1">
        <v>0.252</v>
      </c>
      <c r="BQ1109" s="1" t="s">
        <v>1631</v>
      </c>
      <c r="BV1109" s="1">
        <v>1.1</v>
      </c>
      <c r="EQ1109" s="9" t="s">
        <v>4138</v>
      </c>
      <c r="ER1109" s="21">
        <v>46045.30011574074</v>
      </c>
    </row>
    <row r="1110">
      <c r="A1110" s="9" t="s">
        <v>4139</v>
      </c>
      <c r="B1110" s="20" t="str">
        <f>IFERROR(__xludf.DUMMYFUNCTION("REGEXREPLACE(A1110, ""^https?://[^/]+"", """")"),"/wp-content/uploads/elementor/css/post-14200.css?ver=1768846880")</f>
        <v>/wp-content/uploads/elementor/css/post-14200.css?ver=1768846880</v>
      </c>
      <c r="F1110" s="1" t="s">
        <v>1016</v>
      </c>
      <c r="G1110" s="1">
        <v>200.0</v>
      </c>
      <c r="H1110" s="1" t="s">
        <v>966</v>
      </c>
      <c r="I1110" s="1" t="s">
        <v>967</v>
      </c>
      <c r="L1110" s="1">
        <v>0.0</v>
      </c>
      <c r="M1110" s="1">
        <v>0.0</v>
      </c>
      <c r="O1110" s="1">
        <v>0.0</v>
      </c>
      <c r="P1110" s="1">
        <v>0.0</v>
      </c>
      <c r="R1110" s="1">
        <v>0.0</v>
      </c>
      <c r="S1110" s="1">
        <v>0.0</v>
      </c>
      <c r="U1110" s="1">
        <v>0.0</v>
      </c>
      <c r="W1110" s="1">
        <v>0.0</v>
      </c>
      <c r="Y1110" s="1">
        <v>0.0</v>
      </c>
      <c r="AA1110" s="1">
        <v>0.0</v>
      </c>
      <c r="AC1110" s="1">
        <v>0.0</v>
      </c>
      <c r="AM1110" s="1">
        <v>266.0</v>
      </c>
      <c r="AN1110" s="1">
        <v>266.0</v>
      </c>
      <c r="AO1110" s="1">
        <v>266.0</v>
      </c>
      <c r="AP1110" s="1">
        <v>0.102</v>
      </c>
      <c r="AR1110" s="1">
        <v>0.0</v>
      </c>
      <c r="AW1110" s="1">
        <v>0.0</v>
      </c>
      <c r="AX1110" s="1">
        <v>3.0</v>
      </c>
      <c r="AY1110" s="1">
        <v>4.0</v>
      </c>
      <c r="BA1110" s="1">
        <v>0.0</v>
      </c>
      <c r="BB1110" s="1">
        <v>0.0</v>
      </c>
      <c r="BC1110" s="1">
        <v>0.0</v>
      </c>
      <c r="BD1110" s="1">
        <v>0.0</v>
      </c>
      <c r="BE1110" s="1">
        <v>0.0</v>
      </c>
      <c r="BF1110" s="1">
        <v>0.0</v>
      </c>
      <c r="BG1110" s="1">
        <v>0.0</v>
      </c>
      <c r="BH1110" s="1">
        <v>0.0</v>
      </c>
      <c r="BI1110" s="1">
        <v>0.0</v>
      </c>
      <c r="BJ1110" s="1">
        <v>0.0</v>
      </c>
      <c r="BP1110" s="1">
        <v>0.268</v>
      </c>
      <c r="BQ1110" s="1" t="s">
        <v>4129</v>
      </c>
      <c r="BV1110" s="1">
        <v>1.1</v>
      </c>
      <c r="EQ1110" s="9" t="s">
        <v>4139</v>
      </c>
      <c r="ER1110" s="21">
        <v>46045.30011574074</v>
      </c>
    </row>
    <row r="1111">
      <c r="A1111" s="9" t="s">
        <v>4140</v>
      </c>
      <c r="B1111" s="20" t="str">
        <f>IFERROR(__xludf.DUMMYFUNCTION("REGEXREPLACE(A1111, ""^https?://[^/]+"", """")"),"/wp-content/uploads/elementor/css/post-70672.css?ver=1768864825")</f>
        <v>/wp-content/uploads/elementor/css/post-70672.css?ver=1768864825</v>
      </c>
      <c r="F1111" s="1" t="s">
        <v>1016</v>
      </c>
      <c r="G1111" s="1">
        <v>200.0</v>
      </c>
      <c r="H1111" s="1" t="s">
        <v>966</v>
      </c>
      <c r="I1111" s="1" t="s">
        <v>967</v>
      </c>
      <c r="L1111" s="1">
        <v>0.0</v>
      </c>
      <c r="M1111" s="1">
        <v>0.0</v>
      </c>
      <c r="O1111" s="1">
        <v>0.0</v>
      </c>
      <c r="P1111" s="1">
        <v>0.0</v>
      </c>
      <c r="R1111" s="1">
        <v>0.0</v>
      </c>
      <c r="S1111" s="1">
        <v>0.0</v>
      </c>
      <c r="U1111" s="1">
        <v>0.0</v>
      </c>
      <c r="W1111" s="1">
        <v>0.0</v>
      </c>
      <c r="Y1111" s="1">
        <v>0.0</v>
      </c>
      <c r="AA1111" s="1">
        <v>0.0</v>
      </c>
      <c r="AC1111" s="1">
        <v>0.0</v>
      </c>
      <c r="AM1111" s="1">
        <v>1841.0</v>
      </c>
      <c r="AN1111" s="1">
        <v>1841.0</v>
      </c>
      <c r="AO1111" s="1">
        <v>1841.0</v>
      </c>
      <c r="AP1111" s="1">
        <v>0.705</v>
      </c>
      <c r="AR1111" s="1">
        <v>0.0</v>
      </c>
      <c r="AW1111" s="1">
        <v>0.0</v>
      </c>
      <c r="AX1111" s="1">
        <v>3.0</v>
      </c>
      <c r="AY1111" s="1">
        <v>4.0</v>
      </c>
      <c r="BA1111" s="1">
        <v>0.0</v>
      </c>
      <c r="BB1111" s="1">
        <v>0.0</v>
      </c>
      <c r="BC1111" s="1">
        <v>0.0</v>
      </c>
      <c r="BD1111" s="1">
        <v>0.0</v>
      </c>
      <c r="BE1111" s="1">
        <v>0.0</v>
      </c>
      <c r="BF1111" s="1">
        <v>0.0</v>
      </c>
      <c r="BG1111" s="1">
        <v>0.0</v>
      </c>
      <c r="BH1111" s="1">
        <v>0.0</v>
      </c>
      <c r="BI1111" s="1">
        <v>0.0</v>
      </c>
      <c r="BJ1111" s="1">
        <v>0.0</v>
      </c>
      <c r="BP1111" s="1">
        <v>0.272</v>
      </c>
      <c r="BQ1111" s="1" t="s">
        <v>4141</v>
      </c>
      <c r="BV1111" s="1">
        <v>1.1</v>
      </c>
      <c r="EQ1111" s="9" t="s">
        <v>4140</v>
      </c>
      <c r="ER1111" s="21">
        <v>46045.30011574074</v>
      </c>
    </row>
    <row r="1112">
      <c r="A1112" s="9" t="s">
        <v>4142</v>
      </c>
      <c r="B1112" s="20" t="str">
        <f>IFERROR(__xludf.DUMMYFUNCTION("REGEXREPLACE(A1112, ""^https?://[^/]+"", """")"),"/wp-content/themes/salesxceleratione/assets/css/style.css?ver=1769123352")</f>
        <v>/wp-content/themes/salesxceleratione/assets/css/style.css?ver=1769123352</v>
      </c>
      <c r="F1112" s="1" t="s">
        <v>1016</v>
      </c>
      <c r="G1112" s="1">
        <v>200.0</v>
      </c>
      <c r="H1112" s="1" t="s">
        <v>966</v>
      </c>
      <c r="I1112" s="1" t="s">
        <v>967</v>
      </c>
      <c r="L1112" s="1">
        <v>0.0</v>
      </c>
      <c r="M1112" s="1">
        <v>0.0</v>
      </c>
      <c r="O1112" s="1">
        <v>0.0</v>
      </c>
      <c r="P1112" s="1">
        <v>0.0</v>
      </c>
      <c r="R1112" s="1">
        <v>0.0</v>
      </c>
      <c r="S1112" s="1">
        <v>0.0</v>
      </c>
      <c r="U1112" s="1">
        <v>0.0</v>
      </c>
      <c r="W1112" s="1">
        <v>0.0</v>
      </c>
      <c r="Y1112" s="1">
        <v>0.0</v>
      </c>
      <c r="AA1112" s="1">
        <v>0.0</v>
      </c>
      <c r="AC1112" s="1">
        <v>0.0</v>
      </c>
      <c r="AM1112" s="1">
        <v>17704.0</v>
      </c>
      <c r="AN1112" s="1">
        <v>17704.0</v>
      </c>
      <c r="AO1112" s="1">
        <v>17704.0</v>
      </c>
      <c r="AP1112" s="1">
        <v>6.782</v>
      </c>
      <c r="AR1112" s="1">
        <v>0.0</v>
      </c>
      <c r="AW1112" s="1">
        <v>0.0</v>
      </c>
      <c r="AX1112" s="1">
        <v>3.0</v>
      </c>
      <c r="AY1112" s="1">
        <v>5.0</v>
      </c>
      <c r="BA1112" s="1">
        <v>0.0</v>
      </c>
      <c r="BB1112" s="1">
        <v>0.0</v>
      </c>
      <c r="BC1112" s="1">
        <v>0.0</v>
      </c>
      <c r="BD1112" s="1">
        <v>0.0</v>
      </c>
      <c r="BE1112" s="1">
        <v>0.0</v>
      </c>
      <c r="BF1112" s="1">
        <v>0.0</v>
      </c>
      <c r="BG1112" s="1">
        <v>0.0</v>
      </c>
      <c r="BH1112" s="1">
        <v>0.0</v>
      </c>
      <c r="BI1112" s="1">
        <v>0.0</v>
      </c>
      <c r="BJ1112" s="1">
        <v>0.0</v>
      </c>
      <c r="BP1112" s="1">
        <v>0.254</v>
      </c>
      <c r="BQ1112" s="1" t="s">
        <v>4143</v>
      </c>
      <c r="BV1112" s="1">
        <v>1.1</v>
      </c>
      <c r="EQ1112" s="9" t="s">
        <v>4142</v>
      </c>
      <c r="ER1112" s="21">
        <v>46045.30011574074</v>
      </c>
    </row>
    <row r="1113">
      <c r="A1113" s="9" t="s">
        <v>4144</v>
      </c>
      <c r="B1113" s="20" t="str">
        <f>IFERROR(__xludf.DUMMYFUNCTION("REGEXREPLACE(A1113, ""^https?://[^/]+"", """")"),"/wp-content/themes/salesxceleratione/assets/css/style.css?ver=1769123353")</f>
        <v>/wp-content/themes/salesxceleratione/assets/css/style.css?ver=1769123353</v>
      </c>
      <c r="F1113" s="1" t="s">
        <v>1016</v>
      </c>
      <c r="G1113" s="1">
        <v>200.0</v>
      </c>
      <c r="H1113" s="1" t="s">
        <v>966</v>
      </c>
      <c r="I1113" s="1" t="s">
        <v>967</v>
      </c>
      <c r="L1113" s="1">
        <v>0.0</v>
      </c>
      <c r="M1113" s="1">
        <v>0.0</v>
      </c>
      <c r="O1113" s="1">
        <v>0.0</v>
      </c>
      <c r="P1113" s="1">
        <v>0.0</v>
      </c>
      <c r="R1113" s="1">
        <v>0.0</v>
      </c>
      <c r="S1113" s="1">
        <v>0.0</v>
      </c>
      <c r="U1113" s="1">
        <v>0.0</v>
      </c>
      <c r="W1113" s="1">
        <v>0.0</v>
      </c>
      <c r="Y1113" s="1">
        <v>0.0</v>
      </c>
      <c r="AA1113" s="1">
        <v>0.0</v>
      </c>
      <c r="AC1113" s="1">
        <v>0.0</v>
      </c>
      <c r="AM1113" s="1">
        <v>17704.0</v>
      </c>
      <c r="AN1113" s="1">
        <v>17704.0</v>
      </c>
      <c r="AO1113" s="1">
        <v>17704.0</v>
      </c>
      <c r="AP1113" s="1">
        <v>6.782</v>
      </c>
      <c r="AR1113" s="1">
        <v>0.0</v>
      </c>
      <c r="AW1113" s="1">
        <v>0.0</v>
      </c>
      <c r="AX1113" s="1">
        <v>3.0</v>
      </c>
      <c r="AY1113" s="1">
        <v>5.0</v>
      </c>
      <c r="BA1113" s="1">
        <v>0.0</v>
      </c>
      <c r="BB1113" s="1">
        <v>0.0</v>
      </c>
      <c r="BC1113" s="1">
        <v>0.0</v>
      </c>
      <c r="BD1113" s="1">
        <v>0.0</v>
      </c>
      <c r="BE1113" s="1">
        <v>0.0</v>
      </c>
      <c r="BF1113" s="1">
        <v>0.0</v>
      </c>
      <c r="BG1113" s="1">
        <v>0.0</v>
      </c>
      <c r="BH1113" s="1">
        <v>0.0</v>
      </c>
      <c r="BI1113" s="1">
        <v>0.0</v>
      </c>
      <c r="BJ1113" s="1">
        <v>0.0</v>
      </c>
      <c r="BP1113" s="1">
        <v>0.286</v>
      </c>
      <c r="BQ1113" s="1" t="s">
        <v>4137</v>
      </c>
      <c r="BV1113" s="1">
        <v>1.1</v>
      </c>
      <c r="EQ1113" s="9" t="s">
        <v>4144</v>
      </c>
      <c r="ER1113" s="21">
        <v>46045.30011574074</v>
      </c>
    </row>
    <row r="1114">
      <c r="A1114" s="9" t="s">
        <v>4145</v>
      </c>
      <c r="B1114" s="20" t="str">
        <f>IFERROR(__xludf.DUMMYFUNCTION("REGEXREPLACE(A1114, ""^https?://[^/]+"", """")"),"/wp-content/uploads/elementor/css/post-25097.css?ver=1768864283")</f>
        <v>/wp-content/uploads/elementor/css/post-25097.css?ver=1768864283</v>
      </c>
      <c r="F1114" s="1" t="s">
        <v>1016</v>
      </c>
      <c r="G1114" s="1">
        <v>200.0</v>
      </c>
      <c r="H1114" s="1" t="s">
        <v>966</v>
      </c>
      <c r="I1114" s="1" t="s">
        <v>967</v>
      </c>
      <c r="L1114" s="1">
        <v>0.0</v>
      </c>
      <c r="M1114" s="1">
        <v>0.0</v>
      </c>
      <c r="O1114" s="1">
        <v>0.0</v>
      </c>
      <c r="P1114" s="1">
        <v>0.0</v>
      </c>
      <c r="R1114" s="1">
        <v>0.0</v>
      </c>
      <c r="S1114" s="1">
        <v>0.0</v>
      </c>
      <c r="U1114" s="1">
        <v>0.0</v>
      </c>
      <c r="W1114" s="1">
        <v>0.0</v>
      </c>
      <c r="Y1114" s="1">
        <v>0.0</v>
      </c>
      <c r="AA1114" s="1">
        <v>0.0</v>
      </c>
      <c r="AC1114" s="1">
        <v>0.0</v>
      </c>
      <c r="AM1114" s="1">
        <v>1164.0</v>
      </c>
      <c r="AN1114" s="1">
        <v>1164.0</v>
      </c>
      <c r="AO1114" s="1">
        <v>1164.0</v>
      </c>
      <c r="AP1114" s="1">
        <v>0.446</v>
      </c>
      <c r="AR1114" s="1">
        <v>0.0</v>
      </c>
      <c r="AW1114" s="1">
        <v>0.0</v>
      </c>
      <c r="AX1114" s="1">
        <v>3.0</v>
      </c>
      <c r="AY1114" s="1">
        <v>4.0</v>
      </c>
      <c r="BA1114" s="1">
        <v>0.0</v>
      </c>
      <c r="BB1114" s="1">
        <v>0.0</v>
      </c>
      <c r="BC1114" s="1">
        <v>0.0</v>
      </c>
      <c r="BD1114" s="1">
        <v>0.0</v>
      </c>
      <c r="BE1114" s="1">
        <v>0.0</v>
      </c>
      <c r="BF1114" s="1">
        <v>0.0</v>
      </c>
      <c r="BG1114" s="1">
        <v>0.0</v>
      </c>
      <c r="BH1114" s="1">
        <v>0.0</v>
      </c>
      <c r="BI1114" s="1">
        <v>0.0</v>
      </c>
      <c r="BJ1114" s="1">
        <v>0.0</v>
      </c>
      <c r="BP1114" s="1">
        <v>0.27</v>
      </c>
      <c r="BQ1114" s="1" t="s">
        <v>4146</v>
      </c>
      <c r="BV1114" s="1">
        <v>1.1</v>
      </c>
      <c r="EQ1114" s="9" t="s">
        <v>4145</v>
      </c>
      <c r="ER1114" s="21">
        <v>46045.30011574074</v>
      </c>
    </row>
    <row r="1115">
      <c r="A1115" s="9" t="s">
        <v>4147</v>
      </c>
      <c r="B1115" s="20" t="str">
        <f>IFERROR(__xludf.DUMMYFUNCTION("REGEXREPLACE(A1115, ""^https?://[^/]+"", """")"),"/wp-content/uploads/2022/09/Technology-Case-Study-Thumbnail-2048x2048.jpg")</f>
        <v>/wp-content/uploads/2022/09/Technology-Case-Study-Thumbnail-2048x2048.jpg</v>
      </c>
      <c r="F1115" s="1" t="s">
        <v>1004</v>
      </c>
      <c r="G1115" s="1">
        <v>200.0</v>
      </c>
      <c r="H1115" s="1" t="s">
        <v>966</v>
      </c>
      <c r="I1115" s="1" t="s">
        <v>967</v>
      </c>
      <c r="L1115" s="1">
        <v>0.0</v>
      </c>
      <c r="M1115" s="1">
        <v>0.0</v>
      </c>
      <c r="O1115" s="1">
        <v>0.0</v>
      </c>
      <c r="P1115" s="1">
        <v>0.0</v>
      </c>
      <c r="R1115" s="1">
        <v>0.0</v>
      </c>
      <c r="S1115" s="1">
        <v>0.0</v>
      </c>
      <c r="U1115" s="1">
        <v>0.0</v>
      </c>
      <c r="W1115" s="1">
        <v>0.0</v>
      </c>
      <c r="Y1115" s="1">
        <v>0.0</v>
      </c>
      <c r="AA1115" s="1">
        <v>0.0</v>
      </c>
      <c r="AC1115" s="1">
        <v>0.0</v>
      </c>
      <c r="AM1115" s="1">
        <v>419265.0</v>
      </c>
      <c r="AN1115" s="1">
        <v>419265.0</v>
      </c>
      <c r="AO1115" s="1">
        <v>419265.0</v>
      </c>
      <c r="AP1115" s="1">
        <v>160.612</v>
      </c>
      <c r="AR1115" s="1">
        <v>0.0</v>
      </c>
      <c r="AW1115" s="1">
        <v>0.0</v>
      </c>
      <c r="AX1115" s="1">
        <v>3.0</v>
      </c>
      <c r="AY1115" s="1">
        <v>4.0</v>
      </c>
      <c r="BA1115" s="1">
        <v>0.0</v>
      </c>
      <c r="BB1115" s="1">
        <v>0.0</v>
      </c>
      <c r="BC1115" s="1">
        <v>0.0</v>
      </c>
      <c r="BD1115" s="1">
        <v>0.0</v>
      </c>
      <c r="BE1115" s="1">
        <v>0.0</v>
      </c>
      <c r="BF1115" s="1">
        <v>0.0</v>
      </c>
      <c r="BG1115" s="1">
        <v>0.0</v>
      </c>
      <c r="BH1115" s="1">
        <v>0.0</v>
      </c>
      <c r="BI1115" s="1">
        <v>0.0</v>
      </c>
      <c r="BJ1115" s="1">
        <v>0.0</v>
      </c>
      <c r="BP1115" s="1">
        <v>0.268</v>
      </c>
      <c r="BQ1115" s="1" t="s">
        <v>4148</v>
      </c>
      <c r="BV1115" s="1">
        <v>1.1</v>
      </c>
      <c r="EQ1115" s="9" t="s">
        <v>4147</v>
      </c>
      <c r="ER1115" s="21">
        <v>46045.30011574074</v>
      </c>
    </row>
    <row r="1116">
      <c r="A1116" s="9" t="s">
        <v>4149</v>
      </c>
      <c r="B1116" s="20" t="str">
        <f>IFERROR(__xludf.DUMMYFUNCTION("REGEXREPLACE(A1116, ""^https?://[^/]+"", """")"),"/wp-content/uploads/2022/03/Case-Study_Healthcare_SX.pdf")</f>
        <v>/wp-content/uploads/2022/03/Case-Study_Healthcare_SX.pdf</v>
      </c>
      <c r="F1116" s="1" t="s">
        <v>1730</v>
      </c>
      <c r="G1116" s="1">
        <v>200.0</v>
      </c>
      <c r="H1116" s="1" t="s">
        <v>966</v>
      </c>
      <c r="I1116" s="1" t="s">
        <v>967</v>
      </c>
      <c r="L1116" s="1">
        <v>0.0</v>
      </c>
      <c r="M1116" s="1">
        <v>0.0</v>
      </c>
      <c r="O1116" s="1">
        <v>0.0</v>
      </c>
      <c r="P1116" s="1">
        <v>0.0</v>
      </c>
      <c r="R1116" s="1">
        <v>0.0</v>
      </c>
      <c r="S1116" s="1">
        <v>0.0</v>
      </c>
      <c r="U1116" s="1">
        <v>0.0</v>
      </c>
      <c r="W1116" s="1">
        <v>0.0</v>
      </c>
      <c r="Y1116" s="1">
        <v>0.0</v>
      </c>
      <c r="AA1116" s="1">
        <v>0.0</v>
      </c>
      <c r="AC1116" s="1">
        <v>0.0</v>
      </c>
      <c r="AM1116" s="1">
        <v>1597086.0</v>
      </c>
      <c r="AN1116" s="1">
        <v>1597086.0</v>
      </c>
      <c r="AO1116" s="1">
        <v>1597086.0</v>
      </c>
      <c r="AP1116" s="1">
        <v>611.813</v>
      </c>
      <c r="AR1116" s="1">
        <v>0.0</v>
      </c>
      <c r="AW1116" s="1">
        <v>0.0</v>
      </c>
      <c r="AX1116" s="1">
        <v>3.0</v>
      </c>
      <c r="AY1116" s="1">
        <v>4.0</v>
      </c>
      <c r="AZ1116" s="1">
        <v>1.0</v>
      </c>
      <c r="BA1116" s="1">
        <v>1.0</v>
      </c>
      <c r="BB1116" s="1">
        <v>1.0</v>
      </c>
      <c r="BC1116" s="1">
        <v>0.0</v>
      </c>
      <c r="BD1116" s="1">
        <v>0.13</v>
      </c>
      <c r="BE1116" s="1">
        <v>0.0</v>
      </c>
      <c r="BF1116" s="1">
        <v>0.0</v>
      </c>
      <c r="BG1116" s="1">
        <v>0.0</v>
      </c>
      <c r="BH1116" s="1">
        <v>0.0</v>
      </c>
      <c r="BI1116" s="1">
        <v>0.0</v>
      </c>
      <c r="BJ1116" s="1">
        <v>0.0</v>
      </c>
      <c r="BP1116" s="1">
        <v>0.27</v>
      </c>
      <c r="BQ1116" s="1" t="s">
        <v>4150</v>
      </c>
      <c r="BV1116" s="1">
        <v>1.1</v>
      </c>
      <c r="EQ1116" s="9" t="s">
        <v>4149</v>
      </c>
      <c r="ER1116" s="21">
        <v>46045.30011574074</v>
      </c>
    </row>
    <row r="1117">
      <c r="A1117" s="9" t="s">
        <v>4151</v>
      </c>
      <c r="B1117" s="20" t="str">
        <f>IFERROR(__xludf.DUMMYFUNCTION("REGEXREPLACE(A1117, ""^https?://[^/]+"", """")"),"/wp-content/uploads/2021/09/Case-Study_Manufacturing_Grew-6.2-YOY.pdf")</f>
        <v>/wp-content/uploads/2021/09/Case-Study_Manufacturing_Grew-6.2-YOY.pdf</v>
      </c>
      <c r="F1117" s="1" t="s">
        <v>1730</v>
      </c>
      <c r="G1117" s="1">
        <v>200.0</v>
      </c>
      <c r="H1117" s="1" t="s">
        <v>966</v>
      </c>
      <c r="I1117" s="1" t="s">
        <v>967</v>
      </c>
      <c r="L1117" s="1">
        <v>0.0</v>
      </c>
      <c r="M1117" s="1">
        <v>0.0</v>
      </c>
      <c r="O1117" s="1">
        <v>0.0</v>
      </c>
      <c r="P1117" s="1">
        <v>0.0</v>
      </c>
      <c r="R1117" s="1">
        <v>0.0</v>
      </c>
      <c r="S1117" s="1">
        <v>0.0</v>
      </c>
      <c r="U1117" s="1">
        <v>0.0</v>
      </c>
      <c r="W1117" s="1">
        <v>0.0</v>
      </c>
      <c r="Y1117" s="1">
        <v>0.0</v>
      </c>
      <c r="AA1117" s="1">
        <v>0.0</v>
      </c>
      <c r="AC1117" s="1">
        <v>0.0</v>
      </c>
      <c r="AM1117" s="1">
        <v>880293.0</v>
      </c>
      <c r="AN1117" s="1">
        <v>880293.0</v>
      </c>
      <c r="AO1117" s="1">
        <v>880293.0</v>
      </c>
      <c r="AP1117" s="1">
        <v>337.224</v>
      </c>
      <c r="AR1117" s="1">
        <v>0.0</v>
      </c>
      <c r="AW1117" s="1">
        <v>0.0</v>
      </c>
      <c r="AX1117" s="1">
        <v>3.0</v>
      </c>
      <c r="AY1117" s="1">
        <v>4.0</v>
      </c>
      <c r="AZ1117" s="1">
        <v>1.0</v>
      </c>
      <c r="BA1117" s="1">
        <v>1.0</v>
      </c>
      <c r="BB1117" s="1">
        <v>1.0</v>
      </c>
      <c r="BC1117" s="1">
        <v>0.0</v>
      </c>
      <c r="BD1117" s="1">
        <v>0.13</v>
      </c>
      <c r="BE1117" s="1">
        <v>0.0</v>
      </c>
      <c r="BF1117" s="1">
        <v>0.0</v>
      </c>
      <c r="BG1117" s="1">
        <v>0.0</v>
      </c>
      <c r="BH1117" s="1">
        <v>0.0</v>
      </c>
      <c r="BI1117" s="1">
        <v>0.0</v>
      </c>
      <c r="BJ1117" s="1">
        <v>0.0</v>
      </c>
      <c r="BP1117" s="1">
        <v>0.267</v>
      </c>
      <c r="BQ1117" s="1" t="s">
        <v>4152</v>
      </c>
      <c r="BV1117" s="1">
        <v>1.1</v>
      </c>
      <c r="EQ1117" s="9" t="s">
        <v>4151</v>
      </c>
      <c r="ER1117" s="21">
        <v>46045.30012731482</v>
      </c>
    </row>
    <row r="1118">
      <c r="A1118" s="9" t="s">
        <v>4153</v>
      </c>
      <c r="B1118" s="20" t="str">
        <f>IFERROR(__xludf.DUMMYFUNCTION("REGEXREPLACE(A1118, ""^https?://[^/]+"", """")"),"/wp-content/uploads/elementor/css/post-16081.css?ver=1768853244")</f>
        <v>/wp-content/uploads/elementor/css/post-16081.css?ver=1768853244</v>
      </c>
      <c r="F1118" s="1" t="s">
        <v>1016</v>
      </c>
      <c r="G1118" s="1">
        <v>200.0</v>
      </c>
      <c r="H1118" s="1" t="s">
        <v>966</v>
      </c>
      <c r="I1118" s="1" t="s">
        <v>967</v>
      </c>
      <c r="L1118" s="1">
        <v>0.0</v>
      </c>
      <c r="M1118" s="1">
        <v>0.0</v>
      </c>
      <c r="O1118" s="1">
        <v>0.0</v>
      </c>
      <c r="P1118" s="1">
        <v>0.0</v>
      </c>
      <c r="R1118" s="1">
        <v>0.0</v>
      </c>
      <c r="S1118" s="1">
        <v>0.0</v>
      </c>
      <c r="U1118" s="1">
        <v>0.0</v>
      </c>
      <c r="W1118" s="1">
        <v>0.0</v>
      </c>
      <c r="Y1118" s="1">
        <v>0.0</v>
      </c>
      <c r="AA1118" s="1">
        <v>0.0</v>
      </c>
      <c r="AC1118" s="1">
        <v>0.0</v>
      </c>
      <c r="AM1118" s="1">
        <v>1153.0</v>
      </c>
      <c r="AN1118" s="1">
        <v>1153.0</v>
      </c>
      <c r="AO1118" s="1">
        <v>1153.0</v>
      </c>
      <c r="AP1118" s="1">
        <v>0.442</v>
      </c>
      <c r="AR1118" s="1">
        <v>0.0</v>
      </c>
      <c r="AW1118" s="1">
        <v>0.0</v>
      </c>
      <c r="AX1118" s="1">
        <v>3.0</v>
      </c>
      <c r="AY1118" s="1">
        <v>4.0</v>
      </c>
      <c r="BA1118" s="1">
        <v>0.0</v>
      </c>
      <c r="BB1118" s="1">
        <v>0.0</v>
      </c>
      <c r="BC1118" s="1">
        <v>0.0</v>
      </c>
      <c r="BD1118" s="1">
        <v>0.0</v>
      </c>
      <c r="BE1118" s="1">
        <v>0.0</v>
      </c>
      <c r="BF1118" s="1">
        <v>0.0</v>
      </c>
      <c r="BG1118" s="1">
        <v>0.0</v>
      </c>
      <c r="BH1118" s="1">
        <v>0.0</v>
      </c>
      <c r="BI1118" s="1">
        <v>0.0</v>
      </c>
      <c r="BJ1118" s="1">
        <v>0.0</v>
      </c>
      <c r="BP1118" s="1">
        <v>0.27</v>
      </c>
      <c r="BQ1118" s="1" t="s">
        <v>4154</v>
      </c>
      <c r="BV1118" s="1">
        <v>1.1</v>
      </c>
      <c r="EQ1118" s="9" t="s">
        <v>4153</v>
      </c>
      <c r="ER1118" s="21">
        <v>46045.30012731482</v>
      </c>
    </row>
    <row r="1119">
      <c r="A1119" s="9" t="s">
        <v>4155</v>
      </c>
      <c r="B1119" s="20" t="str">
        <f>IFERROR(__xludf.DUMMYFUNCTION("REGEXREPLACE(A1119, ""^https?://[^/]+"", """")"),"/wp-content/uploads/2021/09/Case-Study_Technology_SX.pdf")</f>
        <v>/wp-content/uploads/2021/09/Case-Study_Technology_SX.pdf</v>
      </c>
      <c r="F1119" s="1" t="s">
        <v>1730</v>
      </c>
      <c r="G1119" s="1">
        <v>200.0</v>
      </c>
      <c r="H1119" s="1" t="s">
        <v>966</v>
      </c>
      <c r="I1119" s="1" t="s">
        <v>967</v>
      </c>
      <c r="L1119" s="1">
        <v>0.0</v>
      </c>
      <c r="M1119" s="1">
        <v>0.0</v>
      </c>
      <c r="O1119" s="1">
        <v>0.0</v>
      </c>
      <c r="P1119" s="1">
        <v>0.0</v>
      </c>
      <c r="R1119" s="1">
        <v>0.0</v>
      </c>
      <c r="S1119" s="1">
        <v>0.0</v>
      </c>
      <c r="U1119" s="1">
        <v>0.0</v>
      </c>
      <c r="W1119" s="1">
        <v>0.0</v>
      </c>
      <c r="Y1119" s="1">
        <v>0.0</v>
      </c>
      <c r="AA1119" s="1">
        <v>0.0</v>
      </c>
      <c r="AC1119" s="1">
        <v>0.0</v>
      </c>
      <c r="AM1119" s="1">
        <v>861056.0</v>
      </c>
      <c r="AN1119" s="1">
        <v>861056.0</v>
      </c>
      <c r="AO1119" s="1">
        <v>861056.0</v>
      </c>
      <c r="AP1119" s="1">
        <v>329.854</v>
      </c>
      <c r="AR1119" s="1">
        <v>0.0</v>
      </c>
      <c r="AW1119" s="1">
        <v>0.0</v>
      </c>
      <c r="AX1119" s="1">
        <v>3.0</v>
      </c>
      <c r="AY1119" s="1">
        <v>4.0</v>
      </c>
      <c r="AZ1119" s="1">
        <v>1.0</v>
      </c>
      <c r="BA1119" s="1">
        <v>1.0</v>
      </c>
      <c r="BB1119" s="1">
        <v>1.0</v>
      </c>
      <c r="BC1119" s="1">
        <v>0.0</v>
      </c>
      <c r="BD1119" s="1">
        <v>0.13</v>
      </c>
      <c r="BE1119" s="1">
        <v>0.0</v>
      </c>
      <c r="BF1119" s="1">
        <v>0.0</v>
      </c>
      <c r="BG1119" s="1">
        <v>0.0</v>
      </c>
      <c r="BH1119" s="1">
        <v>0.0</v>
      </c>
      <c r="BI1119" s="1">
        <v>0.0</v>
      </c>
      <c r="BJ1119" s="1">
        <v>0.0</v>
      </c>
      <c r="BP1119" s="1">
        <v>0.283</v>
      </c>
      <c r="BQ1119" s="1" t="s">
        <v>4156</v>
      </c>
      <c r="BV1119" s="1">
        <v>1.1</v>
      </c>
      <c r="EQ1119" s="9" t="s">
        <v>4155</v>
      </c>
      <c r="ER1119" s="21">
        <v>46045.30011574074</v>
      </c>
    </row>
    <row r="1120">
      <c r="A1120" s="9" t="s">
        <v>4157</v>
      </c>
      <c r="B1120" s="20" t="str">
        <f>IFERROR(__xludf.DUMMYFUNCTION("REGEXREPLACE(A1120, ""^https?://[^/]+"", """")"),"/wp-content/themes/salesxceleratione/assets/css/style.css?ver=1769123354")</f>
        <v>/wp-content/themes/salesxceleratione/assets/css/style.css?ver=1769123354</v>
      </c>
      <c r="F1120" s="1" t="s">
        <v>1016</v>
      </c>
      <c r="G1120" s="1">
        <v>200.0</v>
      </c>
      <c r="H1120" s="1" t="s">
        <v>966</v>
      </c>
      <c r="I1120" s="1" t="s">
        <v>967</v>
      </c>
      <c r="L1120" s="1">
        <v>0.0</v>
      </c>
      <c r="M1120" s="1">
        <v>0.0</v>
      </c>
      <c r="O1120" s="1">
        <v>0.0</v>
      </c>
      <c r="P1120" s="1">
        <v>0.0</v>
      </c>
      <c r="R1120" s="1">
        <v>0.0</v>
      </c>
      <c r="S1120" s="1">
        <v>0.0</v>
      </c>
      <c r="U1120" s="1">
        <v>0.0</v>
      </c>
      <c r="W1120" s="1">
        <v>0.0</v>
      </c>
      <c r="Y1120" s="1">
        <v>0.0</v>
      </c>
      <c r="AA1120" s="1">
        <v>0.0</v>
      </c>
      <c r="AC1120" s="1">
        <v>0.0</v>
      </c>
      <c r="AM1120" s="1">
        <v>17704.0</v>
      </c>
      <c r="AN1120" s="1">
        <v>17704.0</v>
      </c>
      <c r="AO1120" s="1">
        <v>17704.0</v>
      </c>
      <c r="AP1120" s="1">
        <v>6.782</v>
      </c>
      <c r="AR1120" s="1">
        <v>0.0</v>
      </c>
      <c r="AW1120" s="1">
        <v>0.0</v>
      </c>
      <c r="AX1120" s="1">
        <v>3.0</v>
      </c>
      <c r="AY1120" s="1">
        <v>5.0</v>
      </c>
      <c r="BA1120" s="1">
        <v>0.0</v>
      </c>
      <c r="BB1120" s="1">
        <v>0.0</v>
      </c>
      <c r="BC1120" s="1">
        <v>0.0</v>
      </c>
      <c r="BD1120" s="1">
        <v>0.0</v>
      </c>
      <c r="BE1120" s="1">
        <v>0.0</v>
      </c>
      <c r="BF1120" s="1">
        <v>0.0</v>
      </c>
      <c r="BG1120" s="1">
        <v>0.0</v>
      </c>
      <c r="BH1120" s="1">
        <v>0.0</v>
      </c>
      <c r="BI1120" s="1">
        <v>0.0</v>
      </c>
      <c r="BJ1120" s="1">
        <v>0.0</v>
      </c>
      <c r="BP1120" s="1">
        <v>0.274</v>
      </c>
      <c r="BQ1120" s="1" t="s">
        <v>4137</v>
      </c>
      <c r="BV1120" s="1">
        <v>1.1</v>
      </c>
      <c r="EQ1120" s="9" t="s">
        <v>4157</v>
      </c>
      <c r="ER1120" s="21">
        <v>46045.30012731482</v>
      </c>
    </row>
    <row r="1121">
      <c r="A1121" s="9" t="s">
        <v>4158</v>
      </c>
      <c r="B1121" s="20" t="str">
        <f>IFERROR(__xludf.DUMMYFUNCTION("REGEXREPLACE(A1121, ""^https?://[^/]+"", """")"),"/wp-content/uploads/2019/03/Case_Study_Manufacturing-page-1.jpg")</f>
        <v>/wp-content/uploads/2019/03/Case_Study_Manufacturing-page-1.jpg</v>
      </c>
      <c r="F1121" s="1" t="s">
        <v>1004</v>
      </c>
      <c r="G1121" s="1">
        <v>200.0</v>
      </c>
      <c r="H1121" s="1" t="s">
        <v>966</v>
      </c>
      <c r="I1121" s="1" t="s">
        <v>967</v>
      </c>
      <c r="L1121" s="1">
        <v>0.0</v>
      </c>
      <c r="M1121" s="1">
        <v>0.0</v>
      </c>
      <c r="O1121" s="1">
        <v>0.0</v>
      </c>
      <c r="P1121" s="1">
        <v>0.0</v>
      </c>
      <c r="R1121" s="1">
        <v>0.0</v>
      </c>
      <c r="S1121" s="1">
        <v>0.0</v>
      </c>
      <c r="U1121" s="1">
        <v>0.0</v>
      </c>
      <c r="W1121" s="1">
        <v>0.0</v>
      </c>
      <c r="Y1121" s="1">
        <v>0.0</v>
      </c>
      <c r="AA1121" s="1">
        <v>0.0</v>
      </c>
      <c r="AC1121" s="1">
        <v>0.0</v>
      </c>
      <c r="AM1121" s="1">
        <v>329496.0</v>
      </c>
      <c r="AN1121" s="1">
        <v>329496.0</v>
      </c>
      <c r="AO1121" s="1">
        <v>329496.0</v>
      </c>
      <c r="AP1121" s="1">
        <v>126.224</v>
      </c>
      <c r="AR1121" s="1">
        <v>0.0</v>
      </c>
      <c r="AW1121" s="1">
        <v>0.0</v>
      </c>
      <c r="AX1121" s="1">
        <v>3.0</v>
      </c>
      <c r="AY1121" s="1">
        <v>4.0</v>
      </c>
      <c r="BA1121" s="1">
        <v>0.0</v>
      </c>
      <c r="BB1121" s="1">
        <v>0.0</v>
      </c>
      <c r="BC1121" s="1">
        <v>0.0</v>
      </c>
      <c r="BD1121" s="1">
        <v>0.0</v>
      </c>
      <c r="BE1121" s="1">
        <v>0.0</v>
      </c>
      <c r="BF1121" s="1">
        <v>0.0</v>
      </c>
      <c r="BG1121" s="1">
        <v>0.0</v>
      </c>
      <c r="BH1121" s="1">
        <v>0.0</v>
      </c>
      <c r="BI1121" s="1">
        <v>0.0</v>
      </c>
      <c r="BJ1121" s="1">
        <v>0.0</v>
      </c>
      <c r="BP1121" s="1">
        <v>0.259</v>
      </c>
      <c r="BQ1121" s="1" t="s">
        <v>4159</v>
      </c>
      <c r="BV1121" s="1">
        <v>1.1</v>
      </c>
      <c r="EQ1121" s="9" t="s">
        <v>4158</v>
      </c>
      <c r="ER1121" s="21">
        <v>46045.30012731482</v>
      </c>
    </row>
    <row r="1122">
      <c r="A1122" s="9" t="s">
        <v>4160</v>
      </c>
      <c r="B1122" s="20" t="str">
        <f>IFERROR(__xludf.DUMMYFUNCTION("REGEXREPLACE(A1122, ""^https?://[^/]+"", """")"),"/wp-content/uploads/2019/12/streamline-manu-thumb-2048x2048.jpg")</f>
        <v>/wp-content/uploads/2019/12/streamline-manu-thumb-2048x2048.jpg</v>
      </c>
      <c r="F1122" s="1" t="s">
        <v>1004</v>
      </c>
      <c r="G1122" s="1">
        <v>200.0</v>
      </c>
      <c r="H1122" s="1" t="s">
        <v>966</v>
      </c>
      <c r="I1122" s="1" t="s">
        <v>967</v>
      </c>
      <c r="L1122" s="1">
        <v>0.0</v>
      </c>
      <c r="M1122" s="1">
        <v>0.0</v>
      </c>
      <c r="O1122" s="1">
        <v>0.0</v>
      </c>
      <c r="P1122" s="1">
        <v>0.0</v>
      </c>
      <c r="R1122" s="1">
        <v>0.0</v>
      </c>
      <c r="S1122" s="1">
        <v>0.0</v>
      </c>
      <c r="U1122" s="1">
        <v>0.0</v>
      </c>
      <c r="W1122" s="1">
        <v>0.0</v>
      </c>
      <c r="Y1122" s="1">
        <v>0.0</v>
      </c>
      <c r="AA1122" s="1">
        <v>0.0</v>
      </c>
      <c r="AC1122" s="1">
        <v>0.0</v>
      </c>
      <c r="AM1122" s="1">
        <v>440839.0</v>
      </c>
      <c r="AN1122" s="1">
        <v>440839.0</v>
      </c>
      <c r="AO1122" s="1">
        <v>440839.0</v>
      </c>
      <c r="AP1122" s="1">
        <v>168.877</v>
      </c>
      <c r="AR1122" s="1">
        <v>0.0</v>
      </c>
      <c r="AW1122" s="1">
        <v>0.0</v>
      </c>
      <c r="AX1122" s="1">
        <v>3.0</v>
      </c>
      <c r="AY1122" s="1">
        <v>4.0</v>
      </c>
      <c r="BA1122" s="1">
        <v>0.0</v>
      </c>
      <c r="BB1122" s="1">
        <v>0.0</v>
      </c>
      <c r="BC1122" s="1">
        <v>0.0</v>
      </c>
      <c r="BD1122" s="1">
        <v>0.0</v>
      </c>
      <c r="BE1122" s="1">
        <v>0.0</v>
      </c>
      <c r="BF1122" s="1">
        <v>0.0</v>
      </c>
      <c r="BG1122" s="1">
        <v>0.0</v>
      </c>
      <c r="BH1122" s="1">
        <v>0.0</v>
      </c>
      <c r="BI1122" s="1">
        <v>0.0</v>
      </c>
      <c r="BJ1122" s="1">
        <v>0.0</v>
      </c>
      <c r="BP1122" s="1">
        <v>0.26</v>
      </c>
      <c r="BQ1122" s="1" t="s">
        <v>4161</v>
      </c>
      <c r="BV1122" s="1">
        <v>1.1</v>
      </c>
      <c r="EQ1122" s="9" t="s">
        <v>4160</v>
      </c>
      <c r="ER1122" s="21">
        <v>46045.30012731482</v>
      </c>
    </row>
    <row r="1123">
      <c r="A1123" s="9" t="s">
        <v>4162</v>
      </c>
      <c r="B1123" s="20" t="str">
        <f>IFERROR(__xludf.DUMMYFUNCTION("REGEXREPLACE(A1123, ""^https?://[^/]+"", """")"),"/wp-content/uploads/2019/12/Case-Study_Manufacturing-1.jpg")</f>
        <v>/wp-content/uploads/2019/12/Case-Study_Manufacturing-1.jpg</v>
      </c>
      <c r="F1123" s="1" t="s">
        <v>1004</v>
      </c>
      <c r="G1123" s="1">
        <v>200.0</v>
      </c>
      <c r="H1123" s="1" t="s">
        <v>966</v>
      </c>
      <c r="I1123" s="1" t="s">
        <v>967</v>
      </c>
      <c r="L1123" s="1">
        <v>0.0</v>
      </c>
      <c r="M1123" s="1">
        <v>0.0</v>
      </c>
      <c r="O1123" s="1">
        <v>0.0</v>
      </c>
      <c r="P1123" s="1">
        <v>0.0</v>
      </c>
      <c r="R1123" s="1">
        <v>0.0</v>
      </c>
      <c r="S1123" s="1">
        <v>0.0</v>
      </c>
      <c r="U1123" s="1">
        <v>0.0</v>
      </c>
      <c r="W1123" s="1">
        <v>0.0</v>
      </c>
      <c r="Y1123" s="1">
        <v>0.0</v>
      </c>
      <c r="AA1123" s="1">
        <v>0.0</v>
      </c>
      <c r="AC1123" s="1">
        <v>0.0</v>
      </c>
      <c r="AM1123" s="1">
        <v>308881.0</v>
      </c>
      <c r="AN1123" s="1">
        <v>308881.0</v>
      </c>
      <c r="AO1123" s="1">
        <v>308881.0</v>
      </c>
      <c r="AP1123" s="1">
        <v>118.326</v>
      </c>
      <c r="AR1123" s="1">
        <v>0.0</v>
      </c>
      <c r="AW1123" s="1">
        <v>0.0</v>
      </c>
      <c r="AX1123" s="1">
        <v>3.0</v>
      </c>
      <c r="AY1123" s="1">
        <v>4.0</v>
      </c>
      <c r="BA1123" s="1">
        <v>0.0</v>
      </c>
      <c r="BB1123" s="1">
        <v>0.0</v>
      </c>
      <c r="BC1123" s="1">
        <v>0.0</v>
      </c>
      <c r="BD1123" s="1">
        <v>0.0</v>
      </c>
      <c r="BE1123" s="1">
        <v>0.0</v>
      </c>
      <c r="BF1123" s="1">
        <v>0.0</v>
      </c>
      <c r="BG1123" s="1">
        <v>0.0</v>
      </c>
      <c r="BH1123" s="1">
        <v>0.0</v>
      </c>
      <c r="BI1123" s="1">
        <v>0.0</v>
      </c>
      <c r="BJ1123" s="1">
        <v>0.0</v>
      </c>
      <c r="BP1123" s="1">
        <v>0.265</v>
      </c>
      <c r="BQ1123" s="1" t="s">
        <v>4163</v>
      </c>
      <c r="BV1123" s="1">
        <v>1.1</v>
      </c>
      <c r="EQ1123" s="9" t="s">
        <v>4162</v>
      </c>
      <c r="ER1123" s="21">
        <v>46045.30012731482</v>
      </c>
    </row>
    <row r="1124">
      <c r="A1124" s="9" t="s">
        <v>4164</v>
      </c>
      <c r="B1124" s="20" t="str">
        <f>IFERROR(__xludf.DUMMYFUNCTION("REGEXREPLACE(A1124, ""^https?://[^/]+"", """")"),"/wp-content/themes/salesxceleratione/assets/css/style.css?ver=1769123355")</f>
        <v>/wp-content/themes/salesxceleratione/assets/css/style.css?ver=1769123355</v>
      </c>
      <c r="F1124" s="1" t="s">
        <v>1016</v>
      </c>
      <c r="G1124" s="1">
        <v>200.0</v>
      </c>
      <c r="H1124" s="1" t="s">
        <v>966</v>
      </c>
      <c r="I1124" s="1" t="s">
        <v>967</v>
      </c>
      <c r="L1124" s="1">
        <v>0.0</v>
      </c>
      <c r="M1124" s="1">
        <v>0.0</v>
      </c>
      <c r="O1124" s="1">
        <v>0.0</v>
      </c>
      <c r="P1124" s="1">
        <v>0.0</v>
      </c>
      <c r="R1124" s="1">
        <v>0.0</v>
      </c>
      <c r="S1124" s="1">
        <v>0.0</v>
      </c>
      <c r="U1124" s="1">
        <v>0.0</v>
      </c>
      <c r="W1124" s="1">
        <v>0.0</v>
      </c>
      <c r="Y1124" s="1">
        <v>0.0</v>
      </c>
      <c r="AA1124" s="1">
        <v>0.0</v>
      </c>
      <c r="AC1124" s="1">
        <v>0.0</v>
      </c>
      <c r="AM1124" s="1">
        <v>17704.0</v>
      </c>
      <c r="AN1124" s="1">
        <v>17704.0</v>
      </c>
      <c r="AO1124" s="1">
        <v>17704.0</v>
      </c>
      <c r="AP1124" s="1">
        <v>6.782</v>
      </c>
      <c r="AR1124" s="1">
        <v>0.0</v>
      </c>
      <c r="AW1124" s="1">
        <v>0.0</v>
      </c>
      <c r="AX1124" s="1">
        <v>3.0</v>
      </c>
      <c r="AY1124" s="1">
        <v>5.0</v>
      </c>
      <c r="BA1124" s="1">
        <v>0.0</v>
      </c>
      <c r="BB1124" s="1">
        <v>0.0</v>
      </c>
      <c r="BC1124" s="1">
        <v>0.0</v>
      </c>
      <c r="BD1124" s="1">
        <v>0.0</v>
      </c>
      <c r="BE1124" s="1">
        <v>0.0</v>
      </c>
      <c r="BF1124" s="1">
        <v>0.0</v>
      </c>
      <c r="BG1124" s="1">
        <v>0.0</v>
      </c>
      <c r="BH1124" s="1">
        <v>0.0</v>
      </c>
      <c r="BI1124" s="1">
        <v>0.0</v>
      </c>
      <c r="BJ1124" s="1">
        <v>0.0</v>
      </c>
      <c r="BP1124" s="1">
        <v>0.27</v>
      </c>
      <c r="BQ1124" s="1" t="s">
        <v>4137</v>
      </c>
      <c r="BV1124" s="1">
        <v>1.1</v>
      </c>
      <c r="EQ1124" s="9" t="s">
        <v>4164</v>
      </c>
      <c r="ER1124" s="21">
        <v>46045.30012731482</v>
      </c>
    </row>
    <row r="1125">
      <c r="A1125" s="9" t="s">
        <v>4165</v>
      </c>
      <c r="B1125" s="20" t="str">
        <f>IFERROR(__xludf.DUMMYFUNCTION("REGEXREPLACE(A1125, ""^https?://[^/]+"", """")"),"/wp-content/uploads/2019/12/manu-onepage-1.jpg")</f>
        <v>/wp-content/uploads/2019/12/manu-onepage-1.jpg</v>
      </c>
      <c r="F1125" s="1" t="s">
        <v>1004</v>
      </c>
      <c r="G1125" s="1">
        <v>200.0</v>
      </c>
      <c r="H1125" s="1" t="s">
        <v>966</v>
      </c>
      <c r="I1125" s="1" t="s">
        <v>967</v>
      </c>
      <c r="L1125" s="1">
        <v>0.0</v>
      </c>
      <c r="M1125" s="1">
        <v>0.0</v>
      </c>
      <c r="O1125" s="1">
        <v>0.0</v>
      </c>
      <c r="P1125" s="1">
        <v>0.0</v>
      </c>
      <c r="R1125" s="1">
        <v>0.0</v>
      </c>
      <c r="S1125" s="1">
        <v>0.0</v>
      </c>
      <c r="U1125" s="1">
        <v>0.0</v>
      </c>
      <c r="W1125" s="1">
        <v>0.0</v>
      </c>
      <c r="Y1125" s="1">
        <v>0.0</v>
      </c>
      <c r="AA1125" s="1">
        <v>0.0</v>
      </c>
      <c r="AC1125" s="1">
        <v>0.0</v>
      </c>
      <c r="AM1125" s="1">
        <v>427026.0</v>
      </c>
      <c r="AN1125" s="1">
        <v>427026.0</v>
      </c>
      <c r="AO1125" s="1">
        <v>427026.0</v>
      </c>
      <c r="AP1125" s="1">
        <v>163.586</v>
      </c>
      <c r="AR1125" s="1">
        <v>0.0</v>
      </c>
      <c r="AW1125" s="1">
        <v>0.0</v>
      </c>
      <c r="AX1125" s="1">
        <v>3.0</v>
      </c>
      <c r="AY1125" s="1">
        <v>4.0</v>
      </c>
      <c r="BA1125" s="1">
        <v>0.0</v>
      </c>
      <c r="BB1125" s="1">
        <v>0.0</v>
      </c>
      <c r="BC1125" s="1">
        <v>0.0</v>
      </c>
      <c r="BD1125" s="1">
        <v>0.0</v>
      </c>
      <c r="BE1125" s="1">
        <v>0.0</v>
      </c>
      <c r="BF1125" s="1">
        <v>0.0</v>
      </c>
      <c r="BG1125" s="1">
        <v>0.0</v>
      </c>
      <c r="BH1125" s="1">
        <v>0.0</v>
      </c>
      <c r="BI1125" s="1">
        <v>0.0</v>
      </c>
      <c r="BJ1125" s="1">
        <v>0.0</v>
      </c>
      <c r="BP1125" s="1">
        <v>0.308</v>
      </c>
      <c r="BQ1125" s="1" t="s">
        <v>4166</v>
      </c>
      <c r="BV1125" s="1">
        <v>1.1</v>
      </c>
      <c r="EQ1125" s="9" t="s">
        <v>4165</v>
      </c>
      <c r="ER1125" s="21">
        <v>46045.30012731482</v>
      </c>
    </row>
    <row r="1126">
      <c r="A1126" s="9" t="s">
        <v>4167</v>
      </c>
      <c r="B1126" s="20" t="str">
        <f>IFERROR(__xludf.DUMMYFUNCTION("REGEXREPLACE(A1126, ""^https?://[^/]+"", """")"),"/wp-content/uploads/2021/09/Case_Study_Manufacturing-2.pdf")</f>
        <v>/wp-content/uploads/2021/09/Case_Study_Manufacturing-2.pdf</v>
      </c>
      <c r="F1126" s="1" t="s">
        <v>1730</v>
      </c>
      <c r="G1126" s="1">
        <v>200.0</v>
      </c>
      <c r="H1126" s="1" t="s">
        <v>966</v>
      </c>
      <c r="I1126" s="1" t="s">
        <v>967</v>
      </c>
      <c r="L1126" s="1">
        <v>0.0</v>
      </c>
      <c r="M1126" s="1">
        <v>0.0</v>
      </c>
      <c r="O1126" s="1">
        <v>0.0</v>
      </c>
      <c r="P1126" s="1">
        <v>0.0</v>
      </c>
      <c r="R1126" s="1">
        <v>0.0</v>
      </c>
      <c r="S1126" s="1">
        <v>0.0</v>
      </c>
      <c r="U1126" s="1">
        <v>0.0</v>
      </c>
      <c r="W1126" s="1">
        <v>0.0</v>
      </c>
      <c r="Y1126" s="1">
        <v>0.0</v>
      </c>
      <c r="AA1126" s="1">
        <v>0.0</v>
      </c>
      <c r="AC1126" s="1">
        <v>0.0</v>
      </c>
      <c r="AM1126" s="1">
        <v>3107480.0</v>
      </c>
      <c r="AN1126" s="1">
        <v>3107480.0</v>
      </c>
      <c r="AO1126" s="1">
        <v>3107480.0</v>
      </c>
      <c r="AP1126" s="1">
        <v>1190.417</v>
      </c>
      <c r="AR1126" s="1">
        <v>0.0</v>
      </c>
      <c r="AW1126" s="1">
        <v>0.0</v>
      </c>
      <c r="AX1126" s="1">
        <v>3.0</v>
      </c>
      <c r="AY1126" s="1">
        <v>4.0</v>
      </c>
      <c r="AZ1126" s="1">
        <v>1.0</v>
      </c>
      <c r="BA1126" s="1">
        <v>1.0</v>
      </c>
      <c r="BB1126" s="1">
        <v>1.0</v>
      </c>
      <c r="BC1126" s="1">
        <v>0.0</v>
      </c>
      <c r="BD1126" s="1">
        <v>0.13</v>
      </c>
      <c r="BE1126" s="1">
        <v>0.0</v>
      </c>
      <c r="BF1126" s="1">
        <v>0.0</v>
      </c>
      <c r="BG1126" s="1">
        <v>0.0</v>
      </c>
      <c r="BH1126" s="1">
        <v>0.0</v>
      </c>
      <c r="BI1126" s="1">
        <v>0.0</v>
      </c>
      <c r="BJ1126" s="1">
        <v>0.0</v>
      </c>
      <c r="BP1126" s="1">
        <v>0.276</v>
      </c>
      <c r="BQ1126" s="1" t="s">
        <v>4168</v>
      </c>
      <c r="BV1126" s="1">
        <v>1.1</v>
      </c>
      <c r="EQ1126" s="9" t="s">
        <v>4167</v>
      </c>
      <c r="ER1126" s="21">
        <v>46045.30012731482</v>
      </c>
    </row>
    <row r="1127">
      <c r="A1127" s="9" t="s">
        <v>4169</v>
      </c>
      <c r="B1127" s="20" t="str">
        <f>IFERROR(__xludf.DUMMYFUNCTION("REGEXREPLACE(A1127, ""^https?://[^/]+"", """")"),"/wp-content/uploads/2021/09/Case-Study_Manufacturing.pdf")</f>
        <v>/wp-content/uploads/2021/09/Case-Study_Manufacturing.pdf</v>
      </c>
      <c r="F1127" s="1" t="s">
        <v>1730</v>
      </c>
      <c r="G1127" s="1">
        <v>200.0</v>
      </c>
      <c r="H1127" s="1" t="s">
        <v>966</v>
      </c>
      <c r="I1127" s="1" t="s">
        <v>967</v>
      </c>
      <c r="L1127" s="1">
        <v>0.0</v>
      </c>
      <c r="M1127" s="1">
        <v>0.0</v>
      </c>
      <c r="O1127" s="1">
        <v>0.0</v>
      </c>
      <c r="P1127" s="1">
        <v>0.0</v>
      </c>
      <c r="R1127" s="1">
        <v>0.0</v>
      </c>
      <c r="S1127" s="1">
        <v>0.0</v>
      </c>
      <c r="U1127" s="1">
        <v>0.0</v>
      </c>
      <c r="W1127" s="1">
        <v>0.0</v>
      </c>
      <c r="Y1127" s="1">
        <v>0.0</v>
      </c>
      <c r="AA1127" s="1">
        <v>0.0</v>
      </c>
      <c r="AC1127" s="1">
        <v>0.0</v>
      </c>
      <c r="AM1127" s="1">
        <v>1050111.0</v>
      </c>
      <c r="AN1127" s="1">
        <v>1050111.0</v>
      </c>
      <c r="AO1127" s="1">
        <v>1050111.0</v>
      </c>
      <c r="AP1127" s="1">
        <v>402.278</v>
      </c>
      <c r="AR1127" s="1">
        <v>0.0</v>
      </c>
      <c r="AW1127" s="1">
        <v>0.0</v>
      </c>
      <c r="AX1127" s="1">
        <v>3.0</v>
      </c>
      <c r="AY1127" s="1">
        <v>4.0</v>
      </c>
      <c r="AZ1127" s="1">
        <v>1.0</v>
      </c>
      <c r="BA1127" s="1">
        <v>1.0</v>
      </c>
      <c r="BB1127" s="1">
        <v>1.0</v>
      </c>
      <c r="BC1127" s="1">
        <v>0.0</v>
      </c>
      <c r="BD1127" s="1">
        <v>0.13</v>
      </c>
      <c r="BE1127" s="1">
        <v>0.0</v>
      </c>
      <c r="BF1127" s="1">
        <v>0.0</v>
      </c>
      <c r="BG1127" s="1">
        <v>0.0</v>
      </c>
      <c r="BH1127" s="1">
        <v>0.0</v>
      </c>
      <c r="BI1127" s="1">
        <v>0.0</v>
      </c>
      <c r="BJ1127" s="1">
        <v>0.0</v>
      </c>
      <c r="BP1127" s="1">
        <v>0.246</v>
      </c>
      <c r="BQ1127" s="1" t="s">
        <v>4170</v>
      </c>
      <c r="BV1127" s="1">
        <v>1.1</v>
      </c>
      <c r="EQ1127" s="9" t="s">
        <v>4169</v>
      </c>
      <c r="ER1127" s="21">
        <v>46045.30012731482</v>
      </c>
    </row>
    <row r="1128">
      <c r="A1128" s="9" t="s">
        <v>4171</v>
      </c>
      <c r="B1128" s="20" t="str">
        <f>IFERROR(__xludf.DUMMYFUNCTION("REGEXREPLACE(A1128, ""^https?://[^/]+"", """")"),"/wp-content/uploads/2019/10/food_industry_page.jpg")</f>
        <v>/wp-content/uploads/2019/10/food_industry_page.jpg</v>
      </c>
      <c r="F1128" s="1" t="s">
        <v>1004</v>
      </c>
      <c r="G1128" s="1">
        <v>200.0</v>
      </c>
      <c r="H1128" s="1" t="s">
        <v>966</v>
      </c>
      <c r="I1128" s="1" t="s">
        <v>967</v>
      </c>
      <c r="L1128" s="1">
        <v>0.0</v>
      </c>
      <c r="M1128" s="1">
        <v>0.0</v>
      </c>
      <c r="O1128" s="1">
        <v>0.0</v>
      </c>
      <c r="P1128" s="1">
        <v>0.0</v>
      </c>
      <c r="R1128" s="1">
        <v>0.0</v>
      </c>
      <c r="S1128" s="1">
        <v>0.0</v>
      </c>
      <c r="U1128" s="1">
        <v>0.0</v>
      </c>
      <c r="W1128" s="1">
        <v>0.0</v>
      </c>
      <c r="Y1128" s="1">
        <v>0.0</v>
      </c>
      <c r="AA1128" s="1">
        <v>0.0</v>
      </c>
      <c r="AC1128" s="1">
        <v>0.0</v>
      </c>
      <c r="AM1128" s="1">
        <v>447119.0</v>
      </c>
      <c r="AN1128" s="1">
        <v>447119.0</v>
      </c>
      <c r="AO1128" s="1">
        <v>447119.0</v>
      </c>
      <c r="AP1128" s="1">
        <v>171.283</v>
      </c>
      <c r="AR1128" s="1">
        <v>0.0</v>
      </c>
      <c r="AW1128" s="1">
        <v>0.0</v>
      </c>
      <c r="AX1128" s="1">
        <v>3.0</v>
      </c>
      <c r="AY1128" s="1">
        <v>4.0</v>
      </c>
      <c r="BA1128" s="1">
        <v>0.0</v>
      </c>
      <c r="BB1128" s="1">
        <v>0.0</v>
      </c>
      <c r="BC1128" s="1">
        <v>0.0</v>
      </c>
      <c r="BD1128" s="1">
        <v>0.0</v>
      </c>
      <c r="BE1128" s="1">
        <v>0.0</v>
      </c>
      <c r="BF1128" s="1">
        <v>0.0</v>
      </c>
      <c r="BG1128" s="1">
        <v>0.0</v>
      </c>
      <c r="BH1128" s="1">
        <v>0.0</v>
      </c>
      <c r="BI1128" s="1">
        <v>0.0</v>
      </c>
      <c r="BJ1128" s="1">
        <v>0.0</v>
      </c>
      <c r="BP1128" s="1">
        <v>0.284</v>
      </c>
      <c r="BQ1128" s="1" t="s">
        <v>4172</v>
      </c>
      <c r="BV1128" s="1">
        <v>1.1</v>
      </c>
      <c r="EQ1128" s="9" t="s">
        <v>4171</v>
      </c>
      <c r="ER1128" s="21">
        <v>46045.30013888889</v>
      </c>
    </row>
    <row r="1129">
      <c r="A1129" s="9" t="s">
        <v>4173</v>
      </c>
      <c r="B1129" s="20" t="str">
        <f>IFERROR(__xludf.DUMMYFUNCTION("REGEXREPLACE(A1129, ""^https?://[^/]+"", """")"),"/wp-content/uploads/2021/09/Case_Study_Manufacturing.pdf")</f>
        <v>/wp-content/uploads/2021/09/Case_Study_Manufacturing.pdf</v>
      </c>
      <c r="F1129" s="1" t="s">
        <v>1730</v>
      </c>
      <c r="G1129" s="1">
        <v>200.0</v>
      </c>
      <c r="H1129" s="1" t="s">
        <v>966</v>
      </c>
      <c r="I1129" s="1" t="s">
        <v>967</v>
      </c>
      <c r="L1129" s="1">
        <v>0.0</v>
      </c>
      <c r="M1129" s="1">
        <v>0.0</v>
      </c>
      <c r="O1129" s="1">
        <v>0.0</v>
      </c>
      <c r="P1129" s="1">
        <v>0.0</v>
      </c>
      <c r="R1129" s="1">
        <v>0.0</v>
      </c>
      <c r="S1129" s="1">
        <v>0.0</v>
      </c>
      <c r="U1129" s="1">
        <v>0.0</v>
      </c>
      <c r="W1129" s="1">
        <v>0.0</v>
      </c>
      <c r="Y1129" s="1">
        <v>0.0</v>
      </c>
      <c r="AA1129" s="1">
        <v>0.0</v>
      </c>
      <c r="AC1129" s="1">
        <v>0.0</v>
      </c>
      <c r="AM1129" s="1">
        <v>1250898.0</v>
      </c>
      <c r="AN1129" s="1">
        <v>1250898.0</v>
      </c>
      <c r="AO1129" s="1">
        <v>1250898.0</v>
      </c>
      <c r="AP1129" s="1">
        <v>479.195</v>
      </c>
      <c r="AR1129" s="1">
        <v>0.0</v>
      </c>
      <c r="AW1129" s="1">
        <v>0.0</v>
      </c>
      <c r="AX1129" s="1">
        <v>3.0</v>
      </c>
      <c r="AY1129" s="1">
        <v>4.0</v>
      </c>
      <c r="AZ1129" s="1">
        <v>1.0</v>
      </c>
      <c r="BA1129" s="1">
        <v>1.0</v>
      </c>
      <c r="BB1129" s="1">
        <v>1.0</v>
      </c>
      <c r="BC1129" s="1">
        <v>0.0</v>
      </c>
      <c r="BD1129" s="1">
        <v>0.13</v>
      </c>
      <c r="BE1129" s="1">
        <v>0.0</v>
      </c>
      <c r="BF1129" s="1">
        <v>0.0</v>
      </c>
      <c r="BG1129" s="1">
        <v>0.0</v>
      </c>
      <c r="BH1129" s="1">
        <v>0.0</v>
      </c>
      <c r="BI1129" s="1">
        <v>0.0</v>
      </c>
      <c r="BJ1129" s="1">
        <v>0.0</v>
      </c>
      <c r="BP1129" s="1">
        <v>0.252</v>
      </c>
      <c r="BQ1129" s="1" t="s">
        <v>4152</v>
      </c>
      <c r="BV1129" s="1">
        <v>1.1</v>
      </c>
      <c r="EQ1129" s="9" t="s">
        <v>4173</v>
      </c>
      <c r="ER1129" s="21">
        <v>46045.30012731482</v>
      </c>
    </row>
    <row r="1130">
      <c r="A1130" s="9" t="s">
        <v>4174</v>
      </c>
      <c r="B1130" s="20" t="str">
        <f>IFERROR(__xludf.DUMMYFUNCTION("REGEXREPLACE(A1130, ""^https?://[^/]+"", """")"),"/wp-content/uploads/2022/07/50-Fastest-Companies-2022_Award-Logo.jpg")</f>
        <v>/wp-content/uploads/2022/07/50-Fastest-Companies-2022_Award-Logo.jpg</v>
      </c>
      <c r="F1130" s="1" t="s">
        <v>1004</v>
      </c>
      <c r="G1130" s="1">
        <v>200.0</v>
      </c>
      <c r="H1130" s="1" t="s">
        <v>966</v>
      </c>
      <c r="I1130" s="1" t="s">
        <v>967</v>
      </c>
      <c r="L1130" s="1">
        <v>0.0</v>
      </c>
      <c r="M1130" s="1">
        <v>0.0</v>
      </c>
      <c r="O1130" s="1">
        <v>0.0</v>
      </c>
      <c r="P1130" s="1">
        <v>0.0</v>
      </c>
      <c r="R1130" s="1">
        <v>0.0</v>
      </c>
      <c r="S1130" s="1">
        <v>0.0</v>
      </c>
      <c r="U1130" s="1">
        <v>0.0</v>
      </c>
      <c r="W1130" s="1">
        <v>0.0</v>
      </c>
      <c r="Y1130" s="1">
        <v>0.0</v>
      </c>
      <c r="AA1130" s="1">
        <v>0.0</v>
      </c>
      <c r="AC1130" s="1">
        <v>0.0</v>
      </c>
      <c r="AM1130" s="1">
        <v>312636.0</v>
      </c>
      <c r="AN1130" s="1">
        <v>312636.0</v>
      </c>
      <c r="AO1130" s="1">
        <v>312636.0</v>
      </c>
      <c r="AP1130" s="1">
        <v>119.765</v>
      </c>
      <c r="AR1130" s="1">
        <v>0.0</v>
      </c>
      <c r="AW1130" s="1">
        <v>0.0</v>
      </c>
      <c r="AX1130" s="1">
        <v>3.0</v>
      </c>
      <c r="AY1130" s="1">
        <v>4.0</v>
      </c>
      <c r="BA1130" s="1">
        <v>0.0</v>
      </c>
      <c r="BB1130" s="1">
        <v>0.0</v>
      </c>
      <c r="BC1130" s="1">
        <v>0.0</v>
      </c>
      <c r="BD1130" s="1">
        <v>0.0</v>
      </c>
      <c r="BE1130" s="1">
        <v>0.0</v>
      </c>
      <c r="BF1130" s="1">
        <v>0.0</v>
      </c>
      <c r="BG1130" s="1">
        <v>0.0</v>
      </c>
      <c r="BH1130" s="1">
        <v>0.0</v>
      </c>
      <c r="BI1130" s="1">
        <v>0.0</v>
      </c>
      <c r="BJ1130" s="1">
        <v>0.0</v>
      </c>
      <c r="BP1130" s="1">
        <v>0.266</v>
      </c>
      <c r="BQ1130" s="1" t="s">
        <v>4175</v>
      </c>
      <c r="BV1130" s="1">
        <v>1.1</v>
      </c>
      <c r="EQ1130" s="9" t="s">
        <v>4174</v>
      </c>
      <c r="ER1130" s="21">
        <v>46045.30013888889</v>
      </c>
    </row>
    <row r="1131">
      <c r="A1131" s="9" t="s">
        <v>4176</v>
      </c>
      <c r="B1131" s="20" t="str">
        <f>IFERROR(__xludf.DUMMYFUNCTION("REGEXREPLACE(A1131, ""^https?://[^/]+"", """")"),"/wp-content/uploads/2019/10/Case_Study_Food_Industry.pdf")</f>
        <v>/wp-content/uploads/2019/10/Case_Study_Food_Industry.pdf</v>
      </c>
      <c r="F1131" s="1" t="s">
        <v>1730</v>
      </c>
      <c r="G1131" s="1">
        <v>200.0</v>
      </c>
      <c r="H1131" s="1" t="s">
        <v>966</v>
      </c>
      <c r="I1131" s="1" t="s">
        <v>967</v>
      </c>
      <c r="L1131" s="1">
        <v>0.0</v>
      </c>
      <c r="M1131" s="1">
        <v>0.0</v>
      </c>
      <c r="O1131" s="1">
        <v>0.0</v>
      </c>
      <c r="P1131" s="1">
        <v>0.0</v>
      </c>
      <c r="R1131" s="1">
        <v>0.0</v>
      </c>
      <c r="S1131" s="1">
        <v>0.0</v>
      </c>
      <c r="U1131" s="1">
        <v>0.0</v>
      </c>
      <c r="W1131" s="1">
        <v>0.0</v>
      </c>
      <c r="Y1131" s="1">
        <v>0.0</v>
      </c>
      <c r="AA1131" s="1">
        <v>0.0</v>
      </c>
      <c r="AC1131" s="1">
        <v>0.0</v>
      </c>
      <c r="AM1131" s="1">
        <v>1775935.0</v>
      </c>
      <c r="AN1131" s="1">
        <v>1775935.0</v>
      </c>
      <c r="AO1131" s="1">
        <v>1775935.0</v>
      </c>
      <c r="AP1131" s="1">
        <v>680.327</v>
      </c>
      <c r="AR1131" s="1">
        <v>0.0</v>
      </c>
      <c r="AW1131" s="1">
        <v>0.0</v>
      </c>
      <c r="AX1131" s="1">
        <v>3.0</v>
      </c>
      <c r="AY1131" s="1">
        <v>4.0</v>
      </c>
      <c r="AZ1131" s="1">
        <v>1.0</v>
      </c>
      <c r="BA1131" s="1">
        <v>1.0</v>
      </c>
      <c r="BB1131" s="1">
        <v>1.0</v>
      </c>
      <c r="BC1131" s="1">
        <v>0.0</v>
      </c>
      <c r="BD1131" s="1">
        <v>0.13</v>
      </c>
      <c r="BE1131" s="1">
        <v>0.0</v>
      </c>
      <c r="BF1131" s="1">
        <v>0.0</v>
      </c>
      <c r="BG1131" s="1">
        <v>0.0</v>
      </c>
      <c r="BH1131" s="1">
        <v>0.0</v>
      </c>
      <c r="BI1131" s="1">
        <v>0.0</v>
      </c>
      <c r="BJ1131" s="1">
        <v>0.0</v>
      </c>
      <c r="BP1131" s="1">
        <v>0.272</v>
      </c>
      <c r="BQ1131" s="1" t="s">
        <v>4177</v>
      </c>
      <c r="BV1131" s="1">
        <v>1.1</v>
      </c>
      <c r="EQ1131" s="9" t="s">
        <v>4176</v>
      </c>
      <c r="ER1131" s="21">
        <v>46045.30012731482</v>
      </c>
    </row>
    <row r="1132">
      <c r="A1132" s="9" t="s">
        <v>4178</v>
      </c>
      <c r="B1132" s="20" t="str">
        <f>IFERROR(__xludf.DUMMYFUNCTION("REGEXREPLACE(A1132, ""^https?://[^/]+"", """")"),"/wp-content/uploads/2019/11/Case_Study_Healthcare-1.pdf")</f>
        <v>/wp-content/uploads/2019/11/Case_Study_Healthcare-1.pdf</v>
      </c>
      <c r="F1132" s="1" t="s">
        <v>1730</v>
      </c>
      <c r="G1132" s="1">
        <v>200.0</v>
      </c>
      <c r="H1132" s="1" t="s">
        <v>966</v>
      </c>
      <c r="I1132" s="1" t="s">
        <v>967</v>
      </c>
      <c r="L1132" s="1">
        <v>0.0</v>
      </c>
      <c r="M1132" s="1">
        <v>0.0</v>
      </c>
      <c r="O1132" s="1">
        <v>0.0</v>
      </c>
      <c r="P1132" s="1">
        <v>0.0</v>
      </c>
      <c r="R1132" s="1">
        <v>0.0</v>
      </c>
      <c r="S1132" s="1">
        <v>0.0</v>
      </c>
      <c r="U1132" s="1">
        <v>0.0</v>
      </c>
      <c r="W1132" s="1">
        <v>0.0</v>
      </c>
      <c r="Y1132" s="1">
        <v>0.0</v>
      </c>
      <c r="AA1132" s="1">
        <v>0.0</v>
      </c>
      <c r="AC1132" s="1">
        <v>0.0</v>
      </c>
      <c r="AM1132" s="1">
        <v>865737.0</v>
      </c>
      <c r="AN1132" s="1">
        <v>865737.0</v>
      </c>
      <c r="AO1132" s="1">
        <v>865737.0</v>
      </c>
      <c r="AP1132" s="1">
        <v>331.647</v>
      </c>
      <c r="AR1132" s="1">
        <v>0.0</v>
      </c>
      <c r="AW1132" s="1">
        <v>0.0</v>
      </c>
      <c r="AX1132" s="1">
        <v>3.0</v>
      </c>
      <c r="AY1132" s="1">
        <v>4.0</v>
      </c>
      <c r="AZ1132" s="1">
        <v>1.0</v>
      </c>
      <c r="BA1132" s="1">
        <v>1.0</v>
      </c>
      <c r="BB1132" s="1">
        <v>1.0</v>
      </c>
      <c r="BC1132" s="1">
        <v>0.0</v>
      </c>
      <c r="BD1132" s="1">
        <v>0.13</v>
      </c>
      <c r="BE1132" s="1">
        <v>0.0</v>
      </c>
      <c r="BF1132" s="1">
        <v>0.0</v>
      </c>
      <c r="BG1132" s="1">
        <v>0.0</v>
      </c>
      <c r="BH1132" s="1">
        <v>0.0</v>
      </c>
      <c r="BI1132" s="1">
        <v>0.0</v>
      </c>
      <c r="BJ1132" s="1">
        <v>0.0</v>
      </c>
      <c r="BP1132" s="1">
        <v>0.247</v>
      </c>
      <c r="BQ1132" s="1" t="s">
        <v>4179</v>
      </c>
      <c r="BV1132" s="1">
        <v>1.1</v>
      </c>
      <c r="EQ1132" s="9" t="s">
        <v>4178</v>
      </c>
      <c r="ER1132" s="21">
        <v>46045.30013888889</v>
      </c>
    </row>
    <row r="1133">
      <c r="A1133" s="9" t="s">
        <v>4180</v>
      </c>
      <c r="B1133" s="20" t="str">
        <f>IFERROR(__xludf.DUMMYFUNCTION("REGEXREPLACE(A1133, ""^https?://[^/]+"", """")"),"/wp-content/uploads/2021/10/https___specials-images.forbesimg.com_imageserve_6123a4aee3b7ad2564e3c8cd_Photos-of-featured-members-_960x0.jpg")</f>
        <v>/wp-content/uploads/2021/10/https___specials-images.forbesimg.com_imageserve_6123a4aee3b7ad2564e3c8cd_Photos-of-featured-members-_960x0.jpg</v>
      </c>
      <c r="F1133" s="1" t="s">
        <v>1004</v>
      </c>
      <c r="G1133" s="1">
        <v>200.0</v>
      </c>
      <c r="H1133" s="1" t="s">
        <v>966</v>
      </c>
      <c r="I1133" s="1" t="s">
        <v>967</v>
      </c>
      <c r="L1133" s="1">
        <v>0.0</v>
      </c>
      <c r="M1133" s="1">
        <v>0.0</v>
      </c>
      <c r="O1133" s="1">
        <v>0.0</v>
      </c>
      <c r="P1133" s="1">
        <v>0.0</v>
      </c>
      <c r="R1133" s="1">
        <v>0.0</v>
      </c>
      <c r="S1133" s="1">
        <v>0.0</v>
      </c>
      <c r="U1133" s="1">
        <v>0.0</v>
      </c>
      <c r="W1133" s="1">
        <v>0.0</v>
      </c>
      <c r="Y1133" s="1">
        <v>0.0</v>
      </c>
      <c r="AA1133" s="1">
        <v>0.0</v>
      </c>
      <c r="AC1133" s="1">
        <v>0.0</v>
      </c>
      <c r="AM1133" s="1">
        <v>89926.0</v>
      </c>
      <c r="AN1133" s="1">
        <v>89926.0</v>
      </c>
      <c r="AO1133" s="1">
        <v>89926.0</v>
      </c>
      <c r="AP1133" s="1">
        <v>34.449</v>
      </c>
      <c r="AR1133" s="1">
        <v>0.0</v>
      </c>
      <c r="AW1133" s="1">
        <v>0.0</v>
      </c>
      <c r="AX1133" s="1">
        <v>3.0</v>
      </c>
      <c r="AY1133" s="1">
        <v>4.0</v>
      </c>
      <c r="BA1133" s="1">
        <v>0.0</v>
      </c>
      <c r="BB1133" s="1">
        <v>0.0</v>
      </c>
      <c r="BC1133" s="1">
        <v>0.0</v>
      </c>
      <c r="BD1133" s="1">
        <v>0.0</v>
      </c>
      <c r="BE1133" s="1">
        <v>0.0</v>
      </c>
      <c r="BF1133" s="1">
        <v>0.0</v>
      </c>
      <c r="BG1133" s="1">
        <v>0.0</v>
      </c>
      <c r="BH1133" s="1">
        <v>0.0</v>
      </c>
      <c r="BI1133" s="1">
        <v>0.0</v>
      </c>
      <c r="BJ1133" s="1">
        <v>0.0</v>
      </c>
      <c r="BP1133" s="1">
        <v>0.254</v>
      </c>
      <c r="BQ1133" s="1" t="s">
        <v>4181</v>
      </c>
      <c r="BV1133" s="1">
        <v>1.1</v>
      </c>
      <c r="EQ1133" s="9" t="s">
        <v>4180</v>
      </c>
      <c r="ER1133" s="21">
        <v>46045.300150462965</v>
      </c>
    </row>
    <row r="1134">
      <c r="A1134" s="9" t="s">
        <v>4182</v>
      </c>
      <c r="B1134" s="20" t="str">
        <f>IFERROR(__xludf.DUMMYFUNCTION("REGEXREPLACE(A1134, ""^https?://[^/]+"", """")"),"/wp-content/uploads/2021/10/https___specials-images.forbesimg.com_imageserve_6123a4aee3b7ad2564e3c8cd_Photos-of-featured-members-_960x0-300x205.jpg")</f>
        <v>/wp-content/uploads/2021/10/https___specials-images.forbesimg.com_imageserve_6123a4aee3b7ad2564e3c8cd_Photos-of-featured-members-_960x0-300x205.jpg</v>
      </c>
      <c r="F1134" s="1" t="s">
        <v>1004</v>
      </c>
      <c r="G1134" s="1">
        <v>200.0</v>
      </c>
      <c r="H1134" s="1" t="s">
        <v>966</v>
      </c>
      <c r="I1134" s="1" t="s">
        <v>967</v>
      </c>
      <c r="L1134" s="1">
        <v>0.0</v>
      </c>
      <c r="M1134" s="1">
        <v>0.0</v>
      </c>
      <c r="O1134" s="1">
        <v>0.0</v>
      </c>
      <c r="P1134" s="1">
        <v>0.0</v>
      </c>
      <c r="R1134" s="1">
        <v>0.0</v>
      </c>
      <c r="S1134" s="1">
        <v>0.0</v>
      </c>
      <c r="U1134" s="1">
        <v>0.0</v>
      </c>
      <c r="W1134" s="1">
        <v>0.0</v>
      </c>
      <c r="Y1134" s="1">
        <v>0.0</v>
      </c>
      <c r="AA1134" s="1">
        <v>0.0</v>
      </c>
      <c r="AC1134" s="1">
        <v>0.0</v>
      </c>
      <c r="AM1134" s="1">
        <v>17992.0</v>
      </c>
      <c r="AN1134" s="1">
        <v>17992.0</v>
      </c>
      <c r="AO1134" s="1">
        <v>17992.0</v>
      </c>
      <c r="AP1134" s="1">
        <v>6.892</v>
      </c>
      <c r="AR1134" s="1">
        <v>0.0</v>
      </c>
      <c r="AW1134" s="1">
        <v>0.0</v>
      </c>
      <c r="AX1134" s="1">
        <v>3.0</v>
      </c>
      <c r="AY1134" s="1">
        <v>4.0</v>
      </c>
      <c r="BA1134" s="1">
        <v>0.0</v>
      </c>
      <c r="BB1134" s="1">
        <v>0.0</v>
      </c>
      <c r="BC1134" s="1">
        <v>0.0</v>
      </c>
      <c r="BD1134" s="1">
        <v>0.0</v>
      </c>
      <c r="BE1134" s="1">
        <v>0.0</v>
      </c>
      <c r="BF1134" s="1">
        <v>0.0</v>
      </c>
      <c r="BG1134" s="1">
        <v>0.0</v>
      </c>
      <c r="BH1134" s="1">
        <v>0.0</v>
      </c>
      <c r="BI1134" s="1">
        <v>0.0</v>
      </c>
      <c r="BJ1134" s="1">
        <v>0.0</v>
      </c>
      <c r="BP1134" s="1">
        <v>0.242</v>
      </c>
      <c r="BQ1134" s="1" t="s">
        <v>4183</v>
      </c>
      <c r="BV1134" s="1">
        <v>1.1</v>
      </c>
      <c r="EQ1134" s="9" t="s">
        <v>4182</v>
      </c>
      <c r="ER1134" s="21">
        <v>46045.300150462965</v>
      </c>
    </row>
    <row r="1135">
      <c r="A1135" s="9" t="s">
        <v>4184</v>
      </c>
      <c r="B1135" s="20" t="str">
        <f>IFERROR(__xludf.DUMMYFUNCTION("REGEXREPLACE(A1135, ""^https?://[^/]+"", """")"),"/advisors/paul-mitchell/")</f>
        <v>/advisors/paul-mitchell/</v>
      </c>
      <c r="C1135" s="1" t="s">
        <v>4185</v>
      </c>
      <c r="F1135" s="1" t="s">
        <v>965</v>
      </c>
      <c r="G1135" s="1">
        <v>200.0</v>
      </c>
      <c r="H1135" s="1" t="s">
        <v>966</v>
      </c>
      <c r="I1135" s="1" t="s">
        <v>967</v>
      </c>
      <c r="K1135" s="1" t="s">
        <v>4186</v>
      </c>
      <c r="L1135" s="1">
        <v>38.0</v>
      </c>
      <c r="M1135" s="1">
        <v>332.0</v>
      </c>
      <c r="O1135" s="1">
        <v>0.0</v>
      </c>
      <c r="P1135" s="1">
        <v>0.0</v>
      </c>
      <c r="Q1135" s="1" t="s">
        <v>4187</v>
      </c>
      <c r="R1135" s="1">
        <v>151.0</v>
      </c>
      <c r="S1135" s="1">
        <v>919.0</v>
      </c>
      <c r="U1135" s="1">
        <v>0.0</v>
      </c>
      <c r="V1135" s="1" t="s">
        <v>4185</v>
      </c>
      <c r="W1135" s="1">
        <v>18.0</v>
      </c>
      <c r="Y1135" s="1">
        <v>0.0</v>
      </c>
      <c r="AA1135" s="1">
        <v>0.0</v>
      </c>
      <c r="AC1135" s="1">
        <v>0.0</v>
      </c>
      <c r="AD1135" s="1" t="s">
        <v>971</v>
      </c>
      <c r="AG1135" s="9" t="s">
        <v>4184</v>
      </c>
      <c r="AM1135" s="1">
        <v>149995.0</v>
      </c>
      <c r="AN1135" s="1">
        <v>29513.0</v>
      </c>
      <c r="AO1135" s="1">
        <v>29513.0</v>
      </c>
      <c r="AP1135" s="1">
        <v>11.306</v>
      </c>
      <c r="AR1135" s="1">
        <v>722.0</v>
      </c>
      <c r="AS1135" s="1">
        <v>116.0</v>
      </c>
      <c r="AT1135" s="1">
        <v>6.224</v>
      </c>
      <c r="AU1135" s="1">
        <v>56.744</v>
      </c>
      <c r="AV1135" s="1" t="s">
        <v>972</v>
      </c>
      <c r="AW1135" s="1">
        <v>4.66</v>
      </c>
      <c r="AX1135" s="1">
        <v>3.0</v>
      </c>
      <c r="AY1135" s="1">
        <v>2.0</v>
      </c>
      <c r="AZ1135" s="1">
        <v>1.0</v>
      </c>
      <c r="BA1135" s="1">
        <v>1.0</v>
      </c>
      <c r="BB1135" s="1">
        <v>1.0</v>
      </c>
      <c r="BC1135" s="1">
        <v>0.0</v>
      </c>
      <c r="BD1135" s="1">
        <v>0.13</v>
      </c>
      <c r="BE1135" s="1">
        <v>122.0</v>
      </c>
      <c r="BF1135" s="1">
        <v>42.0</v>
      </c>
      <c r="BG1135" s="1">
        <v>0.0</v>
      </c>
      <c r="BH1135" s="1">
        <v>17.0</v>
      </c>
      <c r="BI1135" s="1">
        <v>9.0</v>
      </c>
      <c r="BJ1135" s="1">
        <v>0.0</v>
      </c>
      <c r="BO1135" s="1" t="s">
        <v>4188</v>
      </c>
      <c r="BP1135" s="1">
        <v>0.918</v>
      </c>
      <c r="BU1135" s="1" t="s">
        <v>974</v>
      </c>
      <c r="BV1135" s="1">
        <v>1.1</v>
      </c>
      <c r="EQ1135" s="9" t="s">
        <v>4184</v>
      </c>
      <c r="ER1135" s="21">
        <v>46045.30013888889</v>
      </c>
    </row>
    <row r="1136">
      <c r="A1136" s="9" t="s">
        <v>4189</v>
      </c>
      <c r="B1136" s="20" t="str">
        <f>IFERROR(__xludf.DUMMYFUNCTION("REGEXREPLACE(A1136, ""^https?://[^/]+"", """")"),"/advisors/Dan-Mahony/")</f>
        <v>/advisors/Dan-Mahony/</v>
      </c>
      <c r="C1136" s="1" t="s">
        <v>4190</v>
      </c>
      <c r="F1136" s="1" t="s">
        <v>965</v>
      </c>
      <c r="G1136" s="1">
        <v>200.0</v>
      </c>
      <c r="H1136" s="1" t="s">
        <v>966</v>
      </c>
      <c r="I1136" s="1" t="s">
        <v>1214</v>
      </c>
      <c r="J1136" s="1" t="s">
        <v>1215</v>
      </c>
      <c r="K1136" s="1" t="s">
        <v>4191</v>
      </c>
      <c r="L1136" s="1">
        <v>35.0</v>
      </c>
      <c r="M1136" s="1">
        <v>326.0</v>
      </c>
      <c r="O1136" s="1">
        <v>0.0</v>
      </c>
      <c r="P1136" s="1">
        <v>0.0</v>
      </c>
      <c r="Q1136" s="1" t="s">
        <v>4192</v>
      </c>
      <c r="R1136" s="1">
        <v>150.0</v>
      </c>
      <c r="S1136" s="1">
        <v>960.0</v>
      </c>
      <c r="U1136" s="1">
        <v>0.0</v>
      </c>
      <c r="V1136" s="1" t="s">
        <v>4190</v>
      </c>
      <c r="W1136" s="1">
        <v>15.0</v>
      </c>
      <c r="Y1136" s="1">
        <v>0.0</v>
      </c>
      <c r="AA1136" s="1">
        <v>0.0</v>
      </c>
      <c r="AC1136" s="1">
        <v>0.0</v>
      </c>
      <c r="AD1136" s="1" t="s">
        <v>971</v>
      </c>
      <c r="AG1136" s="9" t="s">
        <v>4193</v>
      </c>
      <c r="AM1136" s="1">
        <v>149044.0</v>
      </c>
      <c r="AN1136" s="1">
        <v>29102.0</v>
      </c>
      <c r="AO1136" s="1">
        <v>29102.0</v>
      </c>
      <c r="AP1136" s="1">
        <v>11.148</v>
      </c>
      <c r="AR1136" s="1">
        <v>599.0</v>
      </c>
      <c r="AS1136" s="1">
        <v>101.0</v>
      </c>
      <c r="AT1136" s="1">
        <v>5.931</v>
      </c>
      <c r="AU1136" s="1">
        <v>58.026</v>
      </c>
      <c r="AV1136" s="1" t="s">
        <v>972</v>
      </c>
      <c r="AW1136" s="1">
        <v>4.118</v>
      </c>
      <c r="AX1136" s="1">
        <v>3.0</v>
      </c>
      <c r="AY1136" s="1">
        <v>2.0</v>
      </c>
      <c r="BA1136" s="1">
        <v>1.0</v>
      </c>
      <c r="BB1136" s="1">
        <v>1.0</v>
      </c>
      <c r="BC1136" s="1">
        <v>0.0</v>
      </c>
      <c r="BD1136" s="1">
        <v>0.13</v>
      </c>
      <c r="BE1136" s="1">
        <v>122.0</v>
      </c>
      <c r="BF1136" s="1">
        <v>42.0</v>
      </c>
      <c r="BG1136" s="1">
        <v>0.0</v>
      </c>
      <c r="BH1136" s="1">
        <v>17.0</v>
      </c>
      <c r="BI1136" s="1">
        <v>9.0</v>
      </c>
      <c r="BJ1136" s="1">
        <v>0.0</v>
      </c>
      <c r="BO1136" s="1" t="s">
        <v>4194</v>
      </c>
      <c r="BP1136" s="1">
        <v>0.922</v>
      </c>
      <c r="BU1136" s="1" t="s">
        <v>974</v>
      </c>
      <c r="BV1136" s="1">
        <v>1.1</v>
      </c>
      <c r="EQ1136" s="9" t="s">
        <v>4189</v>
      </c>
      <c r="ER1136" s="21">
        <v>46045.30013888889</v>
      </c>
    </row>
    <row r="1137">
      <c r="A1137" s="9" t="s">
        <v>4195</v>
      </c>
      <c r="B1137" s="20" t="str">
        <f>IFERROR(__xludf.DUMMYFUNCTION("REGEXREPLACE(A1137, ""^https?://[^/]+"", """")"),"/wp-content/uploads/2025/02/Presidents-Circle-Winners.jpg")</f>
        <v>/wp-content/uploads/2025/02/Presidents-Circle-Winners.jpg</v>
      </c>
      <c r="F1137" s="1" t="s">
        <v>1004</v>
      </c>
      <c r="G1137" s="1">
        <v>200.0</v>
      </c>
      <c r="H1137" s="1" t="s">
        <v>966</v>
      </c>
      <c r="I1137" s="1" t="s">
        <v>967</v>
      </c>
      <c r="L1137" s="1">
        <v>0.0</v>
      </c>
      <c r="M1137" s="1">
        <v>0.0</v>
      </c>
      <c r="O1137" s="1">
        <v>0.0</v>
      </c>
      <c r="P1137" s="1">
        <v>0.0</v>
      </c>
      <c r="R1137" s="1">
        <v>0.0</v>
      </c>
      <c r="S1137" s="1">
        <v>0.0</v>
      </c>
      <c r="U1137" s="1">
        <v>0.0</v>
      </c>
      <c r="W1137" s="1">
        <v>0.0</v>
      </c>
      <c r="Y1137" s="1">
        <v>0.0</v>
      </c>
      <c r="AA1137" s="1">
        <v>0.0</v>
      </c>
      <c r="AC1137" s="1">
        <v>0.0</v>
      </c>
      <c r="AM1137" s="1">
        <v>320748.0</v>
      </c>
      <c r="AN1137" s="1">
        <v>320748.0</v>
      </c>
      <c r="AO1137" s="1">
        <v>320748.0</v>
      </c>
      <c r="AP1137" s="1">
        <v>122.872</v>
      </c>
      <c r="AR1137" s="1">
        <v>0.0</v>
      </c>
      <c r="AW1137" s="1">
        <v>0.0</v>
      </c>
      <c r="AX1137" s="1">
        <v>3.0</v>
      </c>
      <c r="AY1137" s="1">
        <v>4.0</v>
      </c>
      <c r="BA1137" s="1">
        <v>0.0</v>
      </c>
      <c r="BB1137" s="1">
        <v>0.0</v>
      </c>
      <c r="BC1137" s="1">
        <v>0.0</v>
      </c>
      <c r="BD1137" s="1">
        <v>0.0</v>
      </c>
      <c r="BE1137" s="1">
        <v>0.0</v>
      </c>
      <c r="BF1137" s="1">
        <v>0.0</v>
      </c>
      <c r="BG1137" s="1">
        <v>0.0</v>
      </c>
      <c r="BH1137" s="1">
        <v>0.0</v>
      </c>
      <c r="BI1137" s="1">
        <v>0.0</v>
      </c>
      <c r="BJ1137" s="1">
        <v>0.0</v>
      </c>
      <c r="BP1137" s="1">
        <v>0.263</v>
      </c>
      <c r="BQ1137" s="1" t="s">
        <v>4196</v>
      </c>
      <c r="BV1137" s="1">
        <v>1.1</v>
      </c>
      <c r="EQ1137" s="9" t="s">
        <v>4195</v>
      </c>
      <c r="ER1137" s="21">
        <v>46045.300150462965</v>
      </c>
    </row>
    <row r="1138">
      <c r="A1138" s="9" t="s">
        <v>4197</v>
      </c>
      <c r="B1138" s="20" t="str">
        <f>IFERROR(__xludf.DUMMYFUNCTION("REGEXREPLACE(A1138, ""^https?://[^/]+"", """")"),"/wp-content/themes/salesxceleratione/assets/css/style.css?ver=1769123423")</f>
        <v>/wp-content/themes/salesxceleratione/assets/css/style.css?ver=1769123423</v>
      </c>
      <c r="F1138" s="1" t="s">
        <v>1016</v>
      </c>
      <c r="G1138" s="1">
        <v>200.0</v>
      </c>
      <c r="H1138" s="1" t="s">
        <v>966</v>
      </c>
      <c r="I1138" s="1" t="s">
        <v>967</v>
      </c>
      <c r="L1138" s="1">
        <v>0.0</v>
      </c>
      <c r="M1138" s="1">
        <v>0.0</v>
      </c>
      <c r="O1138" s="1">
        <v>0.0</v>
      </c>
      <c r="P1138" s="1">
        <v>0.0</v>
      </c>
      <c r="R1138" s="1">
        <v>0.0</v>
      </c>
      <c r="S1138" s="1">
        <v>0.0</v>
      </c>
      <c r="U1138" s="1">
        <v>0.0</v>
      </c>
      <c r="W1138" s="1">
        <v>0.0</v>
      </c>
      <c r="Y1138" s="1">
        <v>0.0</v>
      </c>
      <c r="AA1138" s="1">
        <v>0.0</v>
      </c>
      <c r="AC1138" s="1">
        <v>0.0</v>
      </c>
      <c r="AM1138" s="1">
        <v>17704.0</v>
      </c>
      <c r="AN1138" s="1">
        <v>17704.0</v>
      </c>
      <c r="AO1138" s="1">
        <v>17704.0</v>
      </c>
      <c r="AP1138" s="1">
        <v>6.782</v>
      </c>
      <c r="AR1138" s="1">
        <v>0.0</v>
      </c>
      <c r="AW1138" s="1">
        <v>0.0</v>
      </c>
      <c r="AX1138" s="1">
        <v>3.0</v>
      </c>
      <c r="AY1138" s="1">
        <v>5.0</v>
      </c>
      <c r="BA1138" s="1">
        <v>0.0</v>
      </c>
      <c r="BB1138" s="1">
        <v>0.0</v>
      </c>
      <c r="BC1138" s="1">
        <v>0.0</v>
      </c>
      <c r="BD1138" s="1">
        <v>0.0</v>
      </c>
      <c r="BE1138" s="1">
        <v>0.0</v>
      </c>
      <c r="BF1138" s="1">
        <v>0.0</v>
      </c>
      <c r="BG1138" s="1">
        <v>0.0</v>
      </c>
      <c r="BH1138" s="1">
        <v>0.0</v>
      </c>
      <c r="BI1138" s="1">
        <v>0.0</v>
      </c>
      <c r="BJ1138" s="1">
        <v>0.0</v>
      </c>
      <c r="BP1138" s="1">
        <v>0.265</v>
      </c>
      <c r="BQ1138" s="1" t="s">
        <v>4198</v>
      </c>
      <c r="BV1138" s="1">
        <v>1.1</v>
      </c>
      <c r="EQ1138" s="9" t="s">
        <v>4197</v>
      </c>
      <c r="ER1138" s="21">
        <v>46045.300162037034</v>
      </c>
    </row>
    <row r="1139">
      <c r="A1139" s="9" t="s">
        <v>4199</v>
      </c>
      <c r="B1139" s="20" t="str">
        <f>IFERROR(__xludf.DUMMYFUNCTION("REGEXREPLACE(A1139, ""^https?://[^/]+"", """")"),"/wp-content/uploads/2021/12/New-Advisors-1.02.55-PMa.jpg")</f>
        <v>/wp-content/uploads/2021/12/New-Advisors-1.02.55-PMa.jpg</v>
      </c>
      <c r="F1139" s="1" t="s">
        <v>1004</v>
      </c>
      <c r="G1139" s="1">
        <v>200.0</v>
      </c>
      <c r="H1139" s="1" t="s">
        <v>966</v>
      </c>
      <c r="I1139" s="1" t="s">
        <v>967</v>
      </c>
      <c r="L1139" s="1">
        <v>0.0</v>
      </c>
      <c r="M1139" s="1">
        <v>0.0</v>
      </c>
      <c r="O1139" s="1">
        <v>0.0</v>
      </c>
      <c r="P1139" s="1">
        <v>0.0</v>
      </c>
      <c r="R1139" s="1">
        <v>0.0</v>
      </c>
      <c r="S1139" s="1">
        <v>0.0</v>
      </c>
      <c r="U1139" s="1">
        <v>0.0</v>
      </c>
      <c r="W1139" s="1">
        <v>0.0</v>
      </c>
      <c r="Y1139" s="1">
        <v>0.0</v>
      </c>
      <c r="AA1139" s="1">
        <v>0.0</v>
      </c>
      <c r="AC1139" s="1">
        <v>0.0</v>
      </c>
      <c r="AM1139" s="1">
        <v>104112.0</v>
      </c>
      <c r="AN1139" s="1">
        <v>104112.0</v>
      </c>
      <c r="AO1139" s="1">
        <v>104112.0</v>
      </c>
      <c r="AP1139" s="1">
        <v>39.883</v>
      </c>
      <c r="AR1139" s="1">
        <v>0.0</v>
      </c>
      <c r="AW1139" s="1">
        <v>0.0</v>
      </c>
      <c r="AX1139" s="1">
        <v>3.0</v>
      </c>
      <c r="AY1139" s="1">
        <v>4.0</v>
      </c>
      <c r="BA1139" s="1">
        <v>0.0</v>
      </c>
      <c r="BB1139" s="1">
        <v>0.0</v>
      </c>
      <c r="BC1139" s="1">
        <v>0.0</v>
      </c>
      <c r="BD1139" s="1">
        <v>0.0</v>
      </c>
      <c r="BE1139" s="1">
        <v>0.0</v>
      </c>
      <c r="BF1139" s="1">
        <v>0.0</v>
      </c>
      <c r="BG1139" s="1">
        <v>0.0</v>
      </c>
      <c r="BH1139" s="1">
        <v>0.0</v>
      </c>
      <c r="BI1139" s="1">
        <v>0.0</v>
      </c>
      <c r="BJ1139" s="1">
        <v>0.0</v>
      </c>
      <c r="BP1139" s="1">
        <v>0.361</v>
      </c>
      <c r="BQ1139" s="1" t="s">
        <v>4200</v>
      </c>
      <c r="BV1139" s="1">
        <v>1.1</v>
      </c>
      <c r="EQ1139" s="9" t="s">
        <v>4199</v>
      </c>
      <c r="ER1139" s="21">
        <v>46045.300162037034</v>
      </c>
    </row>
    <row r="1140">
      <c r="A1140" s="9" t="s">
        <v>4201</v>
      </c>
      <c r="B1140" s="20" t="str">
        <f>IFERROR(__xludf.DUMMYFUNCTION("REGEXREPLACE(A1140, ""^https?://[^/]+"", """")"),"/advisors/mike-maanum/")</f>
        <v>/advisors/mike-maanum/</v>
      </c>
      <c r="C1140" s="1" t="s">
        <v>4202</v>
      </c>
      <c r="F1140" s="1" t="s">
        <v>965</v>
      </c>
      <c r="G1140" s="1">
        <v>200.0</v>
      </c>
      <c r="H1140" s="1" t="s">
        <v>966</v>
      </c>
      <c r="I1140" s="1" t="s">
        <v>967</v>
      </c>
      <c r="K1140" s="1" t="s">
        <v>4203</v>
      </c>
      <c r="L1140" s="1">
        <v>69.0</v>
      </c>
      <c r="M1140" s="1">
        <v>640.0</v>
      </c>
      <c r="O1140" s="1">
        <v>0.0</v>
      </c>
      <c r="P1140" s="1">
        <v>0.0</v>
      </c>
      <c r="Q1140" s="1" t="s">
        <v>4204</v>
      </c>
      <c r="R1140" s="1">
        <v>165.0</v>
      </c>
      <c r="S1140" s="1">
        <v>1015.0</v>
      </c>
      <c r="U1140" s="1">
        <v>0.0</v>
      </c>
      <c r="V1140" s="1" t="s">
        <v>4202</v>
      </c>
      <c r="W1140" s="1">
        <v>11.0</v>
      </c>
      <c r="Y1140" s="1">
        <v>0.0</v>
      </c>
      <c r="AA1140" s="1">
        <v>0.0</v>
      </c>
      <c r="AC1140" s="1">
        <v>0.0</v>
      </c>
      <c r="AD1140" s="1" t="s">
        <v>971</v>
      </c>
      <c r="AG1140" s="9" t="s">
        <v>4201</v>
      </c>
      <c r="AM1140" s="1">
        <v>149451.0</v>
      </c>
      <c r="AN1140" s="1">
        <v>29228.0</v>
      </c>
      <c r="AO1140" s="1">
        <v>29228.0</v>
      </c>
      <c r="AP1140" s="1">
        <v>11.197</v>
      </c>
      <c r="AR1140" s="1">
        <v>627.0</v>
      </c>
      <c r="AS1140" s="1">
        <v>102.0</v>
      </c>
      <c r="AT1140" s="1">
        <v>6.147</v>
      </c>
      <c r="AU1140" s="1">
        <v>60.675</v>
      </c>
      <c r="AV1140" s="1" t="s">
        <v>990</v>
      </c>
      <c r="AW1140" s="1">
        <v>4.206</v>
      </c>
      <c r="AX1140" s="1">
        <v>3.0</v>
      </c>
      <c r="AY1140" s="1">
        <v>2.0</v>
      </c>
      <c r="AZ1140" s="1">
        <v>1.0</v>
      </c>
      <c r="BA1140" s="1">
        <v>1.0</v>
      </c>
      <c r="BB1140" s="1">
        <v>1.0</v>
      </c>
      <c r="BC1140" s="1">
        <v>0.0</v>
      </c>
      <c r="BD1140" s="1">
        <v>0.13</v>
      </c>
      <c r="BE1140" s="1">
        <v>122.0</v>
      </c>
      <c r="BF1140" s="1">
        <v>42.0</v>
      </c>
      <c r="BG1140" s="1">
        <v>0.0</v>
      </c>
      <c r="BH1140" s="1">
        <v>17.0</v>
      </c>
      <c r="BI1140" s="1">
        <v>9.0</v>
      </c>
      <c r="BJ1140" s="1">
        <v>0.0</v>
      </c>
      <c r="BO1140" s="1" t="s">
        <v>4205</v>
      </c>
      <c r="BP1140" s="1">
        <v>1.06</v>
      </c>
      <c r="BU1140" s="1" t="s">
        <v>974</v>
      </c>
      <c r="BV1140" s="1">
        <v>1.1</v>
      </c>
      <c r="EQ1140" s="9" t="s">
        <v>4201</v>
      </c>
      <c r="ER1140" s="21">
        <v>46045.300150462965</v>
      </c>
    </row>
    <row r="1141">
      <c r="A1141" s="9" t="s">
        <v>4206</v>
      </c>
      <c r="B1141" s="20" t="str">
        <f>IFERROR(__xludf.DUMMYFUNCTION("REGEXREPLACE(A1141, ""^https?://[^/]+"", """")"),"/wp-content/uploads/2016/11/Photo-Petroleum-Club-11-8-16-2-scaled-1.jpg")</f>
        <v>/wp-content/uploads/2016/11/Photo-Petroleum-Club-11-8-16-2-scaled-1.jpg</v>
      </c>
      <c r="F1141" s="1" t="s">
        <v>1004</v>
      </c>
      <c r="G1141" s="1">
        <v>200.0</v>
      </c>
      <c r="H1141" s="1" t="s">
        <v>966</v>
      </c>
      <c r="I1141" s="1" t="s">
        <v>967</v>
      </c>
      <c r="L1141" s="1">
        <v>0.0</v>
      </c>
      <c r="M1141" s="1">
        <v>0.0</v>
      </c>
      <c r="O1141" s="1">
        <v>0.0</v>
      </c>
      <c r="P1141" s="1">
        <v>0.0</v>
      </c>
      <c r="R1141" s="1">
        <v>0.0</v>
      </c>
      <c r="S1141" s="1">
        <v>0.0</v>
      </c>
      <c r="U1141" s="1">
        <v>0.0</v>
      </c>
      <c r="W1141" s="1">
        <v>0.0</v>
      </c>
      <c r="Y1141" s="1">
        <v>0.0</v>
      </c>
      <c r="AA1141" s="1">
        <v>0.0</v>
      </c>
      <c r="AC1141" s="1">
        <v>0.0</v>
      </c>
      <c r="AM1141" s="1">
        <v>248599.0</v>
      </c>
      <c r="AN1141" s="1">
        <v>248599.0</v>
      </c>
      <c r="AO1141" s="1">
        <v>248599.0</v>
      </c>
      <c r="AP1141" s="1">
        <v>95.234</v>
      </c>
      <c r="AR1141" s="1">
        <v>0.0</v>
      </c>
      <c r="AW1141" s="1">
        <v>0.0</v>
      </c>
      <c r="AX1141" s="1">
        <v>3.0</v>
      </c>
      <c r="AY1141" s="1">
        <v>4.0</v>
      </c>
      <c r="BA1141" s="1">
        <v>0.0</v>
      </c>
      <c r="BB1141" s="1">
        <v>0.0</v>
      </c>
      <c r="BC1141" s="1">
        <v>0.0</v>
      </c>
      <c r="BD1141" s="1">
        <v>0.0</v>
      </c>
      <c r="BE1141" s="1">
        <v>0.0</v>
      </c>
      <c r="BF1141" s="1">
        <v>0.0</v>
      </c>
      <c r="BG1141" s="1">
        <v>0.0</v>
      </c>
      <c r="BH1141" s="1">
        <v>0.0</v>
      </c>
      <c r="BI1141" s="1">
        <v>0.0</v>
      </c>
      <c r="BJ1141" s="1">
        <v>0.0</v>
      </c>
      <c r="BP1141" s="1">
        <v>0.272</v>
      </c>
      <c r="BQ1141" s="1" t="s">
        <v>4207</v>
      </c>
      <c r="BV1141" s="1">
        <v>1.1</v>
      </c>
      <c r="EQ1141" s="9" t="s">
        <v>4206</v>
      </c>
      <c r="ER1141" s="21">
        <v>46045.30017361111</v>
      </c>
    </row>
    <row r="1142">
      <c r="A1142" s="9" t="s">
        <v>4208</v>
      </c>
      <c r="B1142" s="20" t="str">
        <f>IFERROR(__xludf.DUMMYFUNCTION("REGEXREPLACE(A1142, ""^https?://[^/]+"", """")"),"/wp-content/uploads/2023/07/SX-AB.jpg")</f>
        <v>/wp-content/uploads/2023/07/SX-AB.jpg</v>
      </c>
      <c r="F1142" s="1" t="s">
        <v>1004</v>
      </c>
      <c r="G1142" s="1">
        <v>200.0</v>
      </c>
      <c r="H1142" s="1" t="s">
        <v>966</v>
      </c>
      <c r="I1142" s="1" t="s">
        <v>967</v>
      </c>
      <c r="L1142" s="1">
        <v>0.0</v>
      </c>
      <c r="M1142" s="1">
        <v>0.0</v>
      </c>
      <c r="O1142" s="1">
        <v>0.0</v>
      </c>
      <c r="P1142" s="1">
        <v>0.0</v>
      </c>
      <c r="R1142" s="1">
        <v>0.0</v>
      </c>
      <c r="S1142" s="1">
        <v>0.0</v>
      </c>
      <c r="U1142" s="1">
        <v>0.0</v>
      </c>
      <c r="W1142" s="1">
        <v>0.0</v>
      </c>
      <c r="Y1142" s="1">
        <v>0.0</v>
      </c>
      <c r="AA1142" s="1">
        <v>0.0</v>
      </c>
      <c r="AC1142" s="1">
        <v>0.0</v>
      </c>
      <c r="AM1142" s="1">
        <v>53931.0</v>
      </c>
      <c r="AN1142" s="1">
        <v>53931.0</v>
      </c>
      <c r="AO1142" s="1">
        <v>53931.0</v>
      </c>
      <c r="AP1142" s="1">
        <v>20.66</v>
      </c>
      <c r="AR1142" s="1">
        <v>0.0</v>
      </c>
      <c r="AW1142" s="1">
        <v>0.0</v>
      </c>
      <c r="AX1142" s="1">
        <v>3.0</v>
      </c>
      <c r="AY1142" s="1">
        <v>4.0</v>
      </c>
      <c r="BA1142" s="1">
        <v>0.0</v>
      </c>
      <c r="BB1142" s="1">
        <v>0.0</v>
      </c>
      <c r="BC1142" s="1">
        <v>0.0</v>
      </c>
      <c r="BD1142" s="1">
        <v>0.0</v>
      </c>
      <c r="BE1142" s="1">
        <v>0.0</v>
      </c>
      <c r="BF1142" s="1">
        <v>0.0</v>
      </c>
      <c r="BG1142" s="1">
        <v>0.0</v>
      </c>
      <c r="BH1142" s="1">
        <v>0.0</v>
      </c>
      <c r="BI1142" s="1">
        <v>0.0</v>
      </c>
      <c r="BJ1142" s="1">
        <v>0.0</v>
      </c>
      <c r="BP1142" s="1">
        <v>0.297</v>
      </c>
      <c r="BQ1142" s="1" t="s">
        <v>4209</v>
      </c>
      <c r="BV1142" s="1">
        <v>1.1</v>
      </c>
      <c r="EQ1142" s="9" t="s">
        <v>4208</v>
      </c>
      <c r="ER1142" s="21">
        <v>46045.30017361111</v>
      </c>
    </row>
    <row r="1143">
      <c r="A1143" s="9" t="s">
        <v>4210</v>
      </c>
      <c r="B1143" s="20" t="str">
        <f>IFERROR(__xludf.DUMMYFUNCTION("REGEXREPLACE(A1143, ""^https?://[^/]+"", """")"),"/wp-content/themes/salesxceleratione/assets/css/style.css?ver=1769123424")</f>
        <v>/wp-content/themes/salesxceleratione/assets/css/style.css?ver=1769123424</v>
      </c>
      <c r="F1143" s="1" t="s">
        <v>1016</v>
      </c>
      <c r="G1143" s="1">
        <v>200.0</v>
      </c>
      <c r="H1143" s="1" t="s">
        <v>966</v>
      </c>
      <c r="I1143" s="1" t="s">
        <v>967</v>
      </c>
      <c r="L1143" s="1">
        <v>0.0</v>
      </c>
      <c r="M1143" s="1">
        <v>0.0</v>
      </c>
      <c r="O1143" s="1">
        <v>0.0</v>
      </c>
      <c r="P1143" s="1">
        <v>0.0</v>
      </c>
      <c r="R1143" s="1">
        <v>0.0</v>
      </c>
      <c r="S1143" s="1">
        <v>0.0</v>
      </c>
      <c r="U1143" s="1">
        <v>0.0</v>
      </c>
      <c r="W1143" s="1">
        <v>0.0</v>
      </c>
      <c r="Y1143" s="1">
        <v>0.0</v>
      </c>
      <c r="AA1143" s="1">
        <v>0.0</v>
      </c>
      <c r="AC1143" s="1">
        <v>0.0</v>
      </c>
      <c r="AM1143" s="1">
        <v>17704.0</v>
      </c>
      <c r="AN1143" s="1">
        <v>17704.0</v>
      </c>
      <c r="AO1143" s="1">
        <v>17704.0</v>
      </c>
      <c r="AP1143" s="1">
        <v>6.782</v>
      </c>
      <c r="AR1143" s="1">
        <v>0.0</v>
      </c>
      <c r="AW1143" s="1">
        <v>0.0</v>
      </c>
      <c r="AX1143" s="1">
        <v>3.0</v>
      </c>
      <c r="AY1143" s="1">
        <v>5.0</v>
      </c>
      <c r="BA1143" s="1">
        <v>0.0</v>
      </c>
      <c r="BB1143" s="1">
        <v>0.0</v>
      </c>
      <c r="BC1143" s="1">
        <v>0.0</v>
      </c>
      <c r="BD1143" s="1">
        <v>0.0</v>
      </c>
      <c r="BE1143" s="1">
        <v>0.0</v>
      </c>
      <c r="BF1143" s="1">
        <v>0.0</v>
      </c>
      <c r="BG1143" s="1">
        <v>0.0</v>
      </c>
      <c r="BH1143" s="1">
        <v>0.0</v>
      </c>
      <c r="BI1143" s="1">
        <v>0.0</v>
      </c>
      <c r="BJ1143" s="1">
        <v>0.0</v>
      </c>
      <c r="BP1143" s="1">
        <v>0.276</v>
      </c>
      <c r="BQ1143" s="1" t="s">
        <v>4211</v>
      </c>
      <c r="BV1143" s="1">
        <v>1.1</v>
      </c>
      <c r="EQ1143" s="9" t="s">
        <v>4210</v>
      </c>
      <c r="ER1143" s="21">
        <v>46045.30017361111</v>
      </c>
    </row>
    <row r="1144">
      <c r="A1144" s="9" t="s">
        <v>4212</v>
      </c>
      <c r="B1144" s="20" t="str">
        <f>IFERROR(__xludf.DUMMYFUNCTION("REGEXREPLACE(A1144, ""^https?://[^/]+"", """")"),"/sales-agility-assessment-1-0-kcrandall")</f>
        <v>/sales-agility-assessment-1-0-kcrandall</v>
      </c>
      <c r="F1144" s="1" t="s">
        <v>965</v>
      </c>
      <c r="G1144" s="1">
        <v>301.0</v>
      </c>
      <c r="H1144" s="1" t="s">
        <v>1304</v>
      </c>
      <c r="I1144" s="1" t="s">
        <v>1214</v>
      </c>
      <c r="J1144" s="1" t="s">
        <v>1305</v>
      </c>
      <c r="L1144" s="1">
        <v>0.0</v>
      </c>
      <c r="M1144" s="1">
        <v>0.0</v>
      </c>
      <c r="O1144" s="1">
        <v>0.0</v>
      </c>
      <c r="P1144" s="1">
        <v>0.0</v>
      </c>
      <c r="R1144" s="1">
        <v>0.0</v>
      </c>
      <c r="S1144" s="1">
        <v>0.0</v>
      </c>
      <c r="U1144" s="1">
        <v>0.0</v>
      </c>
      <c r="W1144" s="1">
        <v>0.0</v>
      </c>
      <c r="Y1144" s="1">
        <v>0.0</v>
      </c>
      <c r="AA1144" s="1">
        <v>0.0</v>
      </c>
      <c r="AC1144" s="1">
        <v>0.0</v>
      </c>
      <c r="AM1144" s="1">
        <v>0.0</v>
      </c>
      <c r="AN1144" s="1">
        <v>0.0</v>
      </c>
      <c r="AO1144" s="1">
        <v>0.0</v>
      </c>
      <c r="AP1144" s="1">
        <v>0.0</v>
      </c>
      <c r="AR1144" s="1">
        <v>0.0</v>
      </c>
      <c r="AW1144" s="1">
        <v>0.0</v>
      </c>
      <c r="AX1144" s="1">
        <v>3.0</v>
      </c>
      <c r="AY1144" s="1">
        <v>0.0</v>
      </c>
      <c r="BA1144" s="1">
        <v>1.0</v>
      </c>
      <c r="BB1144" s="1">
        <v>1.0</v>
      </c>
      <c r="BC1144" s="1">
        <v>0.0</v>
      </c>
      <c r="BD1144" s="1">
        <v>0.13</v>
      </c>
      <c r="BE1144" s="1">
        <v>0.0</v>
      </c>
      <c r="BF1144" s="1">
        <v>0.0</v>
      </c>
      <c r="BG1144" s="1">
        <v>0.0</v>
      </c>
      <c r="BH1144" s="1">
        <v>0.0</v>
      </c>
      <c r="BI1144" s="1">
        <v>0.0</v>
      </c>
      <c r="BJ1144" s="1">
        <v>0.0</v>
      </c>
      <c r="BP1144" s="1">
        <v>0.564</v>
      </c>
      <c r="BR1144" s="9" t="s">
        <v>1380</v>
      </c>
      <c r="BS1144" s="1" t="s">
        <v>1307</v>
      </c>
      <c r="BV1144" s="1">
        <v>1.1</v>
      </c>
      <c r="EQ1144" s="9" t="s">
        <v>4212</v>
      </c>
      <c r="ER1144" s="21">
        <v>46045.30017361111</v>
      </c>
    </row>
    <row r="1145">
      <c r="A1145" s="9" t="s">
        <v>4213</v>
      </c>
      <c r="B1145" s="20" t="str">
        <f>IFERROR(__xludf.DUMMYFUNCTION("REGEXREPLACE(A1145, ""^https?://[^/]+"", """")"),"/advisors/kelly-crandall/")</f>
        <v>/advisors/kelly-crandall/</v>
      </c>
      <c r="C1145" s="1" t="s">
        <v>4214</v>
      </c>
      <c r="F1145" s="1" t="s">
        <v>965</v>
      </c>
      <c r="G1145" s="1">
        <v>200.0</v>
      </c>
      <c r="H1145" s="1" t="s">
        <v>966</v>
      </c>
      <c r="I1145" s="1" t="s">
        <v>967</v>
      </c>
      <c r="K1145" s="1" t="s">
        <v>4215</v>
      </c>
      <c r="L1145" s="1">
        <v>39.0</v>
      </c>
      <c r="M1145" s="1">
        <v>338.0</v>
      </c>
      <c r="O1145" s="1">
        <v>0.0</v>
      </c>
      <c r="P1145" s="1">
        <v>0.0</v>
      </c>
      <c r="Q1145" s="1" t="s">
        <v>4216</v>
      </c>
      <c r="R1145" s="1">
        <v>188.0</v>
      </c>
      <c r="S1145" s="1">
        <v>1179.0</v>
      </c>
      <c r="U1145" s="1">
        <v>0.0</v>
      </c>
      <c r="V1145" s="1" t="s">
        <v>4214</v>
      </c>
      <c r="W1145" s="1">
        <v>19.0</v>
      </c>
      <c r="Y1145" s="1">
        <v>0.0</v>
      </c>
      <c r="AA1145" s="1">
        <v>0.0</v>
      </c>
      <c r="AC1145" s="1">
        <v>0.0</v>
      </c>
      <c r="AD1145" s="1" t="s">
        <v>971</v>
      </c>
      <c r="AG1145" s="9" t="s">
        <v>4213</v>
      </c>
      <c r="AM1145" s="1">
        <v>149380.0</v>
      </c>
      <c r="AN1145" s="1">
        <v>28931.0</v>
      </c>
      <c r="AO1145" s="1">
        <v>28931.0</v>
      </c>
      <c r="AP1145" s="1">
        <v>11.083</v>
      </c>
      <c r="AR1145" s="1">
        <v>729.0</v>
      </c>
      <c r="AS1145" s="1">
        <v>113.0</v>
      </c>
      <c r="AT1145" s="1">
        <v>6.451</v>
      </c>
      <c r="AU1145" s="1">
        <v>65.205</v>
      </c>
      <c r="AV1145" s="1" t="s">
        <v>990</v>
      </c>
      <c r="AW1145" s="1">
        <v>4.56</v>
      </c>
      <c r="AX1145" s="1">
        <v>3.0</v>
      </c>
      <c r="AY1145" s="1">
        <v>2.0</v>
      </c>
      <c r="AZ1145" s="1">
        <v>1.0</v>
      </c>
      <c r="BA1145" s="1">
        <v>1.0</v>
      </c>
      <c r="BB1145" s="1">
        <v>1.0</v>
      </c>
      <c r="BC1145" s="1">
        <v>0.0</v>
      </c>
      <c r="BD1145" s="1">
        <v>0.13</v>
      </c>
      <c r="BE1145" s="1">
        <v>122.0</v>
      </c>
      <c r="BF1145" s="1">
        <v>42.0</v>
      </c>
      <c r="BG1145" s="1">
        <v>0.0</v>
      </c>
      <c r="BH1145" s="1">
        <v>17.0</v>
      </c>
      <c r="BI1145" s="1">
        <v>9.0</v>
      </c>
      <c r="BJ1145" s="1">
        <v>0.0</v>
      </c>
      <c r="BO1145" s="1" t="s">
        <v>4217</v>
      </c>
      <c r="BP1145" s="1">
        <v>0.955</v>
      </c>
      <c r="BU1145" s="1" t="s">
        <v>974</v>
      </c>
      <c r="BV1145" s="1">
        <v>1.1</v>
      </c>
      <c r="EQ1145" s="9" t="s">
        <v>4213</v>
      </c>
      <c r="ER1145" s="21">
        <v>46045.30017361111</v>
      </c>
    </row>
    <row r="1146">
      <c r="A1146" s="9" t="s">
        <v>4218</v>
      </c>
      <c r="B1146" s="20" t="str">
        <f>IFERROR(__xludf.DUMMYFUNCTION("REGEXREPLACE(A1146, ""^https?://[^/]+"", """")"),"/wp-content/uploads/2017/09/Kelly-Crandall-Rectangle.jpg")</f>
        <v>/wp-content/uploads/2017/09/Kelly-Crandall-Rectangle.jpg</v>
      </c>
      <c r="F1146" s="1" t="s">
        <v>1004</v>
      </c>
      <c r="G1146" s="1">
        <v>200.0</v>
      </c>
      <c r="H1146" s="1" t="s">
        <v>966</v>
      </c>
      <c r="I1146" s="1" t="s">
        <v>967</v>
      </c>
      <c r="L1146" s="1">
        <v>0.0</v>
      </c>
      <c r="M1146" s="1">
        <v>0.0</v>
      </c>
      <c r="O1146" s="1">
        <v>0.0</v>
      </c>
      <c r="P1146" s="1">
        <v>0.0</v>
      </c>
      <c r="R1146" s="1">
        <v>0.0</v>
      </c>
      <c r="S1146" s="1">
        <v>0.0</v>
      </c>
      <c r="U1146" s="1">
        <v>0.0</v>
      </c>
      <c r="W1146" s="1">
        <v>0.0</v>
      </c>
      <c r="Y1146" s="1">
        <v>0.0</v>
      </c>
      <c r="AA1146" s="1">
        <v>0.0</v>
      </c>
      <c r="AC1146" s="1">
        <v>0.0</v>
      </c>
      <c r="AM1146" s="1">
        <v>29647.0</v>
      </c>
      <c r="AN1146" s="1">
        <v>29647.0</v>
      </c>
      <c r="AO1146" s="1">
        <v>29647.0</v>
      </c>
      <c r="AP1146" s="1">
        <v>11.357</v>
      </c>
      <c r="AR1146" s="1">
        <v>0.0</v>
      </c>
      <c r="AW1146" s="1">
        <v>0.0</v>
      </c>
      <c r="AX1146" s="1">
        <v>3.0</v>
      </c>
      <c r="AY1146" s="1">
        <v>4.0</v>
      </c>
      <c r="BA1146" s="1">
        <v>0.0</v>
      </c>
      <c r="BB1146" s="1">
        <v>0.0</v>
      </c>
      <c r="BC1146" s="1">
        <v>0.0</v>
      </c>
      <c r="BD1146" s="1">
        <v>0.0</v>
      </c>
      <c r="BE1146" s="1">
        <v>0.0</v>
      </c>
      <c r="BF1146" s="1">
        <v>0.0</v>
      </c>
      <c r="BG1146" s="1">
        <v>0.0</v>
      </c>
      <c r="BH1146" s="1">
        <v>0.0</v>
      </c>
      <c r="BI1146" s="1">
        <v>0.0</v>
      </c>
      <c r="BJ1146" s="1">
        <v>0.0</v>
      </c>
      <c r="BP1146" s="1">
        <v>0.27</v>
      </c>
      <c r="BQ1146" s="1" t="s">
        <v>4219</v>
      </c>
      <c r="BV1146" s="1">
        <v>1.1</v>
      </c>
      <c r="EQ1146" s="9" t="s">
        <v>4218</v>
      </c>
      <c r="ER1146" s="21">
        <v>46045.30018518519</v>
      </c>
    </row>
    <row r="1147">
      <c r="A1147" s="9" t="s">
        <v>4220</v>
      </c>
      <c r="B1147" s="20" t="str">
        <f>IFERROR(__xludf.DUMMYFUNCTION("REGEXREPLACE(A1147, ""^https?://[^/]+"", """")"),"/what-we-do/investment-sales-analysis/")</f>
        <v>/what-we-do/investment-sales-analysis/</v>
      </c>
      <c r="F1147" s="1" t="s">
        <v>965</v>
      </c>
      <c r="G1147" s="1">
        <v>301.0</v>
      </c>
      <c r="H1147" s="1" t="s">
        <v>1304</v>
      </c>
      <c r="I1147" s="1" t="s">
        <v>1214</v>
      </c>
      <c r="J1147" s="1" t="s">
        <v>1305</v>
      </c>
      <c r="L1147" s="1">
        <v>0.0</v>
      </c>
      <c r="M1147" s="1">
        <v>0.0</v>
      </c>
      <c r="O1147" s="1">
        <v>0.0</v>
      </c>
      <c r="P1147" s="1">
        <v>0.0</v>
      </c>
      <c r="R1147" s="1">
        <v>0.0</v>
      </c>
      <c r="S1147" s="1">
        <v>0.0</v>
      </c>
      <c r="U1147" s="1">
        <v>0.0</v>
      </c>
      <c r="W1147" s="1">
        <v>0.0</v>
      </c>
      <c r="Y1147" s="1">
        <v>0.0</v>
      </c>
      <c r="AA1147" s="1">
        <v>0.0</v>
      </c>
      <c r="AC1147" s="1">
        <v>0.0</v>
      </c>
      <c r="AM1147" s="1">
        <v>0.0</v>
      </c>
      <c r="AN1147" s="1">
        <v>0.0</v>
      </c>
      <c r="AO1147" s="1">
        <v>0.0</v>
      </c>
      <c r="AP1147" s="1">
        <v>0.0</v>
      </c>
      <c r="AR1147" s="1">
        <v>0.0</v>
      </c>
      <c r="AW1147" s="1">
        <v>0.0</v>
      </c>
      <c r="AX1147" s="1">
        <v>3.0</v>
      </c>
      <c r="AY1147" s="1">
        <v>2.0</v>
      </c>
      <c r="BA1147" s="1">
        <v>2.0</v>
      </c>
      <c r="BB1147" s="1">
        <v>1.0</v>
      </c>
      <c r="BC1147" s="1">
        <v>0.0</v>
      </c>
      <c r="BD1147" s="1">
        <v>0.13</v>
      </c>
      <c r="BE1147" s="1">
        <v>0.0</v>
      </c>
      <c r="BF1147" s="1">
        <v>0.0</v>
      </c>
      <c r="BG1147" s="1">
        <v>0.0</v>
      </c>
      <c r="BH1147" s="1">
        <v>0.0</v>
      </c>
      <c r="BI1147" s="1">
        <v>0.0</v>
      </c>
      <c r="BJ1147" s="1">
        <v>0.0</v>
      </c>
      <c r="BP1147" s="1">
        <v>0.535</v>
      </c>
      <c r="BR1147" s="9" t="s">
        <v>1171</v>
      </c>
      <c r="BS1147" s="1" t="s">
        <v>1307</v>
      </c>
      <c r="BV1147" s="1">
        <v>1.1</v>
      </c>
      <c r="EQ1147" s="9" t="s">
        <v>4220</v>
      </c>
      <c r="ER1147" s="21">
        <v>46045.30018518519</v>
      </c>
    </row>
    <row r="1148">
      <c r="A1148" s="9" t="s">
        <v>4221</v>
      </c>
      <c r="B1148" s="20" t="str">
        <f>IFERROR(__xludf.DUMMYFUNCTION("REGEXREPLACE(A1148, ""^https?://[^/]+"", """")"),"/wp-content/uploads/2017/08/Investment-Sales-Analysis-Drivers-Web.jpg")</f>
        <v>/wp-content/uploads/2017/08/Investment-Sales-Analysis-Drivers-Web.jpg</v>
      </c>
      <c r="F1148" s="1" t="s">
        <v>1004</v>
      </c>
      <c r="G1148" s="1">
        <v>200.0</v>
      </c>
      <c r="H1148" s="1" t="s">
        <v>966</v>
      </c>
      <c r="I1148" s="1" t="s">
        <v>967</v>
      </c>
      <c r="L1148" s="1">
        <v>0.0</v>
      </c>
      <c r="M1148" s="1">
        <v>0.0</v>
      </c>
      <c r="O1148" s="1">
        <v>0.0</v>
      </c>
      <c r="P1148" s="1">
        <v>0.0</v>
      </c>
      <c r="R1148" s="1">
        <v>0.0</v>
      </c>
      <c r="S1148" s="1">
        <v>0.0</v>
      </c>
      <c r="U1148" s="1">
        <v>0.0</v>
      </c>
      <c r="W1148" s="1">
        <v>0.0</v>
      </c>
      <c r="Y1148" s="1">
        <v>0.0</v>
      </c>
      <c r="AA1148" s="1">
        <v>0.0</v>
      </c>
      <c r="AC1148" s="1">
        <v>0.0</v>
      </c>
      <c r="AM1148" s="1">
        <v>53366.0</v>
      </c>
      <c r="AN1148" s="1">
        <v>53366.0</v>
      </c>
      <c r="AO1148" s="1">
        <v>53366.0</v>
      </c>
      <c r="AP1148" s="1">
        <v>20.444</v>
      </c>
      <c r="AR1148" s="1">
        <v>0.0</v>
      </c>
      <c r="AW1148" s="1">
        <v>0.0</v>
      </c>
      <c r="AX1148" s="1">
        <v>3.0</v>
      </c>
      <c r="AY1148" s="1">
        <v>4.0</v>
      </c>
      <c r="BA1148" s="1">
        <v>0.0</v>
      </c>
      <c r="BB1148" s="1">
        <v>0.0</v>
      </c>
      <c r="BC1148" s="1">
        <v>0.0</v>
      </c>
      <c r="BD1148" s="1">
        <v>0.0</v>
      </c>
      <c r="BE1148" s="1">
        <v>0.0</v>
      </c>
      <c r="BF1148" s="1">
        <v>0.0</v>
      </c>
      <c r="BG1148" s="1">
        <v>0.0</v>
      </c>
      <c r="BH1148" s="1">
        <v>0.0</v>
      </c>
      <c r="BI1148" s="1">
        <v>0.0</v>
      </c>
      <c r="BJ1148" s="1">
        <v>0.0</v>
      </c>
      <c r="BP1148" s="1">
        <v>0.276</v>
      </c>
      <c r="BQ1148" s="1" t="s">
        <v>4222</v>
      </c>
      <c r="BV1148" s="1">
        <v>1.1</v>
      </c>
      <c r="EQ1148" s="9" t="s">
        <v>4221</v>
      </c>
      <c r="ER1148" s="21">
        <v>46045.30019675926</v>
      </c>
    </row>
    <row r="1149">
      <c r="A1149" s="9" t="s">
        <v>4223</v>
      </c>
      <c r="B1149" s="20" t="str">
        <f>IFERROR(__xludf.DUMMYFUNCTION("REGEXREPLACE(A1149, ""^https?://[^/]+"", """")"),"/author/neptune-web/")</f>
        <v>/author/neptune-web/</v>
      </c>
      <c r="C1149" s="1" t="s">
        <v>4224</v>
      </c>
      <c r="F1149" s="1" t="s">
        <v>965</v>
      </c>
      <c r="G1149" s="1">
        <v>200.0</v>
      </c>
      <c r="H1149" s="1" t="s">
        <v>966</v>
      </c>
      <c r="I1149" s="1" t="s">
        <v>967</v>
      </c>
      <c r="K1149" s="1" t="s">
        <v>4225</v>
      </c>
      <c r="L1149" s="1">
        <v>40.0</v>
      </c>
      <c r="M1149" s="1">
        <v>374.0</v>
      </c>
      <c r="O1149" s="1">
        <v>0.0</v>
      </c>
      <c r="P1149" s="1">
        <v>0.0</v>
      </c>
      <c r="R1149" s="1">
        <v>0.0</v>
      </c>
      <c r="S1149" s="1">
        <v>0.0</v>
      </c>
      <c r="U1149" s="1">
        <v>0.0</v>
      </c>
      <c r="V1149" s="1" t="s">
        <v>4224</v>
      </c>
      <c r="W1149" s="1">
        <v>11.0</v>
      </c>
      <c r="Y1149" s="1">
        <v>0.0</v>
      </c>
      <c r="AA1149" s="1">
        <v>0.0</v>
      </c>
      <c r="AC1149" s="1">
        <v>0.0</v>
      </c>
      <c r="AD1149" s="1" t="s">
        <v>971</v>
      </c>
      <c r="AG1149" s="9" t="s">
        <v>4223</v>
      </c>
      <c r="AM1149" s="1">
        <v>152364.0</v>
      </c>
      <c r="AN1149" s="1">
        <v>29339.0</v>
      </c>
      <c r="AO1149" s="1">
        <v>29339.0</v>
      </c>
      <c r="AP1149" s="1">
        <v>11.239</v>
      </c>
      <c r="AR1149" s="1">
        <v>548.0</v>
      </c>
      <c r="AS1149" s="1">
        <v>98.0</v>
      </c>
      <c r="AT1149" s="1">
        <v>5.592</v>
      </c>
      <c r="AU1149" s="1">
        <v>59.748</v>
      </c>
      <c r="AV1149" s="1" t="s">
        <v>972</v>
      </c>
      <c r="AW1149" s="1">
        <v>3.812</v>
      </c>
      <c r="AX1149" s="1">
        <v>3.0</v>
      </c>
      <c r="AY1149" s="1">
        <v>2.0</v>
      </c>
      <c r="AZ1149" s="1">
        <v>1.0</v>
      </c>
      <c r="BA1149" s="1">
        <v>3.0</v>
      </c>
      <c r="BB1149" s="1">
        <v>1.0</v>
      </c>
      <c r="BC1149" s="1">
        <v>0.0</v>
      </c>
      <c r="BD1149" s="1">
        <v>0.13</v>
      </c>
      <c r="BE1149" s="1">
        <v>128.0</v>
      </c>
      <c r="BF1149" s="1">
        <v>44.0</v>
      </c>
      <c r="BG1149" s="1">
        <v>0.0</v>
      </c>
      <c r="BH1149" s="1">
        <v>16.0</v>
      </c>
      <c r="BI1149" s="1">
        <v>8.0</v>
      </c>
      <c r="BJ1149" s="1">
        <v>0.0</v>
      </c>
      <c r="BO1149" s="1" t="s">
        <v>4226</v>
      </c>
      <c r="BP1149" s="1">
        <v>0.968</v>
      </c>
      <c r="BU1149" s="1" t="s">
        <v>974</v>
      </c>
      <c r="BV1149" s="1">
        <v>1.1</v>
      </c>
      <c r="EQ1149" s="9" t="s">
        <v>4223</v>
      </c>
      <c r="ER1149" s="21">
        <v>46045.30018518519</v>
      </c>
    </row>
    <row r="1150">
      <c r="A1150" s="9" t="s">
        <v>4227</v>
      </c>
      <c r="B1150" s="20" t="str">
        <f>IFERROR(__xludf.DUMMYFUNCTION("REGEXREPLACE(A1150, ""^https?://[^/]+"", """")"),"/wp-content/uploads/2016/01/New-Advisor-Class-December-2015-1.jpg")</f>
        <v>/wp-content/uploads/2016/01/New-Advisor-Class-December-2015-1.jpg</v>
      </c>
      <c r="F1150" s="1" t="s">
        <v>1004</v>
      </c>
      <c r="G1150" s="1">
        <v>200.0</v>
      </c>
      <c r="H1150" s="1" t="s">
        <v>966</v>
      </c>
      <c r="I1150" s="1" t="s">
        <v>967</v>
      </c>
      <c r="L1150" s="1">
        <v>0.0</v>
      </c>
      <c r="M1150" s="1">
        <v>0.0</v>
      </c>
      <c r="O1150" s="1">
        <v>0.0</v>
      </c>
      <c r="P1150" s="1">
        <v>0.0</v>
      </c>
      <c r="R1150" s="1">
        <v>0.0</v>
      </c>
      <c r="S1150" s="1">
        <v>0.0</v>
      </c>
      <c r="U1150" s="1">
        <v>0.0</v>
      </c>
      <c r="W1150" s="1">
        <v>0.0</v>
      </c>
      <c r="Y1150" s="1">
        <v>0.0</v>
      </c>
      <c r="AA1150" s="1">
        <v>0.0</v>
      </c>
      <c r="AC1150" s="1">
        <v>0.0</v>
      </c>
      <c r="AM1150" s="1">
        <v>81377.0</v>
      </c>
      <c r="AN1150" s="1">
        <v>81377.0</v>
      </c>
      <c r="AO1150" s="1">
        <v>81377.0</v>
      </c>
      <c r="AP1150" s="1">
        <v>31.174</v>
      </c>
      <c r="AR1150" s="1">
        <v>0.0</v>
      </c>
      <c r="AW1150" s="1">
        <v>0.0</v>
      </c>
      <c r="AX1150" s="1">
        <v>3.0</v>
      </c>
      <c r="AY1150" s="1">
        <v>4.0</v>
      </c>
      <c r="BA1150" s="1">
        <v>0.0</v>
      </c>
      <c r="BB1150" s="1">
        <v>0.0</v>
      </c>
      <c r="BC1150" s="1">
        <v>0.0</v>
      </c>
      <c r="BD1150" s="1">
        <v>0.0</v>
      </c>
      <c r="BE1150" s="1">
        <v>0.0</v>
      </c>
      <c r="BF1150" s="1">
        <v>0.0</v>
      </c>
      <c r="BG1150" s="1">
        <v>0.0</v>
      </c>
      <c r="BH1150" s="1">
        <v>0.0</v>
      </c>
      <c r="BI1150" s="1">
        <v>0.0</v>
      </c>
      <c r="BJ1150" s="1">
        <v>0.0</v>
      </c>
      <c r="BP1150" s="1">
        <v>0.263</v>
      </c>
      <c r="BQ1150" s="1" t="s">
        <v>4228</v>
      </c>
      <c r="BV1150" s="1">
        <v>1.1</v>
      </c>
      <c r="EQ1150" s="9" t="s">
        <v>4227</v>
      </c>
      <c r="ER1150" s="21">
        <v>46045.300208333334</v>
      </c>
    </row>
    <row r="1151">
      <c r="A1151" s="9" t="s">
        <v>4229</v>
      </c>
      <c r="B1151" s="20" t="str">
        <f>IFERROR(__xludf.DUMMYFUNCTION("REGEXREPLACE(A1151, ""^https?://[^/]+"", """")"),"/wp-content/uploads/2022/11/Company-Culture.jpg")</f>
        <v>/wp-content/uploads/2022/11/Company-Culture.jpg</v>
      </c>
      <c r="F1151" s="1" t="s">
        <v>1004</v>
      </c>
      <c r="G1151" s="1">
        <v>200.0</v>
      </c>
      <c r="H1151" s="1" t="s">
        <v>966</v>
      </c>
      <c r="I1151" s="1" t="s">
        <v>967</v>
      </c>
      <c r="L1151" s="1">
        <v>0.0</v>
      </c>
      <c r="M1151" s="1">
        <v>0.0</v>
      </c>
      <c r="O1151" s="1">
        <v>0.0</v>
      </c>
      <c r="P1151" s="1">
        <v>0.0</v>
      </c>
      <c r="R1151" s="1">
        <v>0.0</v>
      </c>
      <c r="S1151" s="1">
        <v>0.0</v>
      </c>
      <c r="U1151" s="1">
        <v>0.0</v>
      </c>
      <c r="W1151" s="1">
        <v>0.0</v>
      </c>
      <c r="Y1151" s="1">
        <v>0.0</v>
      </c>
      <c r="AA1151" s="1">
        <v>0.0</v>
      </c>
      <c r="AC1151" s="1">
        <v>0.0</v>
      </c>
      <c r="AM1151" s="1">
        <v>184786.0</v>
      </c>
      <c r="AN1151" s="1">
        <v>184786.0</v>
      </c>
      <c r="AO1151" s="1">
        <v>184786.0</v>
      </c>
      <c r="AP1151" s="1">
        <v>70.788</v>
      </c>
      <c r="AR1151" s="1">
        <v>0.0</v>
      </c>
      <c r="AW1151" s="1">
        <v>0.0</v>
      </c>
      <c r="AX1151" s="1">
        <v>3.0</v>
      </c>
      <c r="AY1151" s="1">
        <v>4.0</v>
      </c>
      <c r="BA1151" s="1">
        <v>0.0</v>
      </c>
      <c r="BB1151" s="1">
        <v>0.0</v>
      </c>
      <c r="BC1151" s="1">
        <v>0.0</v>
      </c>
      <c r="BD1151" s="1">
        <v>0.0</v>
      </c>
      <c r="BE1151" s="1">
        <v>0.0</v>
      </c>
      <c r="BF1151" s="1">
        <v>0.0</v>
      </c>
      <c r="BG1151" s="1">
        <v>0.0</v>
      </c>
      <c r="BH1151" s="1">
        <v>0.0</v>
      </c>
      <c r="BI1151" s="1">
        <v>0.0</v>
      </c>
      <c r="BJ1151" s="1">
        <v>0.0</v>
      </c>
      <c r="BP1151" s="1">
        <v>0.274</v>
      </c>
      <c r="BQ1151" s="1" t="s">
        <v>4230</v>
      </c>
      <c r="BV1151" s="1">
        <v>1.1</v>
      </c>
      <c r="EQ1151" s="9" t="s">
        <v>4229</v>
      </c>
      <c r="ER1151" s="21">
        <v>46045.300208333334</v>
      </c>
    </row>
    <row r="1152">
      <c r="A1152" s="9" t="s">
        <v>4231</v>
      </c>
      <c r="B1152" s="20" t="str">
        <f>IFERROR(__xludf.DUMMYFUNCTION("REGEXREPLACE(A1152, ""^https?://[^/]+"", """")"),"/wp-content/themes/salesxceleratione/assets/css/style.css?ver=1769123425")</f>
        <v>/wp-content/themes/salesxceleratione/assets/css/style.css?ver=1769123425</v>
      </c>
      <c r="F1152" s="1" t="s">
        <v>1016</v>
      </c>
      <c r="G1152" s="1">
        <v>200.0</v>
      </c>
      <c r="H1152" s="1" t="s">
        <v>966</v>
      </c>
      <c r="I1152" s="1" t="s">
        <v>967</v>
      </c>
      <c r="L1152" s="1">
        <v>0.0</v>
      </c>
      <c r="M1152" s="1">
        <v>0.0</v>
      </c>
      <c r="O1152" s="1">
        <v>0.0</v>
      </c>
      <c r="P1152" s="1">
        <v>0.0</v>
      </c>
      <c r="R1152" s="1">
        <v>0.0</v>
      </c>
      <c r="S1152" s="1">
        <v>0.0</v>
      </c>
      <c r="U1152" s="1">
        <v>0.0</v>
      </c>
      <c r="W1152" s="1">
        <v>0.0</v>
      </c>
      <c r="Y1152" s="1">
        <v>0.0</v>
      </c>
      <c r="AA1152" s="1">
        <v>0.0</v>
      </c>
      <c r="AC1152" s="1">
        <v>0.0</v>
      </c>
      <c r="AM1152" s="1">
        <v>17704.0</v>
      </c>
      <c r="AN1152" s="1">
        <v>17704.0</v>
      </c>
      <c r="AO1152" s="1">
        <v>17704.0</v>
      </c>
      <c r="AP1152" s="1">
        <v>6.782</v>
      </c>
      <c r="AR1152" s="1">
        <v>0.0</v>
      </c>
      <c r="AW1152" s="1">
        <v>0.0</v>
      </c>
      <c r="AX1152" s="1">
        <v>3.0</v>
      </c>
      <c r="AY1152" s="1">
        <v>5.0</v>
      </c>
      <c r="BA1152" s="1">
        <v>0.0</v>
      </c>
      <c r="BB1152" s="1">
        <v>0.0</v>
      </c>
      <c r="BC1152" s="1">
        <v>0.0</v>
      </c>
      <c r="BD1152" s="1">
        <v>0.0</v>
      </c>
      <c r="BE1152" s="1">
        <v>0.0</v>
      </c>
      <c r="BF1152" s="1">
        <v>0.0</v>
      </c>
      <c r="BG1152" s="1">
        <v>0.0</v>
      </c>
      <c r="BH1152" s="1">
        <v>0.0</v>
      </c>
      <c r="BI1152" s="1">
        <v>0.0</v>
      </c>
      <c r="BJ1152" s="1">
        <v>0.0</v>
      </c>
      <c r="BP1152" s="1">
        <v>0.275</v>
      </c>
      <c r="BQ1152" s="1" t="s">
        <v>4232</v>
      </c>
      <c r="BV1152" s="1">
        <v>1.1</v>
      </c>
      <c r="EQ1152" s="9" t="s">
        <v>4231</v>
      </c>
      <c r="ER1152" s="21">
        <v>46045.300208333334</v>
      </c>
    </row>
    <row r="1153">
      <c r="A1153" s="9" t="s">
        <v>4233</v>
      </c>
      <c r="B1153" s="20" t="str">
        <f>IFERROR(__xludf.DUMMYFUNCTION("REGEXREPLACE(A1153, ""^https?://[^/]+"", """")"),"/wp-content/uploads/2017/04/KathyYenkeNA.jpg")</f>
        <v>/wp-content/uploads/2017/04/KathyYenkeNA.jpg</v>
      </c>
      <c r="F1153" s="1" t="s">
        <v>1004</v>
      </c>
      <c r="G1153" s="1">
        <v>200.0</v>
      </c>
      <c r="H1153" s="1" t="s">
        <v>966</v>
      </c>
      <c r="I1153" s="1" t="s">
        <v>967</v>
      </c>
      <c r="L1153" s="1">
        <v>0.0</v>
      </c>
      <c r="M1153" s="1">
        <v>0.0</v>
      </c>
      <c r="O1153" s="1">
        <v>0.0</v>
      </c>
      <c r="P1153" s="1">
        <v>0.0</v>
      </c>
      <c r="R1153" s="1">
        <v>0.0</v>
      </c>
      <c r="S1153" s="1">
        <v>0.0</v>
      </c>
      <c r="U1153" s="1">
        <v>0.0</v>
      </c>
      <c r="W1153" s="1">
        <v>0.0</v>
      </c>
      <c r="Y1153" s="1">
        <v>0.0</v>
      </c>
      <c r="AA1153" s="1">
        <v>0.0</v>
      </c>
      <c r="AC1153" s="1">
        <v>0.0</v>
      </c>
      <c r="AM1153" s="1">
        <v>37940.0</v>
      </c>
      <c r="AN1153" s="1">
        <v>37940.0</v>
      </c>
      <c r="AO1153" s="1">
        <v>37940.0</v>
      </c>
      <c r="AP1153" s="1">
        <v>14.534</v>
      </c>
      <c r="AR1153" s="1">
        <v>0.0</v>
      </c>
      <c r="AW1153" s="1">
        <v>0.0</v>
      </c>
      <c r="AX1153" s="1">
        <v>3.0</v>
      </c>
      <c r="AY1153" s="1">
        <v>4.0</v>
      </c>
      <c r="BA1153" s="1">
        <v>0.0</v>
      </c>
      <c r="BB1153" s="1">
        <v>0.0</v>
      </c>
      <c r="BC1153" s="1">
        <v>0.0</v>
      </c>
      <c r="BD1153" s="1">
        <v>0.0</v>
      </c>
      <c r="BE1153" s="1">
        <v>0.0</v>
      </c>
      <c r="BF1153" s="1">
        <v>0.0</v>
      </c>
      <c r="BG1153" s="1">
        <v>0.0</v>
      </c>
      <c r="BH1153" s="1">
        <v>0.0</v>
      </c>
      <c r="BI1153" s="1">
        <v>0.0</v>
      </c>
      <c r="BJ1153" s="1">
        <v>0.0</v>
      </c>
      <c r="BP1153" s="1">
        <v>0.267</v>
      </c>
      <c r="BQ1153" s="1" t="s">
        <v>4234</v>
      </c>
      <c r="BV1153" s="1">
        <v>1.1</v>
      </c>
      <c r="EQ1153" s="9" t="s">
        <v>4233</v>
      </c>
      <c r="ER1153" s="21">
        <v>46045.300208333334</v>
      </c>
    </row>
    <row r="1154">
      <c r="A1154" s="9" t="s">
        <v>4235</v>
      </c>
      <c r="B1154" s="20" t="str">
        <f>IFERROR(__xludf.DUMMYFUNCTION("REGEXREPLACE(A1154, ""^https?://[^/]+"", """")"),"/wp-content/uploads/2018/10/October-training-class-imagecrop.png")</f>
        <v>/wp-content/uploads/2018/10/October-training-class-imagecrop.png</v>
      </c>
      <c r="F1154" s="1" t="s">
        <v>1047</v>
      </c>
      <c r="G1154" s="1">
        <v>200.0</v>
      </c>
      <c r="H1154" s="1" t="s">
        <v>966</v>
      </c>
      <c r="I1154" s="1" t="s">
        <v>967</v>
      </c>
      <c r="L1154" s="1">
        <v>0.0</v>
      </c>
      <c r="M1154" s="1">
        <v>0.0</v>
      </c>
      <c r="O1154" s="1">
        <v>0.0</v>
      </c>
      <c r="P1154" s="1">
        <v>0.0</v>
      </c>
      <c r="R1154" s="1">
        <v>0.0</v>
      </c>
      <c r="S1154" s="1">
        <v>0.0</v>
      </c>
      <c r="U1154" s="1">
        <v>0.0</v>
      </c>
      <c r="W1154" s="1">
        <v>0.0</v>
      </c>
      <c r="Y1154" s="1">
        <v>0.0</v>
      </c>
      <c r="AA1154" s="1">
        <v>0.0</v>
      </c>
      <c r="AC1154" s="1">
        <v>0.0</v>
      </c>
      <c r="AM1154" s="1">
        <v>3026873.0</v>
      </c>
      <c r="AN1154" s="1">
        <v>3026873.0</v>
      </c>
      <c r="AO1154" s="1">
        <v>3026873.0</v>
      </c>
      <c r="AP1154" s="1">
        <v>1159.538</v>
      </c>
      <c r="AR1154" s="1">
        <v>0.0</v>
      </c>
      <c r="AW1154" s="1">
        <v>0.0</v>
      </c>
      <c r="AX1154" s="1">
        <v>3.0</v>
      </c>
      <c r="AY1154" s="1">
        <v>4.0</v>
      </c>
      <c r="BA1154" s="1">
        <v>0.0</v>
      </c>
      <c r="BB1154" s="1">
        <v>0.0</v>
      </c>
      <c r="BC1154" s="1">
        <v>0.0</v>
      </c>
      <c r="BD1154" s="1">
        <v>0.0</v>
      </c>
      <c r="BE1154" s="1">
        <v>0.0</v>
      </c>
      <c r="BF1154" s="1">
        <v>0.0</v>
      </c>
      <c r="BG1154" s="1">
        <v>0.0</v>
      </c>
      <c r="BH1154" s="1">
        <v>0.0</v>
      </c>
      <c r="BI1154" s="1">
        <v>0.0</v>
      </c>
      <c r="BJ1154" s="1">
        <v>0.0</v>
      </c>
      <c r="BP1154" s="1">
        <v>0.278</v>
      </c>
      <c r="BQ1154" s="1" t="s">
        <v>4236</v>
      </c>
      <c r="BV1154" s="1">
        <v>1.1</v>
      </c>
      <c r="EQ1154" s="9" t="s">
        <v>4235</v>
      </c>
      <c r="ER1154" s="21">
        <v>46045.30021990741</v>
      </c>
    </row>
    <row r="1155">
      <c r="A1155" s="9" t="s">
        <v>4237</v>
      </c>
      <c r="B1155" s="20" t="str">
        <f>IFERROR(__xludf.DUMMYFUNCTION("REGEXREPLACE(A1155, ""^https?://[^/]+"", """")"),"/sales-agility-assessment-1-0-kyenke")</f>
        <v>/sales-agility-assessment-1-0-kyenke</v>
      </c>
      <c r="F1155" s="1" t="s">
        <v>965</v>
      </c>
      <c r="G1155" s="1">
        <v>301.0</v>
      </c>
      <c r="H1155" s="1" t="s">
        <v>1304</v>
      </c>
      <c r="I1155" s="1" t="s">
        <v>1214</v>
      </c>
      <c r="J1155" s="1" t="s">
        <v>1305</v>
      </c>
      <c r="L1155" s="1">
        <v>0.0</v>
      </c>
      <c r="M1155" s="1">
        <v>0.0</v>
      </c>
      <c r="O1155" s="1">
        <v>0.0</v>
      </c>
      <c r="P1155" s="1">
        <v>0.0</v>
      </c>
      <c r="R1155" s="1">
        <v>0.0</v>
      </c>
      <c r="S1155" s="1">
        <v>0.0</v>
      </c>
      <c r="U1155" s="1">
        <v>0.0</v>
      </c>
      <c r="W1155" s="1">
        <v>0.0</v>
      </c>
      <c r="Y1155" s="1">
        <v>0.0</v>
      </c>
      <c r="AA1155" s="1">
        <v>0.0</v>
      </c>
      <c r="AC1155" s="1">
        <v>0.0</v>
      </c>
      <c r="AM1155" s="1">
        <v>0.0</v>
      </c>
      <c r="AN1155" s="1">
        <v>0.0</v>
      </c>
      <c r="AO1155" s="1">
        <v>0.0</v>
      </c>
      <c r="AP1155" s="1">
        <v>0.0</v>
      </c>
      <c r="AR1155" s="1">
        <v>0.0</v>
      </c>
      <c r="AW1155" s="1">
        <v>0.0</v>
      </c>
      <c r="AX1155" s="1">
        <v>3.0</v>
      </c>
      <c r="AY1155" s="1">
        <v>0.0</v>
      </c>
      <c r="BA1155" s="1">
        <v>1.0</v>
      </c>
      <c r="BB1155" s="1">
        <v>1.0</v>
      </c>
      <c r="BC1155" s="1">
        <v>0.0</v>
      </c>
      <c r="BD1155" s="1">
        <v>0.13</v>
      </c>
      <c r="BE1155" s="1">
        <v>0.0</v>
      </c>
      <c r="BF1155" s="1">
        <v>0.0</v>
      </c>
      <c r="BG1155" s="1">
        <v>0.0</v>
      </c>
      <c r="BH1155" s="1">
        <v>0.0</v>
      </c>
      <c r="BI1155" s="1">
        <v>0.0</v>
      </c>
      <c r="BJ1155" s="1">
        <v>0.0</v>
      </c>
      <c r="BP1155" s="1">
        <v>0.565</v>
      </c>
      <c r="BR1155" s="9" t="s">
        <v>1380</v>
      </c>
      <c r="BS1155" s="1" t="s">
        <v>1307</v>
      </c>
      <c r="BV1155" s="1">
        <v>1.1</v>
      </c>
      <c r="EQ1155" s="9" t="s">
        <v>4237</v>
      </c>
      <c r="ER1155" s="21">
        <v>46045.300208333334</v>
      </c>
    </row>
    <row r="1156">
      <c r="A1156" s="9" t="s">
        <v>4238</v>
      </c>
      <c r="B1156" s="20" t="str">
        <f>IFERROR(__xludf.DUMMYFUNCTION("REGEXREPLACE(A1156, ""^https?://[^/]+"", """")"),"/wp-content/uploads/2022/06/sia.jpg")</f>
        <v>/wp-content/uploads/2022/06/sia.jpg</v>
      </c>
      <c r="F1156" s="1" t="s">
        <v>1004</v>
      </c>
      <c r="G1156" s="1">
        <v>200.0</v>
      </c>
      <c r="H1156" s="1" t="s">
        <v>966</v>
      </c>
      <c r="I1156" s="1" t="s">
        <v>967</v>
      </c>
      <c r="L1156" s="1">
        <v>0.0</v>
      </c>
      <c r="M1156" s="1">
        <v>0.0</v>
      </c>
      <c r="O1156" s="1">
        <v>0.0</v>
      </c>
      <c r="P1156" s="1">
        <v>0.0</v>
      </c>
      <c r="R1156" s="1">
        <v>0.0</v>
      </c>
      <c r="S1156" s="1">
        <v>0.0</v>
      </c>
      <c r="U1156" s="1">
        <v>0.0</v>
      </c>
      <c r="W1156" s="1">
        <v>0.0</v>
      </c>
      <c r="Y1156" s="1">
        <v>0.0</v>
      </c>
      <c r="AA1156" s="1">
        <v>0.0</v>
      </c>
      <c r="AC1156" s="1">
        <v>0.0</v>
      </c>
      <c r="AM1156" s="1">
        <v>33431.0</v>
      </c>
      <c r="AN1156" s="1">
        <v>33431.0</v>
      </c>
      <c r="AO1156" s="1">
        <v>33431.0</v>
      </c>
      <c r="AP1156" s="1">
        <v>12.807</v>
      </c>
      <c r="AR1156" s="1">
        <v>0.0</v>
      </c>
      <c r="AW1156" s="1">
        <v>0.0</v>
      </c>
      <c r="AX1156" s="1">
        <v>3.0</v>
      </c>
      <c r="AY1156" s="1">
        <v>4.0</v>
      </c>
      <c r="BA1156" s="1">
        <v>0.0</v>
      </c>
      <c r="BB1156" s="1">
        <v>0.0</v>
      </c>
      <c r="BC1156" s="1">
        <v>0.0</v>
      </c>
      <c r="BD1156" s="1">
        <v>0.0</v>
      </c>
      <c r="BE1156" s="1">
        <v>0.0</v>
      </c>
      <c r="BF1156" s="1">
        <v>0.0</v>
      </c>
      <c r="BG1156" s="1">
        <v>0.0</v>
      </c>
      <c r="BH1156" s="1">
        <v>0.0</v>
      </c>
      <c r="BI1156" s="1">
        <v>0.0</v>
      </c>
      <c r="BJ1156" s="1">
        <v>0.0</v>
      </c>
      <c r="BP1156" s="1">
        <v>0.262</v>
      </c>
      <c r="BQ1156" s="1" t="s">
        <v>4239</v>
      </c>
      <c r="BV1156" s="1">
        <v>1.1</v>
      </c>
      <c r="EQ1156" s="9" t="s">
        <v>4238</v>
      </c>
      <c r="ER1156" s="21">
        <v>46045.30021990741</v>
      </c>
    </row>
    <row r="1157">
      <c r="A1157" s="9" t="s">
        <v>4240</v>
      </c>
      <c r="B1157" s="20" t="str">
        <f>IFERROR(__xludf.DUMMYFUNCTION("REGEXREPLACE(A1157, ""^https?://[^/]+"", """")"),"/author/maura-kautsky/")</f>
        <v>/author/maura-kautsky/</v>
      </c>
      <c r="C1157" s="1" t="s">
        <v>4241</v>
      </c>
      <c r="F1157" s="1" t="s">
        <v>965</v>
      </c>
      <c r="G1157" s="1">
        <v>200.0</v>
      </c>
      <c r="H1157" s="1" t="s">
        <v>966</v>
      </c>
      <c r="I1157" s="1" t="s">
        <v>967</v>
      </c>
      <c r="K1157" s="1" t="s">
        <v>4242</v>
      </c>
      <c r="L1157" s="1">
        <v>42.0</v>
      </c>
      <c r="M1157" s="1">
        <v>386.0</v>
      </c>
      <c r="O1157" s="1">
        <v>0.0</v>
      </c>
      <c r="P1157" s="1">
        <v>0.0</v>
      </c>
      <c r="R1157" s="1">
        <v>0.0</v>
      </c>
      <c r="S1157" s="1">
        <v>0.0</v>
      </c>
      <c r="U1157" s="1">
        <v>0.0</v>
      </c>
      <c r="V1157" s="1" t="s">
        <v>4241</v>
      </c>
      <c r="W1157" s="1">
        <v>13.0</v>
      </c>
      <c r="Y1157" s="1">
        <v>0.0</v>
      </c>
      <c r="AA1157" s="1">
        <v>0.0</v>
      </c>
      <c r="AC1157" s="1">
        <v>0.0</v>
      </c>
      <c r="AD1157" s="1" t="s">
        <v>971</v>
      </c>
      <c r="AG1157" s="9" t="s">
        <v>4240</v>
      </c>
      <c r="AH1157" s="9" t="s">
        <v>4243</v>
      </c>
      <c r="AM1157" s="1">
        <v>174541.0</v>
      </c>
      <c r="AN1157" s="1">
        <v>32793.0</v>
      </c>
      <c r="AO1157" s="1">
        <v>32793.0</v>
      </c>
      <c r="AP1157" s="1">
        <v>12.562</v>
      </c>
      <c r="AR1157" s="1">
        <v>989.0</v>
      </c>
      <c r="AS1157" s="1">
        <v>164.0</v>
      </c>
      <c r="AT1157" s="1">
        <v>6.03</v>
      </c>
      <c r="AU1157" s="1">
        <v>62.737</v>
      </c>
      <c r="AV1157" s="1" t="s">
        <v>990</v>
      </c>
      <c r="AW1157" s="1">
        <v>4.854</v>
      </c>
      <c r="AX1157" s="1">
        <v>3.0</v>
      </c>
      <c r="AY1157" s="1">
        <v>2.0</v>
      </c>
      <c r="AZ1157" s="1">
        <v>1.0</v>
      </c>
      <c r="BA1157" s="1">
        <v>42.0</v>
      </c>
      <c r="BB1157" s="1">
        <v>14.0</v>
      </c>
      <c r="BC1157" s="1">
        <v>0.0</v>
      </c>
      <c r="BD1157" s="1">
        <v>1.86</v>
      </c>
      <c r="BE1157" s="1">
        <v>158.0</v>
      </c>
      <c r="BF1157" s="1">
        <v>54.0</v>
      </c>
      <c r="BG1157" s="1">
        <v>0.0</v>
      </c>
      <c r="BH1157" s="1">
        <v>16.0</v>
      </c>
      <c r="BI1157" s="1">
        <v>8.0</v>
      </c>
      <c r="BJ1157" s="1">
        <v>0.0</v>
      </c>
      <c r="BO1157" s="1" t="s">
        <v>4244</v>
      </c>
      <c r="BP1157" s="1">
        <v>1.1</v>
      </c>
      <c r="BU1157" s="1" t="s">
        <v>974</v>
      </c>
      <c r="BV1157" s="1">
        <v>1.1</v>
      </c>
      <c r="EQ1157" s="9" t="s">
        <v>4240</v>
      </c>
      <c r="ER1157" s="21">
        <v>46045.300208333334</v>
      </c>
    </row>
    <row r="1158">
      <c r="A1158" s="9" t="s">
        <v>4245</v>
      </c>
      <c r="B1158" s="20" t="str">
        <f>IFERROR(__xludf.DUMMYFUNCTION("REGEXREPLACE(A1158, ""^https?://[^/]+"", """")"),"/advisors/kathy-yenke/")</f>
        <v>/advisors/kathy-yenke/</v>
      </c>
      <c r="C1158" s="1" t="s">
        <v>4246</v>
      </c>
      <c r="F1158" s="1" t="s">
        <v>965</v>
      </c>
      <c r="G1158" s="1">
        <v>200.0</v>
      </c>
      <c r="H1158" s="1" t="s">
        <v>966</v>
      </c>
      <c r="I1158" s="1" t="s">
        <v>967</v>
      </c>
      <c r="K1158" s="1" t="s">
        <v>4247</v>
      </c>
      <c r="L1158" s="1">
        <v>36.0</v>
      </c>
      <c r="M1158" s="1">
        <v>327.0</v>
      </c>
      <c r="O1158" s="1">
        <v>0.0</v>
      </c>
      <c r="P1158" s="1">
        <v>0.0</v>
      </c>
      <c r="Q1158" s="1" t="s">
        <v>4248</v>
      </c>
      <c r="R1158" s="1">
        <v>162.0</v>
      </c>
      <c r="S1158" s="1">
        <v>990.0</v>
      </c>
      <c r="U1158" s="1">
        <v>0.0</v>
      </c>
      <c r="V1158" s="1" t="s">
        <v>4246</v>
      </c>
      <c r="W1158" s="1">
        <v>16.0</v>
      </c>
      <c r="Y1158" s="1">
        <v>0.0</v>
      </c>
      <c r="AA1158" s="1">
        <v>0.0</v>
      </c>
      <c r="AC1158" s="1">
        <v>0.0</v>
      </c>
      <c r="AD1158" s="1" t="s">
        <v>971</v>
      </c>
      <c r="AG1158" s="9" t="s">
        <v>4245</v>
      </c>
      <c r="AM1158" s="1">
        <v>150318.0</v>
      </c>
      <c r="AN1158" s="1">
        <v>29493.0</v>
      </c>
      <c r="AO1158" s="1">
        <v>29493.0</v>
      </c>
      <c r="AP1158" s="1">
        <v>11.298</v>
      </c>
      <c r="AR1158" s="1">
        <v>628.0</v>
      </c>
      <c r="AS1158" s="1">
        <v>103.0</v>
      </c>
      <c r="AT1158" s="1">
        <v>6.097</v>
      </c>
      <c r="AU1158" s="1">
        <v>56.773</v>
      </c>
      <c r="AV1158" s="1" t="s">
        <v>972</v>
      </c>
      <c r="AW1158" s="1">
        <v>4.228</v>
      </c>
      <c r="AX1158" s="1">
        <v>3.0</v>
      </c>
      <c r="AY1158" s="1">
        <v>2.0</v>
      </c>
      <c r="AZ1158" s="1">
        <v>1.0</v>
      </c>
      <c r="BA1158" s="1">
        <v>1.0</v>
      </c>
      <c r="BB1158" s="1">
        <v>1.0</v>
      </c>
      <c r="BC1158" s="1">
        <v>0.0</v>
      </c>
      <c r="BD1158" s="1">
        <v>0.13</v>
      </c>
      <c r="BE1158" s="1">
        <v>123.0</v>
      </c>
      <c r="BF1158" s="1">
        <v>42.0</v>
      </c>
      <c r="BG1158" s="1">
        <v>0.0</v>
      </c>
      <c r="BH1158" s="1">
        <v>17.0</v>
      </c>
      <c r="BI1158" s="1">
        <v>9.0</v>
      </c>
      <c r="BJ1158" s="1">
        <v>0.0</v>
      </c>
      <c r="BO1158" s="1" t="s">
        <v>4249</v>
      </c>
      <c r="BP1158" s="1">
        <v>1.009</v>
      </c>
      <c r="BU1158" s="1" t="s">
        <v>974</v>
      </c>
      <c r="BV1158" s="1">
        <v>1.1</v>
      </c>
      <c r="EQ1158" s="9" t="s">
        <v>4245</v>
      </c>
      <c r="ER1158" s="21">
        <v>46045.300208333334</v>
      </c>
    </row>
    <row r="1159">
      <c r="A1159" s="9" t="s">
        <v>4250</v>
      </c>
      <c r="B1159" s="20" t="str">
        <f>IFERROR(__xludf.DUMMYFUNCTION("REGEXREPLACE(A1159, ""^https?://[^/]+"", """")"),"/wp-content/uploads/2024/04/April-2024-Class-e1713887986484.jpg")</f>
        <v>/wp-content/uploads/2024/04/April-2024-Class-e1713887986484.jpg</v>
      </c>
      <c r="F1159" s="1" t="s">
        <v>1004</v>
      </c>
      <c r="G1159" s="1">
        <v>200.0</v>
      </c>
      <c r="H1159" s="1" t="s">
        <v>966</v>
      </c>
      <c r="I1159" s="1" t="s">
        <v>967</v>
      </c>
      <c r="L1159" s="1">
        <v>0.0</v>
      </c>
      <c r="M1159" s="1">
        <v>0.0</v>
      </c>
      <c r="O1159" s="1">
        <v>0.0</v>
      </c>
      <c r="P1159" s="1">
        <v>0.0</v>
      </c>
      <c r="R1159" s="1">
        <v>0.0</v>
      </c>
      <c r="S1159" s="1">
        <v>0.0</v>
      </c>
      <c r="U1159" s="1">
        <v>0.0</v>
      </c>
      <c r="W1159" s="1">
        <v>0.0</v>
      </c>
      <c r="Y1159" s="1">
        <v>0.0</v>
      </c>
      <c r="AA1159" s="1">
        <v>0.0</v>
      </c>
      <c r="AC1159" s="1">
        <v>0.0</v>
      </c>
      <c r="AM1159" s="1">
        <v>410390.0</v>
      </c>
      <c r="AN1159" s="1">
        <v>410390.0</v>
      </c>
      <c r="AO1159" s="1">
        <v>410390.0</v>
      </c>
      <c r="AP1159" s="1">
        <v>157.213</v>
      </c>
      <c r="AR1159" s="1">
        <v>0.0</v>
      </c>
      <c r="AW1159" s="1">
        <v>0.0</v>
      </c>
      <c r="AX1159" s="1">
        <v>3.0</v>
      </c>
      <c r="AY1159" s="1">
        <v>4.0</v>
      </c>
      <c r="BA1159" s="1">
        <v>0.0</v>
      </c>
      <c r="BB1159" s="1">
        <v>0.0</v>
      </c>
      <c r="BC1159" s="1">
        <v>0.0</v>
      </c>
      <c r="BD1159" s="1">
        <v>0.0</v>
      </c>
      <c r="BE1159" s="1">
        <v>0.0</v>
      </c>
      <c r="BF1159" s="1">
        <v>0.0</v>
      </c>
      <c r="BG1159" s="1">
        <v>0.0</v>
      </c>
      <c r="BH1159" s="1">
        <v>0.0</v>
      </c>
      <c r="BI1159" s="1">
        <v>0.0</v>
      </c>
      <c r="BJ1159" s="1">
        <v>0.0</v>
      </c>
      <c r="BP1159" s="1">
        <v>0.261</v>
      </c>
      <c r="BQ1159" s="1" t="s">
        <v>4251</v>
      </c>
      <c r="BV1159" s="1">
        <v>1.1</v>
      </c>
      <c r="EQ1159" s="9" t="s">
        <v>4250</v>
      </c>
      <c r="ER1159" s="21">
        <v>46045.30021990741</v>
      </c>
    </row>
    <row r="1160">
      <c r="A1160" s="9" t="s">
        <v>4252</v>
      </c>
      <c r="B1160" s="20" t="str">
        <f>IFERROR(__xludf.DUMMYFUNCTION("REGEXREPLACE(A1160, ""^https?://[^/]+"", """")"),"/wp-content/themes/salesxceleratione/assets/css/style.css?ver=1769123426")</f>
        <v>/wp-content/themes/salesxceleratione/assets/css/style.css?ver=1769123426</v>
      </c>
      <c r="F1160" s="1" t="s">
        <v>1016</v>
      </c>
      <c r="G1160" s="1">
        <v>200.0</v>
      </c>
      <c r="H1160" s="1" t="s">
        <v>966</v>
      </c>
      <c r="I1160" s="1" t="s">
        <v>967</v>
      </c>
      <c r="L1160" s="1">
        <v>0.0</v>
      </c>
      <c r="M1160" s="1">
        <v>0.0</v>
      </c>
      <c r="O1160" s="1">
        <v>0.0</v>
      </c>
      <c r="P1160" s="1">
        <v>0.0</v>
      </c>
      <c r="R1160" s="1">
        <v>0.0</v>
      </c>
      <c r="S1160" s="1">
        <v>0.0</v>
      </c>
      <c r="U1160" s="1">
        <v>0.0</v>
      </c>
      <c r="W1160" s="1">
        <v>0.0</v>
      </c>
      <c r="Y1160" s="1">
        <v>0.0</v>
      </c>
      <c r="AA1160" s="1">
        <v>0.0</v>
      </c>
      <c r="AC1160" s="1">
        <v>0.0</v>
      </c>
      <c r="AM1160" s="1">
        <v>17704.0</v>
      </c>
      <c r="AN1160" s="1">
        <v>17704.0</v>
      </c>
      <c r="AO1160" s="1">
        <v>17704.0</v>
      </c>
      <c r="AP1160" s="1">
        <v>6.782</v>
      </c>
      <c r="AR1160" s="1">
        <v>0.0</v>
      </c>
      <c r="AW1160" s="1">
        <v>0.0</v>
      </c>
      <c r="AX1160" s="1">
        <v>3.0</v>
      </c>
      <c r="AY1160" s="1">
        <v>5.0</v>
      </c>
      <c r="BA1160" s="1">
        <v>0.0</v>
      </c>
      <c r="BB1160" s="1">
        <v>0.0</v>
      </c>
      <c r="BC1160" s="1">
        <v>0.0</v>
      </c>
      <c r="BD1160" s="1">
        <v>0.0</v>
      </c>
      <c r="BE1160" s="1">
        <v>0.0</v>
      </c>
      <c r="BF1160" s="1">
        <v>0.0</v>
      </c>
      <c r="BG1160" s="1">
        <v>0.0</v>
      </c>
      <c r="BH1160" s="1">
        <v>0.0</v>
      </c>
      <c r="BI1160" s="1">
        <v>0.0</v>
      </c>
      <c r="BJ1160" s="1">
        <v>0.0</v>
      </c>
      <c r="BP1160" s="1">
        <v>0.282</v>
      </c>
      <c r="BQ1160" s="1" t="s">
        <v>4253</v>
      </c>
      <c r="BV1160" s="1">
        <v>1.1</v>
      </c>
      <c r="EQ1160" s="9" t="s">
        <v>4252</v>
      </c>
      <c r="ER1160" s="21">
        <v>46045.30021990741</v>
      </c>
    </row>
    <row r="1161">
      <c r="A1161" s="9" t="s">
        <v>4254</v>
      </c>
      <c r="B1161" s="20" t="str">
        <f>IFERROR(__xludf.DUMMYFUNCTION("REGEXREPLACE(A1161, ""^https?://[^/]+"", """")"),"/wp-content/uploads/2022/05/Top20SalesTraining2022-Honorable-lg.png")</f>
        <v>/wp-content/uploads/2022/05/Top20SalesTraining2022-Honorable-lg.png</v>
      </c>
      <c r="F1161" s="1" t="s">
        <v>1047</v>
      </c>
      <c r="G1161" s="1">
        <v>200.0</v>
      </c>
      <c r="H1161" s="1" t="s">
        <v>966</v>
      </c>
      <c r="I1161" s="1" t="s">
        <v>967</v>
      </c>
      <c r="L1161" s="1">
        <v>0.0</v>
      </c>
      <c r="M1161" s="1">
        <v>0.0</v>
      </c>
      <c r="O1161" s="1">
        <v>0.0</v>
      </c>
      <c r="P1161" s="1">
        <v>0.0</v>
      </c>
      <c r="R1161" s="1">
        <v>0.0</v>
      </c>
      <c r="S1161" s="1">
        <v>0.0</v>
      </c>
      <c r="U1161" s="1">
        <v>0.0</v>
      </c>
      <c r="W1161" s="1">
        <v>0.0</v>
      </c>
      <c r="Y1161" s="1">
        <v>0.0</v>
      </c>
      <c r="AA1161" s="1">
        <v>0.0</v>
      </c>
      <c r="AC1161" s="1">
        <v>0.0</v>
      </c>
      <c r="AM1161" s="1">
        <v>39526.0</v>
      </c>
      <c r="AN1161" s="1">
        <v>39526.0</v>
      </c>
      <c r="AO1161" s="1">
        <v>39526.0</v>
      </c>
      <c r="AP1161" s="1">
        <v>15.142</v>
      </c>
      <c r="AR1161" s="1">
        <v>0.0</v>
      </c>
      <c r="AW1161" s="1">
        <v>0.0</v>
      </c>
      <c r="AX1161" s="1">
        <v>3.0</v>
      </c>
      <c r="AY1161" s="1">
        <v>4.0</v>
      </c>
      <c r="BA1161" s="1">
        <v>0.0</v>
      </c>
      <c r="BB1161" s="1">
        <v>0.0</v>
      </c>
      <c r="BC1161" s="1">
        <v>0.0</v>
      </c>
      <c r="BD1161" s="1">
        <v>0.0</v>
      </c>
      <c r="BE1161" s="1">
        <v>0.0</v>
      </c>
      <c r="BF1161" s="1">
        <v>0.0</v>
      </c>
      <c r="BG1161" s="1">
        <v>0.0</v>
      </c>
      <c r="BH1161" s="1">
        <v>0.0</v>
      </c>
      <c r="BI1161" s="1">
        <v>0.0</v>
      </c>
      <c r="BJ1161" s="1">
        <v>0.0</v>
      </c>
      <c r="BP1161" s="1">
        <v>0.268</v>
      </c>
      <c r="BQ1161" s="1" t="s">
        <v>4255</v>
      </c>
      <c r="BV1161" s="1">
        <v>1.1</v>
      </c>
      <c r="EQ1161" s="9" t="s">
        <v>4254</v>
      </c>
      <c r="ER1161" s="21">
        <v>46045.30023148148</v>
      </c>
    </row>
    <row r="1162">
      <c r="A1162" s="9" t="s">
        <v>4256</v>
      </c>
      <c r="B1162" s="20" t="str">
        <f>IFERROR(__xludf.DUMMYFUNCTION("REGEXREPLACE(A1162, ""^https?://[^/]+"", """")"),"/wp-content/uploads/2020/02/advisors-0220.jpg")</f>
        <v>/wp-content/uploads/2020/02/advisors-0220.jpg</v>
      </c>
      <c r="F1162" s="1" t="s">
        <v>1004</v>
      </c>
      <c r="G1162" s="1">
        <v>200.0</v>
      </c>
      <c r="H1162" s="1" t="s">
        <v>966</v>
      </c>
      <c r="I1162" s="1" t="s">
        <v>967</v>
      </c>
      <c r="L1162" s="1">
        <v>0.0</v>
      </c>
      <c r="M1162" s="1">
        <v>0.0</v>
      </c>
      <c r="O1162" s="1">
        <v>0.0</v>
      </c>
      <c r="P1162" s="1">
        <v>0.0</v>
      </c>
      <c r="R1162" s="1">
        <v>0.0</v>
      </c>
      <c r="S1162" s="1">
        <v>0.0</v>
      </c>
      <c r="U1162" s="1">
        <v>0.0</v>
      </c>
      <c r="W1162" s="1">
        <v>0.0</v>
      </c>
      <c r="Y1162" s="1">
        <v>0.0</v>
      </c>
      <c r="AA1162" s="1">
        <v>0.0</v>
      </c>
      <c r="AC1162" s="1">
        <v>0.0</v>
      </c>
      <c r="AM1162" s="1">
        <v>127588.0</v>
      </c>
      <c r="AN1162" s="1">
        <v>127588.0</v>
      </c>
      <c r="AO1162" s="1">
        <v>127588.0</v>
      </c>
      <c r="AP1162" s="1">
        <v>48.877</v>
      </c>
      <c r="AR1162" s="1">
        <v>0.0</v>
      </c>
      <c r="AW1162" s="1">
        <v>0.0</v>
      </c>
      <c r="AX1162" s="1">
        <v>3.0</v>
      </c>
      <c r="AY1162" s="1">
        <v>4.0</v>
      </c>
      <c r="BA1162" s="1">
        <v>0.0</v>
      </c>
      <c r="BB1162" s="1">
        <v>0.0</v>
      </c>
      <c r="BC1162" s="1">
        <v>0.0</v>
      </c>
      <c r="BD1162" s="1">
        <v>0.0</v>
      </c>
      <c r="BE1162" s="1">
        <v>0.0</v>
      </c>
      <c r="BF1162" s="1">
        <v>0.0</v>
      </c>
      <c r="BG1162" s="1">
        <v>0.0</v>
      </c>
      <c r="BH1162" s="1">
        <v>0.0</v>
      </c>
      <c r="BI1162" s="1">
        <v>0.0</v>
      </c>
      <c r="BJ1162" s="1">
        <v>0.0</v>
      </c>
      <c r="BP1162" s="1">
        <v>1.283</v>
      </c>
      <c r="BQ1162" s="1" t="s">
        <v>4257</v>
      </c>
      <c r="BV1162" s="1">
        <v>1.1</v>
      </c>
      <c r="EQ1162" s="9" t="s">
        <v>4256</v>
      </c>
      <c r="ER1162" s="21">
        <v>46045.30021990741</v>
      </c>
    </row>
    <row r="1163">
      <c r="A1163" s="9" t="s">
        <v>4258</v>
      </c>
      <c r="B1163" s="20" t="str">
        <f>IFERROR(__xludf.DUMMYFUNCTION("REGEXREPLACE(A1163, ""^https?://[^/]+"", """")"),"/wp-content/uploads/2017/08/Sales-Xceleration-Milestone-50.jpg")</f>
        <v>/wp-content/uploads/2017/08/Sales-Xceleration-Milestone-50.jpg</v>
      </c>
      <c r="F1163" s="1" t="s">
        <v>1004</v>
      </c>
      <c r="G1163" s="1">
        <v>200.0</v>
      </c>
      <c r="H1163" s="1" t="s">
        <v>966</v>
      </c>
      <c r="I1163" s="1" t="s">
        <v>967</v>
      </c>
      <c r="L1163" s="1">
        <v>0.0</v>
      </c>
      <c r="M1163" s="1">
        <v>0.0</v>
      </c>
      <c r="O1163" s="1">
        <v>0.0</v>
      </c>
      <c r="P1163" s="1">
        <v>0.0</v>
      </c>
      <c r="R1163" s="1">
        <v>0.0</v>
      </c>
      <c r="S1163" s="1">
        <v>0.0</v>
      </c>
      <c r="U1163" s="1">
        <v>0.0</v>
      </c>
      <c r="W1163" s="1">
        <v>0.0</v>
      </c>
      <c r="Y1163" s="1">
        <v>0.0</v>
      </c>
      <c r="AA1163" s="1">
        <v>0.0</v>
      </c>
      <c r="AC1163" s="1">
        <v>0.0</v>
      </c>
      <c r="AM1163" s="1">
        <v>21501.0</v>
      </c>
      <c r="AN1163" s="1">
        <v>21501.0</v>
      </c>
      <c r="AO1163" s="1">
        <v>21501.0</v>
      </c>
      <c r="AP1163" s="1">
        <v>8.237</v>
      </c>
      <c r="AR1163" s="1">
        <v>0.0</v>
      </c>
      <c r="AW1163" s="1">
        <v>0.0</v>
      </c>
      <c r="AX1163" s="1">
        <v>3.0</v>
      </c>
      <c r="AY1163" s="1">
        <v>4.0</v>
      </c>
      <c r="BA1163" s="1">
        <v>0.0</v>
      </c>
      <c r="BB1163" s="1">
        <v>0.0</v>
      </c>
      <c r="BC1163" s="1">
        <v>0.0</v>
      </c>
      <c r="BD1163" s="1">
        <v>0.0</v>
      </c>
      <c r="BE1163" s="1">
        <v>0.0</v>
      </c>
      <c r="BF1163" s="1">
        <v>0.0</v>
      </c>
      <c r="BG1163" s="1">
        <v>0.0</v>
      </c>
      <c r="BH1163" s="1">
        <v>0.0</v>
      </c>
      <c r="BI1163" s="1">
        <v>0.0</v>
      </c>
      <c r="BJ1163" s="1">
        <v>0.0</v>
      </c>
      <c r="BP1163" s="1">
        <v>0.267</v>
      </c>
      <c r="BQ1163" s="1" t="s">
        <v>4259</v>
      </c>
      <c r="BV1163" s="1">
        <v>1.1</v>
      </c>
      <c r="EQ1163" s="9" t="s">
        <v>4258</v>
      </c>
      <c r="ER1163" s="21">
        <v>46045.30023148148</v>
      </c>
    </row>
    <row r="1164">
      <c r="A1164" s="9" t="s">
        <v>4260</v>
      </c>
      <c r="B1164" s="20" t="str">
        <f>IFERROR(__xludf.DUMMYFUNCTION("REGEXREPLACE(A1164, ""^https?://[^/]+"", """")"),"/wp-content/uploads/2022/02/Feb-2022-Training-Class.jpg")</f>
        <v>/wp-content/uploads/2022/02/Feb-2022-Training-Class.jpg</v>
      </c>
      <c r="F1164" s="1" t="s">
        <v>1004</v>
      </c>
      <c r="G1164" s="1">
        <v>200.0</v>
      </c>
      <c r="H1164" s="1" t="s">
        <v>966</v>
      </c>
      <c r="I1164" s="1" t="s">
        <v>967</v>
      </c>
      <c r="L1164" s="1">
        <v>0.0</v>
      </c>
      <c r="M1164" s="1">
        <v>0.0</v>
      </c>
      <c r="O1164" s="1">
        <v>0.0</v>
      </c>
      <c r="P1164" s="1">
        <v>0.0</v>
      </c>
      <c r="R1164" s="1">
        <v>0.0</v>
      </c>
      <c r="S1164" s="1">
        <v>0.0</v>
      </c>
      <c r="U1164" s="1">
        <v>0.0</v>
      </c>
      <c r="W1164" s="1">
        <v>0.0</v>
      </c>
      <c r="Y1164" s="1">
        <v>0.0</v>
      </c>
      <c r="AA1164" s="1">
        <v>0.0</v>
      </c>
      <c r="AC1164" s="1">
        <v>0.0</v>
      </c>
      <c r="AM1164" s="1">
        <v>269892.0</v>
      </c>
      <c r="AN1164" s="1">
        <v>269892.0</v>
      </c>
      <c r="AO1164" s="1">
        <v>269892.0</v>
      </c>
      <c r="AP1164" s="1">
        <v>103.39</v>
      </c>
      <c r="AR1164" s="1">
        <v>0.0</v>
      </c>
      <c r="AW1164" s="1">
        <v>0.0</v>
      </c>
      <c r="AX1164" s="1">
        <v>3.0</v>
      </c>
      <c r="AY1164" s="1">
        <v>4.0</v>
      </c>
      <c r="BA1164" s="1">
        <v>0.0</v>
      </c>
      <c r="BB1164" s="1">
        <v>0.0</v>
      </c>
      <c r="BC1164" s="1">
        <v>0.0</v>
      </c>
      <c r="BD1164" s="1">
        <v>0.0</v>
      </c>
      <c r="BE1164" s="1">
        <v>0.0</v>
      </c>
      <c r="BF1164" s="1">
        <v>0.0</v>
      </c>
      <c r="BG1164" s="1">
        <v>0.0</v>
      </c>
      <c r="BH1164" s="1">
        <v>0.0</v>
      </c>
      <c r="BI1164" s="1">
        <v>0.0</v>
      </c>
      <c r="BJ1164" s="1">
        <v>0.0</v>
      </c>
      <c r="BP1164" s="1">
        <v>0.269</v>
      </c>
      <c r="BQ1164" s="1" t="s">
        <v>4261</v>
      </c>
      <c r="BV1164" s="1">
        <v>1.1</v>
      </c>
      <c r="EQ1164" s="9" t="s">
        <v>4260</v>
      </c>
      <c r="ER1164" s="21">
        <v>46045.30023148148</v>
      </c>
    </row>
    <row r="1165">
      <c r="A1165" s="9" t="s">
        <v>4262</v>
      </c>
      <c r="B1165" s="20" t="str">
        <f>IFERROR(__xludf.DUMMYFUNCTION("REGEXREPLACE(A1165, ""^https?://[^/]+"", """")"),"/wp-content/themes/salesxceleratione/assets/css/style.css?ver=1769123427")</f>
        <v>/wp-content/themes/salesxceleratione/assets/css/style.css?ver=1769123427</v>
      </c>
      <c r="F1165" s="1" t="s">
        <v>1016</v>
      </c>
      <c r="G1165" s="1">
        <v>200.0</v>
      </c>
      <c r="H1165" s="1" t="s">
        <v>966</v>
      </c>
      <c r="I1165" s="1" t="s">
        <v>967</v>
      </c>
      <c r="L1165" s="1">
        <v>0.0</v>
      </c>
      <c r="M1165" s="1">
        <v>0.0</v>
      </c>
      <c r="O1165" s="1">
        <v>0.0</v>
      </c>
      <c r="P1165" s="1">
        <v>0.0</v>
      </c>
      <c r="R1165" s="1">
        <v>0.0</v>
      </c>
      <c r="S1165" s="1">
        <v>0.0</v>
      </c>
      <c r="U1165" s="1">
        <v>0.0</v>
      </c>
      <c r="W1165" s="1">
        <v>0.0</v>
      </c>
      <c r="Y1165" s="1">
        <v>0.0</v>
      </c>
      <c r="AA1165" s="1">
        <v>0.0</v>
      </c>
      <c r="AC1165" s="1">
        <v>0.0</v>
      </c>
      <c r="AM1165" s="1">
        <v>17704.0</v>
      </c>
      <c r="AN1165" s="1">
        <v>17704.0</v>
      </c>
      <c r="AO1165" s="1">
        <v>17704.0</v>
      </c>
      <c r="AP1165" s="1">
        <v>6.782</v>
      </c>
      <c r="AR1165" s="1">
        <v>0.0</v>
      </c>
      <c r="AW1165" s="1">
        <v>0.0</v>
      </c>
      <c r="AX1165" s="1">
        <v>3.0</v>
      </c>
      <c r="AY1165" s="1">
        <v>5.0</v>
      </c>
      <c r="BA1165" s="1">
        <v>0.0</v>
      </c>
      <c r="BB1165" s="1">
        <v>0.0</v>
      </c>
      <c r="BC1165" s="1">
        <v>0.0</v>
      </c>
      <c r="BD1165" s="1">
        <v>0.0</v>
      </c>
      <c r="BE1165" s="1">
        <v>0.0</v>
      </c>
      <c r="BF1165" s="1">
        <v>0.0</v>
      </c>
      <c r="BG1165" s="1">
        <v>0.0</v>
      </c>
      <c r="BH1165" s="1">
        <v>0.0</v>
      </c>
      <c r="BI1165" s="1">
        <v>0.0</v>
      </c>
      <c r="BJ1165" s="1">
        <v>0.0</v>
      </c>
      <c r="BP1165" s="1">
        <v>0.274</v>
      </c>
      <c r="BQ1165" s="1" t="s">
        <v>4253</v>
      </c>
      <c r="BV1165" s="1">
        <v>1.1</v>
      </c>
      <c r="EQ1165" s="9" t="s">
        <v>4262</v>
      </c>
      <c r="ER1165" s="21">
        <v>46045.30023148148</v>
      </c>
    </row>
    <row r="1166">
      <c r="A1166" s="9" t="s">
        <v>4263</v>
      </c>
      <c r="B1166" s="20" t="str">
        <f>IFERROR(__xludf.DUMMYFUNCTION("REGEXREPLACE(A1166, ""^https?://[^/]+"", """")"),"/wp-content/uploads/2019/02/Dec-Class1-scaled.jpg")</f>
        <v>/wp-content/uploads/2019/02/Dec-Class1-scaled.jpg</v>
      </c>
      <c r="F1166" s="1" t="s">
        <v>1004</v>
      </c>
      <c r="G1166" s="1">
        <v>200.0</v>
      </c>
      <c r="H1166" s="1" t="s">
        <v>966</v>
      </c>
      <c r="I1166" s="1" t="s">
        <v>967</v>
      </c>
      <c r="L1166" s="1">
        <v>0.0</v>
      </c>
      <c r="M1166" s="1">
        <v>0.0</v>
      </c>
      <c r="O1166" s="1">
        <v>0.0</v>
      </c>
      <c r="P1166" s="1">
        <v>0.0</v>
      </c>
      <c r="R1166" s="1">
        <v>0.0</v>
      </c>
      <c r="S1166" s="1">
        <v>0.0</v>
      </c>
      <c r="U1166" s="1">
        <v>0.0</v>
      </c>
      <c r="W1166" s="1">
        <v>0.0</v>
      </c>
      <c r="Y1166" s="1">
        <v>0.0</v>
      </c>
      <c r="AA1166" s="1">
        <v>0.0</v>
      </c>
      <c r="AC1166" s="1">
        <v>0.0</v>
      </c>
      <c r="AM1166" s="1">
        <v>301210.0</v>
      </c>
      <c r="AN1166" s="1">
        <v>301210.0</v>
      </c>
      <c r="AO1166" s="1">
        <v>301210.0</v>
      </c>
      <c r="AP1166" s="1">
        <v>115.388</v>
      </c>
      <c r="AR1166" s="1">
        <v>0.0</v>
      </c>
      <c r="AW1166" s="1">
        <v>0.0</v>
      </c>
      <c r="AX1166" s="1">
        <v>3.0</v>
      </c>
      <c r="AY1166" s="1">
        <v>4.0</v>
      </c>
      <c r="BA1166" s="1">
        <v>0.0</v>
      </c>
      <c r="BB1166" s="1">
        <v>0.0</v>
      </c>
      <c r="BC1166" s="1">
        <v>0.0</v>
      </c>
      <c r="BD1166" s="1">
        <v>0.0</v>
      </c>
      <c r="BE1166" s="1">
        <v>0.0</v>
      </c>
      <c r="BF1166" s="1">
        <v>0.0</v>
      </c>
      <c r="BG1166" s="1">
        <v>0.0</v>
      </c>
      <c r="BH1166" s="1">
        <v>0.0</v>
      </c>
      <c r="BI1166" s="1">
        <v>0.0</v>
      </c>
      <c r="BJ1166" s="1">
        <v>0.0</v>
      </c>
      <c r="BP1166" s="1">
        <v>0.273</v>
      </c>
      <c r="BQ1166" s="1" t="s">
        <v>4264</v>
      </c>
      <c r="BV1166" s="1">
        <v>1.1</v>
      </c>
      <c r="EQ1166" s="9" t="s">
        <v>4263</v>
      </c>
      <c r="ER1166" s="21">
        <v>46045.30023148148</v>
      </c>
    </row>
    <row r="1167">
      <c r="A1167" s="9" t="s">
        <v>4265</v>
      </c>
      <c r="B1167" s="20" t="str">
        <f>IFERROR(__xludf.DUMMYFUNCTION("REGEXREPLACE(A1167, ""^https?://[^/]+"", """")"),"/wp-content/uploads/2019/08/Inc.5000.png")</f>
        <v>/wp-content/uploads/2019/08/Inc.5000.png</v>
      </c>
      <c r="F1167" s="1" t="s">
        <v>1047</v>
      </c>
      <c r="G1167" s="1">
        <v>200.0</v>
      </c>
      <c r="H1167" s="1" t="s">
        <v>966</v>
      </c>
      <c r="I1167" s="1" t="s">
        <v>967</v>
      </c>
      <c r="L1167" s="1">
        <v>0.0</v>
      </c>
      <c r="M1167" s="1">
        <v>0.0</v>
      </c>
      <c r="O1167" s="1">
        <v>0.0</v>
      </c>
      <c r="P1167" s="1">
        <v>0.0</v>
      </c>
      <c r="R1167" s="1">
        <v>0.0</v>
      </c>
      <c r="S1167" s="1">
        <v>0.0</v>
      </c>
      <c r="U1167" s="1">
        <v>0.0</v>
      </c>
      <c r="W1167" s="1">
        <v>0.0</v>
      </c>
      <c r="Y1167" s="1">
        <v>0.0</v>
      </c>
      <c r="AA1167" s="1">
        <v>0.0</v>
      </c>
      <c r="AC1167" s="1">
        <v>0.0</v>
      </c>
      <c r="AM1167" s="1">
        <v>31864.0</v>
      </c>
      <c r="AN1167" s="1">
        <v>31864.0</v>
      </c>
      <c r="AO1167" s="1">
        <v>31864.0</v>
      </c>
      <c r="AP1167" s="1">
        <v>12.206</v>
      </c>
      <c r="AR1167" s="1">
        <v>0.0</v>
      </c>
      <c r="AW1167" s="1">
        <v>0.0</v>
      </c>
      <c r="AX1167" s="1">
        <v>3.0</v>
      </c>
      <c r="AY1167" s="1">
        <v>4.0</v>
      </c>
      <c r="BA1167" s="1">
        <v>0.0</v>
      </c>
      <c r="BB1167" s="1">
        <v>0.0</v>
      </c>
      <c r="BC1167" s="1">
        <v>0.0</v>
      </c>
      <c r="BD1167" s="1">
        <v>0.0</v>
      </c>
      <c r="BE1167" s="1">
        <v>0.0</v>
      </c>
      <c r="BF1167" s="1">
        <v>0.0</v>
      </c>
      <c r="BG1167" s="1">
        <v>0.0</v>
      </c>
      <c r="BH1167" s="1">
        <v>0.0</v>
      </c>
      <c r="BI1167" s="1">
        <v>0.0</v>
      </c>
      <c r="BJ1167" s="1">
        <v>0.0</v>
      </c>
      <c r="BP1167" s="1">
        <v>0.272</v>
      </c>
      <c r="BQ1167" s="1" t="s">
        <v>4266</v>
      </c>
      <c r="BV1167" s="1">
        <v>1.1</v>
      </c>
      <c r="EQ1167" s="9" t="s">
        <v>4265</v>
      </c>
      <c r="ER1167" s="21">
        <v>46045.30023148148</v>
      </c>
    </row>
    <row r="1168">
      <c r="A1168" s="9" t="s">
        <v>4267</v>
      </c>
      <c r="B1168" s="20" t="str">
        <f>IFERROR(__xludf.DUMMYFUNCTION("REGEXREPLACE(A1168, ""^https?://[^/]+"", """")"),"/wp-content/themes/salesxceleratione/assets/css/style.css?ver=1769123428")</f>
        <v>/wp-content/themes/salesxceleratione/assets/css/style.css?ver=1769123428</v>
      </c>
      <c r="F1168" s="1" t="s">
        <v>1016</v>
      </c>
      <c r="G1168" s="1">
        <v>200.0</v>
      </c>
      <c r="H1168" s="1" t="s">
        <v>966</v>
      </c>
      <c r="I1168" s="1" t="s">
        <v>967</v>
      </c>
      <c r="L1168" s="1">
        <v>0.0</v>
      </c>
      <c r="M1168" s="1">
        <v>0.0</v>
      </c>
      <c r="O1168" s="1">
        <v>0.0</v>
      </c>
      <c r="P1168" s="1">
        <v>0.0</v>
      </c>
      <c r="R1168" s="1">
        <v>0.0</v>
      </c>
      <c r="S1168" s="1">
        <v>0.0</v>
      </c>
      <c r="U1168" s="1">
        <v>0.0</v>
      </c>
      <c r="W1168" s="1">
        <v>0.0</v>
      </c>
      <c r="Y1168" s="1">
        <v>0.0</v>
      </c>
      <c r="AA1168" s="1">
        <v>0.0</v>
      </c>
      <c r="AC1168" s="1">
        <v>0.0</v>
      </c>
      <c r="AM1168" s="1">
        <v>17704.0</v>
      </c>
      <c r="AN1168" s="1">
        <v>17704.0</v>
      </c>
      <c r="AO1168" s="1">
        <v>17704.0</v>
      </c>
      <c r="AP1168" s="1">
        <v>6.782</v>
      </c>
      <c r="AR1168" s="1">
        <v>0.0</v>
      </c>
      <c r="AW1168" s="1">
        <v>0.0</v>
      </c>
      <c r="AX1168" s="1">
        <v>3.0</v>
      </c>
      <c r="AY1168" s="1">
        <v>5.0</v>
      </c>
      <c r="BA1168" s="1">
        <v>0.0</v>
      </c>
      <c r="BB1168" s="1">
        <v>0.0</v>
      </c>
      <c r="BC1168" s="1">
        <v>0.0</v>
      </c>
      <c r="BD1168" s="1">
        <v>0.0</v>
      </c>
      <c r="BE1168" s="1">
        <v>0.0</v>
      </c>
      <c r="BF1168" s="1">
        <v>0.0</v>
      </c>
      <c r="BG1168" s="1">
        <v>0.0</v>
      </c>
      <c r="BH1168" s="1">
        <v>0.0</v>
      </c>
      <c r="BI1168" s="1">
        <v>0.0</v>
      </c>
      <c r="BJ1168" s="1">
        <v>0.0</v>
      </c>
      <c r="BP1168" s="1">
        <v>0.268</v>
      </c>
      <c r="BQ1168" s="1" t="s">
        <v>4253</v>
      </c>
      <c r="BV1168" s="1">
        <v>1.1</v>
      </c>
      <c r="EQ1168" s="9" t="s">
        <v>4267</v>
      </c>
      <c r="ER1168" s="21">
        <v>46045.30023148148</v>
      </c>
    </row>
    <row r="1169">
      <c r="A1169" s="9" t="s">
        <v>4268</v>
      </c>
      <c r="B1169" s="20" t="str">
        <f>IFERROR(__xludf.DUMMYFUNCTION("REGEXREPLACE(A1169, ""^https?://[^/]+"", """")"),"/wp-content/uploads/2022/02/RISE-image.jpg")</f>
        <v>/wp-content/uploads/2022/02/RISE-image.jpg</v>
      </c>
      <c r="F1169" s="1" t="s">
        <v>1004</v>
      </c>
      <c r="G1169" s="1">
        <v>200.0</v>
      </c>
      <c r="H1169" s="1" t="s">
        <v>966</v>
      </c>
      <c r="I1169" s="1" t="s">
        <v>967</v>
      </c>
      <c r="L1169" s="1">
        <v>0.0</v>
      </c>
      <c r="M1169" s="1">
        <v>0.0</v>
      </c>
      <c r="O1169" s="1">
        <v>0.0</v>
      </c>
      <c r="P1169" s="1">
        <v>0.0</v>
      </c>
      <c r="R1169" s="1">
        <v>0.0</v>
      </c>
      <c r="S1169" s="1">
        <v>0.0</v>
      </c>
      <c r="U1169" s="1">
        <v>0.0</v>
      </c>
      <c r="W1169" s="1">
        <v>0.0</v>
      </c>
      <c r="Y1169" s="1">
        <v>0.0</v>
      </c>
      <c r="AA1169" s="1">
        <v>0.0</v>
      </c>
      <c r="AC1169" s="1">
        <v>0.0</v>
      </c>
      <c r="AM1169" s="1">
        <v>189630.0</v>
      </c>
      <c r="AN1169" s="1">
        <v>189630.0</v>
      </c>
      <c r="AO1169" s="1">
        <v>189630.0</v>
      </c>
      <c r="AP1169" s="1">
        <v>72.644</v>
      </c>
      <c r="AR1169" s="1">
        <v>0.0</v>
      </c>
      <c r="AW1169" s="1">
        <v>0.0</v>
      </c>
      <c r="AX1169" s="1">
        <v>3.0</v>
      </c>
      <c r="AY1169" s="1">
        <v>4.0</v>
      </c>
      <c r="BA1169" s="1">
        <v>0.0</v>
      </c>
      <c r="BB1169" s="1">
        <v>0.0</v>
      </c>
      <c r="BC1169" s="1">
        <v>0.0</v>
      </c>
      <c r="BD1169" s="1">
        <v>0.0</v>
      </c>
      <c r="BE1169" s="1">
        <v>0.0</v>
      </c>
      <c r="BF1169" s="1">
        <v>0.0</v>
      </c>
      <c r="BG1169" s="1">
        <v>0.0</v>
      </c>
      <c r="BH1169" s="1">
        <v>0.0</v>
      </c>
      <c r="BI1169" s="1">
        <v>0.0</v>
      </c>
      <c r="BJ1169" s="1">
        <v>0.0</v>
      </c>
      <c r="BP1169" s="1">
        <v>0.259</v>
      </c>
      <c r="BQ1169" s="1" t="s">
        <v>4269</v>
      </c>
      <c r="BV1169" s="1">
        <v>1.1</v>
      </c>
      <c r="EQ1169" s="9" t="s">
        <v>4268</v>
      </c>
      <c r="ER1169" s="21">
        <v>46045.30024305556</v>
      </c>
    </row>
    <row r="1170">
      <c r="A1170" s="9" t="s">
        <v>4270</v>
      </c>
      <c r="B1170" s="20" t="str">
        <f>IFERROR(__xludf.DUMMYFUNCTION("REGEXREPLACE(A1170, ""^https?://[^/]+"", """")"),"/wp-content/uploads/2019/02/February-2019-New-Sales-Consultants.jpg")</f>
        <v>/wp-content/uploads/2019/02/February-2019-New-Sales-Consultants.jpg</v>
      </c>
      <c r="F1170" s="1" t="s">
        <v>1004</v>
      </c>
      <c r="G1170" s="1">
        <v>200.0</v>
      </c>
      <c r="H1170" s="1" t="s">
        <v>966</v>
      </c>
      <c r="I1170" s="1" t="s">
        <v>967</v>
      </c>
      <c r="L1170" s="1">
        <v>0.0</v>
      </c>
      <c r="M1170" s="1">
        <v>0.0</v>
      </c>
      <c r="O1170" s="1">
        <v>0.0</v>
      </c>
      <c r="P1170" s="1">
        <v>0.0</v>
      </c>
      <c r="R1170" s="1">
        <v>0.0</v>
      </c>
      <c r="S1170" s="1">
        <v>0.0</v>
      </c>
      <c r="U1170" s="1">
        <v>0.0</v>
      </c>
      <c r="W1170" s="1">
        <v>0.0</v>
      </c>
      <c r="Y1170" s="1">
        <v>0.0</v>
      </c>
      <c r="AA1170" s="1">
        <v>0.0</v>
      </c>
      <c r="AC1170" s="1">
        <v>0.0</v>
      </c>
      <c r="AM1170" s="1">
        <v>69975.0</v>
      </c>
      <c r="AN1170" s="1">
        <v>69975.0</v>
      </c>
      <c r="AO1170" s="1">
        <v>69975.0</v>
      </c>
      <c r="AP1170" s="1">
        <v>26.806</v>
      </c>
      <c r="AR1170" s="1">
        <v>0.0</v>
      </c>
      <c r="AW1170" s="1">
        <v>0.0</v>
      </c>
      <c r="AX1170" s="1">
        <v>3.0</v>
      </c>
      <c r="AY1170" s="1">
        <v>4.0</v>
      </c>
      <c r="BA1170" s="1">
        <v>0.0</v>
      </c>
      <c r="BB1170" s="1">
        <v>0.0</v>
      </c>
      <c r="BC1170" s="1">
        <v>0.0</v>
      </c>
      <c r="BD1170" s="1">
        <v>0.0</v>
      </c>
      <c r="BE1170" s="1">
        <v>0.0</v>
      </c>
      <c r="BF1170" s="1">
        <v>0.0</v>
      </c>
      <c r="BG1170" s="1">
        <v>0.0</v>
      </c>
      <c r="BH1170" s="1">
        <v>0.0</v>
      </c>
      <c r="BI1170" s="1">
        <v>0.0</v>
      </c>
      <c r="BJ1170" s="1">
        <v>0.0</v>
      </c>
      <c r="BP1170" s="1">
        <v>0.271</v>
      </c>
      <c r="BQ1170" s="1" t="s">
        <v>4271</v>
      </c>
      <c r="BV1170" s="1">
        <v>1.1</v>
      </c>
      <c r="EQ1170" s="9" t="s">
        <v>4270</v>
      </c>
      <c r="ER1170" s="21">
        <v>46045.30024305556</v>
      </c>
    </row>
    <row r="1171">
      <c r="A1171" s="9" t="s">
        <v>4272</v>
      </c>
      <c r="B1171" s="20" t="str">
        <f>IFERROR(__xludf.DUMMYFUNCTION("REGEXREPLACE(A1171, ""^https?://[^/]+"", """")"),"/wp-content/uploads/2025/10/October-2025-Class.jpg")</f>
        <v>/wp-content/uploads/2025/10/October-2025-Class.jpg</v>
      </c>
      <c r="F1171" s="1" t="s">
        <v>1004</v>
      </c>
      <c r="G1171" s="1">
        <v>200.0</v>
      </c>
      <c r="H1171" s="1" t="s">
        <v>966</v>
      </c>
      <c r="I1171" s="1" t="s">
        <v>967</v>
      </c>
      <c r="L1171" s="1">
        <v>0.0</v>
      </c>
      <c r="M1171" s="1">
        <v>0.0</v>
      </c>
      <c r="O1171" s="1">
        <v>0.0</v>
      </c>
      <c r="P1171" s="1">
        <v>0.0</v>
      </c>
      <c r="R1171" s="1">
        <v>0.0</v>
      </c>
      <c r="S1171" s="1">
        <v>0.0</v>
      </c>
      <c r="U1171" s="1">
        <v>0.0</v>
      </c>
      <c r="W1171" s="1">
        <v>0.0</v>
      </c>
      <c r="Y1171" s="1">
        <v>0.0</v>
      </c>
      <c r="AA1171" s="1">
        <v>0.0</v>
      </c>
      <c r="AC1171" s="1">
        <v>0.0</v>
      </c>
      <c r="AM1171" s="1">
        <v>501269.0</v>
      </c>
      <c r="AN1171" s="1">
        <v>501269.0</v>
      </c>
      <c r="AO1171" s="1">
        <v>501269.0</v>
      </c>
      <c r="AP1171" s="1">
        <v>192.027</v>
      </c>
      <c r="AR1171" s="1">
        <v>0.0</v>
      </c>
      <c r="AW1171" s="1">
        <v>0.0</v>
      </c>
      <c r="AX1171" s="1">
        <v>3.0</v>
      </c>
      <c r="AY1171" s="1">
        <v>4.0</v>
      </c>
      <c r="BA1171" s="1">
        <v>0.0</v>
      </c>
      <c r="BB1171" s="1">
        <v>0.0</v>
      </c>
      <c r="BC1171" s="1">
        <v>0.0</v>
      </c>
      <c r="BD1171" s="1">
        <v>0.0</v>
      </c>
      <c r="BE1171" s="1">
        <v>0.0</v>
      </c>
      <c r="BF1171" s="1">
        <v>0.0</v>
      </c>
      <c r="BG1171" s="1">
        <v>0.0</v>
      </c>
      <c r="BH1171" s="1">
        <v>0.0</v>
      </c>
      <c r="BI1171" s="1">
        <v>0.0</v>
      </c>
      <c r="BJ1171" s="1">
        <v>0.0</v>
      </c>
      <c r="BP1171" s="1">
        <v>0.278</v>
      </c>
      <c r="BQ1171" s="1" t="s">
        <v>4273</v>
      </c>
      <c r="BV1171" s="1">
        <v>1.1</v>
      </c>
      <c r="EQ1171" s="9" t="s">
        <v>4272</v>
      </c>
      <c r="ER1171" s="21">
        <v>46045.30024305556</v>
      </c>
    </row>
    <row r="1172">
      <c r="A1172" s="9" t="s">
        <v>4274</v>
      </c>
      <c r="B1172" s="20" t="str">
        <f>IFERROR(__xludf.DUMMYFUNCTION("REGEXREPLACE(A1172, ""^https?://[^/]+"", """")"),"/wp-content/uploads/2013/10/Sales-Xceleration-October-2013.jpg")</f>
        <v>/wp-content/uploads/2013/10/Sales-Xceleration-October-2013.jpg</v>
      </c>
      <c r="F1172" s="1" t="s">
        <v>1004</v>
      </c>
      <c r="G1172" s="1">
        <v>200.0</v>
      </c>
      <c r="H1172" s="1" t="s">
        <v>966</v>
      </c>
      <c r="I1172" s="1" t="s">
        <v>967</v>
      </c>
      <c r="L1172" s="1">
        <v>0.0</v>
      </c>
      <c r="M1172" s="1">
        <v>0.0</v>
      </c>
      <c r="O1172" s="1">
        <v>0.0</v>
      </c>
      <c r="P1172" s="1">
        <v>0.0</v>
      </c>
      <c r="R1172" s="1">
        <v>0.0</v>
      </c>
      <c r="S1172" s="1">
        <v>0.0</v>
      </c>
      <c r="U1172" s="1">
        <v>0.0</v>
      </c>
      <c r="W1172" s="1">
        <v>0.0</v>
      </c>
      <c r="Y1172" s="1">
        <v>0.0</v>
      </c>
      <c r="AA1172" s="1">
        <v>0.0</v>
      </c>
      <c r="AC1172" s="1">
        <v>0.0</v>
      </c>
      <c r="AM1172" s="1">
        <v>114107.0</v>
      </c>
      <c r="AN1172" s="1">
        <v>114107.0</v>
      </c>
      <c r="AO1172" s="1">
        <v>114107.0</v>
      </c>
      <c r="AP1172" s="1">
        <v>43.712</v>
      </c>
      <c r="AR1172" s="1">
        <v>0.0</v>
      </c>
      <c r="AW1172" s="1">
        <v>0.0</v>
      </c>
      <c r="AX1172" s="1">
        <v>3.0</v>
      </c>
      <c r="AY1172" s="1">
        <v>4.0</v>
      </c>
      <c r="BA1172" s="1">
        <v>0.0</v>
      </c>
      <c r="BB1172" s="1">
        <v>0.0</v>
      </c>
      <c r="BC1172" s="1">
        <v>0.0</v>
      </c>
      <c r="BD1172" s="1">
        <v>0.0</v>
      </c>
      <c r="BE1172" s="1">
        <v>0.0</v>
      </c>
      <c r="BF1172" s="1">
        <v>0.0</v>
      </c>
      <c r="BG1172" s="1">
        <v>0.0</v>
      </c>
      <c r="BH1172" s="1">
        <v>0.0</v>
      </c>
      <c r="BI1172" s="1">
        <v>0.0</v>
      </c>
      <c r="BJ1172" s="1">
        <v>0.0</v>
      </c>
      <c r="BP1172" s="1">
        <v>0.277</v>
      </c>
      <c r="BQ1172" s="1" t="s">
        <v>4275</v>
      </c>
      <c r="BV1172" s="1">
        <v>1.1</v>
      </c>
      <c r="EQ1172" s="9" t="s">
        <v>4274</v>
      </c>
      <c r="ER1172" s="21">
        <v>46045.30024305556</v>
      </c>
    </row>
    <row r="1173">
      <c r="A1173" s="9" t="s">
        <v>4276</v>
      </c>
      <c r="B1173" s="20" t="str">
        <f>IFERROR(__xludf.DUMMYFUNCTION("REGEXREPLACE(A1173, ""^https?://[^/]+"", """")"),"/wp-content/themes/salesxceleratione/assets/css/style.css?ver=1769123429")</f>
        <v>/wp-content/themes/salesxceleratione/assets/css/style.css?ver=1769123429</v>
      </c>
      <c r="F1173" s="1" t="s">
        <v>1016</v>
      </c>
      <c r="G1173" s="1">
        <v>200.0</v>
      </c>
      <c r="H1173" s="1" t="s">
        <v>966</v>
      </c>
      <c r="I1173" s="1" t="s">
        <v>967</v>
      </c>
      <c r="L1173" s="1">
        <v>0.0</v>
      </c>
      <c r="M1173" s="1">
        <v>0.0</v>
      </c>
      <c r="O1173" s="1">
        <v>0.0</v>
      </c>
      <c r="P1173" s="1">
        <v>0.0</v>
      </c>
      <c r="R1173" s="1">
        <v>0.0</v>
      </c>
      <c r="S1173" s="1">
        <v>0.0</v>
      </c>
      <c r="U1173" s="1">
        <v>0.0</v>
      </c>
      <c r="W1173" s="1">
        <v>0.0</v>
      </c>
      <c r="Y1173" s="1">
        <v>0.0</v>
      </c>
      <c r="AA1173" s="1">
        <v>0.0</v>
      </c>
      <c r="AC1173" s="1">
        <v>0.0</v>
      </c>
      <c r="AM1173" s="1">
        <v>17704.0</v>
      </c>
      <c r="AN1173" s="1">
        <v>17704.0</v>
      </c>
      <c r="AO1173" s="1">
        <v>17704.0</v>
      </c>
      <c r="AP1173" s="1">
        <v>6.782</v>
      </c>
      <c r="AR1173" s="1">
        <v>0.0</v>
      </c>
      <c r="AW1173" s="1">
        <v>0.0</v>
      </c>
      <c r="AX1173" s="1">
        <v>3.0</v>
      </c>
      <c r="AY1173" s="1">
        <v>5.0</v>
      </c>
      <c r="BA1173" s="1">
        <v>0.0</v>
      </c>
      <c r="BB1173" s="1">
        <v>0.0</v>
      </c>
      <c r="BC1173" s="1">
        <v>0.0</v>
      </c>
      <c r="BD1173" s="1">
        <v>0.0</v>
      </c>
      <c r="BE1173" s="1">
        <v>0.0</v>
      </c>
      <c r="BF1173" s="1">
        <v>0.0</v>
      </c>
      <c r="BG1173" s="1">
        <v>0.0</v>
      </c>
      <c r="BH1173" s="1">
        <v>0.0</v>
      </c>
      <c r="BI1173" s="1">
        <v>0.0</v>
      </c>
      <c r="BJ1173" s="1">
        <v>0.0</v>
      </c>
      <c r="BP1173" s="1">
        <v>0.293</v>
      </c>
      <c r="BQ1173" s="1" t="s">
        <v>4253</v>
      </c>
      <c r="BV1173" s="1">
        <v>1.1</v>
      </c>
      <c r="EQ1173" s="9" t="s">
        <v>4276</v>
      </c>
      <c r="ER1173" s="21">
        <v>46045.30024305556</v>
      </c>
    </row>
    <row r="1174">
      <c r="A1174" s="9" t="s">
        <v>4277</v>
      </c>
      <c r="B1174" s="20" t="str">
        <f>IFERROR(__xludf.DUMMYFUNCTION("REGEXREPLACE(A1174, ""^https?://[^/]+"", """")"),"/wp-content/uploads/2017/03/CEOluchblog.jpg")</f>
        <v>/wp-content/uploads/2017/03/CEOluchblog.jpg</v>
      </c>
      <c r="F1174" s="1" t="s">
        <v>1004</v>
      </c>
      <c r="G1174" s="1">
        <v>200.0</v>
      </c>
      <c r="H1174" s="1" t="s">
        <v>966</v>
      </c>
      <c r="I1174" s="1" t="s">
        <v>967</v>
      </c>
      <c r="L1174" s="1">
        <v>0.0</v>
      </c>
      <c r="M1174" s="1">
        <v>0.0</v>
      </c>
      <c r="O1174" s="1">
        <v>0.0</v>
      </c>
      <c r="P1174" s="1">
        <v>0.0</v>
      </c>
      <c r="R1174" s="1">
        <v>0.0</v>
      </c>
      <c r="S1174" s="1">
        <v>0.0</v>
      </c>
      <c r="U1174" s="1">
        <v>0.0</v>
      </c>
      <c r="W1174" s="1">
        <v>0.0</v>
      </c>
      <c r="Y1174" s="1">
        <v>0.0</v>
      </c>
      <c r="AA1174" s="1">
        <v>0.0</v>
      </c>
      <c r="AC1174" s="1">
        <v>0.0</v>
      </c>
      <c r="AM1174" s="1">
        <v>51249.0</v>
      </c>
      <c r="AN1174" s="1">
        <v>51249.0</v>
      </c>
      <c r="AO1174" s="1">
        <v>51249.0</v>
      </c>
      <c r="AP1174" s="1">
        <v>19.633</v>
      </c>
      <c r="AR1174" s="1">
        <v>0.0</v>
      </c>
      <c r="AW1174" s="1">
        <v>0.0</v>
      </c>
      <c r="AX1174" s="1">
        <v>3.0</v>
      </c>
      <c r="AY1174" s="1">
        <v>4.0</v>
      </c>
      <c r="BA1174" s="1">
        <v>0.0</v>
      </c>
      <c r="BB1174" s="1">
        <v>0.0</v>
      </c>
      <c r="BC1174" s="1">
        <v>0.0</v>
      </c>
      <c r="BD1174" s="1">
        <v>0.0</v>
      </c>
      <c r="BE1174" s="1">
        <v>0.0</v>
      </c>
      <c r="BF1174" s="1">
        <v>0.0</v>
      </c>
      <c r="BG1174" s="1">
        <v>0.0</v>
      </c>
      <c r="BH1174" s="1">
        <v>0.0</v>
      </c>
      <c r="BI1174" s="1">
        <v>0.0</v>
      </c>
      <c r="BJ1174" s="1">
        <v>0.0</v>
      </c>
      <c r="BP1174" s="1">
        <v>0.274</v>
      </c>
      <c r="BQ1174" s="1" t="s">
        <v>4278</v>
      </c>
      <c r="BV1174" s="1">
        <v>1.1</v>
      </c>
      <c r="EQ1174" s="9" t="s">
        <v>4277</v>
      </c>
      <c r="ER1174" s="21">
        <v>46045.30024305556</v>
      </c>
    </row>
    <row r="1175">
      <c r="A1175" s="9" t="s">
        <v>4279</v>
      </c>
      <c r="B1175" s="20" t="str">
        <f>IFERROR(__xludf.DUMMYFUNCTION("REGEXREPLACE(A1175, ""^https?://[^/]+"", """")"),"/wp-content/uploads/2021/06/June-2021-Advisor-Class.jpg")</f>
        <v>/wp-content/uploads/2021/06/June-2021-Advisor-Class.jpg</v>
      </c>
      <c r="F1175" s="1" t="s">
        <v>1004</v>
      </c>
      <c r="G1175" s="1">
        <v>200.0</v>
      </c>
      <c r="H1175" s="1" t="s">
        <v>966</v>
      </c>
      <c r="I1175" s="1" t="s">
        <v>967</v>
      </c>
      <c r="L1175" s="1">
        <v>0.0</v>
      </c>
      <c r="M1175" s="1">
        <v>0.0</v>
      </c>
      <c r="O1175" s="1">
        <v>0.0</v>
      </c>
      <c r="P1175" s="1">
        <v>0.0</v>
      </c>
      <c r="R1175" s="1">
        <v>0.0</v>
      </c>
      <c r="S1175" s="1">
        <v>0.0</v>
      </c>
      <c r="U1175" s="1">
        <v>0.0</v>
      </c>
      <c r="W1175" s="1">
        <v>0.0</v>
      </c>
      <c r="Y1175" s="1">
        <v>0.0</v>
      </c>
      <c r="AA1175" s="1">
        <v>0.0</v>
      </c>
      <c r="AC1175" s="1">
        <v>0.0</v>
      </c>
      <c r="AM1175" s="1">
        <v>256131.0</v>
      </c>
      <c r="AN1175" s="1">
        <v>256131.0</v>
      </c>
      <c r="AO1175" s="1">
        <v>256131.0</v>
      </c>
      <c r="AP1175" s="1">
        <v>98.119</v>
      </c>
      <c r="AR1175" s="1">
        <v>0.0</v>
      </c>
      <c r="AW1175" s="1">
        <v>0.0</v>
      </c>
      <c r="AX1175" s="1">
        <v>3.0</v>
      </c>
      <c r="AY1175" s="1">
        <v>4.0</v>
      </c>
      <c r="BA1175" s="1">
        <v>0.0</v>
      </c>
      <c r="BB1175" s="1">
        <v>0.0</v>
      </c>
      <c r="BC1175" s="1">
        <v>0.0</v>
      </c>
      <c r="BD1175" s="1">
        <v>0.0</v>
      </c>
      <c r="BE1175" s="1">
        <v>0.0</v>
      </c>
      <c r="BF1175" s="1">
        <v>0.0</v>
      </c>
      <c r="BG1175" s="1">
        <v>0.0</v>
      </c>
      <c r="BH1175" s="1">
        <v>0.0</v>
      </c>
      <c r="BI1175" s="1">
        <v>0.0</v>
      </c>
      <c r="BJ1175" s="1">
        <v>0.0</v>
      </c>
      <c r="BP1175" s="1">
        <v>0.294</v>
      </c>
      <c r="BQ1175" s="1" t="s">
        <v>4280</v>
      </c>
      <c r="BV1175" s="1">
        <v>1.1</v>
      </c>
      <c r="EQ1175" s="9" t="s">
        <v>4279</v>
      </c>
      <c r="ER1175" s="21">
        <v>46045.30024305556</v>
      </c>
    </row>
    <row r="1176">
      <c r="A1176" s="9" t="s">
        <v>4281</v>
      </c>
      <c r="B1176" s="20" t="str">
        <f>IFERROR(__xludf.DUMMYFUNCTION("REGEXREPLACE(A1176, ""^https?://[^/]+"", """")"),"/wp-content/uploads/2017/07/Sales-Xceleration-New-Advisors-scaled-1.jpg")</f>
        <v>/wp-content/uploads/2017/07/Sales-Xceleration-New-Advisors-scaled-1.jpg</v>
      </c>
      <c r="F1176" s="1" t="s">
        <v>1004</v>
      </c>
      <c r="G1176" s="1">
        <v>200.0</v>
      </c>
      <c r="H1176" s="1" t="s">
        <v>966</v>
      </c>
      <c r="I1176" s="1" t="s">
        <v>967</v>
      </c>
      <c r="L1176" s="1">
        <v>0.0</v>
      </c>
      <c r="M1176" s="1">
        <v>0.0</v>
      </c>
      <c r="O1176" s="1">
        <v>0.0</v>
      </c>
      <c r="P1176" s="1">
        <v>0.0</v>
      </c>
      <c r="R1176" s="1">
        <v>0.0</v>
      </c>
      <c r="S1176" s="1">
        <v>0.0</v>
      </c>
      <c r="U1176" s="1">
        <v>0.0</v>
      </c>
      <c r="W1176" s="1">
        <v>0.0</v>
      </c>
      <c r="Y1176" s="1">
        <v>0.0</v>
      </c>
      <c r="AA1176" s="1">
        <v>0.0</v>
      </c>
      <c r="AC1176" s="1">
        <v>0.0</v>
      </c>
      <c r="AM1176" s="1">
        <v>316125.0</v>
      </c>
      <c r="AN1176" s="1">
        <v>316125.0</v>
      </c>
      <c r="AO1176" s="1">
        <v>316125.0</v>
      </c>
      <c r="AP1176" s="1">
        <v>121.101</v>
      </c>
      <c r="AR1176" s="1">
        <v>0.0</v>
      </c>
      <c r="AW1176" s="1">
        <v>0.0</v>
      </c>
      <c r="AX1176" s="1">
        <v>3.0</v>
      </c>
      <c r="AY1176" s="1">
        <v>4.0</v>
      </c>
      <c r="BA1176" s="1">
        <v>0.0</v>
      </c>
      <c r="BB1176" s="1">
        <v>0.0</v>
      </c>
      <c r="BC1176" s="1">
        <v>0.0</v>
      </c>
      <c r="BD1176" s="1">
        <v>0.0</v>
      </c>
      <c r="BE1176" s="1">
        <v>0.0</v>
      </c>
      <c r="BF1176" s="1">
        <v>0.0</v>
      </c>
      <c r="BG1176" s="1">
        <v>0.0</v>
      </c>
      <c r="BH1176" s="1">
        <v>0.0</v>
      </c>
      <c r="BI1176" s="1">
        <v>0.0</v>
      </c>
      <c r="BJ1176" s="1">
        <v>0.0</v>
      </c>
      <c r="BP1176" s="1">
        <v>0.284</v>
      </c>
      <c r="BQ1176" s="1" t="s">
        <v>4282</v>
      </c>
      <c r="BV1176" s="1">
        <v>1.1</v>
      </c>
      <c r="EQ1176" s="9" t="s">
        <v>4281</v>
      </c>
      <c r="ER1176" s="21">
        <v>46045.30025462963</v>
      </c>
    </row>
    <row r="1177">
      <c r="A1177" s="9" t="s">
        <v>4283</v>
      </c>
      <c r="B1177" s="20" t="str">
        <f>IFERROR(__xludf.DUMMYFUNCTION("REGEXREPLACE(A1177, ""^https?://[^/]+"", """")"),"/wp-content/uploads/2024/11/ProCFO-Partners.png")</f>
        <v>/wp-content/uploads/2024/11/ProCFO-Partners.png</v>
      </c>
      <c r="F1177" s="1" t="s">
        <v>1047</v>
      </c>
      <c r="G1177" s="1">
        <v>200.0</v>
      </c>
      <c r="H1177" s="1" t="s">
        <v>966</v>
      </c>
      <c r="I1177" s="1" t="s">
        <v>967</v>
      </c>
      <c r="L1177" s="1">
        <v>0.0</v>
      </c>
      <c r="M1177" s="1">
        <v>0.0</v>
      </c>
      <c r="O1177" s="1">
        <v>0.0</v>
      </c>
      <c r="P1177" s="1">
        <v>0.0</v>
      </c>
      <c r="R1177" s="1">
        <v>0.0</v>
      </c>
      <c r="S1177" s="1">
        <v>0.0</v>
      </c>
      <c r="U1177" s="1">
        <v>0.0</v>
      </c>
      <c r="W1177" s="1">
        <v>0.0</v>
      </c>
      <c r="Y1177" s="1">
        <v>0.0</v>
      </c>
      <c r="AA1177" s="1">
        <v>0.0</v>
      </c>
      <c r="AC1177" s="1">
        <v>0.0</v>
      </c>
      <c r="AM1177" s="1">
        <v>108685.0</v>
      </c>
      <c r="AN1177" s="1">
        <v>108685.0</v>
      </c>
      <c r="AO1177" s="1">
        <v>108685.0</v>
      </c>
      <c r="AP1177" s="1">
        <v>41.635</v>
      </c>
      <c r="AR1177" s="1">
        <v>0.0</v>
      </c>
      <c r="AW1177" s="1">
        <v>0.0</v>
      </c>
      <c r="AX1177" s="1">
        <v>3.0</v>
      </c>
      <c r="AY1177" s="1">
        <v>4.0</v>
      </c>
      <c r="BA1177" s="1">
        <v>0.0</v>
      </c>
      <c r="BB1177" s="1">
        <v>0.0</v>
      </c>
      <c r="BC1177" s="1">
        <v>0.0</v>
      </c>
      <c r="BD1177" s="1">
        <v>0.0</v>
      </c>
      <c r="BE1177" s="1">
        <v>0.0</v>
      </c>
      <c r="BF1177" s="1">
        <v>0.0</v>
      </c>
      <c r="BG1177" s="1">
        <v>0.0</v>
      </c>
      <c r="BH1177" s="1">
        <v>0.0</v>
      </c>
      <c r="BI1177" s="1">
        <v>0.0</v>
      </c>
      <c r="BJ1177" s="1">
        <v>0.0</v>
      </c>
      <c r="BP1177" s="1">
        <v>0.263</v>
      </c>
      <c r="BQ1177" s="1" t="s">
        <v>4284</v>
      </c>
      <c r="BV1177" s="1">
        <v>1.1</v>
      </c>
      <c r="EQ1177" s="9" t="s">
        <v>4283</v>
      </c>
      <c r="ER1177" s="21">
        <v>46045.30025462963</v>
      </c>
    </row>
    <row r="1178">
      <c r="A1178" s="9" t="s">
        <v>4285</v>
      </c>
      <c r="B1178" s="20" t="str">
        <f>IFERROR(__xludf.DUMMYFUNCTION("REGEXREPLACE(A1178, ""^https?://[^/]+"", """")"),"/wp-content/uploads/2021/10/Business-Conference-Speaker-2.jpg")</f>
        <v>/wp-content/uploads/2021/10/Business-Conference-Speaker-2.jpg</v>
      </c>
      <c r="F1178" s="1" t="s">
        <v>1004</v>
      </c>
      <c r="G1178" s="1">
        <v>200.0</v>
      </c>
      <c r="H1178" s="1" t="s">
        <v>966</v>
      </c>
      <c r="I1178" s="1" t="s">
        <v>967</v>
      </c>
      <c r="L1178" s="1">
        <v>0.0</v>
      </c>
      <c r="M1178" s="1">
        <v>0.0</v>
      </c>
      <c r="O1178" s="1">
        <v>0.0</v>
      </c>
      <c r="P1178" s="1">
        <v>0.0</v>
      </c>
      <c r="R1178" s="1">
        <v>0.0</v>
      </c>
      <c r="S1178" s="1">
        <v>0.0</v>
      </c>
      <c r="U1178" s="1">
        <v>0.0</v>
      </c>
      <c r="W1178" s="1">
        <v>0.0</v>
      </c>
      <c r="Y1178" s="1">
        <v>0.0</v>
      </c>
      <c r="AA1178" s="1">
        <v>0.0</v>
      </c>
      <c r="AC1178" s="1">
        <v>0.0</v>
      </c>
      <c r="AM1178" s="1">
        <v>73431.0</v>
      </c>
      <c r="AN1178" s="1">
        <v>73431.0</v>
      </c>
      <c r="AO1178" s="1">
        <v>73431.0</v>
      </c>
      <c r="AP1178" s="1">
        <v>28.13</v>
      </c>
      <c r="AR1178" s="1">
        <v>0.0</v>
      </c>
      <c r="AW1178" s="1">
        <v>0.0</v>
      </c>
      <c r="AX1178" s="1">
        <v>3.0</v>
      </c>
      <c r="AY1178" s="1">
        <v>4.0</v>
      </c>
      <c r="BA1178" s="1">
        <v>0.0</v>
      </c>
      <c r="BB1178" s="1">
        <v>0.0</v>
      </c>
      <c r="BC1178" s="1">
        <v>0.0</v>
      </c>
      <c r="BD1178" s="1">
        <v>0.0</v>
      </c>
      <c r="BE1178" s="1">
        <v>0.0</v>
      </c>
      <c r="BF1178" s="1">
        <v>0.0</v>
      </c>
      <c r="BG1178" s="1">
        <v>0.0</v>
      </c>
      <c r="BH1178" s="1">
        <v>0.0</v>
      </c>
      <c r="BI1178" s="1">
        <v>0.0</v>
      </c>
      <c r="BJ1178" s="1">
        <v>0.0</v>
      </c>
      <c r="BP1178" s="1">
        <v>0.266</v>
      </c>
      <c r="BQ1178" s="1" t="s">
        <v>4286</v>
      </c>
      <c r="BV1178" s="1">
        <v>1.1</v>
      </c>
      <c r="EQ1178" s="9" t="s">
        <v>4285</v>
      </c>
      <c r="ER1178" s="21">
        <v>46045.30025462963</v>
      </c>
    </row>
    <row r="1179">
      <c r="A1179" s="9" t="s">
        <v>4287</v>
      </c>
      <c r="B1179" s="20" t="str">
        <f>IFERROR(__xludf.DUMMYFUNCTION("REGEXREPLACE(A1179, ""^https?://[^/]+"", """")"),"/wp-content/themes/salesxceleratione/assets/css/style.css?ver=1769123430")</f>
        <v>/wp-content/themes/salesxceleratione/assets/css/style.css?ver=1769123430</v>
      </c>
      <c r="F1179" s="1" t="s">
        <v>1016</v>
      </c>
      <c r="G1179" s="1">
        <v>200.0</v>
      </c>
      <c r="H1179" s="1" t="s">
        <v>966</v>
      </c>
      <c r="I1179" s="1" t="s">
        <v>967</v>
      </c>
      <c r="L1179" s="1">
        <v>0.0</v>
      </c>
      <c r="M1179" s="1">
        <v>0.0</v>
      </c>
      <c r="O1179" s="1">
        <v>0.0</v>
      </c>
      <c r="P1179" s="1">
        <v>0.0</v>
      </c>
      <c r="R1179" s="1">
        <v>0.0</v>
      </c>
      <c r="S1179" s="1">
        <v>0.0</v>
      </c>
      <c r="U1179" s="1">
        <v>0.0</v>
      </c>
      <c r="W1179" s="1">
        <v>0.0</v>
      </c>
      <c r="Y1179" s="1">
        <v>0.0</v>
      </c>
      <c r="AA1179" s="1">
        <v>0.0</v>
      </c>
      <c r="AC1179" s="1">
        <v>0.0</v>
      </c>
      <c r="AM1179" s="1">
        <v>17704.0</v>
      </c>
      <c r="AN1179" s="1">
        <v>17704.0</v>
      </c>
      <c r="AO1179" s="1">
        <v>17704.0</v>
      </c>
      <c r="AP1179" s="1">
        <v>6.782</v>
      </c>
      <c r="AR1179" s="1">
        <v>0.0</v>
      </c>
      <c r="AW1179" s="1">
        <v>0.0</v>
      </c>
      <c r="AX1179" s="1">
        <v>3.0</v>
      </c>
      <c r="AY1179" s="1">
        <v>5.0</v>
      </c>
      <c r="BA1179" s="1">
        <v>0.0</v>
      </c>
      <c r="BB1179" s="1">
        <v>0.0</v>
      </c>
      <c r="BC1179" s="1">
        <v>0.0</v>
      </c>
      <c r="BD1179" s="1">
        <v>0.0</v>
      </c>
      <c r="BE1179" s="1">
        <v>0.0</v>
      </c>
      <c r="BF1179" s="1">
        <v>0.0</v>
      </c>
      <c r="BG1179" s="1">
        <v>0.0</v>
      </c>
      <c r="BH1179" s="1">
        <v>0.0</v>
      </c>
      <c r="BI1179" s="1">
        <v>0.0</v>
      </c>
      <c r="BJ1179" s="1">
        <v>0.0</v>
      </c>
      <c r="BP1179" s="1">
        <v>0.284</v>
      </c>
      <c r="BQ1179" s="1" t="s">
        <v>4288</v>
      </c>
      <c r="BV1179" s="1">
        <v>1.1</v>
      </c>
      <c r="EQ1179" s="9" t="s">
        <v>4287</v>
      </c>
      <c r="ER1179" s="21">
        <v>46045.30025462963</v>
      </c>
    </row>
    <row r="1180">
      <c r="A1180" s="9" t="s">
        <v>4289</v>
      </c>
      <c r="B1180" s="20" t="str">
        <f>IFERROR(__xludf.DUMMYFUNCTION("REGEXREPLACE(A1180, ""^https?://[^/]+"", """")"),"/wp-content/uploads/2025/07/Lee-Brumbaugh-CEO-Visionary-Sales-Xceleration.jpg")</f>
        <v>/wp-content/uploads/2025/07/Lee-Brumbaugh-CEO-Visionary-Sales-Xceleration.jpg</v>
      </c>
      <c r="F1180" s="1" t="s">
        <v>1004</v>
      </c>
      <c r="G1180" s="1">
        <v>200.0</v>
      </c>
      <c r="H1180" s="1" t="s">
        <v>966</v>
      </c>
      <c r="I1180" s="1" t="s">
        <v>967</v>
      </c>
      <c r="L1180" s="1">
        <v>0.0</v>
      </c>
      <c r="M1180" s="1">
        <v>0.0</v>
      </c>
      <c r="O1180" s="1">
        <v>0.0</v>
      </c>
      <c r="P1180" s="1">
        <v>0.0</v>
      </c>
      <c r="R1180" s="1">
        <v>0.0</v>
      </c>
      <c r="S1180" s="1">
        <v>0.0</v>
      </c>
      <c r="U1180" s="1">
        <v>0.0</v>
      </c>
      <c r="W1180" s="1">
        <v>0.0</v>
      </c>
      <c r="Y1180" s="1">
        <v>0.0</v>
      </c>
      <c r="AA1180" s="1">
        <v>0.0</v>
      </c>
      <c r="AC1180" s="1">
        <v>0.0</v>
      </c>
      <c r="AM1180" s="1">
        <v>313219.0</v>
      </c>
      <c r="AN1180" s="1">
        <v>313219.0</v>
      </c>
      <c r="AO1180" s="1">
        <v>313219.0</v>
      </c>
      <c r="AP1180" s="1">
        <v>119.988</v>
      </c>
      <c r="AR1180" s="1">
        <v>0.0</v>
      </c>
      <c r="AW1180" s="1">
        <v>0.0</v>
      </c>
      <c r="AX1180" s="1">
        <v>3.0</v>
      </c>
      <c r="AY1180" s="1">
        <v>4.0</v>
      </c>
      <c r="BA1180" s="1">
        <v>0.0</v>
      </c>
      <c r="BB1180" s="1">
        <v>0.0</v>
      </c>
      <c r="BC1180" s="1">
        <v>0.0</v>
      </c>
      <c r="BD1180" s="1">
        <v>0.0</v>
      </c>
      <c r="BE1180" s="1">
        <v>0.0</v>
      </c>
      <c r="BF1180" s="1">
        <v>0.0</v>
      </c>
      <c r="BG1180" s="1">
        <v>0.0</v>
      </c>
      <c r="BH1180" s="1">
        <v>0.0</v>
      </c>
      <c r="BI1180" s="1">
        <v>0.0</v>
      </c>
      <c r="BJ1180" s="1">
        <v>0.0</v>
      </c>
      <c r="BP1180" s="1">
        <v>0.365</v>
      </c>
      <c r="BQ1180" s="1" t="s">
        <v>4290</v>
      </c>
      <c r="BV1180" s="1">
        <v>1.1</v>
      </c>
      <c r="EQ1180" s="9" t="s">
        <v>4289</v>
      </c>
      <c r="ER1180" s="21">
        <v>46045.30025462963</v>
      </c>
    </row>
    <row r="1181">
      <c r="A1181" s="9" t="s">
        <v>4291</v>
      </c>
      <c r="B1181" s="20" t="str">
        <f>IFERROR(__xludf.DUMMYFUNCTION("REGEXREPLACE(A1181, ""^https?://[^/]+"", """")"),"/wp-content/uploads/2024/02/February-2024-SX-Advisor-Class.jpg")</f>
        <v>/wp-content/uploads/2024/02/February-2024-SX-Advisor-Class.jpg</v>
      </c>
      <c r="F1181" s="1" t="s">
        <v>1004</v>
      </c>
      <c r="G1181" s="1">
        <v>200.0</v>
      </c>
      <c r="H1181" s="1" t="s">
        <v>966</v>
      </c>
      <c r="I1181" s="1" t="s">
        <v>967</v>
      </c>
      <c r="L1181" s="1">
        <v>0.0</v>
      </c>
      <c r="M1181" s="1">
        <v>0.0</v>
      </c>
      <c r="O1181" s="1">
        <v>0.0</v>
      </c>
      <c r="P1181" s="1">
        <v>0.0</v>
      </c>
      <c r="R1181" s="1">
        <v>0.0</v>
      </c>
      <c r="S1181" s="1">
        <v>0.0</v>
      </c>
      <c r="U1181" s="1">
        <v>0.0</v>
      </c>
      <c r="W1181" s="1">
        <v>0.0</v>
      </c>
      <c r="Y1181" s="1">
        <v>0.0</v>
      </c>
      <c r="AA1181" s="1">
        <v>0.0</v>
      </c>
      <c r="AC1181" s="1">
        <v>0.0</v>
      </c>
      <c r="AM1181" s="1">
        <v>372335.0</v>
      </c>
      <c r="AN1181" s="1">
        <v>372335.0</v>
      </c>
      <c r="AO1181" s="1">
        <v>372335.0</v>
      </c>
      <c r="AP1181" s="1">
        <v>142.634</v>
      </c>
      <c r="AR1181" s="1">
        <v>0.0</v>
      </c>
      <c r="AW1181" s="1">
        <v>0.0</v>
      </c>
      <c r="AX1181" s="1">
        <v>3.0</v>
      </c>
      <c r="AY1181" s="1">
        <v>4.0</v>
      </c>
      <c r="BA1181" s="1">
        <v>0.0</v>
      </c>
      <c r="BB1181" s="1">
        <v>0.0</v>
      </c>
      <c r="BC1181" s="1">
        <v>0.0</v>
      </c>
      <c r="BD1181" s="1">
        <v>0.0</v>
      </c>
      <c r="BE1181" s="1">
        <v>0.0</v>
      </c>
      <c r="BF1181" s="1">
        <v>0.0</v>
      </c>
      <c r="BG1181" s="1">
        <v>0.0</v>
      </c>
      <c r="BH1181" s="1">
        <v>0.0</v>
      </c>
      <c r="BI1181" s="1">
        <v>0.0</v>
      </c>
      <c r="BJ1181" s="1">
        <v>0.0</v>
      </c>
      <c r="BP1181" s="1">
        <v>0.265</v>
      </c>
      <c r="BQ1181" s="1" t="s">
        <v>4292</v>
      </c>
      <c r="BV1181" s="1">
        <v>1.1</v>
      </c>
      <c r="EQ1181" s="9" t="s">
        <v>4291</v>
      </c>
      <c r="ER1181" s="21">
        <v>46045.3002662037</v>
      </c>
    </row>
    <row r="1182">
      <c r="A1182" s="9" t="s">
        <v>4293</v>
      </c>
      <c r="B1182" s="20" t="str">
        <f>IFERROR(__xludf.DUMMYFUNCTION("REGEXREPLACE(A1182, ""^https?://[^/]+"", """")"),"/wp-content/uploads/2024/01/December-2023-Photo-Final.jpg")</f>
        <v>/wp-content/uploads/2024/01/December-2023-Photo-Final.jpg</v>
      </c>
      <c r="F1182" s="1" t="s">
        <v>1004</v>
      </c>
      <c r="G1182" s="1">
        <v>200.0</v>
      </c>
      <c r="H1182" s="1" t="s">
        <v>966</v>
      </c>
      <c r="I1182" s="1" t="s">
        <v>967</v>
      </c>
      <c r="L1182" s="1">
        <v>0.0</v>
      </c>
      <c r="M1182" s="1">
        <v>0.0</v>
      </c>
      <c r="O1182" s="1">
        <v>0.0</v>
      </c>
      <c r="P1182" s="1">
        <v>0.0</v>
      </c>
      <c r="R1182" s="1">
        <v>0.0</v>
      </c>
      <c r="S1182" s="1">
        <v>0.0</v>
      </c>
      <c r="U1182" s="1">
        <v>0.0</v>
      </c>
      <c r="W1182" s="1">
        <v>0.0</v>
      </c>
      <c r="Y1182" s="1">
        <v>0.0</v>
      </c>
      <c r="AA1182" s="1">
        <v>0.0</v>
      </c>
      <c r="AC1182" s="1">
        <v>0.0</v>
      </c>
      <c r="AM1182" s="1">
        <v>459740.0</v>
      </c>
      <c r="AN1182" s="1">
        <v>459740.0</v>
      </c>
      <c r="AO1182" s="1">
        <v>459740.0</v>
      </c>
      <c r="AP1182" s="1">
        <v>176.118</v>
      </c>
      <c r="AR1182" s="1">
        <v>0.0</v>
      </c>
      <c r="AW1182" s="1">
        <v>0.0</v>
      </c>
      <c r="AX1182" s="1">
        <v>3.0</v>
      </c>
      <c r="AY1182" s="1">
        <v>4.0</v>
      </c>
      <c r="BA1182" s="1">
        <v>0.0</v>
      </c>
      <c r="BB1182" s="1">
        <v>0.0</v>
      </c>
      <c r="BC1182" s="1">
        <v>0.0</v>
      </c>
      <c r="BD1182" s="1">
        <v>0.0</v>
      </c>
      <c r="BE1182" s="1">
        <v>0.0</v>
      </c>
      <c r="BF1182" s="1">
        <v>0.0</v>
      </c>
      <c r="BG1182" s="1">
        <v>0.0</v>
      </c>
      <c r="BH1182" s="1">
        <v>0.0</v>
      </c>
      <c r="BI1182" s="1">
        <v>0.0</v>
      </c>
      <c r="BJ1182" s="1">
        <v>0.0</v>
      </c>
      <c r="BP1182" s="1">
        <v>0.276</v>
      </c>
      <c r="BQ1182" s="1" t="s">
        <v>4294</v>
      </c>
      <c r="BV1182" s="1">
        <v>1.1</v>
      </c>
      <c r="EQ1182" s="9" t="s">
        <v>4293</v>
      </c>
      <c r="ER1182" s="21">
        <v>46045.3002662037</v>
      </c>
    </row>
    <row r="1183">
      <c r="A1183" s="9" t="s">
        <v>4295</v>
      </c>
      <c r="B1183" s="20" t="str">
        <f>IFERROR(__xludf.DUMMYFUNCTION("REGEXREPLACE(A1183, ""^https?://[^/]+"", """")"),"/wp-content/uploads/2023/10/SX-October-2023-Class.jpg")</f>
        <v>/wp-content/uploads/2023/10/SX-October-2023-Class.jpg</v>
      </c>
      <c r="F1183" s="1" t="s">
        <v>1004</v>
      </c>
      <c r="G1183" s="1">
        <v>200.0</v>
      </c>
      <c r="H1183" s="1" t="s">
        <v>966</v>
      </c>
      <c r="I1183" s="1" t="s">
        <v>967</v>
      </c>
      <c r="L1183" s="1">
        <v>0.0</v>
      </c>
      <c r="M1183" s="1">
        <v>0.0</v>
      </c>
      <c r="O1183" s="1">
        <v>0.0</v>
      </c>
      <c r="P1183" s="1">
        <v>0.0</v>
      </c>
      <c r="R1183" s="1">
        <v>0.0</v>
      </c>
      <c r="S1183" s="1">
        <v>0.0</v>
      </c>
      <c r="U1183" s="1">
        <v>0.0</v>
      </c>
      <c r="W1183" s="1">
        <v>0.0</v>
      </c>
      <c r="Y1183" s="1">
        <v>0.0</v>
      </c>
      <c r="AA1183" s="1">
        <v>0.0</v>
      </c>
      <c r="AC1183" s="1">
        <v>0.0</v>
      </c>
      <c r="AM1183" s="1">
        <v>318204.0</v>
      </c>
      <c r="AN1183" s="1">
        <v>318204.0</v>
      </c>
      <c r="AO1183" s="1">
        <v>318204.0</v>
      </c>
      <c r="AP1183" s="1">
        <v>121.898</v>
      </c>
      <c r="AR1183" s="1">
        <v>0.0</v>
      </c>
      <c r="AW1183" s="1">
        <v>0.0</v>
      </c>
      <c r="AX1183" s="1">
        <v>3.0</v>
      </c>
      <c r="AY1183" s="1">
        <v>4.0</v>
      </c>
      <c r="BA1183" s="1">
        <v>0.0</v>
      </c>
      <c r="BB1183" s="1">
        <v>0.0</v>
      </c>
      <c r="BC1183" s="1">
        <v>0.0</v>
      </c>
      <c r="BD1183" s="1">
        <v>0.0</v>
      </c>
      <c r="BE1183" s="1">
        <v>0.0</v>
      </c>
      <c r="BF1183" s="1">
        <v>0.0</v>
      </c>
      <c r="BG1183" s="1">
        <v>0.0</v>
      </c>
      <c r="BH1183" s="1">
        <v>0.0</v>
      </c>
      <c r="BI1183" s="1">
        <v>0.0</v>
      </c>
      <c r="BJ1183" s="1">
        <v>0.0</v>
      </c>
      <c r="BP1183" s="1">
        <v>0.295</v>
      </c>
      <c r="BQ1183" s="1" t="s">
        <v>4296</v>
      </c>
      <c r="BV1183" s="1">
        <v>1.1</v>
      </c>
      <c r="EQ1183" s="9" t="s">
        <v>4295</v>
      </c>
      <c r="ER1183" s="21">
        <v>46045.3002662037</v>
      </c>
    </row>
    <row r="1184">
      <c r="A1184" s="9" t="s">
        <v>4297</v>
      </c>
      <c r="B1184" s="20" t="str">
        <f>IFERROR(__xludf.DUMMYFUNCTION("REGEXREPLACE(A1184, ""^https?://[^/]+"", """")"),"/wp-content/themes/salesxceleratione/assets/css/style.css?ver=1769123431")</f>
        <v>/wp-content/themes/salesxceleratione/assets/css/style.css?ver=1769123431</v>
      </c>
      <c r="F1184" s="1" t="s">
        <v>1016</v>
      </c>
      <c r="G1184" s="1">
        <v>200.0</v>
      </c>
      <c r="H1184" s="1" t="s">
        <v>966</v>
      </c>
      <c r="I1184" s="1" t="s">
        <v>967</v>
      </c>
      <c r="L1184" s="1">
        <v>0.0</v>
      </c>
      <c r="M1184" s="1">
        <v>0.0</v>
      </c>
      <c r="O1184" s="1">
        <v>0.0</v>
      </c>
      <c r="P1184" s="1">
        <v>0.0</v>
      </c>
      <c r="R1184" s="1">
        <v>0.0</v>
      </c>
      <c r="S1184" s="1">
        <v>0.0</v>
      </c>
      <c r="U1184" s="1">
        <v>0.0</v>
      </c>
      <c r="W1184" s="1">
        <v>0.0</v>
      </c>
      <c r="Y1184" s="1">
        <v>0.0</v>
      </c>
      <c r="AA1184" s="1">
        <v>0.0</v>
      </c>
      <c r="AC1184" s="1">
        <v>0.0</v>
      </c>
      <c r="AM1184" s="1">
        <v>17704.0</v>
      </c>
      <c r="AN1184" s="1">
        <v>17704.0</v>
      </c>
      <c r="AO1184" s="1">
        <v>17704.0</v>
      </c>
      <c r="AP1184" s="1">
        <v>6.782</v>
      </c>
      <c r="AR1184" s="1">
        <v>0.0</v>
      </c>
      <c r="AW1184" s="1">
        <v>0.0</v>
      </c>
      <c r="AX1184" s="1">
        <v>3.0</v>
      </c>
      <c r="AY1184" s="1">
        <v>5.0</v>
      </c>
      <c r="BA1184" s="1">
        <v>0.0</v>
      </c>
      <c r="BB1184" s="1">
        <v>0.0</v>
      </c>
      <c r="BC1184" s="1">
        <v>0.0</v>
      </c>
      <c r="BD1184" s="1">
        <v>0.0</v>
      </c>
      <c r="BE1184" s="1">
        <v>0.0</v>
      </c>
      <c r="BF1184" s="1">
        <v>0.0</v>
      </c>
      <c r="BG1184" s="1">
        <v>0.0</v>
      </c>
      <c r="BH1184" s="1">
        <v>0.0</v>
      </c>
      <c r="BI1184" s="1">
        <v>0.0</v>
      </c>
      <c r="BJ1184" s="1">
        <v>0.0</v>
      </c>
      <c r="BP1184" s="1">
        <v>0.268</v>
      </c>
      <c r="BQ1184" s="1" t="s">
        <v>4298</v>
      </c>
      <c r="BV1184" s="1">
        <v>1.1</v>
      </c>
      <c r="EQ1184" s="9" t="s">
        <v>4297</v>
      </c>
      <c r="ER1184" s="21">
        <v>46045.3002662037</v>
      </c>
    </row>
    <row r="1185">
      <c r="A1185" s="9" t="s">
        <v>4299</v>
      </c>
      <c r="B1185" s="20" t="str">
        <f>IFERROR(__xludf.DUMMYFUNCTION("REGEXREPLACE(A1185, ""^https?://[^/]+"", """")"),"/wp-content/uploads/2022/06/Amplify-3.png")</f>
        <v>/wp-content/uploads/2022/06/Amplify-3.png</v>
      </c>
      <c r="F1185" s="1" t="s">
        <v>1047</v>
      </c>
      <c r="G1185" s="1">
        <v>200.0</v>
      </c>
      <c r="H1185" s="1" t="s">
        <v>966</v>
      </c>
      <c r="I1185" s="1" t="s">
        <v>967</v>
      </c>
      <c r="L1185" s="1">
        <v>0.0</v>
      </c>
      <c r="M1185" s="1">
        <v>0.0</v>
      </c>
      <c r="O1185" s="1">
        <v>0.0</v>
      </c>
      <c r="P1185" s="1">
        <v>0.0</v>
      </c>
      <c r="R1185" s="1">
        <v>0.0</v>
      </c>
      <c r="S1185" s="1">
        <v>0.0</v>
      </c>
      <c r="U1185" s="1">
        <v>0.0</v>
      </c>
      <c r="W1185" s="1">
        <v>0.0</v>
      </c>
      <c r="Y1185" s="1">
        <v>0.0</v>
      </c>
      <c r="AA1185" s="1">
        <v>0.0</v>
      </c>
      <c r="AC1185" s="1">
        <v>0.0</v>
      </c>
      <c r="AM1185" s="1">
        <v>42940.0</v>
      </c>
      <c r="AN1185" s="1">
        <v>42940.0</v>
      </c>
      <c r="AO1185" s="1">
        <v>42940.0</v>
      </c>
      <c r="AP1185" s="1">
        <v>16.449</v>
      </c>
      <c r="AR1185" s="1">
        <v>0.0</v>
      </c>
      <c r="AW1185" s="1">
        <v>0.0</v>
      </c>
      <c r="AX1185" s="1">
        <v>3.0</v>
      </c>
      <c r="AY1185" s="1">
        <v>4.0</v>
      </c>
      <c r="BA1185" s="1">
        <v>0.0</v>
      </c>
      <c r="BB1185" s="1">
        <v>0.0</v>
      </c>
      <c r="BC1185" s="1">
        <v>0.0</v>
      </c>
      <c r="BD1185" s="1">
        <v>0.0</v>
      </c>
      <c r="BE1185" s="1">
        <v>0.0</v>
      </c>
      <c r="BF1185" s="1">
        <v>0.0</v>
      </c>
      <c r="BG1185" s="1">
        <v>0.0</v>
      </c>
      <c r="BH1185" s="1">
        <v>0.0</v>
      </c>
      <c r="BI1185" s="1">
        <v>0.0</v>
      </c>
      <c r="BJ1185" s="1">
        <v>0.0</v>
      </c>
      <c r="BP1185" s="1">
        <v>0.266</v>
      </c>
      <c r="BQ1185" s="1" t="s">
        <v>4300</v>
      </c>
      <c r="BV1185" s="1">
        <v>1.1</v>
      </c>
      <c r="EQ1185" s="9" t="s">
        <v>4299</v>
      </c>
      <c r="ER1185" s="21">
        <v>46045.3002662037</v>
      </c>
    </row>
    <row r="1186">
      <c r="A1186" s="9" t="s">
        <v>4301</v>
      </c>
      <c r="B1186" s="20" t="str">
        <f>IFERROR(__xludf.DUMMYFUNCTION("REGEXREPLACE(A1186, ""^https?://[^/]+"", """")"),"/wp-content/uploads/2024/06/June-2024-Class-Photo.jpg")</f>
        <v>/wp-content/uploads/2024/06/June-2024-Class-Photo.jpg</v>
      </c>
      <c r="F1186" s="1" t="s">
        <v>1004</v>
      </c>
      <c r="G1186" s="1">
        <v>200.0</v>
      </c>
      <c r="H1186" s="1" t="s">
        <v>966</v>
      </c>
      <c r="I1186" s="1" t="s">
        <v>967</v>
      </c>
      <c r="L1186" s="1">
        <v>0.0</v>
      </c>
      <c r="M1186" s="1">
        <v>0.0</v>
      </c>
      <c r="O1186" s="1">
        <v>0.0</v>
      </c>
      <c r="P1186" s="1">
        <v>0.0</v>
      </c>
      <c r="R1186" s="1">
        <v>0.0</v>
      </c>
      <c r="S1186" s="1">
        <v>0.0</v>
      </c>
      <c r="U1186" s="1">
        <v>0.0</v>
      </c>
      <c r="W1186" s="1">
        <v>0.0</v>
      </c>
      <c r="Y1186" s="1">
        <v>0.0</v>
      </c>
      <c r="AA1186" s="1">
        <v>0.0</v>
      </c>
      <c r="AC1186" s="1">
        <v>0.0</v>
      </c>
      <c r="AM1186" s="1">
        <v>431700.0</v>
      </c>
      <c r="AN1186" s="1">
        <v>431700.0</v>
      </c>
      <c r="AO1186" s="1">
        <v>431700.0</v>
      </c>
      <c r="AP1186" s="1">
        <v>165.376</v>
      </c>
      <c r="AR1186" s="1">
        <v>0.0</v>
      </c>
      <c r="AW1186" s="1">
        <v>0.0</v>
      </c>
      <c r="AX1186" s="1">
        <v>3.0</v>
      </c>
      <c r="AY1186" s="1">
        <v>4.0</v>
      </c>
      <c r="BA1186" s="1">
        <v>0.0</v>
      </c>
      <c r="BB1186" s="1">
        <v>0.0</v>
      </c>
      <c r="BC1186" s="1">
        <v>0.0</v>
      </c>
      <c r="BD1186" s="1">
        <v>0.0</v>
      </c>
      <c r="BE1186" s="1">
        <v>0.0</v>
      </c>
      <c r="BF1186" s="1">
        <v>0.0</v>
      </c>
      <c r="BG1186" s="1">
        <v>0.0</v>
      </c>
      <c r="BH1186" s="1">
        <v>0.0</v>
      </c>
      <c r="BI1186" s="1">
        <v>0.0</v>
      </c>
      <c r="BJ1186" s="1">
        <v>0.0</v>
      </c>
      <c r="BP1186" s="1">
        <v>0.284</v>
      </c>
      <c r="BQ1186" s="1" t="s">
        <v>4302</v>
      </c>
      <c r="BV1186" s="1">
        <v>1.1</v>
      </c>
      <c r="EQ1186" s="9" t="s">
        <v>4301</v>
      </c>
      <c r="ER1186" s="21">
        <v>46045.3002662037</v>
      </c>
    </row>
    <row r="1187">
      <c r="A1187" s="9" t="s">
        <v>4303</v>
      </c>
      <c r="B1187" s="20" t="str">
        <f>IFERROR(__xludf.DUMMYFUNCTION("REGEXREPLACE(A1187, ""^https?://[^/]+"", """")"),"/wp-content/uploads/2023/04/April-2023-Class-Photo-4.jpeg")</f>
        <v>/wp-content/uploads/2023/04/April-2023-Class-Photo-4.jpeg</v>
      </c>
      <c r="F1187" s="1" t="s">
        <v>1004</v>
      </c>
      <c r="G1187" s="1">
        <v>200.0</v>
      </c>
      <c r="H1187" s="1" t="s">
        <v>966</v>
      </c>
      <c r="I1187" s="1" t="s">
        <v>967</v>
      </c>
      <c r="L1187" s="1">
        <v>0.0</v>
      </c>
      <c r="M1187" s="1">
        <v>0.0</v>
      </c>
      <c r="O1187" s="1">
        <v>0.0</v>
      </c>
      <c r="P1187" s="1">
        <v>0.0</v>
      </c>
      <c r="R1187" s="1">
        <v>0.0</v>
      </c>
      <c r="S1187" s="1">
        <v>0.0</v>
      </c>
      <c r="U1187" s="1">
        <v>0.0</v>
      </c>
      <c r="W1187" s="1">
        <v>0.0</v>
      </c>
      <c r="Y1187" s="1">
        <v>0.0</v>
      </c>
      <c r="AA1187" s="1">
        <v>0.0</v>
      </c>
      <c r="AC1187" s="1">
        <v>0.0</v>
      </c>
      <c r="AM1187" s="1">
        <v>64580.0</v>
      </c>
      <c r="AN1187" s="1">
        <v>64580.0</v>
      </c>
      <c r="AO1187" s="1">
        <v>64580.0</v>
      </c>
      <c r="AP1187" s="1">
        <v>24.739</v>
      </c>
      <c r="AR1187" s="1">
        <v>0.0</v>
      </c>
      <c r="AW1187" s="1">
        <v>0.0</v>
      </c>
      <c r="AX1187" s="1">
        <v>3.0</v>
      </c>
      <c r="AY1187" s="1">
        <v>4.0</v>
      </c>
      <c r="BA1187" s="1">
        <v>0.0</v>
      </c>
      <c r="BB1187" s="1">
        <v>0.0</v>
      </c>
      <c r="BC1187" s="1">
        <v>0.0</v>
      </c>
      <c r="BD1187" s="1">
        <v>0.0</v>
      </c>
      <c r="BE1187" s="1">
        <v>0.0</v>
      </c>
      <c r="BF1187" s="1">
        <v>0.0</v>
      </c>
      <c r="BG1187" s="1">
        <v>0.0</v>
      </c>
      <c r="BH1187" s="1">
        <v>0.0</v>
      </c>
      <c r="BI1187" s="1">
        <v>0.0</v>
      </c>
      <c r="BJ1187" s="1">
        <v>0.0</v>
      </c>
      <c r="BP1187" s="1">
        <v>0.262</v>
      </c>
      <c r="BQ1187" s="1" t="s">
        <v>4304</v>
      </c>
      <c r="BV1187" s="1">
        <v>1.1</v>
      </c>
      <c r="EQ1187" s="9" t="s">
        <v>4303</v>
      </c>
      <c r="ER1187" s="21">
        <v>46045.3002662037</v>
      </c>
    </row>
    <row r="1188">
      <c r="A1188" s="9" t="s">
        <v>4305</v>
      </c>
      <c r="B1188" s="20" t="str">
        <f>IFERROR(__xludf.DUMMYFUNCTION("REGEXREPLACE(A1188, ""^https?://[^/]+"", """")"),"/wp-content/themes/salesxceleratione/assets/css/style.css?ver=1769123432")</f>
        <v>/wp-content/themes/salesxceleratione/assets/css/style.css?ver=1769123432</v>
      </c>
      <c r="F1188" s="1" t="s">
        <v>1016</v>
      </c>
      <c r="G1188" s="1">
        <v>200.0</v>
      </c>
      <c r="H1188" s="1" t="s">
        <v>966</v>
      </c>
      <c r="I1188" s="1" t="s">
        <v>967</v>
      </c>
      <c r="L1188" s="1">
        <v>0.0</v>
      </c>
      <c r="M1188" s="1">
        <v>0.0</v>
      </c>
      <c r="O1188" s="1">
        <v>0.0</v>
      </c>
      <c r="P1188" s="1">
        <v>0.0</v>
      </c>
      <c r="R1188" s="1">
        <v>0.0</v>
      </c>
      <c r="S1188" s="1">
        <v>0.0</v>
      </c>
      <c r="U1188" s="1">
        <v>0.0</v>
      </c>
      <c r="W1188" s="1">
        <v>0.0</v>
      </c>
      <c r="Y1188" s="1">
        <v>0.0</v>
      </c>
      <c r="AA1188" s="1">
        <v>0.0</v>
      </c>
      <c r="AC1188" s="1">
        <v>0.0</v>
      </c>
      <c r="AM1188" s="1">
        <v>17704.0</v>
      </c>
      <c r="AN1188" s="1">
        <v>17704.0</v>
      </c>
      <c r="AO1188" s="1">
        <v>17704.0</v>
      </c>
      <c r="AP1188" s="1">
        <v>6.782</v>
      </c>
      <c r="AR1188" s="1">
        <v>0.0</v>
      </c>
      <c r="AW1188" s="1">
        <v>0.0</v>
      </c>
      <c r="AX1188" s="1">
        <v>3.0</v>
      </c>
      <c r="AY1188" s="1">
        <v>5.0</v>
      </c>
      <c r="BA1188" s="1">
        <v>0.0</v>
      </c>
      <c r="BB1188" s="1">
        <v>0.0</v>
      </c>
      <c r="BC1188" s="1">
        <v>0.0</v>
      </c>
      <c r="BD1188" s="1">
        <v>0.0</v>
      </c>
      <c r="BE1188" s="1">
        <v>0.0</v>
      </c>
      <c r="BF1188" s="1">
        <v>0.0</v>
      </c>
      <c r="BG1188" s="1">
        <v>0.0</v>
      </c>
      <c r="BH1188" s="1">
        <v>0.0</v>
      </c>
      <c r="BI1188" s="1">
        <v>0.0</v>
      </c>
      <c r="BJ1188" s="1">
        <v>0.0</v>
      </c>
      <c r="BP1188" s="1">
        <v>0.266</v>
      </c>
      <c r="BQ1188" s="1" t="s">
        <v>4288</v>
      </c>
      <c r="BV1188" s="1">
        <v>1.1</v>
      </c>
      <c r="EQ1188" s="9" t="s">
        <v>4305</v>
      </c>
      <c r="ER1188" s="21">
        <v>46045.3002662037</v>
      </c>
    </row>
    <row r="1189">
      <c r="A1189" s="9" t="s">
        <v>4306</v>
      </c>
      <c r="B1189" s="20" t="str">
        <f>IFERROR(__xludf.DUMMYFUNCTION("REGEXREPLACE(A1189, ""^https?://[^/]+"", """")"),"/wp-content/uploads/2020/05/Quick-Survey-sm.jpg")</f>
        <v>/wp-content/uploads/2020/05/Quick-Survey-sm.jpg</v>
      </c>
      <c r="F1189" s="1" t="s">
        <v>1004</v>
      </c>
      <c r="G1189" s="1">
        <v>200.0</v>
      </c>
      <c r="H1189" s="1" t="s">
        <v>966</v>
      </c>
      <c r="I1189" s="1" t="s">
        <v>967</v>
      </c>
      <c r="L1189" s="1">
        <v>0.0</v>
      </c>
      <c r="M1189" s="1">
        <v>0.0</v>
      </c>
      <c r="O1189" s="1">
        <v>0.0</v>
      </c>
      <c r="P1189" s="1">
        <v>0.0</v>
      </c>
      <c r="R1189" s="1">
        <v>0.0</v>
      </c>
      <c r="S1189" s="1">
        <v>0.0</v>
      </c>
      <c r="U1189" s="1">
        <v>0.0</v>
      </c>
      <c r="W1189" s="1">
        <v>0.0</v>
      </c>
      <c r="Y1189" s="1">
        <v>0.0</v>
      </c>
      <c r="AA1189" s="1">
        <v>0.0</v>
      </c>
      <c r="AC1189" s="1">
        <v>0.0</v>
      </c>
      <c r="AM1189" s="1">
        <v>31811.0</v>
      </c>
      <c r="AN1189" s="1">
        <v>31811.0</v>
      </c>
      <c r="AO1189" s="1">
        <v>31811.0</v>
      </c>
      <c r="AP1189" s="1">
        <v>12.186</v>
      </c>
      <c r="AR1189" s="1">
        <v>0.0</v>
      </c>
      <c r="AW1189" s="1">
        <v>0.0</v>
      </c>
      <c r="AX1189" s="1">
        <v>3.0</v>
      </c>
      <c r="AY1189" s="1">
        <v>4.0</v>
      </c>
      <c r="BA1189" s="1">
        <v>0.0</v>
      </c>
      <c r="BB1189" s="1">
        <v>0.0</v>
      </c>
      <c r="BC1189" s="1">
        <v>0.0</v>
      </c>
      <c r="BD1189" s="1">
        <v>0.0</v>
      </c>
      <c r="BE1189" s="1">
        <v>0.0</v>
      </c>
      <c r="BF1189" s="1">
        <v>0.0</v>
      </c>
      <c r="BG1189" s="1">
        <v>0.0</v>
      </c>
      <c r="BH1189" s="1">
        <v>0.0</v>
      </c>
      <c r="BI1189" s="1">
        <v>0.0</v>
      </c>
      <c r="BJ1189" s="1">
        <v>0.0</v>
      </c>
      <c r="BP1189" s="1">
        <v>0.278</v>
      </c>
      <c r="BQ1189" s="1" t="s">
        <v>4307</v>
      </c>
      <c r="BV1189" s="1">
        <v>1.1</v>
      </c>
      <c r="EQ1189" s="9" t="s">
        <v>4306</v>
      </c>
      <c r="ER1189" s="21">
        <v>46045.30027777778</v>
      </c>
    </row>
    <row r="1190">
      <c r="A1190" s="9" t="s">
        <v>4308</v>
      </c>
      <c r="B1190" s="20" t="str">
        <f>IFERROR(__xludf.DUMMYFUNCTION("REGEXREPLACE(A1190, ""^https?://[^/]+"", """")"),"/wp-content/uploads/2024/08/Sales-Xceleration-Fractional-VPs-of-Sales.jpg")</f>
        <v>/wp-content/uploads/2024/08/Sales-Xceleration-Fractional-VPs-of-Sales.jpg</v>
      </c>
      <c r="F1190" s="1" t="s">
        <v>1004</v>
      </c>
      <c r="G1190" s="1">
        <v>200.0</v>
      </c>
      <c r="H1190" s="1" t="s">
        <v>966</v>
      </c>
      <c r="I1190" s="1" t="s">
        <v>967</v>
      </c>
      <c r="L1190" s="1">
        <v>0.0</v>
      </c>
      <c r="M1190" s="1">
        <v>0.0</v>
      </c>
      <c r="O1190" s="1">
        <v>0.0</v>
      </c>
      <c r="P1190" s="1">
        <v>0.0</v>
      </c>
      <c r="R1190" s="1">
        <v>0.0</v>
      </c>
      <c r="S1190" s="1">
        <v>0.0</v>
      </c>
      <c r="U1190" s="1">
        <v>0.0</v>
      </c>
      <c r="W1190" s="1">
        <v>0.0</v>
      </c>
      <c r="Y1190" s="1">
        <v>0.0</v>
      </c>
      <c r="AA1190" s="1">
        <v>0.0</v>
      </c>
      <c r="AC1190" s="1">
        <v>0.0</v>
      </c>
      <c r="AM1190" s="1">
        <v>558090.0</v>
      </c>
      <c r="AN1190" s="1">
        <v>558090.0</v>
      </c>
      <c r="AO1190" s="1">
        <v>558090.0</v>
      </c>
      <c r="AP1190" s="1">
        <v>213.794</v>
      </c>
      <c r="AR1190" s="1">
        <v>0.0</v>
      </c>
      <c r="AW1190" s="1">
        <v>0.0</v>
      </c>
      <c r="AX1190" s="1">
        <v>3.0</v>
      </c>
      <c r="AY1190" s="1">
        <v>4.0</v>
      </c>
      <c r="BA1190" s="1">
        <v>0.0</v>
      </c>
      <c r="BB1190" s="1">
        <v>0.0</v>
      </c>
      <c r="BC1190" s="1">
        <v>0.0</v>
      </c>
      <c r="BD1190" s="1">
        <v>0.0</v>
      </c>
      <c r="BE1190" s="1">
        <v>0.0</v>
      </c>
      <c r="BF1190" s="1">
        <v>0.0</v>
      </c>
      <c r="BG1190" s="1">
        <v>0.0</v>
      </c>
      <c r="BH1190" s="1">
        <v>0.0</v>
      </c>
      <c r="BI1190" s="1">
        <v>0.0</v>
      </c>
      <c r="BJ1190" s="1">
        <v>0.0</v>
      </c>
      <c r="BP1190" s="1">
        <v>0.269</v>
      </c>
      <c r="BQ1190" s="1" t="s">
        <v>4309</v>
      </c>
      <c r="BV1190" s="1">
        <v>1.1</v>
      </c>
      <c r="EQ1190" s="9" t="s">
        <v>4308</v>
      </c>
      <c r="ER1190" s="21">
        <v>46045.30027777778</v>
      </c>
    </row>
    <row r="1191">
      <c r="A1191" s="9" t="s">
        <v>4310</v>
      </c>
      <c r="B1191" s="20" t="str">
        <f>IFERROR(__xludf.DUMMYFUNCTION("REGEXREPLACE(A1191, ""^https?://[^/]+"", """")"),"/wp-content/themes/salesxceleratione/assets/css/style.css?ver=1769123433")</f>
        <v>/wp-content/themes/salesxceleratione/assets/css/style.css?ver=1769123433</v>
      </c>
      <c r="F1191" s="1" t="s">
        <v>1016</v>
      </c>
      <c r="G1191" s="1">
        <v>200.0</v>
      </c>
      <c r="H1191" s="1" t="s">
        <v>966</v>
      </c>
      <c r="I1191" s="1" t="s">
        <v>967</v>
      </c>
      <c r="L1191" s="1">
        <v>0.0</v>
      </c>
      <c r="M1191" s="1">
        <v>0.0</v>
      </c>
      <c r="O1191" s="1">
        <v>0.0</v>
      </c>
      <c r="P1191" s="1">
        <v>0.0</v>
      </c>
      <c r="R1191" s="1">
        <v>0.0</v>
      </c>
      <c r="S1191" s="1">
        <v>0.0</v>
      </c>
      <c r="U1191" s="1">
        <v>0.0</v>
      </c>
      <c r="W1191" s="1">
        <v>0.0</v>
      </c>
      <c r="Y1191" s="1">
        <v>0.0</v>
      </c>
      <c r="AA1191" s="1">
        <v>0.0</v>
      </c>
      <c r="AC1191" s="1">
        <v>0.0</v>
      </c>
      <c r="AM1191" s="1">
        <v>17704.0</v>
      </c>
      <c r="AN1191" s="1">
        <v>17704.0</v>
      </c>
      <c r="AO1191" s="1">
        <v>17704.0</v>
      </c>
      <c r="AP1191" s="1">
        <v>6.782</v>
      </c>
      <c r="AR1191" s="1">
        <v>0.0</v>
      </c>
      <c r="AW1191" s="1">
        <v>0.0</v>
      </c>
      <c r="AX1191" s="1">
        <v>3.0</v>
      </c>
      <c r="AY1191" s="1">
        <v>5.0</v>
      </c>
      <c r="BA1191" s="1">
        <v>0.0</v>
      </c>
      <c r="BB1191" s="1">
        <v>0.0</v>
      </c>
      <c r="BC1191" s="1">
        <v>0.0</v>
      </c>
      <c r="BD1191" s="1">
        <v>0.0</v>
      </c>
      <c r="BE1191" s="1">
        <v>0.0</v>
      </c>
      <c r="BF1191" s="1">
        <v>0.0</v>
      </c>
      <c r="BG1191" s="1">
        <v>0.0</v>
      </c>
      <c r="BH1191" s="1">
        <v>0.0</v>
      </c>
      <c r="BI1191" s="1">
        <v>0.0</v>
      </c>
      <c r="BJ1191" s="1">
        <v>0.0</v>
      </c>
      <c r="BP1191" s="1">
        <v>0.275</v>
      </c>
      <c r="BQ1191" s="1" t="s">
        <v>4288</v>
      </c>
      <c r="BV1191" s="1">
        <v>1.1</v>
      </c>
      <c r="EQ1191" s="9" t="s">
        <v>4310</v>
      </c>
      <c r="ER1191" s="21">
        <v>46045.30027777778</v>
      </c>
    </row>
    <row r="1192">
      <c r="A1192" s="9" t="s">
        <v>4311</v>
      </c>
      <c r="B1192" s="20" t="str">
        <f>IFERROR(__xludf.DUMMYFUNCTION("REGEXREPLACE(A1192, ""^https?://[^/]+"", """")"),"/wp-content/uploads/2022/10/50-Best-Companies-to-Watch-202249.jpg")</f>
        <v>/wp-content/uploads/2022/10/50-Best-Companies-to-Watch-202249.jpg</v>
      </c>
      <c r="F1192" s="1" t="s">
        <v>1004</v>
      </c>
      <c r="G1192" s="1">
        <v>200.0</v>
      </c>
      <c r="H1192" s="1" t="s">
        <v>966</v>
      </c>
      <c r="I1192" s="1" t="s">
        <v>967</v>
      </c>
      <c r="L1192" s="1">
        <v>0.0</v>
      </c>
      <c r="M1192" s="1">
        <v>0.0</v>
      </c>
      <c r="O1192" s="1">
        <v>0.0</v>
      </c>
      <c r="P1192" s="1">
        <v>0.0</v>
      </c>
      <c r="R1192" s="1">
        <v>0.0</v>
      </c>
      <c r="S1192" s="1">
        <v>0.0</v>
      </c>
      <c r="U1192" s="1">
        <v>0.0</v>
      </c>
      <c r="W1192" s="1">
        <v>0.0</v>
      </c>
      <c r="Y1192" s="1">
        <v>0.0</v>
      </c>
      <c r="AA1192" s="1">
        <v>0.0</v>
      </c>
      <c r="AC1192" s="1">
        <v>0.0</v>
      </c>
      <c r="AM1192" s="1">
        <v>79370.0</v>
      </c>
      <c r="AN1192" s="1">
        <v>79370.0</v>
      </c>
      <c r="AO1192" s="1">
        <v>79370.0</v>
      </c>
      <c r="AP1192" s="1">
        <v>30.405</v>
      </c>
      <c r="AR1192" s="1">
        <v>0.0</v>
      </c>
      <c r="AW1192" s="1">
        <v>0.0</v>
      </c>
      <c r="AX1192" s="1">
        <v>3.0</v>
      </c>
      <c r="AY1192" s="1">
        <v>4.0</v>
      </c>
      <c r="BA1192" s="1">
        <v>0.0</v>
      </c>
      <c r="BB1192" s="1">
        <v>0.0</v>
      </c>
      <c r="BC1192" s="1">
        <v>0.0</v>
      </c>
      <c r="BD1192" s="1">
        <v>0.0</v>
      </c>
      <c r="BE1192" s="1">
        <v>0.0</v>
      </c>
      <c r="BF1192" s="1">
        <v>0.0</v>
      </c>
      <c r="BG1192" s="1">
        <v>0.0</v>
      </c>
      <c r="BH1192" s="1">
        <v>0.0</v>
      </c>
      <c r="BI1192" s="1">
        <v>0.0</v>
      </c>
      <c r="BJ1192" s="1">
        <v>0.0</v>
      </c>
      <c r="BP1192" s="1">
        <v>0.291</v>
      </c>
      <c r="BQ1192" s="1" t="s">
        <v>4312</v>
      </c>
      <c r="BV1192" s="1">
        <v>1.1</v>
      </c>
      <c r="EQ1192" s="9" t="s">
        <v>4311</v>
      </c>
      <c r="ER1192" s="21">
        <v>46045.30027777778</v>
      </c>
    </row>
    <row r="1193">
      <c r="A1193" s="9" t="s">
        <v>4313</v>
      </c>
      <c r="B1193" s="20" t="str">
        <f>IFERROR(__xludf.DUMMYFUNCTION("REGEXREPLACE(A1193, ""^https?://[^/]+"", """")"),"/wp-content/uploads/2022/10/IMG_3389.jpeg")</f>
        <v>/wp-content/uploads/2022/10/IMG_3389.jpeg</v>
      </c>
      <c r="F1193" s="1" t="s">
        <v>1004</v>
      </c>
      <c r="G1193" s="1">
        <v>200.0</v>
      </c>
      <c r="H1193" s="1" t="s">
        <v>966</v>
      </c>
      <c r="I1193" s="1" t="s">
        <v>967</v>
      </c>
      <c r="L1193" s="1">
        <v>0.0</v>
      </c>
      <c r="M1193" s="1">
        <v>0.0</v>
      </c>
      <c r="O1193" s="1">
        <v>0.0</v>
      </c>
      <c r="P1193" s="1">
        <v>0.0</v>
      </c>
      <c r="R1193" s="1">
        <v>0.0</v>
      </c>
      <c r="S1193" s="1">
        <v>0.0</v>
      </c>
      <c r="U1193" s="1">
        <v>0.0</v>
      </c>
      <c r="W1193" s="1">
        <v>0.0</v>
      </c>
      <c r="Y1193" s="1">
        <v>0.0</v>
      </c>
      <c r="AA1193" s="1">
        <v>0.0</v>
      </c>
      <c r="AC1193" s="1">
        <v>0.0</v>
      </c>
      <c r="AM1193" s="1">
        <v>363690.0</v>
      </c>
      <c r="AN1193" s="1">
        <v>363690.0</v>
      </c>
      <c r="AO1193" s="1">
        <v>363690.0</v>
      </c>
      <c r="AP1193" s="1">
        <v>139.323</v>
      </c>
      <c r="AR1193" s="1">
        <v>0.0</v>
      </c>
      <c r="AW1193" s="1">
        <v>0.0</v>
      </c>
      <c r="AX1193" s="1">
        <v>3.0</v>
      </c>
      <c r="AY1193" s="1">
        <v>4.0</v>
      </c>
      <c r="BA1193" s="1">
        <v>0.0</v>
      </c>
      <c r="BB1193" s="1">
        <v>0.0</v>
      </c>
      <c r="BC1193" s="1">
        <v>0.0</v>
      </c>
      <c r="BD1193" s="1">
        <v>0.0</v>
      </c>
      <c r="BE1193" s="1">
        <v>0.0</v>
      </c>
      <c r="BF1193" s="1">
        <v>0.0</v>
      </c>
      <c r="BG1193" s="1">
        <v>0.0</v>
      </c>
      <c r="BH1193" s="1">
        <v>0.0</v>
      </c>
      <c r="BI1193" s="1">
        <v>0.0</v>
      </c>
      <c r="BJ1193" s="1">
        <v>0.0</v>
      </c>
      <c r="BP1193" s="1">
        <v>0.278</v>
      </c>
      <c r="BQ1193" s="1" t="s">
        <v>4314</v>
      </c>
      <c r="BV1193" s="1">
        <v>1.1</v>
      </c>
      <c r="EQ1193" s="9" t="s">
        <v>4313</v>
      </c>
      <c r="ER1193" s="21">
        <v>46045.30027777778</v>
      </c>
    </row>
    <row r="1194">
      <c r="A1194" s="9" t="s">
        <v>4315</v>
      </c>
      <c r="B1194" s="20" t="str">
        <f>IFERROR(__xludf.DUMMYFUNCTION("REGEXREPLACE(A1194, ""^https?://[^/]+"", """")"),"/wp-content/uploads/2021/10/Inc.-5000-Color-Medallion-Logo-768x768-1.png")</f>
        <v>/wp-content/uploads/2021/10/Inc.-5000-Color-Medallion-Logo-768x768-1.png</v>
      </c>
      <c r="F1194" s="1" t="s">
        <v>1047</v>
      </c>
      <c r="G1194" s="1">
        <v>200.0</v>
      </c>
      <c r="H1194" s="1" t="s">
        <v>966</v>
      </c>
      <c r="I1194" s="1" t="s">
        <v>967</v>
      </c>
      <c r="L1194" s="1">
        <v>0.0</v>
      </c>
      <c r="M1194" s="1">
        <v>0.0</v>
      </c>
      <c r="O1194" s="1">
        <v>0.0</v>
      </c>
      <c r="P1194" s="1">
        <v>0.0</v>
      </c>
      <c r="R1194" s="1">
        <v>0.0</v>
      </c>
      <c r="S1194" s="1">
        <v>0.0</v>
      </c>
      <c r="U1194" s="1">
        <v>0.0</v>
      </c>
      <c r="W1194" s="1">
        <v>0.0</v>
      </c>
      <c r="Y1194" s="1">
        <v>0.0</v>
      </c>
      <c r="AA1194" s="1">
        <v>0.0</v>
      </c>
      <c r="AC1194" s="1">
        <v>0.0</v>
      </c>
      <c r="AM1194" s="1">
        <v>133837.0</v>
      </c>
      <c r="AN1194" s="1">
        <v>133837.0</v>
      </c>
      <c r="AO1194" s="1">
        <v>133837.0</v>
      </c>
      <c r="AP1194" s="1">
        <v>51.27</v>
      </c>
      <c r="AR1194" s="1">
        <v>0.0</v>
      </c>
      <c r="AW1194" s="1">
        <v>0.0</v>
      </c>
      <c r="AX1194" s="1">
        <v>3.0</v>
      </c>
      <c r="AY1194" s="1">
        <v>4.0</v>
      </c>
      <c r="BA1194" s="1">
        <v>0.0</v>
      </c>
      <c r="BB1194" s="1">
        <v>0.0</v>
      </c>
      <c r="BC1194" s="1">
        <v>0.0</v>
      </c>
      <c r="BD1194" s="1">
        <v>0.0</v>
      </c>
      <c r="BE1194" s="1">
        <v>0.0</v>
      </c>
      <c r="BF1194" s="1">
        <v>0.0</v>
      </c>
      <c r="BG1194" s="1">
        <v>0.0</v>
      </c>
      <c r="BH1194" s="1">
        <v>0.0</v>
      </c>
      <c r="BI1194" s="1">
        <v>0.0</v>
      </c>
      <c r="BJ1194" s="1">
        <v>0.0</v>
      </c>
      <c r="BP1194" s="1">
        <v>0.277</v>
      </c>
      <c r="BQ1194" s="1" t="s">
        <v>4316</v>
      </c>
      <c r="BV1194" s="1">
        <v>1.1</v>
      </c>
      <c r="EQ1194" s="9" t="s">
        <v>4315</v>
      </c>
      <c r="ER1194" s="21">
        <v>46045.30027777778</v>
      </c>
    </row>
    <row r="1195">
      <c r="A1195" s="9" t="s">
        <v>4317</v>
      </c>
      <c r="B1195" s="20" t="str">
        <f>IFERROR(__xludf.DUMMYFUNCTION("REGEXREPLACE(A1195, ""^https?://[^/]+"", """")"),"/wp-content/uploads/2024/10/October-2024-Class.jpg")</f>
        <v>/wp-content/uploads/2024/10/October-2024-Class.jpg</v>
      </c>
      <c r="F1195" s="1" t="s">
        <v>1004</v>
      </c>
      <c r="G1195" s="1">
        <v>200.0</v>
      </c>
      <c r="H1195" s="1" t="s">
        <v>966</v>
      </c>
      <c r="I1195" s="1" t="s">
        <v>967</v>
      </c>
      <c r="L1195" s="1">
        <v>0.0</v>
      </c>
      <c r="M1195" s="1">
        <v>0.0</v>
      </c>
      <c r="O1195" s="1">
        <v>0.0</v>
      </c>
      <c r="P1195" s="1">
        <v>0.0</v>
      </c>
      <c r="R1195" s="1">
        <v>0.0</v>
      </c>
      <c r="S1195" s="1">
        <v>0.0</v>
      </c>
      <c r="U1195" s="1">
        <v>0.0</v>
      </c>
      <c r="W1195" s="1">
        <v>0.0</v>
      </c>
      <c r="Y1195" s="1">
        <v>0.0</v>
      </c>
      <c r="AA1195" s="1">
        <v>0.0</v>
      </c>
      <c r="AC1195" s="1">
        <v>0.0</v>
      </c>
      <c r="AM1195" s="1">
        <v>372964.0</v>
      </c>
      <c r="AN1195" s="1">
        <v>372964.0</v>
      </c>
      <c r="AO1195" s="1">
        <v>372964.0</v>
      </c>
      <c r="AP1195" s="1">
        <v>142.875</v>
      </c>
      <c r="AR1195" s="1">
        <v>0.0</v>
      </c>
      <c r="AW1195" s="1">
        <v>0.0</v>
      </c>
      <c r="AX1195" s="1">
        <v>3.0</v>
      </c>
      <c r="AY1195" s="1">
        <v>4.0</v>
      </c>
      <c r="BA1195" s="1">
        <v>0.0</v>
      </c>
      <c r="BB1195" s="1">
        <v>0.0</v>
      </c>
      <c r="BC1195" s="1">
        <v>0.0</v>
      </c>
      <c r="BD1195" s="1">
        <v>0.0</v>
      </c>
      <c r="BE1195" s="1">
        <v>0.0</v>
      </c>
      <c r="BF1195" s="1">
        <v>0.0</v>
      </c>
      <c r="BG1195" s="1">
        <v>0.0</v>
      </c>
      <c r="BH1195" s="1">
        <v>0.0</v>
      </c>
      <c r="BI1195" s="1">
        <v>0.0</v>
      </c>
      <c r="BJ1195" s="1">
        <v>0.0</v>
      </c>
      <c r="BP1195" s="1">
        <v>0.267</v>
      </c>
      <c r="BQ1195" s="1" t="s">
        <v>4318</v>
      </c>
      <c r="BV1195" s="1">
        <v>1.1</v>
      </c>
      <c r="EQ1195" s="9" t="s">
        <v>4317</v>
      </c>
      <c r="ER1195" s="21">
        <v>46045.30027777778</v>
      </c>
    </row>
    <row r="1196">
      <c r="A1196" s="9" t="s">
        <v>4319</v>
      </c>
      <c r="B1196" s="20" t="str">
        <f>IFERROR(__xludf.DUMMYFUNCTION("REGEXREPLACE(A1196, ""^https?://[^/]+"", """")"),"/wp-content/uploads/2020/05/Business-Silhouettes-scaled-1.jpg")</f>
        <v>/wp-content/uploads/2020/05/Business-Silhouettes-scaled-1.jpg</v>
      </c>
      <c r="F1196" s="1" t="s">
        <v>1004</v>
      </c>
      <c r="G1196" s="1">
        <v>200.0</v>
      </c>
      <c r="H1196" s="1" t="s">
        <v>966</v>
      </c>
      <c r="I1196" s="1" t="s">
        <v>967</v>
      </c>
      <c r="L1196" s="1">
        <v>0.0</v>
      </c>
      <c r="M1196" s="1">
        <v>0.0</v>
      </c>
      <c r="O1196" s="1">
        <v>0.0</v>
      </c>
      <c r="P1196" s="1">
        <v>0.0</v>
      </c>
      <c r="R1196" s="1">
        <v>0.0</v>
      </c>
      <c r="S1196" s="1">
        <v>0.0</v>
      </c>
      <c r="U1196" s="1">
        <v>0.0</v>
      </c>
      <c r="W1196" s="1">
        <v>0.0</v>
      </c>
      <c r="Y1196" s="1">
        <v>0.0</v>
      </c>
      <c r="AA1196" s="1">
        <v>0.0</v>
      </c>
      <c r="AC1196" s="1">
        <v>0.0</v>
      </c>
      <c r="AM1196" s="1">
        <v>93278.0</v>
      </c>
      <c r="AN1196" s="1">
        <v>93278.0</v>
      </c>
      <c r="AO1196" s="1">
        <v>93278.0</v>
      </c>
      <c r="AP1196" s="1">
        <v>35.733</v>
      </c>
      <c r="AR1196" s="1">
        <v>0.0</v>
      </c>
      <c r="AW1196" s="1">
        <v>0.0</v>
      </c>
      <c r="AX1196" s="1">
        <v>3.0</v>
      </c>
      <c r="AY1196" s="1">
        <v>4.0</v>
      </c>
      <c r="BA1196" s="1">
        <v>0.0</v>
      </c>
      <c r="BB1196" s="1">
        <v>0.0</v>
      </c>
      <c r="BC1196" s="1">
        <v>0.0</v>
      </c>
      <c r="BD1196" s="1">
        <v>0.0</v>
      </c>
      <c r="BE1196" s="1">
        <v>0.0</v>
      </c>
      <c r="BF1196" s="1">
        <v>0.0</v>
      </c>
      <c r="BG1196" s="1">
        <v>0.0</v>
      </c>
      <c r="BH1196" s="1">
        <v>0.0</v>
      </c>
      <c r="BI1196" s="1">
        <v>0.0</v>
      </c>
      <c r="BJ1196" s="1">
        <v>0.0</v>
      </c>
      <c r="BP1196" s="1">
        <v>0.267</v>
      </c>
      <c r="BQ1196" s="1" t="s">
        <v>4320</v>
      </c>
      <c r="BV1196" s="1">
        <v>1.1</v>
      </c>
      <c r="EQ1196" s="9" t="s">
        <v>4319</v>
      </c>
      <c r="ER1196" s="21">
        <v>46045.30027777778</v>
      </c>
    </row>
    <row r="1197">
      <c r="A1197" s="9" t="s">
        <v>4321</v>
      </c>
      <c r="B1197" s="20" t="str">
        <f>IFERROR(__xludf.DUMMYFUNCTION("REGEXREPLACE(A1197, ""^https?://[^/]+"", """")"),"/wp-content/themes/salesxceleratione/assets/css/style.css?ver=1769123434")</f>
        <v>/wp-content/themes/salesxceleratione/assets/css/style.css?ver=1769123434</v>
      </c>
      <c r="F1197" s="1" t="s">
        <v>1016</v>
      </c>
      <c r="G1197" s="1">
        <v>200.0</v>
      </c>
      <c r="H1197" s="1" t="s">
        <v>966</v>
      </c>
      <c r="I1197" s="1" t="s">
        <v>967</v>
      </c>
      <c r="L1197" s="1">
        <v>0.0</v>
      </c>
      <c r="M1197" s="1">
        <v>0.0</v>
      </c>
      <c r="O1197" s="1">
        <v>0.0</v>
      </c>
      <c r="P1197" s="1">
        <v>0.0</v>
      </c>
      <c r="R1197" s="1">
        <v>0.0</v>
      </c>
      <c r="S1197" s="1">
        <v>0.0</v>
      </c>
      <c r="U1197" s="1">
        <v>0.0</v>
      </c>
      <c r="W1197" s="1">
        <v>0.0</v>
      </c>
      <c r="Y1197" s="1">
        <v>0.0</v>
      </c>
      <c r="AA1197" s="1">
        <v>0.0</v>
      </c>
      <c r="AC1197" s="1">
        <v>0.0</v>
      </c>
      <c r="AM1197" s="1">
        <v>17704.0</v>
      </c>
      <c r="AN1197" s="1">
        <v>17704.0</v>
      </c>
      <c r="AO1197" s="1">
        <v>17704.0</v>
      </c>
      <c r="AP1197" s="1">
        <v>6.782</v>
      </c>
      <c r="AR1197" s="1">
        <v>0.0</v>
      </c>
      <c r="AW1197" s="1">
        <v>0.0</v>
      </c>
      <c r="AX1197" s="1">
        <v>3.0</v>
      </c>
      <c r="AY1197" s="1">
        <v>5.0</v>
      </c>
      <c r="BA1197" s="1">
        <v>0.0</v>
      </c>
      <c r="BB1197" s="1">
        <v>0.0</v>
      </c>
      <c r="BC1197" s="1">
        <v>0.0</v>
      </c>
      <c r="BD1197" s="1">
        <v>0.0</v>
      </c>
      <c r="BE1197" s="1">
        <v>0.0</v>
      </c>
      <c r="BF1197" s="1">
        <v>0.0</v>
      </c>
      <c r="BG1197" s="1">
        <v>0.0</v>
      </c>
      <c r="BH1197" s="1">
        <v>0.0</v>
      </c>
      <c r="BI1197" s="1">
        <v>0.0</v>
      </c>
      <c r="BJ1197" s="1">
        <v>0.0</v>
      </c>
      <c r="BP1197" s="1">
        <v>0.26</v>
      </c>
      <c r="BQ1197" s="1" t="s">
        <v>4322</v>
      </c>
      <c r="BV1197" s="1">
        <v>1.1</v>
      </c>
      <c r="EQ1197" s="9" t="s">
        <v>4321</v>
      </c>
      <c r="ER1197" s="21">
        <v>46045.30028935185</v>
      </c>
    </row>
    <row r="1198">
      <c r="A1198" s="9" t="s">
        <v>4323</v>
      </c>
      <c r="B1198" s="20" t="str">
        <f>IFERROR(__xludf.DUMMYFUNCTION("REGEXREPLACE(A1198, ""^https?://[^/]+"", """")"),"/wp-content/uploads/2016/09/Sales-Metrics.png")</f>
        <v>/wp-content/uploads/2016/09/Sales-Metrics.png</v>
      </c>
      <c r="F1198" s="1" t="s">
        <v>1047</v>
      </c>
      <c r="G1198" s="1">
        <v>200.0</v>
      </c>
      <c r="H1198" s="1" t="s">
        <v>966</v>
      </c>
      <c r="I1198" s="1" t="s">
        <v>967</v>
      </c>
      <c r="L1198" s="1">
        <v>0.0</v>
      </c>
      <c r="M1198" s="1">
        <v>0.0</v>
      </c>
      <c r="O1198" s="1">
        <v>0.0</v>
      </c>
      <c r="P1198" s="1">
        <v>0.0</v>
      </c>
      <c r="R1198" s="1">
        <v>0.0</v>
      </c>
      <c r="S1198" s="1">
        <v>0.0</v>
      </c>
      <c r="U1198" s="1">
        <v>0.0</v>
      </c>
      <c r="W1198" s="1">
        <v>0.0</v>
      </c>
      <c r="Y1198" s="1">
        <v>0.0</v>
      </c>
      <c r="AA1198" s="1">
        <v>0.0</v>
      </c>
      <c r="AC1198" s="1">
        <v>0.0</v>
      </c>
      <c r="AM1198" s="1">
        <v>71014.0</v>
      </c>
      <c r="AN1198" s="1">
        <v>71014.0</v>
      </c>
      <c r="AO1198" s="1">
        <v>71014.0</v>
      </c>
      <c r="AP1198" s="1">
        <v>27.204</v>
      </c>
      <c r="AR1198" s="1">
        <v>0.0</v>
      </c>
      <c r="AW1198" s="1">
        <v>0.0</v>
      </c>
      <c r="AX1198" s="1">
        <v>3.0</v>
      </c>
      <c r="AY1198" s="1">
        <v>4.0</v>
      </c>
      <c r="BA1198" s="1">
        <v>0.0</v>
      </c>
      <c r="BB1198" s="1">
        <v>0.0</v>
      </c>
      <c r="BC1198" s="1">
        <v>0.0</v>
      </c>
      <c r="BD1198" s="1">
        <v>0.0</v>
      </c>
      <c r="BE1198" s="1">
        <v>0.0</v>
      </c>
      <c r="BF1198" s="1">
        <v>0.0</v>
      </c>
      <c r="BG1198" s="1">
        <v>0.0</v>
      </c>
      <c r="BH1198" s="1">
        <v>0.0</v>
      </c>
      <c r="BI1198" s="1">
        <v>0.0</v>
      </c>
      <c r="BJ1198" s="1">
        <v>0.0</v>
      </c>
      <c r="BP1198" s="1">
        <v>0.265</v>
      </c>
      <c r="BQ1198" s="1" t="s">
        <v>4324</v>
      </c>
      <c r="BV1198" s="1">
        <v>1.1</v>
      </c>
      <c r="EQ1198" s="9" t="s">
        <v>4323</v>
      </c>
      <c r="ER1198" s="21">
        <v>46045.30028935185</v>
      </c>
    </row>
    <row r="1199">
      <c r="A1199" s="9" t="s">
        <v>4325</v>
      </c>
      <c r="B1199" s="20" t="str">
        <f>IFERROR(__xludf.DUMMYFUNCTION("REGEXREPLACE(A1199, ""^https?://[^/]+"", """")"),"/wp-content/uploads/2021/04/ABA21_Silver_Winner.jpg")</f>
        <v>/wp-content/uploads/2021/04/ABA21_Silver_Winner.jpg</v>
      </c>
      <c r="F1199" s="1" t="s">
        <v>1004</v>
      </c>
      <c r="G1199" s="1">
        <v>200.0</v>
      </c>
      <c r="H1199" s="1" t="s">
        <v>966</v>
      </c>
      <c r="I1199" s="1" t="s">
        <v>967</v>
      </c>
      <c r="L1199" s="1">
        <v>0.0</v>
      </c>
      <c r="M1199" s="1">
        <v>0.0</v>
      </c>
      <c r="O1199" s="1">
        <v>0.0</v>
      </c>
      <c r="P1199" s="1">
        <v>0.0</v>
      </c>
      <c r="R1199" s="1">
        <v>0.0</v>
      </c>
      <c r="S1199" s="1">
        <v>0.0</v>
      </c>
      <c r="U1199" s="1">
        <v>0.0</v>
      </c>
      <c r="W1199" s="1">
        <v>0.0</v>
      </c>
      <c r="Y1199" s="1">
        <v>0.0</v>
      </c>
      <c r="AA1199" s="1">
        <v>0.0</v>
      </c>
      <c r="AC1199" s="1">
        <v>0.0</v>
      </c>
      <c r="AM1199" s="1">
        <v>195936.0</v>
      </c>
      <c r="AN1199" s="1">
        <v>195936.0</v>
      </c>
      <c r="AO1199" s="1">
        <v>195936.0</v>
      </c>
      <c r="AP1199" s="1">
        <v>75.059</v>
      </c>
      <c r="AR1199" s="1">
        <v>0.0</v>
      </c>
      <c r="AW1199" s="1">
        <v>0.0</v>
      </c>
      <c r="AX1199" s="1">
        <v>3.0</v>
      </c>
      <c r="AY1199" s="1">
        <v>4.0</v>
      </c>
      <c r="BA1199" s="1">
        <v>0.0</v>
      </c>
      <c r="BB1199" s="1">
        <v>0.0</v>
      </c>
      <c r="BC1199" s="1">
        <v>0.0</v>
      </c>
      <c r="BD1199" s="1">
        <v>0.0</v>
      </c>
      <c r="BE1199" s="1">
        <v>0.0</v>
      </c>
      <c r="BF1199" s="1">
        <v>0.0</v>
      </c>
      <c r="BG1199" s="1">
        <v>0.0</v>
      </c>
      <c r="BH1199" s="1">
        <v>0.0</v>
      </c>
      <c r="BI1199" s="1">
        <v>0.0</v>
      </c>
      <c r="BJ1199" s="1">
        <v>0.0</v>
      </c>
      <c r="BP1199" s="1">
        <v>0.272</v>
      </c>
      <c r="BQ1199" s="1" t="s">
        <v>4326</v>
      </c>
      <c r="BV1199" s="1">
        <v>1.1</v>
      </c>
      <c r="EQ1199" s="9" t="s">
        <v>4325</v>
      </c>
      <c r="ER1199" s="21">
        <v>46045.30028935185</v>
      </c>
    </row>
    <row r="1200">
      <c r="A1200" s="9" t="s">
        <v>4327</v>
      </c>
      <c r="B1200" s="20" t="str">
        <f>IFERROR(__xludf.DUMMYFUNCTION("REGEXREPLACE(A1200, ""^https?://[^/]+"", """")"),"/wp-content/uploads/2019/04/2019-04-Training-DeHaven-Rowland-Levene-Brim-Bailey-Harrison-Wittal-B.-Jackson.jpg")</f>
        <v>/wp-content/uploads/2019/04/2019-04-Training-DeHaven-Rowland-Levene-Brim-Bailey-Harrison-Wittal-B.-Jackson.jpg</v>
      </c>
      <c r="F1200" s="1" t="s">
        <v>1004</v>
      </c>
      <c r="G1200" s="1">
        <v>200.0</v>
      </c>
      <c r="H1200" s="1" t="s">
        <v>966</v>
      </c>
      <c r="I1200" s="1" t="s">
        <v>967</v>
      </c>
      <c r="L1200" s="1">
        <v>0.0</v>
      </c>
      <c r="M1200" s="1">
        <v>0.0</v>
      </c>
      <c r="O1200" s="1">
        <v>0.0</v>
      </c>
      <c r="P1200" s="1">
        <v>0.0</v>
      </c>
      <c r="R1200" s="1">
        <v>0.0</v>
      </c>
      <c r="S1200" s="1">
        <v>0.0</v>
      </c>
      <c r="U1200" s="1">
        <v>0.0</v>
      </c>
      <c r="W1200" s="1">
        <v>0.0</v>
      </c>
      <c r="Y1200" s="1">
        <v>0.0</v>
      </c>
      <c r="AA1200" s="1">
        <v>0.0</v>
      </c>
      <c r="AC1200" s="1">
        <v>0.0</v>
      </c>
      <c r="AM1200" s="1">
        <v>386819.0</v>
      </c>
      <c r="AN1200" s="1">
        <v>386819.0</v>
      </c>
      <c r="AO1200" s="1">
        <v>386819.0</v>
      </c>
      <c r="AP1200" s="1">
        <v>148.183</v>
      </c>
      <c r="AR1200" s="1">
        <v>0.0</v>
      </c>
      <c r="AW1200" s="1">
        <v>0.0</v>
      </c>
      <c r="AX1200" s="1">
        <v>3.0</v>
      </c>
      <c r="AY1200" s="1">
        <v>4.0</v>
      </c>
      <c r="BA1200" s="1">
        <v>0.0</v>
      </c>
      <c r="BB1200" s="1">
        <v>0.0</v>
      </c>
      <c r="BC1200" s="1">
        <v>0.0</v>
      </c>
      <c r="BD1200" s="1">
        <v>0.0</v>
      </c>
      <c r="BE1200" s="1">
        <v>0.0</v>
      </c>
      <c r="BF1200" s="1">
        <v>0.0</v>
      </c>
      <c r="BG1200" s="1">
        <v>0.0</v>
      </c>
      <c r="BH1200" s="1">
        <v>0.0</v>
      </c>
      <c r="BI1200" s="1">
        <v>0.0</v>
      </c>
      <c r="BJ1200" s="1">
        <v>0.0</v>
      </c>
      <c r="BP1200" s="1">
        <v>0.287</v>
      </c>
      <c r="BQ1200" s="1" t="s">
        <v>4328</v>
      </c>
      <c r="BV1200" s="1">
        <v>1.1</v>
      </c>
      <c r="EQ1200" s="9" t="s">
        <v>4327</v>
      </c>
      <c r="ER1200" s="21">
        <v>46045.30028935185</v>
      </c>
    </row>
    <row r="1201">
      <c r="A1201" s="9" t="s">
        <v>4329</v>
      </c>
      <c r="B1201" s="20" t="str">
        <f>IFERROR(__xludf.DUMMYFUNCTION("REGEXREPLACE(A1201, ""^https?://[^/]+"", """")"),"/wp-content/uploads/2017/04/JLblog2.jpg")</f>
        <v>/wp-content/uploads/2017/04/JLblog2.jpg</v>
      </c>
      <c r="F1201" s="1" t="s">
        <v>1004</v>
      </c>
      <c r="G1201" s="1">
        <v>200.0</v>
      </c>
      <c r="H1201" s="1" t="s">
        <v>966</v>
      </c>
      <c r="I1201" s="1" t="s">
        <v>967</v>
      </c>
      <c r="L1201" s="1">
        <v>0.0</v>
      </c>
      <c r="M1201" s="1">
        <v>0.0</v>
      </c>
      <c r="O1201" s="1">
        <v>0.0</v>
      </c>
      <c r="P1201" s="1">
        <v>0.0</v>
      </c>
      <c r="R1201" s="1">
        <v>0.0</v>
      </c>
      <c r="S1201" s="1">
        <v>0.0</v>
      </c>
      <c r="U1201" s="1">
        <v>0.0</v>
      </c>
      <c r="W1201" s="1">
        <v>0.0</v>
      </c>
      <c r="Y1201" s="1">
        <v>0.0</v>
      </c>
      <c r="AA1201" s="1">
        <v>0.0</v>
      </c>
      <c r="AC1201" s="1">
        <v>0.0</v>
      </c>
      <c r="AM1201" s="1">
        <v>30070.0</v>
      </c>
      <c r="AN1201" s="1">
        <v>30070.0</v>
      </c>
      <c r="AO1201" s="1">
        <v>30070.0</v>
      </c>
      <c r="AP1201" s="1">
        <v>11.519</v>
      </c>
      <c r="AR1201" s="1">
        <v>0.0</v>
      </c>
      <c r="AW1201" s="1">
        <v>0.0</v>
      </c>
      <c r="AX1201" s="1">
        <v>3.0</v>
      </c>
      <c r="AY1201" s="1">
        <v>4.0</v>
      </c>
      <c r="BA1201" s="1">
        <v>0.0</v>
      </c>
      <c r="BB1201" s="1">
        <v>0.0</v>
      </c>
      <c r="BC1201" s="1">
        <v>0.0</v>
      </c>
      <c r="BD1201" s="1">
        <v>0.0</v>
      </c>
      <c r="BE1201" s="1">
        <v>0.0</v>
      </c>
      <c r="BF1201" s="1">
        <v>0.0</v>
      </c>
      <c r="BG1201" s="1">
        <v>0.0</v>
      </c>
      <c r="BH1201" s="1">
        <v>0.0</v>
      </c>
      <c r="BI1201" s="1">
        <v>0.0</v>
      </c>
      <c r="BJ1201" s="1">
        <v>0.0</v>
      </c>
      <c r="BP1201" s="1">
        <v>0.275</v>
      </c>
      <c r="BQ1201" s="1" t="s">
        <v>4330</v>
      </c>
      <c r="BV1201" s="1">
        <v>1.1</v>
      </c>
      <c r="EQ1201" s="9" t="s">
        <v>4329</v>
      </c>
      <c r="ER1201" s="21">
        <v>46045.30030092593</v>
      </c>
    </row>
    <row r="1202">
      <c r="A1202" s="9" t="s">
        <v>4331</v>
      </c>
      <c r="B1202" s="20" t="str">
        <f>IFERROR(__xludf.DUMMYFUNCTION("REGEXREPLACE(A1202, ""^https?://[^/]+"", """")"),"/wp-content/uploads/2017/04/JLblog1.jpg")</f>
        <v>/wp-content/uploads/2017/04/JLblog1.jpg</v>
      </c>
      <c r="F1202" s="1" t="s">
        <v>1004</v>
      </c>
      <c r="G1202" s="1">
        <v>200.0</v>
      </c>
      <c r="H1202" s="1" t="s">
        <v>966</v>
      </c>
      <c r="I1202" s="1" t="s">
        <v>967</v>
      </c>
      <c r="L1202" s="1">
        <v>0.0</v>
      </c>
      <c r="M1202" s="1">
        <v>0.0</v>
      </c>
      <c r="O1202" s="1">
        <v>0.0</v>
      </c>
      <c r="P1202" s="1">
        <v>0.0</v>
      </c>
      <c r="R1202" s="1">
        <v>0.0</v>
      </c>
      <c r="S1202" s="1">
        <v>0.0</v>
      </c>
      <c r="U1202" s="1">
        <v>0.0</v>
      </c>
      <c r="W1202" s="1">
        <v>0.0</v>
      </c>
      <c r="Y1202" s="1">
        <v>0.0</v>
      </c>
      <c r="AA1202" s="1">
        <v>0.0</v>
      </c>
      <c r="AC1202" s="1">
        <v>0.0</v>
      </c>
      <c r="AM1202" s="1">
        <v>43835.0</v>
      </c>
      <c r="AN1202" s="1">
        <v>43835.0</v>
      </c>
      <c r="AO1202" s="1">
        <v>43835.0</v>
      </c>
      <c r="AP1202" s="1">
        <v>16.792</v>
      </c>
      <c r="AR1202" s="1">
        <v>0.0</v>
      </c>
      <c r="AW1202" s="1">
        <v>0.0</v>
      </c>
      <c r="AX1202" s="1">
        <v>3.0</v>
      </c>
      <c r="AY1202" s="1">
        <v>4.0</v>
      </c>
      <c r="BA1202" s="1">
        <v>0.0</v>
      </c>
      <c r="BB1202" s="1">
        <v>0.0</v>
      </c>
      <c r="BC1202" s="1">
        <v>0.0</v>
      </c>
      <c r="BD1202" s="1">
        <v>0.0</v>
      </c>
      <c r="BE1202" s="1">
        <v>0.0</v>
      </c>
      <c r="BF1202" s="1">
        <v>0.0</v>
      </c>
      <c r="BG1202" s="1">
        <v>0.0</v>
      </c>
      <c r="BH1202" s="1">
        <v>0.0</v>
      </c>
      <c r="BI1202" s="1">
        <v>0.0</v>
      </c>
      <c r="BJ1202" s="1">
        <v>0.0</v>
      </c>
      <c r="BP1202" s="1">
        <v>0.27</v>
      </c>
      <c r="BQ1202" s="1" t="s">
        <v>4332</v>
      </c>
      <c r="BV1202" s="1">
        <v>1.1</v>
      </c>
      <c r="EQ1202" s="9" t="s">
        <v>4331</v>
      </c>
      <c r="ER1202" s="21">
        <v>46045.30030092593</v>
      </c>
    </row>
    <row r="1203">
      <c r="A1203" s="9" t="s">
        <v>4333</v>
      </c>
      <c r="B1203" s="20" t="str">
        <f>IFERROR(__xludf.DUMMYFUNCTION("REGEXREPLACE(A1203, ""^https?://[^/]+"", """")"),"/wp-content/uploads/2025/09/Game-Changing-Sales-Leaders-Join-Sales-Xceleration.jpg")</f>
        <v>/wp-content/uploads/2025/09/Game-Changing-Sales-Leaders-Join-Sales-Xceleration.jpg</v>
      </c>
      <c r="F1203" s="1" t="s">
        <v>1004</v>
      </c>
      <c r="G1203" s="1">
        <v>200.0</v>
      </c>
      <c r="H1203" s="1" t="s">
        <v>966</v>
      </c>
      <c r="I1203" s="1" t="s">
        <v>967</v>
      </c>
      <c r="L1203" s="1">
        <v>0.0</v>
      </c>
      <c r="M1203" s="1">
        <v>0.0</v>
      </c>
      <c r="O1203" s="1">
        <v>0.0</v>
      </c>
      <c r="P1203" s="1">
        <v>0.0</v>
      </c>
      <c r="R1203" s="1">
        <v>0.0</v>
      </c>
      <c r="S1203" s="1">
        <v>0.0</v>
      </c>
      <c r="U1203" s="1">
        <v>0.0</v>
      </c>
      <c r="W1203" s="1">
        <v>0.0</v>
      </c>
      <c r="Y1203" s="1">
        <v>0.0</v>
      </c>
      <c r="AA1203" s="1">
        <v>0.0</v>
      </c>
      <c r="AC1203" s="1">
        <v>0.0</v>
      </c>
      <c r="AM1203" s="1">
        <v>561589.0</v>
      </c>
      <c r="AN1203" s="1">
        <v>561589.0</v>
      </c>
      <c r="AO1203" s="1">
        <v>561589.0</v>
      </c>
      <c r="AP1203" s="1">
        <v>215.134</v>
      </c>
      <c r="AR1203" s="1">
        <v>0.0</v>
      </c>
      <c r="AW1203" s="1">
        <v>0.0</v>
      </c>
      <c r="AX1203" s="1">
        <v>3.0</v>
      </c>
      <c r="AY1203" s="1">
        <v>4.0</v>
      </c>
      <c r="BA1203" s="1">
        <v>0.0</v>
      </c>
      <c r="BB1203" s="1">
        <v>0.0</v>
      </c>
      <c r="BC1203" s="1">
        <v>0.0</v>
      </c>
      <c r="BD1203" s="1">
        <v>0.0</v>
      </c>
      <c r="BE1203" s="1">
        <v>0.0</v>
      </c>
      <c r="BF1203" s="1">
        <v>0.0</v>
      </c>
      <c r="BG1203" s="1">
        <v>0.0</v>
      </c>
      <c r="BH1203" s="1">
        <v>0.0</v>
      </c>
      <c r="BI1203" s="1">
        <v>0.0</v>
      </c>
      <c r="BJ1203" s="1">
        <v>0.0</v>
      </c>
      <c r="BP1203" s="1">
        <v>0.277</v>
      </c>
      <c r="BQ1203" s="1" t="s">
        <v>4334</v>
      </c>
      <c r="BV1203" s="1">
        <v>1.1</v>
      </c>
      <c r="EQ1203" s="9" t="s">
        <v>4333</v>
      </c>
      <c r="ER1203" s="21">
        <v>46045.30030092593</v>
      </c>
    </row>
    <row r="1204">
      <c r="A1204" s="9" t="s">
        <v>4335</v>
      </c>
      <c r="B1204" s="20" t="str">
        <f>IFERROR(__xludf.DUMMYFUNCTION("REGEXREPLACE(A1204, ""^https?://[^/]+"", """")"),"/wp-content/themes/salesxceleratione/assets/css/style.css?ver=1769123435")</f>
        <v>/wp-content/themes/salesxceleratione/assets/css/style.css?ver=1769123435</v>
      </c>
      <c r="F1204" s="1" t="s">
        <v>1016</v>
      </c>
      <c r="G1204" s="1">
        <v>200.0</v>
      </c>
      <c r="H1204" s="1" t="s">
        <v>966</v>
      </c>
      <c r="I1204" s="1" t="s">
        <v>967</v>
      </c>
      <c r="L1204" s="1">
        <v>0.0</v>
      </c>
      <c r="M1204" s="1">
        <v>0.0</v>
      </c>
      <c r="O1204" s="1">
        <v>0.0</v>
      </c>
      <c r="P1204" s="1">
        <v>0.0</v>
      </c>
      <c r="R1204" s="1">
        <v>0.0</v>
      </c>
      <c r="S1204" s="1">
        <v>0.0</v>
      </c>
      <c r="U1204" s="1">
        <v>0.0</v>
      </c>
      <c r="W1204" s="1">
        <v>0.0</v>
      </c>
      <c r="Y1204" s="1">
        <v>0.0</v>
      </c>
      <c r="AA1204" s="1">
        <v>0.0</v>
      </c>
      <c r="AC1204" s="1">
        <v>0.0</v>
      </c>
      <c r="AM1204" s="1">
        <v>17704.0</v>
      </c>
      <c r="AN1204" s="1">
        <v>17704.0</v>
      </c>
      <c r="AO1204" s="1">
        <v>17704.0</v>
      </c>
      <c r="AP1204" s="1">
        <v>6.782</v>
      </c>
      <c r="AR1204" s="1">
        <v>0.0</v>
      </c>
      <c r="AW1204" s="1">
        <v>0.0</v>
      </c>
      <c r="AX1204" s="1">
        <v>3.0</v>
      </c>
      <c r="AY1204" s="1">
        <v>5.0</v>
      </c>
      <c r="BA1204" s="1">
        <v>0.0</v>
      </c>
      <c r="BB1204" s="1">
        <v>0.0</v>
      </c>
      <c r="BC1204" s="1">
        <v>0.0</v>
      </c>
      <c r="BD1204" s="1">
        <v>0.0</v>
      </c>
      <c r="BE1204" s="1">
        <v>0.0</v>
      </c>
      <c r="BF1204" s="1">
        <v>0.0</v>
      </c>
      <c r="BG1204" s="1">
        <v>0.0</v>
      </c>
      <c r="BH1204" s="1">
        <v>0.0</v>
      </c>
      <c r="BI1204" s="1">
        <v>0.0</v>
      </c>
      <c r="BJ1204" s="1">
        <v>0.0</v>
      </c>
      <c r="BP1204" s="1">
        <v>0.281</v>
      </c>
      <c r="BQ1204" s="1" t="s">
        <v>4336</v>
      </c>
      <c r="BV1204" s="1">
        <v>1.1</v>
      </c>
      <c r="EQ1204" s="9" t="s">
        <v>4335</v>
      </c>
      <c r="ER1204" s="21">
        <v>46045.30030092593</v>
      </c>
    </row>
    <row r="1205">
      <c r="A1205" s="9" t="s">
        <v>4337</v>
      </c>
      <c r="B1205" s="20" t="str">
        <f>IFERROR(__xludf.DUMMYFUNCTION("REGEXREPLACE(A1205, ""^https?://[^/]+"", """")"),"/wp-content/uploads/2019/09/salesx5more-scaled.jpg")</f>
        <v>/wp-content/uploads/2019/09/salesx5more-scaled.jpg</v>
      </c>
      <c r="F1205" s="1" t="s">
        <v>1004</v>
      </c>
      <c r="G1205" s="1">
        <v>200.0</v>
      </c>
      <c r="H1205" s="1" t="s">
        <v>966</v>
      </c>
      <c r="I1205" s="1" t="s">
        <v>967</v>
      </c>
      <c r="L1205" s="1">
        <v>0.0</v>
      </c>
      <c r="M1205" s="1">
        <v>0.0</v>
      </c>
      <c r="O1205" s="1">
        <v>0.0</v>
      </c>
      <c r="P1205" s="1">
        <v>0.0</v>
      </c>
      <c r="R1205" s="1">
        <v>0.0</v>
      </c>
      <c r="S1205" s="1">
        <v>0.0</v>
      </c>
      <c r="U1205" s="1">
        <v>0.0</v>
      </c>
      <c r="W1205" s="1">
        <v>0.0</v>
      </c>
      <c r="Y1205" s="1">
        <v>0.0</v>
      </c>
      <c r="AA1205" s="1">
        <v>0.0</v>
      </c>
      <c r="AC1205" s="1">
        <v>0.0</v>
      </c>
      <c r="AM1205" s="1">
        <v>371526.0</v>
      </c>
      <c r="AN1205" s="1">
        <v>371526.0</v>
      </c>
      <c r="AO1205" s="1">
        <v>371526.0</v>
      </c>
      <c r="AP1205" s="1">
        <v>142.325</v>
      </c>
      <c r="AR1205" s="1">
        <v>0.0</v>
      </c>
      <c r="AW1205" s="1">
        <v>0.0</v>
      </c>
      <c r="AX1205" s="1">
        <v>3.0</v>
      </c>
      <c r="AY1205" s="1">
        <v>4.0</v>
      </c>
      <c r="BA1205" s="1">
        <v>0.0</v>
      </c>
      <c r="BB1205" s="1">
        <v>0.0</v>
      </c>
      <c r="BC1205" s="1">
        <v>0.0</v>
      </c>
      <c r="BD1205" s="1">
        <v>0.0</v>
      </c>
      <c r="BE1205" s="1">
        <v>0.0</v>
      </c>
      <c r="BF1205" s="1">
        <v>0.0</v>
      </c>
      <c r="BG1205" s="1">
        <v>0.0</v>
      </c>
      <c r="BH1205" s="1">
        <v>0.0</v>
      </c>
      <c r="BI1205" s="1">
        <v>0.0</v>
      </c>
      <c r="BJ1205" s="1">
        <v>0.0</v>
      </c>
      <c r="BP1205" s="1">
        <v>0.262</v>
      </c>
      <c r="BQ1205" s="1" t="s">
        <v>4338</v>
      </c>
      <c r="BV1205" s="1">
        <v>1.1</v>
      </c>
      <c r="EQ1205" s="9" t="s">
        <v>4337</v>
      </c>
      <c r="ER1205" s="21">
        <v>46045.30030092593</v>
      </c>
    </row>
    <row r="1206">
      <c r="A1206" s="9" t="s">
        <v>4339</v>
      </c>
      <c r="B1206" s="20" t="str">
        <f>IFERROR(__xludf.DUMMYFUNCTION("REGEXREPLACE(A1206, ""^https?://[^/]+"", """")"),"/sales-agility-assessment-1-0-jlee/")</f>
        <v>/sales-agility-assessment-1-0-jlee/</v>
      </c>
      <c r="F1206" s="1" t="s">
        <v>965</v>
      </c>
      <c r="G1206" s="1">
        <v>301.0</v>
      </c>
      <c r="H1206" s="1" t="s">
        <v>1304</v>
      </c>
      <c r="I1206" s="1" t="s">
        <v>1214</v>
      </c>
      <c r="J1206" s="1" t="s">
        <v>1305</v>
      </c>
      <c r="L1206" s="1">
        <v>0.0</v>
      </c>
      <c r="M1206" s="1">
        <v>0.0</v>
      </c>
      <c r="O1206" s="1">
        <v>0.0</v>
      </c>
      <c r="P1206" s="1">
        <v>0.0</v>
      </c>
      <c r="R1206" s="1">
        <v>0.0</v>
      </c>
      <c r="S1206" s="1">
        <v>0.0</v>
      </c>
      <c r="U1206" s="1">
        <v>0.0</v>
      </c>
      <c r="W1206" s="1">
        <v>0.0</v>
      </c>
      <c r="Y1206" s="1">
        <v>0.0</v>
      </c>
      <c r="AA1206" s="1">
        <v>0.0</v>
      </c>
      <c r="AC1206" s="1">
        <v>0.0</v>
      </c>
      <c r="AM1206" s="1">
        <v>0.0</v>
      </c>
      <c r="AN1206" s="1">
        <v>0.0</v>
      </c>
      <c r="AO1206" s="1">
        <v>0.0</v>
      </c>
      <c r="AP1206" s="1">
        <v>0.0</v>
      </c>
      <c r="AR1206" s="1">
        <v>0.0</v>
      </c>
      <c r="AW1206" s="1">
        <v>0.0</v>
      </c>
      <c r="AX1206" s="1">
        <v>3.0</v>
      </c>
      <c r="AY1206" s="1">
        <v>1.0</v>
      </c>
      <c r="BA1206" s="1">
        <v>1.0</v>
      </c>
      <c r="BB1206" s="1">
        <v>1.0</v>
      </c>
      <c r="BC1206" s="1">
        <v>0.0</v>
      </c>
      <c r="BD1206" s="1">
        <v>0.13</v>
      </c>
      <c r="BE1206" s="1">
        <v>0.0</v>
      </c>
      <c r="BF1206" s="1">
        <v>0.0</v>
      </c>
      <c r="BG1206" s="1">
        <v>0.0</v>
      </c>
      <c r="BH1206" s="1">
        <v>0.0</v>
      </c>
      <c r="BI1206" s="1">
        <v>0.0</v>
      </c>
      <c r="BJ1206" s="1">
        <v>0.0</v>
      </c>
      <c r="BP1206" s="1">
        <v>0.998</v>
      </c>
      <c r="BR1206" s="9" t="s">
        <v>1380</v>
      </c>
      <c r="BS1206" s="1" t="s">
        <v>1307</v>
      </c>
      <c r="BV1206" s="1">
        <v>1.1</v>
      </c>
      <c r="EQ1206" s="9" t="s">
        <v>4339</v>
      </c>
      <c r="ER1206" s="21">
        <v>46045.30028935185</v>
      </c>
    </row>
    <row r="1207">
      <c r="A1207" s="9" t="s">
        <v>4340</v>
      </c>
      <c r="B1207" s="20" t="str">
        <f>IFERROR(__xludf.DUMMYFUNCTION("REGEXREPLACE(A1207, ""^https?://[^/]+"", """")"),"/wp-content/uploads/2021/10/2021-08-Training-M.-Ianniciello-C.-Hathaway-K.-Lawson-T.-Hoelderle-V.-Trotta-J.-Costello-1024x768-1.jpg")</f>
        <v>/wp-content/uploads/2021/10/2021-08-Training-M.-Ianniciello-C.-Hathaway-K.-Lawson-T.-Hoelderle-V.-Trotta-J.-Costello-1024x768-1.jpg</v>
      </c>
      <c r="F1207" s="1" t="s">
        <v>1004</v>
      </c>
      <c r="G1207" s="1">
        <v>200.0</v>
      </c>
      <c r="H1207" s="1" t="s">
        <v>966</v>
      </c>
      <c r="I1207" s="1" t="s">
        <v>967</v>
      </c>
      <c r="L1207" s="1">
        <v>0.0</v>
      </c>
      <c r="M1207" s="1">
        <v>0.0</v>
      </c>
      <c r="O1207" s="1">
        <v>0.0</v>
      </c>
      <c r="P1207" s="1">
        <v>0.0</v>
      </c>
      <c r="R1207" s="1">
        <v>0.0</v>
      </c>
      <c r="S1207" s="1">
        <v>0.0</v>
      </c>
      <c r="U1207" s="1">
        <v>0.0</v>
      </c>
      <c r="W1207" s="1">
        <v>0.0</v>
      </c>
      <c r="Y1207" s="1">
        <v>0.0</v>
      </c>
      <c r="AA1207" s="1">
        <v>0.0</v>
      </c>
      <c r="AC1207" s="1">
        <v>0.0</v>
      </c>
      <c r="AM1207" s="1">
        <v>145052.0</v>
      </c>
      <c r="AN1207" s="1">
        <v>145052.0</v>
      </c>
      <c r="AO1207" s="1">
        <v>145052.0</v>
      </c>
      <c r="AP1207" s="1">
        <v>55.567</v>
      </c>
      <c r="AR1207" s="1">
        <v>0.0</v>
      </c>
      <c r="AW1207" s="1">
        <v>0.0</v>
      </c>
      <c r="AX1207" s="1">
        <v>3.0</v>
      </c>
      <c r="AY1207" s="1">
        <v>4.0</v>
      </c>
      <c r="BA1207" s="1">
        <v>0.0</v>
      </c>
      <c r="BB1207" s="1">
        <v>0.0</v>
      </c>
      <c r="BC1207" s="1">
        <v>0.0</v>
      </c>
      <c r="BD1207" s="1">
        <v>0.0</v>
      </c>
      <c r="BE1207" s="1">
        <v>0.0</v>
      </c>
      <c r="BF1207" s="1">
        <v>0.0</v>
      </c>
      <c r="BG1207" s="1">
        <v>0.0</v>
      </c>
      <c r="BH1207" s="1">
        <v>0.0</v>
      </c>
      <c r="BI1207" s="1">
        <v>0.0</v>
      </c>
      <c r="BJ1207" s="1">
        <v>0.0</v>
      </c>
      <c r="BP1207" s="1">
        <v>0.269</v>
      </c>
      <c r="BQ1207" s="1" t="s">
        <v>4341</v>
      </c>
      <c r="BV1207" s="1">
        <v>1.1</v>
      </c>
      <c r="EQ1207" s="9" t="s">
        <v>4340</v>
      </c>
      <c r="ER1207" s="21">
        <v>46045.30030092593</v>
      </c>
    </row>
    <row r="1208">
      <c r="A1208" s="9" t="s">
        <v>4342</v>
      </c>
      <c r="B1208" s="20" t="str">
        <f>IFERROR(__xludf.DUMMYFUNCTION("REGEXREPLACE(A1208, ""^https?://[^/]+"", """")"),"/wp-content/uploads/2016/09/Tower-Club-1.png")</f>
        <v>/wp-content/uploads/2016/09/Tower-Club-1.png</v>
      </c>
      <c r="F1208" s="1" t="s">
        <v>1047</v>
      </c>
      <c r="G1208" s="1">
        <v>200.0</v>
      </c>
      <c r="H1208" s="1" t="s">
        <v>966</v>
      </c>
      <c r="I1208" s="1" t="s">
        <v>967</v>
      </c>
      <c r="L1208" s="1">
        <v>0.0</v>
      </c>
      <c r="M1208" s="1">
        <v>0.0</v>
      </c>
      <c r="O1208" s="1">
        <v>0.0</v>
      </c>
      <c r="P1208" s="1">
        <v>0.0</v>
      </c>
      <c r="R1208" s="1">
        <v>0.0</v>
      </c>
      <c r="S1208" s="1">
        <v>0.0</v>
      </c>
      <c r="U1208" s="1">
        <v>0.0</v>
      </c>
      <c r="W1208" s="1">
        <v>0.0</v>
      </c>
      <c r="Y1208" s="1">
        <v>0.0</v>
      </c>
      <c r="AA1208" s="1">
        <v>0.0</v>
      </c>
      <c r="AC1208" s="1">
        <v>0.0</v>
      </c>
      <c r="AM1208" s="1">
        <v>93873.0</v>
      </c>
      <c r="AN1208" s="1">
        <v>93873.0</v>
      </c>
      <c r="AO1208" s="1">
        <v>93873.0</v>
      </c>
      <c r="AP1208" s="1">
        <v>35.961</v>
      </c>
      <c r="AR1208" s="1">
        <v>0.0</v>
      </c>
      <c r="AW1208" s="1">
        <v>0.0</v>
      </c>
      <c r="AX1208" s="1">
        <v>3.0</v>
      </c>
      <c r="AY1208" s="1">
        <v>4.0</v>
      </c>
      <c r="BA1208" s="1">
        <v>0.0</v>
      </c>
      <c r="BB1208" s="1">
        <v>0.0</v>
      </c>
      <c r="BC1208" s="1">
        <v>0.0</v>
      </c>
      <c r="BD1208" s="1">
        <v>0.0</v>
      </c>
      <c r="BE1208" s="1">
        <v>0.0</v>
      </c>
      <c r="BF1208" s="1">
        <v>0.0</v>
      </c>
      <c r="BG1208" s="1">
        <v>0.0</v>
      </c>
      <c r="BH1208" s="1">
        <v>0.0</v>
      </c>
      <c r="BI1208" s="1">
        <v>0.0</v>
      </c>
      <c r="BJ1208" s="1">
        <v>0.0</v>
      </c>
      <c r="BP1208" s="1">
        <v>0.277</v>
      </c>
      <c r="BQ1208" s="1" t="s">
        <v>4343</v>
      </c>
      <c r="BV1208" s="1">
        <v>1.1</v>
      </c>
      <c r="EQ1208" s="9" t="s">
        <v>4342</v>
      </c>
      <c r="ER1208" s="21">
        <v>46045.3003125</v>
      </c>
    </row>
    <row r="1209">
      <c r="A1209" s="9" t="s">
        <v>4344</v>
      </c>
      <c r="B1209" s="20" t="str">
        <f>IFERROR(__xludf.DUMMYFUNCTION("REGEXREPLACE(A1209, ""^https?://[^/]+"", """")"),"/wp-content/uploads/2017/10/Dugan-10-17-2017-Workshop.jpg")</f>
        <v>/wp-content/uploads/2017/10/Dugan-10-17-2017-Workshop.jpg</v>
      </c>
      <c r="F1209" s="1" t="s">
        <v>1004</v>
      </c>
      <c r="G1209" s="1">
        <v>200.0</v>
      </c>
      <c r="H1209" s="1" t="s">
        <v>966</v>
      </c>
      <c r="I1209" s="1" t="s">
        <v>967</v>
      </c>
      <c r="L1209" s="1">
        <v>0.0</v>
      </c>
      <c r="M1209" s="1">
        <v>0.0</v>
      </c>
      <c r="O1209" s="1">
        <v>0.0</v>
      </c>
      <c r="P1209" s="1">
        <v>0.0</v>
      </c>
      <c r="R1209" s="1">
        <v>0.0</v>
      </c>
      <c r="S1209" s="1">
        <v>0.0</v>
      </c>
      <c r="U1209" s="1">
        <v>0.0</v>
      </c>
      <c r="W1209" s="1">
        <v>0.0</v>
      </c>
      <c r="Y1209" s="1">
        <v>0.0</v>
      </c>
      <c r="AA1209" s="1">
        <v>0.0</v>
      </c>
      <c r="AC1209" s="1">
        <v>0.0</v>
      </c>
      <c r="AM1209" s="1">
        <v>84122.0</v>
      </c>
      <c r="AN1209" s="1">
        <v>84122.0</v>
      </c>
      <c r="AO1209" s="1">
        <v>84122.0</v>
      </c>
      <c r="AP1209" s="1">
        <v>32.226</v>
      </c>
      <c r="AR1209" s="1">
        <v>0.0</v>
      </c>
      <c r="AW1209" s="1">
        <v>0.0</v>
      </c>
      <c r="AX1209" s="1">
        <v>3.0</v>
      </c>
      <c r="AY1209" s="1">
        <v>4.0</v>
      </c>
      <c r="BA1209" s="1">
        <v>0.0</v>
      </c>
      <c r="BB1209" s="1">
        <v>0.0</v>
      </c>
      <c r="BC1209" s="1">
        <v>0.0</v>
      </c>
      <c r="BD1209" s="1">
        <v>0.0</v>
      </c>
      <c r="BE1209" s="1">
        <v>0.0</v>
      </c>
      <c r="BF1209" s="1">
        <v>0.0</v>
      </c>
      <c r="BG1209" s="1">
        <v>0.0</v>
      </c>
      <c r="BH1209" s="1">
        <v>0.0</v>
      </c>
      <c r="BI1209" s="1">
        <v>0.0</v>
      </c>
      <c r="BJ1209" s="1">
        <v>0.0</v>
      </c>
      <c r="BP1209" s="1">
        <v>0.28</v>
      </c>
      <c r="BQ1209" s="1" t="s">
        <v>4345</v>
      </c>
      <c r="BV1209" s="1">
        <v>1.1</v>
      </c>
      <c r="EQ1209" s="9" t="s">
        <v>4344</v>
      </c>
      <c r="ER1209" s="21">
        <v>46045.3003125</v>
      </c>
    </row>
    <row r="1210">
      <c r="A1210" s="9" t="s">
        <v>4346</v>
      </c>
      <c r="B1210" s="20" t="str">
        <f>IFERROR(__xludf.DUMMYFUNCTION("REGEXREPLACE(A1210, ""^https?://[^/]+"", """")"),"/wp-content/themes/salesxceleratione/assets/css/style.css?ver=1769123436")</f>
        <v>/wp-content/themes/salesxceleratione/assets/css/style.css?ver=1769123436</v>
      </c>
      <c r="F1210" s="1" t="s">
        <v>1016</v>
      </c>
      <c r="G1210" s="1">
        <v>200.0</v>
      </c>
      <c r="H1210" s="1" t="s">
        <v>966</v>
      </c>
      <c r="I1210" s="1" t="s">
        <v>967</v>
      </c>
      <c r="L1210" s="1">
        <v>0.0</v>
      </c>
      <c r="M1210" s="1">
        <v>0.0</v>
      </c>
      <c r="O1210" s="1">
        <v>0.0</v>
      </c>
      <c r="P1210" s="1">
        <v>0.0</v>
      </c>
      <c r="R1210" s="1">
        <v>0.0</v>
      </c>
      <c r="S1210" s="1">
        <v>0.0</v>
      </c>
      <c r="U1210" s="1">
        <v>0.0</v>
      </c>
      <c r="W1210" s="1">
        <v>0.0</v>
      </c>
      <c r="Y1210" s="1">
        <v>0.0</v>
      </c>
      <c r="AA1210" s="1">
        <v>0.0</v>
      </c>
      <c r="AC1210" s="1">
        <v>0.0</v>
      </c>
      <c r="AM1210" s="1">
        <v>17704.0</v>
      </c>
      <c r="AN1210" s="1">
        <v>17704.0</v>
      </c>
      <c r="AO1210" s="1">
        <v>17704.0</v>
      </c>
      <c r="AP1210" s="1">
        <v>6.782</v>
      </c>
      <c r="AR1210" s="1">
        <v>0.0</v>
      </c>
      <c r="AW1210" s="1">
        <v>0.0</v>
      </c>
      <c r="AX1210" s="1">
        <v>3.0</v>
      </c>
      <c r="AY1210" s="1">
        <v>5.0</v>
      </c>
      <c r="BA1210" s="1">
        <v>0.0</v>
      </c>
      <c r="BB1210" s="1">
        <v>0.0</v>
      </c>
      <c r="BC1210" s="1">
        <v>0.0</v>
      </c>
      <c r="BD1210" s="1">
        <v>0.0</v>
      </c>
      <c r="BE1210" s="1">
        <v>0.0</v>
      </c>
      <c r="BF1210" s="1">
        <v>0.0</v>
      </c>
      <c r="BG1210" s="1">
        <v>0.0</v>
      </c>
      <c r="BH1210" s="1">
        <v>0.0</v>
      </c>
      <c r="BI1210" s="1">
        <v>0.0</v>
      </c>
      <c r="BJ1210" s="1">
        <v>0.0</v>
      </c>
      <c r="BP1210" s="1">
        <v>0.279</v>
      </c>
      <c r="BQ1210" s="1" t="s">
        <v>4347</v>
      </c>
      <c r="BV1210" s="1">
        <v>1.1</v>
      </c>
      <c r="EQ1210" s="9" t="s">
        <v>4346</v>
      </c>
      <c r="ER1210" s="21">
        <v>46045.3003125</v>
      </c>
    </row>
    <row r="1211">
      <c r="A1211" s="9" t="s">
        <v>4348</v>
      </c>
      <c r="B1211" s="20" t="str">
        <f>IFERROR(__xludf.DUMMYFUNCTION("REGEXREPLACE(A1211, ""^https?://[^/]+"", """")"),"/wp-content/uploads/2016/08/Michael-Wills.png")</f>
        <v>/wp-content/uploads/2016/08/Michael-Wills.png</v>
      </c>
      <c r="F1211" s="1" t="s">
        <v>1047</v>
      </c>
      <c r="G1211" s="1">
        <v>200.0</v>
      </c>
      <c r="H1211" s="1" t="s">
        <v>966</v>
      </c>
      <c r="I1211" s="1" t="s">
        <v>967</v>
      </c>
      <c r="L1211" s="1">
        <v>0.0</v>
      </c>
      <c r="M1211" s="1">
        <v>0.0</v>
      </c>
      <c r="O1211" s="1">
        <v>0.0</v>
      </c>
      <c r="P1211" s="1">
        <v>0.0</v>
      </c>
      <c r="R1211" s="1">
        <v>0.0</v>
      </c>
      <c r="S1211" s="1">
        <v>0.0</v>
      </c>
      <c r="U1211" s="1">
        <v>0.0</v>
      </c>
      <c r="W1211" s="1">
        <v>0.0</v>
      </c>
      <c r="Y1211" s="1">
        <v>0.0</v>
      </c>
      <c r="AA1211" s="1">
        <v>0.0</v>
      </c>
      <c r="AC1211" s="1">
        <v>0.0</v>
      </c>
      <c r="AM1211" s="1">
        <v>209789.0</v>
      </c>
      <c r="AN1211" s="1">
        <v>209789.0</v>
      </c>
      <c r="AO1211" s="1">
        <v>209789.0</v>
      </c>
      <c r="AP1211" s="1">
        <v>80.366</v>
      </c>
      <c r="AR1211" s="1">
        <v>0.0</v>
      </c>
      <c r="AW1211" s="1">
        <v>0.0</v>
      </c>
      <c r="AX1211" s="1">
        <v>3.0</v>
      </c>
      <c r="AY1211" s="1">
        <v>4.0</v>
      </c>
      <c r="BA1211" s="1">
        <v>0.0</v>
      </c>
      <c r="BB1211" s="1">
        <v>0.0</v>
      </c>
      <c r="BC1211" s="1">
        <v>0.0</v>
      </c>
      <c r="BD1211" s="1">
        <v>0.0</v>
      </c>
      <c r="BE1211" s="1">
        <v>0.0</v>
      </c>
      <c r="BF1211" s="1">
        <v>0.0</v>
      </c>
      <c r="BG1211" s="1">
        <v>0.0</v>
      </c>
      <c r="BH1211" s="1">
        <v>0.0</v>
      </c>
      <c r="BI1211" s="1">
        <v>0.0</v>
      </c>
      <c r="BJ1211" s="1">
        <v>0.0</v>
      </c>
      <c r="BP1211" s="1">
        <v>0.28</v>
      </c>
      <c r="BQ1211" s="1" t="s">
        <v>4349</v>
      </c>
      <c r="BV1211" s="1">
        <v>1.1</v>
      </c>
      <c r="EQ1211" s="9" t="s">
        <v>4348</v>
      </c>
      <c r="ER1211" s="21">
        <v>46045.3003125</v>
      </c>
    </row>
    <row r="1212">
      <c r="A1212" s="9" t="s">
        <v>4350</v>
      </c>
      <c r="B1212" s="20" t="str">
        <f>IFERROR(__xludf.DUMMYFUNCTION("REGEXREPLACE(A1212, ""^https?://[^/]+"", """")"),"/wp-content/uploads/2015/10/sales-x-2.png")</f>
        <v>/wp-content/uploads/2015/10/sales-x-2.png</v>
      </c>
      <c r="F1212" s="1" t="s">
        <v>1047</v>
      </c>
      <c r="G1212" s="1">
        <v>200.0</v>
      </c>
      <c r="H1212" s="1" t="s">
        <v>966</v>
      </c>
      <c r="I1212" s="1" t="s">
        <v>967</v>
      </c>
      <c r="L1212" s="1">
        <v>0.0</v>
      </c>
      <c r="M1212" s="1">
        <v>0.0</v>
      </c>
      <c r="O1212" s="1">
        <v>0.0</v>
      </c>
      <c r="P1212" s="1">
        <v>0.0</v>
      </c>
      <c r="R1212" s="1">
        <v>0.0</v>
      </c>
      <c r="S1212" s="1">
        <v>0.0</v>
      </c>
      <c r="U1212" s="1">
        <v>0.0</v>
      </c>
      <c r="W1212" s="1">
        <v>0.0</v>
      </c>
      <c r="Y1212" s="1">
        <v>0.0</v>
      </c>
      <c r="AA1212" s="1">
        <v>0.0</v>
      </c>
      <c r="AC1212" s="1">
        <v>0.0</v>
      </c>
      <c r="AM1212" s="1">
        <v>140315.0</v>
      </c>
      <c r="AN1212" s="1">
        <v>140315.0</v>
      </c>
      <c r="AO1212" s="1">
        <v>140315.0</v>
      </c>
      <c r="AP1212" s="1">
        <v>53.752</v>
      </c>
      <c r="AR1212" s="1">
        <v>0.0</v>
      </c>
      <c r="AW1212" s="1">
        <v>0.0</v>
      </c>
      <c r="AX1212" s="1">
        <v>3.0</v>
      </c>
      <c r="AY1212" s="1">
        <v>4.0</v>
      </c>
      <c r="BA1212" s="1">
        <v>0.0</v>
      </c>
      <c r="BB1212" s="1">
        <v>0.0</v>
      </c>
      <c r="BC1212" s="1">
        <v>0.0</v>
      </c>
      <c r="BD1212" s="1">
        <v>0.0</v>
      </c>
      <c r="BE1212" s="1">
        <v>0.0</v>
      </c>
      <c r="BF1212" s="1">
        <v>0.0</v>
      </c>
      <c r="BG1212" s="1">
        <v>0.0</v>
      </c>
      <c r="BH1212" s="1">
        <v>0.0</v>
      </c>
      <c r="BI1212" s="1">
        <v>0.0</v>
      </c>
      <c r="BJ1212" s="1">
        <v>0.0</v>
      </c>
      <c r="BP1212" s="1">
        <v>0.272</v>
      </c>
      <c r="BQ1212" s="1" t="s">
        <v>4351</v>
      </c>
      <c r="BV1212" s="1">
        <v>1.1</v>
      </c>
      <c r="EQ1212" s="9" t="s">
        <v>4350</v>
      </c>
      <c r="ER1212" s="21">
        <v>46045.3003125</v>
      </c>
    </row>
    <row r="1213">
      <c r="A1213" s="9" t="s">
        <v>4352</v>
      </c>
      <c r="B1213" s="20" t="str">
        <f>IFERROR(__xludf.DUMMYFUNCTION("REGEXREPLACE(A1213, ""^https?://[^/]+"", """")"),"/sales-agility-assessment-1-0-mdugan/")</f>
        <v>/sales-agility-assessment-1-0-mdugan/</v>
      </c>
      <c r="F1213" s="1" t="s">
        <v>965</v>
      </c>
      <c r="G1213" s="1">
        <v>301.0</v>
      </c>
      <c r="H1213" s="1" t="s">
        <v>1304</v>
      </c>
      <c r="I1213" s="1" t="s">
        <v>1214</v>
      </c>
      <c r="J1213" s="1" t="s">
        <v>1305</v>
      </c>
      <c r="L1213" s="1">
        <v>0.0</v>
      </c>
      <c r="M1213" s="1">
        <v>0.0</v>
      </c>
      <c r="O1213" s="1">
        <v>0.0</v>
      </c>
      <c r="P1213" s="1">
        <v>0.0</v>
      </c>
      <c r="R1213" s="1">
        <v>0.0</v>
      </c>
      <c r="S1213" s="1">
        <v>0.0</v>
      </c>
      <c r="U1213" s="1">
        <v>0.0</v>
      </c>
      <c r="W1213" s="1">
        <v>0.0</v>
      </c>
      <c r="Y1213" s="1">
        <v>0.0</v>
      </c>
      <c r="AA1213" s="1">
        <v>0.0</v>
      </c>
      <c r="AC1213" s="1">
        <v>0.0</v>
      </c>
      <c r="AM1213" s="1">
        <v>0.0</v>
      </c>
      <c r="AN1213" s="1">
        <v>0.0</v>
      </c>
      <c r="AO1213" s="1">
        <v>0.0</v>
      </c>
      <c r="AP1213" s="1">
        <v>0.0</v>
      </c>
      <c r="AR1213" s="1">
        <v>0.0</v>
      </c>
      <c r="AW1213" s="1">
        <v>0.0</v>
      </c>
      <c r="AX1213" s="1">
        <v>3.0</v>
      </c>
      <c r="AY1213" s="1">
        <v>1.0</v>
      </c>
      <c r="BA1213" s="1">
        <v>2.0</v>
      </c>
      <c r="BB1213" s="1">
        <v>1.0</v>
      </c>
      <c r="BC1213" s="1">
        <v>0.0</v>
      </c>
      <c r="BD1213" s="1">
        <v>0.13</v>
      </c>
      <c r="BE1213" s="1">
        <v>0.0</v>
      </c>
      <c r="BF1213" s="1">
        <v>0.0</v>
      </c>
      <c r="BG1213" s="1">
        <v>0.0</v>
      </c>
      <c r="BH1213" s="1">
        <v>0.0</v>
      </c>
      <c r="BI1213" s="1">
        <v>0.0</v>
      </c>
      <c r="BJ1213" s="1">
        <v>0.0</v>
      </c>
      <c r="BP1213" s="1">
        <v>0.555</v>
      </c>
      <c r="BR1213" s="9" t="s">
        <v>1380</v>
      </c>
      <c r="BS1213" s="1" t="s">
        <v>1307</v>
      </c>
      <c r="BV1213" s="1">
        <v>1.1</v>
      </c>
      <c r="EQ1213" s="9" t="s">
        <v>4352</v>
      </c>
      <c r="ER1213" s="21">
        <v>46045.3003125</v>
      </c>
    </row>
    <row r="1214">
      <c r="A1214" s="9" t="s">
        <v>4353</v>
      </c>
      <c r="B1214" s="20" t="str">
        <f>IFERROR(__xludf.DUMMYFUNCTION("REGEXREPLACE(A1214, ""^https?://[^/]+"", """")"),"/wp-content/themes/salesxceleratione/assets/css/style.css?ver=1769123437")</f>
        <v>/wp-content/themes/salesxceleratione/assets/css/style.css?ver=1769123437</v>
      </c>
      <c r="F1214" s="1" t="s">
        <v>1016</v>
      </c>
      <c r="G1214" s="1">
        <v>200.0</v>
      </c>
      <c r="H1214" s="1" t="s">
        <v>966</v>
      </c>
      <c r="I1214" s="1" t="s">
        <v>967</v>
      </c>
      <c r="L1214" s="1">
        <v>0.0</v>
      </c>
      <c r="M1214" s="1">
        <v>0.0</v>
      </c>
      <c r="O1214" s="1">
        <v>0.0</v>
      </c>
      <c r="P1214" s="1">
        <v>0.0</v>
      </c>
      <c r="R1214" s="1">
        <v>0.0</v>
      </c>
      <c r="S1214" s="1">
        <v>0.0</v>
      </c>
      <c r="U1214" s="1">
        <v>0.0</v>
      </c>
      <c r="W1214" s="1">
        <v>0.0</v>
      </c>
      <c r="Y1214" s="1">
        <v>0.0</v>
      </c>
      <c r="AA1214" s="1">
        <v>0.0</v>
      </c>
      <c r="AC1214" s="1">
        <v>0.0</v>
      </c>
      <c r="AM1214" s="1">
        <v>17704.0</v>
      </c>
      <c r="AN1214" s="1">
        <v>17704.0</v>
      </c>
      <c r="AO1214" s="1">
        <v>17704.0</v>
      </c>
      <c r="AP1214" s="1">
        <v>6.782</v>
      </c>
      <c r="AR1214" s="1">
        <v>0.0</v>
      </c>
      <c r="AW1214" s="1">
        <v>0.0</v>
      </c>
      <c r="AX1214" s="1">
        <v>3.0</v>
      </c>
      <c r="AY1214" s="1">
        <v>5.0</v>
      </c>
      <c r="BA1214" s="1">
        <v>0.0</v>
      </c>
      <c r="BB1214" s="1">
        <v>0.0</v>
      </c>
      <c r="BC1214" s="1">
        <v>0.0</v>
      </c>
      <c r="BD1214" s="1">
        <v>0.0</v>
      </c>
      <c r="BE1214" s="1">
        <v>0.0</v>
      </c>
      <c r="BF1214" s="1">
        <v>0.0</v>
      </c>
      <c r="BG1214" s="1">
        <v>0.0</v>
      </c>
      <c r="BH1214" s="1">
        <v>0.0</v>
      </c>
      <c r="BI1214" s="1">
        <v>0.0</v>
      </c>
      <c r="BJ1214" s="1">
        <v>0.0</v>
      </c>
      <c r="BP1214" s="1">
        <v>0.281</v>
      </c>
      <c r="BQ1214" s="1" t="s">
        <v>4354</v>
      </c>
      <c r="BV1214" s="1">
        <v>1.1</v>
      </c>
      <c r="EQ1214" s="9" t="s">
        <v>4353</v>
      </c>
      <c r="ER1214" s="21">
        <v>46045.3003125</v>
      </c>
    </row>
    <row r="1215">
      <c r="A1215" s="9" t="s">
        <v>4355</v>
      </c>
      <c r="B1215" s="20" t="str">
        <f>IFERROR(__xludf.DUMMYFUNCTION("REGEXREPLACE(A1215, ""^https?://[^/]+"", """")"),"/wp-content/uploads/2023/02/IMG_1165-1.jpg")</f>
        <v>/wp-content/uploads/2023/02/IMG_1165-1.jpg</v>
      </c>
      <c r="F1215" s="1" t="s">
        <v>1004</v>
      </c>
      <c r="G1215" s="1">
        <v>200.0</v>
      </c>
      <c r="H1215" s="1" t="s">
        <v>966</v>
      </c>
      <c r="I1215" s="1" t="s">
        <v>967</v>
      </c>
      <c r="L1215" s="1">
        <v>0.0</v>
      </c>
      <c r="M1215" s="1">
        <v>0.0</v>
      </c>
      <c r="O1215" s="1">
        <v>0.0</v>
      </c>
      <c r="P1215" s="1">
        <v>0.0</v>
      </c>
      <c r="R1215" s="1">
        <v>0.0</v>
      </c>
      <c r="S1215" s="1">
        <v>0.0</v>
      </c>
      <c r="U1215" s="1">
        <v>0.0</v>
      </c>
      <c r="W1215" s="1">
        <v>0.0</v>
      </c>
      <c r="Y1215" s="1">
        <v>0.0</v>
      </c>
      <c r="AA1215" s="1">
        <v>0.0</v>
      </c>
      <c r="AC1215" s="1">
        <v>0.0</v>
      </c>
      <c r="AM1215" s="1">
        <v>471880.0</v>
      </c>
      <c r="AN1215" s="1">
        <v>471880.0</v>
      </c>
      <c r="AO1215" s="1">
        <v>471880.0</v>
      </c>
      <c r="AP1215" s="1">
        <v>180.768</v>
      </c>
      <c r="AR1215" s="1">
        <v>0.0</v>
      </c>
      <c r="AW1215" s="1">
        <v>0.0</v>
      </c>
      <c r="AX1215" s="1">
        <v>3.0</v>
      </c>
      <c r="AY1215" s="1">
        <v>4.0</v>
      </c>
      <c r="BA1215" s="1">
        <v>0.0</v>
      </c>
      <c r="BB1215" s="1">
        <v>0.0</v>
      </c>
      <c r="BC1215" s="1">
        <v>0.0</v>
      </c>
      <c r="BD1215" s="1">
        <v>0.0</v>
      </c>
      <c r="BE1215" s="1">
        <v>0.0</v>
      </c>
      <c r="BF1215" s="1">
        <v>0.0</v>
      </c>
      <c r="BG1215" s="1">
        <v>0.0</v>
      </c>
      <c r="BH1215" s="1">
        <v>0.0</v>
      </c>
      <c r="BI1215" s="1">
        <v>0.0</v>
      </c>
      <c r="BJ1215" s="1">
        <v>0.0</v>
      </c>
      <c r="BP1215" s="1">
        <v>0.265</v>
      </c>
      <c r="BQ1215" s="1" t="s">
        <v>4356</v>
      </c>
      <c r="BV1215" s="1">
        <v>1.1</v>
      </c>
      <c r="EQ1215" s="9" t="s">
        <v>4355</v>
      </c>
      <c r="ER1215" s="21">
        <v>46045.3003125</v>
      </c>
    </row>
    <row r="1216">
      <c r="A1216" s="9" t="s">
        <v>4357</v>
      </c>
      <c r="B1216" s="20" t="str">
        <f>IFERROR(__xludf.DUMMYFUNCTION("REGEXREPLACE(A1216, ""^https?://[^/]+"", """")"),"/wp-content/uploads/2021/10/Pathfinder-Logo_Final-768x288-1.png")</f>
        <v>/wp-content/uploads/2021/10/Pathfinder-Logo_Final-768x288-1.png</v>
      </c>
      <c r="F1216" s="1" t="s">
        <v>1047</v>
      </c>
      <c r="G1216" s="1">
        <v>200.0</v>
      </c>
      <c r="H1216" s="1" t="s">
        <v>966</v>
      </c>
      <c r="I1216" s="1" t="s">
        <v>967</v>
      </c>
      <c r="L1216" s="1">
        <v>0.0</v>
      </c>
      <c r="M1216" s="1">
        <v>0.0</v>
      </c>
      <c r="O1216" s="1">
        <v>0.0</v>
      </c>
      <c r="P1216" s="1">
        <v>0.0</v>
      </c>
      <c r="R1216" s="1">
        <v>0.0</v>
      </c>
      <c r="S1216" s="1">
        <v>0.0</v>
      </c>
      <c r="U1216" s="1">
        <v>0.0</v>
      </c>
      <c r="W1216" s="1">
        <v>0.0</v>
      </c>
      <c r="Y1216" s="1">
        <v>0.0</v>
      </c>
      <c r="AA1216" s="1">
        <v>0.0</v>
      </c>
      <c r="AC1216" s="1">
        <v>0.0</v>
      </c>
      <c r="AM1216" s="1">
        <v>10490.0</v>
      </c>
      <c r="AN1216" s="1">
        <v>10490.0</v>
      </c>
      <c r="AO1216" s="1">
        <v>10490.0</v>
      </c>
      <c r="AP1216" s="1">
        <v>4.019</v>
      </c>
      <c r="AR1216" s="1">
        <v>0.0</v>
      </c>
      <c r="AW1216" s="1">
        <v>0.0</v>
      </c>
      <c r="AX1216" s="1">
        <v>3.0</v>
      </c>
      <c r="AY1216" s="1">
        <v>4.0</v>
      </c>
      <c r="BA1216" s="1">
        <v>0.0</v>
      </c>
      <c r="BB1216" s="1">
        <v>0.0</v>
      </c>
      <c r="BC1216" s="1">
        <v>0.0</v>
      </c>
      <c r="BD1216" s="1">
        <v>0.0</v>
      </c>
      <c r="BE1216" s="1">
        <v>0.0</v>
      </c>
      <c r="BF1216" s="1">
        <v>0.0</v>
      </c>
      <c r="BG1216" s="1">
        <v>0.0</v>
      </c>
      <c r="BH1216" s="1">
        <v>0.0</v>
      </c>
      <c r="BI1216" s="1">
        <v>0.0</v>
      </c>
      <c r="BJ1216" s="1">
        <v>0.0</v>
      </c>
      <c r="BP1216" s="1">
        <v>0.266</v>
      </c>
      <c r="BQ1216" s="1" t="s">
        <v>4358</v>
      </c>
      <c r="BV1216" s="1">
        <v>1.1</v>
      </c>
      <c r="EQ1216" s="9" t="s">
        <v>4357</v>
      </c>
      <c r="ER1216" s="21">
        <v>46045.3003125</v>
      </c>
    </row>
    <row r="1217">
      <c r="A1217" s="9" t="s">
        <v>4359</v>
      </c>
      <c r="B1217" s="20" t="str">
        <f>IFERROR(__xludf.DUMMYFUNCTION("REGEXREPLACE(A1217, ""^https?://[^/]+"", """")"),"/wp-content/uploads/2024/04/PC-2023-Winners.jpg")</f>
        <v>/wp-content/uploads/2024/04/PC-2023-Winners.jpg</v>
      </c>
      <c r="F1217" s="1" t="s">
        <v>1004</v>
      </c>
      <c r="G1217" s="1">
        <v>200.0</v>
      </c>
      <c r="H1217" s="1" t="s">
        <v>966</v>
      </c>
      <c r="I1217" s="1" t="s">
        <v>967</v>
      </c>
      <c r="L1217" s="1">
        <v>0.0</v>
      </c>
      <c r="M1217" s="1">
        <v>0.0</v>
      </c>
      <c r="O1217" s="1">
        <v>0.0</v>
      </c>
      <c r="P1217" s="1">
        <v>0.0</v>
      </c>
      <c r="R1217" s="1">
        <v>0.0</v>
      </c>
      <c r="S1217" s="1">
        <v>0.0</v>
      </c>
      <c r="U1217" s="1">
        <v>0.0</v>
      </c>
      <c r="W1217" s="1">
        <v>0.0</v>
      </c>
      <c r="Y1217" s="1">
        <v>0.0</v>
      </c>
      <c r="AA1217" s="1">
        <v>0.0</v>
      </c>
      <c r="AC1217" s="1">
        <v>0.0</v>
      </c>
      <c r="AM1217" s="1">
        <v>367824.0</v>
      </c>
      <c r="AN1217" s="1">
        <v>367824.0</v>
      </c>
      <c r="AO1217" s="1">
        <v>367824.0</v>
      </c>
      <c r="AP1217" s="1">
        <v>140.906</v>
      </c>
      <c r="AR1217" s="1">
        <v>0.0</v>
      </c>
      <c r="AW1217" s="1">
        <v>0.0</v>
      </c>
      <c r="AX1217" s="1">
        <v>3.0</v>
      </c>
      <c r="AY1217" s="1">
        <v>4.0</v>
      </c>
      <c r="BA1217" s="1">
        <v>0.0</v>
      </c>
      <c r="BB1217" s="1">
        <v>0.0</v>
      </c>
      <c r="BC1217" s="1">
        <v>0.0</v>
      </c>
      <c r="BD1217" s="1">
        <v>0.0</v>
      </c>
      <c r="BE1217" s="1">
        <v>0.0</v>
      </c>
      <c r="BF1217" s="1">
        <v>0.0</v>
      </c>
      <c r="BG1217" s="1">
        <v>0.0</v>
      </c>
      <c r="BH1217" s="1">
        <v>0.0</v>
      </c>
      <c r="BI1217" s="1">
        <v>0.0</v>
      </c>
      <c r="BJ1217" s="1">
        <v>0.0</v>
      </c>
      <c r="BP1217" s="1">
        <v>0.272</v>
      </c>
      <c r="BQ1217" s="1" t="s">
        <v>4360</v>
      </c>
      <c r="BV1217" s="1">
        <v>1.1</v>
      </c>
      <c r="EQ1217" s="9" t="s">
        <v>4359</v>
      </c>
      <c r="ER1217" s="21">
        <v>46045.30032407407</v>
      </c>
    </row>
    <row r="1218">
      <c r="A1218" s="9" t="s">
        <v>4361</v>
      </c>
      <c r="B1218" s="20" t="str">
        <f>IFERROR(__xludf.DUMMYFUNCTION("REGEXREPLACE(A1218, ""^https?://[^/]+"", """")"),"/wp-content/uploads/2020/08/2020-08-Flynn-Bellew-George-Englert-Landsverk-Skerlos-Hardwick-Duckworth-Grand-Toon-Miller-scaled-1.jpg")</f>
        <v>/wp-content/uploads/2020/08/2020-08-Flynn-Bellew-George-Englert-Landsverk-Skerlos-Hardwick-Duckworth-Grand-Toon-Miller-scaled-1.jpg</v>
      </c>
      <c r="F1218" s="1" t="s">
        <v>1004</v>
      </c>
      <c r="G1218" s="1">
        <v>200.0</v>
      </c>
      <c r="H1218" s="1" t="s">
        <v>966</v>
      </c>
      <c r="I1218" s="1" t="s">
        <v>967</v>
      </c>
      <c r="L1218" s="1">
        <v>0.0</v>
      </c>
      <c r="M1218" s="1">
        <v>0.0</v>
      </c>
      <c r="O1218" s="1">
        <v>0.0</v>
      </c>
      <c r="P1218" s="1">
        <v>0.0</v>
      </c>
      <c r="R1218" s="1">
        <v>0.0</v>
      </c>
      <c r="S1218" s="1">
        <v>0.0</v>
      </c>
      <c r="U1218" s="1">
        <v>0.0</v>
      </c>
      <c r="W1218" s="1">
        <v>0.0</v>
      </c>
      <c r="Y1218" s="1">
        <v>0.0</v>
      </c>
      <c r="AA1218" s="1">
        <v>0.0</v>
      </c>
      <c r="AC1218" s="1">
        <v>0.0</v>
      </c>
      <c r="AM1218" s="1">
        <v>413030.0</v>
      </c>
      <c r="AN1218" s="1">
        <v>413030.0</v>
      </c>
      <c r="AO1218" s="1">
        <v>413030.0</v>
      </c>
      <c r="AP1218" s="1">
        <v>158.224</v>
      </c>
      <c r="AR1218" s="1">
        <v>0.0</v>
      </c>
      <c r="AW1218" s="1">
        <v>0.0</v>
      </c>
      <c r="AX1218" s="1">
        <v>3.0</v>
      </c>
      <c r="AY1218" s="1">
        <v>4.0</v>
      </c>
      <c r="BA1218" s="1">
        <v>0.0</v>
      </c>
      <c r="BB1218" s="1">
        <v>0.0</v>
      </c>
      <c r="BC1218" s="1">
        <v>0.0</v>
      </c>
      <c r="BD1218" s="1">
        <v>0.0</v>
      </c>
      <c r="BE1218" s="1">
        <v>0.0</v>
      </c>
      <c r="BF1218" s="1">
        <v>0.0</v>
      </c>
      <c r="BG1218" s="1">
        <v>0.0</v>
      </c>
      <c r="BH1218" s="1">
        <v>0.0</v>
      </c>
      <c r="BI1218" s="1">
        <v>0.0</v>
      </c>
      <c r="BJ1218" s="1">
        <v>0.0</v>
      </c>
      <c r="BP1218" s="1">
        <v>0.277</v>
      </c>
      <c r="BQ1218" s="1" t="s">
        <v>4362</v>
      </c>
      <c r="BV1218" s="1">
        <v>1.1</v>
      </c>
      <c r="EQ1218" s="9" t="s">
        <v>4361</v>
      </c>
      <c r="ER1218" s="21">
        <v>46045.30032407407</v>
      </c>
    </row>
    <row r="1219">
      <c r="A1219" s="9" t="s">
        <v>4363</v>
      </c>
      <c r="B1219" s="20" t="str">
        <f>IFERROR(__xludf.DUMMYFUNCTION("REGEXREPLACE(A1219, ""^https?://[^/]+"", """")"),"/wp-content/themes/salesxceleratione/assets/css/style.css?ver=1769123438")</f>
        <v>/wp-content/themes/salesxceleratione/assets/css/style.css?ver=1769123438</v>
      </c>
      <c r="F1219" s="1" t="s">
        <v>1016</v>
      </c>
      <c r="G1219" s="1">
        <v>200.0</v>
      </c>
      <c r="H1219" s="1" t="s">
        <v>966</v>
      </c>
      <c r="I1219" s="1" t="s">
        <v>967</v>
      </c>
      <c r="L1219" s="1">
        <v>0.0</v>
      </c>
      <c r="M1219" s="1">
        <v>0.0</v>
      </c>
      <c r="O1219" s="1">
        <v>0.0</v>
      </c>
      <c r="P1219" s="1">
        <v>0.0</v>
      </c>
      <c r="R1219" s="1">
        <v>0.0</v>
      </c>
      <c r="S1219" s="1">
        <v>0.0</v>
      </c>
      <c r="U1219" s="1">
        <v>0.0</v>
      </c>
      <c r="W1219" s="1">
        <v>0.0</v>
      </c>
      <c r="Y1219" s="1">
        <v>0.0</v>
      </c>
      <c r="AA1219" s="1">
        <v>0.0</v>
      </c>
      <c r="AC1219" s="1">
        <v>0.0</v>
      </c>
      <c r="AM1219" s="1">
        <v>17704.0</v>
      </c>
      <c r="AN1219" s="1">
        <v>17704.0</v>
      </c>
      <c r="AO1219" s="1">
        <v>17704.0</v>
      </c>
      <c r="AP1219" s="1">
        <v>6.782</v>
      </c>
      <c r="AR1219" s="1">
        <v>0.0</v>
      </c>
      <c r="AW1219" s="1">
        <v>0.0</v>
      </c>
      <c r="AX1219" s="1">
        <v>3.0</v>
      </c>
      <c r="AY1219" s="1">
        <v>5.0</v>
      </c>
      <c r="BA1219" s="1">
        <v>0.0</v>
      </c>
      <c r="BB1219" s="1">
        <v>0.0</v>
      </c>
      <c r="BC1219" s="1">
        <v>0.0</v>
      </c>
      <c r="BD1219" s="1">
        <v>0.0</v>
      </c>
      <c r="BE1219" s="1">
        <v>0.0</v>
      </c>
      <c r="BF1219" s="1">
        <v>0.0</v>
      </c>
      <c r="BG1219" s="1">
        <v>0.0</v>
      </c>
      <c r="BH1219" s="1">
        <v>0.0</v>
      </c>
      <c r="BI1219" s="1">
        <v>0.0</v>
      </c>
      <c r="BJ1219" s="1">
        <v>0.0</v>
      </c>
      <c r="BP1219" s="1">
        <v>0.269</v>
      </c>
      <c r="BQ1219" s="1" t="s">
        <v>4364</v>
      </c>
      <c r="BV1219" s="1">
        <v>1.1</v>
      </c>
      <c r="EQ1219" s="9" t="s">
        <v>4363</v>
      </c>
      <c r="ER1219" s="21">
        <v>46045.30033564815</v>
      </c>
    </row>
    <row r="1220">
      <c r="A1220" s="9" t="s">
        <v>4365</v>
      </c>
      <c r="B1220" s="20" t="str">
        <f>IFERROR(__xludf.DUMMYFUNCTION("REGEXREPLACE(A1220, ""^https?://[^/]+"", """")"),"/wp-content/uploads/2025/02/February-2025-Class.jpg")</f>
        <v>/wp-content/uploads/2025/02/February-2025-Class.jpg</v>
      </c>
      <c r="F1220" s="1" t="s">
        <v>1004</v>
      </c>
      <c r="G1220" s="1">
        <v>200.0</v>
      </c>
      <c r="H1220" s="1" t="s">
        <v>966</v>
      </c>
      <c r="I1220" s="1" t="s">
        <v>967</v>
      </c>
      <c r="L1220" s="1">
        <v>0.0</v>
      </c>
      <c r="M1220" s="1">
        <v>0.0</v>
      </c>
      <c r="O1220" s="1">
        <v>0.0</v>
      </c>
      <c r="P1220" s="1">
        <v>0.0</v>
      </c>
      <c r="R1220" s="1">
        <v>0.0</v>
      </c>
      <c r="S1220" s="1">
        <v>0.0</v>
      </c>
      <c r="U1220" s="1">
        <v>0.0</v>
      </c>
      <c r="W1220" s="1">
        <v>0.0</v>
      </c>
      <c r="Y1220" s="1">
        <v>0.0</v>
      </c>
      <c r="AA1220" s="1">
        <v>0.0</v>
      </c>
      <c r="AC1220" s="1">
        <v>0.0</v>
      </c>
      <c r="AM1220" s="1">
        <v>438658.0</v>
      </c>
      <c r="AN1220" s="1">
        <v>438658.0</v>
      </c>
      <c r="AO1220" s="1">
        <v>438658.0</v>
      </c>
      <c r="AP1220" s="1">
        <v>168.042</v>
      </c>
      <c r="AR1220" s="1">
        <v>0.0</v>
      </c>
      <c r="AW1220" s="1">
        <v>0.0</v>
      </c>
      <c r="AX1220" s="1">
        <v>3.0</v>
      </c>
      <c r="AY1220" s="1">
        <v>4.0</v>
      </c>
      <c r="BA1220" s="1">
        <v>0.0</v>
      </c>
      <c r="BB1220" s="1">
        <v>0.0</v>
      </c>
      <c r="BC1220" s="1">
        <v>0.0</v>
      </c>
      <c r="BD1220" s="1">
        <v>0.0</v>
      </c>
      <c r="BE1220" s="1">
        <v>0.0</v>
      </c>
      <c r="BF1220" s="1">
        <v>0.0</v>
      </c>
      <c r="BG1220" s="1">
        <v>0.0</v>
      </c>
      <c r="BH1220" s="1">
        <v>0.0</v>
      </c>
      <c r="BI1220" s="1">
        <v>0.0</v>
      </c>
      <c r="BJ1220" s="1">
        <v>0.0</v>
      </c>
      <c r="BP1220" s="1">
        <v>0.266</v>
      </c>
      <c r="BQ1220" s="1" t="s">
        <v>4366</v>
      </c>
      <c r="BV1220" s="1">
        <v>1.1</v>
      </c>
      <c r="EQ1220" s="9" t="s">
        <v>4365</v>
      </c>
      <c r="ER1220" s="21">
        <v>46045.30033564815</v>
      </c>
    </row>
    <row r="1221">
      <c r="A1221" s="9" t="s">
        <v>4367</v>
      </c>
      <c r="B1221" s="20" t="str">
        <f>IFERROR(__xludf.DUMMYFUNCTION("REGEXREPLACE(A1221, ""^https?://[^/]+"", """")"),"/wp-content/uploads/2019/08/shutterstock_1009393072-1-scaled.jpg")</f>
        <v>/wp-content/uploads/2019/08/shutterstock_1009393072-1-scaled.jpg</v>
      </c>
      <c r="F1221" s="1" t="s">
        <v>1004</v>
      </c>
      <c r="G1221" s="1">
        <v>200.0</v>
      </c>
      <c r="H1221" s="1" t="s">
        <v>966</v>
      </c>
      <c r="I1221" s="1" t="s">
        <v>967</v>
      </c>
      <c r="L1221" s="1">
        <v>0.0</v>
      </c>
      <c r="M1221" s="1">
        <v>0.0</v>
      </c>
      <c r="O1221" s="1">
        <v>0.0</v>
      </c>
      <c r="P1221" s="1">
        <v>0.0</v>
      </c>
      <c r="R1221" s="1">
        <v>0.0</v>
      </c>
      <c r="S1221" s="1">
        <v>0.0</v>
      </c>
      <c r="U1221" s="1">
        <v>0.0</v>
      </c>
      <c r="W1221" s="1">
        <v>0.0</v>
      </c>
      <c r="Y1221" s="1">
        <v>0.0</v>
      </c>
      <c r="AA1221" s="1">
        <v>0.0</v>
      </c>
      <c r="AC1221" s="1">
        <v>0.0</v>
      </c>
      <c r="AM1221" s="1">
        <v>109356.0</v>
      </c>
      <c r="AN1221" s="1">
        <v>109356.0</v>
      </c>
      <c r="AO1221" s="1">
        <v>109356.0</v>
      </c>
      <c r="AP1221" s="1">
        <v>41.892</v>
      </c>
      <c r="AR1221" s="1">
        <v>0.0</v>
      </c>
      <c r="AW1221" s="1">
        <v>0.0</v>
      </c>
      <c r="AX1221" s="1">
        <v>3.0</v>
      </c>
      <c r="AY1221" s="1">
        <v>4.0</v>
      </c>
      <c r="BA1221" s="1">
        <v>0.0</v>
      </c>
      <c r="BB1221" s="1">
        <v>0.0</v>
      </c>
      <c r="BC1221" s="1">
        <v>0.0</v>
      </c>
      <c r="BD1221" s="1">
        <v>0.0</v>
      </c>
      <c r="BE1221" s="1">
        <v>0.0</v>
      </c>
      <c r="BF1221" s="1">
        <v>0.0</v>
      </c>
      <c r="BG1221" s="1">
        <v>0.0</v>
      </c>
      <c r="BH1221" s="1">
        <v>0.0</v>
      </c>
      <c r="BI1221" s="1">
        <v>0.0</v>
      </c>
      <c r="BJ1221" s="1">
        <v>0.0</v>
      </c>
      <c r="BP1221" s="1">
        <v>0.273</v>
      </c>
      <c r="BQ1221" s="1" t="s">
        <v>4368</v>
      </c>
      <c r="BV1221" s="1">
        <v>1.1</v>
      </c>
      <c r="EQ1221" s="9" t="s">
        <v>4367</v>
      </c>
      <c r="ER1221" s="21">
        <v>46045.30033564815</v>
      </c>
    </row>
    <row r="1222">
      <c r="A1222" s="9" t="s">
        <v>4369</v>
      </c>
      <c r="B1222" s="20" t="str">
        <f>IFERROR(__xludf.DUMMYFUNCTION("REGEXREPLACE(A1222, ""^https?://[^/]+"", """")"),"/wp-content/uploads/2012/07/Book-small.png")</f>
        <v>/wp-content/uploads/2012/07/Book-small.png</v>
      </c>
      <c r="F1222" s="1" t="s">
        <v>1047</v>
      </c>
      <c r="G1222" s="1">
        <v>200.0</v>
      </c>
      <c r="H1222" s="1" t="s">
        <v>966</v>
      </c>
      <c r="I1222" s="1" t="s">
        <v>967</v>
      </c>
      <c r="L1222" s="1">
        <v>0.0</v>
      </c>
      <c r="M1222" s="1">
        <v>0.0</v>
      </c>
      <c r="O1222" s="1">
        <v>0.0</v>
      </c>
      <c r="P1222" s="1">
        <v>0.0</v>
      </c>
      <c r="R1222" s="1">
        <v>0.0</v>
      </c>
      <c r="S1222" s="1">
        <v>0.0</v>
      </c>
      <c r="U1222" s="1">
        <v>0.0</v>
      </c>
      <c r="W1222" s="1">
        <v>0.0</v>
      </c>
      <c r="Y1222" s="1">
        <v>0.0</v>
      </c>
      <c r="AA1222" s="1">
        <v>0.0</v>
      </c>
      <c r="AC1222" s="1">
        <v>0.0</v>
      </c>
      <c r="AM1222" s="1">
        <v>7836.0</v>
      </c>
      <c r="AN1222" s="1">
        <v>7836.0</v>
      </c>
      <c r="AO1222" s="1">
        <v>7836.0</v>
      </c>
      <c r="AP1222" s="1">
        <v>3.002</v>
      </c>
      <c r="AR1222" s="1">
        <v>0.0</v>
      </c>
      <c r="AW1222" s="1">
        <v>0.0</v>
      </c>
      <c r="AX1222" s="1">
        <v>3.0</v>
      </c>
      <c r="AY1222" s="1">
        <v>4.0</v>
      </c>
      <c r="BA1222" s="1">
        <v>0.0</v>
      </c>
      <c r="BB1222" s="1">
        <v>0.0</v>
      </c>
      <c r="BC1222" s="1">
        <v>0.0</v>
      </c>
      <c r="BD1222" s="1">
        <v>0.0</v>
      </c>
      <c r="BE1222" s="1">
        <v>0.0</v>
      </c>
      <c r="BF1222" s="1">
        <v>0.0</v>
      </c>
      <c r="BG1222" s="1">
        <v>0.0</v>
      </c>
      <c r="BH1222" s="1">
        <v>0.0</v>
      </c>
      <c r="BI1222" s="1">
        <v>0.0</v>
      </c>
      <c r="BJ1222" s="1">
        <v>0.0</v>
      </c>
      <c r="BP1222" s="1">
        <v>0.27</v>
      </c>
      <c r="BQ1222" s="1" t="s">
        <v>4370</v>
      </c>
      <c r="BV1222" s="1">
        <v>1.1</v>
      </c>
      <c r="EQ1222" s="9" t="s">
        <v>4369</v>
      </c>
      <c r="ER1222" s="21">
        <v>46045.30033564815</v>
      </c>
    </row>
    <row r="1223">
      <c r="A1223" s="9" t="s">
        <v>4371</v>
      </c>
      <c r="B1223" s="20" t="str">
        <f>IFERROR(__xludf.DUMMYFUNCTION("REGEXREPLACE(A1223, ""^https?://[^/]+"", """")"),"/wp-content/uploads/2018/06/June_Training.jpg")</f>
        <v>/wp-content/uploads/2018/06/June_Training.jpg</v>
      </c>
      <c r="F1223" s="1" t="s">
        <v>1004</v>
      </c>
      <c r="G1223" s="1">
        <v>200.0</v>
      </c>
      <c r="H1223" s="1" t="s">
        <v>966</v>
      </c>
      <c r="I1223" s="1" t="s">
        <v>967</v>
      </c>
      <c r="L1223" s="1">
        <v>0.0</v>
      </c>
      <c r="M1223" s="1">
        <v>0.0</v>
      </c>
      <c r="O1223" s="1">
        <v>0.0</v>
      </c>
      <c r="P1223" s="1">
        <v>0.0</v>
      </c>
      <c r="R1223" s="1">
        <v>0.0</v>
      </c>
      <c r="S1223" s="1">
        <v>0.0</v>
      </c>
      <c r="U1223" s="1">
        <v>0.0</v>
      </c>
      <c r="W1223" s="1">
        <v>0.0</v>
      </c>
      <c r="Y1223" s="1">
        <v>0.0</v>
      </c>
      <c r="AA1223" s="1">
        <v>0.0</v>
      </c>
      <c r="AC1223" s="1">
        <v>0.0</v>
      </c>
      <c r="AM1223" s="1">
        <v>40733.0</v>
      </c>
      <c r="AN1223" s="1">
        <v>40733.0</v>
      </c>
      <c r="AO1223" s="1">
        <v>40733.0</v>
      </c>
      <c r="AP1223" s="1">
        <v>15.604</v>
      </c>
      <c r="AR1223" s="1">
        <v>0.0</v>
      </c>
      <c r="AW1223" s="1">
        <v>0.0</v>
      </c>
      <c r="AX1223" s="1">
        <v>3.0</v>
      </c>
      <c r="AY1223" s="1">
        <v>4.0</v>
      </c>
      <c r="BA1223" s="1">
        <v>0.0</v>
      </c>
      <c r="BB1223" s="1">
        <v>0.0</v>
      </c>
      <c r="BC1223" s="1">
        <v>0.0</v>
      </c>
      <c r="BD1223" s="1">
        <v>0.0</v>
      </c>
      <c r="BE1223" s="1">
        <v>0.0</v>
      </c>
      <c r="BF1223" s="1">
        <v>0.0</v>
      </c>
      <c r="BG1223" s="1">
        <v>0.0</v>
      </c>
      <c r="BH1223" s="1">
        <v>0.0</v>
      </c>
      <c r="BI1223" s="1">
        <v>0.0</v>
      </c>
      <c r="BJ1223" s="1">
        <v>0.0</v>
      </c>
      <c r="BP1223" s="1">
        <v>0.274</v>
      </c>
      <c r="BQ1223" s="1" t="s">
        <v>4372</v>
      </c>
      <c r="BV1223" s="1">
        <v>1.1</v>
      </c>
      <c r="EQ1223" s="9" t="s">
        <v>4371</v>
      </c>
      <c r="ER1223" s="21">
        <v>46045.30033564815</v>
      </c>
    </row>
    <row r="1224">
      <c r="A1224" s="9" t="s">
        <v>4373</v>
      </c>
      <c r="B1224" s="20" t="str">
        <f>IFERROR(__xludf.DUMMYFUNCTION("REGEXREPLACE(A1224, ""^https?://[^/]+"", """")"),"/wp-content/uploads/2023/07/yorCMO-SX-Graphic.jpg")</f>
        <v>/wp-content/uploads/2023/07/yorCMO-SX-Graphic.jpg</v>
      </c>
      <c r="F1224" s="1" t="s">
        <v>1004</v>
      </c>
      <c r="G1224" s="1">
        <v>200.0</v>
      </c>
      <c r="H1224" s="1" t="s">
        <v>966</v>
      </c>
      <c r="I1224" s="1" t="s">
        <v>967</v>
      </c>
      <c r="L1224" s="1">
        <v>0.0</v>
      </c>
      <c r="M1224" s="1">
        <v>0.0</v>
      </c>
      <c r="O1224" s="1">
        <v>0.0</v>
      </c>
      <c r="P1224" s="1">
        <v>0.0</v>
      </c>
      <c r="R1224" s="1">
        <v>0.0</v>
      </c>
      <c r="S1224" s="1">
        <v>0.0</v>
      </c>
      <c r="U1224" s="1">
        <v>0.0</v>
      </c>
      <c r="W1224" s="1">
        <v>0.0</v>
      </c>
      <c r="Y1224" s="1">
        <v>0.0</v>
      </c>
      <c r="AA1224" s="1">
        <v>0.0</v>
      </c>
      <c r="AC1224" s="1">
        <v>0.0</v>
      </c>
      <c r="AM1224" s="1">
        <v>86889.0</v>
      </c>
      <c r="AN1224" s="1">
        <v>86889.0</v>
      </c>
      <c r="AO1224" s="1">
        <v>86889.0</v>
      </c>
      <c r="AP1224" s="1">
        <v>33.286</v>
      </c>
      <c r="AR1224" s="1">
        <v>0.0</v>
      </c>
      <c r="AW1224" s="1">
        <v>0.0</v>
      </c>
      <c r="AX1224" s="1">
        <v>3.0</v>
      </c>
      <c r="AY1224" s="1">
        <v>4.0</v>
      </c>
      <c r="BA1224" s="1">
        <v>0.0</v>
      </c>
      <c r="BB1224" s="1">
        <v>0.0</v>
      </c>
      <c r="BC1224" s="1">
        <v>0.0</v>
      </c>
      <c r="BD1224" s="1">
        <v>0.0</v>
      </c>
      <c r="BE1224" s="1">
        <v>0.0</v>
      </c>
      <c r="BF1224" s="1">
        <v>0.0</v>
      </c>
      <c r="BG1224" s="1">
        <v>0.0</v>
      </c>
      <c r="BH1224" s="1">
        <v>0.0</v>
      </c>
      <c r="BI1224" s="1">
        <v>0.0</v>
      </c>
      <c r="BJ1224" s="1">
        <v>0.0</v>
      </c>
      <c r="BP1224" s="1">
        <v>0.274</v>
      </c>
      <c r="BQ1224" s="1" t="s">
        <v>4374</v>
      </c>
      <c r="BV1224" s="1">
        <v>1.1</v>
      </c>
      <c r="EQ1224" s="9" t="s">
        <v>4373</v>
      </c>
      <c r="ER1224" s="21">
        <v>46045.30034722222</v>
      </c>
    </row>
    <row r="1225">
      <c r="A1225" s="9" t="s">
        <v>4375</v>
      </c>
      <c r="B1225" s="20" t="str">
        <f>IFERROR(__xludf.DUMMYFUNCTION("REGEXREPLACE(A1225, ""^https?://[^/]+"", """")"),"/wp-content/uploads/2020/10/2020-10-Training-Ft.-Meyers-J.-Clair-J.-Murphy-L.-Green-R.-Peterson-B.-Marquette-TM-Dickinson-G.-Harper-J.-Soares-S.-Landrum-R.-Jablonski-scaled-1.jpg")</f>
        <v>/wp-content/uploads/2020/10/2020-10-Training-Ft.-Meyers-J.-Clair-J.-Murphy-L.-Green-R.-Peterson-B.-Marquette-TM-Dickinson-G.-Harper-J.-Soares-S.-Landrum-R.-Jablonski-scaled-1.jpg</v>
      </c>
      <c r="F1225" s="1" t="s">
        <v>1004</v>
      </c>
      <c r="G1225" s="1">
        <v>200.0</v>
      </c>
      <c r="H1225" s="1" t="s">
        <v>966</v>
      </c>
      <c r="I1225" s="1" t="s">
        <v>967</v>
      </c>
      <c r="L1225" s="1">
        <v>0.0</v>
      </c>
      <c r="M1225" s="1">
        <v>0.0</v>
      </c>
      <c r="O1225" s="1">
        <v>0.0</v>
      </c>
      <c r="P1225" s="1">
        <v>0.0</v>
      </c>
      <c r="R1225" s="1">
        <v>0.0</v>
      </c>
      <c r="S1225" s="1">
        <v>0.0</v>
      </c>
      <c r="U1225" s="1">
        <v>0.0</v>
      </c>
      <c r="W1225" s="1">
        <v>0.0</v>
      </c>
      <c r="Y1225" s="1">
        <v>0.0</v>
      </c>
      <c r="AA1225" s="1">
        <v>0.0</v>
      </c>
      <c r="AC1225" s="1">
        <v>0.0</v>
      </c>
      <c r="AM1225" s="1">
        <v>421518.0</v>
      </c>
      <c r="AN1225" s="1">
        <v>421518.0</v>
      </c>
      <c r="AO1225" s="1">
        <v>421518.0</v>
      </c>
      <c r="AP1225" s="1">
        <v>161.476</v>
      </c>
      <c r="AR1225" s="1">
        <v>0.0</v>
      </c>
      <c r="AW1225" s="1">
        <v>0.0</v>
      </c>
      <c r="AX1225" s="1">
        <v>3.0</v>
      </c>
      <c r="AY1225" s="1">
        <v>4.0</v>
      </c>
      <c r="BA1225" s="1">
        <v>0.0</v>
      </c>
      <c r="BB1225" s="1">
        <v>0.0</v>
      </c>
      <c r="BC1225" s="1">
        <v>0.0</v>
      </c>
      <c r="BD1225" s="1">
        <v>0.0</v>
      </c>
      <c r="BE1225" s="1">
        <v>0.0</v>
      </c>
      <c r="BF1225" s="1">
        <v>0.0</v>
      </c>
      <c r="BG1225" s="1">
        <v>0.0</v>
      </c>
      <c r="BH1225" s="1">
        <v>0.0</v>
      </c>
      <c r="BI1225" s="1">
        <v>0.0</v>
      </c>
      <c r="BJ1225" s="1">
        <v>0.0</v>
      </c>
      <c r="BP1225" s="1">
        <v>0.269</v>
      </c>
      <c r="BQ1225" s="1" t="s">
        <v>4376</v>
      </c>
      <c r="BV1225" s="1">
        <v>1.1</v>
      </c>
      <c r="EQ1225" s="9" t="s">
        <v>4375</v>
      </c>
      <c r="ER1225" s="21">
        <v>46045.30034722222</v>
      </c>
    </row>
    <row r="1226">
      <c r="A1226" s="9" t="s">
        <v>4377</v>
      </c>
      <c r="B1226" s="20" t="str">
        <f>IFERROR(__xludf.DUMMYFUNCTION("REGEXREPLACE(A1226, ""^https?://[^/]+"", """")"),"/wp-content/themes/salesxceleratione/assets/css/style.css?ver=1769123439")</f>
        <v>/wp-content/themes/salesxceleratione/assets/css/style.css?ver=1769123439</v>
      </c>
      <c r="F1226" s="1" t="s">
        <v>1016</v>
      </c>
      <c r="G1226" s="1">
        <v>200.0</v>
      </c>
      <c r="H1226" s="1" t="s">
        <v>966</v>
      </c>
      <c r="I1226" s="1" t="s">
        <v>967</v>
      </c>
      <c r="L1226" s="1">
        <v>0.0</v>
      </c>
      <c r="M1226" s="1">
        <v>0.0</v>
      </c>
      <c r="O1226" s="1">
        <v>0.0</v>
      </c>
      <c r="P1226" s="1">
        <v>0.0</v>
      </c>
      <c r="R1226" s="1">
        <v>0.0</v>
      </c>
      <c r="S1226" s="1">
        <v>0.0</v>
      </c>
      <c r="U1226" s="1">
        <v>0.0</v>
      </c>
      <c r="W1226" s="1">
        <v>0.0</v>
      </c>
      <c r="Y1226" s="1">
        <v>0.0</v>
      </c>
      <c r="AA1226" s="1">
        <v>0.0</v>
      </c>
      <c r="AC1226" s="1">
        <v>0.0</v>
      </c>
      <c r="AM1226" s="1">
        <v>17704.0</v>
      </c>
      <c r="AN1226" s="1">
        <v>17704.0</v>
      </c>
      <c r="AO1226" s="1">
        <v>17704.0</v>
      </c>
      <c r="AP1226" s="1">
        <v>6.782</v>
      </c>
      <c r="AR1226" s="1">
        <v>0.0</v>
      </c>
      <c r="AW1226" s="1">
        <v>0.0</v>
      </c>
      <c r="AX1226" s="1">
        <v>3.0</v>
      </c>
      <c r="AY1226" s="1">
        <v>5.0</v>
      </c>
      <c r="BA1226" s="1">
        <v>0.0</v>
      </c>
      <c r="BB1226" s="1">
        <v>0.0</v>
      </c>
      <c r="BC1226" s="1">
        <v>0.0</v>
      </c>
      <c r="BD1226" s="1">
        <v>0.0</v>
      </c>
      <c r="BE1226" s="1">
        <v>0.0</v>
      </c>
      <c r="BF1226" s="1">
        <v>0.0</v>
      </c>
      <c r="BG1226" s="1">
        <v>0.0</v>
      </c>
      <c r="BH1226" s="1">
        <v>0.0</v>
      </c>
      <c r="BI1226" s="1">
        <v>0.0</v>
      </c>
      <c r="BJ1226" s="1">
        <v>0.0</v>
      </c>
      <c r="BP1226" s="1">
        <v>0.273</v>
      </c>
      <c r="BQ1226" s="1" t="s">
        <v>4378</v>
      </c>
      <c r="BV1226" s="1">
        <v>1.1</v>
      </c>
      <c r="EQ1226" s="9" t="s">
        <v>4377</v>
      </c>
      <c r="ER1226" s="21">
        <v>46045.30034722222</v>
      </c>
    </row>
    <row r="1227">
      <c r="A1227" s="9" t="s">
        <v>4379</v>
      </c>
      <c r="B1227" s="20" t="str">
        <f>IFERROR(__xludf.DUMMYFUNCTION("REGEXREPLACE(A1227, ""^https?://[^/]+"", """")"),"/wp-content/uploads/2022/12/960x0.jpg")</f>
        <v>/wp-content/uploads/2022/12/960x0.jpg</v>
      </c>
      <c r="F1227" s="1" t="s">
        <v>1004</v>
      </c>
      <c r="G1227" s="1">
        <v>200.0</v>
      </c>
      <c r="H1227" s="1" t="s">
        <v>966</v>
      </c>
      <c r="I1227" s="1" t="s">
        <v>967</v>
      </c>
      <c r="L1227" s="1">
        <v>0.0</v>
      </c>
      <c r="M1227" s="1">
        <v>0.0</v>
      </c>
      <c r="O1227" s="1">
        <v>0.0</v>
      </c>
      <c r="P1227" s="1">
        <v>0.0</v>
      </c>
      <c r="R1227" s="1">
        <v>0.0</v>
      </c>
      <c r="S1227" s="1">
        <v>0.0</v>
      </c>
      <c r="U1227" s="1">
        <v>0.0</v>
      </c>
      <c r="W1227" s="1">
        <v>0.0</v>
      </c>
      <c r="Y1227" s="1">
        <v>0.0</v>
      </c>
      <c r="AA1227" s="1">
        <v>0.0</v>
      </c>
      <c r="AC1227" s="1">
        <v>0.0</v>
      </c>
      <c r="AM1227" s="1">
        <v>50354.0</v>
      </c>
      <c r="AN1227" s="1">
        <v>50354.0</v>
      </c>
      <c r="AO1227" s="1">
        <v>50354.0</v>
      </c>
      <c r="AP1227" s="1">
        <v>19.29</v>
      </c>
      <c r="AR1227" s="1">
        <v>0.0</v>
      </c>
      <c r="AW1227" s="1">
        <v>0.0</v>
      </c>
      <c r="AX1227" s="1">
        <v>3.0</v>
      </c>
      <c r="AY1227" s="1">
        <v>4.0</v>
      </c>
      <c r="BA1227" s="1">
        <v>0.0</v>
      </c>
      <c r="BB1227" s="1">
        <v>0.0</v>
      </c>
      <c r="BC1227" s="1">
        <v>0.0</v>
      </c>
      <c r="BD1227" s="1">
        <v>0.0</v>
      </c>
      <c r="BE1227" s="1">
        <v>0.0</v>
      </c>
      <c r="BF1227" s="1">
        <v>0.0</v>
      </c>
      <c r="BG1227" s="1">
        <v>0.0</v>
      </c>
      <c r="BH1227" s="1">
        <v>0.0</v>
      </c>
      <c r="BI1227" s="1">
        <v>0.0</v>
      </c>
      <c r="BJ1227" s="1">
        <v>0.0</v>
      </c>
      <c r="BP1227" s="1">
        <v>0.273</v>
      </c>
      <c r="BQ1227" s="1" t="s">
        <v>4380</v>
      </c>
      <c r="BV1227" s="1">
        <v>1.1</v>
      </c>
      <c r="EQ1227" s="9" t="s">
        <v>4379</v>
      </c>
      <c r="ER1227" s="21">
        <v>46045.30034722222</v>
      </c>
    </row>
    <row r="1228">
      <c r="A1228" s="9" t="s">
        <v>4381</v>
      </c>
      <c r="B1228" s="20" t="str">
        <f>IFERROR(__xludf.DUMMYFUNCTION("REGEXREPLACE(A1228, ""^https?://[^/]+"", """")"),"/wp-content/uploads/2016/10/Sales-Challenges.png")</f>
        <v>/wp-content/uploads/2016/10/Sales-Challenges.png</v>
      </c>
      <c r="F1228" s="1" t="s">
        <v>1047</v>
      </c>
      <c r="G1228" s="1">
        <v>200.0</v>
      </c>
      <c r="H1228" s="1" t="s">
        <v>966</v>
      </c>
      <c r="I1228" s="1" t="s">
        <v>967</v>
      </c>
      <c r="L1228" s="1">
        <v>0.0</v>
      </c>
      <c r="M1228" s="1">
        <v>0.0</v>
      </c>
      <c r="O1228" s="1">
        <v>0.0</v>
      </c>
      <c r="P1228" s="1">
        <v>0.0</v>
      </c>
      <c r="R1228" s="1">
        <v>0.0</v>
      </c>
      <c r="S1228" s="1">
        <v>0.0</v>
      </c>
      <c r="U1228" s="1">
        <v>0.0</v>
      </c>
      <c r="W1228" s="1">
        <v>0.0</v>
      </c>
      <c r="Y1228" s="1">
        <v>0.0</v>
      </c>
      <c r="AA1228" s="1">
        <v>0.0</v>
      </c>
      <c r="AC1228" s="1">
        <v>0.0</v>
      </c>
      <c r="AM1228" s="1">
        <v>63520.0</v>
      </c>
      <c r="AN1228" s="1">
        <v>63520.0</v>
      </c>
      <c r="AO1228" s="1">
        <v>63520.0</v>
      </c>
      <c r="AP1228" s="1">
        <v>24.333</v>
      </c>
      <c r="AR1228" s="1">
        <v>0.0</v>
      </c>
      <c r="AW1228" s="1">
        <v>0.0</v>
      </c>
      <c r="AX1228" s="1">
        <v>3.0</v>
      </c>
      <c r="AY1228" s="1">
        <v>4.0</v>
      </c>
      <c r="BA1228" s="1">
        <v>0.0</v>
      </c>
      <c r="BB1228" s="1">
        <v>0.0</v>
      </c>
      <c r="BC1228" s="1">
        <v>0.0</v>
      </c>
      <c r="BD1228" s="1">
        <v>0.0</v>
      </c>
      <c r="BE1228" s="1">
        <v>0.0</v>
      </c>
      <c r="BF1228" s="1">
        <v>0.0</v>
      </c>
      <c r="BG1228" s="1">
        <v>0.0</v>
      </c>
      <c r="BH1228" s="1">
        <v>0.0</v>
      </c>
      <c r="BI1228" s="1">
        <v>0.0</v>
      </c>
      <c r="BJ1228" s="1">
        <v>0.0</v>
      </c>
      <c r="BP1228" s="1">
        <v>0.274</v>
      </c>
      <c r="BQ1228" s="1" t="s">
        <v>4382</v>
      </c>
      <c r="BV1228" s="1">
        <v>1.1</v>
      </c>
      <c r="EQ1228" s="9" t="s">
        <v>4381</v>
      </c>
      <c r="ER1228" s="21">
        <v>46045.30034722222</v>
      </c>
    </row>
    <row r="1229">
      <c r="A1229" s="9" t="s">
        <v>4383</v>
      </c>
      <c r="B1229" s="20" t="str">
        <f>IFERROR(__xludf.DUMMYFUNCTION("REGEXREPLACE(A1229, ""^https?://[^/]+"", """")"),"/wp-content/themes/salesxceleratione/assets/css/style.css?ver=1769123440")</f>
        <v>/wp-content/themes/salesxceleratione/assets/css/style.css?ver=1769123440</v>
      </c>
      <c r="F1229" s="1" t="s">
        <v>1016</v>
      </c>
      <c r="G1229" s="1">
        <v>200.0</v>
      </c>
      <c r="H1229" s="1" t="s">
        <v>966</v>
      </c>
      <c r="I1229" s="1" t="s">
        <v>967</v>
      </c>
      <c r="L1229" s="1">
        <v>0.0</v>
      </c>
      <c r="M1229" s="1">
        <v>0.0</v>
      </c>
      <c r="O1229" s="1">
        <v>0.0</v>
      </c>
      <c r="P1229" s="1">
        <v>0.0</v>
      </c>
      <c r="R1229" s="1">
        <v>0.0</v>
      </c>
      <c r="S1229" s="1">
        <v>0.0</v>
      </c>
      <c r="U1229" s="1">
        <v>0.0</v>
      </c>
      <c r="W1229" s="1">
        <v>0.0</v>
      </c>
      <c r="Y1229" s="1">
        <v>0.0</v>
      </c>
      <c r="AA1229" s="1">
        <v>0.0</v>
      </c>
      <c r="AC1229" s="1">
        <v>0.0</v>
      </c>
      <c r="AM1229" s="1">
        <v>17704.0</v>
      </c>
      <c r="AN1229" s="1">
        <v>17704.0</v>
      </c>
      <c r="AO1229" s="1">
        <v>17704.0</v>
      </c>
      <c r="AP1229" s="1">
        <v>6.782</v>
      </c>
      <c r="AR1229" s="1">
        <v>0.0</v>
      </c>
      <c r="AW1229" s="1">
        <v>0.0</v>
      </c>
      <c r="AX1229" s="1">
        <v>3.0</v>
      </c>
      <c r="AY1229" s="1">
        <v>5.0</v>
      </c>
      <c r="BA1229" s="1">
        <v>0.0</v>
      </c>
      <c r="BB1229" s="1">
        <v>0.0</v>
      </c>
      <c r="BC1229" s="1">
        <v>0.0</v>
      </c>
      <c r="BD1229" s="1">
        <v>0.0</v>
      </c>
      <c r="BE1229" s="1">
        <v>0.0</v>
      </c>
      <c r="BF1229" s="1">
        <v>0.0</v>
      </c>
      <c r="BG1229" s="1">
        <v>0.0</v>
      </c>
      <c r="BH1229" s="1">
        <v>0.0</v>
      </c>
      <c r="BI1229" s="1">
        <v>0.0</v>
      </c>
      <c r="BJ1229" s="1">
        <v>0.0</v>
      </c>
      <c r="BP1229" s="1">
        <v>0.275</v>
      </c>
      <c r="BQ1229" s="1" t="s">
        <v>4384</v>
      </c>
      <c r="BV1229" s="1">
        <v>1.1</v>
      </c>
      <c r="EQ1229" s="9" t="s">
        <v>4383</v>
      </c>
      <c r="ER1229" s="21">
        <v>46045.30034722222</v>
      </c>
    </row>
    <row r="1230">
      <c r="A1230" s="9" t="s">
        <v>4385</v>
      </c>
      <c r="B1230" s="20" t="str">
        <f>IFERROR(__xludf.DUMMYFUNCTION("REGEXREPLACE(A1230, ""^https?://[^/]+"", """")"),"/wp-content/uploads/2021/10/2021-10-Training-Lorz-Kiernan-Specht-Spafford-Oser-Kopp-Callen-Bair-Hefty-Bruner-Meyer-Thacker-Diemer-1024x768-1.jpg")</f>
        <v>/wp-content/uploads/2021/10/2021-10-Training-Lorz-Kiernan-Specht-Spafford-Oser-Kopp-Callen-Bair-Hefty-Bruner-Meyer-Thacker-Diemer-1024x768-1.jpg</v>
      </c>
      <c r="F1230" s="1" t="s">
        <v>1004</v>
      </c>
      <c r="G1230" s="1">
        <v>200.0</v>
      </c>
      <c r="H1230" s="1" t="s">
        <v>966</v>
      </c>
      <c r="I1230" s="1" t="s">
        <v>967</v>
      </c>
      <c r="L1230" s="1">
        <v>0.0</v>
      </c>
      <c r="M1230" s="1">
        <v>0.0</v>
      </c>
      <c r="O1230" s="1">
        <v>0.0</v>
      </c>
      <c r="P1230" s="1">
        <v>0.0</v>
      </c>
      <c r="R1230" s="1">
        <v>0.0</v>
      </c>
      <c r="S1230" s="1">
        <v>0.0</v>
      </c>
      <c r="U1230" s="1">
        <v>0.0</v>
      </c>
      <c r="W1230" s="1">
        <v>0.0</v>
      </c>
      <c r="Y1230" s="1">
        <v>0.0</v>
      </c>
      <c r="AA1230" s="1">
        <v>0.0</v>
      </c>
      <c r="AC1230" s="1">
        <v>0.0</v>
      </c>
      <c r="AM1230" s="1">
        <v>130753.0</v>
      </c>
      <c r="AN1230" s="1">
        <v>130753.0</v>
      </c>
      <c r="AO1230" s="1">
        <v>130753.0</v>
      </c>
      <c r="AP1230" s="1">
        <v>50.089</v>
      </c>
      <c r="AR1230" s="1">
        <v>0.0</v>
      </c>
      <c r="AW1230" s="1">
        <v>0.0</v>
      </c>
      <c r="AX1230" s="1">
        <v>3.0</v>
      </c>
      <c r="AY1230" s="1">
        <v>4.0</v>
      </c>
      <c r="BA1230" s="1">
        <v>0.0</v>
      </c>
      <c r="BB1230" s="1">
        <v>0.0</v>
      </c>
      <c r="BC1230" s="1">
        <v>0.0</v>
      </c>
      <c r="BD1230" s="1">
        <v>0.0</v>
      </c>
      <c r="BE1230" s="1">
        <v>0.0</v>
      </c>
      <c r="BF1230" s="1">
        <v>0.0</v>
      </c>
      <c r="BG1230" s="1">
        <v>0.0</v>
      </c>
      <c r="BH1230" s="1">
        <v>0.0</v>
      </c>
      <c r="BI1230" s="1">
        <v>0.0</v>
      </c>
      <c r="BJ1230" s="1">
        <v>0.0</v>
      </c>
      <c r="BP1230" s="1">
        <v>0.279</v>
      </c>
      <c r="BQ1230" s="1" t="s">
        <v>4386</v>
      </c>
      <c r="BV1230" s="1">
        <v>1.1</v>
      </c>
      <c r="EQ1230" s="9" t="s">
        <v>4385</v>
      </c>
      <c r="ER1230" s="21">
        <v>46045.300358796296</v>
      </c>
    </row>
    <row r="1231">
      <c r="A1231" s="9" t="s">
        <v>4387</v>
      </c>
      <c r="B1231" s="20" t="str">
        <f>IFERROR(__xludf.DUMMYFUNCTION("REGEXREPLACE(A1231, ""^https?://[^/]+"", """")"),"/wp-content/uploads/2022/04/2022-04.jpg")</f>
        <v>/wp-content/uploads/2022/04/2022-04.jpg</v>
      </c>
      <c r="F1231" s="1" t="s">
        <v>1004</v>
      </c>
      <c r="G1231" s="1">
        <v>200.0</v>
      </c>
      <c r="H1231" s="1" t="s">
        <v>966</v>
      </c>
      <c r="I1231" s="1" t="s">
        <v>967</v>
      </c>
      <c r="L1231" s="1">
        <v>0.0</v>
      </c>
      <c r="M1231" s="1">
        <v>0.0</v>
      </c>
      <c r="O1231" s="1">
        <v>0.0</v>
      </c>
      <c r="P1231" s="1">
        <v>0.0</v>
      </c>
      <c r="R1231" s="1">
        <v>0.0</v>
      </c>
      <c r="S1231" s="1">
        <v>0.0</v>
      </c>
      <c r="U1231" s="1">
        <v>0.0</v>
      </c>
      <c r="W1231" s="1">
        <v>0.0</v>
      </c>
      <c r="Y1231" s="1">
        <v>0.0</v>
      </c>
      <c r="AA1231" s="1">
        <v>0.0</v>
      </c>
      <c r="AC1231" s="1">
        <v>0.0</v>
      </c>
      <c r="AM1231" s="1">
        <v>388082.0</v>
      </c>
      <c r="AN1231" s="1">
        <v>388082.0</v>
      </c>
      <c r="AO1231" s="1">
        <v>388082.0</v>
      </c>
      <c r="AP1231" s="1">
        <v>148.667</v>
      </c>
      <c r="AR1231" s="1">
        <v>0.0</v>
      </c>
      <c r="AW1231" s="1">
        <v>0.0</v>
      </c>
      <c r="AX1231" s="1">
        <v>3.0</v>
      </c>
      <c r="AY1231" s="1">
        <v>4.0</v>
      </c>
      <c r="BA1231" s="1">
        <v>0.0</v>
      </c>
      <c r="BB1231" s="1">
        <v>0.0</v>
      </c>
      <c r="BC1231" s="1">
        <v>0.0</v>
      </c>
      <c r="BD1231" s="1">
        <v>0.0</v>
      </c>
      <c r="BE1231" s="1">
        <v>0.0</v>
      </c>
      <c r="BF1231" s="1">
        <v>0.0</v>
      </c>
      <c r="BG1231" s="1">
        <v>0.0</v>
      </c>
      <c r="BH1231" s="1">
        <v>0.0</v>
      </c>
      <c r="BI1231" s="1">
        <v>0.0</v>
      </c>
      <c r="BJ1231" s="1">
        <v>0.0</v>
      </c>
      <c r="BP1231" s="1">
        <v>0.268</v>
      </c>
      <c r="BQ1231" s="1" t="s">
        <v>4388</v>
      </c>
      <c r="BV1231" s="1">
        <v>1.1</v>
      </c>
      <c r="EQ1231" s="9" t="s">
        <v>4387</v>
      </c>
      <c r="ER1231" s="21">
        <v>46045.300358796296</v>
      </c>
    </row>
    <row r="1232">
      <c r="A1232" s="9" t="s">
        <v>4389</v>
      </c>
      <c r="B1232" s="20" t="str">
        <f>IFERROR(__xludf.DUMMYFUNCTION("REGEXREPLACE(A1232, ""^https?://[^/]+"", """")"),"/wp-content/themes/salesxceleratione/assets/css/style.css?ver=1769123441")</f>
        <v>/wp-content/themes/salesxceleratione/assets/css/style.css?ver=1769123441</v>
      </c>
      <c r="F1232" s="1" t="s">
        <v>1016</v>
      </c>
      <c r="G1232" s="1">
        <v>200.0</v>
      </c>
      <c r="H1232" s="1" t="s">
        <v>966</v>
      </c>
      <c r="I1232" s="1" t="s">
        <v>967</v>
      </c>
      <c r="L1232" s="1">
        <v>0.0</v>
      </c>
      <c r="M1232" s="1">
        <v>0.0</v>
      </c>
      <c r="O1232" s="1">
        <v>0.0</v>
      </c>
      <c r="P1232" s="1">
        <v>0.0</v>
      </c>
      <c r="R1232" s="1">
        <v>0.0</v>
      </c>
      <c r="S1232" s="1">
        <v>0.0</v>
      </c>
      <c r="U1232" s="1">
        <v>0.0</v>
      </c>
      <c r="W1232" s="1">
        <v>0.0</v>
      </c>
      <c r="Y1232" s="1">
        <v>0.0</v>
      </c>
      <c r="AA1232" s="1">
        <v>0.0</v>
      </c>
      <c r="AC1232" s="1">
        <v>0.0</v>
      </c>
      <c r="AM1232" s="1">
        <v>17704.0</v>
      </c>
      <c r="AN1232" s="1">
        <v>17704.0</v>
      </c>
      <c r="AO1232" s="1">
        <v>17704.0</v>
      </c>
      <c r="AP1232" s="1">
        <v>6.782</v>
      </c>
      <c r="AR1232" s="1">
        <v>0.0</v>
      </c>
      <c r="AW1232" s="1">
        <v>0.0</v>
      </c>
      <c r="AX1232" s="1">
        <v>3.0</v>
      </c>
      <c r="AY1232" s="1">
        <v>5.0</v>
      </c>
      <c r="BA1232" s="1">
        <v>0.0</v>
      </c>
      <c r="BB1232" s="1">
        <v>0.0</v>
      </c>
      <c r="BC1232" s="1">
        <v>0.0</v>
      </c>
      <c r="BD1232" s="1">
        <v>0.0</v>
      </c>
      <c r="BE1232" s="1">
        <v>0.0</v>
      </c>
      <c r="BF1232" s="1">
        <v>0.0</v>
      </c>
      <c r="BG1232" s="1">
        <v>0.0</v>
      </c>
      <c r="BH1232" s="1">
        <v>0.0</v>
      </c>
      <c r="BI1232" s="1">
        <v>0.0</v>
      </c>
      <c r="BJ1232" s="1">
        <v>0.0</v>
      </c>
      <c r="BP1232" s="1">
        <v>0.254</v>
      </c>
      <c r="BQ1232" s="1" t="s">
        <v>4390</v>
      </c>
      <c r="BV1232" s="1">
        <v>1.1</v>
      </c>
      <c r="EQ1232" s="9" t="s">
        <v>4389</v>
      </c>
      <c r="ER1232" s="21">
        <v>46045.300358796296</v>
      </c>
    </row>
    <row r="1233">
      <c r="A1233" s="9" t="s">
        <v>4391</v>
      </c>
      <c r="B1233" s="20" t="str">
        <f>IFERROR(__xludf.DUMMYFUNCTION("REGEXREPLACE(A1233, ""^https?://[^/]+"", """")"),"/wp-content/uploads/2019/06/8e1c95dc-9792-11e9-9926-a0369f10330e-1.png")</f>
        <v>/wp-content/uploads/2019/06/8e1c95dc-9792-11e9-9926-a0369f10330e-1.png</v>
      </c>
      <c r="F1233" s="1" t="s">
        <v>1047</v>
      </c>
      <c r="G1233" s="1">
        <v>200.0</v>
      </c>
      <c r="H1233" s="1" t="s">
        <v>966</v>
      </c>
      <c r="I1233" s="1" t="s">
        <v>967</v>
      </c>
      <c r="L1233" s="1">
        <v>0.0</v>
      </c>
      <c r="M1233" s="1">
        <v>0.0</v>
      </c>
      <c r="O1233" s="1">
        <v>0.0</v>
      </c>
      <c r="P1233" s="1">
        <v>0.0</v>
      </c>
      <c r="R1233" s="1">
        <v>0.0</v>
      </c>
      <c r="S1233" s="1">
        <v>0.0</v>
      </c>
      <c r="U1233" s="1">
        <v>0.0</v>
      </c>
      <c r="W1233" s="1">
        <v>0.0</v>
      </c>
      <c r="Y1233" s="1">
        <v>0.0</v>
      </c>
      <c r="AA1233" s="1">
        <v>0.0</v>
      </c>
      <c r="AC1233" s="1">
        <v>0.0</v>
      </c>
      <c r="AM1233" s="1">
        <v>81661.0</v>
      </c>
      <c r="AN1233" s="1">
        <v>81661.0</v>
      </c>
      <c r="AO1233" s="1">
        <v>81661.0</v>
      </c>
      <c r="AP1233" s="1">
        <v>31.283</v>
      </c>
      <c r="AR1233" s="1">
        <v>0.0</v>
      </c>
      <c r="AW1233" s="1">
        <v>0.0</v>
      </c>
      <c r="AX1233" s="1">
        <v>3.0</v>
      </c>
      <c r="AY1233" s="1">
        <v>4.0</v>
      </c>
      <c r="BA1233" s="1">
        <v>0.0</v>
      </c>
      <c r="BB1233" s="1">
        <v>0.0</v>
      </c>
      <c r="BC1233" s="1">
        <v>0.0</v>
      </c>
      <c r="BD1233" s="1">
        <v>0.0</v>
      </c>
      <c r="BE1233" s="1">
        <v>0.0</v>
      </c>
      <c r="BF1233" s="1">
        <v>0.0</v>
      </c>
      <c r="BG1233" s="1">
        <v>0.0</v>
      </c>
      <c r="BH1233" s="1">
        <v>0.0</v>
      </c>
      <c r="BI1233" s="1">
        <v>0.0</v>
      </c>
      <c r="BJ1233" s="1">
        <v>0.0</v>
      </c>
      <c r="BP1233" s="1">
        <v>0.272</v>
      </c>
      <c r="BQ1233" s="1" t="s">
        <v>4392</v>
      </c>
      <c r="BV1233" s="1">
        <v>1.1</v>
      </c>
      <c r="EQ1233" s="9" t="s">
        <v>4391</v>
      </c>
      <c r="ER1233" s="21">
        <v>46045.300358796296</v>
      </c>
    </row>
    <row r="1234">
      <c r="A1234" s="9" t="s">
        <v>4393</v>
      </c>
      <c r="B1234" s="20" t="str">
        <f>IFERROR(__xludf.DUMMYFUNCTION("REGEXREPLACE(A1234, ""^https?://[^/]+"", """")"),"/wp-content/uploads/2019/12/2019-12_Training_R._Pasko-M._King-B._Anderson-C._Byrd-S._Sorenson-scaled-1.jpg")</f>
        <v>/wp-content/uploads/2019/12/2019-12_Training_R._Pasko-M._King-B._Anderson-C._Byrd-S._Sorenson-scaled-1.jpg</v>
      </c>
      <c r="F1234" s="1" t="s">
        <v>1004</v>
      </c>
      <c r="G1234" s="1">
        <v>200.0</v>
      </c>
      <c r="H1234" s="1" t="s">
        <v>966</v>
      </c>
      <c r="I1234" s="1" t="s">
        <v>967</v>
      </c>
      <c r="L1234" s="1">
        <v>0.0</v>
      </c>
      <c r="M1234" s="1">
        <v>0.0</v>
      </c>
      <c r="O1234" s="1">
        <v>0.0</v>
      </c>
      <c r="P1234" s="1">
        <v>0.0</v>
      </c>
      <c r="R1234" s="1">
        <v>0.0</v>
      </c>
      <c r="S1234" s="1">
        <v>0.0</v>
      </c>
      <c r="U1234" s="1">
        <v>0.0</v>
      </c>
      <c r="W1234" s="1">
        <v>0.0</v>
      </c>
      <c r="Y1234" s="1">
        <v>0.0</v>
      </c>
      <c r="AA1234" s="1">
        <v>0.0</v>
      </c>
      <c r="AC1234" s="1">
        <v>0.0</v>
      </c>
      <c r="AM1234" s="1">
        <v>226839.0</v>
      </c>
      <c r="AN1234" s="1">
        <v>226839.0</v>
      </c>
      <c r="AO1234" s="1">
        <v>226839.0</v>
      </c>
      <c r="AP1234" s="1">
        <v>86.898</v>
      </c>
      <c r="AR1234" s="1">
        <v>0.0</v>
      </c>
      <c r="AW1234" s="1">
        <v>0.0</v>
      </c>
      <c r="AX1234" s="1">
        <v>3.0</v>
      </c>
      <c r="AY1234" s="1">
        <v>4.0</v>
      </c>
      <c r="BA1234" s="1">
        <v>0.0</v>
      </c>
      <c r="BB1234" s="1">
        <v>0.0</v>
      </c>
      <c r="BC1234" s="1">
        <v>0.0</v>
      </c>
      <c r="BD1234" s="1">
        <v>0.0</v>
      </c>
      <c r="BE1234" s="1">
        <v>0.0</v>
      </c>
      <c r="BF1234" s="1">
        <v>0.0</v>
      </c>
      <c r="BG1234" s="1">
        <v>0.0</v>
      </c>
      <c r="BH1234" s="1">
        <v>0.0</v>
      </c>
      <c r="BI1234" s="1">
        <v>0.0</v>
      </c>
      <c r="BJ1234" s="1">
        <v>0.0</v>
      </c>
      <c r="BP1234" s="1">
        <v>0.26</v>
      </c>
      <c r="BQ1234" s="1" t="s">
        <v>4394</v>
      </c>
      <c r="BV1234" s="1">
        <v>1.1</v>
      </c>
      <c r="EQ1234" s="9" t="s">
        <v>4393</v>
      </c>
      <c r="ER1234" s="21">
        <v>46045.300358796296</v>
      </c>
    </row>
    <row r="1235">
      <c r="A1235" s="9" t="s">
        <v>4395</v>
      </c>
      <c r="B1235" s="20" t="str">
        <f>IFERROR(__xludf.DUMMYFUNCTION("REGEXREPLACE(A1235, ""^https?://[^/]+"", """")"),"/wp-content/uploads/2022/08/August-Class.jpg")</f>
        <v>/wp-content/uploads/2022/08/August-Class.jpg</v>
      </c>
      <c r="F1235" s="1" t="s">
        <v>1004</v>
      </c>
      <c r="G1235" s="1">
        <v>200.0</v>
      </c>
      <c r="H1235" s="1" t="s">
        <v>966</v>
      </c>
      <c r="I1235" s="1" t="s">
        <v>967</v>
      </c>
      <c r="L1235" s="1">
        <v>0.0</v>
      </c>
      <c r="M1235" s="1">
        <v>0.0</v>
      </c>
      <c r="O1235" s="1">
        <v>0.0</v>
      </c>
      <c r="P1235" s="1">
        <v>0.0</v>
      </c>
      <c r="R1235" s="1">
        <v>0.0</v>
      </c>
      <c r="S1235" s="1">
        <v>0.0</v>
      </c>
      <c r="U1235" s="1">
        <v>0.0</v>
      </c>
      <c r="W1235" s="1">
        <v>0.0</v>
      </c>
      <c r="Y1235" s="1">
        <v>0.0</v>
      </c>
      <c r="AA1235" s="1">
        <v>0.0</v>
      </c>
      <c r="AC1235" s="1">
        <v>0.0</v>
      </c>
      <c r="AM1235" s="1">
        <v>447967.0</v>
      </c>
      <c r="AN1235" s="1">
        <v>447967.0</v>
      </c>
      <c r="AO1235" s="1">
        <v>447967.0</v>
      </c>
      <c r="AP1235" s="1">
        <v>171.608</v>
      </c>
      <c r="AR1235" s="1">
        <v>0.0</v>
      </c>
      <c r="AW1235" s="1">
        <v>0.0</v>
      </c>
      <c r="AX1235" s="1">
        <v>3.0</v>
      </c>
      <c r="AY1235" s="1">
        <v>4.0</v>
      </c>
      <c r="BA1235" s="1">
        <v>0.0</v>
      </c>
      <c r="BB1235" s="1">
        <v>0.0</v>
      </c>
      <c r="BC1235" s="1">
        <v>0.0</v>
      </c>
      <c r="BD1235" s="1">
        <v>0.0</v>
      </c>
      <c r="BE1235" s="1">
        <v>0.0</v>
      </c>
      <c r="BF1235" s="1">
        <v>0.0</v>
      </c>
      <c r="BG1235" s="1">
        <v>0.0</v>
      </c>
      <c r="BH1235" s="1">
        <v>0.0</v>
      </c>
      <c r="BI1235" s="1">
        <v>0.0</v>
      </c>
      <c r="BJ1235" s="1">
        <v>0.0</v>
      </c>
      <c r="BP1235" s="1">
        <v>0.27</v>
      </c>
      <c r="BQ1235" s="1" t="s">
        <v>4396</v>
      </c>
      <c r="BV1235" s="1">
        <v>1.1</v>
      </c>
      <c r="EQ1235" s="9" t="s">
        <v>4395</v>
      </c>
      <c r="ER1235" s="21">
        <v>46045.30037037037</v>
      </c>
    </row>
    <row r="1236">
      <c r="A1236" s="9" t="s">
        <v>4397</v>
      </c>
      <c r="B1236" s="20" t="str">
        <f>IFERROR(__xludf.DUMMYFUNCTION("REGEXREPLACE(A1236, ""^https?://[^/]+"", """")"),"/wp-content/uploads/2016/06/Sales-Agility-Assessment-Quote.png")</f>
        <v>/wp-content/uploads/2016/06/Sales-Agility-Assessment-Quote.png</v>
      </c>
      <c r="F1236" s="1" t="s">
        <v>1047</v>
      </c>
      <c r="G1236" s="1">
        <v>200.0</v>
      </c>
      <c r="H1236" s="1" t="s">
        <v>966</v>
      </c>
      <c r="I1236" s="1" t="s">
        <v>967</v>
      </c>
      <c r="L1236" s="1">
        <v>0.0</v>
      </c>
      <c r="M1236" s="1">
        <v>0.0</v>
      </c>
      <c r="O1236" s="1">
        <v>0.0</v>
      </c>
      <c r="P1236" s="1">
        <v>0.0</v>
      </c>
      <c r="R1236" s="1">
        <v>0.0</v>
      </c>
      <c r="S1236" s="1">
        <v>0.0</v>
      </c>
      <c r="U1236" s="1">
        <v>0.0</v>
      </c>
      <c r="W1236" s="1">
        <v>0.0</v>
      </c>
      <c r="Y1236" s="1">
        <v>0.0</v>
      </c>
      <c r="AA1236" s="1">
        <v>0.0</v>
      </c>
      <c r="AC1236" s="1">
        <v>0.0</v>
      </c>
      <c r="AM1236" s="1">
        <v>21095.0</v>
      </c>
      <c r="AN1236" s="1">
        <v>21095.0</v>
      </c>
      <c r="AO1236" s="1">
        <v>21095.0</v>
      </c>
      <c r="AP1236" s="1">
        <v>8.081</v>
      </c>
      <c r="AR1236" s="1">
        <v>0.0</v>
      </c>
      <c r="AW1236" s="1">
        <v>0.0</v>
      </c>
      <c r="AX1236" s="1">
        <v>3.0</v>
      </c>
      <c r="AY1236" s="1">
        <v>4.0</v>
      </c>
      <c r="BA1236" s="1">
        <v>0.0</v>
      </c>
      <c r="BB1236" s="1">
        <v>0.0</v>
      </c>
      <c r="BC1236" s="1">
        <v>0.0</v>
      </c>
      <c r="BD1236" s="1">
        <v>0.0</v>
      </c>
      <c r="BE1236" s="1">
        <v>0.0</v>
      </c>
      <c r="BF1236" s="1">
        <v>0.0</v>
      </c>
      <c r="BG1236" s="1">
        <v>0.0</v>
      </c>
      <c r="BH1236" s="1">
        <v>0.0</v>
      </c>
      <c r="BI1236" s="1">
        <v>0.0</v>
      </c>
      <c r="BJ1236" s="1">
        <v>0.0</v>
      </c>
      <c r="BP1236" s="1">
        <v>0.274</v>
      </c>
      <c r="BQ1236" s="1" t="s">
        <v>4398</v>
      </c>
      <c r="BV1236" s="1">
        <v>1.1</v>
      </c>
      <c r="EQ1236" s="9" t="s">
        <v>4397</v>
      </c>
      <c r="ER1236" s="21">
        <v>46045.30037037037</v>
      </c>
    </row>
    <row r="1237">
      <c r="A1237" s="9" t="s">
        <v>4399</v>
      </c>
      <c r="B1237" s="20" t="str">
        <f>IFERROR(__xludf.DUMMYFUNCTION("REGEXREPLACE(A1237, ""^https?://[^/]+"", """")"),"/wp-content/uploads/2026/01/December-2025-Class.jpg")</f>
        <v>/wp-content/uploads/2026/01/December-2025-Class.jpg</v>
      </c>
      <c r="F1237" s="1" t="s">
        <v>1004</v>
      </c>
      <c r="G1237" s="1">
        <v>200.0</v>
      </c>
      <c r="H1237" s="1" t="s">
        <v>966</v>
      </c>
      <c r="I1237" s="1" t="s">
        <v>967</v>
      </c>
      <c r="L1237" s="1">
        <v>0.0</v>
      </c>
      <c r="M1237" s="1">
        <v>0.0</v>
      </c>
      <c r="O1237" s="1">
        <v>0.0</v>
      </c>
      <c r="P1237" s="1">
        <v>0.0</v>
      </c>
      <c r="R1237" s="1">
        <v>0.0</v>
      </c>
      <c r="S1237" s="1">
        <v>0.0</v>
      </c>
      <c r="U1237" s="1">
        <v>0.0</v>
      </c>
      <c r="W1237" s="1">
        <v>0.0</v>
      </c>
      <c r="Y1237" s="1">
        <v>0.0</v>
      </c>
      <c r="AA1237" s="1">
        <v>0.0</v>
      </c>
      <c r="AC1237" s="1">
        <v>0.0</v>
      </c>
      <c r="AM1237" s="1">
        <v>630556.0</v>
      </c>
      <c r="AN1237" s="1">
        <v>630556.0</v>
      </c>
      <c r="AO1237" s="1">
        <v>630556.0</v>
      </c>
      <c r="AP1237" s="1">
        <v>241.554</v>
      </c>
      <c r="AR1237" s="1">
        <v>0.0</v>
      </c>
      <c r="AW1237" s="1">
        <v>0.0</v>
      </c>
      <c r="AX1237" s="1">
        <v>3.0</v>
      </c>
      <c r="AY1237" s="1">
        <v>4.0</v>
      </c>
      <c r="BA1237" s="1">
        <v>0.0</v>
      </c>
      <c r="BB1237" s="1">
        <v>0.0</v>
      </c>
      <c r="BC1237" s="1">
        <v>0.0</v>
      </c>
      <c r="BD1237" s="1">
        <v>0.0</v>
      </c>
      <c r="BE1237" s="1">
        <v>0.0</v>
      </c>
      <c r="BF1237" s="1">
        <v>0.0</v>
      </c>
      <c r="BG1237" s="1">
        <v>0.0</v>
      </c>
      <c r="BH1237" s="1">
        <v>0.0</v>
      </c>
      <c r="BI1237" s="1">
        <v>0.0</v>
      </c>
      <c r="BJ1237" s="1">
        <v>0.0</v>
      </c>
      <c r="BP1237" s="1">
        <v>0.271</v>
      </c>
      <c r="BQ1237" s="1" t="s">
        <v>4400</v>
      </c>
      <c r="BV1237" s="1">
        <v>1.1</v>
      </c>
      <c r="EQ1237" s="9" t="s">
        <v>4399</v>
      </c>
      <c r="ER1237" s="21">
        <v>46045.30037037037</v>
      </c>
    </row>
    <row r="1238">
      <c r="A1238" s="9" t="s">
        <v>4401</v>
      </c>
      <c r="B1238" s="20" t="str">
        <f>IFERROR(__xludf.DUMMYFUNCTION("REGEXREPLACE(A1238, ""^https?://[^/]+"", """")"),"/wp-content/themes/salesxceleratione/assets/css/style.css?ver=1769123442")</f>
        <v>/wp-content/themes/salesxceleratione/assets/css/style.css?ver=1769123442</v>
      </c>
      <c r="F1238" s="1" t="s">
        <v>1016</v>
      </c>
      <c r="G1238" s="1">
        <v>200.0</v>
      </c>
      <c r="H1238" s="1" t="s">
        <v>966</v>
      </c>
      <c r="I1238" s="1" t="s">
        <v>967</v>
      </c>
      <c r="L1238" s="1">
        <v>0.0</v>
      </c>
      <c r="M1238" s="1">
        <v>0.0</v>
      </c>
      <c r="O1238" s="1">
        <v>0.0</v>
      </c>
      <c r="P1238" s="1">
        <v>0.0</v>
      </c>
      <c r="R1238" s="1">
        <v>0.0</v>
      </c>
      <c r="S1238" s="1">
        <v>0.0</v>
      </c>
      <c r="U1238" s="1">
        <v>0.0</v>
      </c>
      <c r="W1238" s="1">
        <v>0.0</v>
      </c>
      <c r="Y1238" s="1">
        <v>0.0</v>
      </c>
      <c r="AA1238" s="1">
        <v>0.0</v>
      </c>
      <c r="AC1238" s="1">
        <v>0.0</v>
      </c>
      <c r="AM1238" s="1">
        <v>17704.0</v>
      </c>
      <c r="AN1238" s="1">
        <v>17704.0</v>
      </c>
      <c r="AO1238" s="1">
        <v>17704.0</v>
      </c>
      <c r="AP1238" s="1">
        <v>6.782</v>
      </c>
      <c r="AR1238" s="1">
        <v>0.0</v>
      </c>
      <c r="AW1238" s="1">
        <v>0.0</v>
      </c>
      <c r="AX1238" s="1">
        <v>3.0</v>
      </c>
      <c r="AY1238" s="1">
        <v>5.0</v>
      </c>
      <c r="BA1238" s="1">
        <v>0.0</v>
      </c>
      <c r="BB1238" s="1">
        <v>0.0</v>
      </c>
      <c r="BC1238" s="1">
        <v>0.0</v>
      </c>
      <c r="BD1238" s="1">
        <v>0.0</v>
      </c>
      <c r="BE1238" s="1">
        <v>0.0</v>
      </c>
      <c r="BF1238" s="1">
        <v>0.0</v>
      </c>
      <c r="BG1238" s="1">
        <v>0.0</v>
      </c>
      <c r="BH1238" s="1">
        <v>0.0</v>
      </c>
      <c r="BI1238" s="1">
        <v>0.0</v>
      </c>
      <c r="BJ1238" s="1">
        <v>0.0</v>
      </c>
      <c r="BP1238" s="1">
        <v>0.306</v>
      </c>
      <c r="BQ1238" s="1" t="s">
        <v>4402</v>
      </c>
      <c r="BV1238" s="1">
        <v>1.1</v>
      </c>
      <c r="EQ1238" s="9" t="s">
        <v>4401</v>
      </c>
      <c r="ER1238" s="21">
        <v>46045.30037037037</v>
      </c>
    </row>
    <row r="1239">
      <c r="A1239" s="9" t="s">
        <v>4403</v>
      </c>
      <c r="B1239" s="20" t="str">
        <f>IFERROR(__xludf.DUMMYFUNCTION("REGEXREPLACE(A1239, ""^https?://[^/]+"", """")"),"/wp-content/uploads/2020/12/SX-Advisors-12-2020.jpg")</f>
        <v>/wp-content/uploads/2020/12/SX-Advisors-12-2020.jpg</v>
      </c>
      <c r="F1239" s="1" t="s">
        <v>1004</v>
      </c>
      <c r="G1239" s="1">
        <v>200.0</v>
      </c>
      <c r="H1239" s="1" t="s">
        <v>966</v>
      </c>
      <c r="I1239" s="1" t="s">
        <v>967</v>
      </c>
      <c r="L1239" s="1">
        <v>0.0</v>
      </c>
      <c r="M1239" s="1">
        <v>0.0</v>
      </c>
      <c r="O1239" s="1">
        <v>0.0</v>
      </c>
      <c r="P1239" s="1">
        <v>0.0</v>
      </c>
      <c r="R1239" s="1">
        <v>0.0</v>
      </c>
      <c r="S1239" s="1">
        <v>0.0</v>
      </c>
      <c r="U1239" s="1">
        <v>0.0</v>
      </c>
      <c r="W1239" s="1">
        <v>0.0</v>
      </c>
      <c r="Y1239" s="1">
        <v>0.0</v>
      </c>
      <c r="AA1239" s="1">
        <v>0.0</v>
      </c>
      <c r="AC1239" s="1">
        <v>0.0</v>
      </c>
      <c r="AM1239" s="1">
        <v>172885.0</v>
      </c>
      <c r="AN1239" s="1">
        <v>172885.0</v>
      </c>
      <c r="AO1239" s="1">
        <v>172885.0</v>
      </c>
      <c r="AP1239" s="1">
        <v>66.229</v>
      </c>
      <c r="AR1239" s="1">
        <v>0.0</v>
      </c>
      <c r="AW1239" s="1">
        <v>0.0</v>
      </c>
      <c r="AX1239" s="1">
        <v>3.0</v>
      </c>
      <c r="AY1239" s="1">
        <v>4.0</v>
      </c>
      <c r="BA1239" s="1">
        <v>0.0</v>
      </c>
      <c r="BB1239" s="1">
        <v>0.0</v>
      </c>
      <c r="BC1239" s="1">
        <v>0.0</v>
      </c>
      <c r="BD1239" s="1">
        <v>0.0</v>
      </c>
      <c r="BE1239" s="1">
        <v>0.0</v>
      </c>
      <c r="BF1239" s="1">
        <v>0.0</v>
      </c>
      <c r="BG1239" s="1">
        <v>0.0</v>
      </c>
      <c r="BH1239" s="1">
        <v>0.0</v>
      </c>
      <c r="BI1239" s="1">
        <v>0.0</v>
      </c>
      <c r="BJ1239" s="1">
        <v>0.0</v>
      </c>
      <c r="BP1239" s="1">
        <v>0.275</v>
      </c>
      <c r="BQ1239" s="1" t="s">
        <v>4404</v>
      </c>
      <c r="BV1239" s="1">
        <v>1.1</v>
      </c>
      <c r="EQ1239" s="9" t="s">
        <v>4403</v>
      </c>
      <c r="ER1239" s="21">
        <v>46045.30037037037</v>
      </c>
    </row>
    <row r="1240">
      <c r="A1240" s="9" t="s">
        <v>4405</v>
      </c>
      <c r="B1240" s="20" t="str">
        <f>IFERROR(__xludf.DUMMYFUNCTION("REGEXREPLACE(A1240, ""^https?://[^/]+"", """")"),"/wp-content/uploads/2017/01/featured.jpg")</f>
        <v>/wp-content/uploads/2017/01/featured.jpg</v>
      </c>
      <c r="F1240" s="1" t="s">
        <v>1004</v>
      </c>
      <c r="G1240" s="1">
        <v>200.0</v>
      </c>
      <c r="H1240" s="1" t="s">
        <v>966</v>
      </c>
      <c r="I1240" s="1" t="s">
        <v>967</v>
      </c>
      <c r="L1240" s="1">
        <v>0.0</v>
      </c>
      <c r="M1240" s="1">
        <v>0.0</v>
      </c>
      <c r="O1240" s="1">
        <v>0.0</v>
      </c>
      <c r="P1240" s="1">
        <v>0.0</v>
      </c>
      <c r="R1240" s="1">
        <v>0.0</v>
      </c>
      <c r="S1240" s="1">
        <v>0.0</v>
      </c>
      <c r="U1240" s="1">
        <v>0.0</v>
      </c>
      <c r="W1240" s="1">
        <v>0.0</v>
      </c>
      <c r="Y1240" s="1">
        <v>0.0</v>
      </c>
      <c r="AA1240" s="1">
        <v>0.0</v>
      </c>
      <c r="AC1240" s="1">
        <v>0.0</v>
      </c>
      <c r="AM1240" s="1">
        <v>34570.0</v>
      </c>
      <c r="AN1240" s="1">
        <v>34570.0</v>
      </c>
      <c r="AO1240" s="1">
        <v>34570.0</v>
      </c>
      <c r="AP1240" s="1">
        <v>13.243</v>
      </c>
      <c r="AR1240" s="1">
        <v>0.0</v>
      </c>
      <c r="AW1240" s="1">
        <v>0.0</v>
      </c>
      <c r="AX1240" s="1">
        <v>3.0</v>
      </c>
      <c r="AY1240" s="1">
        <v>4.0</v>
      </c>
      <c r="BA1240" s="1">
        <v>0.0</v>
      </c>
      <c r="BB1240" s="1">
        <v>0.0</v>
      </c>
      <c r="BC1240" s="1">
        <v>0.0</v>
      </c>
      <c r="BD1240" s="1">
        <v>0.0</v>
      </c>
      <c r="BE1240" s="1">
        <v>0.0</v>
      </c>
      <c r="BF1240" s="1">
        <v>0.0</v>
      </c>
      <c r="BG1240" s="1">
        <v>0.0</v>
      </c>
      <c r="BH1240" s="1">
        <v>0.0</v>
      </c>
      <c r="BI1240" s="1">
        <v>0.0</v>
      </c>
      <c r="BJ1240" s="1">
        <v>0.0</v>
      </c>
      <c r="BP1240" s="1">
        <v>0.271</v>
      </c>
      <c r="BQ1240" s="1" t="s">
        <v>4406</v>
      </c>
      <c r="BV1240" s="1">
        <v>1.1</v>
      </c>
      <c r="EQ1240" s="9" t="s">
        <v>4405</v>
      </c>
      <c r="ER1240" s="21">
        <v>46045.30037037037</v>
      </c>
    </row>
    <row r="1241">
      <c r="A1241" s="9" t="s">
        <v>4407</v>
      </c>
      <c r="B1241" s="20" t="str">
        <f>IFERROR(__xludf.DUMMYFUNCTION("REGEXREPLACE(A1241, ""^https?://[^/]+"", """")"),"/wp-content/uploads/2015/11/conference-sales-xceleration-featured.jpg")</f>
        <v>/wp-content/uploads/2015/11/conference-sales-xceleration-featured.jpg</v>
      </c>
      <c r="F1241" s="1" t="s">
        <v>1004</v>
      </c>
      <c r="G1241" s="1">
        <v>200.0</v>
      </c>
      <c r="H1241" s="1" t="s">
        <v>966</v>
      </c>
      <c r="I1241" s="1" t="s">
        <v>967</v>
      </c>
      <c r="L1241" s="1">
        <v>0.0</v>
      </c>
      <c r="M1241" s="1">
        <v>0.0</v>
      </c>
      <c r="O1241" s="1">
        <v>0.0</v>
      </c>
      <c r="P1241" s="1">
        <v>0.0</v>
      </c>
      <c r="R1241" s="1">
        <v>0.0</v>
      </c>
      <c r="S1241" s="1">
        <v>0.0</v>
      </c>
      <c r="U1241" s="1">
        <v>0.0</v>
      </c>
      <c r="W1241" s="1">
        <v>0.0</v>
      </c>
      <c r="Y1241" s="1">
        <v>0.0</v>
      </c>
      <c r="AA1241" s="1">
        <v>0.0</v>
      </c>
      <c r="AC1241" s="1">
        <v>0.0</v>
      </c>
      <c r="AM1241" s="1">
        <v>131571.0</v>
      </c>
      <c r="AN1241" s="1">
        <v>131571.0</v>
      </c>
      <c r="AO1241" s="1">
        <v>131571.0</v>
      </c>
      <c r="AP1241" s="1">
        <v>50.402</v>
      </c>
      <c r="AR1241" s="1">
        <v>0.0</v>
      </c>
      <c r="AW1241" s="1">
        <v>0.0</v>
      </c>
      <c r="AX1241" s="1">
        <v>3.0</v>
      </c>
      <c r="AY1241" s="1">
        <v>4.0</v>
      </c>
      <c r="BA1241" s="1">
        <v>0.0</v>
      </c>
      <c r="BB1241" s="1">
        <v>0.0</v>
      </c>
      <c r="BC1241" s="1">
        <v>0.0</v>
      </c>
      <c r="BD1241" s="1">
        <v>0.0</v>
      </c>
      <c r="BE1241" s="1">
        <v>0.0</v>
      </c>
      <c r="BF1241" s="1">
        <v>0.0</v>
      </c>
      <c r="BG1241" s="1">
        <v>0.0</v>
      </c>
      <c r="BH1241" s="1">
        <v>0.0</v>
      </c>
      <c r="BI1241" s="1">
        <v>0.0</v>
      </c>
      <c r="BJ1241" s="1">
        <v>0.0</v>
      </c>
      <c r="BP1241" s="1">
        <v>0.278</v>
      </c>
      <c r="BQ1241" s="1" t="s">
        <v>4408</v>
      </c>
      <c r="BV1241" s="1">
        <v>1.1</v>
      </c>
      <c r="EQ1241" s="9" t="s">
        <v>4407</v>
      </c>
      <c r="ER1241" s="21">
        <v>46045.30038194444</v>
      </c>
    </row>
    <row r="1242">
      <c r="A1242" s="9" t="s">
        <v>4409</v>
      </c>
      <c r="B1242" s="20" t="str">
        <f>IFERROR(__xludf.DUMMYFUNCTION("REGEXREPLACE(A1242, ""^https?://[^/]+"", """")"),"/wp-content/uploads/2025/05/April-2025-Class.jpg")</f>
        <v>/wp-content/uploads/2025/05/April-2025-Class.jpg</v>
      </c>
      <c r="F1242" s="1" t="s">
        <v>1004</v>
      </c>
      <c r="G1242" s="1">
        <v>200.0</v>
      </c>
      <c r="H1242" s="1" t="s">
        <v>966</v>
      </c>
      <c r="I1242" s="1" t="s">
        <v>967</v>
      </c>
      <c r="L1242" s="1">
        <v>0.0</v>
      </c>
      <c r="M1242" s="1">
        <v>0.0</v>
      </c>
      <c r="O1242" s="1">
        <v>0.0</v>
      </c>
      <c r="P1242" s="1">
        <v>0.0</v>
      </c>
      <c r="R1242" s="1">
        <v>0.0</v>
      </c>
      <c r="S1242" s="1">
        <v>0.0</v>
      </c>
      <c r="U1242" s="1">
        <v>0.0</v>
      </c>
      <c r="W1242" s="1">
        <v>0.0</v>
      </c>
      <c r="Y1242" s="1">
        <v>0.0</v>
      </c>
      <c r="AA1242" s="1">
        <v>0.0</v>
      </c>
      <c r="AC1242" s="1">
        <v>0.0</v>
      </c>
      <c r="AM1242" s="1">
        <v>378424.0</v>
      </c>
      <c r="AN1242" s="1">
        <v>378424.0</v>
      </c>
      <c r="AO1242" s="1">
        <v>378424.0</v>
      </c>
      <c r="AP1242" s="1">
        <v>144.967</v>
      </c>
      <c r="AR1242" s="1">
        <v>0.0</v>
      </c>
      <c r="AW1242" s="1">
        <v>0.0</v>
      </c>
      <c r="AX1242" s="1">
        <v>3.0</v>
      </c>
      <c r="AY1242" s="1">
        <v>4.0</v>
      </c>
      <c r="BA1242" s="1">
        <v>0.0</v>
      </c>
      <c r="BB1242" s="1">
        <v>0.0</v>
      </c>
      <c r="BC1242" s="1">
        <v>0.0</v>
      </c>
      <c r="BD1242" s="1">
        <v>0.0</v>
      </c>
      <c r="BE1242" s="1">
        <v>0.0</v>
      </c>
      <c r="BF1242" s="1">
        <v>0.0</v>
      </c>
      <c r="BG1242" s="1">
        <v>0.0</v>
      </c>
      <c r="BH1242" s="1">
        <v>0.0</v>
      </c>
      <c r="BI1242" s="1">
        <v>0.0</v>
      </c>
      <c r="BJ1242" s="1">
        <v>0.0</v>
      </c>
      <c r="BP1242" s="1">
        <v>0.751</v>
      </c>
      <c r="BQ1242" s="1" t="s">
        <v>4410</v>
      </c>
      <c r="BV1242" s="1">
        <v>1.1</v>
      </c>
      <c r="EQ1242" s="9" t="s">
        <v>4409</v>
      </c>
      <c r="ER1242" s="21">
        <v>46045.30038194444</v>
      </c>
    </row>
    <row r="1243">
      <c r="A1243" s="9" t="s">
        <v>4411</v>
      </c>
      <c r="B1243" s="20" t="str">
        <f>IFERROR(__xludf.DUMMYFUNCTION("REGEXREPLACE(A1243, ""^https?://[^/]+"", """")"),"/wp-content/uploads/2021/04/April-Class-2021.jpg")</f>
        <v>/wp-content/uploads/2021/04/April-Class-2021.jpg</v>
      </c>
      <c r="F1243" s="1" t="s">
        <v>1004</v>
      </c>
      <c r="G1243" s="1">
        <v>200.0</v>
      </c>
      <c r="H1243" s="1" t="s">
        <v>966</v>
      </c>
      <c r="I1243" s="1" t="s">
        <v>967</v>
      </c>
      <c r="L1243" s="1">
        <v>0.0</v>
      </c>
      <c r="M1243" s="1">
        <v>0.0</v>
      </c>
      <c r="O1243" s="1">
        <v>0.0</v>
      </c>
      <c r="P1243" s="1">
        <v>0.0</v>
      </c>
      <c r="R1243" s="1">
        <v>0.0</v>
      </c>
      <c r="S1243" s="1">
        <v>0.0</v>
      </c>
      <c r="U1243" s="1">
        <v>0.0</v>
      </c>
      <c r="W1243" s="1">
        <v>0.0</v>
      </c>
      <c r="Y1243" s="1">
        <v>0.0</v>
      </c>
      <c r="AA1243" s="1">
        <v>0.0</v>
      </c>
      <c r="AC1243" s="1">
        <v>0.0</v>
      </c>
      <c r="AM1243" s="1">
        <v>77531.0</v>
      </c>
      <c r="AN1243" s="1">
        <v>77531.0</v>
      </c>
      <c r="AO1243" s="1">
        <v>77531.0</v>
      </c>
      <c r="AP1243" s="1">
        <v>29.701</v>
      </c>
      <c r="AR1243" s="1">
        <v>0.0</v>
      </c>
      <c r="AW1243" s="1">
        <v>0.0</v>
      </c>
      <c r="AX1243" s="1">
        <v>3.0</v>
      </c>
      <c r="AY1243" s="1">
        <v>4.0</v>
      </c>
      <c r="BA1243" s="1">
        <v>0.0</v>
      </c>
      <c r="BB1243" s="1">
        <v>0.0</v>
      </c>
      <c r="BC1243" s="1">
        <v>0.0</v>
      </c>
      <c r="BD1243" s="1">
        <v>0.0</v>
      </c>
      <c r="BE1243" s="1">
        <v>0.0</v>
      </c>
      <c r="BF1243" s="1">
        <v>0.0</v>
      </c>
      <c r="BG1243" s="1">
        <v>0.0</v>
      </c>
      <c r="BH1243" s="1">
        <v>0.0</v>
      </c>
      <c r="BI1243" s="1">
        <v>0.0</v>
      </c>
      <c r="BJ1243" s="1">
        <v>0.0</v>
      </c>
      <c r="BP1243" s="1">
        <v>0.28</v>
      </c>
      <c r="BQ1243" s="1" t="s">
        <v>4412</v>
      </c>
      <c r="BV1243" s="1">
        <v>1.1</v>
      </c>
      <c r="EQ1243" s="9" t="s">
        <v>4411</v>
      </c>
      <c r="ER1243" s="21">
        <v>46045.30038194444</v>
      </c>
    </row>
    <row r="1244">
      <c r="A1244" s="9" t="s">
        <v>4413</v>
      </c>
      <c r="B1244" s="20" t="str">
        <f>IFERROR(__xludf.DUMMYFUNCTION("REGEXREPLACE(A1244, ""^https?://[^/]+"", """")"),"/wp-content/themes/salesxceleratione/assets/css/style.css?ver=1769123443")</f>
        <v>/wp-content/themes/salesxceleratione/assets/css/style.css?ver=1769123443</v>
      </c>
      <c r="F1244" s="1" t="s">
        <v>1016</v>
      </c>
      <c r="G1244" s="1">
        <v>200.0</v>
      </c>
      <c r="H1244" s="1" t="s">
        <v>966</v>
      </c>
      <c r="I1244" s="1" t="s">
        <v>967</v>
      </c>
      <c r="L1244" s="1">
        <v>0.0</v>
      </c>
      <c r="M1244" s="1">
        <v>0.0</v>
      </c>
      <c r="O1244" s="1">
        <v>0.0</v>
      </c>
      <c r="P1244" s="1">
        <v>0.0</v>
      </c>
      <c r="R1244" s="1">
        <v>0.0</v>
      </c>
      <c r="S1244" s="1">
        <v>0.0</v>
      </c>
      <c r="U1244" s="1">
        <v>0.0</v>
      </c>
      <c r="W1244" s="1">
        <v>0.0</v>
      </c>
      <c r="Y1244" s="1">
        <v>0.0</v>
      </c>
      <c r="AA1244" s="1">
        <v>0.0</v>
      </c>
      <c r="AC1244" s="1">
        <v>0.0</v>
      </c>
      <c r="AM1244" s="1">
        <v>17704.0</v>
      </c>
      <c r="AN1244" s="1">
        <v>17704.0</v>
      </c>
      <c r="AO1244" s="1">
        <v>17704.0</v>
      </c>
      <c r="AP1244" s="1">
        <v>6.782</v>
      </c>
      <c r="AR1244" s="1">
        <v>0.0</v>
      </c>
      <c r="AW1244" s="1">
        <v>0.0</v>
      </c>
      <c r="AX1244" s="1">
        <v>3.0</v>
      </c>
      <c r="AY1244" s="1">
        <v>5.0</v>
      </c>
      <c r="BA1244" s="1">
        <v>0.0</v>
      </c>
      <c r="BB1244" s="1">
        <v>0.0</v>
      </c>
      <c r="BC1244" s="1">
        <v>0.0</v>
      </c>
      <c r="BD1244" s="1">
        <v>0.0</v>
      </c>
      <c r="BE1244" s="1">
        <v>0.0</v>
      </c>
      <c r="BF1244" s="1">
        <v>0.0</v>
      </c>
      <c r="BG1244" s="1">
        <v>0.0</v>
      </c>
      <c r="BH1244" s="1">
        <v>0.0</v>
      </c>
      <c r="BI1244" s="1">
        <v>0.0</v>
      </c>
      <c r="BJ1244" s="1">
        <v>0.0</v>
      </c>
      <c r="BP1244" s="1">
        <v>0.306</v>
      </c>
      <c r="BQ1244" s="1" t="s">
        <v>4414</v>
      </c>
      <c r="BV1244" s="1">
        <v>1.1</v>
      </c>
      <c r="EQ1244" s="9" t="s">
        <v>4413</v>
      </c>
      <c r="ER1244" s="21">
        <v>46045.30039351852</v>
      </c>
    </row>
    <row r="1245">
      <c r="A1245" s="9" t="s">
        <v>4415</v>
      </c>
      <c r="B1245" s="20" t="str">
        <f>IFERROR(__xludf.DUMMYFUNCTION("REGEXREPLACE(A1245, ""^https?://[^/]+"", """")"),"/advisors/chris-goade/")</f>
        <v>/advisors/chris-goade/</v>
      </c>
      <c r="C1245" s="1" t="s">
        <v>4416</v>
      </c>
      <c r="F1245" s="1" t="s">
        <v>965</v>
      </c>
      <c r="G1245" s="1">
        <v>200.0</v>
      </c>
      <c r="H1245" s="1" t="s">
        <v>966</v>
      </c>
      <c r="I1245" s="1" t="s">
        <v>967</v>
      </c>
      <c r="K1245" s="1" t="s">
        <v>4417</v>
      </c>
      <c r="L1245" s="1">
        <v>36.0</v>
      </c>
      <c r="M1245" s="1">
        <v>325.0</v>
      </c>
      <c r="O1245" s="1">
        <v>0.0</v>
      </c>
      <c r="P1245" s="1">
        <v>0.0</v>
      </c>
      <c r="Q1245" s="1" t="s">
        <v>4418</v>
      </c>
      <c r="R1245" s="1">
        <v>156.0</v>
      </c>
      <c r="S1245" s="1">
        <v>959.0</v>
      </c>
      <c r="U1245" s="1">
        <v>0.0</v>
      </c>
      <c r="V1245" s="1" t="s">
        <v>4416</v>
      </c>
      <c r="W1245" s="1">
        <v>16.0</v>
      </c>
      <c r="Y1245" s="1">
        <v>0.0</v>
      </c>
      <c r="AA1245" s="1">
        <v>0.0</v>
      </c>
      <c r="AC1245" s="1">
        <v>0.0</v>
      </c>
      <c r="AD1245" s="1" t="s">
        <v>971</v>
      </c>
      <c r="AG1245" s="9" t="s">
        <v>4415</v>
      </c>
      <c r="AM1245" s="1">
        <v>149319.0</v>
      </c>
      <c r="AN1245" s="1">
        <v>29222.0</v>
      </c>
      <c r="AO1245" s="1">
        <v>29222.0</v>
      </c>
      <c r="AP1245" s="1">
        <v>11.194</v>
      </c>
      <c r="AR1245" s="1">
        <v>630.0</v>
      </c>
      <c r="AS1245" s="1">
        <v>104.0</v>
      </c>
      <c r="AT1245" s="1">
        <v>6.058</v>
      </c>
      <c r="AU1245" s="1">
        <v>58.881</v>
      </c>
      <c r="AV1245" s="1" t="s">
        <v>972</v>
      </c>
      <c r="AW1245" s="1">
        <v>4.254</v>
      </c>
      <c r="AX1245" s="1">
        <v>3.0</v>
      </c>
      <c r="AY1245" s="1">
        <v>2.0</v>
      </c>
      <c r="AZ1245" s="1">
        <v>1.0</v>
      </c>
      <c r="BA1245" s="1">
        <v>1.0</v>
      </c>
      <c r="BB1245" s="1">
        <v>1.0</v>
      </c>
      <c r="BC1245" s="1">
        <v>0.0</v>
      </c>
      <c r="BD1245" s="1">
        <v>0.13</v>
      </c>
      <c r="BE1245" s="1">
        <v>122.0</v>
      </c>
      <c r="BF1245" s="1">
        <v>42.0</v>
      </c>
      <c r="BG1245" s="1">
        <v>0.0</v>
      </c>
      <c r="BH1245" s="1">
        <v>17.0</v>
      </c>
      <c r="BI1245" s="1">
        <v>9.0</v>
      </c>
      <c r="BJ1245" s="1">
        <v>0.0</v>
      </c>
      <c r="BO1245" s="1" t="s">
        <v>4419</v>
      </c>
      <c r="BP1245" s="1">
        <v>1.368</v>
      </c>
      <c r="BU1245" s="1" t="s">
        <v>974</v>
      </c>
      <c r="BV1245" s="1">
        <v>1.1</v>
      </c>
      <c r="EQ1245" s="9" t="s">
        <v>4415</v>
      </c>
      <c r="ER1245" s="21">
        <v>46045.30037037037</v>
      </c>
    </row>
    <row r="1246">
      <c r="A1246" s="9" t="s">
        <v>4420</v>
      </c>
      <c r="B1246" s="20" t="str">
        <f>IFERROR(__xludf.DUMMYFUNCTION("REGEXREPLACE(A1246, ""^https?://[^/]+"", """")"),"/wp-content/uploads/2020/06/Jun-2020-Collage.png")</f>
        <v>/wp-content/uploads/2020/06/Jun-2020-Collage.png</v>
      </c>
      <c r="F1246" s="1" t="s">
        <v>1047</v>
      </c>
      <c r="G1246" s="1">
        <v>200.0</v>
      </c>
      <c r="H1246" s="1" t="s">
        <v>966</v>
      </c>
      <c r="I1246" s="1" t="s">
        <v>967</v>
      </c>
      <c r="L1246" s="1">
        <v>0.0</v>
      </c>
      <c r="M1246" s="1">
        <v>0.0</v>
      </c>
      <c r="O1246" s="1">
        <v>0.0</v>
      </c>
      <c r="P1246" s="1">
        <v>0.0</v>
      </c>
      <c r="R1246" s="1">
        <v>0.0</v>
      </c>
      <c r="S1246" s="1">
        <v>0.0</v>
      </c>
      <c r="U1246" s="1">
        <v>0.0</v>
      </c>
      <c r="W1246" s="1">
        <v>0.0</v>
      </c>
      <c r="Y1246" s="1">
        <v>0.0</v>
      </c>
      <c r="AA1246" s="1">
        <v>0.0</v>
      </c>
      <c r="AC1246" s="1">
        <v>0.0</v>
      </c>
      <c r="AM1246" s="1">
        <v>261329.0</v>
      </c>
      <c r="AN1246" s="1">
        <v>261329.0</v>
      </c>
      <c r="AO1246" s="1">
        <v>261329.0</v>
      </c>
      <c r="AP1246" s="1">
        <v>100.11</v>
      </c>
      <c r="AR1246" s="1">
        <v>0.0</v>
      </c>
      <c r="AW1246" s="1">
        <v>0.0</v>
      </c>
      <c r="AX1246" s="1">
        <v>3.0</v>
      </c>
      <c r="AY1246" s="1">
        <v>4.0</v>
      </c>
      <c r="BA1246" s="1">
        <v>0.0</v>
      </c>
      <c r="BB1246" s="1">
        <v>0.0</v>
      </c>
      <c r="BC1246" s="1">
        <v>0.0</v>
      </c>
      <c r="BD1246" s="1">
        <v>0.0</v>
      </c>
      <c r="BE1246" s="1">
        <v>0.0</v>
      </c>
      <c r="BF1246" s="1">
        <v>0.0</v>
      </c>
      <c r="BG1246" s="1">
        <v>0.0</v>
      </c>
      <c r="BH1246" s="1">
        <v>0.0</v>
      </c>
      <c r="BI1246" s="1">
        <v>0.0</v>
      </c>
      <c r="BJ1246" s="1">
        <v>0.0</v>
      </c>
      <c r="BP1246" s="1">
        <v>0.286</v>
      </c>
      <c r="BQ1246" s="1" t="s">
        <v>4421</v>
      </c>
      <c r="BV1246" s="1">
        <v>1.1</v>
      </c>
      <c r="EQ1246" s="9" t="s">
        <v>4420</v>
      </c>
      <c r="ER1246" s="21">
        <v>46045.30039351852</v>
      </c>
    </row>
    <row r="1247">
      <c r="A1247" s="9" t="s">
        <v>4422</v>
      </c>
      <c r="B1247" s="20" t="str">
        <f>IFERROR(__xludf.DUMMYFUNCTION("REGEXREPLACE(A1247, ""^https?://[^/]+"", """")"),"/wp-content/uploads/2018/11/hero-bg.jpg")</f>
        <v>/wp-content/uploads/2018/11/hero-bg.jpg</v>
      </c>
      <c r="F1247" s="1" t="s">
        <v>1004</v>
      </c>
      <c r="G1247" s="1">
        <v>200.0</v>
      </c>
      <c r="H1247" s="1" t="s">
        <v>966</v>
      </c>
      <c r="I1247" s="1" t="s">
        <v>967</v>
      </c>
      <c r="L1247" s="1">
        <v>0.0</v>
      </c>
      <c r="M1247" s="1">
        <v>0.0</v>
      </c>
      <c r="O1247" s="1">
        <v>0.0</v>
      </c>
      <c r="P1247" s="1">
        <v>0.0</v>
      </c>
      <c r="R1247" s="1">
        <v>0.0</v>
      </c>
      <c r="S1247" s="1">
        <v>0.0</v>
      </c>
      <c r="U1247" s="1">
        <v>0.0</v>
      </c>
      <c r="W1247" s="1">
        <v>0.0</v>
      </c>
      <c r="Y1247" s="1">
        <v>0.0</v>
      </c>
      <c r="AA1247" s="1">
        <v>0.0</v>
      </c>
      <c r="AC1247" s="1">
        <v>0.0</v>
      </c>
      <c r="AM1247" s="1">
        <v>145863.0</v>
      </c>
      <c r="AN1247" s="1">
        <v>145863.0</v>
      </c>
      <c r="AO1247" s="1">
        <v>145863.0</v>
      </c>
      <c r="AP1247" s="1">
        <v>55.877</v>
      </c>
      <c r="AR1247" s="1">
        <v>0.0</v>
      </c>
      <c r="AW1247" s="1">
        <v>0.0</v>
      </c>
      <c r="AX1247" s="1">
        <v>3.0</v>
      </c>
      <c r="AY1247" s="1">
        <v>4.0</v>
      </c>
      <c r="BA1247" s="1">
        <v>0.0</v>
      </c>
      <c r="BB1247" s="1">
        <v>0.0</v>
      </c>
      <c r="BC1247" s="1">
        <v>0.0</v>
      </c>
      <c r="BD1247" s="1">
        <v>0.0</v>
      </c>
      <c r="BE1247" s="1">
        <v>0.0</v>
      </c>
      <c r="BF1247" s="1">
        <v>0.0</v>
      </c>
      <c r="BG1247" s="1">
        <v>0.0</v>
      </c>
      <c r="BH1247" s="1">
        <v>0.0</v>
      </c>
      <c r="BI1247" s="1">
        <v>0.0</v>
      </c>
      <c r="BJ1247" s="1">
        <v>0.0</v>
      </c>
      <c r="BP1247" s="1">
        <v>0.288</v>
      </c>
      <c r="BQ1247" s="1" t="s">
        <v>4423</v>
      </c>
      <c r="BV1247" s="1">
        <v>1.1</v>
      </c>
      <c r="EQ1247" s="9" t="s">
        <v>4422</v>
      </c>
      <c r="ER1247" s="21">
        <v>46045.30039351852</v>
      </c>
    </row>
    <row r="1248">
      <c r="A1248" s="9" t="s">
        <v>4424</v>
      </c>
      <c r="B1248" s="20" t="str">
        <f>IFERROR(__xludf.DUMMYFUNCTION("REGEXREPLACE(A1248, ""^https?://[^/]+"", """")"),"/wp-content/uploads/2017/05/Susan-Tourville-Revised-e1495208071287.jpg")</f>
        <v>/wp-content/uploads/2017/05/Susan-Tourville-Revised-e1495208071287.jpg</v>
      </c>
      <c r="F1248" s="1" t="s">
        <v>1004</v>
      </c>
      <c r="G1248" s="1">
        <v>200.0</v>
      </c>
      <c r="H1248" s="1" t="s">
        <v>966</v>
      </c>
      <c r="I1248" s="1" t="s">
        <v>967</v>
      </c>
      <c r="L1248" s="1">
        <v>0.0</v>
      </c>
      <c r="M1248" s="1">
        <v>0.0</v>
      </c>
      <c r="O1248" s="1">
        <v>0.0</v>
      </c>
      <c r="P1248" s="1">
        <v>0.0</v>
      </c>
      <c r="R1248" s="1">
        <v>0.0</v>
      </c>
      <c r="S1248" s="1">
        <v>0.0</v>
      </c>
      <c r="U1248" s="1">
        <v>0.0</v>
      </c>
      <c r="W1248" s="1">
        <v>0.0</v>
      </c>
      <c r="Y1248" s="1">
        <v>0.0</v>
      </c>
      <c r="AA1248" s="1">
        <v>0.0</v>
      </c>
      <c r="AC1248" s="1">
        <v>0.0</v>
      </c>
      <c r="AM1248" s="1">
        <v>30601.0</v>
      </c>
      <c r="AN1248" s="1">
        <v>30601.0</v>
      </c>
      <c r="AO1248" s="1">
        <v>30601.0</v>
      </c>
      <c r="AP1248" s="1">
        <v>11.723</v>
      </c>
      <c r="AR1248" s="1">
        <v>0.0</v>
      </c>
      <c r="AW1248" s="1">
        <v>0.0</v>
      </c>
      <c r="AX1248" s="1">
        <v>3.0</v>
      </c>
      <c r="AY1248" s="1">
        <v>4.0</v>
      </c>
      <c r="BA1248" s="1">
        <v>0.0</v>
      </c>
      <c r="BB1248" s="1">
        <v>0.0</v>
      </c>
      <c r="BC1248" s="1">
        <v>0.0</v>
      </c>
      <c r="BD1248" s="1">
        <v>0.0</v>
      </c>
      <c r="BE1248" s="1">
        <v>0.0</v>
      </c>
      <c r="BF1248" s="1">
        <v>0.0</v>
      </c>
      <c r="BG1248" s="1">
        <v>0.0</v>
      </c>
      <c r="BH1248" s="1">
        <v>0.0</v>
      </c>
      <c r="BI1248" s="1">
        <v>0.0</v>
      </c>
      <c r="BJ1248" s="1">
        <v>0.0</v>
      </c>
      <c r="BP1248" s="1">
        <v>0.265</v>
      </c>
      <c r="BQ1248" s="1" t="s">
        <v>4425</v>
      </c>
      <c r="BV1248" s="1">
        <v>1.1</v>
      </c>
      <c r="EQ1248" s="9" t="s">
        <v>4424</v>
      </c>
      <c r="ER1248" s="21">
        <v>46045.30039351852</v>
      </c>
    </row>
    <row r="1249">
      <c r="A1249" s="9" t="s">
        <v>4426</v>
      </c>
      <c r="B1249" s="20" t="str">
        <f>IFERROR(__xludf.DUMMYFUNCTION("REGEXREPLACE(A1249, ""^https?://[^/]+"", """")"),"/sales-agility-assessment-1-0-stourville/")</f>
        <v>/sales-agility-assessment-1-0-stourville/</v>
      </c>
      <c r="F1249" s="1" t="s">
        <v>965</v>
      </c>
      <c r="G1249" s="1">
        <v>301.0</v>
      </c>
      <c r="H1249" s="1" t="s">
        <v>1304</v>
      </c>
      <c r="I1249" s="1" t="s">
        <v>1214</v>
      </c>
      <c r="J1249" s="1" t="s">
        <v>1305</v>
      </c>
      <c r="L1249" s="1">
        <v>0.0</v>
      </c>
      <c r="M1249" s="1">
        <v>0.0</v>
      </c>
      <c r="O1249" s="1">
        <v>0.0</v>
      </c>
      <c r="P1249" s="1">
        <v>0.0</v>
      </c>
      <c r="R1249" s="1">
        <v>0.0</v>
      </c>
      <c r="S1249" s="1">
        <v>0.0</v>
      </c>
      <c r="U1249" s="1">
        <v>0.0</v>
      </c>
      <c r="W1249" s="1">
        <v>0.0</v>
      </c>
      <c r="Y1249" s="1">
        <v>0.0</v>
      </c>
      <c r="AA1249" s="1">
        <v>0.0</v>
      </c>
      <c r="AC1249" s="1">
        <v>0.0</v>
      </c>
      <c r="AM1249" s="1">
        <v>0.0</v>
      </c>
      <c r="AN1249" s="1">
        <v>0.0</v>
      </c>
      <c r="AO1249" s="1">
        <v>0.0</v>
      </c>
      <c r="AP1249" s="1">
        <v>0.0</v>
      </c>
      <c r="AR1249" s="1">
        <v>0.0</v>
      </c>
      <c r="AW1249" s="1">
        <v>0.0</v>
      </c>
      <c r="AX1249" s="1">
        <v>3.0</v>
      </c>
      <c r="AY1249" s="1">
        <v>1.0</v>
      </c>
      <c r="BA1249" s="1">
        <v>1.0</v>
      </c>
      <c r="BB1249" s="1">
        <v>1.0</v>
      </c>
      <c r="BC1249" s="1">
        <v>0.0</v>
      </c>
      <c r="BD1249" s="1">
        <v>0.13</v>
      </c>
      <c r="BE1249" s="1">
        <v>0.0</v>
      </c>
      <c r="BF1249" s="1">
        <v>0.0</v>
      </c>
      <c r="BG1249" s="1">
        <v>0.0</v>
      </c>
      <c r="BH1249" s="1">
        <v>0.0</v>
      </c>
      <c r="BI1249" s="1">
        <v>0.0</v>
      </c>
      <c r="BJ1249" s="1">
        <v>0.0</v>
      </c>
      <c r="BP1249" s="1">
        <v>0.534</v>
      </c>
      <c r="BR1249" s="9" t="s">
        <v>1380</v>
      </c>
      <c r="BS1249" s="1" t="s">
        <v>1307</v>
      </c>
      <c r="BV1249" s="1">
        <v>1.1</v>
      </c>
      <c r="EQ1249" s="9" t="s">
        <v>4426</v>
      </c>
      <c r="ER1249" s="21">
        <v>46045.30039351852</v>
      </c>
    </row>
    <row r="1250">
      <c r="A1250" s="9" t="s">
        <v>4427</v>
      </c>
      <c r="B1250" s="20" t="str">
        <f>IFERROR(__xludf.DUMMYFUNCTION("REGEXREPLACE(A1250, ""^https?://[^/]+"", """")"),"/wp-content/uploads/2022/06/shutterstock_380892946.jpg")</f>
        <v>/wp-content/uploads/2022/06/shutterstock_380892946.jpg</v>
      </c>
      <c r="F1250" s="1" t="s">
        <v>1004</v>
      </c>
      <c r="G1250" s="1">
        <v>200.0</v>
      </c>
      <c r="H1250" s="1" t="s">
        <v>966</v>
      </c>
      <c r="I1250" s="1" t="s">
        <v>967</v>
      </c>
      <c r="L1250" s="1">
        <v>0.0</v>
      </c>
      <c r="M1250" s="1">
        <v>0.0</v>
      </c>
      <c r="O1250" s="1">
        <v>0.0</v>
      </c>
      <c r="P1250" s="1">
        <v>0.0</v>
      </c>
      <c r="R1250" s="1">
        <v>0.0</v>
      </c>
      <c r="S1250" s="1">
        <v>0.0</v>
      </c>
      <c r="U1250" s="1">
        <v>0.0</v>
      </c>
      <c r="W1250" s="1">
        <v>0.0</v>
      </c>
      <c r="Y1250" s="1">
        <v>0.0</v>
      </c>
      <c r="AA1250" s="1">
        <v>0.0</v>
      </c>
      <c r="AC1250" s="1">
        <v>0.0</v>
      </c>
      <c r="AM1250" s="1">
        <v>276962.0</v>
      </c>
      <c r="AN1250" s="1">
        <v>276962.0</v>
      </c>
      <c r="AO1250" s="1">
        <v>276962.0</v>
      </c>
      <c r="AP1250" s="1">
        <v>106.099</v>
      </c>
      <c r="AR1250" s="1">
        <v>0.0</v>
      </c>
      <c r="AW1250" s="1">
        <v>0.0</v>
      </c>
      <c r="AX1250" s="1">
        <v>3.0</v>
      </c>
      <c r="AY1250" s="1">
        <v>4.0</v>
      </c>
      <c r="BA1250" s="1">
        <v>0.0</v>
      </c>
      <c r="BB1250" s="1">
        <v>0.0</v>
      </c>
      <c r="BC1250" s="1">
        <v>0.0</v>
      </c>
      <c r="BD1250" s="1">
        <v>0.0</v>
      </c>
      <c r="BE1250" s="1">
        <v>0.0</v>
      </c>
      <c r="BF1250" s="1">
        <v>0.0</v>
      </c>
      <c r="BG1250" s="1">
        <v>0.0</v>
      </c>
      <c r="BH1250" s="1">
        <v>0.0</v>
      </c>
      <c r="BI1250" s="1">
        <v>0.0</v>
      </c>
      <c r="BJ1250" s="1">
        <v>0.0</v>
      </c>
      <c r="BP1250" s="1">
        <v>0.256</v>
      </c>
      <c r="BQ1250" s="1" t="s">
        <v>4428</v>
      </c>
      <c r="BV1250" s="1">
        <v>1.1</v>
      </c>
      <c r="EQ1250" s="9" t="s">
        <v>4427</v>
      </c>
      <c r="ER1250" s="21">
        <v>46045.300405092596</v>
      </c>
    </row>
    <row r="1251">
      <c r="A1251" s="9" t="s">
        <v>4429</v>
      </c>
      <c r="B1251" s="20" t="str">
        <f>IFERROR(__xludf.DUMMYFUNCTION("REGEXREPLACE(A1251, ""^https?://[^/]+"", """")"),"/wp-content/uploads/2023/08/August-23-Class-Photo.jpg")</f>
        <v>/wp-content/uploads/2023/08/August-23-Class-Photo.jpg</v>
      </c>
      <c r="F1251" s="1" t="s">
        <v>1004</v>
      </c>
      <c r="G1251" s="1">
        <v>200.0</v>
      </c>
      <c r="H1251" s="1" t="s">
        <v>966</v>
      </c>
      <c r="I1251" s="1" t="s">
        <v>967</v>
      </c>
      <c r="L1251" s="1">
        <v>0.0</v>
      </c>
      <c r="M1251" s="1">
        <v>0.0</v>
      </c>
      <c r="O1251" s="1">
        <v>0.0</v>
      </c>
      <c r="P1251" s="1">
        <v>0.0</v>
      </c>
      <c r="R1251" s="1">
        <v>0.0</v>
      </c>
      <c r="S1251" s="1">
        <v>0.0</v>
      </c>
      <c r="U1251" s="1">
        <v>0.0</v>
      </c>
      <c r="W1251" s="1">
        <v>0.0</v>
      </c>
      <c r="Y1251" s="1">
        <v>0.0</v>
      </c>
      <c r="AA1251" s="1">
        <v>0.0</v>
      </c>
      <c r="AC1251" s="1">
        <v>0.0</v>
      </c>
      <c r="AM1251" s="1">
        <v>357361.0</v>
      </c>
      <c r="AN1251" s="1">
        <v>357361.0</v>
      </c>
      <c r="AO1251" s="1">
        <v>357361.0</v>
      </c>
      <c r="AP1251" s="1">
        <v>136.898</v>
      </c>
      <c r="AR1251" s="1">
        <v>0.0</v>
      </c>
      <c r="AW1251" s="1">
        <v>0.0</v>
      </c>
      <c r="AX1251" s="1">
        <v>3.0</v>
      </c>
      <c r="AY1251" s="1">
        <v>4.0</v>
      </c>
      <c r="BA1251" s="1">
        <v>0.0</v>
      </c>
      <c r="BB1251" s="1">
        <v>0.0</v>
      </c>
      <c r="BC1251" s="1">
        <v>0.0</v>
      </c>
      <c r="BD1251" s="1">
        <v>0.0</v>
      </c>
      <c r="BE1251" s="1">
        <v>0.0</v>
      </c>
      <c r="BF1251" s="1">
        <v>0.0</v>
      </c>
      <c r="BG1251" s="1">
        <v>0.0</v>
      </c>
      <c r="BH1251" s="1">
        <v>0.0</v>
      </c>
      <c r="BI1251" s="1">
        <v>0.0</v>
      </c>
      <c r="BJ1251" s="1">
        <v>0.0</v>
      </c>
      <c r="BP1251" s="1">
        <v>0.285</v>
      </c>
      <c r="BQ1251" s="1" t="s">
        <v>4430</v>
      </c>
      <c r="BV1251" s="1">
        <v>1.1</v>
      </c>
      <c r="EQ1251" s="9" t="s">
        <v>4429</v>
      </c>
      <c r="ER1251" s="21">
        <v>46045.300405092596</v>
      </c>
    </row>
    <row r="1252">
      <c r="A1252" s="9" t="s">
        <v>4431</v>
      </c>
      <c r="B1252" s="20" t="str">
        <f>IFERROR(__xludf.DUMMYFUNCTION("REGEXREPLACE(A1252, ""^https?://[^/]+"", """")"),"/wp-content/themes/salesxceleratione/assets/css/style.css?ver=1769123444")</f>
        <v>/wp-content/themes/salesxceleratione/assets/css/style.css?ver=1769123444</v>
      </c>
      <c r="F1252" s="1" t="s">
        <v>1016</v>
      </c>
      <c r="G1252" s="1">
        <v>200.0</v>
      </c>
      <c r="H1252" s="1" t="s">
        <v>966</v>
      </c>
      <c r="I1252" s="1" t="s">
        <v>967</v>
      </c>
      <c r="L1252" s="1">
        <v>0.0</v>
      </c>
      <c r="M1252" s="1">
        <v>0.0</v>
      </c>
      <c r="O1252" s="1">
        <v>0.0</v>
      </c>
      <c r="P1252" s="1">
        <v>0.0</v>
      </c>
      <c r="R1252" s="1">
        <v>0.0</v>
      </c>
      <c r="S1252" s="1">
        <v>0.0</v>
      </c>
      <c r="U1252" s="1">
        <v>0.0</v>
      </c>
      <c r="W1252" s="1">
        <v>0.0</v>
      </c>
      <c r="Y1252" s="1">
        <v>0.0</v>
      </c>
      <c r="AA1252" s="1">
        <v>0.0</v>
      </c>
      <c r="AC1252" s="1">
        <v>0.0</v>
      </c>
      <c r="AM1252" s="1">
        <v>14937.0</v>
      </c>
      <c r="AN1252" s="1">
        <v>14937.0</v>
      </c>
      <c r="AO1252" s="1">
        <v>14937.0</v>
      </c>
      <c r="AP1252" s="1">
        <v>5.722</v>
      </c>
      <c r="AR1252" s="1">
        <v>0.0</v>
      </c>
      <c r="AW1252" s="1">
        <v>0.0</v>
      </c>
      <c r="AX1252" s="1">
        <v>3.0</v>
      </c>
      <c r="AY1252" s="1">
        <v>5.0</v>
      </c>
      <c r="BA1252" s="1">
        <v>0.0</v>
      </c>
      <c r="BB1252" s="1">
        <v>0.0</v>
      </c>
      <c r="BC1252" s="1">
        <v>0.0</v>
      </c>
      <c r="BD1252" s="1">
        <v>0.0</v>
      </c>
      <c r="BE1252" s="1">
        <v>0.0</v>
      </c>
      <c r="BF1252" s="1">
        <v>0.0</v>
      </c>
      <c r="BG1252" s="1">
        <v>0.0</v>
      </c>
      <c r="BH1252" s="1">
        <v>0.0</v>
      </c>
      <c r="BI1252" s="1">
        <v>0.0</v>
      </c>
      <c r="BJ1252" s="1">
        <v>0.0</v>
      </c>
      <c r="BP1252" s="1">
        <v>0.271</v>
      </c>
      <c r="BQ1252" s="1" t="s">
        <v>4432</v>
      </c>
      <c r="BV1252" s="1">
        <v>1.1</v>
      </c>
      <c r="EQ1252" s="9" t="s">
        <v>4431</v>
      </c>
      <c r="ER1252" s="21">
        <v>46045.300405092596</v>
      </c>
    </row>
    <row r="1253">
      <c r="A1253" s="9" t="s">
        <v>4433</v>
      </c>
      <c r="B1253" s="20" t="str">
        <f>IFERROR(__xludf.DUMMYFUNCTION("REGEXREPLACE(A1253, ""^https?://[^/]+"", """")"),"/wp-content/uploads/2024/12/Sales-Xceleration-Welcomes-Expert-Sales-Growth-Leaders.jpg")</f>
        <v>/wp-content/uploads/2024/12/Sales-Xceleration-Welcomes-Expert-Sales-Growth-Leaders.jpg</v>
      </c>
      <c r="F1253" s="1" t="s">
        <v>1004</v>
      </c>
      <c r="G1253" s="1">
        <v>200.0</v>
      </c>
      <c r="H1253" s="1" t="s">
        <v>966</v>
      </c>
      <c r="I1253" s="1" t="s">
        <v>967</v>
      </c>
      <c r="L1253" s="1">
        <v>0.0</v>
      </c>
      <c r="M1253" s="1">
        <v>0.0</v>
      </c>
      <c r="O1253" s="1">
        <v>0.0</v>
      </c>
      <c r="P1253" s="1">
        <v>0.0</v>
      </c>
      <c r="R1253" s="1">
        <v>0.0</v>
      </c>
      <c r="S1253" s="1">
        <v>0.0</v>
      </c>
      <c r="U1253" s="1">
        <v>0.0</v>
      </c>
      <c r="W1253" s="1">
        <v>0.0</v>
      </c>
      <c r="Y1253" s="1">
        <v>0.0</v>
      </c>
      <c r="AA1253" s="1">
        <v>0.0</v>
      </c>
      <c r="AC1253" s="1">
        <v>0.0</v>
      </c>
      <c r="AM1253" s="1">
        <v>503046.0</v>
      </c>
      <c r="AN1253" s="1">
        <v>503046.0</v>
      </c>
      <c r="AO1253" s="1">
        <v>503046.0</v>
      </c>
      <c r="AP1253" s="1">
        <v>192.707</v>
      </c>
      <c r="AR1253" s="1">
        <v>0.0</v>
      </c>
      <c r="AW1253" s="1">
        <v>0.0</v>
      </c>
      <c r="AX1253" s="1">
        <v>3.0</v>
      </c>
      <c r="AY1253" s="1">
        <v>4.0</v>
      </c>
      <c r="BA1253" s="1">
        <v>0.0</v>
      </c>
      <c r="BB1253" s="1">
        <v>0.0</v>
      </c>
      <c r="BC1253" s="1">
        <v>0.0</v>
      </c>
      <c r="BD1253" s="1">
        <v>0.0</v>
      </c>
      <c r="BE1253" s="1">
        <v>0.0</v>
      </c>
      <c r="BF1253" s="1">
        <v>0.0</v>
      </c>
      <c r="BG1253" s="1">
        <v>0.0</v>
      </c>
      <c r="BH1253" s="1">
        <v>0.0</v>
      </c>
      <c r="BI1253" s="1">
        <v>0.0</v>
      </c>
      <c r="BJ1253" s="1">
        <v>0.0</v>
      </c>
      <c r="BP1253" s="1">
        <v>0.27</v>
      </c>
      <c r="BQ1253" s="1" t="s">
        <v>4434</v>
      </c>
      <c r="BV1253" s="1">
        <v>1.1</v>
      </c>
      <c r="EQ1253" s="9" t="s">
        <v>4433</v>
      </c>
      <c r="ER1253" s="21">
        <v>46045.300405092596</v>
      </c>
    </row>
    <row r="1254">
      <c r="A1254" s="9" t="s">
        <v>4435</v>
      </c>
      <c r="B1254" s="20" t="str">
        <f>IFERROR(__xludf.DUMMYFUNCTION("REGEXREPLACE(A1254, ""^https?://[^/]+"", """")"),"/wp-content/uploads/2021/02/SX-Advisors-02-2021.png")</f>
        <v>/wp-content/uploads/2021/02/SX-Advisors-02-2021.png</v>
      </c>
      <c r="F1254" s="1" t="s">
        <v>1047</v>
      </c>
      <c r="G1254" s="1">
        <v>200.0</v>
      </c>
      <c r="H1254" s="1" t="s">
        <v>966</v>
      </c>
      <c r="I1254" s="1" t="s">
        <v>967</v>
      </c>
      <c r="L1254" s="1">
        <v>0.0</v>
      </c>
      <c r="M1254" s="1">
        <v>0.0</v>
      </c>
      <c r="O1254" s="1">
        <v>0.0</v>
      </c>
      <c r="P1254" s="1">
        <v>0.0</v>
      </c>
      <c r="R1254" s="1">
        <v>0.0</v>
      </c>
      <c r="S1254" s="1">
        <v>0.0</v>
      </c>
      <c r="U1254" s="1">
        <v>0.0</v>
      </c>
      <c r="W1254" s="1">
        <v>0.0</v>
      </c>
      <c r="Y1254" s="1">
        <v>0.0</v>
      </c>
      <c r="AA1254" s="1">
        <v>0.0</v>
      </c>
      <c r="AC1254" s="1">
        <v>0.0</v>
      </c>
      <c r="AM1254" s="1">
        <v>321748.0</v>
      </c>
      <c r="AN1254" s="1">
        <v>321748.0</v>
      </c>
      <c r="AO1254" s="1">
        <v>321748.0</v>
      </c>
      <c r="AP1254" s="1">
        <v>123.256</v>
      </c>
      <c r="AR1254" s="1">
        <v>0.0</v>
      </c>
      <c r="AW1254" s="1">
        <v>0.0</v>
      </c>
      <c r="AX1254" s="1">
        <v>3.0</v>
      </c>
      <c r="AY1254" s="1">
        <v>4.0</v>
      </c>
      <c r="BA1254" s="1">
        <v>0.0</v>
      </c>
      <c r="BB1254" s="1">
        <v>0.0</v>
      </c>
      <c r="BC1254" s="1">
        <v>0.0</v>
      </c>
      <c r="BD1254" s="1">
        <v>0.0</v>
      </c>
      <c r="BE1254" s="1">
        <v>0.0</v>
      </c>
      <c r="BF1254" s="1">
        <v>0.0</v>
      </c>
      <c r="BG1254" s="1">
        <v>0.0</v>
      </c>
      <c r="BH1254" s="1">
        <v>0.0</v>
      </c>
      <c r="BI1254" s="1">
        <v>0.0</v>
      </c>
      <c r="BJ1254" s="1">
        <v>0.0</v>
      </c>
      <c r="BP1254" s="1">
        <v>0.268</v>
      </c>
      <c r="BQ1254" s="1" t="s">
        <v>4436</v>
      </c>
      <c r="BV1254" s="1">
        <v>1.1</v>
      </c>
      <c r="EQ1254" s="9" t="s">
        <v>4435</v>
      </c>
      <c r="ER1254" s="21">
        <v>46045.300416666665</v>
      </c>
    </row>
    <row r="1255">
      <c r="A1255" s="9" t="s">
        <v>4437</v>
      </c>
      <c r="B1255" s="20" t="str">
        <f>IFERROR(__xludf.DUMMYFUNCTION("REGEXREPLACE(A1255, ""^https?://[^/]+"", """")"),"/wp-content/uploads/elementor/css/post-26183.css?ver=1768881794")</f>
        <v>/wp-content/uploads/elementor/css/post-26183.css?ver=1768881794</v>
      </c>
      <c r="F1255" s="1" t="s">
        <v>1016</v>
      </c>
      <c r="G1255" s="1">
        <v>200.0</v>
      </c>
      <c r="H1255" s="1" t="s">
        <v>966</v>
      </c>
      <c r="I1255" s="1" t="s">
        <v>967</v>
      </c>
      <c r="L1255" s="1">
        <v>0.0</v>
      </c>
      <c r="M1255" s="1">
        <v>0.0</v>
      </c>
      <c r="O1255" s="1">
        <v>0.0</v>
      </c>
      <c r="P1255" s="1">
        <v>0.0</v>
      </c>
      <c r="R1255" s="1">
        <v>0.0</v>
      </c>
      <c r="S1255" s="1">
        <v>0.0</v>
      </c>
      <c r="U1255" s="1">
        <v>0.0</v>
      </c>
      <c r="W1255" s="1">
        <v>0.0</v>
      </c>
      <c r="Y1255" s="1">
        <v>0.0</v>
      </c>
      <c r="AA1255" s="1">
        <v>0.0</v>
      </c>
      <c r="AC1255" s="1">
        <v>0.0</v>
      </c>
      <c r="AM1255" s="1">
        <v>1208.0</v>
      </c>
      <c r="AN1255" s="1">
        <v>1208.0</v>
      </c>
      <c r="AO1255" s="1">
        <v>1208.0</v>
      </c>
      <c r="AP1255" s="1">
        <v>0.463</v>
      </c>
      <c r="AR1255" s="1">
        <v>0.0</v>
      </c>
      <c r="AW1255" s="1">
        <v>0.0</v>
      </c>
      <c r="AX1255" s="1">
        <v>3.0</v>
      </c>
      <c r="AY1255" s="1">
        <v>4.0</v>
      </c>
      <c r="BA1255" s="1">
        <v>0.0</v>
      </c>
      <c r="BB1255" s="1">
        <v>0.0</v>
      </c>
      <c r="BC1255" s="1">
        <v>0.0</v>
      </c>
      <c r="BD1255" s="1">
        <v>0.0</v>
      </c>
      <c r="BE1255" s="1">
        <v>0.0</v>
      </c>
      <c r="BF1255" s="1">
        <v>0.0</v>
      </c>
      <c r="BG1255" s="1">
        <v>0.0</v>
      </c>
      <c r="BH1255" s="1">
        <v>0.0</v>
      </c>
      <c r="BI1255" s="1">
        <v>0.0</v>
      </c>
      <c r="BJ1255" s="1">
        <v>0.0</v>
      </c>
      <c r="BP1255" s="1">
        <v>0.275</v>
      </c>
      <c r="BQ1255" s="1" t="s">
        <v>4438</v>
      </c>
      <c r="BV1255" s="1">
        <v>1.1</v>
      </c>
      <c r="EQ1255" s="9" t="s">
        <v>4437</v>
      </c>
      <c r="ER1255" s="21">
        <v>46045.300416666665</v>
      </c>
    </row>
    <row r="1256">
      <c r="A1256" s="9" t="s">
        <v>4439</v>
      </c>
      <c r="B1256" s="20" t="str">
        <f>IFERROR(__xludf.DUMMYFUNCTION("REGEXREPLACE(A1256, ""^https?://[^/]+"", """")"),"/wp-content/themes/salesxceleratione/assets/css/style.css?ver=1769123445")</f>
        <v>/wp-content/themes/salesxceleratione/assets/css/style.css?ver=1769123445</v>
      </c>
      <c r="F1256" s="1" t="s">
        <v>1016</v>
      </c>
      <c r="G1256" s="1">
        <v>200.0</v>
      </c>
      <c r="H1256" s="1" t="s">
        <v>966</v>
      </c>
      <c r="I1256" s="1" t="s">
        <v>967</v>
      </c>
      <c r="L1256" s="1">
        <v>0.0</v>
      </c>
      <c r="M1256" s="1">
        <v>0.0</v>
      </c>
      <c r="O1256" s="1">
        <v>0.0</v>
      </c>
      <c r="P1256" s="1">
        <v>0.0</v>
      </c>
      <c r="R1256" s="1">
        <v>0.0</v>
      </c>
      <c r="S1256" s="1">
        <v>0.0</v>
      </c>
      <c r="U1256" s="1">
        <v>0.0</v>
      </c>
      <c r="W1256" s="1">
        <v>0.0</v>
      </c>
      <c r="Y1256" s="1">
        <v>0.0</v>
      </c>
      <c r="AA1256" s="1">
        <v>0.0</v>
      </c>
      <c r="AC1256" s="1">
        <v>0.0</v>
      </c>
      <c r="AM1256" s="1">
        <v>17704.0</v>
      </c>
      <c r="AN1256" s="1">
        <v>17704.0</v>
      </c>
      <c r="AO1256" s="1">
        <v>17704.0</v>
      </c>
      <c r="AP1256" s="1">
        <v>6.782</v>
      </c>
      <c r="AR1256" s="1">
        <v>0.0</v>
      </c>
      <c r="AW1256" s="1">
        <v>0.0</v>
      </c>
      <c r="AX1256" s="1">
        <v>3.0</v>
      </c>
      <c r="AY1256" s="1">
        <v>5.0</v>
      </c>
      <c r="BA1256" s="1">
        <v>0.0</v>
      </c>
      <c r="BB1256" s="1">
        <v>0.0</v>
      </c>
      <c r="BC1256" s="1">
        <v>0.0</v>
      </c>
      <c r="BD1256" s="1">
        <v>0.0</v>
      </c>
      <c r="BE1256" s="1">
        <v>0.0</v>
      </c>
      <c r="BF1256" s="1">
        <v>0.0</v>
      </c>
      <c r="BG1256" s="1">
        <v>0.0</v>
      </c>
      <c r="BH1256" s="1">
        <v>0.0</v>
      </c>
      <c r="BI1256" s="1">
        <v>0.0</v>
      </c>
      <c r="BJ1256" s="1">
        <v>0.0</v>
      </c>
      <c r="BP1256" s="1">
        <v>0.275</v>
      </c>
      <c r="BQ1256" s="1" t="s">
        <v>4440</v>
      </c>
      <c r="BV1256" s="1">
        <v>1.1</v>
      </c>
      <c r="EQ1256" s="9" t="s">
        <v>4439</v>
      </c>
      <c r="ER1256" s="21">
        <v>46045.300416666665</v>
      </c>
    </row>
    <row r="1257">
      <c r="A1257" s="9" t="s">
        <v>4441</v>
      </c>
      <c r="B1257" s="20" t="str">
        <f>IFERROR(__xludf.DUMMYFUNCTION("REGEXREPLACE(A1257, ""^https?://[^/]+"", """")"),"/wp-content/uploads/2024/05/IT-Professional-Services-Building-a-Sustainable-Sales-Strategy-for-Accelerated-Growth.pdf")</f>
        <v>/wp-content/uploads/2024/05/IT-Professional-Services-Building-a-Sustainable-Sales-Strategy-for-Accelerated-Growth.pdf</v>
      </c>
      <c r="F1257" s="1" t="s">
        <v>1730</v>
      </c>
      <c r="G1257" s="1">
        <v>200.0</v>
      </c>
      <c r="H1257" s="1" t="s">
        <v>966</v>
      </c>
      <c r="I1257" s="1" t="s">
        <v>967</v>
      </c>
      <c r="K1257" s="1" t="s">
        <v>4442</v>
      </c>
      <c r="L1257" s="1">
        <v>169.0</v>
      </c>
      <c r="M1257" s="1">
        <v>1503.0</v>
      </c>
      <c r="O1257" s="1">
        <v>0.0</v>
      </c>
      <c r="P1257" s="1">
        <v>0.0</v>
      </c>
      <c r="R1257" s="1">
        <v>0.0</v>
      </c>
      <c r="S1257" s="1">
        <v>0.0</v>
      </c>
      <c r="T1257" s="1" t="s">
        <v>4443</v>
      </c>
      <c r="U1257" s="1">
        <v>25.0</v>
      </c>
      <c r="W1257" s="1">
        <v>0.0</v>
      </c>
      <c r="Y1257" s="1">
        <v>0.0</v>
      </c>
      <c r="AA1257" s="1">
        <v>0.0</v>
      </c>
      <c r="AC1257" s="1">
        <v>0.0</v>
      </c>
      <c r="AM1257" s="1">
        <v>180036.0</v>
      </c>
      <c r="AN1257" s="1">
        <v>180036.0</v>
      </c>
      <c r="AO1257" s="1">
        <v>180036.0</v>
      </c>
      <c r="AP1257" s="1">
        <v>68.968</v>
      </c>
      <c r="AR1257" s="1">
        <v>0.0</v>
      </c>
      <c r="AW1257" s="1">
        <v>0.0</v>
      </c>
      <c r="AX1257" s="1">
        <v>3.0</v>
      </c>
      <c r="AY1257" s="1">
        <v>4.0</v>
      </c>
      <c r="AZ1257" s="1">
        <v>1.0</v>
      </c>
      <c r="BA1257" s="1">
        <v>1.0</v>
      </c>
      <c r="BB1257" s="1">
        <v>1.0</v>
      </c>
      <c r="BC1257" s="1">
        <v>0.0</v>
      </c>
      <c r="BD1257" s="1">
        <v>0.13</v>
      </c>
      <c r="BE1257" s="1">
        <v>0.0</v>
      </c>
      <c r="BF1257" s="1">
        <v>0.0</v>
      </c>
      <c r="BG1257" s="1">
        <v>0.0</v>
      </c>
      <c r="BH1257" s="1">
        <v>0.0</v>
      </c>
      <c r="BI1257" s="1">
        <v>0.0</v>
      </c>
      <c r="BJ1257" s="1">
        <v>0.0</v>
      </c>
      <c r="BP1257" s="1">
        <v>0.282</v>
      </c>
      <c r="BQ1257" s="1" t="s">
        <v>4444</v>
      </c>
      <c r="BV1257" s="1">
        <v>1.1</v>
      </c>
      <c r="EQ1257" s="9" t="s">
        <v>4441</v>
      </c>
      <c r="ER1257" s="21">
        <v>46045.300416666665</v>
      </c>
    </row>
    <row r="1258">
      <c r="A1258" s="9" t="s">
        <v>4445</v>
      </c>
      <c r="B1258" s="20" t="str">
        <f>IFERROR(__xludf.DUMMYFUNCTION("REGEXREPLACE(A1258, ""^https?://[^/]+"", """")"),"/wp-content/uploads/2022/09/Technology-Case-Study-Thumbnail-1024x1024.jpg")</f>
        <v>/wp-content/uploads/2022/09/Technology-Case-Study-Thumbnail-1024x1024.jpg</v>
      </c>
      <c r="F1258" s="1" t="s">
        <v>1004</v>
      </c>
      <c r="G1258" s="1">
        <v>200.0</v>
      </c>
      <c r="H1258" s="1" t="s">
        <v>966</v>
      </c>
      <c r="I1258" s="1" t="s">
        <v>967</v>
      </c>
      <c r="L1258" s="1">
        <v>0.0</v>
      </c>
      <c r="M1258" s="1">
        <v>0.0</v>
      </c>
      <c r="O1258" s="1">
        <v>0.0</v>
      </c>
      <c r="P1258" s="1">
        <v>0.0</v>
      </c>
      <c r="R1258" s="1">
        <v>0.0</v>
      </c>
      <c r="S1258" s="1">
        <v>0.0</v>
      </c>
      <c r="U1258" s="1">
        <v>0.0</v>
      </c>
      <c r="W1258" s="1">
        <v>0.0</v>
      </c>
      <c r="Y1258" s="1">
        <v>0.0</v>
      </c>
      <c r="AA1258" s="1">
        <v>0.0</v>
      </c>
      <c r="AC1258" s="1">
        <v>0.0</v>
      </c>
      <c r="AM1258" s="1">
        <v>156101.0</v>
      </c>
      <c r="AN1258" s="1">
        <v>156101.0</v>
      </c>
      <c r="AO1258" s="1">
        <v>156101.0</v>
      </c>
      <c r="AP1258" s="1">
        <v>59.799</v>
      </c>
      <c r="AR1258" s="1">
        <v>0.0</v>
      </c>
      <c r="AW1258" s="1">
        <v>0.0</v>
      </c>
      <c r="AX1258" s="1">
        <v>3.0</v>
      </c>
      <c r="AY1258" s="1">
        <v>4.0</v>
      </c>
      <c r="BA1258" s="1">
        <v>0.0</v>
      </c>
      <c r="BB1258" s="1">
        <v>0.0</v>
      </c>
      <c r="BC1258" s="1">
        <v>0.0</v>
      </c>
      <c r="BD1258" s="1">
        <v>0.0</v>
      </c>
      <c r="BE1258" s="1">
        <v>0.0</v>
      </c>
      <c r="BF1258" s="1">
        <v>0.0</v>
      </c>
      <c r="BG1258" s="1">
        <v>0.0</v>
      </c>
      <c r="BH1258" s="1">
        <v>0.0</v>
      </c>
      <c r="BI1258" s="1">
        <v>0.0</v>
      </c>
      <c r="BJ1258" s="1">
        <v>0.0</v>
      </c>
      <c r="BP1258" s="1">
        <v>0.275</v>
      </c>
      <c r="BQ1258" s="1" t="s">
        <v>4446</v>
      </c>
      <c r="BV1258" s="1">
        <v>1.1</v>
      </c>
      <c r="EQ1258" s="9" t="s">
        <v>4445</v>
      </c>
      <c r="ER1258" s="21">
        <v>46045.300416666665</v>
      </c>
    </row>
    <row r="1259">
      <c r="A1259" s="9" t="s">
        <v>4447</v>
      </c>
      <c r="B1259" s="20" t="str">
        <f>IFERROR(__xludf.DUMMYFUNCTION("REGEXREPLACE(A1259, ""^https?://[^/]+"", """")"),"/wp-content/uploads/elementor/css/post-26615.css?ver=1768897280")</f>
        <v>/wp-content/uploads/elementor/css/post-26615.css?ver=1768897280</v>
      </c>
      <c r="F1259" s="1" t="s">
        <v>1016</v>
      </c>
      <c r="G1259" s="1">
        <v>200.0</v>
      </c>
      <c r="H1259" s="1" t="s">
        <v>966</v>
      </c>
      <c r="I1259" s="1" t="s">
        <v>967</v>
      </c>
      <c r="L1259" s="1">
        <v>0.0</v>
      </c>
      <c r="M1259" s="1">
        <v>0.0</v>
      </c>
      <c r="O1259" s="1">
        <v>0.0</v>
      </c>
      <c r="P1259" s="1">
        <v>0.0</v>
      </c>
      <c r="R1259" s="1">
        <v>0.0</v>
      </c>
      <c r="S1259" s="1">
        <v>0.0</v>
      </c>
      <c r="U1259" s="1">
        <v>0.0</v>
      </c>
      <c r="W1259" s="1">
        <v>0.0</v>
      </c>
      <c r="Y1259" s="1">
        <v>0.0</v>
      </c>
      <c r="AA1259" s="1">
        <v>0.0</v>
      </c>
      <c r="AC1259" s="1">
        <v>0.0</v>
      </c>
      <c r="AM1259" s="1">
        <v>990.0</v>
      </c>
      <c r="AN1259" s="1">
        <v>990.0</v>
      </c>
      <c r="AO1259" s="1">
        <v>990.0</v>
      </c>
      <c r="AP1259" s="1">
        <v>0.379</v>
      </c>
      <c r="AR1259" s="1">
        <v>0.0</v>
      </c>
      <c r="AW1259" s="1">
        <v>0.0</v>
      </c>
      <c r="AX1259" s="1">
        <v>3.0</v>
      </c>
      <c r="AY1259" s="1">
        <v>4.0</v>
      </c>
      <c r="BA1259" s="1">
        <v>0.0</v>
      </c>
      <c r="BB1259" s="1">
        <v>0.0</v>
      </c>
      <c r="BC1259" s="1">
        <v>0.0</v>
      </c>
      <c r="BD1259" s="1">
        <v>0.0</v>
      </c>
      <c r="BE1259" s="1">
        <v>0.0</v>
      </c>
      <c r="BF1259" s="1">
        <v>0.0</v>
      </c>
      <c r="BG1259" s="1">
        <v>0.0</v>
      </c>
      <c r="BH1259" s="1">
        <v>0.0</v>
      </c>
      <c r="BI1259" s="1">
        <v>0.0</v>
      </c>
      <c r="BJ1259" s="1">
        <v>0.0</v>
      </c>
      <c r="BP1259" s="1">
        <v>0.275</v>
      </c>
      <c r="BQ1259" s="1" t="s">
        <v>4448</v>
      </c>
      <c r="BV1259" s="1">
        <v>1.1</v>
      </c>
      <c r="EQ1259" s="9" t="s">
        <v>4447</v>
      </c>
      <c r="ER1259" s="21">
        <v>46045.300416666665</v>
      </c>
    </row>
    <row r="1260">
      <c r="A1260" s="9" t="s">
        <v>4449</v>
      </c>
      <c r="B1260" s="20" t="str">
        <f>IFERROR(__xludf.DUMMYFUNCTION("REGEXREPLACE(A1260, ""^https?://[^/]+"", """")"),"/wp-content/themes/salesxceleratione/assets/css/style.css?ver=1769123446")</f>
        <v>/wp-content/themes/salesxceleratione/assets/css/style.css?ver=1769123446</v>
      </c>
      <c r="F1260" s="1" t="s">
        <v>1016</v>
      </c>
      <c r="G1260" s="1">
        <v>200.0</v>
      </c>
      <c r="H1260" s="1" t="s">
        <v>966</v>
      </c>
      <c r="I1260" s="1" t="s">
        <v>967</v>
      </c>
      <c r="L1260" s="1">
        <v>0.0</v>
      </c>
      <c r="M1260" s="1">
        <v>0.0</v>
      </c>
      <c r="O1260" s="1">
        <v>0.0</v>
      </c>
      <c r="P1260" s="1">
        <v>0.0</v>
      </c>
      <c r="R1260" s="1">
        <v>0.0</v>
      </c>
      <c r="S1260" s="1">
        <v>0.0</v>
      </c>
      <c r="U1260" s="1">
        <v>0.0</v>
      </c>
      <c r="W1260" s="1">
        <v>0.0</v>
      </c>
      <c r="Y1260" s="1">
        <v>0.0</v>
      </c>
      <c r="AA1260" s="1">
        <v>0.0</v>
      </c>
      <c r="AC1260" s="1">
        <v>0.0</v>
      </c>
      <c r="AM1260" s="1">
        <v>17704.0</v>
      </c>
      <c r="AN1260" s="1">
        <v>17704.0</v>
      </c>
      <c r="AO1260" s="1">
        <v>17704.0</v>
      </c>
      <c r="AP1260" s="1">
        <v>6.782</v>
      </c>
      <c r="AR1260" s="1">
        <v>0.0</v>
      </c>
      <c r="AW1260" s="1">
        <v>0.0</v>
      </c>
      <c r="AX1260" s="1">
        <v>3.0</v>
      </c>
      <c r="AY1260" s="1">
        <v>5.0</v>
      </c>
      <c r="BA1260" s="1">
        <v>0.0</v>
      </c>
      <c r="BB1260" s="1">
        <v>0.0</v>
      </c>
      <c r="BC1260" s="1">
        <v>0.0</v>
      </c>
      <c r="BD1260" s="1">
        <v>0.0</v>
      </c>
      <c r="BE1260" s="1">
        <v>0.0</v>
      </c>
      <c r="BF1260" s="1">
        <v>0.0</v>
      </c>
      <c r="BG1260" s="1">
        <v>0.0</v>
      </c>
      <c r="BH1260" s="1">
        <v>0.0</v>
      </c>
      <c r="BI1260" s="1">
        <v>0.0</v>
      </c>
      <c r="BJ1260" s="1">
        <v>0.0</v>
      </c>
      <c r="BP1260" s="1">
        <v>0.291</v>
      </c>
      <c r="BQ1260" s="1" t="s">
        <v>4440</v>
      </c>
      <c r="BV1260" s="1">
        <v>1.1</v>
      </c>
      <c r="EQ1260" s="9" t="s">
        <v>4449</v>
      </c>
      <c r="ER1260" s="21">
        <v>46045.300416666665</v>
      </c>
    </row>
    <row r="1261">
      <c r="A1261" s="9" t="s">
        <v>4450</v>
      </c>
      <c r="B1261" s="20" t="str">
        <f>IFERROR(__xludf.DUMMYFUNCTION("REGEXREPLACE(A1261, ""^https?://[^/]+"", """")"),"/wp-content/uploads/2024/08/Maintaining-Sales-Momentum-Amidst-Transition-Technology-Case-Study.pdf")</f>
        <v>/wp-content/uploads/2024/08/Maintaining-Sales-Momentum-Amidst-Transition-Technology-Case-Study.pdf</v>
      </c>
      <c r="F1261" s="1" t="s">
        <v>1730</v>
      </c>
      <c r="G1261" s="1">
        <v>200.0</v>
      </c>
      <c r="H1261" s="1" t="s">
        <v>966</v>
      </c>
      <c r="I1261" s="1" t="s">
        <v>967</v>
      </c>
      <c r="K1261" s="1" t="s">
        <v>4451</v>
      </c>
      <c r="L1261" s="1">
        <v>67.0</v>
      </c>
      <c r="M1261" s="1">
        <v>649.0</v>
      </c>
      <c r="O1261" s="1">
        <v>0.0</v>
      </c>
      <c r="P1261" s="1">
        <v>0.0</v>
      </c>
      <c r="R1261" s="1">
        <v>0.0</v>
      </c>
      <c r="S1261" s="1">
        <v>0.0</v>
      </c>
      <c r="T1261" s="1" t="s">
        <v>4452</v>
      </c>
      <c r="U1261" s="1">
        <v>25.0</v>
      </c>
      <c r="W1261" s="1">
        <v>0.0</v>
      </c>
      <c r="Y1261" s="1">
        <v>0.0</v>
      </c>
      <c r="AA1261" s="1">
        <v>0.0</v>
      </c>
      <c r="AC1261" s="1">
        <v>0.0</v>
      </c>
      <c r="AM1261" s="1">
        <v>235022.0</v>
      </c>
      <c r="AN1261" s="1">
        <v>235022.0</v>
      </c>
      <c r="AO1261" s="1">
        <v>235022.0</v>
      </c>
      <c r="AP1261" s="1">
        <v>90.032</v>
      </c>
      <c r="AR1261" s="1">
        <v>0.0</v>
      </c>
      <c r="AW1261" s="1">
        <v>0.0</v>
      </c>
      <c r="AX1261" s="1">
        <v>3.0</v>
      </c>
      <c r="AY1261" s="1">
        <v>4.0</v>
      </c>
      <c r="AZ1261" s="1">
        <v>1.0</v>
      </c>
      <c r="BA1261" s="1">
        <v>1.0</v>
      </c>
      <c r="BB1261" s="1">
        <v>1.0</v>
      </c>
      <c r="BC1261" s="1">
        <v>0.0</v>
      </c>
      <c r="BD1261" s="1">
        <v>0.13</v>
      </c>
      <c r="BE1261" s="1">
        <v>0.0</v>
      </c>
      <c r="BF1261" s="1">
        <v>0.0</v>
      </c>
      <c r="BG1261" s="1">
        <v>0.0</v>
      </c>
      <c r="BH1261" s="1">
        <v>0.0</v>
      </c>
      <c r="BI1261" s="1">
        <v>0.0</v>
      </c>
      <c r="BJ1261" s="1">
        <v>0.0</v>
      </c>
      <c r="BP1261" s="1">
        <v>0.254</v>
      </c>
      <c r="BQ1261" s="1" t="s">
        <v>4453</v>
      </c>
      <c r="BV1261" s="1">
        <v>1.1</v>
      </c>
      <c r="EQ1261" s="9" t="s">
        <v>4450</v>
      </c>
      <c r="ER1261" s="21">
        <v>46045.300416666665</v>
      </c>
    </row>
    <row r="1262">
      <c r="A1262" s="9" t="s">
        <v>2981</v>
      </c>
      <c r="B1262" s="20" t="str">
        <f>IFERROR(__xludf.DUMMYFUNCTION("REGEXREPLACE(A1262, ""^https?://[^/]+"", """")"),"/?download=66961")</f>
        <v>/?download=66961</v>
      </c>
      <c r="F1262" s="1" t="s">
        <v>965</v>
      </c>
      <c r="G1262" s="1">
        <v>302.0</v>
      </c>
      <c r="H1262" s="1" t="s">
        <v>2980</v>
      </c>
      <c r="I1262" s="1" t="s">
        <v>1214</v>
      </c>
      <c r="J1262" s="1" t="s">
        <v>1305</v>
      </c>
      <c r="L1262" s="1">
        <v>0.0</v>
      </c>
      <c r="M1262" s="1">
        <v>0.0</v>
      </c>
      <c r="O1262" s="1">
        <v>0.0</v>
      </c>
      <c r="P1262" s="1">
        <v>0.0</v>
      </c>
      <c r="R1262" s="1">
        <v>0.0</v>
      </c>
      <c r="S1262" s="1">
        <v>0.0</v>
      </c>
      <c r="U1262" s="1">
        <v>0.0</v>
      </c>
      <c r="W1262" s="1">
        <v>0.0</v>
      </c>
      <c r="Y1262" s="1">
        <v>0.0</v>
      </c>
      <c r="AA1262" s="1">
        <v>0.0</v>
      </c>
      <c r="AC1262" s="1">
        <v>0.0</v>
      </c>
      <c r="AM1262" s="1">
        <v>0.0</v>
      </c>
      <c r="AN1262" s="1">
        <v>0.0</v>
      </c>
      <c r="AO1262" s="1">
        <v>0.0</v>
      </c>
      <c r="AP1262" s="1">
        <v>0.0</v>
      </c>
      <c r="AR1262" s="1">
        <v>0.0</v>
      </c>
      <c r="AW1262" s="1">
        <v>0.0</v>
      </c>
      <c r="AX1262" s="1">
        <v>3.0</v>
      </c>
      <c r="AY1262" s="1">
        <v>0.0</v>
      </c>
      <c r="BA1262" s="1">
        <v>0.0</v>
      </c>
      <c r="BB1262" s="1">
        <v>0.0</v>
      </c>
      <c r="BC1262" s="1">
        <v>0.0</v>
      </c>
      <c r="BD1262" s="1">
        <v>0.0</v>
      </c>
      <c r="BE1262" s="1">
        <v>0.0</v>
      </c>
      <c r="BF1262" s="1">
        <v>0.0</v>
      </c>
      <c r="BG1262" s="1">
        <v>0.0</v>
      </c>
      <c r="BH1262" s="1">
        <v>0.0</v>
      </c>
      <c r="BI1262" s="1">
        <v>0.0</v>
      </c>
      <c r="BJ1262" s="1">
        <v>0.0</v>
      </c>
      <c r="BP1262" s="1">
        <v>0.594</v>
      </c>
      <c r="BR1262" s="9" t="s">
        <v>4454</v>
      </c>
      <c r="BS1262" s="1" t="s">
        <v>1307</v>
      </c>
      <c r="BV1262" s="1">
        <v>1.1</v>
      </c>
      <c r="EQ1262" s="9" t="s">
        <v>2981</v>
      </c>
      <c r="ER1262" s="21">
        <v>46045.300416666665</v>
      </c>
    </row>
    <row r="1263">
      <c r="A1263" s="9" t="s">
        <v>2984</v>
      </c>
      <c r="B1263" s="20" t="str">
        <f>IFERROR(__xludf.DUMMYFUNCTION("REGEXREPLACE(A1263, ""^https?://[^/]+"", """")"),"/?download=63802")</f>
        <v>/?download=63802</v>
      </c>
      <c r="F1263" s="1" t="s">
        <v>965</v>
      </c>
      <c r="G1263" s="1">
        <v>302.0</v>
      </c>
      <c r="H1263" s="1" t="s">
        <v>2980</v>
      </c>
      <c r="I1263" s="1" t="s">
        <v>1214</v>
      </c>
      <c r="J1263" s="1" t="s">
        <v>1305</v>
      </c>
      <c r="L1263" s="1">
        <v>0.0</v>
      </c>
      <c r="M1263" s="1">
        <v>0.0</v>
      </c>
      <c r="O1263" s="1">
        <v>0.0</v>
      </c>
      <c r="P1263" s="1">
        <v>0.0</v>
      </c>
      <c r="R1263" s="1">
        <v>0.0</v>
      </c>
      <c r="S1263" s="1">
        <v>0.0</v>
      </c>
      <c r="U1263" s="1">
        <v>0.0</v>
      </c>
      <c r="W1263" s="1">
        <v>0.0</v>
      </c>
      <c r="Y1263" s="1">
        <v>0.0</v>
      </c>
      <c r="AA1263" s="1">
        <v>0.0</v>
      </c>
      <c r="AC1263" s="1">
        <v>0.0</v>
      </c>
      <c r="AM1263" s="1">
        <v>0.0</v>
      </c>
      <c r="AN1263" s="1">
        <v>0.0</v>
      </c>
      <c r="AO1263" s="1">
        <v>0.0</v>
      </c>
      <c r="AP1263" s="1">
        <v>0.0</v>
      </c>
      <c r="AR1263" s="1">
        <v>0.0</v>
      </c>
      <c r="AW1263" s="1">
        <v>0.0</v>
      </c>
      <c r="AX1263" s="1">
        <v>3.0</v>
      </c>
      <c r="AY1263" s="1">
        <v>0.0</v>
      </c>
      <c r="BA1263" s="1">
        <v>0.0</v>
      </c>
      <c r="BB1263" s="1">
        <v>0.0</v>
      </c>
      <c r="BC1263" s="1">
        <v>0.0</v>
      </c>
      <c r="BD1263" s="1">
        <v>0.0</v>
      </c>
      <c r="BE1263" s="1">
        <v>0.0</v>
      </c>
      <c r="BF1263" s="1">
        <v>0.0</v>
      </c>
      <c r="BG1263" s="1">
        <v>0.0</v>
      </c>
      <c r="BH1263" s="1">
        <v>0.0</v>
      </c>
      <c r="BI1263" s="1">
        <v>0.0</v>
      </c>
      <c r="BJ1263" s="1">
        <v>0.0</v>
      </c>
      <c r="BP1263" s="1">
        <v>0.983</v>
      </c>
      <c r="BR1263" s="9" t="s">
        <v>4455</v>
      </c>
      <c r="BS1263" s="1" t="s">
        <v>1307</v>
      </c>
      <c r="BV1263" s="1">
        <v>1.1</v>
      </c>
      <c r="EQ1263" s="9" t="s">
        <v>2984</v>
      </c>
      <c r="ER1263" s="21">
        <v>46045.300416666665</v>
      </c>
    </row>
    <row r="1264">
      <c r="A1264" s="9" t="s">
        <v>3003</v>
      </c>
      <c r="B1264" s="20" t="str">
        <f>IFERROR(__xludf.DUMMYFUNCTION("REGEXREPLACE(A1264, ""^https?://[^/]+"", """")"),"/?download=68883")</f>
        <v>/?download=68883</v>
      </c>
      <c r="F1264" s="1" t="s">
        <v>965</v>
      </c>
      <c r="G1264" s="1">
        <v>302.0</v>
      </c>
      <c r="H1264" s="1" t="s">
        <v>2980</v>
      </c>
      <c r="I1264" s="1" t="s">
        <v>1214</v>
      </c>
      <c r="J1264" s="1" t="s">
        <v>1305</v>
      </c>
      <c r="L1264" s="1">
        <v>0.0</v>
      </c>
      <c r="M1264" s="1">
        <v>0.0</v>
      </c>
      <c r="O1264" s="1">
        <v>0.0</v>
      </c>
      <c r="P1264" s="1">
        <v>0.0</v>
      </c>
      <c r="R1264" s="1">
        <v>0.0</v>
      </c>
      <c r="S1264" s="1">
        <v>0.0</v>
      </c>
      <c r="U1264" s="1">
        <v>0.0</v>
      </c>
      <c r="W1264" s="1">
        <v>0.0</v>
      </c>
      <c r="Y1264" s="1">
        <v>0.0</v>
      </c>
      <c r="AA1264" s="1">
        <v>0.0</v>
      </c>
      <c r="AC1264" s="1">
        <v>0.0</v>
      </c>
      <c r="AM1264" s="1">
        <v>0.0</v>
      </c>
      <c r="AN1264" s="1">
        <v>0.0</v>
      </c>
      <c r="AO1264" s="1">
        <v>0.0</v>
      </c>
      <c r="AP1264" s="1">
        <v>0.0</v>
      </c>
      <c r="AR1264" s="1">
        <v>0.0</v>
      </c>
      <c r="AW1264" s="1">
        <v>0.0</v>
      </c>
      <c r="AX1264" s="1">
        <v>3.0</v>
      </c>
      <c r="AY1264" s="1">
        <v>0.0</v>
      </c>
      <c r="BA1264" s="1">
        <v>0.0</v>
      </c>
      <c r="BB1264" s="1">
        <v>0.0</v>
      </c>
      <c r="BC1264" s="1">
        <v>0.0</v>
      </c>
      <c r="BD1264" s="1">
        <v>0.0</v>
      </c>
      <c r="BE1264" s="1">
        <v>0.0</v>
      </c>
      <c r="BF1264" s="1">
        <v>0.0</v>
      </c>
      <c r="BG1264" s="1">
        <v>0.0</v>
      </c>
      <c r="BH1264" s="1">
        <v>0.0</v>
      </c>
      <c r="BI1264" s="1">
        <v>0.0</v>
      </c>
      <c r="BJ1264" s="1">
        <v>0.0</v>
      </c>
      <c r="BP1264" s="1">
        <v>0.545</v>
      </c>
      <c r="BR1264" s="9" t="s">
        <v>4456</v>
      </c>
      <c r="BS1264" s="1" t="s">
        <v>1307</v>
      </c>
      <c r="BV1264" s="1">
        <v>1.1</v>
      </c>
      <c r="EQ1264" s="9" t="s">
        <v>3003</v>
      </c>
      <c r="ER1264" s="21">
        <v>46045.30042824074</v>
      </c>
    </row>
    <row r="1265">
      <c r="A1265" s="9" t="s">
        <v>2986</v>
      </c>
      <c r="B1265" s="20" t="str">
        <f>IFERROR(__xludf.DUMMYFUNCTION("REGEXREPLACE(A1265, ""^https?://[^/]+"", """")"),"/?download=36876")</f>
        <v>/?download=36876</v>
      </c>
      <c r="F1265" s="1" t="s">
        <v>965</v>
      </c>
      <c r="G1265" s="1">
        <v>302.0</v>
      </c>
      <c r="H1265" s="1" t="s">
        <v>2980</v>
      </c>
      <c r="I1265" s="1" t="s">
        <v>1214</v>
      </c>
      <c r="J1265" s="1" t="s">
        <v>1305</v>
      </c>
      <c r="L1265" s="1">
        <v>0.0</v>
      </c>
      <c r="M1265" s="1">
        <v>0.0</v>
      </c>
      <c r="O1265" s="1">
        <v>0.0</v>
      </c>
      <c r="P1265" s="1">
        <v>0.0</v>
      </c>
      <c r="R1265" s="1">
        <v>0.0</v>
      </c>
      <c r="S1265" s="1">
        <v>0.0</v>
      </c>
      <c r="U1265" s="1">
        <v>0.0</v>
      </c>
      <c r="W1265" s="1">
        <v>0.0</v>
      </c>
      <c r="Y1265" s="1">
        <v>0.0</v>
      </c>
      <c r="AA1265" s="1">
        <v>0.0</v>
      </c>
      <c r="AC1265" s="1">
        <v>0.0</v>
      </c>
      <c r="AM1265" s="1">
        <v>0.0</v>
      </c>
      <c r="AN1265" s="1">
        <v>0.0</v>
      </c>
      <c r="AO1265" s="1">
        <v>0.0</v>
      </c>
      <c r="AP1265" s="1">
        <v>0.0</v>
      </c>
      <c r="AR1265" s="1">
        <v>0.0</v>
      </c>
      <c r="AW1265" s="1">
        <v>0.0</v>
      </c>
      <c r="AX1265" s="1">
        <v>3.0</v>
      </c>
      <c r="AY1265" s="1">
        <v>0.0</v>
      </c>
      <c r="BA1265" s="1">
        <v>0.0</v>
      </c>
      <c r="BB1265" s="1">
        <v>0.0</v>
      </c>
      <c r="BC1265" s="1">
        <v>0.0</v>
      </c>
      <c r="BD1265" s="1">
        <v>0.0</v>
      </c>
      <c r="BE1265" s="1">
        <v>0.0</v>
      </c>
      <c r="BF1265" s="1">
        <v>0.0</v>
      </c>
      <c r="BG1265" s="1">
        <v>0.0</v>
      </c>
      <c r="BH1265" s="1">
        <v>0.0</v>
      </c>
      <c r="BI1265" s="1">
        <v>0.0</v>
      </c>
      <c r="BJ1265" s="1">
        <v>0.0</v>
      </c>
      <c r="BP1265" s="1">
        <v>0.989</v>
      </c>
      <c r="BR1265" s="9" t="s">
        <v>4457</v>
      </c>
      <c r="BS1265" s="1" t="s">
        <v>1307</v>
      </c>
      <c r="BV1265" s="1">
        <v>1.1</v>
      </c>
      <c r="EQ1265" s="9" t="s">
        <v>2986</v>
      </c>
      <c r="ER1265" s="21">
        <v>46045.30042824074</v>
      </c>
    </row>
    <row r="1266">
      <c r="A1266" s="9" t="s">
        <v>3001</v>
      </c>
      <c r="B1266" s="20" t="str">
        <f>IFERROR(__xludf.DUMMYFUNCTION("REGEXREPLACE(A1266, ""^https?://[^/]+"", """")"),"/?download=70147")</f>
        <v>/?download=70147</v>
      </c>
      <c r="F1266" s="1" t="s">
        <v>965</v>
      </c>
      <c r="G1266" s="1">
        <v>302.0</v>
      </c>
      <c r="H1266" s="1" t="s">
        <v>2980</v>
      </c>
      <c r="I1266" s="1" t="s">
        <v>1214</v>
      </c>
      <c r="J1266" s="1" t="s">
        <v>1305</v>
      </c>
      <c r="L1266" s="1">
        <v>0.0</v>
      </c>
      <c r="M1266" s="1">
        <v>0.0</v>
      </c>
      <c r="O1266" s="1">
        <v>0.0</v>
      </c>
      <c r="P1266" s="1">
        <v>0.0</v>
      </c>
      <c r="R1266" s="1">
        <v>0.0</v>
      </c>
      <c r="S1266" s="1">
        <v>0.0</v>
      </c>
      <c r="U1266" s="1">
        <v>0.0</v>
      </c>
      <c r="W1266" s="1">
        <v>0.0</v>
      </c>
      <c r="Y1266" s="1">
        <v>0.0</v>
      </c>
      <c r="AA1266" s="1">
        <v>0.0</v>
      </c>
      <c r="AC1266" s="1">
        <v>0.0</v>
      </c>
      <c r="AM1266" s="1">
        <v>0.0</v>
      </c>
      <c r="AN1266" s="1">
        <v>0.0</v>
      </c>
      <c r="AO1266" s="1">
        <v>0.0</v>
      </c>
      <c r="AP1266" s="1">
        <v>0.0</v>
      </c>
      <c r="AR1266" s="1">
        <v>0.0</v>
      </c>
      <c r="AW1266" s="1">
        <v>0.0</v>
      </c>
      <c r="AX1266" s="1">
        <v>3.0</v>
      </c>
      <c r="AY1266" s="1">
        <v>0.0</v>
      </c>
      <c r="BA1266" s="1">
        <v>0.0</v>
      </c>
      <c r="BB1266" s="1">
        <v>0.0</v>
      </c>
      <c r="BC1266" s="1">
        <v>0.0</v>
      </c>
      <c r="BD1266" s="1">
        <v>0.0</v>
      </c>
      <c r="BE1266" s="1">
        <v>0.0</v>
      </c>
      <c r="BF1266" s="1">
        <v>0.0</v>
      </c>
      <c r="BG1266" s="1">
        <v>0.0</v>
      </c>
      <c r="BH1266" s="1">
        <v>0.0</v>
      </c>
      <c r="BI1266" s="1">
        <v>0.0</v>
      </c>
      <c r="BJ1266" s="1">
        <v>0.0</v>
      </c>
      <c r="BP1266" s="1">
        <v>0.964</v>
      </c>
      <c r="BR1266" s="9" t="s">
        <v>4458</v>
      </c>
      <c r="BS1266" s="1" t="s">
        <v>1307</v>
      </c>
      <c r="BV1266" s="1">
        <v>1.1</v>
      </c>
      <c r="EQ1266" s="9" t="s">
        <v>3001</v>
      </c>
      <c r="ER1266" s="21">
        <v>46045.30042824074</v>
      </c>
    </row>
    <row r="1267">
      <c r="A1267" s="9" t="s">
        <v>2994</v>
      </c>
      <c r="B1267" s="20" t="str">
        <f>IFERROR(__xludf.DUMMYFUNCTION("REGEXREPLACE(A1267, ""^https?://[^/]+"", """")"),"/?download=68073")</f>
        <v>/?download=68073</v>
      </c>
      <c r="F1267" s="1" t="s">
        <v>965</v>
      </c>
      <c r="G1267" s="1">
        <v>302.0</v>
      </c>
      <c r="H1267" s="1" t="s">
        <v>2980</v>
      </c>
      <c r="I1267" s="1" t="s">
        <v>1214</v>
      </c>
      <c r="J1267" s="1" t="s">
        <v>1305</v>
      </c>
      <c r="L1267" s="1">
        <v>0.0</v>
      </c>
      <c r="M1267" s="1">
        <v>0.0</v>
      </c>
      <c r="O1267" s="1">
        <v>0.0</v>
      </c>
      <c r="P1267" s="1">
        <v>0.0</v>
      </c>
      <c r="R1267" s="1">
        <v>0.0</v>
      </c>
      <c r="S1267" s="1">
        <v>0.0</v>
      </c>
      <c r="U1267" s="1">
        <v>0.0</v>
      </c>
      <c r="W1267" s="1">
        <v>0.0</v>
      </c>
      <c r="Y1267" s="1">
        <v>0.0</v>
      </c>
      <c r="AA1267" s="1">
        <v>0.0</v>
      </c>
      <c r="AC1267" s="1">
        <v>0.0</v>
      </c>
      <c r="AM1267" s="1">
        <v>0.0</v>
      </c>
      <c r="AN1267" s="1">
        <v>0.0</v>
      </c>
      <c r="AO1267" s="1">
        <v>0.0</v>
      </c>
      <c r="AP1267" s="1">
        <v>0.0</v>
      </c>
      <c r="AR1267" s="1">
        <v>0.0</v>
      </c>
      <c r="AW1267" s="1">
        <v>0.0</v>
      </c>
      <c r="AX1267" s="1">
        <v>3.0</v>
      </c>
      <c r="AY1267" s="1">
        <v>0.0</v>
      </c>
      <c r="BA1267" s="1">
        <v>0.0</v>
      </c>
      <c r="BB1267" s="1">
        <v>0.0</v>
      </c>
      <c r="BC1267" s="1">
        <v>0.0</v>
      </c>
      <c r="BD1267" s="1">
        <v>0.0</v>
      </c>
      <c r="BE1267" s="1">
        <v>0.0</v>
      </c>
      <c r="BF1267" s="1">
        <v>0.0</v>
      </c>
      <c r="BG1267" s="1">
        <v>0.0</v>
      </c>
      <c r="BH1267" s="1">
        <v>0.0</v>
      </c>
      <c r="BI1267" s="1">
        <v>0.0</v>
      </c>
      <c r="BJ1267" s="1">
        <v>0.0</v>
      </c>
      <c r="BP1267" s="1">
        <v>0.986</v>
      </c>
      <c r="BR1267" s="9" t="s">
        <v>4459</v>
      </c>
      <c r="BS1267" s="1" t="s">
        <v>1307</v>
      </c>
      <c r="BV1267" s="1">
        <v>1.1</v>
      </c>
      <c r="EQ1267" s="9" t="s">
        <v>2994</v>
      </c>
      <c r="ER1267" s="21">
        <v>46045.30042824074</v>
      </c>
    </row>
    <row r="1268">
      <c r="A1268" s="9" t="s">
        <v>4460</v>
      </c>
      <c r="B1268" s="20" t="str">
        <f>IFERROR(__xludf.DUMMYFUNCTION("REGEXREPLACE(A1268, ""^https?://[^/]+"", """")"),"/wp-content/themes/salesxceleratione/assets/css/style.css?ver=1769123450")</f>
        <v>/wp-content/themes/salesxceleratione/assets/css/style.css?ver=1769123450</v>
      </c>
      <c r="F1268" s="1" t="s">
        <v>1016</v>
      </c>
      <c r="G1268" s="1">
        <v>200.0</v>
      </c>
      <c r="H1268" s="1" t="s">
        <v>966</v>
      </c>
      <c r="I1268" s="1" t="s">
        <v>967</v>
      </c>
      <c r="L1268" s="1">
        <v>0.0</v>
      </c>
      <c r="M1268" s="1">
        <v>0.0</v>
      </c>
      <c r="O1268" s="1">
        <v>0.0</v>
      </c>
      <c r="P1268" s="1">
        <v>0.0</v>
      </c>
      <c r="R1268" s="1">
        <v>0.0</v>
      </c>
      <c r="S1268" s="1">
        <v>0.0</v>
      </c>
      <c r="U1268" s="1">
        <v>0.0</v>
      </c>
      <c r="W1268" s="1">
        <v>0.0</v>
      </c>
      <c r="Y1268" s="1">
        <v>0.0</v>
      </c>
      <c r="AA1268" s="1">
        <v>0.0</v>
      </c>
      <c r="AC1268" s="1">
        <v>0.0</v>
      </c>
      <c r="AM1268" s="1">
        <v>17704.0</v>
      </c>
      <c r="AN1268" s="1">
        <v>17704.0</v>
      </c>
      <c r="AO1268" s="1">
        <v>17704.0</v>
      </c>
      <c r="AP1268" s="1">
        <v>6.782</v>
      </c>
      <c r="AR1268" s="1">
        <v>0.0</v>
      </c>
      <c r="AW1268" s="1">
        <v>0.0</v>
      </c>
      <c r="AX1268" s="1">
        <v>3.0</v>
      </c>
      <c r="AY1268" s="1">
        <v>5.0</v>
      </c>
      <c r="BA1268" s="1">
        <v>0.0</v>
      </c>
      <c r="BB1268" s="1">
        <v>0.0</v>
      </c>
      <c r="BC1268" s="1">
        <v>0.0</v>
      </c>
      <c r="BD1268" s="1">
        <v>0.0</v>
      </c>
      <c r="BE1268" s="1">
        <v>0.0</v>
      </c>
      <c r="BF1268" s="1">
        <v>0.0</v>
      </c>
      <c r="BG1268" s="1">
        <v>0.0</v>
      </c>
      <c r="BH1268" s="1">
        <v>0.0</v>
      </c>
      <c r="BI1268" s="1">
        <v>0.0</v>
      </c>
      <c r="BJ1268" s="1">
        <v>0.0</v>
      </c>
      <c r="BP1268" s="1">
        <v>0.281</v>
      </c>
      <c r="BQ1268" s="1" t="s">
        <v>4461</v>
      </c>
      <c r="BV1268" s="1">
        <v>1.1</v>
      </c>
      <c r="EQ1268" s="9" t="s">
        <v>4460</v>
      </c>
      <c r="ER1268" s="21">
        <v>46045.30042824074</v>
      </c>
    </row>
    <row r="1269">
      <c r="A1269" s="9" t="s">
        <v>4462</v>
      </c>
      <c r="B1269" s="20" t="str">
        <f>IFERROR(__xludf.DUMMYFUNCTION("REGEXREPLACE(A1269, ""^https?://[^/]+"", """")"),"/wp-content/uploads/elementor/css/post-69537.css?ver=1768862554")</f>
        <v>/wp-content/uploads/elementor/css/post-69537.css?ver=1768862554</v>
      </c>
      <c r="F1269" s="1" t="s">
        <v>1016</v>
      </c>
      <c r="G1269" s="1">
        <v>200.0</v>
      </c>
      <c r="H1269" s="1" t="s">
        <v>966</v>
      </c>
      <c r="I1269" s="1" t="s">
        <v>967</v>
      </c>
      <c r="L1269" s="1">
        <v>0.0</v>
      </c>
      <c r="M1269" s="1">
        <v>0.0</v>
      </c>
      <c r="O1269" s="1">
        <v>0.0</v>
      </c>
      <c r="P1269" s="1">
        <v>0.0</v>
      </c>
      <c r="R1269" s="1">
        <v>0.0</v>
      </c>
      <c r="S1269" s="1">
        <v>0.0</v>
      </c>
      <c r="U1269" s="1">
        <v>0.0</v>
      </c>
      <c r="W1269" s="1">
        <v>0.0</v>
      </c>
      <c r="Y1269" s="1">
        <v>0.0</v>
      </c>
      <c r="AA1269" s="1">
        <v>0.0</v>
      </c>
      <c r="AC1269" s="1">
        <v>0.0</v>
      </c>
      <c r="AM1269" s="1">
        <v>1206.0</v>
      </c>
      <c r="AN1269" s="1">
        <v>1206.0</v>
      </c>
      <c r="AO1269" s="1">
        <v>1206.0</v>
      </c>
      <c r="AP1269" s="1">
        <v>0.462</v>
      </c>
      <c r="AR1269" s="1">
        <v>0.0</v>
      </c>
      <c r="AW1269" s="1">
        <v>0.0</v>
      </c>
      <c r="AX1269" s="1">
        <v>3.0</v>
      </c>
      <c r="AY1269" s="1">
        <v>4.0</v>
      </c>
      <c r="BA1269" s="1">
        <v>0.0</v>
      </c>
      <c r="BB1269" s="1">
        <v>0.0</v>
      </c>
      <c r="BC1269" s="1">
        <v>0.0</v>
      </c>
      <c r="BD1269" s="1">
        <v>0.0</v>
      </c>
      <c r="BE1269" s="1">
        <v>0.0</v>
      </c>
      <c r="BF1269" s="1">
        <v>0.0</v>
      </c>
      <c r="BG1269" s="1">
        <v>0.0</v>
      </c>
      <c r="BH1269" s="1">
        <v>0.0</v>
      </c>
      <c r="BI1269" s="1">
        <v>0.0</v>
      </c>
      <c r="BJ1269" s="1">
        <v>0.0</v>
      </c>
      <c r="BP1269" s="1">
        <v>0.279</v>
      </c>
      <c r="BQ1269" s="1" t="s">
        <v>4463</v>
      </c>
      <c r="BV1269" s="1">
        <v>1.1</v>
      </c>
      <c r="EQ1269" s="9" t="s">
        <v>4462</v>
      </c>
      <c r="ER1269" s="21">
        <v>46045.30042824074</v>
      </c>
    </row>
    <row r="1270">
      <c r="A1270" s="9" t="s">
        <v>4464</v>
      </c>
      <c r="B1270" s="20" t="str">
        <f>IFERROR(__xludf.DUMMYFUNCTION("REGEXREPLACE(A1270, ""^https?://[^/]+"", """")"),"/wp-content/themes/salesxceleratione/assets/css/style.css?ver=1769123451")</f>
        <v>/wp-content/themes/salesxceleratione/assets/css/style.css?ver=1769123451</v>
      </c>
      <c r="F1270" s="1" t="s">
        <v>1016</v>
      </c>
      <c r="G1270" s="1">
        <v>200.0</v>
      </c>
      <c r="H1270" s="1" t="s">
        <v>966</v>
      </c>
      <c r="I1270" s="1" t="s">
        <v>967</v>
      </c>
      <c r="L1270" s="1">
        <v>0.0</v>
      </c>
      <c r="M1270" s="1">
        <v>0.0</v>
      </c>
      <c r="O1270" s="1">
        <v>0.0</v>
      </c>
      <c r="P1270" s="1">
        <v>0.0</v>
      </c>
      <c r="R1270" s="1">
        <v>0.0</v>
      </c>
      <c r="S1270" s="1">
        <v>0.0</v>
      </c>
      <c r="U1270" s="1">
        <v>0.0</v>
      </c>
      <c r="W1270" s="1">
        <v>0.0</v>
      </c>
      <c r="Y1270" s="1">
        <v>0.0</v>
      </c>
      <c r="AA1270" s="1">
        <v>0.0</v>
      </c>
      <c r="AC1270" s="1">
        <v>0.0</v>
      </c>
      <c r="AM1270" s="1">
        <v>17704.0</v>
      </c>
      <c r="AN1270" s="1">
        <v>17704.0</v>
      </c>
      <c r="AO1270" s="1">
        <v>17704.0</v>
      </c>
      <c r="AP1270" s="1">
        <v>6.782</v>
      </c>
      <c r="AR1270" s="1">
        <v>0.0</v>
      </c>
      <c r="AW1270" s="1">
        <v>0.0</v>
      </c>
      <c r="AX1270" s="1">
        <v>3.0</v>
      </c>
      <c r="AY1270" s="1">
        <v>5.0</v>
      </c>
      <c r="BA1270" s="1">
        <v>0.0</v>
      </c>
      <c r="BB1270" s="1">
        <v>0.0</v>
      </c>
      <c r="BC1270" s="1">
        <v>0.0</v>
      </c>
      <c r="BD1270" s="1">
        <v>0.0</v>
      </c>
      <c r="BE1270" s="1">
        <v>0.0</v>
      </c>
      <c r="BF1270" s="1">
        <v>0.0</v>
      </c>
      <c r="BG1270" s="1">
        <v>0.0</v>
      </c>
      <c r="BH1270" s="1">
        <v>0.0</v>
      </c>
      <c r="BI1270" s="1">
        <v>0.0</v>
      </c>
      <c r="BJ1270" s="1">
        <v>0.0</v>
      </c>
      <c r="BP1270" s="1">
        <v>0.266</v>
      </c>
      <c r="BQ1270" s="1" t="s">
        <v>4461</v>
      </c>
      <c r="BV1270" s="1">
        <v>1.1</v>
      </c>
      <c r="EQ1270" s="9" t="s">
        <v>4464</v>
      </c>
      <c r="ER1270" s="21">
        <v>46045.30043981481</v>
      </c>
    </row>
    <row r="1271">
      <c r="A1271" s="9" t="s">
        <v>4465</v>
      </c>
      <c r="B1271" s="20" t="str">
        <f>IFERROR(__xludf.DUMMYFUNCTION("REGEXREPLACE(A1271, ""^https?://[^/]+"", """")"),"/wp-content/uploads/2025/07/Driving-25-Higher-Topline-Revenue-for-a-Compostable-Packaging-Company.jpg")</f>
        <v>/wp-content/uploads/2025/07/Driving-25-Higher-Topline-Revenue-for-a-Compostable-Packaging-Company.jpg</v>
      </c>
      <c r="F1271" s="1" t="s">
        <v>1004</v>
      </c>
      <c r="G1271" s="1">
        <v>200.0</v>
      </c>
      <c r="H1271" s="1" t="s">
        <v>966</v>
      </c>
      <c r="I1271" s="1" t="s">
        <v>967</v>
      </c>
      <c r="L1271" s="1">
        <v>0.0</v>
      </c>
      <c r="M1271" s="1">
        <v>0.0</v>
      </c>
      <c r="O1271" s="1">
        <v>0.0</v>
      </c>
      <c r="P1271" s="1">
        <v>0.0</v>
      </c>
      <c r="R1271" s="1">
        <v>0.0</v>
      </c>
      <c r="S1271" s="1">
        <v>0.0</v>
      </c>
      <c r="U1271" s="1">
        <v>0.0</v>
      </c>
      <c r="W1271" s="1">
        <v>0.0</v>
      </c>
      <c r="Y1271" s="1">
        <v>0.0</v>
      </c>
      <c r="AA1271" s="1">
        <v>0.0</v>
      </c>
      <c r="AC1271" s="1">
        <v>0.0</v>
      </c>
      <c r="AM1271" s="1">
        <v>86932.0</v>
      </c>
      <c r="AN1271" s="1">
        <v>86932.0</v>
      </c>
      <c r="AO1271" s="1">
        <v>86932.0</v>
      </c>
      <c r="AP1271" s="1">
        <v>33.302</v>
      </c>
      <c r="AR1271" s="1">
        <v>0.0</v>
      </c>
      <c r="AW1271" s="1">
        <v>0.0</v>
      </c>
      <c r="AX1271" s="1">
        <v>3.0</v>
      </c>
      <c r="AY1271" s="1">
        <v>4.0</v>
      </c>
      <c r="BA1271" s="1">
        <v>0.0</v>
      </c>
      <c r="BB1271" s="1">
        <v>0.0</v>
      </c>
      <c r="BC1271" s="1">
        <v>0.0</v>
      </c>
      <c r="BD1271" s="1">
        <v>0.0</v>
      </c>
      <c r="BE1271" s="1">
        <v>0.0</v>
      </c>
      <c r="BF1271" s="1">
        <v>0.0</v>
      </c>
      <c r="BG1271" s="1">
        <v>0.0</v>
      </c>
      <c r="BH1271" s="1">
        <v>0.0</v>
      </c>
      <c r="BI1271" s="1">
        <v>0.0</v>
      </c>
      <c r="BJ1271" s="1">
        <v>0.0</v>
      </c>
      <c r="BP1271" s="1">
        <v>0.264</v>
      </c>
      <c r="BQ1271" s="1" t="s">
        <v>3421</v>
      </c>
      <c r="BV1271" s="1">
        <v>1.1</v>
      </c>
      <c r="EQ1271" s="9" t="s">
        <v>4465</v>
      </c>
      <c r="ER1271" s="21">
        <v>46045.30043981481</v>
      </c>
    </row>
    <row r="1272">
      <c r="A1272" s="9" t="s">
        <v>4466</v>
      </c>
      <c r="B1272" s="20" t="str">
        <f>IFERROR(__xludf.DUMMYFUNCTION("REGEXREPLACE(A1272, ""^https?://[^/]+"", """")"),"/wp-content/uploads/2019/11/retail-thumb-2048x2048.jpg")</f>
        <v>/wp-content/uploads/2019/11/retail-thumb-2048x2048.jpg</v>
      </c>
      <c r="F1272" s="1" t="s">
        <v>1004</v>
      </c>
      <c r="G1272" s="1">
        <v>200.0</v>
      </c>
      <c r="H1272" s="1" t="s">
        <v>966</v>
      </c>
      <c r="I1272" s="1" t="s">
        <v>967</v>
      </c>
      <c r="L1272" s="1">
        <v>0.0</v>
      </c>
      <c r="M1272" s="1">
        <v>0.0</v>
      </c>
      <c r="O1272" s="1">
        <v>0.0</v>
      </c>
      <c r="P1272" s="1">
        <v>0.0</v>
      </c>
      <c r="R1272" s="1">
        <v>0.0</v>
      </c>
      <c r="S1272" s="1">
        <v>0.0</v>
      </c>
      <c r="U1272" s="1">
        <v>0.0</v>
      </c>
      <c r="W1272" s="1">
        <v>0.0</v>
      </c>
      <c r="Y1272" s="1">
        <v>0.0</v>
      </c>
      <c r="AA1272" s="1">
        <v>0.0</v>
      </c>
      <c r="AC1272" s="1">
        <v>0.0</v>
      </c>
      <c r="AM1272" s="1">
        <v>206042.0</v>
      </c>
      <c r="AN1272" s="1">
        <v>206042.0</v>
      </c>
      <c r="AO1272" s="1">
        <v>206042.0</v>
      </c>
      <c r="AP1272" s="1">
        <v>78.931</v>
      </c>
      <c r="AR1272" s="1">
        <v>0.0</v>
      </c>
      <c r="AW1272" s="1">
        <v>0.0</v>
      </c>
      <c r="AX1272" s="1">
        <v>3.0</v>
      </c>
      <c r="AY1272" s="1">
        <v>4.0</v>
      </c>
      <c r="BA1272" s="1">
        <v>0.0</v>
      </c>
      <c r="BB1272" s="1">
        <v>0.0</v>
      </c>
      <c r="BC1272" s="1">
        <v>0.0</v>
      </c>
      <c r="BD1272" s="1">
        <v>0.0</v>
      </c>
      <c r="BE1272" s="1">
        <v>0.0</v>
      </c>
      <c r="BF1272" s="1">
        <v>0.0</v>
      </c>
      <c r="BG1272" s="1">
        <v>0.0</v>
      </c>
      <c r="BH1272" s="1">
        <v>0.0</v>
      </c>
      <c r="BI1272" s="1">
        <v>0.0</v>
      </c>
      <c r="BJ1272" s="1">
        <v>0.0</v>
      </c>
      <c r="BP1272" s="1">
        <v>0.269</v>
      </c>
      <c r="BQ1272" s="1" t="s">
        <v>4467</v>
      </c>
      <c r="BV1272" s="1">
        <v>1.1</v>
      </c>
      <c r="EQ1272" s="9" t="s">
        <v>4466</v>
      </c>
      <c r="ER1272" s="21">
        <v>46045.30043981481</v>
      </c>
    </row>
    <row r="1273">
      <c r="A1273" s="9" t="s">
        <v>4468</v>
      </c>
      <c r="B1273" s="20" t="str">
        <f>IFERROR(__xludf.DUMMYFUNCTION("REGEXREPLACE(A1273, ""^https?://[^/]+"", """")"),"/wp-content/uploads/2020/02/foodagthumb-2048x2048.jpg")</f>
        <v>/wp-content/uploads/2020/02/foodagthumb-2048x2048.jpg</v>
      </c>
      <c r="F1273" s="1" t="s">
        <v>1004</v>
      </c>
      <c r="G1273" s="1">
        <v>200.0</v>
      </c>
      <c r="H1273" s="1" t="s">
        <v>966</v>
      </c>
      <c r="I1273" s="1" t="s">
        <v>967</v>
      </c>
      <c r="L1273" s="1">
        <v>0.0</v>
      </c>
      <c r="M1273" s="1">
        <v>0.0</v>
      </c>
      <c r="O1273" s="1">
        <v>0.0</v>
      </c>
      <c r="P1273" s="1">
        <v>0.0</v>
      </c>
      <c r="R1273" s="1">
        <v>0.0</v>
      </c>
      <c r="S1273" s="1">
        <v>0.0</v>
      </c>
      <c r="U1273" s="1">
        <v>0.0</v>
      </c>
      <c r="W1273" s="1">
        <v>0.0</v>
      </c>
      <c r="Y1273" s="1">
        <v>0.0</v>
      </c>
      <c r="AA1273" s="1">
        <v>0.0</v>
      </c>
      <c r="AC1273" s="1">
        <v>0.0</v>
      </c>
      <c r="AM1273" s="1">
        <v>194185.0</v>
      </c>
      <c r="AN1273" s="1">
        <v>194185.0</v>
      </c>
      <c r="AO1273" s="1">
        <v>194185.0</v>
      </c>
      <c r="AP1273" s="1">
        <v>74.389</v>
      </c>
      <c r="AR1273" s="1">
        <v>0.0</v>
      </c>
      <c r="AW1273" s="1">
        <v>0.0</v>
      </c>
      <c r="AX1273" s="1">
        <v>3.0</v>
      </c>
      <c r="AY1273" s="1">
        <v>4.0</v>
      </c>
      <c r="BA1273" s="1">
        <v>0.0</v>
      </c>
      <c r="BB1273" s="1">
        <v>0.0</v>
      </c>
      <c r="BC1273" s="1">
        <v>0.0</v>
      </c>
      <c r="BD1273" s="1">
        <v>0.0</v>
      </c>
      <c r="BE1273" s="1">
        <v>0.0</v>
      </c>
      <c r="BF1273" s="1">
        <v>0.0</v>
      </c>
      <c r="BG1273" s="1">
        <v>0.0</v>
      </c>
      <c r="BH1273" s="1">
        <v>0.0</v>
      </c>
      <c r="BI1273" s="1">
        <v>0.0</v>
      </c>
      <c r="BJ1273" s="1">
        <v>0.0</v>
      </c>
      <c r="BP1273" s="1">
        <v>0.259</v>
      </c>
      <c r="BQ1273" s="1" t="s">
        <v>4469</v>
      </c>
      <c r="BV1273" s="1">
        <v>1.1</v>
      </c>
      <c r="EQ1273" s="9" t="s">
        <v>4468</v>
      </c>
      <c r="ER1273" s="21">
        <v>46045.30043981481</v>
      </c>
    </row>
    <row r="1274">
      <c r="A1274" s="9" t="s">
        <v>4470</v>
      </c>
      <c r="B1274" s="20" t="str">
        <f>IFERROR(__xludf.DUMMYFUNCTION("REGEXREPLACE(A1274, ""^https?://[^/]+"", """")"),"/wp-content/uploads/2019/07/cs-finance-2048x2048.jpg")</f>
        <v>/wp-content/uploads/2019/07/cs-finance-2048x2048.jpg</v>
      </c>
      <c r="F1274" s="1" t="s">
        <v>1004</v>
      </c>
      <c r="G1274" s="1">
        <v>200.0</v>
      </c>
      <c r="H1274" s="1" t="s">
        <v>966</v>
      </c>
      <c r="I1274" s="1" t="s">
        <v>967</v>
      </c>
      <c r="L1274" s="1">
        <v>0.0</v>
      </c>
      <c r="M1274" s="1">
        <v>0.0</v>
      </c>
      <c r="O1274" s="1">
        <v>0.0</v>
      </c>
      <c r="P1274" s="1">
        <v>0.0</v>
      </c>
      <c r="R1274" s="1">
        <v>0.0</v>
      </c>
      <c r="S1274" s="1">
        <v>0.0</v>
      </c>
      <c r="U1274" s="1">
        <v>0.0</v>
      </c>
      <c r="W1274" s="1">
        <v>0.0</v>
      </c>
      <c r="Y1274" s="1">
        <v>0.0</v>
      </c>
      <c r="AA1274" s="1">
        <v>0.0</v>
      </c>
      <c r="AC1274" s="1">
        <v>0.0</v>
      </c>
      <c r="AM1274" s="1">
        <v>275422.0</v>
      </c>
      <c r="AN1274" s="1">
        <v>275422.0</v>
      </c>
      <c r="AO1274" s="1">
        <v>275422.0</v>
      </c>
      <c r="AP1274" s="1">
        <v>105.509</v>
      </c>
      <c r="AR1274" s="1">
        <v>0.0</v>
      </c>
      <c r="AW1274" s="1">
        <v>0.0</v>
      </c>
      <c r="AX1274" s="1">
        <v>3.0</v>
      </c>
      <c r="AY1274" s="1">
        <v>4.0</v>
      </c>
      <c r="BA1274" s="1">
        <v>0.0</v>
      </c>
      <c r="BB1274" s="1">
        <v>0.0</v>
      </c>
      <c r="BC1274" s="1">
        <v>0.0</v>
      </c>
      <c r="BD1274" s="1">
        <v>0.0</v>
      </c>
      <c r="BE1274" s="1">
        <v>0.0</v>
      </c>
      <c r="BF1274" s="1">
        <v>0.0</v>
      </c>
      <c r="BG1274" s="1">
        <v>0.0</v>
      </c>
      <c r="BH1274" s="1">
        <v>0.0</v>
      </c>
      <c r="BI1274" s="1">
        <v>0.0</v>
      </c>
      <c r="BJ1274" s="1">
        <v>0.0</v>
      </c>
      <c r="BP1274" s="1">
        <v>0.26</v>
      </c>
      <c r="BQ1274" s="1" t="s">
        <v>4471</v>
      </c>
      <c r="BV1274" s="1">
        <v>1.1</v>
      </c>
      <c r="EQ1274" s="9" t="s">
        <v>4470</v>
      </c>
      <c r="ER1274" s="21">
        <v>46045.30043981481</v>
      </c>
    </row>
    <row r="1275">
      <c r="A1275" s="9" t="s">
        <v>4472</v>
      </c>
      <c r="B1275" s="20" t="str">
        <f>IFERROR(__xludf.DUMMYFUNCTION("REGEXREPLACE(A1275, ""^https?://[^/]+"", """")"),"/wp-content/uploads/2019/10/hvac-thumbnail-2048x2048.jpg")</f>
        <v>/wp-content/uploads/2019/10/hvac-thumbnail-2048x2048.jpg</v>
      </c>
      <c r="F1275" s="1" t="s">
        <v>1004</v>
      </c>
      <c r="G1275" s="1">
        <v>200.0</v>
      </c>
      <c r="H1275" s="1" t="s">
        <v>966</v>
      </c>
      <c r="I1275" s="1" t="s">
        <v>967</v>
      </c>
      <c r="L1275" s="1">
        <v>0.0</v>
      </c>
      <c r="M1275" s="1">
        <v>0.0</v>
      </c>
      <c r="O1275" s="1">
        <v>0.0</v>
      </c>
      <c r="P1275" s="1">
        <v>0.0</v>
      </c>
      <c r="R1275" s="1">
        <v>0.0</v>
      </c>
      <c r="S1275" s="1">
        <v>0.0</v>
      </c>
      <c r="U1275" s="1">
        <v>0.0</v>
      </c>
      <c r="W1275" s="1">
        <v>0.0</v>
      </c>
      <c r="Y1275" s="1">
        <v>0.0</v>
      </c>
      <c r="AA1275" s="1">
        <v>0.0</v>
      </c>
      <c r="AC1275" s="1">
        <v>0.0</v>
      </c>
      <c r="AM1275" s="1">
        <v>520636.0</v>
      </c>
      <c r="AN1275" s="1">
        <v>520636.0</v>
      </c>
      <c r="AO1275" s="1">
        <v>520636.0</v>
      </c>
      <c r="AP1275" s="1">
        <v>199.446</v>
      </c>
      <c r="AR1275" s="1">
        <v>0.0</v>
      </c>
      <c r="AW1275" s="1">
        <v>0.0</v>
      </c>
      <c r="AX1275" s="1">
        <v>3.0</v>
      </c>
      <c r="AY1275" s="1">
        <v>4.0</v>
      </c>
      <c r="BA1275" s="1">
        <v>0.0</v>
      </c>
      <c r="BB1275" s="1">
        <v>0.0</v>
      </c>
      <c r="BC1275" s="1">
        <v>0.0</v>
      </c>
      <c r="BD1275" s="1">
        <v>0.0</v>
      </c>
      <c r="BE1275" s="1">
        <v>0.0</v>
      </c>
      <c r="BF1275" s="1">
        <v>0.0</v>
      </c>
      <c r="BG1275" s="1">
        <v>0.0</v>
      </c>
      <c r="BH1275" s="1">
        <v>0.0</v>
      </c>
      <c r="BI1275" s="1">
        <v>0.0</v>
      </c>
      <c r="BJ1275" s="1">
        <v>0.0</v>
      </c>
      <c r="BP1275" s="1">
        <v>0.274</v>
      </c>
      <c r="BQ1275" s="1" t="s">
        <v>4473</v>
      </c>
      <c r="BV1275" s="1">
        <v>1.1</v>
      </c>
      <c r="EQ1275" s="9" t="s">
        <v>4472</v>
      </c>
      <c r="ER1275" s="21">
        <v>46045.30043981481</v>
      </c>
    </row>
    <row r="1276">
      <c r="A1276" s="9" t="s">
        <v>4474</v>
      </c>
      <c r="B1276" s="20" t="str">
        <f>IFERROR(__xludf.DUMMYFUNCTION("REGEXREPLACE(A1276, ""^https?://[^/]+"", """")"),"/wp-content/uploads/2025/07/Driving-25-Higher-Topline-Revenue-for-a-Compostable-Packaging-Company.pdf")</f>
        <v>/wp-content/uploads/2025/07/Driving-25-Higher-Topline-Revenue-for-a-Compostable-Packaging-Company.pdf</v>
      </c>
      <c r="F1276" s="1" t="s">
        <v>1730</v>
      </c>
      <c r="G1276" s="1">
        <v>200.0</v>
      </c>
      <c r="H1276" s="1" t="s">
        <v>966</v>
      </c>
      <c r="I1276" s="1" t="s">
        <v>967</v>
      </c>
      <c r="K1276" s="1" t="s">
        <v>4475</v>
      </c>
      <c r="L1276" s="1">
        <v>70.0</v>
      </c>
      <c r="M1276" s="1">
        <v>678.0</v>
      </c>
      <c r="O1276" s="1">
        <v>0.0</v>
      </c>
      <c r="P1276" s="1">
        <v>0.0</v>
      </c>
      <c r="R1276" s="1">
        <v>0.0</v>
      </c>
      <c r="S1276" s="1">
        <v>0.0</v>
      </c>
      <c r="T1276" s="1" t="s">
        <v>4476</v>
      </c>
      <c r="U1276" s="1">
        <v>25.0</v>
      </c>
      <c r="W1276" s="1">
        <v>0.0</v>
      </c>
      <c r="Y1276" s="1">
        <v>0.0</v>
      </c>
      <c r="AA1276" s="1">
        <v>0.0</v>
      </c>
      <c r="AC1276" s="1">
        <v>0.0</v>
      </c>
      <c r="AM1276" s="1">
        <v>670731.0</v>
      </c>
      <c r="AN1276" s="1">
        <v>670731.0</v>
      </c>
      <c r="AO1276" s="1">
        <v>670731.0</v>
      </c>
      <c r="AP1276" s="1">
        <v>256.944</v>
      </c>
      <c r="AR1276" s="1">
        <v>0.0</v>
      </c>
      <c r="AW1276" s="1">
        <v>0.0</v>
      </c>
      <c r="AX1276" s="1">
        <v>3.0</v>
      </c>
      <c r="AY1276" s="1">
        <v>4.0</v>
      </c>
      <c r="AZ1276" s="1">
        <v>1.0</v>
      </c>
      <c r="BA1276" s="1">
        <v>1.0</v>
      </c>
      <c r="BB1276" s="1">
        <v>1.0</v>
      </c>
      <c r="BC1276" s="1">
        <v>0.0</v>
      </c>
      <c r="BD1276" s="1">
        <v>0.13</v>
      </c>
      <c r="BE1276" s="1">
        <v>0.0</v>
      </c>
      <c r="BF1276" s="1">
        <v>0.0</v>
      </c>
      <c r="BG1276" s="1">
        <v>0.0</v>
      </c>
      <c r="BH1276" s="1">
        <v>0.0</v>
      </c>
      <c r="BI1276" s="1">
        <v>0.0</v>
      </c>
      <c r="BJ1276" s="1">
        <v>0.0</v>
      </c>
      <c r="BP1276" s="1">
        <v>0.276</v>
      </c>
      <c r="BQ1276" s="1" t="s">
        <v>4477</v>
      </c>
      <c r="BV1276" s="1">
        <v>1.1</v>
      </c>
      <c r="EQ1276" s="9" t="s">
        <v>4474</v>
      </c>
      <c r="ER1276" s="21">
        <v>46045.30043981481</v>
      </c>
    </row>
    <row r="1277">
      <c r="A1277" s="9" t="s">
        <v>4478</v>
      </c>
      <c r="B1277" s="20" t="str">
        <f>IFERROR(__xludf.DUMMYFUNCTION("REGEXREPLACE(A1277, ""^https?://[^/]+"", """")"),"/wp-content/uploads/2024/09/Plastic-Manufacturing-22-Sales-Growth-Achieved-with-Expert-Sales-Leadership.pdf")</f>
        <v>/wp-content/uploads/2024/09/Plastic-Manufacturing-22-Sales-Growth-Achieved-with-Expert-Sales-Leadership.pdf</v>
      </c>
      <c r="F1277" s="1" t="s">
        <v>1730</v>
      </c>
      <c r="G1277" s="1">
        <v>200.0</v>
      </c>
      <c r="H1277" s="1" t="s">
        <v>966</v>
      </c>
      <c r="I1277" s="1" t="s">
        <v>967</v>
      </c>
      <c r="K1277" s="1" t="s">
        <v>3062</v>
      </c>
      <c r="L1277" s="1">
        <v>77.0</v>
      </c>
      <c r="M1277" s="1">
        <v>717.0</v>
      </c>
      <c r="O1277" s="1">
        <v>0.0</v>
      </c>
      <c r="P1277" s="1">
        <v>0.0</v>
      </c>
      <c r="R1277" s="1">
        <v>0.0</v>
      </c>
      <c r="S1277" s="1">
        <v>0.0</v>
      </c>
      <c r="T1277" s="1" t="s">
        <v>4479</v>
      </c>
      <c r="U1277" s="1">
        <v>23.0</v>
      </c>
      <c r="W1277" s="1">
        <v>0.0</v>
      </c>
      <c r="Y1277" s="1">
        <v>0.0</v>
      </c>
      <c r="AA1277" s="1">
        <v>0.0</v>
      </c>
      <c r="AC1277" s="1">
        <v>0.0</v>
      </c>
      <c r="AM1277" s="1">
        <v>909398.0</v>
      </c>
      <c r="AN1277" s="1">
        <v>909398.0</v>
      </c>
      <c r="AO1277" s="1">
        <v>909398.0</v>
      </c>
      <c r="AP1277" s="1">
        <v>348.373</v>
      </c>
      <c r="AR1277" s="1">
        <v>0.0</v>
      </c>
      <c r="AW1277" s="1">
        <v>0.0</v>
      </c>
      <c r="AX1277" s="1">
        <v>3.0</v>
      </c>
      <c r="AY1277" s="1">
        <v>4.0</v>
      </c>
      <c r="AZ1277" s="1">
        <v>1.0</v>
      </c>
      <c r="BA1277" s="1">
        <v>1.0</v>
      </c>
      <c r="BB1277" s="1">
        <v>1.0</v>
      </c>
      <c r="BC1277" s="1">
        <v>0.0</v>
      </c>
      <c r="BD1277" s="1">
        <v>0.13</v>
      </c>
      <c r="BE1277" s="1">
        <v>0.0</v>
      </c>
      <c r="BF1277" s="1">
        <v>0.0</v>
      </c>
      <c r="BG1277" s="1">
        <v>0.0</v>
      </c>
      <c r="BH1277" s="1">
        <v>0.0</v>
      </c>
      <c r="BI1277" s="1">
        <v>0.0</v>
      </c>
      <c r="BJ1277" s="1">
        <v>0.0</v>
      </c>
      <c r="BP1277" s="1">
        <v>0.266</v>
      </c>
      <c r="BQ1277" s="1" t="s">
        <v>4480</v>
      </c>
      <c r="BV1277" s="1">
        <v>1.1</v>
      </c>
      <c r="EQ1277" s="9" t="s">
        <v>4478</v>
      </c>
      <c r="ER1277" s="21">
        <v>46045.30043981481</v>
      </c>
    </row>
    <row r="1278">
      <c r="A1278" s="9" t="s">
        <v>4481</v>
      </c>
      <c r="B1278" s="20" t="str">
        <f>IFERROR(__xludf.DUMMYFUNCTION("REGEXREPLACE(A1278, ""^https?://[^/]+"", """")"),"/wp-content/uploads/elementor/css/post-52976.css?ver=1768862545")</f>
        <v>/wp-content/uploads/elementor/css/post-52976.css?ver=1768862545</v>
      </c>
      <c r="F1278" s="1" t="s">
        <v>1016</v>
      </c>
      <c r="G1278" s="1">
        <v>200.0</v>
      </c>
      <c r="H1278" s="1" t="s">
        <v>966</v>
      </c>
      <c r="I1278" s="1" t="s">
        <v>967</v>
      </c>
      <c r="L1278" s="1">
        <v>0.0</v>
      </c>
      <c r="M1278" s="1">
        <v>0.0</v>
      </c>
      <c r="O1278" s="1">
        <v>0.0</v>
      </c>
      <c r="P1278" s="1">
        <v>0.0</v>
      </c>
      <c r="R1278" s="1">
        <v>0.0</v>
      </c>
      <c r="S1278" s="1">
        <v>0.0</v>
      </c>
      <c r="U1278" s="1">
        <v>0.0</v>
      </c>
      <c r="W1278" s="1">
        <v>0.0</v>
      </c>
      <c r="Y1278" s="1">
        <v>0.0</v>
      </c>
      <c r="AA1278" s="1">
        <v>0.0</v>
      </c>
      <c r="AC1278" s="1">
        <v>0.0</v>
      </c>
      <c r="AM1278" s="1">
        <v>1317.0</v>
      </c>
      <c r="AN1278" s="1">
        <v>1317.0</v>
      </c>
      <c r="AO1278" s="1">
        <v>1317.0</v>
      </c>
      <c r="AP1278" s="1">
        <v>0.505</v>
      </c>
      <c r="AR1278" s="1">
        <v>0.0</v>
      </c>
      <c r="AW1278" s="1">
        <v>0.0</v>
      </c>
      <c r="AX1278" s="1">
        <v>3.0</v>
      </c>
      <c r="AY1278" s="1">
        <v>4.0</v>
      </c>
      <c r="BA1278" s="1">
        <v>0.0</v>
      </c>
      <c r="BB1278" s="1">
        <v>0.0</v>
      </c>
      <c r="BC1278" s="1">
        <v>0.0</v>
      </c>
      <c r="BD1278" s="1">
        <v>0.0</v>
      </c>
      <c r="BE1278" s="1">
        <v>0.0</v>
      </c>
      <c r="BF1278" s="1">
        <v>0.0</v>
      </c>
      <c r="BG1278" s="1">
        <v>0.0</v>
      </c>
      <c r="BH1278" s="1">
        <v>0.0</v>
      </c>
      <c r="BI1278" s="1">
        <v>0.0</v>
      </c>
      <c r="BJ1278" s="1">
        <v>0.0</v>
      </c>
      <c r="BP1278" s="1">
        <v>0.268</v>
      </c>
      <c r="BQ1278" s="1" t="s">
        <v>4482</v>
      </c>
      <c r="BV1278" s="1">
        <v>1.1</v>
      </c>
      <c r="EQ1278" s="9" t="s">
        <v>4481</v>
      </c>
      <c r="ER1278" s="21">
        <v>46045.30043981481</v>
      </c>
    </row>
    <row r="1279">
      <c r="A1279" s="9" t="s">
        <v>4483</v>
      </c>
      <c r="B1279" s="20" t="str">
        <f>IFERROR(__xludf.DUMMYFUNCTION("REGEXREPLACE(A1279, ""^https?://[^/]+"", """")"),"/wp-content/uploads/2023/02/Solving-Gaps-in-Sales-Infrastructure-and-Processes.pdf")</f>
        <v>/wp-content/uploads/2023/02/Solving-Gaps-in-Sales-Infrastructure-and-Processes.pdf</v>
      </c>
      <c r="F1279" s="1" t="s">
        <v>1730</v>
      </c>
      <c r="G1279" s="1">
        <v>200.0</v>
      </c>
      <c r="H1279" s="1" t="s">
        <v>966</v>
      </c>
      <c r="I1279" s="1" t="s">
        <v>967</v>
      </c>
      <c r="K1279" s="1" t="s">
        <v>4484</v>
      </c>
      <c r="L1279" s="1">
        <v>41.0</v>
      </c>
      <c r="M1279" s="1">
        <v>405.0</v>
      </c>
      <c r="O1279" s="1">
        <v>0.0</v>
      </c>
      <c r="P1279" s="1">
        <v>0.0</v>
      </c>
      <c r="R1279" s="1">
        <v>0.0</v>
      </c>
      <c r="S1279" s="1">
        <v>0.0</v>
      </c>
      <c r="T1279" s="1" t="s">
        <v>4485</v>
      </c>
      <c r="U1279" s="1">
        <v>23.0</v>
      </c>
      <c r="W1279" s="1">
        <v>0.0</v>
      </c>
      <c r="Y1279" s="1">
        <v>0.0</v>
      </c>
      <c r="AA1279" s="1">
        <v>0.0</v>
      </c>
      <c r="AC1279" s="1">
        <v>0.0</v>
      </c>
      <c r="AM1279" s="1">
        <v>382315.0</v>
      </c>
      <c r="AN1279" s="1">
        <v>382315.0</v>
      </c>
      <c r="AO1279" s="1">
        <v>382315.0</v>
      </c>
      <c r="AP1279" s="1">
        <v>146.458</v>
      </c>
      <c r="AR1279" s="1">
        <v>0.0</v>
      </c>
      <c r="AW1279" s="1">
        <v>0.0</v>
      </c>
      <c r="AX1279" s="1">
        <v>3.0</v>
      </c>
      <c r="AY1279" s="1">
        <v>4.0</v>
      </c>
      <c r="AZ1279" s="1">
        <v>1.0</v>
      </c>
      <c r="BA1279" s="1">
        <v>1.0</v>
      </c>
      <c r="BB1279" s="1">
        <v>1.0</v>
      </c>
      <c r="BC1279" s="1">
        <v>0.0</v>
      </c>
      <c r="BD1279" s="1">
        <v>0.13</v>
      </c>
      <c r="BE1279" s="1">
        <v>0.0</v>
      </c>
      <c r="BF1279" s="1">
        <v>0.0</v>
      </c>
      <c r="BG1279" s="1">
        <v>0.0</v>
      </c>
      <c r="BH1279" s="1">
        <v>0.0</v>
      </c>
      <c r="BI1279" s="1">
        <v>0.0</v>
      </c>
      <c r="BJ1279" s="1">
        <v>0.0</v>
      </c>
      <c r="BP1279" s="1">
        <v>0.293</v>
      </c>
      <c r="BQ1279" s="1" t="s">
        <v>4486</v>
      </c>
      <c r="BV1279" s="1">
        <v>1.1</v>
      </c>
      <c r="EQ1279" s="9" t="s">
        <v>4483</v>
      </c>
      <c r="ER1279" s="21">
        <v>46045.30043981481</v>
      </c>
    </row>
    <row r="1280">
      <c r="A1280" s="9" t="s">
        <v>4487</v>
      </c>
      <c r="B1280" s="20" t="str">
        <f>IFERROR(__xludf.DUMMYFUNCTION("REGEXREPLACE(A1280, ""^https?://[^/]+"", """")"),"/wp-content/uploads/elementor/css/post-27168.css?ver=1768900069")</f>
        <v>/wp-content/uploads/elementor/css/post-27168.css?ver=1768900069</v>
      </c>
      <c r="F1280" s="1" t="s">
        <v>1016</v>
      </c>
      <c r="G1280" s="1">
        <v>200.0</v>
      </c>
      <c r="H1280" s="1" t="s">
        <v>966</v>
      </c>
      <c r="I1280" s="1" t="s">
        <v>967</v>
      </c>
      <c r="L1280" s="1">
        <v>0.0</v>
      </c>
      <c r="M1280" s="1">
        <v>0.0</v>
      </c>
      <c r="O1280" s="1">
        <v>0.0</v>
      </c>
      <c r="P1280" s="1">
        <v>0.0</v>
      </c>
      <c r="R1280" s="1">
        <v>0.0</v>
      </c>
      <c r="S1280" s="1">
        <v>0.0</v>
      </c>
      <c r="U1280" s="1">
        <v>0.0</v>
      </c>
      <c r="W1280" s="1">
        <v>0.0</v>
      </c>
      <c r="Y1280" s="1">
        <v>0.0</v>
      </c>
      <c r="AA1280" s="1">
        <v>0.0</v>
      </c>
      <c r="AC1280" s="1">
        <v>0.0</v>
      </c>
      <c r="AM1280" s="1">
        <v>1146.0</v>
      </c>
      <c r="AN1280" s="1">
        <v>1146.0</v>
      </c>
      <c r="AO1280" s="1">
        <v>1146.0</v>
      </c>
      <c r="AP1280" s="1">
        <v>0.439</v>
      </c>
      <c r="AR1280" s="1">
        <v>0.0</v>
      </c>
      <c r="AW1280" s="1">
        <v>0.0</v>
      </c>
      <c r="AX1280" s="1">
        <v>3.0</v>
      </c>
      <c r="AY1280" s="1">
        <v>4.0</v>
      </c>
      <c r="BA1280" s="1">
        <v>0.0</v>
      </c>
      <c r="BB1280" s="1">
        <v>0.0</v>
      </c>
      <c r="BC1280" s="1">
        <v>0.0</v>
      </c>
      <c r="BD1280" s="1">
        <v>0.0</v>
      </c>
      <c r="BE1280" s="1">
        <v>0.0</v>
      </c>
      <c r="BF1280" s="1">
        <v>0.0</v>
      </c>
      <c r="BG1280" s="1">
        <v>0.0</v>
      </c>
      <c r="BH1280" s="1">
        <v>0.0</v>
      </c>
      <c r="BI1280" s="1">
        <v>0.0</v>
      </c>
      <c r="BJ1280" s="1">
        <v>0.0</v>
      </c>
      <c r="BP1280" s="1">
        <v>0.278</v>
      </c>
      <c r="BQ1280" s="1" t="s">
        <v>4488</v>
      </c>
      <c r="BV1280" s="1">
        <v>1.1</v>
      </c>
      <c r="EQ1280" s="9" t="s">
        <v>4487</v>
      </c>
      <c r="ER1280" s="21">
        <v>46045.30043981481</v>
      </c>
    </row>
    <row r="1281">
      <c r="A1281" s="9" t="s">
        <v>4489</v>
      </c>
      <c r="B1281" s="20" t="str">
        <f>IFERROR(__xludf.DUMMYFUNCTION("REGEXREPLACE(A1281, ""^https?://[^/]+"", """")"),"/wp-content/themes/salesxceleratione/assets/css/style.css?ver=1769123452")</f>
        <v>/wp-content/themes/salesxceleratione/assets/css/style.css?ver=1769123452</v>
      </c>
      <c r="F1281" s="1" t="s">
        <v>1016</v>
      </c>
      <c r="G1281" s="1">
        <v>200.0</v>
      </c>
      <c r="H1281" s="1" t="s">
        <v>966</v>
      </c>
      <c r="I1281" s="1" t="s">
        <v>967</v>
      </c>
      <c r="L1281" s="1">
        <v>0.0</v>
      </c>
      <c r="M1281" s="1">
        <v>0.0</v>
      </c>
      <c r="O1281" s="1">
        <v>0.0</v>
      </c>
      <c r="P1281" s="1">
        <v>0.0</v>
      </c>
      <c r="R1281" s="1">
        <v>0.0</v>
      </c>
      <c r="S1281" s="1">
        <v>0.0</v>
      </c>
      <c r="U1281" s="1">
        <v>0.0</v>
      </c>
      <c r="W1281" s="1">
        <v>0.0</v>
      </c>
      <c r="Y1281" s="1">
        <v>0.0</v>
      </c>
      <c r="AA1281" s="1">
        <v>0.0</v>
      </c>
      <c r="AC1281" s="1">
        <v>0.0</v>
      </c>
      <c r="AM1281" s="1">
        <v>17704.0</v>
      </c>
      <c r="AN1281" s="1">
        <v>17704.0</v>
      </c>
      <c r="AO1281" s="1">
        <v>17704.0</v>
      </c>
      <c r="AP1281" s="1">
        <v>6.782</v>
      </c>
      <c r="AR1281" s="1">
        <v>0.0</v>
      </c>
      <c r="AW1281" s="1">
        <v>0.0</v>
      </c>
      <c r="AX1281" s="1">
        <v>3.0</v>
      </c>
      <c r="AY1281" s="1">
        <v>5.0</v>
      </c>
      <c r="BA1281" s="1">
        <v>0.0</v>
      </c>
      <c r="BB1281" s="1">
        <v>0.0</v>
      </c>
      <c r="BC1281" s="1">
        <v>0.0</v>
      </c>
      <c r="BD1281" s="1">
        <v>0.0</v>
      </c>
      <c r="BE1281" s="1">
        <v>0.0</v>
      </c>
      <c r="BF1281" s="1">
        <v>0.0</v>
      </c>
      <c r="BG1281" s="1">
        <v>0.0</v>
      </c>
      <c r="BH1281" s="1">
        <v>0.0</v>
      </c>
      <c r="BI1281" s="1">
        <v>0.0</v>
      </c>
      <c r="BJ1281" s="1">
        <v>0.0</v>
      </c>
      <c r="BP1281" s="1">
        <v>0.261</v>
      </c>
      <c r="BQ1281" s="1" t="s">
        <v>4461</v>
      </c>
      <c r="BV1281" s="1">
        <v>1.1</v>
      </c>
      <c r="EQ1281" s="9" t="s">
        <v>4489</v>
      </c>
      <c r="ER1281" s="21">
        <v>46045.30043981481</v>
      </c>
    </row>
    <row r="1282">
      <c r="A1282" s="9" t="s">
        <v>4490</v>
      </c>
      <c r="B1282" s="20" t="str">
        <f>IFERROR(__xludf.DUMMYFUNCTION("REGEXREPLACE(A1282, ""^https?://[^/]+"", """")"),"/wp-content/uploads/elementor/css/post-25782.css?ver=1768862527")</f>
        <v>/wp-content/uploads/elementor/css/post-25782.css?ver=1768862527</v>
      </c>
      <c r="F1282" s="1" t="s">
        <v>1016</v>
      </c>
      <c r="G1282" s="1">
        <v>200.0</v>
      </c>
      <c r="H1282" s="1" t="s">
        <v>966</v>
      </c>
      <c r="I1282" s="1" t="s">
        <v>967</v>
      </c>
      <c r="L1282" s="1">
        <v>0.0</v>
      </c>
      <c r="M1282" s="1">
        <v>0.0</v>
      </c>
      <c r="O1282" s="1">
        <v>0.0</v>
      </c>
      <c r="P1282" s="1">
        <v>0.0</v>
      </c>
      <c r="R1282" s="1">
        <v>0.0</v>
      </c>
      <c r="S1282" s="1">
        <v>0.0</v>
      </c>
      <c r="U1282" s="1">
        <v>0.0</v>
      </c>
      <c r="W1282" s="1">
        <v>0.0</v>
      </c>
      <c r="Y1282" s="1">
        <v>0.0</v>
      </c>
      <c r="AA1282" s="1">
        <v>0.0</v>
      </c>
      <c r="AC1282" s="1">
        <v>0.0</v>
      </c>
      <c r="AM1282" s="1">
        <v>235.0</v>
      </c>
      <c r="AN1282" s="1">
        <v>235.0</v>
      </c>
      <c r="AO1282" s="1">
        <v>235.0</v>
      </c>
      <c r="AP1282" s="1">
        <v>0.09</v>
      </c>
      <c r="AR1282" s="1">
        <v>0.0</v>
      </c>
      <c r="AW1282" s="1">
        <v>0.0</v>
      </c>
      <c r="AX1282" s="1">
        <v>3.0</v>
      </c>
      <c r="AY1282" s="1">
        <v>4.0</v>
      </c>
      <c r="BA1282" s="1">
        <v>0.0</v>
      </c>
      <c r="BB1282" s="1">
        <v>0.0</v>
      </c>
      <c r="BC1282" s="1">
        <v>0.0</v>
      </c>
      <c r="BD1282" s="1">
        <v>0.0</v>
      </c>
      <c r="BE1282" s="1">
        <v>0.0</v>
      </c>
      <c r="BF1282" s="1">
        <v>0.0</v>
      </c>
      <c r="BG1282" s="1">
        <v>0.0</v>
      </c>
      <c r="BH1282" s="1">
        <v>0.0</v>
      </c>
      <c r="BI1282" s="1">
        <v>0.0</v>
      </c>
      <c r="BJ1282" s="1">
        <v>0.0</v>
      </c>
      <c r="BP1282" s="1">
        <v>0.245</v>
      </c>
      <c r="BQ1282" s="1" t="s">
        <v>4491</v>
      </c>
      <c r="BV1282" s="1">
        <v>1.1</v>
      </c>
      <c r="EQ1282" s="9" t="s">
        <v>4490</v>
      </c>
      <c r="ER1282" s="21">
        <v>46045.30043981481</v>
      </c>
    </row>
    <row r="1283">
      <c r="A1283" s="9" t="s">
        <v>4492</v>
      </c>
      <c r="B1283" s="20" t="str">
        <f>IFERROR(__xludf.DUMMYFUNCTION("REGEXREPLACE(A1283, ""^https?://[^/]+"", """")"),"/wp-content/uploads/elementor/css/post-25952.css?ver=1768891887")</f>
        <v>/wp-content/uploads/elementor/css/post-25952.css?ver=1768891887</v>
      </c>
      <c r="F1283" s="1" t="s">
        <v>1016</v>
      </c>
      <c r="G1283" s="1">
        <v>200.0</v>
      </c>
      <c r="H1283" s="1" t="s">
        <v>966</v>
      </c>
      <c r="I1283" s="1" t="s">
        <v>967</v>
      </c>
      <c r="L1283" s="1">
        <v>0.0</v>
      </c>
      <c r="M1283" s="1">
        <v>0.0</v>
      </c>
      <c r="O1283" s="1">
        <v>0.0</v>
      </c>
      <c r="P1283" s="1">
        <v>0.0</v>
      </c>
      <c r="R1283" s="1">
        <v>0.0</v>
      </c>
      <c r="S1283" s="1">
        <v>0.0</v>
      </c>
      <c r="U1283" s="1">
        <v>0.0</v>
      </c>
      <c r="W1283" s="1">
        <v>0.0</v>
      </c>
      <c r="Y1283" s="1">
        <v>0.0</v>
      </c>
      <c r="AA1283" s="1">
        <v>0.0</v>
      </c>
      <c r="AC1283" s="1">
        <v>0.0</v>
      </c>
      <c r="AM1283" s="1">
        <v>110.0</v>
      </c>
      <c r="AN1283" s="1">
        <v>110.0</v>
      </c>
      <c r="AO1283" s="1">
        <v>110.0</v>
      </c>
      <c r="AP1283" s="1">
        <v>0.042</v>
      </c>
      <c r="AR1283" s="1">
        <v>0.0</v>
      </c>
      <c r="AW1283" s="1">
        <v>0.0</v>
      </c>
      <c r="AX1283" s="1">
        <v>3.0</v>
      </c>
      <c r="AY1283" s="1">
        <v>4.0</v>
      </c>
      <c r="BA1283" s="1">
        <v>0.0</v>
      </c>
      <c r="BB1283" s="1">
        <v>0.0</v>
      </c>
      <c r="BC1283" s="1">
        <v>0.0</v>
      </c>
      <c r="BD1283" s="1">
        <v>0.0</v>
      </c>
      <c r="BE1283" s="1">
        <v>0.0</v>
      </c>
      <c r="BF1283" s="1">
        <v>0.0</v>
      </c>
      <c r="BG1283" s="1">
        <v>0.0</v>
      </c>
      <c r="BH1283" s="1">
        <v>0.0</v>
      </c>
      <c r="BI1283" s="1">
        <v>0.0</v>
      </c>
      <c r="BJ1283" s="1">
        <v>0.0</v>
      </c>
      <c r="BP1283" s="1">
        <v>0.279</v>
      </c>
      <c r="BQ1283" s="1" t="s">
        <v>4493</v>
      </c>
      <c r="BV1283" s="1">
        <v>1.1</v>
      </c>
      <c r="EQ1283" s="9" t="s">
        <v>4492</v>
      </c>
      <c r="ER1283" s="21">
        <v>46045.30043981481</v>
      </c>
    </row>
    <row r="1284">
      <c r="A1284" s="9" t="s">
        <v>4494</v>
      </c>
      <c r="B1284" s="20" t="str">
        <f>IFERROR(__xludf.DUMMYFUNCTION("REGEXREPLACE(A1284, ""^https?://[^/]+"", """")"),"/wp-content/themes/salesxceleratione/assets/css/style.css?ver=1769123453")</f>
        <v>/wp-content/themes/salesxceleratione/assets/css/style.css?ver=1769123453</v>
      </c>
      <c r="F1284" s="1" t="s">
        <v>1016</v>
      </c>
      <c r="G1284" s="1">
        <v>200.0</v>
      </c>
      <c r="H1284" s="1" t="s">
        <v>966</v>
      </c>
      <c r="I1284" s="1" t="s">
        <v>967</v>
      </c>
      <c r="L1284" s="1">
        <v>0.0</v>
      </c>
      <c r="M1284" s="1">
        <v>0.0</v>
      </c>
      <c r="O1284" s="1">
        <v>0.0</v>
      </c>
      <c r="P1284" s="1">
        <v>0.0</v>
      </c>
      <c r="R1284" s="1">
        <v>0.0</v>
      </c>
      <c r="S1284" s="1">
        <v>0.0</v>
      </c>
      <c r="U1284" s="1">
        <v>0.0</v>
      </c>
      <c r="W1284" s="1">
        <v>0.0</v>
      </c>
      <c r="Y1284" s="1">
        <v>0.0</v>
      </c>
      <c r="AA1284" s="1">
        <v>0.0</v>
      </c>
      <c r="AC1284" s="1">
        <v>0.0</v>
      </c>
      <c r="AM1284" s="1">
        <v>17704.0</v>
      </c>
      <c r="AN1284" s="1">
        <v>17704.0</v>
      </c>
      <c r="AO1284" s="1">
        <v>17704.0</v>
      </c>
      <c r="AP1284" s="1">
        <v>6.782</v>
      </c>
      <c r="AR1284" s="1">
        <v>0.0</v>
      </c>
      <c r="AW1284" s="1">
        <v>0.0</v>
      </c>
      <c r="AX1284" s="1">
        <v>3.0</v>
      </c>
      <c r="AY1284" s="1">
        <v>5.0</v>
      </c>
      <c r="BA1284" s="1">
        <v>0.0</v>
      </c>
      <c r="BB1284" s="1">
        <v>0.0</v>
      </c>
      <c r="BC1284" s="1">
        <v>0.0</v>
      </c>
      <c r="BD1284" s="1">
        <v>0.0</v>
      </c>
      <c r="BE1284" s="1">
        <v>0.0</v>
      </c>
      <c r="BF1284" s="1">
        <v>0.0</v>
      </c>
      <c r="BG1284" s="1">
        <v>0.0</v>
      </c>
      <c r="BH1284" s="1">
        <v>0.0</v>
      </c>
      <c r="BI1284" s="1">
        <v>0.0</v>
      </c>
      <c r="BJ1284" s="1">
        <v>0.0</v>
      </c>
      <c r="BP1284" s="1">
        <v>0.263</v>
      </c>
      <c r="BQ1284" s="1" t="s">
        <v>4461</v>
      </c>
      <c r="BV1284" s="1">
        <v>1.1</v>
      </c>
      <c r="EQ1284" s="9" t="s">
        <v>4494</v>
      </c>
      <c r="ER1284" s="21">
        <v>46045.30043981481</v>
      </c>
    </row>
    <row r="1285">
      <c r="A1285" s="9" t="s">
        <v>4495</v>
      </c>
      <c r="B1285" s="20" t="str">
        <f>IFERROR(__xludf.DUMMYFUNCTION("REGEXREPLACE(A1285, ""^https?://[^/]+"", """")"),"/wp-content/uploads/elementor/css/post-14112.css?ver=1768877000")</f>
        <v>/wp-content/uploads/elementor/css/post-14112.css?ver=1768877000</v>
      </c>
      <c r="F1285" s="1" t="s">
        <v>1016</v>
      </c>
      <c r="G1285" s="1">
        <v>200.0</v>
      </c>
      <c r="H1285" s="1" t="s">
        <v>966</v>
      </c>
      <c r="I1285" s="1" t="s">
        <v>967</v>
      </c>
      <c r="L1285" s="1">
        <v>0.0</v>
      </c>
      <c r="M1285" s="1">
        <v>0.0</v>
      </c>
      <c r="O1285" s="1">
        <v>0.0</v>
      </c>
      <c r="P1285" s="1">
        <v>0.0</v>
      </c>
      <c r="R1285" s="1">
        <v>0.0</v>
      </c>
      <c r="S1285" s="1">
        <v>0.0</v>
      </c>
      <c r="U1285" s="1">
        <v>0.0</v>
      </c>
      <c r="W1285" s="1">
        <v>0.0</v>
      </c>
      <c r="Y1285" s="1">
        <v>0.0</v>
      </c>
      <c r="AA1285" s="1">
        <v>0.0</v>
      </c>
      <c r="AC1285" s="1">
        <v>0.0</v>
      </c>
      <c r="AM1285" s="1">
        <v>219.0</v>
      </c>
      <c r="AN1285" s="1">
        <v>219.0</v>
      </c>
      <c r="AO1285" s="1">
        <v>219.0</v>
      </c>
      <c r="AP1285" s="1">
        <v>0.084</v>
      </c>
      <c r="AR1285" s="1">
        <v>0.0</v>
      </c>
      <c r="AW1285" s="1">
        <v>0.0</v>
      </c>
      <c r="AX1285" s="1">
        <v>3.0</v>
      </c>
      <c r="AY1285" s="1">
        <v>4.0</v>
      </c>
      <c r="BA1285" s="1">
        <v>0.0</v>
      </c>
      <c r="BB1285" s="1">
        <v>0.0</v>
      </c>
      <c r="BC1285" s="1">
        <v>0.0</v>
      </c>
      <c r="BD1285" s="1">
        <v>0.0</v>
      </c>
      <c r="BE1285" s="1">
        <v>0.0</v>
      </c>
      <c r="BF1285" s="1">
        <v>0.0</v>
      </c>
      <c r="BG1285" s="1">
        <v>0.0</v>
      </c>
      <c r="BH1285" s="1">
        <v>0.0</v>
      </c>
      <c r="BI1285" s="1">
        <v>0.0</v>
      </c>
      <c r="BJ1285" s="1">
        <v>0.0</v>
      </c>
      <c r="BP1285" s="1">
        <v>0.256</v>
      </c>
      <c r="BQ1285" s="1" t="s">
        <v>4496</v>
      </c>
      <c r="BV1285" s="1">
        <v>1.1</v>
      </c>
      <c r="EQ1285" s="9" t="s">
        <v>4495</v>
      </c>
      <c r="ER1285" s="21">
        <v>46045.30043981481</v>
      </c>
    </row>
    <row r="1286">
      <c r="A1286" s="9" t="s">
        <v>4497</v>
      </c>
      <c r="B1286" s="20" t="str">
        <f>IFERROR(__xludf.DUMMYFUNCTION("REGEXREPLACE(A1286, ""^https?://[^/]+"", """")"),"/wp-content/uploads/2019/05/2019-05-28_152123.jpg")</f>
        <v>/wp-content/uploads/2019/05/2019-05-28_152123.jpg</v>
      </c>
      <c r="F1286" s="1" t="s">
        <v>1004</v>
      </c>
      <c r="G1286" s="1">
        <v>200.0</v>
      </c>
      <c r="H1286" s="1" t="s">
        <v>966</v>
      </c>
      <c r="I1286" s="1" t="s">
        <v>967</v>
      </c>
      <c r="L1286" s="1">
        <v>0.0</v>
      </c>
      <c r="M1286" s="1">
        <v>0.0</v>
      </c>
      <c r="O1286" s="1">
        <v>0.0</v>
      </c>
      <c r="P1286" s="1">
        <v>0.0</v>
      </c>
      <c r="R1286" s="1">
        <v>0.0</v>
      </c>
      <c r="S1286" s="1">
        <v>0.0</v>
      </c>
      <c r="U1286" s="1">
        <v>0.0</v>
      </c>
      <c r="W1286" s="1">
        <v>0.0</v>
      </c>
      <c r="Y1286" s="1">
        <v>0.0</v>
      </c>
      <c r="AA1286" s="1">
        <v>0.0</v>
      </c>
      <c r="AC1286" s="1">
        <v>0.0</v>
      </c>
      <c r="AM1286" s="1">
        <v>84621.0</v>
      </c>
      <c r="AN1286" s="1">
        <v>84621.0</v>
      </c>
      <c r="AO1286" s="1">
        <v>84621.0</v>
      </c>
      <c r="AP1286" s="1">
        <v>32.417</v>
      </c>
      <c r="AR1286" s="1">
        <v>0.0</v>
      </c>
      <c r="AW1286" s="1">
        <v>0.0</v>
      </c>
      <c r="AX1286" s="1">
        <v>3.0</v>
      </c>
      <c r="AY1286" s="1">
        <v>4.0</v>
      </c>
      <c r="BA1286" s="1">
        <v>0.0</v>
      </c>
      <c r="BB1286" s="1">
        <v>0.0</v>
      </c>
      <c r="BC1286" s="1">
        <v>0.0</v>
      </c>
      <c r="BD1286" s="1">
        <v>0.0</v>
      </c>
      <c r="BE1286" s="1">
        <v>0.0</v>
      </c>
      <c r="BF1286" s="1">
        <v>0.0</v>
      </c>
      <c r="BG1286" s="1">
        <v>0.0</v>
      </c>
      <c r="BH1286" s="1">
        <v>0.0</v>
      </c>
      <c r="BI1286" s="1">
        <v>0.0</v>
      </c>
      <c r="BJ1286" s="1">
        <v>0.0</v>
      </c>
      <c r="BP1286" s="1">
        <v>0.27</v>
      </c>
      <c r="BQ1286" s="1" t="s">
        <v>3110</v>
      </c>
      <c r="BV1286" s="1">
        <v>1.1</v>
      </c>
      <c r="EQ1286" s="9" t="s">
        <v>4497</v>
      </c>
      <c r="ER1286" s="21">
        <v>46045.30043981481</v>
      </c>
    </row>
    <row r="1287">
      <c r="A1287" s="9" t="s">
        <v>4498</v>
      </c>
      <c r="B1287" s="20" t="str">
        <f>IFERROR(__xludf.DUMMYFUNCTION("REGEXREPLACE(A1287, ""^https?://[^/]+"", """")"),"/wp-content/uploads/elementor/css/post-18605.css?ver=1768862528")</f>
        <v>/wp-content/uploads/elementor/css/post-18605.css?ver=1768862528</v>
      </c>
      <c r="F1287" s="1" t="s">
        <v>1016</v>
      </c>
      <c r="G1287" s="1">
        <v>200.0</v>
      </c>
      <c r="H1287" s="1" t="s">
        <v>966</v>
      </c>
      <c r="I1287" s="1" t="s">
        <v>967</v>
      </c>
      <c r="L1287" s="1">
        <v>0.0</v>
      </c>
      <c r="M1287" s="1">
        <v>0.0</v>
      </c>
      <c r="O1287" s="1">
        <v>0.0</v>
      </c>
      <c r="P1287" s="1">
        <v>0.0</v>
      </c>
      <c r="R1287" s="1">
        <v>0.0</v>
      </c>
      <c r="S1287" s="1">
        <v>0.0</v>
      </c>
      <c r="U1287" s="1">
        <v>0.0</v>
      </c>
      <c r="W1287" s="1">
        <v>0.0</v>
      </c>
      <c r="Y1287" s="1">
        <v>0.0</v>
      </c>
      <c r="AA1287" s="1">
        <v>0.0</v>
      </c>
      <c r="AC1287" s="1">
        <v>0.0</v>
      </c>
      <c r="AM1287" s="1">
        <v>236.0</v>
      </c>
      <c r="AN1287" s="1">
        <v>236.0</v>
      </c>
      <c r="AO1287" s="1">
        <v>236.0</v>
      </c>
      <c r="AP1287" s="1">
        <v>0.09</v>
      </c>
      <c r="AR1287" s="1">
        <v>0.0</v>
      </c>
      <c r="AW1287" s="1">
        <v>0.0</v>
      </c>
      <c r="AX1287" s="1">
        <v>3.0</v>
      </c>
      <c r="AY1287" s="1">
        <v>4.0</v>
      </c>
      <c r="BA1287" s="1">
        <v>0.0</v>
      </c>
      <c r="BB1287" s="1">
        <v>0.0</v>
      </c>
      <c r="BC1287" s="1">
        <v>0.0</v>
      </c>
      <c r="BD1287" s="1">
        <v>0.0</v>
      </c>
      <c r="BE1287" s="1">
        <v>0.0</v>
      </c>
      <c r="BF1287" s="1">
        <v>0.0</v>
      </c>
      <c r="BG1287" s="1">
        <v>0.0</v>
      </c>
      <c r="BH1287" s="1">
        <v>0.0</v>
      </c>
      <c r="BI1287" s="1">
        <v>0.0</v>
      </c>
      <c r="BJ1287" s="1">
        <v>0.0</v>
      </c>
      <c r="BP1287" s="1">
        <v>0.264</v>
      </c>
      <c r="BQ1287" s="1" t="s">
        <v>4499</v>
      </c>
      <c r="BV1287" s="1">
        <v>1.1</v>
      </c>
      <c r="EQ1287" s="9" t="s">
        <v>4498</v>
      </c>
      <c r="ER1287" s="21">
        <v>46045.30045138889</v>
      </c>
    </row>
    <row r="1288">
      <c r="A1288" s="9" t="s">
        <v>4500</v>
      </c>
      <c r="B1288" s="20" t="str">
        <f>IFERROR(__xludf.DUMMYFUNCTION("REGEXREPLACE(A1288, ""^https?://[^/]+"", """")"),"/wp-content/themes/salesxceleratione/assets/css/style.css?ver=1769123454")</f>
        <v>/wp-content/themes/salesxceleratione/assets/css/style.css?ver=1769123454</v>
      </c>
      <c r="F1288" s="1" t="s">
        <v>1016</v>
      </c>
      <c r="G1288" s="1">
        <v>200.0</v>
      </c>
      <c r="H1288" s="1" t="s">
        <v>966</v>
      </c>
      <c r="I1288" s="1" t="s">
        <v>967</v>
      </c>
      <c r="L1288" s="1">
        <v>0.0</v>
      </c>
      <c r="M1288" s="1">
        <v>0.0</v>
      </c>
      <c r="O1288" s="1">
        <v>0.0</v>
      </c>
      <c r="P1288" s="1">
        <v>0.0</v>
      </c>
      <c r="R1288" s="1">
        <v>0.0</v>
      </c>
      <c r="S1288" s="1">
        <v>0.0</v>
      </c>
      <c r="U1288" s="1">
        <v>0.0</v>
      </c>
      <c r="W1288" s="1">
        <v>0.0</v>
      </c>
      <c r="Y1288" s="1">
        <v>0.0</v>
      </c>
      <c r="AA1288" s="1">
        <v>0.0</v>
      </c>
      <c r="AC1288" s="1">
        <v>0.0</v>
      </c>
      <c r="AM1288" s="1">
        <v>17704.0</v>
      </c>
      <c r="AN1288" s="1">
        <v>17704.0</v>
      </c>
      <c r="AO1288" s="1">
        <v>17704.0</v>
      </c>
      <c r="AP1288" s="1">
        <v>6.782</v>
      </c>
      <c r="AR1288" s="1">
        <v>0.0</v>
      </c>
      <c r="AW1288" s="1">
        <v>0.0</v>
      </c>
      <c r="AX1288" s="1">
        <v>3.0</v>
      </c>
      <c r="AY1288" s="1">
        <v>5.0</v>
      </c>
      <c r="BA1288" s="1">
        <v>0.0</v>
      </c>
      <c r="BB1288" s="1">
        <v>0.0</v>
      </c>
      <c r="BC1288" s="1">
        <v>0.0</v>
      </c>
      <c r="BD1288" s="1">
        <v>0.0</v>
      </c>
      <c r="BE1288" s="1">
        <v>0.0</v>
      </c>
      <c r="BF1288" s="1">
        <v>0.0</v>
      </c>
      <c r="BG1288" s="1">
        <v>0.0</v>
      </c>
      <c r="BH1288" s="1">
        <v>0.0</v>
      </c>
      <c r="BI1288" s="1">
        <v>0.0</v>
      </c>
      <c r="BJ1288" s="1">
        <v>0.0</v>
      </c>
      <c r="BP1288" s="1">
        <v>0.283</v>
      </c>
      <c r="BQ1288" s="1" t="s">
        <v>4501</v>
      </c>
      <c r="BV1288" s="1">
        <v>1.1</v>
      </c>
      <c r="EQ1288" s="9" t="s">
        <v>4500</v>
      </c>
      <c r="ER1288" s="21">
        <v>46045.30045138889</v>
      </c>
    </row>
    <row r="1289">
      <c r="A1289" s="9" t="s">
        <v>4502</v>
      </c>
      <c r="B1289" s="20" t="str">
        <f>IFERROR(__xludf.DUMMYFUNCTION("REGEXREPLACE(A1289, ""^https?://[^/]+"", """")"),"/wp-content/uploads/elementor/css/post-16266.css?ver=1768940139")</f>
        <v>/wp-content/uploads/elementor/css/post-16266.css?ver=1768940139</v>
      </c>
      <c r="F1289" s="1" t="s">
        <v>1016</v>
      </c>
      <c r="G1289" s="1">
        <v>200.0</v>
      </c>
      <c r="H1289" s="1" t="s">
        <v>966</v>
      </c>
      <c r="I1289" s="1" t="s">
        <v>967</v>
      </c>
      <c r="L1289" s="1">
        <v>0.0</v>
      </c>
      <c r="M1289" s="1">
        <v>0.0</v>
      </c>
      <c r="O1289" s="1">
        <v>0.0</v>
      </c>
      <c r="P1289" s="1">
        <v>0.0</v>
      </c>
      <c r="R1289" s="1">
        <v>0.0</v>
      </c>
      <c r="S1289" s="1">
        <v>0.0</v>
      </c>
      <c r="U1289" s="1">
        <v>0.0</v>
      </c>
      <c r="W1289" s="1">
        <v>0.0</v>
      </c>
      <c r="Y1289" s="1">
        <v>0.0</v>
      </c>
      <c r="AA1289" s="1">
        <v>0.0</v>
      </c>
      <c r="AC1289" s="1">
        <v>0.0</v>
      </c>
      <c r="AM1289" s="1">
        <v>234.0</v>
      </c>
      <c r="AN1289" s="1">
        <v>234.0</v>
      </c>
      <c r="AO1289" s="1">
        <v>234.0</v>
      </c>
      <c r="AP1289" s="1">
        <v>0.09</v>
      </c>
      <c r="AR1289" s="1">
        <v>0.0</v>
      </c>
      <c r="AW1289" s="1">
        <v>0.0</v>
      </c>
      <c r="AX1289" s="1">
        <v>3.0</v>
      </c>
      <c r="AY1289" s="1">
        <v>4.0</v>
      </c>
      <c r="BA1289" s="1">
        <v>0.0</v>
      </c>
      <c r="BB1289" s="1">
        <v>0.0</v>
      </c>
      <c r="BC1289" s="1">
        <v>0.0</v>
      </c>
      <c r="BD1289" s="1">
        <v>0.0</v>
      </c>
      <c r="BE1289" s="1">
        <v>0.0</v>
      </c>
      <c r="BF1289" s="1">
        <v>0.0</v>
      </c>
      <c r="BG1289" s="1">
        <v>0.0</v>
      </c>
      <c r="BH1289" s="1">
        <v>0.0</v>
      </c>
      <c r="BI1289" s="1">
        <v>0.0</v>
      </c>
      <c r="BJ1289" s="1">
        <v>0.0</v>
      </c>
      <c r="BP1289" s="1">
        <v>0.272</v>
      </c>
      <c r="BQ1289" s="1" t="s">
        <v>4503</v>
      </c>
      <c r="BV1289" s="1">
        <v>1.1</v>
      </c>
      <c r="EQ1289" s="9" t="s">
        <v>4502</v>
      </c>
      <c r="ER1289" s="21">
        <v>46045.30045138889</v>
      </c>
    </row>
    <row r="1290">
      <c r="A1290" s="9" t="s">
        <v>4504</v>
      </c>
      <c r="B1290" s="20" t="str">
        <f>IFERROR(__xludf.DUMMYFUNCTION("REGEXREPLACE(A1290, ""^https?://[^/]+"", """")"),"/wp-content/uploads/elementor/css/post-18128.css?ver=1768948834")</f>
        <v>/wp-content/uploads/elementor/css/post-18128.css?ver=1768948834</v>
      </c>
      <c r="F1290" s="1" t="s">
        <v>1016</v>
      </c>
      <c r="G1290" s="1">
        <v>200.0</v>
      </c>
      <c r="H1290" s="1" t="s">
        <v>966</v>
      </c>
      <c r="I1290" s="1" t="s">
        <v>967</v>
      </c>
      <c r="L1290" s="1">
        <v>0.0</v>
      </c>
      <c r="M1290" s="1">
        <v>0.0</v>
      </c>
      <c r="O1290" s="1">
        <v>0.0</v>
      </c>
      <c r="P1290" s="1">
        <v>0.0</v>
      </c>
      <c r="R1290" s="1">
        <v>0.0</v>
      </c>
      <c r="S1290" s="1">
        <v>0.0</v>
      </c>
      <c r="U1290" s="1">
        <v>0.0</v>
      </c>
      <c r="W1290" s="1">
        <v>0.0</v>
      </c>
      <c r="Y1290" s="1">
        <v>0.0</v>
      </c>
      <c r="AA1290" s="1">
        <v>0.0</v>
      </c>
      <c r="AC1290" s="1">
        <v>0.0</v>
      </c>
      <c r="AM1290" s="1">
        <v>234.0</v>
      </c>
      <c r="AN1290" s="1">
        <v>234.0</v>
      </c>
      <c r="AO1290" s="1">
        <v>234.0</v>
      </c>
      <c r="AP1290" s="1">
        <v>0.09</v>
      </c>
      <c r="AR1290" s="1">
        <v>0.0</v>
      </c>
      <c r="AW1290" s="1">
        <v>0.0</v>
      </c>
      <c r="AX1290" s="1">
        <v>3.0</v>
      </c>
      <c r="AY1290" s="1">
        <v>4.0</v>
      </c>
      <c r="BA1290" s="1">
        <v>0.0</v>
      </c>
      <c r="BB1290" s="1">
        <v>0.0</v>
      </c>
      <c r="BC1290" s="1">
        <v>0.0</v>
      </c>
      <c r="BD1290" s="1">
        <v>0.0</v>
      </c>
      <c r="BE1290" s="1">
        <v>0.0</v>
      </c>
      <c r="BF1290" s="1">
        <v>0.0</v>
      </c>
      <c r="BG1290" s="1">
        <v>0.0</v>
      </c>
      <c r="BH1290" s="1">
        <v>0.0</v>
      </c>
      <c r="BI1290" s="1">
        <v>0.0</v>
      </c>
      <c r="BJ1290" s="1">
        <v>0.0</v>
      </c>
      <c r="BP1290" s="1">
        <v>0.267</v>
      </c>
      <c r="BQ1290" s="1" t="s">
        <v>4505</v>
      </c>
      <c r="BV1290" s="1">
        <v>1.1</v>
      </c>
      <c r="EQ1290" s="9" t="s">
        <v>4504</v>
      </c>
      <c r="ER1290" s="21">
        <v>46045.30045138889</v>
      </c>
    </row>
    <row r="1291">
      <c r="A1291" s="9" t="s">
        <v>4506</v>
      </c>
      <c r="B1291" s="20" t="str">
        <f>IFERROR(__xludf.DUMMYFUNCTION("REGEXREPLACE(A1291, ""^https?://[^/]+"", """")"),"/wp-content/uploads/2022/02/eBook-How-to-Recruit-Hire-and-Onboard-Top-Sales-Performers-791x1024.jpg")</f>
        <v>/wp-content/uploads/2022/02/eBook-How-to-Recruit-Hire-and-Onboard-Top-Sales-Performers-791x1024.jpg</v>
      </c>
      <c r="F1291" s="1" t="s">
        <v>1004</v>
      </c>
      <c r="G1291" s="1">
        <v>200.0</v>
      </c>
      <c r="H1291" s="1" t="s">
        <v>966</v>
      </c>
      <c r="I1291" s="1" t="s">
        <v>967</v>
      </c>
      <c r="L1291" s="1">
        <v>0.0</v>
      </c>
      <c r="M1291" s="1">
        <v>0.0</v>
      </c>
      <c r="O1291" s="1">
        <v>0.0</v>
      </c>
      <c r="P1291" s="1">
        <v>0.0</v>
      </c>
      <c r="R1291" s="1">
        <v>0.0</v>
      </c>
      <c r="S1291" s="1">
        <v>0.0</v>
      </c>
      <c r="U1291" s="1">
        <v>0.0</v>
      </c>
      <c r="W1291" s="1">
        <v>0.0</v>
      </c>
      <c r="Y1291" s="1">
        <v>0.0</v>
      </c>
      <c r="AA1291" s="1">
        <v>0.0</v>
      </c>
      <c r="AC1291" s="1">
        <v>0.0</v>
      </c>
      <c r="AM1291" s="1">
        <v>127905.0</v>
      </c>
      <c r="AN1291" s="1">
        <v>127905.0</v>
      </c>
      <c r="AO1291" s="1">
        <v>127905.0</v>
      </c>
      <c r="AP1291" s="1">
        <v>48.998</v>
      </c>
      <c r="AR1291" s="1">
        <v>0.0</v>
      </c>
      <c r="AW1291" s="1">
        <v>0.0</v>
      </c>
      <c r="AX1291" s="1">
        <v>3.0</v>
      </c>
      <c r="AY1291" s="1">
        <v>4.0</v>
      </c>
      <c r="BA1291" s="1">
        <v>0.0</v>
      </c>
      <c r="BB1291" s="1">
        <v>0.0</v>
      </c>
      <c r="BC1291" s="1">
        <v>0.0</v>
      </c>
      <c r="BD1291" s="1">
        <v>0.0</v>
      </c>
      <c r="BE1291" s="1">
        <v>0.0</v>
      </c>
      <c r="BF1291" s="1">
        <v>0.0</v>
      </c>
      <c r="BG1291" s="1">
        <v>0.0</v>
      </c>
      <c r="BH1291" s="1">
        <v>0.0</v>
      </c>
      <c r="BI1291" s="1">
        <v>0.0</v>
      </c>
      <c r="BJ1291" s="1">
        <v>0.0</v>
      </c>
      <c r="BP1291" s="1">
        <v>0.275</v>
      </c>
      <c r="BQ1291" s="1" t="s">
        <v>4507</v>
      </c>
      <c r="BV1291" s="1">
        <v>1.1</v>
      </c>
      <c r="EQ1291" s="9" t="s">
        <v>4506</v>
      </c>
      <c r="ER1291" s="21">
        <v>46045.30045138889</v>
      </c>
    </row>
    <row r="1292">
      <c r="A1292" s="9" t="s">
        <v>4508</v>
      </c>
      <c r="B1292" s="20" t="str">
        <f>IFERROR(__xludf.DUMMYFUNCTION("REGEXREPLACE(A1292, ""^https?://[^/]+"", """")"),"/wp-content/uploads/elementor/css/post-36575.css?ver=1768862542")</f>
        <v>/wp-content/uploads/elementor/css/post-36575.css?ver=1768862542</v>
      </c>
      <c r="F1292" s="1" t="s">
        <v>1016</v>
      </c>
      <c r="G1292" s="1">
        <v>200.0</v>
      </c>
      <c r="H1292" s="1" t="s">
        <v>966</v>
      </c>
      <c r="I1292" s="1" t="s">
        <v>967</v>
      </c>
      <c r="L1292" s="1">
        <v>0.0</v>
      </c>
      <c r="M1292" s="1">
        <v>0.0</v>
      </c>
      <c r="O1292" s="1">
        <v>0.0</v>
      </c>
      <c r="P1292" s="1">
        <v>0.0</v>
      </c>
      <c r="R1292" s="1">
        <v>0.0</v>
      </c>
      <c r="S1292" s="1">
        <v>0.0</v>
      </c>
      <c r="U1292" s="1">
        <v>0.0</v>
      </c>
      <c r="W1292" s="1">
        <v>0.0</v>
      </c>
      <c r="Y1292" s="1">
        <v>0.0</v>
      </c>
      <c r="AA1292" s="1">
        <v>0.0</v>
      </c>
      <c r="AC1292" s="1">
        <v>0.0</v>
      </c>
      <c r="AM1292" s="1">
        <v>110.0</v>
      </c>
      <c r="AN1292" s="1">
        <v>110.0</v>
      </c>
      <c r="AO1292" s="1">
        <v>110.0</v>
      </c>
      <c r="AP1292" s="1">
        <v>0.042</v>
      </c>
      <c r="AR1292" s="1">
        <v>0.0</v>
      </c>
      <c r="AW1292" s="1">
        <v>0.0</v>
      </c>
      <c r="AX1292" s="1">
        <v>3.0</v>
      </c>
      <c r="AY1292" s="1">
        <v>4.0</v>
      </c>
      <c r="BA1292" s="1">
        <v>0.0</v>
      </c>
      <c r="BB1292" s="1">
        <v>0.0</v>
      </c>
      <c r="BC1292" s="1">
        <v>0.0</v>
      </c>
      <c r="BD1292" s="1">
        <v>0.0</v>
      </c>
      <c r="BE1292" s="1">
        <v>0.0</v>
      </c>
      <c r="BF1292" s="1">
        <v>0.0</v>
      </c>
      <c r="BG1292" s="1">
        <v>0.0</v>
      </c>
      <c r="BH1292" s="1">
        <v>0.0</v>
      </c>
      <c r="BI1292" s="1">
        <v>0.0</v>
      </c>
      <c r="BJ1292" s="1">
        <v>0.0</v>
      </c>
      <c r="BP1292" s="1">
        <v>0.285</v>
      </c>
      <c r="BQ1292" s="1" t="s">
        <v>4509</v>
      </c>
      <c r="BV1292" s="1">
        <v>1.1</v>
      </c>
      <c r="EQ1292" s="9" t="s">
        <v>4508</v>
      </c>
      <c r="ER1292" s="21">
        <v>46045.30045138889</v>
      </c>
    </row>
    <row r="1293">
      <c r="A1293" s="9" t="s">
        <v>4510</v>
      </c>
      <c r="B1293" s="20" t="str">
        <f>IFERROR(__xludf.DUMMYFUNCTION("REGEXREPLACE(A1293, ""^https?://[^/]+"", """")"),"/wp-content/uploads/elementor/css/post-61699.css?ver=1768900712")</f>
        <v>/wp-content/uploads/elementor/css/post-61699.css?ver=1768900712</v>
      </c>
      <c r="F1293" s="1" t="s">
        <v>1016</v>
      </c>
      <c r="G1293" s="1">
        <v>200.0</v>
      </c>
      <c r="H1293" s="1" t="s">
        <v>966</v>
      </c>
      <c r="I1293" s="1" t="s">
        <v>967</v>
      </c>
      <c r="L1293" s="1">
        <v>0.0</v>
      </c>
      <c r="M1293" s="1">
        <v>0.0</v>
      </c>
      <c r="O1293" s="1">
        <v>0.0</v>
      </c>
      <c r="P1293" s="1">
        <v>0.0</v>
      </c>
      <c r="R1293" s="1">
        <v>0.0</v>
      </c>
      <c r="S1293" s="1">
        <v>0.0</v>
      </c>
      <c r="U1293" s="1">
        <v>0.0</v>
      </c>
      <c r="W1293" s="1">
        <v>0.0</v>
      </c>
      <c r="Y1293" s="1">
        <v>0.0</v>
      </c>
      <c r="AA1293" s="1">
        <v>0.0</v>
      </c>
      <c r="AC1293" s="1">
        <v>0.0</v>
      </c>
      <c r="AM1293" s="1">
        <v>232.0</v>
      </c>
      <c r="AN1293" s="1">
        <v>232.0</v>
      </c>
      <c r="AO1293" s="1">
        <v>232.0</v>
      </c>
      <c r="AP1293" s="1">
        <v>0.089</v>
      </c>
      <c r="AR1293" s="1">
        <v>0.0</v>
      </c>
      <c r="AW1293" s="1">
        <v>0.0</v>
      </c>
      <c r="AX1293" s="1">
        <v>3.0</v>
      </c>
      <c r="AY1293" s="1">
        <v>4.0</v>
      </c>
      <c r="BA1293" s="1">
        <v>0.0</v>
      </c>
      <c r="BB1293" s="1">
        <v>0.0</v>
      </c>
      <c r="BC1293" s="1">
        <v>0.0</v>
      </c>
      <c r="BD1293" s="1">
        <v>0.0</v>
      </c>
      <c r="BE1293" s="1">
        <v>0.0</v>
      </c>
      <c r="BF1293" s="1">
        <v>0.0</v>
      </c>
      <c r="BG1293" s="1">
        <v>0.0</v>
      </c>
      <c r="BH1293" s="1">
        <v>0.0</v>
      </c>
      <c r="BI1293" s="1">
        <v>0.0</v>
      </c>
      <c r="BJ1293" s="1">
        <v>0.0</v>
      </c>
      <c r="BP1293" s="1">
        <v>0.283</v>
      </c>
      <c r="BQ1293" s="1" t="s">
        <v>4511</v>
      </c>
      <c r="BV1293" s="1">
        <v>1.1</v>
      </c>
      <c r="EQ1293" s="9" t="s">
        <v>4510</v>
      </c>
      <c r="ER1293" s="21">
        <v>46045.30045138889</v>
      </c>
    </row>
    <row r="1294">
      <c r="A1294" s="9" t="s">
        <v>4512</v>
      </c>
      <c r="B1294" s="20" t="str">
        <f>IFERROR(__xludf.DUMMYFUNCTION("REGEXREPLACE(A1294, ""^https?://[^/]+"", """")"),"/wp-content/uploads/2025/07/AI-for-Sales-Without-Security-Risk.jpg")</f>
        <v>/wp-content/uploads/2025/07/AI-for-Sales-Without-Security-Risk.jpg</v>
      </c>
      <c r="F1294" s="1" t="s">
        <v>1004</v>
      </c>
      <c r="G1294" s="1">
        <v>200.0</v>
      </c>
      <c r="H1294" s="1" t="s">
        <v>966</v>
      </c>
      <c r="I1294" s="1" t="s">
        <v>967</v>
      </c>
      <c r="L1294" s="1">
        <v>0.0</v>
      </c>
      <c r="M1294" s="1">
        <v>0.0</v>
      </c>
      <c r="O1294" s="1">
        <v>0.0</v>
      </c>
      <c r="P1294" s="1">
        <v>0.0</v>
      </c>
      <c r="R1294" s="1">
        <v>0.0</v>
      </c>
      <c r="S1294" s="1">
        <v>0.0</v>
      </c>
      <c r="U1294" s="1">
        <v>0.0</v>
      </c>
      <c r="W1294" s="1">
        <v>0.0</v>
      </c>
      <c r="Y1294" s="1">
        <v>0.0</v>
      </c>
      <c r="AA1294" s="1">
        <v>0.0</v>
      </c>
      <c r="AC1294" s="1">
        <v>0.0</v>
      </c>
      <c r="AM1294" s="1">
        <v>195251.0</v>
      </c>
      <c r="AN1294" s="1">
        <v>195251.0</v>
      </c>
      <c r="AO1294" s="1">
        <v>195251.0</v>
      </c>
      <c r="AP1294" s="1">
        <v>74.797</v>
      </c>
      <c r="AR1294" s="1">
        <v>0.0</v>
      </c>
      <c r="AW1294" s="1">
        <v>0.0</v>
      </c>
      <c r="AX1294" s="1">
        <v>3.0</v>
      </c>
      <c r="AY1294" s="1">
        <v>4.0</v>
      </c>
      <c r="BA1294" s="1">
        <v>0.0</v>
      </c>
      <c r="BB1294" s="1">
        <v>0.0</v>
      </c>
      <c r="BC1294" s="1">
        <v>0.0</v>
      </c>
      <c r="BD1294" s="1">
        <v>0.0</v>
      </c>
      <c r="BE1294" s="1">
        <v>0.0</v>
      </c>
      <c r="BF1294" s="1">
        <v>0.0</v>
      </c>
      <c r="BG1294" s="1">
        <v>0.0</v>
      </c>
      <c r="BH1294" s="1">
        <v>0.0</v>
      </c>
      <c r="BI1294" s="1">
        <v>0.0</v>
      </c>
      <c r="BJ1294" s="1">
        <v>0.0</v>
      </c>
      <c r="BP1294" s="1">
        <v>0.283</v>
      </c>
      <c r="BQ1294" s="1" t="s">
        <v>4513</v>
      </c>
      <c r="BV1294" s="1">
        <v>1.1</v>
      </c>
      <c r="EQ1294" s="9" t="s">
        <v>4512</v>
      </c>
      <c r="ER1294" s="21">
        <v>46045.30045138889</v>
      </c>
    </row>
    <row r="1295">
      <c r="A1295" s="9" t="s">
        <v>4514</v>
      </c>
      <c r="B1295" s="20" t="str">
        <f>IFERROR(__xludf.DUMMYFUNCTION("REGEXREPLACE(A1295, ""^https?://[^/]+"", """")"),"/wp-content/themes/salesxceleratione/assets/css/style.css?ver=1769123459")</f>
        <v>/wp-content/themes/salesxceleratione/assets/css/style.css?ver=1769123459</v>
      </c>
      <c r="F1295" s="1" t="s">
        <v>1016</v>
      </c>
      <c r="G1295" s="1">
        <v>200.0</v>
      </c>
      <c r="H1295" s="1" t="s">
        <v>966</v>
      </c>
      <c r="I1295" s="1" t="s">
        <v>967</v>
      </c>
      <c r="L1295" s="1">
        <v>0.0</v>
      </c>
      <c r="M1295" s="1">
        <v>0.0</v>
      </c>
      <c r="O1295" s="1">
        <v>0.0</v>
      </c>
      <c r="P1295" s="1">
        <v>0.0</v>
      </c>
      <c r="R1295" s="1">
        <v>0.0</v>
      </c>
      <c r="S1295" s="1">
        <v>0.0</v>
      </c>
      <c r="U1295" s="1">
        <v>0.0</v>
      </c>
      <c r="W1295" s="1">
        <v>0.0</v>
      </c>
      <c r="Y1295" s="1">
        <v>0.0</v>
      </c>
      <c r="AA1295" s="1">
        <v>0.0</v>
      </c>
      <c r="AC1295" s="1">
        <v>0.0</v>
      </c>
      <c r="AM1295" s="1">
        <v>17704.0</v>
      </c>
      <c r="AN1295" s="1">
        <v>17704.0</v>
      </c>
      <c r="AO1295" s="1">
        <v>17704.0</v>
      </c>
      <c r="AP1295" s="1">
        <v>6.782</v>
      </c>
      <c r="AR1295" s="1">
        <v>0.0</v>
      </c>
      <c r="AW1295" s="1">
        <v>0.0</v>
      </c>
      <c r="AX1295" s="1">
        <v>3.0</v>
      </c>
      <c r="AY1295" s="1">
        <v>5.0</v>
      </c>
      <c r="BA1295" s="1">
        <v>0.0</v>
      </c>
      <c r="BB1295" s="1">
        <v>0.0</v>
      </c>
      <c r="BC1295" s="1">
        <v>0.0</v>
      </c>
      <c r="BD1295" s="1">
        <v>0.0</v>
      </c>
      <c r="BE1295" s="1">
        <v>0.0</v>
      </c>
      <c r="BF1295" s="1">
        <v>0.0</v>
      </c>
      <c r="BG1295" s="1">
        <v>0.0</v>
      </c>
      <c r="BH1295" s="1">
        <v>0.0</v>
      </c>
      <c r="BI1295" s="1">
        <v>0.0</v>
      </c>
      <c r="BJ1295" s="1">
        <v>0.0</v>
      </c>
      <c r="BP1295" s="1">
        <v>0.285</v>
      </c>
      <c r="BQ1295" s="1" t="s">
        <v>4501</v>
      </c>
      <c r="BV1295" s="1">
        <v>1.1</v>
      </c>
      <c r="EQ1295" s="9" t="s">
        <v>4514</v>
      </c>
      <c r="ER1295" s="21">
        <v>46045.30045138889</v>
      </c>
    </row>
    <row r="1296">
      <c r="A1296" s="9" t="s">
        <v>4515</v>
      </c>
      <c r="B1296" s="20" t="str">
        <f>IFERROR(__xludf.DUMMYFUNCTION("REGEXREPLACE(A1296, ""^https?://[^/]+"", """")"),"/wp-content/uploads/2025/11/SAO-YT-Thumbnail-Tom-Gardner-300x169.jpg")</f>
        <v>/wp-content/uploads/2025/11/SAO-YT-Thumbnail-Tom-Gardner-300x169.jpg</v>
      </c>
      <c r="F1296" s="1" t="s">
        <v>1004</v>
      </c>
      <c r="G1296" s="1">
        <v>200.0</v>
      </c>
      <c r="H1296" s="1" t="s">
        <v>966</v>
      </c>
      <c r="I1296" s="1" t="s">
        <v>967</v>
      </c>
      <c r="L1296" s="1">
        <v>0.0</v>
      </c>
      <c r="M1296" s="1">
        <v>0.0</v>
      </c>
      <c r="O1296" s="1">
        <v>0.0</v>
      </c>
      <c r="P1296" s="1">
        <v>0.0</v>
      </c>
      <c r="R1296" s="1">
        <v>0.0</v>
      </c>
      <c r="S1296" s="1">
        <v>0.0</v>
      </c>
      <c r="U1296" s="1">
        <v>0.0</v>
      </c>
      <c r="W1296" s="1">
        <v>0.0</v>
      </c>
      <c r="Y1296" s="1">
        <v>0.0</v>
      </c>
      <c r="AA1296" s="1">
        <v>0.0</v>
      </c>
      <c r="AC1296" s="1">
        <v>0.0</v>
      </c>
      <c r="AM1296" s="1">
        <v>8810.0</v>
      </c>
      <c r="AN1296" s="1">
        <v>8810.0</v>
      </c>
      <c r="AO1296" s="1">
        <v>8810.0</v>
      </c>
      <c r="AP1296" s="1">
        <v>3.375</v>
      </c>
      <c r="AR1296" s="1">
        <v>0.0</v>
      </c>
      <c r="AW1296" s="1">
        <v>0.0</v>
      </c>
      <c r="AX1296" s="1">
        <v>3.0</v>
      </c>
      <c r="AY1296" s="1">
        <v>4.0</v>
      </c>
      <c r="BA1296" s="1">
        <v>0.0</v>
      </c>
      <c r="BB1296" s="1">
        <v>0.0</v>
      </c>
      <c r="BC1296" s="1">
        <v>0.0</v>
      </c>
      <c r="BD1296" s="1">
        <v>0.0</v>
      </c>
      <c r="BE1296" s="1">
        <v>0.0</v>
      </c>
      <c r="BF1296" s="1">
        <v>0.0</v>
      </c>
      <c r="BG1296" s="1">
        <v>0.0</v>
      </c>
      <c r="BH1296" s="1">
        <v>0.0</v>
      </c>
      <c r="BI1296" s="1">
        <v>0.0</v>
      </c>
      <c r="BJ1296" s="1">
        <v>0.0</v>
      </c>
      <c r="BP1296" s="1">
        <v>0.284</v>
      </c>
      <c r="BQ1296" s="1" t="s">
        <v>1816</v>
      </c>
      <c r="BV1296" s="1">
        <v>1.1</v>
      </c>
      <c r="EQ1296" s="9" t="s">
        <v>4515</v>
      </c>
      <c r="ER1296" s="21">
        <v>46045.30045138889</v>
      </c>
    </row>
    <row r="1297">
      <c r="A1297" s="9" t="s">
        <v>3094</v>
      </c>
      <c r="B1297" s="20" t="str">
        <f>IFERROR(__xludf.DUMMYFUNCTION("REGEXREPLACE(A1297, ""^https?://[^/]+"", """")"),"/books/ai-sales-integration/")</f>
        <v>/books/ai-sales-integration/</v>
      </c>
      <c r="C1297" s="1" t="s">
        <v>4516</v>
      </c>
      <c r="F1297" s="1" t="s">
        <v>965</v>
      </c>
      <c r="G1297" s="1">
        <v>200.0</v>
      </c>
      <c r="H1297" s="1" t="s">
        <v>966</v>
      </c>
      <c r="I1297" s="1" t="s">
        <v>967</v>
      </c>
      <c r="K1297" s="1" t="s">
        <v>4517</v>
      </c>
      <c r="L1297" s="1">
        <v>57.0</v>
      </c>
      <c r="M1297" s="1">
        <v>494.0</v>
      </c>
      <c r="O1297" s="1">
        <v>0.0</v>
      </c>
      <c r="P1297" s="1">
        <v>0.0</v>
      </c>
      <c r="Q1297" s="1" t="s">
        <v>4518</v>
      </c>
      <c r="R1297" s="1">
        <v>154.0</v>
      </c>
      <c r="S1297" s="1">
        <v>951.0</v>
      </c>
      <c r="U1297" s="1">
        <v>0.0</v>
      </c>
      <c r="V1297" s="1" t="s">
        <v>4516</v>
      </c>
      <c r="W1297" s="1">
        <v>20.0</v>
      </c>
      <c r="Y1297" s="1">
        <v>0.0</v>
      </c>
      <c r="AA1297" s="1">
        <v>0.0</v>
      </c>
      <c r="AC1297" s="1">
        <v>0.0</v>
      </c>
      <c r="AD1297" s="1" t="s">
        <v>971</v>
      </c>
      <c r="AG1297" s="9" t="s">
        <v>3094</v>
      </c>
      <c r="AM1297" s="1">
        <v>177598.0</v>
      </c>
      <c r="AN1297" s="1">
        <v>35482.0</v>
      </c>
      <c r="AO1297" s="1">
        <v>35482.0</v>
      </c>
      <c r="AP1297" s="1">
        <v>13.592</v>
      </c>
      <c r="AR1297" s="1">
        <v>576.0</v>
      </c>
      <c r="AS1297" s="1">
        <v>103.0</v>
      </c>
      <c r="AT1297" s="1">
        <v>5.592</v>
      </c>
      <c r="AU1297" s="1">
        <v>61.334</v>
      </c>
      <c r="AV1297" s="1" t="s">
        <v>990</v>
      </c>
      <c r="AW1297" s="1">
        <v>3.356</v>
      </c>
      <c r="AX1297" s="1">
        <v>3.0</v>
      </c>
      <c r="AY1297" s="1">
        <v>2.0</v>
      </c>
      <c r="AZ1297" s="1">
        <v>1.0</v>
      </c>
      <c r="BA1297" s="1">
        <v>0.0</v>
      </c>
      <c r="BB1297" s="1">
        <v>0.0</v>
      </c>
      <c r="BC1297" s="1">
        <v>0.0</v>
      </c>
      <c r="BD1297" s="1">
        <v>0.0</v>
      </c>
      <c r="BE1297" s="1">
        <v>122.0</v>
      </c>
      <c r="BF1297" s="1">
        <v>42.0</v>
      </c>
      <c r="BG1297" s="1">
        <v>0.0</v>
      </c>
      <c r="BH1297" s="1">
        <v>16.0</v>
      </c>
      <c r="BI1297" s="1">
        <v>8.0</v>
      </c>
      <c r="BJ1297" s="1">
        <v>0.0</v>
      </c>
      <c r="BO1297" s="1" t="s">
        <v>4519</v>
      </c>
      <c r="BP1297" s="1">
        <v>0.984</v>
      </c>
      <c r="BU1297" s="1" t="s">
        <v>974</v>
      </c>
      <c r="BV1297" s="1">
        <v>1.1</v>
      </c>
      <c r="EQ1297" s="9" t="s">
        <v>3094</v>
      </c>
      <c r="ER1297" s="21">
        <v>46045.30043981481</v>
      </c>
    </row>
    <row r="1298">
      <c r="A1298" s="9" t="s">
        <v>4520</v>
      </c>
      <c r="B1298" s="20" t="str">
        <f>IFERROR(__xludf.DUMMYFUNCTION("REGEXREPLACE(A1298, ""^https?://[^/]+"", """")"),"/wp-content/uploads/2025/01/Streamlining-Sales-Processes-with-AI-300x169.jpg")</f>
        <v>/wp-content/uploads/2025/01/Streamlining-Sales-Processes-with-AI-300x169.jpg</v>
      </c>
      <c r="F1298" s="1" t="s">
        <v>1004</v>
      </c>
      <c r="G1298" s="1">
        <v>200.0</v>
      </c>
      <c r="H1298" s="1" t="s">
        <v>966</v>
      </c>
      <c r="I1298" s="1" t="s">
        <v>967</v>
      </c>
      <c r="L1298" s="1">
        <v>0.0</v>
      </c>
      <c r="M1298" s="1">
        <v>0.0</v>
      </c>
      <c r="O1298" s="1">
        <v>0.0</v>
      </c>
      <c r="P1298" s="1">
        <v>0.0</v>
      </c>
      <c r="R1298" s="1">
        <v>0.0</v>
      </c>
      <c r="S1298" s="1">
        <v>0.0</v>
      </c>
      <c r="U1298" s="1">
        <v>0.0</v>
      </c>
      <c r="W1298" s="1">
        <v>0.0</v>
      </c>
      <c r="Y1298" s="1">
        <v>0.0</v>
      </c>
      <c r="AA1298" s="1">
        <v>0.0</v>
      </c>
      <c r="AC1298" s="1">
        <v>0.0</v>
      </c>
      <c r="AM1298" s="1">
        <v>17615.0</v>
      </c>
      <c r="AN1298" s="1">
        <v>17615.0</v>
      </c>
      <c r="AO1298" s="1">
        <v>17615.0</v>
      </c>
      <c r="AP1298" s="1">
        <v>6.748</v>
      </c>
      <c r="AR1298" s="1">
        <v>0.0</v>
      </c>
      <c r="AW1298" s="1">
        <v>0.0</v>
      </c>
      <c r="AX1298" s="1">
        <v>3.0</v>
      </c>
      <c r="AY1298" s="1">
        <v>4.0</v>
      </c>
      <c r="BA1298" s="1">
        <v>0.0</v>
      </c>
      <c r="BB1298" s="1">
        <v>0.0</v>
      </c>
      <c r="BC1298" s="1">
        <v>0.0</v>
      </c>
      <c r="BD1298" s="1">
        <v>0.0</v>
      </c>
      <c r="BE1298" s="1">
        <v>0.0</v>
      </c>
      <c r="BF1298" s="1">
        <v>0.0</v>
      </c>
      <c r="BG1298" s="1">
        <v>0.0</v>
      </c>
      <c r="BH1298" s="1">
        <v>0.0</v>
      </c>
      <c r="BI1298" s="1">
        <v>0.0</v>
      </c>
      <c r="BJ1298" s="1">
        <v>0.0</v>
      </c>
      <c r="BP1298" s="1">
        <v>0.351</v>
      </c>
      <c r="BQ1298" s="1" t="s">
        <v>4521</v>
      </c>
      <c r="BV1298" s="1">
        <v>1.1</v>
      </c>
      <c r="EQ1298" s="9" t="s">
        <v>4520</v>
      </c>
      <c r="ER1298" s="21">
        <v>46045.300462962965</v>
      </c>
    </row>
    <row r="1299">
      <c r="A1299" s="9" t="s">
        <v>4522</v>
      </c>
      <c r="B1299" s="20" t="str">
        <f>IFERROR(__xludf.DUMMYFUNCTION("REGEXREPLACE(A1299, ""^https?://[^/]+"", """")"),"/wp-content/uploads/2024/06/Future-Proof-Your-Sales-300x168.jpg")</f>
        <v>/wp-content/uploads/2024/06/Future-Proof-Your-Sales-300x168.jpg</v>
      </c>
      <c r="F1299" s="1" t="s">
        <v>1004</v>
      </c>
      <c r="G1299" s="1">
        <v>200.0</v>
      </c>
      <c r="H1299" s="1" t="s">
        <v>966</v>
      </c>
      <c r="I1299" s="1" t="s">
        <v>967</v>
      </c>
      <c r="L1299" s="1">
        <v>0.0</v>
      </c>
      <c r="M1299" s="1">
        <v>0.0</v>
      </c>
      <c r="O1299" s="1">
        <v>0.0</v>
      </c>
      <c r="P1299" s="1">
        <v>0.0</v>
      </c>
      <c r="R1299" s="1">
        <v>0.0</v>
      </c>
      <c r="S1299" s="1">
        <v>0.0</v>
      </c>
      <c r="U1299" s="1">
        <v>0.0</v>
      </c>
      <c r="W1299" s="1">
        <v>0.0</v>
      </c>
      <c r="Y1299" s="1">
        <v>0.0</v>
      </c>
      <c r="AA1299" s="1">
        <v>0.0</v>
      </c>
      <c r="AC1299" s="1">
        <v>0.0</v>
      </c>
      <c r="AM1299" s="1">
        <v>12213.0</v>
      </c>
      <c r="AN1299" s="1">
        <v>12213.0</v>
      </c>
      <c r="AO1299" s="1">
        <v>12213.0</v>
      </c>
      <c r="AP1299" s="1">
        <v>4.679</v>
      </c>
      <c r="AR1299" s="1">
        <v>0.0</v>
      </c>
      <c r="AW1299" s="1">
        <v>0.0</v>
      </c>
      <c r="AX1299" s="1">
        <v>3.0</v>
      </c>
      <c r="AY1299" s="1">
        <v>4.0</v>
      </c>
      <c r="BA1299" s="1">
        <v>0.0</v>
      </c>
      <c r="BB1299" s="1">
        <v>0.0</v>
      </c>
      <c r="BC1299" s="1">
        <v>0.0</v>
      </c>
      <c r="BD1299" s="1">
        <v>0.0</v>
      </c>
      <c r="BE1299" s="1">
        <v>0.0</v>
      </c>
      <c r="BF1299" s="1">
        <v>0.0</v>
      </c>
      <c r="BG1299" s="1">
        <v>0.0</v>
      </c>
      <c r="BH1299" s="1">
        <v>0.0</v>
      </c>
      <c r="BI1299" s="1">
        <v>0.0</v>
      </c>
      <c r="BJ1299" s="1">
        <v>0.0</v>
      </c>
      <c r="BP1299" s="1">
        <v>0.272</v>
      </c>
      <c r="BQ1299" s="1" t="s">
        <v>4523</v>
      </c>
      <c r="BV1299" s="1">
        <v>1.1</v>
      </c>
      <c r="EQ1299" s="9" t="s">
        <v>4522</v>
      </c>
      <c r="ER1299" s="21">
        <v>46045.300462962965</v>
      </c>
    </row>
    <row r="1300">
      <c r="A1300" s="9" t="s">
        <v>4524</v>
      </c>
      <c r="B1300" s="20" t="str">
        <f>IFERROR(__xludf.DUMMYFUNCTION("REGEXREPLACE(A1300, ""^https?://[^/]+"", """")"),"/wp-content/uploads/2025/10/AI-Powered-Sales-Assistant-300x169.jpg")</f>
        <v>/wp-content/uploads/2025/10/AI-Powered-Sales-Assistant-300x169.jpg</v>
      </c>
      <c r="F1300" s="1" t="s">
        <v>1004</v>
      </c>
      <c r="G1300" s="1">
        <v>200.0</v>
      </c>
      <c r="H1300" s="1" t="s">
        <v>966</v>
      </c>
      <c r="I1300" s="1" t="s">
        <v>967</v>
      </c>
      <c r="L1300" s="1">
        <v>0.0</v>
      </c>
      <c r="M1300" s="1">
        <v>0.0</v>
      </c>
      <c r="O1300" s="1">
        <v>0.0</v>
      </c>
      <c r="P1300" s="1">
        <v>0.0</v>
      </c>
      <c r="R1300" s="1">
        <v>0.0</v>
      </c>
      <c r="S1300" s="1">
        <v>0.0</v>
      </c>
      <c r="U1300" s="1">
        <v>0.0</v>
      </c>
      <c r="W1300" s="1">
        <v>0.0</v>
      </c>
      <c r="Y1300" s="1">
        <v>0.0</v>
      </c>
      <c r="AA1300" s="1">
        <v>0.0</v>
      </c>
      <c r="AC1300" s="1">
        <v>0.0</v>
      </c>
      <c r="AM1300" s="1">
        <v>10095.0</v>
      </c>
      <c r="AN1300" s="1">
        <v>10095.0</v>
      </c>
      <c r="AO1300" s="1">
        <v>10095.0</v>
      </c>
      <c r="AP1300" s="1">
        <v>3.867</v>
      </c>
      <c r="AR1300" s="1">
        <v>0.0</v>
      </c>
      <c r="AW1300" s="1">
        <v>0.0</v>
      </c>
      <c r="AX1300" s="1">
        <v>3.0</v>
      </c>
      <c r="AY1300" s="1">
        <v>4.0</v>
      </c>
      <c r="BA1300" s="1">
        <v>0.0</v>
      </c>
      <c r="BB1300" s="1">
        <v>0.0</v>
      </c>
      <c r="BC1300" s="1">
        <v>0.0</v>
      </c>
      <c r="BD1300" s="1">
        <v>0.0</v>
      </c>
      <c r="BE1300" s="1">
        <v>0.0</v>
      </c>
      <c r="BF1300" s="1">
        <v>0.0</v>
      </c>
      <c r="BG1300" s="1">
        <v>0.0</v>
      </c>
      <c r="BH1300" s="1">
        <v>0.0</v>
      </c>
      <c r="BI1300" s="1">
        <v>0.0</v>
      </c>
      <c r="BJ1300" s="1">
        <v>0.0</v>
      </c>
      <c r="BP1300" s="1">
        <v>0.28</v>
      </c>
      <c r="BQ1300" s="1" t="s">
        <v>4525</v>
      </c>
      <c r="BV1300" s="1">
        <v>1.1</v>
      </c>
      <c r="EQ1300" s="9" t="s">
        <v>4524</v>
      </c>
      <c r="ER1300" s="21">
        <v>46045.300462962965</v>
      </c>
    </row>
    <row r="1301">
      <c r="A1301" s="9" t="s">
        <v>4526</v>
      </c>
      <c r="B1301" s="20" t="str">
        <f>IFERROR(__xludf.DUMMYFUNCTION("REGEXREPLACE(A1301, ""^https?://[^/]+"", """")"),"/the-ai-advantage-how-sales-leaders-can-drive-growth-and-efficiency-in-the-new-year/")</f>
        <v>/the-ai-advantage-how-sales-leaders-can-drive-growth-and-efficiency-in-the-new-year/</v>
      </c>
      <c r="C1301" s="1" t="s">
        <v>4527</v>
      </c>
      <c r="D1301" s="1" t="s">
        <v>4528</v>
      </c>
      <c r="E1301" s="1" t="s">
        <v>4529</v>
      </c>
      <c r="F1301" s="1" t="s">
        <v>965</v>
      </c>
      <c r="G1301" s="1">
        <v>200.0</v>
      </c>
      <c r="H1301" s="1" t="s">
        <v>966</v>
      </c>
      <c r="I1301" s="1" t="s">
        <v>967</v>
      </c>
      <c r="K1301" s="1" t="s">
        <v>4530</v>
      </c>
      <c r="L1301" s="1">
        <v>108.0</v>
      </c>
      <c r="M1301" s="1">
        <v>990.0</v>
      </c>
      <c r="O1301" s="1">
        <v>0.0</v>
      </c>
      <c r="P1301" s="1">
        <v>0.0</v>
      </c>
      <c r="Q1301" s="1" t="s">
        <v>4531</v>
      </c>
      <c r="R1301" s="1">
        <v>153.0</v>
      </c>
      <c r="S1301" s="1">
        <v>950.0</v>
      </c>
      <c r="U1301" s="1">
        <v>0.0</v>
      </c>
      <c r="V1301" s="1" t="s">
        <v>4527</v>
      </c>
      <c r="W1301" s="1">
        <v>83.0</v>
      </c>
      <c r="Y1301" s="1">
        <v>0.0</v>
      </c>
      <c r="Z1301" s="1" t="s">
        <v>4528</v>
      </c>
      <c r="AA1301" s="1">
        <v>52.0</v>
      </c>
      <c r="AB1301" s="1" t="s">
        <v>4529</v>
      </c>
      <c r="AC1301" s="1">
        <v>37.0</v>
      </c>
      <c r="AD1301" s="1" t="s">
        <v>971</v>
      </c>
      <c r="AG1301" s="9" t="s">
        <v>4526</v>
      </c>
      <c r="AM1301" s="1">
        <v>200781.0</v>
      </c>
      <c r="AN1301" s="1">
        <v>36647.0</v>
      </c>
      <c r="AO1301" s="1">
        <v>36647.0</v>
      </c>
      <c r="AP1301" s="1">
        <v>14.039</v>
      </c>
      <c r="AR1301" s="1">
        <v>1366.0</v>
      </c>
      <c r="AS1301" s="1">
        <v>214.0</v>
      </c>
      <c r="AT1301" s="1">
        <v>6.383</v>
      </c>
      <c r="AU1301" s="1">
        <v>51.78</v>
      </c>
      <c r="AV1301" s="1" t="s">
        <v>972</v>
      </c>
      <c r="AW1301" s="1">
        <v>5.605</v>
      </c>
      <c r="AX1301" s="1">
        <v>3.0</v>
      </c>
      <c r="AY1301" s="1">
        <v>1.0</v>
      </c>
      <c r="AZ1301" s="1">
        <v>1.0</v>
      </c>
      <c r="BA1301" s="1">
        <v>4.0</v>
      </c>
      <c r="BB1301" s="1">
        <v>2.0</v>
      </c>
      <c r="BC1301" s="1">
        <v>0.0</v>
      </c>
      <c r="BD1301" s="1">
        <v>0.27</v>
      </c>
      <c r="BE1301" s="1">
        <v>136.0</v>
      </c>
      <c r="BF1301" s="1">
        <v>49.0</v>
      </c>
      <c r="BG1301" s="1">
        <v>0.0</v>
      </c>
      <c r="BH1301" s="1">
        <v>16.0</v>
      </c>
      <c r="BI1301" s="1">
        <v>8.0</v>
      </c>
      <c r="BJ1301" s="1">
        <v>0.0</v>
      </c>
      <c r="BO1301" s="1" t="s">
        <v>4532</v>
      </c>
      <c r="BP1301" s="1">
        <v>1.001</v>
      </c>
      <c r="BU1301" s="1" t="s">
        <v>974</v>
      </c>
      <c r="BV1301" s="1">
        <v>1.1</v>
      </c>
      <c r="EQ1301" s="9" t="s">
        <v>4526</v>
      </c>
      <c r="ER1301" s="21">
        <v>46045.30045138889</v>
      </c>
    </row>
    <row r="1302">
      <c r="A1302" s="9" t="s">
        <v>4533</v>
      </c>
      <c r="B1302" s="20" t="str">
        <f>IFERROR(__xludf.DUMMYFUNCTION("REGEXREPLACE(A1302, ""^https?://[^/]+"", """")"),"/wp-content/uploads/2025/01/The-AI-Advantage-300x194.jpg")</f>
        <v>/wp-content/uploads/2025/01/The-AI-Advantage-300x194.jpg</v>
      </c>
      <c r="F1302" s="1" t="s">
        <v>1004</v>
      </c>
      <c r="G1302" s="1">
        <v>200.0</v>
      </c>
      <c r="H1302" s="1" t="s">
        <v>966</v>
      </c>
      <c r="I1302" s="1" t="s">
        <v>967</v>
      </c>
      <c r="L1302" s="1">
        <v>0.0</v>
      </c>
      <c r="M1302" s="1">
        <v>0.0</v>
      </c>
      <c r="O1302" s="1">
        <v>0.0</v>
      </c>
      <c r="P1302" s="1">
        <v>0.0</v>
      </c>
      <c r="R1302" s="1">
        <v>0.0</v>
      </c>
      <c r="S1302" s="1">
        <v>0.0</v>
      </c>
      <c r="U1302" s="1">
        <v>0.0</v>
      </c>
      <c r="W1302" s="1">
        <v>0.0</v>
      </c>
      <c r="Y1302" s="1">
        <v>0.0</v>
      </c>
      <c r="AA1302" s="1">
        <v>0.0</v>
      </c>
      <c r="AC1302" s="1">
        <v>0.0</v>
      </c>
      <c r="AM1302" s="1">
        <v>14675.0</v>
      </c>
      <c r="AN1302" s="1">
        <v>14675.0</v>
      </c>
      <c r="AO1302" s="1">
        <v>14675.0</v>
      </c>
      <c r="AP1302" s="1">
        <v>5.622</v>
      </c>
      <c r="AR1302" s="1">
        <v>0.0</v>
      </c>
      <c r="AW1302" s="1">
        <v>0.0</v>
      </c>
      <c r="AX1302" s="1">
        <v>3.0</v>
      </c>
      <c r="AY1302" s="1">
        <v>4.0</v>
      </c>
      <c r="BA1302" s="1">
        <v>0.0</v>
      </c>
      <c r="BB1302" s="1">
        <v>0.0</v>
      </c>
      <c r="BC1302" s="1">
        <v>0.0</v>
      </c>
      <c r="BD1302" s="1">
        <v>0.0</v>
      </c>
      <c r="BE1302" s="1">
        <v>0.0</v>
      </c>
      <c r="BF1302" s="1">
        <v>0.0</v>
      </c>
      <c r="BG1302" s="1">
        <v>0.0</v>
      </c>
      <c r="BH1302" s="1">
        <v>0.0</v>
      </c>
      <c r="BI1302" s="1">
        <v>0.0</v>
      </c>
      <c r="BJ1302" s="1">
        <v>0.0</v>
      </c>
      <c r="BP1302" s="1">
        <v>0.312</v>
      </c>
      <c r="BQ1302" s="1" t="s">
        <v>4534</v>
      </c>
      <c r="BV1302" s="1">
        <v>1.1</v>
      </c>
      <c r="EQ1302" s="9" t="s">
        <v>4533</v>
      </c>
      <c r="ER1302" s="21">
        <v>46045.300462962965</v>
      </c>
    </row>
    <row r="1303">
      <c r="A1303" s="9" t="s">
        <v>4535</v>
      </c>
      <c r="B1303" s="20" t="str">
        <f>IFERROR(__xludf.DUMMYFUNCTION("REGEXREPLACE(A1303, ""^https?://[^/]+"", """")"),"/streamlining-sales-processes-with-ai/")</f>
        <v>/streamlining-sales-processes-with-ai/</v>
      </c>
      <c r="C1303" s="1" t="s">
        <v>4536</v>
      </c>
      <c r="D1303" s="1" t="s">
        <v>4537</v>
      </c>
      <c r="E1303" s="1" t="s">
        <v>4538</v>
      </c>
      <c r="F1303" s="1" t="s">
        <v>965</v>
      </c>
      <c r="G1303" s="1">
        <v>200.0</v>
      </c>
      <c r="H1303" s="1" t="s">
        <v>966</v>
      </c>
      <c r="I1303" s="1" t="s">
        <v>967</v>
      </c>
      <c r="K1303" s="1" t="s">
        <v>4539</v>
      </c>
      <c r="L1303" s="1">
        <v>61.0</v>
      </c>
      <c r="M1303" s="1">
        <v>547.0</v>
      </c>
      <c r="O1303" s="1">
        <v>0.0</v>
      </c>
      <c r="P1303" s="1">
        <v>0.0</v>
      </c>
      <c r="Q1303" s="1" t="s">
        <v>4540</v>
      </c>
      <c r="R1303" s="1">
        <v>154.0</v>
      </c>
      <c r="S1303" s="1">
        <v>957.0</v>
      </c>
      <c r="U1303" s="1">
        <v>0.0</v>
      </c>
      <c r="V1303" s="1" t="s">
        <v>4536</v>
      </c>
      <c r="W1303" s="1">
        <v>36.0</v>
      </c>
      <c r="Y1303" s="1">
        <v>0.0</v>
      </c>
      <c r="Z1303" s="1" t="s">
        <v>4537</v>
      </c>
      <c r="AA1303" s="1">
        <v>36.0</v>
      </c>
      <c r="AB1303" s="1" t="s">
        <v>4538</v>
      </c>
      <c r="AC1303" s="1">
        <v>33.0</v>
      </c>
      <c r="AD1303" s="1" t="s">
        <v>971</v>
      </c>
      <c r="AG1303" s="9" t="s">
        <v>4535</v>
      </c>
      <c r="AM1303" s="1">
        <v>196133.0</v>
      </c>
      <c r="AN1303" s="1">
        <v>35672.0</v>
      </c>
      <c r="AO1303" s="1">
        <v>35672.0</v>
      </c>
      <c r="AP1303" s="1">
        <v>13.665</v>
      </c>
      <c r="AR1303" s="1">
        <v>1203.0</v>
      </c>
      <c r="AS1303" s="1">
        <v>208.0</v>
      </c>
      <c r="AT1303" s="1">
        <v>5.784</v>
      </c>
      <c r="AU1303" s="1">
        <v>43.931</v>
      </c>
      <c r="AV1303" s="1" t="s">
        <v>1075</v>
      </c>
      <c r="AW1303" s="1">
        <v>5.399</v>
      </c>
      <c r="AX1303" s="1">
        <v>3.0</v>
      </c>
      <c r="AY1303" s="1">
        <v>1.0</v>
      </c>
      <c r="AZ1303" s="1">
        <v>1.0</v>
      </c>
      <c r="BA1303" s="1">
        <v>4.0</v>
      </c>
      <c r="BB1303" s="1">
        <v>2.0</v>
      </c>
      <c r="BC1303" s="1">
        <v>0.0</v>
      </c>
      <c r="BD1303" s="1">
        <v>0.27</v>
      </c>
      <c r="BE1303" s="1">
        <v>129.0</v>
      </c>
      <c r="BF1303" s="1">
        <v>47.0</v>
      </c>
      <c r="BG1303" s="1">
        <v>0.0</v>
      </c>
      <c r="BH1303" s="1">
        <v>16.0</v>
      </c>
      <c r="BI1303" s="1">
        <v>8.0</v>
      </c>
      <c r="BJ1303" s="1">
        <v>0.0</v>
      </c>
      <c r="BO1303" s="1" t="s">
        <v>4541</v>
      </c>
      <c r="BP1303" s="1">
        <v>1.027</v>
      </c>
      <c r="BU1303" s="1" t="s">
        <v>974</v>
      </c>
      <c r="BV1303" s="1">
        <v>1.1</v>
      </c>
      <c r="EQ1303" s="9" t="s">
        <v>4535</v>
      </c>
      <c r="ER1303" s="21">
        <v>46045.30045138889</v>
      </c>
    </row>
    <row r="1304">
      <c r="A1304" s="9" t="s">
        <v>4542</v>
      </c>
      <c r="B1304" s="20" t="str">
        <f>IFERROR(__xludf.DUMMYFUNCTION("REGEXREPLACE(A1304, ""^https?://[^/]+"", """")"),"/future-proof-your-sales-4-essential-technologies-and-trends/")</f>
        <v>/future-proof-your-sales-4-essential-technologies-and-trends/</v>
      </c>
      <c r="C1304" s="1" t="s">
        <v>4543</v>
      </c>
      <c r="D1304" s="1" t="s">
        <v>4544</v>
      </c>
      <c r="E1304" s="1" t="s">
        <v>4545</v>
      </c>
      <c r="F1304" s="1" t="s">
        <v>965</v>
      </c>
      <c r="G1304" s="1">
        <v>200.0</v>
      </c>
      <c r="H1304" s="1" t="s">
        <v>966</v>
      </c>
      <c r="I1304" s="1" t="s">
        <v>967</v>
      </c>
      <c r="K1304" s="1" t="s">
        <v>4546</v>
      </c>
      <c r="L1304" s="1">
        <v>85.0</v>
      </c>
      <c r="M1304" s="1">
        <v>764.0</v>
      </c>
      <c r="O1304" s="1">
        <v>0.0</v>
      </c>
      <c r="P1304" s="1">
        <v>0.0</v>
      </c>
      <c r="Q1304" s="1" t="s">
        <v>4547</v>
      </c>
      <c r="R1304" s="1">
        <v>138.0</v>
      </c>
      <c r="S1304" s="1">
        <v>859.0</v>
      </c>
      <c r="U1304" s="1">
        <v>0.0</v>
      </c>
      <c r="V1304" s="1" t="s">
        <v>4543</v>
      </c>
      <c r="W1304" s="1">
        <v>60.0</v>
      </c>
      <c r="Y1304" s="1">
        <v>0.0</v>
      </c>
      <c r="Z1304" s="1" t="s">
        <v>4544</v>
      </c>
      <c r="AA1304" s="1">
        <v>14.0</v>
      </c>
      <c r="AB1304" s="1" t="s">
        <v>4545</v>
      </c>
      <c r="AC1304" s="1">
        <v>18.0</v>
      </c>
      <c r="AD1304" s="1" t="s">
        <v>971</v>
      </c>
      <c r="AG1304" s="9" t="s">
        <v>4542</v>
      </c>
      <c r="AM1304" s="1">
        <v>201113.0</v>
      </c>
      <c r="AN1304" s="1">
        <v>36134.0</v>
      </c>
      <c r="AO1304" s="1">
        <v>36134.0</v>
      </c>
      <c r="AP1304" s="1">
        <v>13.842</v>
      </c>
      <c r="AR1304" s="1">
        <v>1395.0</v>
      </c>
      <c r="AS1304" s="1">
        <v>237.0</v>
      </c>
      <c r="AT1304" s="1">
        <v>5.886</v>
      </c>
      <c r="AU1304" s="1">
        <v>47.489</v>
      </c>
      <c r="AV1304" s="1" t="s">
        <v>1075</v>
      </c>
      <c r="AW1304" s="1">
        <v>5.779</v>
      </c>
      <c r="AX1304" s="1">
        <v>3.0</v>
      </c>
      <c r="AY1304" s="1">
        <v>1.0</v>
      </c>
      <c r="AZ1304" s="1">
        <v>1.0</v>
      </c>
      <c r="BA1304" s="1">
        <v>3.0</v>
      </c>
      <c r="BB1304" s="1">
        <v>2.0</v>
      </c>
      <c r="BC1304" s="1">
        <v>0.0</v>
      </c>
      <c r="BD1304" s="1">
        <v>0.27</v>
      </c>
      <c r="BE1304" s="1">
        <v>136.0</v>
      </c>
      <c r="BF1304" s="1">
        <v>51.0</v>
      </c>
      <c r="BG1304" s="1">
        <v>0.0</v>
      </c>
      <c r="BH1304" s="1">
        <v>16.0</v>
      </c>
      <c r="BI1304" s="1">
        <v>8.0</v>
      </c>
      <c r="BJ1304" s="1">
        <v>0.0</v>
      </c>
      <c r="BO1304" s="1" t="s">
        <v>4548</v>
      </c>
      <c r="BP1304" s="1">
        <v>1.012</v>
      </c>
      <c r="BU1304" s="1" t="s">
        <v>974</v>
      </c>
      <c r="BV1304" s="1">
        <v>1.1</v>
      </c>
      <c r="EQ1304" s="9" t="s">
        <v>4542</v>
      </c>
      <c r="ER1304" s="21">
        <v>46045.30045138889</v>
      </c>
    </row>
    <row r="1305">
      <c r="A1305" s="9" t="s">
        <v>4549</v>
      </c>
      <c r="B1305" s="20" t="str">
        <f>IFERROR(__xludf.DUMMYFUNCTION("REGEXREPLACE(A1305, ""^https?://[^/]+"", """")"),"/wp-content/themes/salesxceleratione/assets/css/style.css?ver=1769123462")</f>
        <v>/wp-content/themes/salesxceleratione/assets/css/style.css?ver=1769123462</v>
      </c>
      <c r="F1305" s="1" t="s">
        <v>1016</v>
      </c>
      <c r="G1305" s="1">
        <v>200.0</v>
      </c>
      <c r="H1305" s="1" t="s">
        <v>966</v>
      </c>
      <c r="I1305" s="1" t="s">
        <v>967</v>
      </c>
      <c r="L1305" s="1">
        <v>0.0</v>
      </c>
      <c r="M1305" s="1">
        <v>0.0</v>
      </c>
      <c r="O1305" s="1">
        <v>0.0</v>
      </c>
      <c r="P1305" s="1">
        <v>0.0</v>
      </c>
      <c r="R1305" s="1">
        <v>0.0</v>
      </c>
      <c r="S1305" s="1">
        <v>0.0</v>
      </c>
      <c r="U1305" s="1">
        <v>0.0</v>
      </c>
      <c r="W1305" s="1">
        <v>0.0</v>
      </c>
      <c r="Y1305" s="1">
        <v>0.0</v>
      </c>
      <c r="AA1305" s="1">
        <v>0.0</v>
      </c>
      <c r="AC1305" s="1">
        <v>0.0</v>
      </c>
      <c r="AM1305" s="1">
        <v>17704.0</v>
      </c>
      <c r="AN1305" s="1">
        <v>17704.0</v>
      </c>
      <c r="AO1305" s="1">
        <v>17704.0</v>
      </c>
      <c r="AP1305" s="1">
        <v>6.782</v>
      </c>
      <c r="AR1305" s="1">
        <v>0.0</v>
      </c>
      <c r="AW1305" s="1">
        <v>0.0</v>
      </c>
      <c r="AX1305" s="1">
        <v>3.0</v>
      </c>
      <c r="AY1305" s="1">
        <v>5.0</v>
      </c>
      <c r="BA1305" s="1">
        <v>0.0</v>
      </c>
      <c r="BB1305" s="1">
        <v>0.0</v>
      </c>
      <c r="BC1305" s="1">
        <v>0.0</v>
      </c>
      <c r="BD1305" s="1">
        <v>0.0</v>
      </c>
      <c r="BE1305" s="1">
        <v>0.0</v>
      </c>
      <c r="BF1305" s="1">
        <v>0.0</v>
      </c>
      <c r="BG1305" s="1">
        <v>0.0</v>
      </c>
      <c r="BH1305" s="1">
        <v>0.0</v>
      </c>
      <c r="BI1305" s="1">
        <v>0.0</v>
      </c>
      <c r="BJ1305" s="1">
        <v>0.0</v>
      </c>
      <c r="BP1305" s="1">
        <v>0.28</v>
      </c>
      <c r="BQ1305" s="1" t="s">
        <v>4550</v>
      </c>
      <c r="BV1305" s="1">
        <v>1.1</v>
      </c>
      <c r="EQ1305" s="9" t="s">
        <v>4549</v>
      </c>
      <c r="ER1305" s="21">
        <v>46045.300474537034</v>
      </c>
    </row>
    <row r="1306">
      <c r="A1306" s="9" t="s">
        <v>4551</v>
      </c>
      <c r="B1306" s="20" t="str">
        <f>IFERROR(__xludf.DUMMYFUNCTION("REGEXREPLACE(A1306, ""^https?://[^/]+"", """")"),"/wp-content/uploads/2025/10/SAO-YT-Thumbnail-John-Hirsh-300x169.jpg")</f>
        <v>/wp-content/uploads/2025/10/SAO-YT-Thumbnail-John-Hirsh-300x169.jpg</v>
      </c>
      <c r="F1306" s="1" t="s">
        <v>1004</v>
      </c>
      <c r="G1306" s="1">
        <v>200.0</v>
      </c>
      <c r="H1306" s="1" t="s">
        <v>966</v>
      </c>
      <c r="I1306" s="1" t="s">
        <v>967</v>
      </c>
      <c r="L1306" s="1">
        <v>0.0</v>
      </c>
      <c r="M1306" s="1">
        <v>0.0</v>
      </c>
      <c r="O1306" s="1">
        <v>0.0</v>
      </c>
      <c r="P1306" s="1">
        <v>0.0</v>
      </c>
      <c r="R1306" s="1">
        <v>0.0</v>
      </c>
      <c r="S1306" s="1">
        <v>0.0</v>
      </c>
      <c r="U1306" s="1">
        <v>0.0</v>
      </c>
      <c r="W1306" s="1">
        <v>0.0</v>
      </c>
      <c r="Y1306" s="1">
        <v>0.0</v>
      </c>
      <c r="AA1306" s="1">
        <v>0.0</v>
      </c>
      <c r="AC1306" s="1">
        <v>0.0</v>
      </c>
      <c r="AM1306" s="1">
        <v>11212.0</v>
      </c>
      <c r="AN1306" s="1">
        <v>11212.0</v>
      </c>
      <c r="AO1306" s="1">
        <v>11212.0</v>
      </c>
      <c r="AP1306" s="1">
        <v>4.295</v>
      </c>
      <c r="AR1306" s="1">
        <v>0.0</v>
      </c>
      <c r="AW1306" s="1">
        <v>0.0</v>
      </c>
      <c r="AX1306" s="1">
        <v>3.0</v>
      </c>
      <c r="AY1306" s="1">
        <v>4.0</v>
      </c>
      <c r="BA1306" s="1">
        <v>0.0</v>
      </c>
      <c r="BB1306" s="1">
        <v>0.0</v>
      </c>
      <c r="BC1306" s="1">
        <v>0.0</v>
      </c>
      <c r="BD1306" s="1">
        <v>0.0</v>
      </c>
      <c r="BE1306" s="1">
        <v>0.0</v>
      </c>
      <c r="BF1306" s="1">
        <v>0.0</v>
      </c>
      <c r="BG1306" s="1">
        <v>0.0</v>
      </c>
      <c r="BH1306" s="1">
        <v>0.0</v>
      </c>
      <c r="BI1306" s="1">
        <v>0.0</v>
      </c>
      <c r="BJ1306" s="1">
        <v>0.0</v>
      </c>
      <c r="BP1306" s="1">
        <v>0.275</v>
      </c>
      <c r="BQ1306" s="1" t="s">
        <v>4552</v>
      </c>
      <c r="BV1306" s="1">
        <v>1.1</v>
      </c>
      <c r="EQ1306" s="9" t="s">
        <v>4551</v>
      </c>
      <c r="ER1306" s="21">
        <v>46045.300474537034</v>
      </c>
    </row>
    <row r="1307">
      <c r="A1307" s="9" t="s">
        <v>4553</v>
      </c>
      <c r="B1307" s="20" t="str">
        <f>IFERROR(__xludf.DUMMYFUNCTION("REGEXREPLACE(A1307, ""^https?://[^/]+"", """")"),"/wp-content/uploads/2024/01/New-AI-Sales-Trends-300x139.jpg")</f>
        <v>/wp-content/uploads/2024/01/New-AI-Sales-Trends-300x139.jpg</v>
      </c>
      <c r="F1307" s="1" t="s">
        <v>1004</v>
      </c>
      <c r="G1307" s="1">
        <v>200.0</v>
      </c>
      <c r="H1307" s="1" t="s">
        <v>966</v>
      </c>
      <c r="I1307" s="1" t="s">
        <v>967</v>
      </c>
      <c r="L1307" s="1">
        <v>0.0</v>
      </c>
      <c r="M1307" s="1">
        <v>0.0</v>
      </c>
      <c r="O1307" s="1">
        <v>0.0</v>
      </c>
      <c r="P1307" s="1">
        <v>0.0</v>
      </c>
      <c r="R1307" s="1">
        <v>0.0</v>
      </c>
      <c r="S1307" s="1">
        <v>0.0</v>
      </c>
      <c r="U1307" s="1">
        <v>0.0</v>
      </c>
      <c r="W1307" s="1">
        <v>0.0</v>
      </c>
      <c r="Y1307" s="1">
        <v>0.0</v>
      </c>
      <c r="AA1307" s="1">
        <v>0.0</v>
      </c>
      <c r="AC1307" s="1">
        <v>0.0</v>
      </c>
      <c r="AM1307" s="1">
        <v>10948.0</v>
      </c>
      <c r="AN1307" s="1">
        <v>10948.0</v>
      </c>
      <c r="AO1307" s="1">
        <v>10948.0</v>
      </c>
      <c r="AP1307" s="1">
        <v>4.194</v>
      </c>
      <c r="AR1307" s="1">
        <v>0.0</v>
      </c>
      <c r="AW1307" s="1">
        <v>0.0</v>
      </c>
      <c r="AX1307" s="1">
        <v>3.0</v>
      </c>
      <c r="AY1307" s="1">
        <v>4.0</v>
      </c>
      <c r="BA1307" s="1">
        <v>0.0</v>
      </c>
      <c r="BB1307" s="1">
        <v>0.0</v>
      </c>
      <c r="BC1307" s="1">
        <v>0.0</v>
      </c>
      <c r="BD1307" s="1">
        <v>0.0</v>
      </c>
      <c r="BE1307" s="1">
        <v>0.0</v>
      </c>
      <c r="BF1307" s="1">
        <v>0.0</v>
      </c>
      <c r="BG1307" s="1">
        <v>0.0</v>
      </c>
      <c r="BH1307" s="1">
        <v>0.0</v>
      </c>
      <c r="BI1307" s="1">
        <v>0.0</v>
      </c>
      <c r="BJ1307" s="1">
        <v>0.0</v>
      </c>
      <c r="BP1307" s="1">
        <v>0.258</v>
      </c>
      <c r="BQ1307" s="1" t="s">
        <v>4554</v>
      </c>
      <c r="BV1307" s="1">
        <v>1.1</v>
      </c>
      <c r="EQ1307" s="9" t="s">
        <v>4553</v>
      </c>
      <c r="ER1307" s="21">
        <v>46045.300474537034</v>
      </c>
    </row>
    <row r="1308">
      <c r="A1308" s="9" t="s">
        <v>4555</v>
      </c>
      <c r="B1308" s="20" t="str">
        <f>IFERROR(__xludf.DUMMYFUNCTION("REGEXREPLACE(A1308, ""^https?://[^/]+"", """")"),"/2024-sales-trends-top-ways-ai-can-support-your-sales-organization/")</f>
        <v>/2024-sales-trends-top-ways-ai-can-support-your-sales-organization/</v>
      </c>
      <c r="C1308" s="1" t="s">
        <v>4556</v>
      </c>
      <c r="F1308" s="1" t="s">
        <v>965</v>
      </c>
      <c r="G1308" s="1">
        <v>200.0</v>
      </c>
      <c r="H1308" s="1" t="s">
        <v>966</v>
      </c>
      <c r="I1308" s="1" t="s">
        <v>967</v>
      </c>
      <c r="K1308" s="1" t="s">
        <v>4557</v>
      </c>
      <c r="L1308" s="1">
        <v>91.0</v>
      </c>
      <c r="M1308" s="1">
        <v>834.0</v>
      </c>
      <c r="O1308" s="1">
        <v>0.0</v>
      </c>
      <c r="P1308" s="1">
        <v>0.0</v>
      </c>
      <c r="Q1308" s="1" t="s">
        <v>4558</v>
      </c>
      <c r="R1308" s="1">
        <v>147.0</v>
      </c>
      <c r="S1308" s="1">
        <v>864.0</v>
      </c>
      <c r="U1308" s="1">
        <v>0.0</v>
      </c>
      <c r="V1308" s="1" t="s">
        <v>4556</v>
      </c>
      <c r="W1308" s="1">
        <v>66.0</v>
      </c>
      <c r="Y1308" s="1">
        <v>0.0</v>
      </c>
      <c r="AA1308" s="1">
        <v>0.0</v>
      </c>
      <c r="AC1308" s="1">
        <v>0.0</v>
      </c>
      <c r="AD1308" s="1" t="s">
        <v>971</v>
      </c>
      <c r="AG1308" s="9" t="s">
        <v>4555</v>
      </c>
      <c r="AM1308" s="1">
        <v>213857.0</v>
      </c>
      <c r="AN1308" s="1">
        <v>36331.0</v>
      </c>
      <c r="AO1308" s="1">
        <v>36331.0</v>
      </c>
      <c r="AP1308" s="1">
        <v>13.918</v>
      </c>
      <c r="AR1308" s="1">
        <v>1212.0</v>
      </c>
      <c r="AS1308" s="1">
        <v>198.0</v>
      </c>
      <c r="AT1308" s="1">
        <v>6.121</v>
      </c>
      <c r="AU1308" s="1">
        <v>49.919</v>
      </c>
      <c r="AV1308" s="1" t="s">
        <v>1075</v>
      </c>
      <c r="AW1308" s="1">
        <v>4.814</v>
      </c>
      <c r="AX1308" s="1">
        <v>3.0</v>
      </c>
      <c r="AY1308" s="1">
        <v>1.0</v>
      </c>
      <c r="AZ1308" s="1">
        <v>1.0</v>
      </c>
      <c r="BA1308" s="1">
        <v>2.0</v>
      </c>
      <c r="BB1308" s="1">
        <v>1.0</v>
      </c>
      <c r="BC1308" s="1">
        <v>0.0</v>
      </c>
      <c r="BD1308" s="1">
        <v>0.13</v>
      </c>
      <c r="BE1308" s="1">
        <v>133.0</v>
      </c>
      <c r="BF1308" s="1">
        <v>47.0</v>
      </c>
      <c r="BG1308" s="1">
        <v>0.0</v>
      </c>
      <c r="BH1308" s="1">
        <v>18.0</v>
      </c>
      <c r="BI1308" s="1">
        <v>10.0</v>
      </c>
      <c r="BJ1308" s="1">
        <v>0.0</v>
      </c>
      <c r="BO1308" s="1" t="s">
        <v>4559</v>
      </c>
      <c r="BP1308" s="1">
        <v>1.033</v>
      </c>
      <c r="BU1308" s="1" t="s">
        <v>974</v>
      </c>
      <c r="BV1308" s="1">
        <v>1.1</v>
      </c>
      <c r="EQ1308" s="9" t="s">
        <v>4555</v>
      </c>
      <c r="ER1308" s="21">
        <v>46045.300462962965</v>
      </c>
    </row>
    <row r="1309">
      <c r="A1309" s="9" t="s">
        <v>4560</v>
      </c>
      <c r="B1309" s="20" t="str">
        <f>IFERROR(__xludf.DUMMYFUNCTION("REGEXREPLACE(A1309, ""^https?://[^/]+"", """")"),"/wp-content/themes/salesxceleratione/assets/css/style.css?ver=1769123463")</f>
        <v>/wp-content/themes/salesxceleratione/assets/css/style.css?ver=1769123463</v>
      </c>
      <c r="F1309" s="1" t="s">
        <v>1016</v>
      </c>
      <c r="G1309" s="1">
        <v>200.0</v>
      </c>
      <c r="H1309" s="1" t="s">
        <v>966</v>
      </c>
      <c r="I1309" s="1" t="s">
        <v>967</v>
      </c>
      <c r="L1309" s="1">
        <v>0.0</v>
      </c>
      <c r="M1309" s="1">
        <v>0.0</v>
      </c>
      <c r="O1309" s="1">
        <v>0.0</v>
      </c>
      <c r="P1309" s="1">
        <v>0.0</v>
      </c>
      <c r="R1309" s="1">
        <v>0.0</v>
      </c>
      <c r="S1309" s="1">
        <v>0.0</v>
      </c>
      <c r="U1309" s="1">
        <v>0.0</v>
      </c>
      <c r="W1309" s="1">
        <v>0.0</v>
      </c>
      <c r="Y1309" s="1">
        <v>0.0</v>
      </c>
      <c r="AA1309" s="1">
        <v>0.0</v>
      </c>
      <c r="AC1309" s="1">
        <v>0.0</v>
      </c>
      <c r="AM1309" s="1">
        <v>17704.0</v>
      </c>
      <c r="AN1309" s="1">
        <v>17704.0</v>
      </c>
      <c r="AO1309" s="1">
        <v>17704.0</v>
      </c>
      <c r="AP1309" s="1">
        <v>6.782</v>
      </c>
      <c r="AR1309" s="1">
        <v>0.0</v>
      </c>
      <c r="AW1309" s="1">
        <v>0.0</v>
      </c>
      <c r="AX1309" s="1">
        <v>3.0</v>
      </c>
      <c r="AY1309" s="1">
        <v>5.0</v>
      </c>
      <c r="BA1309" s="1">
        <v>0.0</v>
      </c>
      <c r="BB1309" s="1">
        <v>0.0</v>
      </c>
      <c r="BC1309" s="1">
        <v>0.0</v>
      </c>
      <c r="BD1309" s="1">
        <v>0.0</v>
      </c>
      <c r="BE1309" s="1">
        <v>0.0</v>
      </c>
      <c r="BF1309" s="1">
        <v>0.0</v>
      </c>
      <c r="BG1309" s="1">
        <v>0.0</v>
      </c>
      <c r="BH1309" s="1">
        <v>0.0</v>
      </c>
      <c r="BI1309" s="1">
        <v>0.0</v>
      </c>
      <c r="BJ1309" s="1">
        <v>0.0</v>
      </c>
      <c r="BP1309" s="1">
        <v>0.257</v>
      </c>
      <c r="BQ1309" s="1" t="s">
        <v>4561</v>
      </c>
      <c r="BV1309" s="1">
        <v>1.1</v>
      </c>
      <c r="EQ1309" s="9" t="s">
        <v>4560</v>
      </c>
      <c r="ER1309" s="21">
        <v>46045.300474537034</v>
      </c>
    </row>
    <row r="1310">
      <c r="A1310" s="9" t="s">
        <v>4562</v>
      </c>
      <c r="B1310" s="20" t="str">
        <f>IFERROR(__xludf.DUMMYFUNCTION("REGEXREPLACE(A1310, ""^https?://[^/]+"", """")"),"/wp-content/uploads/elementor/css/post-67056.css?ver=1768862532")</f>
        <v>/wp-content/uploads/elementor/css/post-67056.css?ver=1768862532</v>
      </c>
      <c r="F1310" s="1" t="s">
        <v>1016</v>
      </c>
      <c r="G1310" s="1">
        <v>200.0</v>
      </c>
      <c r="H1310" s="1" t="s">
        <v>966</v>
      </c>
      <c r="I1310" s="1" t="s">
        <v>967</v>
      </c>
      <c r="L1310" s="1">
        <v>0.0</v>
      </c>
      <c r="M1310" s="1">
        <v>0.0</v>
      </c>
      <c r="O1310" s="1">
        <v>0.0</v>
      </c>
      <c r="P1310" s="1">
        <v>0.0</v>
      </c>
      <c r="R1310" s="1">
        <v>0.0</v>
      </c>
      <c r="S1310" s="1">
        <v>0.0</v>
      </c>
      <c r="U1310" s="1">
        <v>0.0</v>
      </c>
      <c r="W1310" s="1">
        <v>0.0</v>
      </c>
      <c r="Y1310" s="1">
        <v>0.0</v>
      </c>
      <c r="AA1310" s="1">
        <v>0.0</v>
      </c>
      <c r="AC1310" s="1">
        <v>0.0</v>
      </c>
      <c r="AM1310" s="1">
        <v>82.0</v>
      </c>
      <c r="AN1310" s="1">
        <v>82.0</v>
      </c>
      <c r="AO1310" s="1">
        <v>82.0</v>
      </c>
      <c r="AP1310" s="1">
        <v>0.031</v>
      </c>
      <c r="AR1310" s="1">
        <v>0.0</v>
      </c>
      <c r="AW1310" s="1">
        <v>0.0</v>
      </c>
      <c r="AX1310" s="1">
        <v>3.0</v>
      </c>
      <c r="AY1310" s="1">
        <v>4.0</v>
      </c>
      <c r="BA1310" s="1">
        <v>0.0</v>
      </c>
      <c r="BB1310" s="1">
        <v>0.0</v>
      </c>
      <c r="BC1310" s="1">
        <v>0.0</v>
      </c>
      <c r="BD1310" s="1">
        <v>0.0</v>
      </c>
      <c r="BE1310" s="1">
        <v>0.0</v>
      </c>
      <c r="BF1310" s="1">
        <v>0.0</v>
      </c>
      <c r="BG1310" s="1">
        <v>0.0</v>
      </c>
      <c r="BH1310" s="1">
        <v>0.0</v>
      </c>
      <c r="BI1310" s="1">
        <v>0.0</v>
      </c>
      <c r="BJ1310" s="1">
        <v>0.0</v>
      </c>
      <c r="BP1310" s="1">
        <v>0.269</v>
      </c>
      <c r="BQ1310" s="1" t="s">
        <v>4563</v>
      </c>
      <c r="BV1310" s="1">
        <v>1.1</v>
      </c>
      <c r="EQ1310" s="9" t="s">
        <v>4562</v>
      </c>
      <c r="ER1310" s="21">
        <v>46045.300474537034</v>
      </c>
    </row>
    <row r="1311">
      <c r="A1311" s="9" t="s">
        <v>4564</v>
      </c>
      <c r="B1311" s="20" t="str">
        <f>IFERROR(__xludf.DUMMYFUNCTION("REGEXREPLACE(A1311, ""^https?://[^/]+"", """")"),"/wp-content/uploads/2025/03/How-to-Leverage-AI-to-Optimize-B2B-Lead-Generation-Promo-1024x576.jpg")</f>
        <v>/wp-content/uploads/2025/03/How-to-Leverage-AI-to-Optimize-B2B-Lead-Generation-Promo-1024x576.jpg</v>
      </c>
      <c r="F1311" s="1" t="s">
        <v>1004</v>
      </c>
      <c r="G1311" s="1">
        <v>200.0</v>
      </c>
      <c r="H1311" s="1" t="s">
        <v>966</v>
      </c>
      <c r="I1311" s="1" t="s">
        <v>967</v>
      </c>
      <c r="L1311" s="1">
        <v>0.0</v>
      </c>
      <c r="M1311" s="1">
        <v>0.0</v>
      </c>
      <c r="O1311" s="1">
        <v>0.0</v>
      </c>
      <c r="P1311" s="1">
        <v>0.0</v>
      </c>
      <c r="R1311" s="1">
        <v>0.0</v>
      </c>
      <c r="S1311" s="1">
        <v>0.0</v>
      </c>
      <c r="U1311" s="1">
        <v>0.0</v>
      </c>
      <c r="W1311" s="1">
        <v>0.0</v>
      </c>
      <c r="Y1311" s="1">
        <v>0.0</v>
      </c>
      <c r="AA1311" s="1">
        <v>0.0</v>
      </c>
      <c r="AC1311" s="1">
        <v>0.0</v>
      </c>
      <c r="AM1311" s="1">
        <v>81371.0</v>
      </c>
      <c r="AN1311" s="1">
        <v>81371.0</v>
      </c>
      <c r="AO1311" s="1">
        <v>81371.0</v>
      </c>
      <c r="AP1311" s="1">
        <v>31.172</v>
      </c>
      <c r="AR1311" s="1">
        <v>0.0</v>
      </c>
      <c r="AW1311" s="1">
        <v>0.0</v>
      </c>
      <c r="AX1311" s="1">
        <v>3.0</v>
      </c>
      <c r="AY1311" s="1">
        <v>4.0</v>
      </c>
      <c r="BA1311" s="1">
        <v>0.0</v>
      </c>
      <c r="BB1311" s="1">
        <v>0.0</v>
      </c>
      <c r="BC1311" s="1">
        <v>0.0</v>
      </c>
      <c r="BD1311" s="1">
        <v>0.0</v>
      </c>
      <c r="BE1311" s="1">
        <v>0.0</v>
      </c>
      <c r="BF1311" s="1">
        <v>0.0</v>
      </c>
      <c r="BG1311" s="1">
        <v>0.0</v>
      </c>
      <c r="BH1311" s="1">
        <v>0.0</v>
      </c>
      <c r="BI1311" s="1">
        <v>0.0</v>
      </c>
      <c r="BJ1311" s="1">
        <v>0.0</v>
      </c>
      <c r="BP1311" s="1">
        <v>0.263</v>
      </c>
      <c r="BQ1311" s="1" t="s">
        <v>4565</v>
      </c>
      <c r="BV1311" s="1">
        <v>1.1</v>
      </c>
      <c r="EQ1311" s="9" t="s">
        <v>4564</v>
      </c>
      <c r="ER1311" s="21">
        <v>46045.300474537034</v>
      </c>
    </row>
    <row r="1312">
      <c r="A1312" s="9" t="s">
        <v>4566</v>
      </c>
      <c r="B1312" s="20" t="str">
        <f>IFERROR(__xludf.DUMMYFUNCTION("REGEXREPLACE(A1312, ""^https?://[^/]+"", """")"),"/wp-content/uploads/elementor/css/post-30502.css?ver=1768855838")</f>
        <v>/wp-content/uploads/elementor/css/post-30502.css?ver=1768855838</v>
      </c>
      <c r="F1312" s="1" t="s">
        <v>1016</v>
      </c>
      <c r="G1312" s="1">
        <v>200.0</v>
      </c>
      <c r="H1312" s="1" t="s">
        <v>966</v>
      </c>
      <c r="I1312" s="1" t="s">
        <v>967</v>
      </c>
      <c r="L1312" s="1">
        <v>0.0</v>
      </c>
      <c r="M1312" s="1">
        <v>0.0</v>
      </c>
      <c r="O1312" s="1">
        <v>0.0</v>
      </c>
      <c r="P1312" s="1">
        <v>0.0</v>
      </c>
      <c r="R1312" s="1">
        <v>0.0</v>
      </c>
      <c r="S1312" s="1">
        <v>0.0</v>
      </c>
      <c r="U1312" s="1">
        <v>0.0</v>
      </c>
      <c r="W1312" s="1">
        <v>0.0</v>
      </c>
      <c r="Y1312" s="1">
        <v>0.0</v>
      </c>
      <c r="AA1312" s="1">
        <v>0.0</v>
      </c>
      <c r="AC1312" s="1">
        <v>0.0</v>
      </c>
      <c r="AM1312" s="1">
        <v>1155.0</v>
      </c>
      <c r="AN1312" s="1">
        <v>1155.0</v>
      </c>
      <c r="AO1312" s="1">
        <v>1155.0</v>
      </c>
      <c r="AP1312" s="1">
        <v>0.442</v>
      </c>
      <c r="AR1312" s="1">
        <v>0.0</v>
      </c>
      <c r="AW1312" s="1">
        <v>0.0</v>
      </c>
      <c r="AX1312" s="1">
        <v>3.0</v>
      </c>
      <c r="AY1312" s="1">
        <v>4.0</v>
      </c>
      <c r="BA1312" s="1">
        <v>0.0</v>
      </c>
      <c r="BB1312" s="1">
        <v>0.0</v>
      </c>
      <c r="BC1312" s="1">
        <v>0.0</v>
      </c>
      <c r="BD1312" s="1">
        <v>0.0</v>
      </c>
      <c r="BE1312" s="1">
        <v>0.0</v>
      </c>
      <c r="BF1312" s="1">
        <v>0.0</v>
      </c>
      <c r="BG1312" s="1">
        <v>0.0</v>
      </c>
      <c r="BH1312" s="1">
        <v>0.0</v>
      </c>
      <c r="BI1312" s="1">
        <v>0.0</v>
      </c>
      <c r="BJ1312" s="1">
        <v>0.0</v>
      </c>
      <c r="BP1312" s="1">
        <v>0.276</v>
      </c>
      <c r="BQ1312" s="1" t="s">
        <v>4567</v>
      </c>
      <c r="BV1312" s="1">
        <v>1.1</v>
      </c>
      <c r="EQ1312" s="9" t="s">
        <v>4566</v>
      </c>
      <c r="ER1312" s="21">
        <v>46045.30048611111</v>
      </c>
    </row>
    <row r="1313">
      <c r="A1313" s="9" t="s">
        <v>3233</v>
      </c>
      <c r="B1313" s="20" t="str">
        <f>IFERROR(__xludf.DUMMYFUNCTION("REGEXREPLACE(A1313, ""^https?://[^/]+"", """")"),"/category/ai-for-sales/page/2/")</f>
        <v>/category/ai-for-sales/page/2/</v>
      </c>
      <c r="C1313" s="1" t="s">
        <v>3230</v>
      </c>
      <c r="F1313" s="1" t="s">
        <v>965</v>
      </c>
      <c r="G1313" s="1">
        <v>200.0</v>
      </c>
      <c r="H1313" s="1" t="s">
        <v>966</v>
      </c>
      <c r="I1313" s="1" t="s">
        <v>967</v>
      </c>
      <c r="K1313" s="1" t="s">
        <v>4568</v>
      </c>
      <c r="L1313" s="1">
        <v>55.0</v>
      </c>
      <c r="M1313" s="1">
        <v>471.0</v>
      </c>
      <c r="O1313" s="1">
        <v>0.0</v>
      </c>
      <c r="P1313" s="1">
        <v>0.0</v>
      </c>
      <c r="Q1313" s="1" t="s">
        <v>3232</v>
      </c>
      <c r="R1313" s="1">
        <v>130.0</v>
      </c>
      <c r="S1313" s="1">
        <v>823.0</v>
      </c>
      <c r="U1313" s="1">
        <v>0.0</v>
      </c>
      <c r="V1313" s="1" t="s">
        <v>3230</v>
      </c>
      <c r="W1313" s="1">
        <v>22.0</v>
      </c>
      <c r="Y1313" s="1">
        <v>0.0</v>
      </c>
      <c r="AA1313" s="1">
        <v>0.0</v>
      </c>
      <c r="AC1313" s="1">
        <v>0.0</v>
      </c>
      <c r="AD1313" s="1" t="s">
        <v>971</v>
      </c>
      <c r="AG1313" s="9" t="s">
        <v>3233</v>
      </c>
      <c r="AI1313" s="9" t="s">
        <v>3229</v>
      </c>
      <c r="AM1313" s="1">
        <v>154171.0</v>
      </c>
      <c r="AN1313" s="1">
        <v>29264.0</v>
      </c>
      <c r="AO1313" s="1">
        <v>29264.0</v>
      </c>
      <c r="AP1313" s="1">
        <v>11.21</v>
      </c>
      <c r="AR1313" s="1">
        <v>578.0</v>
      </c>
      <c r="AS1313" s="1">
        <v>100.0</v>
      </c>
      <c r="AT1313" s="1">
        <v>5.78</v>
      </c>
      <c r="AU1313" s="1">
        <v>61.188</v>
      </c>
      <c r="AV1313" s="1" t="s">
        <v>990</v>
      </c>
      <c r="AW1313" s="1">
        <v>3.869</v>
      </c>
      <c r="AX1313" s="1">
        <v>3.0</v>
      </c>
      <c r="AY1313" s="1">
        <v>4.0</v>
      </c>
      <c r="AZ1313" s="1">
        <v>1.0</v>
      </c>
      <c r="BA1313" s="1">
        <v>2.0</v>
      </c>
      <c r="BB1313" s="1">
        <v>1.0</v>
      </c>
      <c r="BC1313" s="1">
        <v>0.0</v>
      </c>
      <c r="BD1313" s="1">
        <v>0.13</v>
      </c>
      <c r="BE1313" s="1">
        <v>134.0</v>
      </c>
      <c r="BF1313" s="1">
        <v>48.0</v>
      </c>
      <c r="BG1313" s="1">
        <v>0.0</v>
      </c>
      <c r="BH1313" s="1">
        <v>16.0</v>
      </c>
      <c r="BI1313" s="1">
        <v>8.0</v>
      </c>
      <c r="BJ1313" s="1">
        <v>0.0</v>
      </c>
      <c r="BO1313" s="1" t="s">
        <v>4569</v>
      </c>
      <c r="BP1313" s="1">
        <v>0.935</v>
      </c>
      <c r="BU1313" s="1" t="s">
        <v>974</v>
      </c>
      <c r="BV1313" s="1">
        <v>1.1</v>
      </c>
      <c r="EQ1313" s="9" t="s">
        <v>3233</v>
      </c>
      <c r="ER1313" s="21">
        <v>46045.300474537034</v>
      </c>
    </row>
    <row r="1314">
      <c r="A1314" s="9" t="s">
        <v>4570</v>
      </c>
      <c r="B1314" s="20" t="str">
        <f>IFERROR(__xludf.DUMMYFUNCTION("REGEXREPLACE(A1314, ""^https?://[^/]+"", """")"),"/harnessing-ai-powered-sales-assistants-for-smb-success/")</f>
        <v>/harnessing-ai-powered-sales-assistants-for-smb-success/</v>
      </c>
      <c r="C1314" s="1" t="s">
        <v>4571</v>
      </c>
      <c r="D1314" s="1" t="s">
        <v>4572</v>
      </c>
      <c r="E1314" s="1" t="s">
        <v>4573</v>
      </c>
      <c r="F1314" s="1" t="s">
        <v>965</v>
      </c>
      <c r="G1314" s="1">
        <v>200.0</v>
      </c>
      <c r="H1314" s="1" t="s">
        <v>966</v>
      </c>
      <c r="I1314" s="1" t="s">
        <v>967</v>
      </c>
      <c r="K1314" s="1" t="s">
        <v>4574</v>
      </c>
      <c r="L1314" s="1">
        <v>79.0</v>
      </c>
      <c r="M1314" s="1">
        <v>732.0</v>
      </c>
      <c r="O1314" s="1">
        <v>0.0</v>
      </c>
      <c r="P1314" s="1">
        <v>0.0</v>
      </c>
      <c r="Q1314" s="1" t="s">
        <v>4575</v>
      </c>
      <c r="R1314" s="1">
        <v>152.0</v>
      </c>
      <c r="S1314" s="1">
        <v>981.0</v>
      </c>
      <c r="U1314" s="1">
        <v>0.0</v>
      </c>
      <c r="V1314" s="1" t="s">
        <v>4571</v>
      </c>
      <c r="W1314" s="1">
        <v>54.0</v>
      </c>
      <c r="Y1314" s="1">
        <v>0.0</v>
      </c>
      <c r="Z1314" s="1" t="s">
        <v>4572</v>
      </c>
      <c r="AA1314" s="1">
        <v>48.0</v>
      </c>
      <c r="AB1314" s="1" t="s">
        <v>4573</v>
      </c>
      <c r="AC1314" s="1">
        <v>49.0</v>
      </c>
      <c r="AD1314" s="1" t="s">
        <v>971</v>
      </c>
      <c r="AG1314" s="9" t="s">
        <v>4570</v>
      </c>
      <c r="AM1314" s="1">
        <v>199063.0</v>
      </c>
      <c r="AN1314" s="1">
        <v>36880.0</v>
      </c>
      <c r="AO1314" s="1">
        <v>36880.0</v>
      </c>
      <c r="AP1314" s="1">
        <v>14.128</v>
      </c>
      <c r="AR1314" s="1">
        <v>1461.0</v>
      </c>
      <c r="AS1314" s="1">
        <v>242.0</v>
      </c>
      <c r="AT1314" s="1">
        <v>6.037</v>
      </c>
      <c r="AU1314" s="1">
        <v>45.868</v>
      </c>
      <c r="AV1314" s="1" t="s">
        <v>1075</v>
      </c>
      <c r="AW1314" s="1">
        <v>6.16</v>
      </c>
      <c r="AX1314" s="1">
        <v>3.0</v>
      </c>
      <c r="AY1314" s="1">
        <v>1.0</v>
      </c>
      <c r="AZ1314" s="1">
        <v>1.0</v>
      </c>
      <c r="BA1314" s="1">
        <v>5.0</v>
      </c>
      <c r="BB1314" s="1">
        <v>2.0</v>
      </c>
      <c r="BC1314" s="1">
        <v>0.0</v>
      </c>
      <c r="BD1314" s="1">
        <v>0.27</v>
      </c>
      <c r="BE1314" s="1">
        <v>131.0</v>
      </c>
      <c r="BF1314" s="1">
        <v>49.0</v>
      </c>
      <c r="BG1314" s="1">
        <v>0.0</v>
      </c>
      <c r="BH1314" s="1">
        <v>16.0</v>
      </c>
      <c r="BI1314" s="1">
        <v>8.0</v>
      </c>
      <c r="BJ1314" s="1">
        <v>0.0</v>
      </c>
      <c r="BO1314" s="1" t="s">
        <v>4576</v>
      </c>
      <c r="BP1314" s="1">
        <v>1.008</v>
      </c>
      <c r="BU1314" s="1" t="s">
        <v>974</v>
      </c>
      <c r="BV1314" s="1">
        <v>1.1</v>
      </c>
      <c r="EQ1314" s="9" t="s">
        <v>4570</v>
      </c>
      <c r="ER1314" s="21">
        <v>46045.300474537034</v>
      </c>
    </row>
    <row r="1315">
      <c r="A1315" s="9" t="s">
        <v>4577</v>
      </c>
      <c r="B1315" s="20" t="str">
        <f>IFERROR(__xludf.DUMMYFUNCTION("REGEXREPLACE(A1315, ""^https?://[^/]+"", """")"),"/wp-content/uploads/2024/02/Expanding-Business-with-Sales-Playbook_Technology-Case-Study.pdf")</f>
        <v>/wp-content/uploads/2024/02/Expanding-Business-with-Sales-Playbook_Technology-Case-Study.pdf</v>
      </c>
      <c r="F1315" s="1" t="s">
        <v>1730</v>
      </c>
      <c r="G1315" s="1">
        <v>200.0</v>
      </c>
      <c r="H1315" s="1" t="s">
        <v>966</v>
      </c>
      <c r="I1315" s="1" t="s">
        <v>967</v>
      </c>
      <c r="K1315" s="1" t="s">
        <v>4578</v>
      </c>
      <c r="L1315" s="1">
        <v>37.0</v>
      </c>
      <c r="M1315" s="1">
        <v>361.0</v>
      </c>
      <c r="O1315" s="1">
        <v>0.0</v>
      </c>
      <c r="P1315" s="1">
        <v>0.0</v>
      </c>
      <c r="R1315" s="1">
        <v>0.0</v>
      </c>
      <c r="S1315" s="1">
        <v>0.0</v>
      </c>
      <c r="T1315" s="1" t="s">
        <v>4579</v>
      </c>
      <c r="U1315" s="1">
        <v>23.0</v>
      </c>
      <c r="W1315" s="1">
        <v>0.0</v>
      </c>
      <c r="Y1315" s="1">
        <v>0.0</v>
      </c>
      <c r="AA1315" s="1">
        <v>0.0</v>
      </c>
      <c r="AC1315" s="1">
        <v>0.0</v>
      </c>
      <c r="AM1315" s="1">
        <v>529104.0</v>
      </c>
      <c r="AN1315" s="1">
        <v>529104.0</v>
      </c>
      <c r="AO1315" s="1">
        <v>529104.0</v>
      </c>
      <c r="AP1315" s="1">
        <v>202.69</v>
      </c>
      <c r="AR1315" s="1">
        <v>0.0</v>
      </c>
      <c r="AW1315" s="1">
        <v>0.0</v>
      </c>
      <c r="AX1315" s="1">
        <v>3.0</v>
      </c>
      <c r="AY1315" s="1">
        <v>4.0</v>
      </c>
      <c r="AZ1315" s="1">
        <v>1.0</v>
      </c>
      <c r="BA1315" s="1">
        <v>1.0</v>
      </c>
      <c r="BB1315" s="1">
        <v>1.0</v>
      </c>
      <c r="BC1315" s="1">
        <v>0.0</v>
      </c>
      <c r="BD1315" s="1">
        <v>0.13</v>
      </c>
      <c r="BE1315" s="1">
        <v>0.0</v>
      </c>
      <c r="BF1315" s="1">
        <v>0.0</v>
      </c>
      <c r="BG1315" s="1">
        <v>0.0</v>
      </c>
      <c r="BH1315" s="1">
        <v>0.0</v>
      </c>
      <c r="BI1315" s="1">
        <v>0.0</v>
      </c>
      <c r="BJ1315" s="1">
        <v>0.0</v>
      </c>
      <c r="BP1315" s="1">
        <v>0.274</v>
      </c>
      <c r="BQ1315" s="1" t="s">
        <v>4580</v>
      </c>
      <c r="BV1315" s="1">
        <v>1.1</v>
      </c>
      <c r="EQ1315" s="9" t="s">
        <v>4577</v>
      </c>
      <c r="ER1315" s="21">
        <v>46045.30048611111</v>
      </c>
    </row>
    <row r="1316">
      <c r="A1316" s="9" t="s">
        <v>4581</v>
      </c>
      <c r="B1316" s="20" t="str">
        <f>IFERROR(__xludf.DUMMYFUNCTION("REGEXREPLACE(A1316, ""^https?://[^/]+"", """")"),"/wp-content/themes/salesxceleratione/assets/css/style.css?ver=1769123464")</f>
        <v>/wp-content/themes/salesxceleratione/assets/css/style.css?ver=1769123464</v>
      </c>
      <c r="F1316" s="1" t="s">
        <v>1016</v>
      </c>
      <c r="G1316" s="1">
        <v>200.0</v>
      </c>
      <c r="H1316" s="1" t="s">
        <v>966</v>
      </c>
      <c r="I1316" s="1" t="s">
        <v>967</v>
      </c>
      <c r="L1316" s="1">
        <v>0.0</v>
      </c>
      <c r="M1316" s="1">
        <v>0.0</v>
      </c>
      <c r="O1316" s="1">
        <v>0.0</v>
      </c>
      <c r="P1316" s="1">
        <v>0.0</v>
      </c>
      <c r="R1316" s="1">
        <v>0.0</v>
      </c>
      <c r="S1316" s="1">
        <v>0.0</v>
      </c>
      <c r="U1316" s="1">
        <v>0.0</v>
      </c>
      <c r="W1316" s="1">
        <v>0.0</v>
      </c>
      <c r="Y1316" s="1">
        <v>0.0</v>
      </c>
      <c r="AA1316" s="1">
        <v>0.0</v>
      </c>
      <c r="AC1316" s="1">
        <v>0.0</v>
      </c>
      <c r="AM1316" s="1">
        <v>17704.0</v>
      </c>
      <c r="AN1316" s="1">
        <v>17704.0</v>
      </c>
      <c r="AO1316" s="1">
        <v>17704.0</v>
      </c>
      <c r="AP1316" s="1">
        <v>6.782</v>
      </c>
      <c r="AR1316" s="1">
        <v>0.0</v>
      </c>
      <c r="AW1316" s="1">
        <v>0.0</v>
      </c>
      <c r="AX1316" s="1">
        <v>3.0</v>
      </c>
      <c r="AY1316" s="1">
        <v>5.0</v>
      </c>
      <c r="BA1316" s="1">
        <v>0.0</v>
      </c>
      <c r="BB1316" s="1">
        <v>0.0</v>
      </c>
      <c r="BC1316" s="1">
        <v>0.0</v>
      </c>
      <c r="BD1316" s="1">
        <v>0.0</v>
      </c>
      <c r="BE1316" s="1">
        <v>0.0</v>
      </c>
      <c r="BF1316" s="1">
        <v>0.0</v>
      </c>
      <c r="BG1316" s="1">
        <v>0.0</v>
      </c>
      <c r="BH1316" s="1">
        <v>0.0</v>
      </c>
      <c r="BI1316" s="1">
        <v>0.0</v>
      </c>
      <c r="BJ1316" s="1">
        <v>0.0</v>
      </c>
      <c r="BP1316" s="1">
        <v>0.274</v>
      </c>
      <c r="BQ1316" s="1" t="s">
        <v>4582</v>
      </c>
      <c r="BV1316" s="1">
        <v>1.1</v>
      </c>
      <c r="EQ1316" s="9" t="s">
        <v>4581</v>
      </c>
      <c r="ER1316" s="21">
        <v>46045.30048611111</v>
      </c>
    </row>
    <row r="1317">
      <c r="A1317" s="9" t="s">
        <v>4583</v>
      </c>
      <c r="B1317" s="20" t="str">
        <f>IFERROR(__xludf.DUMMYFUNCTION("REGEXREPLACE(A1317, ""^https?://[^/]+"", """")"),"/wp-content/uploads/elementor/css/post-58243.css?ver=1768862545")</f>
        <v>/wp-content/uploads/elementor/css/post-58243.css?ver=1768862545</v>
      </c>
      <c r="F1317" s="1" t="s">
        <v>1016</v>
      </c>
      <c r="G1317" s="1">
        <v>200.0</v>
      </c>
      <c r="H1317" s="1" t="s">
        <v>966</v>
      </c>
      <c r="I1317" s="1" t="s">
        <v>967</v>
      </c>
      <c r="L1317" s="1">
        <v>0.0</v>
      </c>
      <c r="M1317" s="1">
        <v>0.0</v>
      </c>
      <c r="O1317" s="1">
        <v>0.0</v>
      </c>
      <c r="P1317" s="1">
        <v>0.0</v>
      </c>
      <c r="R1317" s="1">
        <v>0.0</v>
      </c>
      <c r="S1317" s="1">
        <v>0.0</v>
      </c>
      <c r="U1317" s="1">
        <v>0.0</v>
      </c>
      <c r="W1317" s="1">
        <v>0.0</v>
      </c>
      <c r="Y1317" s="1">
        <v>0.0</v>
      </c>
      <c r="AA1317" s="1">
        <v>0.0</v>
      </c>
      <c r="AC1317" s="1">
        <v>0.0</v>
      </c>
      <c r="AM1317" s="1">
        <v>845.0</v>
      </c>
      <c r="AN1317" s="1">
        <v>845.0</v>
      </c>
      <c r="AO1317" s="1">
        <v>845.0</v>
      </c>
      <c r="AP1317" s="1">
        <v>0.324</v>
      </c>
      <c r="AR1317" s="1">
        <v>0.0</v>
      </c>
      <c r="AW1317" s="1">
        <v>0.0</v>
      </c>
      <c r="AX1317" s="1">
        <v>3.0</v>
      </c>
      <c r="AY1317" s="1">
        <v>4.0</v>
      </c>
      <c r="BA1317" s="1">
        <v>0.0</v>
      </c>
      <c r="BB1317" s="1">
        <v>0.0</v>
      </c>
      <c r="BC1317" s="1">
        <v>0.0</v>
      </c>
      <c r="BD1317" s="1">
        <v>0.0</v>
      </c>
      <c r="BE1317" s="1">
        <v>0.0</v>
      </c>
      <c r="BF1317" s="1">
        <v>0.0</v>
      </c>
      <c r="BG1317" s="1">
        <v>0.0</v>
      </c>
      <c r="BH1317" s="1">
        <v>0.0</v>
      </c>
      <c r="BI1317" s="1">
        <v>0.0</v>
      </c>
      <c r="BJ1317" s="1">
        <v>0.0</v>
      </c>
      <c r="BP1317" s="1">
        <v>0.268</v>
      </c>
      <c r="BQ1317" s="1" t="s">
        <v>4482</v>
      </c>
      <c r="BV1317" s="1">
        <v>1.1</v>
      </c>
      <c r="EQ1317" s="9" t="s">
        <v>4583</v>
      </c>
      <c r="ER1317" s="21">
        <v>46045.30048611111</v>
      </c>
    </row>
    <row r="1318">
      <c r="A1318" s="9" t="s">
        <v>4584</v>
      </c>
      <c r="B1318" s="20" t="str">
        <f>IFERROR(__xludf.DUMMYFUNCTION("REGEXREPLACE(A1318, ""^https?://[^/]+"", """")"),"/wp-content/themes/salesxceleratione/assets/css/style.css?ver=1769123486")</f>
        <v>/wp-content/themes/salesxceleratione/assets/css/style.css?ver=1769123486</v>
      </c>
      <c r="F1318" s="1" t="s">
        <v>1016</v>
      </c>
      <c r="G1318" s="1">
        <v>200.0</v>
      </c>
      <c r="H1318" s="1" t="s">
        <v>966</v>
      </c>
      <c r="I1318" s="1" t="s">
        <v>967</v>
      </c>
      <c r="L1318" s="1">
        <v>0.0</v>
      </c>
      <c r="M1318" s="1">
        <v>0.0</v>
      </c>
      <c r="O1318" s="1">
        <v>0.0</v>
      </c>
      <c r="P1318" s="1">
        <v>0.0</v>
      </c>
      <c r="R1318" s="1">
        <v>0.0</v>
      </c>
      <c r="S1318" s="1">
        <v>0.0</v>
      </c>
      <c r="U1318" s="1">
        <v>0.0</v>
      </c>
      <c r="W1318" s="1">
        <v>0.0</v>
      </c>
      <c r="Y1318" s="1">
        <v>0.0</v>
      </c>
      <c r="AA1318" s="1">
        <v>0.0</v>
      </c>
      <c r="AC1318" s="1">
        <v>0.0</v>
      </c>
      <c r="AM1318" s="1">
        <v>17704.0</v>
      </c>
      <c r="AN1318" s="1">
        <v>17704.0</v>
      </c>
      <c r="AO1318" s="1">
        <v>17704.0</v>
      </c>
      <c r="AP1318" s="1">
        <v>6.782</v>
      </c>
      <c r="AR1318" s="1">
        <v>0.0</v>
      </c>
      <c r="AW1318" s="1">
        <v>0.0</v>
      </c>
      <c r="AX1318" s="1">
        <v>3.0</v>
      </c>
      <c r="AY1318" s="1">
        <v>5.0</v>
      </c>
      <c r="BA1318" s="1">
        <v>0.0</v>
      </c>
      <c r="BB1318" s="1">
        <v>0.0</v>
      </c>
      <c r="BC1318" s="1">
        <v>0.0</v>
      </c>
      <c r="BD1318" s="1">
        <v>0.0</v>
      </c>
      <c r="BE1318" s="1">
        <v>0.0</v>
      </c>
      <c r="BF1318" s="1">
        <v>0.0</v>
      </c>
      <c r="BG1318" s="1">
        <v>0.0</v>
      </c>
      <c r="BH1318" s="1">
        <v>0.0</v>
      </c>
      <c r="BI1318" s="1">
        <v>0.0</v>
      </c>
      <c r="BJ1318" s="1">
        <v>0.0</v>
      </c>
      <c r="BP1318" s="1">
        <v>0.274</v>
      </c>
      <c r="BQ1318" s="1" t="s">
        <v>4582</v>
      </c>
      <c r="BV1318" s="1">
        <v>1.1</v>
      </c>
      <c r="EQ1318" s="9" t="s">
        <v>4584</v>
      </c>
      <c r="ER1318" s="21">
        <v>46045.30048611111</v>
      </c>
    </row>
    <row r="1319">
      <c r="A1319" s="9" t="s">
        <v>4585</v>
      </c>
      <c r="B1319" s="20" t="str">
        <f>IFERROR(__xludf.DUMMYFUNCTION("REGEXREPLACE(A1319, ""^https?://[^/]+"", """")"),"/wp-content/uploads/2019/05/case-study-thumb-2048x2048.jpg")</f>
        <v>/wp-content/uploads/2019/05/case-study-thumb-2048x2048.jpg</v>
      </c>
      <c r="F1319" s="1" t="s">
        <v>1004</v>
      </c>
      <c r="G1319" s="1">
        <v>200.0</v>
      </c>
      <c r="H1319" s="1" t="s">
        <v>966</v>
      </c>
      <c r="I1319" s="1" t="s">
        <v>967</v>
      </c>
      <c r="L1319" s="1">
        <v>0.0</v>
      </c>
      <c r="M1319" s="1">
        <v>0.0</v>
      </c>
      <c r="O1319" s="1">
        <v>0.0</v>
      </c>
      <c r="P1319" s="1">
        <v>0.0</v>
      </c>
      <c r="R1319" s="1">
        <v>0.0</v>
      </c>
      <c r="S1319" s="1">
        <v>0.0</v>
      </c>
      <c r="U1319" s="1">
        <v>0.0</v>
      </c>
      <c r="W1319" s="1">
        <v>0.0</v>
      </c>
      <c r="Y1319" s="1">
        <v>0.0</v>
      </c>
      <c r="AA1319" s="1">
        <v>0.0</v>
      </c>
      <c r="AC1319" s="1">
        <v>0.0</v>
      </c>
      <c r="AM1319" s="1">
        <v>457860.0</v>
      </c>
      <c r="AN1319" s="1">
        <v>457860.0</v>
      </c>
      <c r="AO1319" s="1">
        <v>457860.0</v>
      </c>
      <c r="AP1319" s="1">
        <v>175.397</v>
      </c>
      <c r="AR1319" s="1">
        <v>0.0</v>
      </c>
      <c r="AW1319" s="1">
        <v>0.0</v>
      </c>
      <c r="AX1319" s="1">
        <v>3.0</v>
      </c>
      <c r="AY1319" s="1">
        <v>4.0</v>
      </c>
      <c r="BA1319" s="1">
        <v>0.0</v>
      </c>
      <c r="BB1319" s="1">
        <v>0.0</v>
      </c>
      <c r="BC1319" s="1">
        <v>0.0</v>
      </c>
      <c r="BD1319" s="1">
        <v>0.0</v>
      </c>
      <c r="BE1319" s="1">
        <v>0.0</v>
      </c>
      <c r="BF1319" s="1">
        <v>0.0</v>
      </c>
      <c r="BG1319" s="1">
        <v>0.0</v>
      </c>
      <c r="BH1319" s="1">
        <v>0.0</v>
      </c>
      <c r="BI1319" s="1">
        <v>0.0</v>
      </c>
      <c r="BJ1319" s="1">
        <v>0.0</v>
      </c>
      <c r="BP1319" s="1">
        <v>0.266</v>
      </c>
      <c r="BQ1319" s="1" t="s">
        <v>4586</v>
      </c>
      <c r="BV1319" s="1">
        <v>1.1</v>
      </c>
      <c r="EQ1319" s="9" t="s">
        <v>4585</v>
      </c>
      <c r="ER1319" s="21">
        <v>46045.30048611111</v>
      </c>
    </row>
    <row r="1320">
      <c r="A1320" s="9" t="s">
        <v>4587</v>
      </c>
      <c r="B1320" s="20" t="str">
        <f>IFERROR(__xludf.DUMMYFUNCTION("REGEXREPLACE(A1320, ""^https?://[^/]+"", """")"),"/wp-content/themes/salesxceleratione/assets/css/style.css?ver=1769123487")</f>
        <v>/wp-content/themes/salesxceleratione/assets/css/style.css?ver=1769123487</v>
      </c>
      <c r="F1320" s="1" t="s">
        <v>1016</v>
      </c>
      <c r="G1320" s="1">
        <v>200.0</v>
      </c>
      <c r="H1320" s="1" t="s">
        <v>966</v>
      </c>
      <c r="I1320" s="1" t="s">
        <v>967</v>
      </c>
      <c r="L1320" s="1">
        <v>0.0</v>
      </c>
      <c r="M1320" s="1">
        <v>0.0</v>
      </c>
      <c r="O1320" s="1">
        <v>0.0</v>
      </c>
      <c r="P1320" s="1">
        <v>0.0</v>
      </c>
      <c r="R1320" s="1">
        <v>0.0</v>
      </c>
      <c r="S1320" s="1">
        <v>0.0</v>
      </c>
      <c r="U1320" s="1">
        <v>0.0</v>
      </c>
      <c r="W1320" s="1">
        <v>0.0</v>
      </c>
      <c r="Y1320" s="1">
        <v>0.0</v>
      </c>
      <c r="AA1320" s="1">
        <v>0.0</v>
      </c>
      <c r="AC1320" s="1">
        <v>0.0</v>
      </c>
      <c r="AM1320" s="1">
        <v>17704.0</v>
      </c>
      <c r="AN1320" s="1">
        <v>17704.0</v>
      </c>
      <c r="AO1320" s="1">
        <v>17704.0</v>
      </c>
      <c r="AP1320" s="1">
        <v>6.782</v>
      </c>
      <c r="AR1320" s="1">
        <v>0.0</v>
      </c>
      <c r="AW1320" s="1">
        <v>0.0</v>
      </c>
      <c r="AX1320" s="1">
        <v>3.0</v>
      </c>
      <c r="AY1320" s="1">
        <v>5.0</v>
      </c>
      <c r="BA1320" s="1">
        <v>0.0</v>
      </c>
      <c r="BB1320" s="1">
        <v>0.0</v>
      </c>
      <c r="BC1320" s="1">
        <v>0.0</v>
      </c>
      <c r="BD1320" s="1">
        <v>0.0</v>
      </c>
      <c r="BE1320" s="1">
        <v>0.0</v>
      </c>
      <c r="BF1320" s="1">
        <v>0.0</v>
      </c>
      <c r="BG1320" s="1">
        <v>0.0</v>
      </c>
      <c r="BH1320" s="1">
        <v>0.0</v>
      </c>
      <c r="BI1320" s="1">
        <v>0.0</v>
      </c>
      <c r="BJ1320" s="1">
        <v>0.0</v>
      </c>
      <c r="BP1320" s="1">
        <v>0.261</v>
      </c>
      <c r="BQ1320" s="1" t="s">
        <v>4588</v>
      </c>
      <c r="BV1320" s="1">
        <v>1.1</v>
      </c>
      <c r="EQ1320" s="9" t="s">
        <v>4587</v>
      </c>
      <c r="ER1320" s="21">
        <v>46045.30048611111</v>
      </c>
    </row>
    <row r="1321">
      <c r="A1321" s="9" t="s">
        <v>4589</v>
      </c>
      <c r="B1321" s="20" t="str">
        <f>IFERROR(__xludf.DUMMYFUNCTION("REGEXREPLACE(A1321, ""^https?://[^/]+"", """")"),"/wp-content/uploads/2024/06/Medical-Equipment-Healthcare-Improving-Sales-Infrastructure-for-Long-Term-Success.pdf")</f>
        <v>/wp-content/uploads/2024/06/Medical-Equipment-Healthcare-Improving-Sales-Infrastructure-for-Long-Term-Success.pdf</v>
      </c>
      <c r="F1321" s="1" t="s">
        <v>1730</v>
      </c>
      <c r="G1321" s="1">
        <v>200.0</v>
      </c>
      <c r="H1321" s="1" t="s">
        <v>966</v>
      </c>
      <c r="I1321" s="1" t="s">
        <v>967</v>
      </c>
      <c r="K1321" s="1" t="s">
        <v>4590</v>
      </c>
      <c r="L1321" s="1">
        <v>102.0</v>
      </c>
      <c r="M1321" s="1">
        <v>937.0</v>
      </c>
      <c r="O1321" s="1">
        <v>0.0</v>
      </c>
      <c r="P1321" s="1">
        <v>0.0</v>
      </c>
      <c r="R1321" s="1">
        <v>0.0</v>
      </c>
      <c r="S1321" s="1">
        <v>0.0</v>
      </c>
      <c r="T1321" s="1" t="s">
        <v>4591</v>
      </c>
      <c r="U1321" s="1">
        <v>23.0</v>
      </c>
      <c r="W1321" s="1">
        <v>0.0</v>
      </c>
      <c r="Y1321" s="1">
        <v>0.0</v>
      </c>
      <c r="AA1321" s="1">
        <v>0.0</v>
      </c>
      <c r="AC1321" s="1">
        <v>0.0</v>
      </c>
      <c r="AM1321" s="1">
        <v>734842.0</v>
      </c>
      <c r="AN1321" s="1">
        <v>734842.0</v>
      </c>
      <c r="AO1321" s="1">
        <v>734842.0</v>
      </c>
      <c r="AP1321" s="1">
        <v>281.504</v>
      </c>
      <c r="AR1321" s="1">
        <v>0.0</v>
      </c>
      <c r="AW1321" s="1">
        <v>0.0</v>
      </c>
      <c r="AX1321" s="1">
        <v>3.0</v>
      </c>
      <c r="AY1321" s="1">
        <v>4.0</v>
      </c>
      <c r="AZ1321" s="1">
        <v>1.0</v>
      </c>
      <c r="BA1321" s="1">
        <v>1.0</v>
      </c>
      <c r="BB1321" s="1">
        <v>1.0</v>
      </c>
      <c r="BC1321" s="1">
        <v>0.0</v>
      </c>
      <c r="BD1321" s="1">
        <v>0.13</v>
      </c>
      <c r="BE1321" s="1">
        <v>0.0</v>
      </c>
      <c r="BF1321" s="1">
        <v>0.0</v>
      </c>
      <c r="BG1321" s="1">
        <v>0.0</v>
      </c>
      <c r="BH1321" s="1">
        <v>0.0</v>
      </c>
      <c r="BI1321" s="1">
        <v>0.0</v>
      </c>
      <c r="BJ1321" s="1">
        <v>0.0</v>
      </c>
      <c r="BP1321" s="1">
        <v>0.242</v>
      </c>
      <c r="BQ1321" s="1" t="s">
        <v>4592</v>
      </c>
      <c r="BV1321" s="1">
        <v>1.1</v>
      </c>
      <c r="EQ1321" s="9" t="s">
        <v>4589</v>
      </c>
      <c r="ER1321" s="21">
        <v>46045.30048611111</v>
      </c>
    </row>
    <row r="1322">
      <c r="A1322" s="9" t="s">
        <v>4593</v>
      </c>
      <c r="B1322" s="20" t="str">
        <f>IFERROR(__xludf.DUMMYFUNCTION("REGEXREPLACE(A1322, ""^https?://[^/]+"", """")"),"/wp-content/uploads/2025/12/Influencer-Marketing-Agency-Building-a-Future-Proof-Sales-Infrastructure-Jackie-Beatty-Updated-12.4.25-2.pdf")</f>
        <v>/wp-content/uploads/2025/12/Influencer-Marketing-Agency-Building-a-Future-Proof-Sales-Infrastructure-Jackie-Beatty-Updated-12.4.25-2.pdf</v>
      </c>
      <c r="F1322" s="1" t="s">
        <v>1730</v>
      </c>
      <c r="G1322" s="1">
        <v>200.0</v>
      </c>
      <c r="H1322" s="1" t="s">
        <v>966</v>
      </c>
      <c r="I1322" s="1" t="s">
        <v>967</v>
      </c>
      <c r="K1322" s="1" t="s">
        <v>4594</v>
      </c>
      <c r="L1322" s="1">
        <v>107.0</v>
      </c>
      <c r="M1322" s="1">
        <v>953.0</v>
      </c>
      <c r="O1322" s="1">
        <v>0.0</v>
      </c>
      <c r="P1322" s="1">
        <v>0.0</v>
      </c>
      <c r="R1322" s="1">
        <v>0.0</v>
      </c>
      <c r="S1322" s="1">
        <v>0.0</v>
      </c>
      <c r="T1322" s="1" t="s">
        <v>4595</v>
      </c>
      <c r="U1322" s="1">
        <v>25.0</v>
      </c>
      <c r="W1322" s="1">
        <v>0.0</v>
      </c>
      <c r="Y1322" s="1">
        <v>0.0</v>
      </c>
      <c r="AA1322" s="1">
        <v>0.0</v>
      </c>
      <c r="AC1322" s="1">
        <v>0.0</v>
      </c>
      <c r="AM1322" s="1">
        <v>1128113.0</v>
      </c>
      <c r="AN1322" s="1">
        <v>1128113.0</v>
      </c>
      <c r="AO1322" s="1">
        <v>1128113.0</v>
      </c>
      <c r="AP1322" s="1">
        <v>432.159</v>
      </c>
      <c r="AR1322" s="1">
        <v>0.0</v>
      </c>
      <c r="AW1322" s="1">
        <v>0.0</v>
      </c>
      <c r="AX1322" s="1">
        <v>3.0</v>
      </c>
      <c r="AY1322" s="1">
        <v>4.0</v>
      </c>
      <c r="AZ1322" s="1">
        <v>1.0</v>
      </c>
      <c r="BA1322" s="1">
        <v>1.0</v>
      </c>
      <c r="BB1322" s="1">
        <v>1.0</v>
      </c>
      <c r="BC1322" s="1">
        <v>0.0</v>
      </c>
      <c r="BD1322" s="1">
        <v>0.13</v>
      </c>
      <c r="BE1322" s="1">
        <v>0.0</v>
      </c>
      <c r="BF1322" s="1">
        <v>0.0</v>
      </c>
      <c r="BG1322" s="1">
        <v>0.0</v>
      </c>
      <c r="BH1322" s="1">
        <v>0.0</v>
      </c>
      <c r="BI1322" s="1">
        <v>0.0</v>
      </c>
      <c r="BJ1322" s="1">
        <v>0.0</v>
      </c>
      <c r="BP1322" s="1">
        <v>0.272</v>
      </c>
      <c r="BQ1322" s="1" t="s">
        <v>4596</v>
      </c>
      <c r="BV1322" s="1">
        <v>1.1</v>
      </c>
      <c r="EQ1322" s="9" t="s">
        <v>4593</v>
      </c>
      <c r="ER1322" s="21">
        <v>46045.30048611111</v>
      </c>
    </row>
    <row r="1323">
      <c r="A1323" s="9" t="s">
        <v>4597</v>
      </c>
      <c r="B1323" s="20" t="str">
        <f>IFERROR(__xludf.DUMMYFUNCTION("REGEXREPLACE(A1323, ""^https?://[^/]+"", """")"),"/five-steps-to-master-personalization-in-sales/")</f>
        <v>/five-steps-to-master-personalization-in-sales/</v>
      </c>
      <c r="C1323" s="1" t="s">
        <v>4598</v>
      </c>
      <c r="D1323" s="1" t="s">
        <v>4599</v>
      </c>
      <c r="E1323" s="1" t="s">
        <v>4600</v>
      </c>
      <c r="F1323" s="1" t="s">
        <v>965</v>
      </c>
      <c r="G1323" s="1">
        <v>200.0</v>
      </c>
      <c r="H1323" s="1" t="s">
        <v>966</v>
      </c>
      <c r="I1323" s="1" t="s">
        <v>967</v>
      </c>
      <c r="K1323" s="1" t="s">
        <v>4601</v>
      </c>
      <c r="L1323" s="1">
        <v>70.0</v>
      </c>
      <c r="M1323" s="1">
        <v>618.0</v>
      </c>
      <c r="O1323" s="1">
        <v>0.0</v>
      </c>
      <c r="P1323" s="1">
        <v>0.0</v>
      </c>
      <c r="Q1323" s="1" t="s">
        <v>4602</v>
      </c>
      <c r="R1323" s="1">
        <v>138.0</v>
      </c>
      <c r="S1323" s="1">
        <v>846.0</v>
      </c>
      <c r="U1323" s="1">
        <v>0.0</v>
      </c>
      <c r="V1323" s="1" t="s">
        <v>4598</v>
      </c>
      <c r="W1323" s="1">
        <v>45.0</v>
      </c>
      <c r="Y1323" s="1">
        <v>0.0</v>
      </c>
      <c r="Z1323" s="1" t="s">
        <v>4599</v>
      </c>
      <c r="AA1323" s="1">
        <v>42.0</v>
      </c>
      <c r="AB1323" s="1" t="s">
        <v>4600</v>
      </c>
      <c r="AC1323" s="1">
        <v>51.0</v>
      </c>
      <c r="AD1323" s="1" t="s">
        <v>971</v>
      </c>
      <c r="AG1323" s="9" t="s">
        <v>4597</v>
      </c>
      <c r="AM1323" s="1">
        <v>210363.0</v>
      </c>
      <c r="AN1323" s="1">
        <v>37314.0</v>
      </c>
      <c r="AO1323" s="1">
        <v>37314.0</v>
      </c>
      <c r="AP1323" s="1">
        <v>14.294</v>
      </c>
      <c r="AR1323" s="1">
        <v>1492.0</v>
      </c>
      <c r="AS1323" s="1">
        <v>235.0</v>
      </c>
      <c r="AT1323" s="1">
        <v>6.349</v>
      </c>
      <c r="AU1323" s="1">
        <v>48.712</v>
      </c>
      <c r="AV1323" s="1" t="s">
        <v>1075</v>
      </c>
      <c r="AW1323" s="1">
        <v>5.873</v>
      </c>
      <c r="AX1323" s="1">
        <v>3.0</v>
      </c>
      <c r="AY1323" s="1">
        <v>1.0</v>
      </c>
      <c r="AZ1323" s="1">
        <v>1.0</v>
      </c>
      <c r="BA1323" s="1">
        <v>1.0</v>
      </c>
      <c r="BB1323" s="1">
        <v>1.0</v>
      </c>
      <c r="BC1323" s="1">
        <v>0.0</v>
      </c>
      <c r="BD1323" s="1">
        <v>0.13</v>
      </c>
      <c r="BE1323" s="1">
        <v>131.0</v>
      </c>
      <c r="BF1323" s="1">
        <v>48.0</v>
      </c>
      <c r="BG1323" s="1">
        <v>0.0</v>
      </c>
      <c r="BH1323" s="1">
        <v>21.0</v>
      </c>
      <c r="BI1323" s="1">
        <v>13.0</v>
      </c>
      <c r="BJ1323" s="1">
        <v>0.0</v>
      </c>
      <c r="BO1323" s="1" t="s">
        <v>4603</v>
      </c>
      <c r="BP1323" s="1">
        <v>1.108</v>
      </c>
      <c r="BU1323" s="1" t="s">
        <v>974</v>
      </c>
      <c r="BV1323" s="1">
        <v>1.1</v>
      </c>
      <c r="EQ1323" s="9" t="s">
        <v>4597</v>
      </c>
      <c r="ER1323" s="21">
        <v>46045.300474537034</v>
      </c>
    </row>
    <row r="1324">
      <c r="A1324" s="9" t="s">
        <v>4604</v>
      </c>
      <c r="B1324" s="20" t="str">
        <f>IFERROR(__xludf.DUMMYFUNCTION("REGEXREPLACE(A1324, ""^https?://[^/]+"", """")"),"/wp-content/uploads/2019/11/marketing-thumb-2048x2048.jpg")</f>
        <v>/wp-content/uploads/2019/11/marketing-thumb-2048x2048.jpg</v>
      </c>
      <c r="F1324" s="1" t="s">
        <v>1004</v>
      </c>
      <c r="G1324" s="1">
        <v>200.0</v>
      </c>
      <c r="H1324" s="1" t="s">
        <v>966</v>
      </c>
      <c r="I1324" s="1" t="s">
        <v>967</v>
      </c>
      <c r="L1324" s="1">
        <v>0.0</v>
      </c>
      <c r="M1324" s="1">
        <v>0.0</v>
      </c>
      <c r="O1324" s="1">
        <v>0.0</v>
      </c>
      <c r="P1324" s="1">
        <v>0.0</v>
      </c>
      <c r="R1324" s="1">
        <v>0.0</v>
      </c>
      <c r="S1324" s="1">
        <v>0.0</v>
      </c>
      <c r="U1324" s="1">
        <v>0.0</v>
      </c>
      <c r="W1324" s="1">
        <v>0.0</v>
      </c>
      <c r="Y1324" s="1">
        <v>0.0</v>
      </c>
      <c r="AA1324" s="1">
        <v>0.0</v>
      </c>
      <c r="AC1324" s="1">
        <v>0.0</v>
      </c>
      <c r="AM1324" s="1">
        <v>424939.0</v>
      </c>
      <c r="AN1324" s="1">
        <v>424939.0</v>
      </c>
      <c r="AO1324" s="1">
        <v>424939.0</v>
      </c>
      <c r="AP1324" s="1">
        <v>162.786</v>
      </c>
      <c r="AR1324" s="1">
        <v>0.0</v>
      </c>
      <c r="AW1324" s="1">
        <v>0.0</v>
      </c>
      <c r="AX1324" s="1">
        <v>3.0</v>
      </c>
      <c r="AY1324" s="1">
        <v>4.0</v>
      </c>
      <c r="BA1324" s="1">
        <v>0.0</v>
      </c>
      <c r="BB1324" s="1">
        <v>0.0</v>
      </c>
      <c r="BC1324" s="1">
        <v>0.0</v>
      </c>
      <c r="BD1324" s="1">
        <v>0.0</v>
      </c>
      <c r="BE1324" s="1">
        <v>0.0</v>
      </c>
      <c r="BF1324" s="1">
        <v>0.0</v>
      </c>
      <c r="BG1324" s="1">
        <v>0.0</v>
      </c>
      <c r="BH1324" s="1">
        <v>0.0</v>
      </c>
      <c r="BI1324" s="1">
        <v>0.0</v>
      </c>
      <c r="BJ1324" s="1">
        <v>0.0</v>
      </c>
      <c r="BP1324" s="1">
        <v>0.245</v>
      </c>
      <c r="BQ1324" s="1" t="s">
        <v>4605</v>
      </c>
      <c r="BV1324" s="1">
        <v>1.1</v>
      </c>
      <c r="EQ1324" s="9" t="s">
        <v>4604</v>
      </c>
      <c r="ER1324" s="21">
        <v>46045.30048611111</v>
      </c>
    </row>
    <row r="1325">
      <c r="A1325" s="9" t="s">
        <v>4606</v>
      </c>
      <c r="B1325" s="20" t="str">
        <f>IFERROR(__xludf.DUMMYFUNCTION("REGEXREPLACE(A1325, ""^https?://[^/]+"", """")"),"/wp-content/uploads/elementor/css/post-46203.css?ver=1768864040")</f>
        <v>/wp-content/uploads/elementor/css/post-46203.css?ver=1768864040</v>
      </c>
      <c r="F1325" s="1" t="s">
        <v>1016</v>
      </c>
      <c r="G1325" s="1">
        <v>200.0</v>
      </c>
      <c r="H1325" s="1" t="s">
        <v>966</v>
      </c>
      <c r="I1325" s="1" t="s">
        <v>967</v>
      </c>
      <c r="L1325" s="1">
        <v>0.0</v>
      </c>
      <c r="M1325" s="1">
        <v>0.0</v>
      </c>
      <c r="O1325" s="1">
        <v>0.0</v>
      </c>
      <c r="P1325" s="1">
        <v>0.0</v>
      </c>
      <c r="R1325" s="1">
        <v>0.0</v>
      </c>
      <c r="S1325" s="1">
        <v>0.0</v>
      </c>
      <c r="U1325" s="1">
        <v>0.0</v>
      </c>
      <c r="W1325" s="1">
        <v>0.0</v>
      </c>
      <c r="Y1325" s="1">
        <v>0.0</v>
      </c>
      <c r="AA1325" s="1">
        <v>0.0</v>
      </c>
      <c r="AC1325" s="1">
        <v>0.0</v>
      </c>
      <c r="AM1325" s="1">
        <v>1374.0</v>
      </c>
      <c r="AN1325" s="1">
        <v>1374.0</v>
      </c>
      <c r="AO1325" s="1">
        <v>1374.0</v>
      </c>
      <c r="AP1325" s="1">
        <v>0.526</v>
      </c>
      <c r="AR1325" s="1">
        <v>0.0</v>
      </c>
      <c r="AW1325" s="1">
        <v>0.0</v>
      </c>
      <c r="AX1325" s="1">
        <v>3.0</v>
      </c>
      <c r="AY1325" s="1">
        <v>4.0</v>
      </c>
      <c r="BA1325" s="1">
        <v>0.0</v>
      </c>
      <c r="BB1325" s="1">
        <v>0.0</v>
      </c>
      <c r="BC1325" s="1">
        <v>0.0</v>
      </c>
      <c r="BD1325" s="1">
        <v>0.0</v>
      </c>
      <c r="BE1325" s="1">
        <v>0.0</v>
      </c>
      <c r="BF1325" s="1">
        <v>0.0</v>
      </c>
      <c r="BG1325" s="1">
        <v>0.0</v>
      </c>
      <c r="BH1325" s="1">
        <v>0.0</v>
      </c>
      <c r="BI1325" s="1">
        <v>0.0</v>
      </c>
      <c r="BJ1325" s="1">
        <v>0.0</v>
      </c>
      <c r="BP1325" s="1">
        <v>0.284</v>
      </c>
      <c r="BQ1325" s="1" t="s">
        <v>4607</v>
      </c>
      <c r="BV1325" s="1">
        <v>1.1</v>
      </c>
      <c r="EQ1325" s="9" t="s">
        <v>4606</v>
      </c>
      <c r="ER1325" s="21">
        <v>46045.30048611111</v>
      </c>
    </row>
    <row r="1326">
      <c r="A1326" s="9" t="s">
        <v>4608</v>
      </c>
      <c r="B1326" s="20" t="str">
        <f>IFERROR(__xludf.DUMMYFUNCTION("REGEXREPLACE(A1326, ""^https?://[^/]+"", """")"),"/wp-content/uploads/2019/10/pr-case-study-thumb-2048x2048.jpg")</f>
        <v>/wp-content/uploads/2019/10/pr-case-study-thumb-2048x2048.jpg</v>
      </c>
      <c r="F1326" s="1" t="s">
        <v>1004</v>
      </c>
      <c r="G1326" s="1">
        <v>200.0</v>
      </c>
      <c r="H1326" s="1" t="s">
        <v>966</v>
      </c>
      <c r="I1326" s="1" t="s">
        <v>967</v>
      </c>
      <c r="L1326" s="1">
        <v>0.0</v>
      </c>
      <c r="M1326" s="1">
        <v>0.0</v>
      </c>
      <c r="O1326" s="1">
        <v>0.0</v>
      </c>
      <c r="P1326" s="1">
        <v>0.0</v>
      </c>
      <c r="R1326" s="1">
        <v>0.0</v>
      </c>
      <c r="S1326" s="1">
        <v>0.0</v>
      </c>
      <c r="U1326" s="1">
        <v>0.0</v>
      </c>
      <c r="W1326" s="1">
        <v>0.0</v>
      </c>
      <c r="Y1326" s="1">
        <v>0.0</v>
      </c>
      <c r="AA1326" s="1">
        <v>0.0</v>
      </c>
      <c r="AC1326" s="1">
        <v>0.0</v>
      </c>
      <c r="AM1326" s="1">
        <v>325369.0</v>
      </c>
      <c r="AN1326" s="1">
        <v>325369.0</v>
      </c>
      <c r="AO1326" s="1">
        <v>325369.0</v>
      </c>
      <c r="AP1326" s="1">
        <v>124.643</v>
      </c>
      <c r="AR1326" s="1">
        <v>0.0</v>
      </c>
      <c r="AW1326" s="1">
        <v>0.0</v>
      </c>
      <c r="AX1326" s="1">
        <v>3.0</v>
      </c>
      <c r="AY1326" s="1">
        <v>4.0</v>
      </c>
      <c r="BA1326" s="1">
        <v>0.0</v>
      </c>
      <c r="BB1326" s="1">
        <v>0.0</v>
      </c>
      <c r="BC1326" s="1">
        <v>0.0</v>
      </c>
      <c r="BD1326" s="1">
        <v>0.0</v>
      </c>
      <c r="BE1326" s="1">
        <v>0.0</v>
      </c>
      <c r="BF1326" s="1">
        <v>0.0</v>
      </c>
      <c r="BG1326" s="1">
        <v>0.0</v>
      </c>
      <c r="BH1326" s="1">
        <v>0.0</v>
      </c>
      <c r="BI1326" s="1">
        <v>0.0</v>
      </c>
      <c r="BJ1326" s="1">
        <v>0.0</v>
      </c>
      <c r="BP1326" s="1">
        <v>0.262</v>
      </c>
      <c r="BQ1326" s="1" t="s">
        <v>4609</v>
      </c>
      <c r="BV1326" s="1">
        <v>1.1</v>
      </c>
      <c r="EQ1326" s="9" t="s">
        <v>4608</v>
      </c>
      <c r="ER1326" s="21">
        <v>46045.30048611111</v>
      </c>
    </row>
    <row r="1327">
      <c r="A1327" s="9" t="s">
        <v>4610</v>
      </c>
      <c r="B1327" s="20" t="str">
        <f>IFERROR(__xludf.DUMMYFUNCTION("REGEXREPLACE(A1327, ""^https?://[^/]+"", """")"),"/wp-content/uploads/2019/03/marketing-case-study1-2048x2048.jpg")</f>
        <v>/wp-content/uploads/2019/03/marketing-case-study1-2048x2048.jpg</v>
      </c>
      <c r="F1327" s="1" t="s">
        <v>1004</v>
      </c>
      <c r="G1327" s="1">
        <v>200.0</v>
      </c>
      <c r="H1327" s="1" t="s">
        <v>966</v>
      </c>
      <c r="I1327" s="1" t="s">
        <v>967</v>
      </c>
      <c r="L1327" s="1">
        <v>0.0</v>
      </c>
      <c r="M1327" s="1">
        <v>0.0</v>
      </c>
      <c r="O1327" s="1">
        <v>0.0</v>
      </c>
      <c r="P1327" s="1">
        <v>0.0</v>
      </c>
      <c r="R1327" s="1">
        <v>0.0</v>
      </c>
      <c r="S1327" s="1">
        <v>0.0</v>
      </c>
      <c r="U1327" s="1">
        <v>0.0</v>
      </c>
      <c r="W1327" s="1">
        <v>0.0</v>
      </c>
      <c r="Y1327" s="1">
        <v>0.0</v>
      </c>
      <c r="AA1327" s="1">
        <v>0.0</v>
      </c>
      <c r="AC1327" s="1">
        <v>0.0</v>
      </c>
      <c r="AM1327" s="1">
        <v>234102.0</v>
      </c>
      <c r="AN1327" s="1">
        <v>234102.0</v>
      </c>
      <c r="AO1327" s="1">
        <v>234102.0</v>
      </c>
      <c r="AP1327" s="1">
        <v>89.68</v>
      </c>
      <c r="AR1327" s="1">
        <v>0.0</v>
      </c>
      <c r="AW1327" s="1">
        <v>0.0</v>
      </c>
      <c r="AX1327" s="1">
        <v>3.0</v>
      </c>
      <c r="AY1327" s="1">
        <v>4.0</v>
      </c>
      <c r="BA1327" s="1">
        <v>0.0</v>
      </c>
      <c r="BB1327" s="1">
        <v>0.0</v>
      </c>
      <c r="BC1327" s="1">
        <v>0.0</v>
      </c>
      <c r="BD1327" s="1">
        <v>0.0</v>
      </c>
      <c r="BE1327" s="1">
        <v>0.0</v>
      </c>
      <c r="BF1327" s="1">
        <v>0.0</v>
      </c>
      <c r="BG1327" s="1">
        <v>0.0</v>
      </c>
      <c r="BH1327" s="1">
        <v>0.0</v>
      </c>
      <c r="BI1327" s="1">
        <v>0.0</v>
      </c>
      <c r="BJ1327" s="1">
        <v>0.0</v>
      </c>
      <c r="BP1327" s="1">
        <v>0.251</v>
      </c>
      <c r="BQ1327" s="1" t="s">
        <v>4611</v>
      </c>
      <c r="BV1327" s="1">
        <v>1.1</v>
      </c>
      <c r="EQ1327" s="9" t="s">
        <v>4610</v>
      </c>
      <c r="ER1327" s="21">
        <v>46045.30049768519</v>
      </c>
    </row>
    <row r="1328">
      <c r="A1328" s="9" t="s">
        <v>4612</v>
      </c>
      <c r="B1328" s="20" t="str">
        <f>IFERROR(__xludf.DUMMYFUNCTION("REGEXREPLACE(A1328, ""^https?://[^/]+"", """")"),"/wp-content/uploads/2019/07/2019-07-18_161018-768x439.jpg")</f>
        <v>/wp-content/uploads/2019/07/2019-07-18_161018-768x439.jpg</v>
      </c>
      <c r="F1328" s="1" t="s">
        <v>1004</v>
      </c>
      <c r="G1328" s="1">
        <v>200.0</v>
      </c>
      <c r="H1328" s="1" t="s">
        <v>966</v>
      </c>
      <c r="I1328" s="1" t="s">
        <v>967</v>
      </c>
      <c r="L1328" s="1">
        <v>0.0</v>
      </c>
      <c r="M1328" s="1">
        <v>0.0</v>
      </c>
      <c r="O1328" s="1">
        <v>0.0</v>
      </c>
      <c r="P1328" s="1">
        <v>0.0</v>
      </c>
      <c r="R1328" s="1">
        <v>0.0</v>
      </c>
      <c r="S1328" s="1">
        <v>0.0</v>
      </c>
      <c r="U1328" s="1">
        <v>0.0</v>
      </c>
      <c r="W1328" s="1">
        <v>0.0</v>
      </c>
      <c r="Y1328" s="1">
        <v>0.0</v>
      </c>
      <c r="AA1328" s="1">
        <v>0.0</v>
      </c>
      <c r="AC1328" s="1">
        <v>0.0</v>
      </c>
      <c r="AM1328" s="1">
        <v>33842.0</v>
      </c>
      <c r="AN1328" s="1">
        <v>33842.0</v>
      </c>
      <c r="AO1328" s="1">
        <v>33842.0</v>
      </c>
      <c r="AP1328" s="1">
        <v>12.964</v>
      </c>
      <c r="AR1328" s="1">
        <v>0.0</v>
      </c>
      <c r="AW1328" s="1">
        <v>0.0</v>
      </c>
      <c r="AX1328" s="1">
        <v>3.0</v>
      </c>
      <c r="AY1328" s="1">
        <v>4.0</v>
      </c>
      <c r="BA1328" s="1">
        <v>0.0</v>
      </c>
      <c r="BB1328" s="1">
        <v>0.0</v>
      </c>
      <c r="BC1328" s="1">
        <v>0.0</v>
      </c>
      <c r="BD1328" s="1">
        <v>0.0</v>
      </c>
      <c r="BE1328" s="1">
        <v>0.0</v>
      </c>
      <c r="BF1328" s="1">
        <v>0.0</v>
      </c>
      <c r="BG1328" s="1">
        <v>0.0</v>
      </c>
      <c r="BH1328" s="1">
        <v>0.0</v>
      </c>
      <c r="BI1328" s="1">
        <v>0.0</v>
      </c>
      <c r="BJ1328" s="1">
        <v>0.0</v>
      </c>
      <c r="BP1328" s="1">
        <v>0.279</v>
      </c>
      <c r="BQ1328" s="1" t="s">
        <v>4613</v>
      </c>
      <c r="BV1328" s="1">
        <v>1.1</v>
      </c>
      <c r="EQ1328" s="9" t="s">
        <v>4612</v>
      </c>
      <c r="ER1328" s="21">
        <v>46045.30049768519</v>
      </c>
    </row>
    <row r="1329">
      <c r="A1329" s="9" t="s">
        <v>4614</v>
      </c>
      <c r="B1329" s="20" t="str">
        <f>IFERROR(__xludf.DUMMYFUNCTION("REGEXREPLACE(A1329, ""^https?://[^/]+"", """")"),"/wp-content/uploads/elementor/css/post-27203.css?ver=1768846144")</f>
        <v>/wp-content/uploads/elementor/css/post-27203.css?ver=1768846144</v>
      </c>
      <c r="F1329" s="1" t="s">
        <v>1016</v>
      </c>
      <c r="G1329" s="1">
        <v>200.0</v>
      </c>
      <c r="H1329" s="1" t="s">
        <v>966</v>
      </c>
      <c r="I1329" s="1" t="s">
        <v>967</v>
      </c>
      <c r="L1329" s="1">
        <v>0.0</v>
      </c>
      <c r="M1329" s="1">
        <v>0.0</v>
      </c>
      <c r="O1329" s="1">
        <v>0.0</v>
      </c>
      <c r="P1329" s="1">
        <v>0.0</v>
      </c>
      <c r="R1329" s="1">
        <v>0.0</v>
      </c>
      <c r="S1329" s="1">
        <v>0.0</v>
      </c>
      <c r="U1329" s="1">
        <v>0.0</v>
      </c>
      <c r="W1329" s="1">
        <v>0.0</v>
      </c>
      <c r="Y1329" s="1">
        <v>0.0</v>
      </c>
      <c r="AA1329" s="1">
        <v>0.0</v>
      </c>
      <c r="AC1329" s="1">
        <v>0.0</v>
      </c>
      <c r="AM1329" s="1">
        <v>744.0</v>
      </c>
      <c r="AN1329" s="1">
        <v>744.0</v>
      </c>
      <c r="AO1329" s="1">
        <v>744.0</v>
      </c>
      <c r="AP1329" s="1">
        <v>0.285</v>
      </c>
      <c r="AR1329" s="1">
        <v>0.0</v>
      </c>
      <c r="AW1329" s="1">
        <v>0.0</v>
      </c>
      <c r="AX1329" s="1">
        <v>3.0</v>
      </c>
      <c r="AY1329" s="1">
        <v>4.0</v>
      </c>
      <c r="BA1329" s="1">
        <v>0.0</v>
      </c>
      <c r="BB1329" s="1">
        <v>0.0</v>
      </c>
      <c r="BC1329" s="1">
        <v>0.0</v>
      </c>
      <c r="BD1329" s="1">
        <v>0.0</v>
      </c>
      <c r="BE1329" s="1">
        <v>0.0</v>
      </c>
      <c r="BF1329" s="1">
        <v>0.0</v>
      </c>
      <c r="BG1329" s="1">
        <v>0.0</v>
      </c>
      <c r="BH1329" s="1">
        <v>0.0</v>
      </c>
      <c r="BI1329" s="1">
        <v>0.0</v>
      </c>
      <c r="BJ1329" s="1">
        <v>0.0</v>
      </c>
      <c r="BP1329" s="1">
        <v>0.375</v>
      </c>
      <c r="BQ1329" s="1" t="s">
        <v>4615</v>
      </c>
      <c r="BV1329" s="1">
        <v>1.1</v>
      </c>
      <c r="EQ1329" s="9" t="s">
        <v>4614</v>
      </c>
      <c r="ER1329" s="21">
        <v>46045.30049768519</v>
      </c>
    </row>
    <row r="1330">
      <c r="A1330" s="9" t="s">
        <v>4616</v>
      </c>
      <c r="B1330" s="20" t="str">
        <f>IFERROR(__xludf.DUMMYFUNCTION("REGEXREPLACE(A1330, ""^https?://[^/]+"", """")"),"/wp-content/themes/salesxceleratione/assets/css/style.css?ver=1769123490")</f>
        <v>/wp-content/themes/salesxceleratione/assets/css/style.css?ver=1769123490</v>
      </c>
      <c r="F1330" s="1" t="s">
        <v>1016</v>
      </c>
      <c r="G1330" s="1">
        <v>200.0</v>
      </c>
      <c r="H1330" s="1" t="s">
        <v>966</v>
      </c>
      <c r="I1330" s="1" t="s">
        <v>967</v>
      </c>
      <c r="L1330" s="1">
        <v>0.0</v>
      </c>
      <c r="M1330" s="1">
        <v>0.0</v>
      </c>
      <c r="O1330" s="1">
        <v>0.0</v>
      </c>
      <c r="P1330" s="1">
        <v>0.0</v>
      </c>
      <c r="R1330" s="1">
        <v>0.0</v>
      </c>
      <c r="S1330" s="1">
        <v>0.0</v>
      </c>
      <c r="U1330" s="1">
        <v>0.0</v>
      </c>
      <c r="W1330" s="1">
        <v>0.0</v>
      </c>
      <c r="Y1330" s="1">
        <v>0.0</v>
      </c>
      <c r="AA1330" s="1">
        <v>0.0</v>
      </c>
      <c r="AC1330" s="1">
        <v>0.0</v>
      </c>
      <c r="AM1330" s="1">
        <v>17704.0</v>
      </c>
      <c r="AN1330" s="1">
        <v>17704.0</v>
      </c>
      <c r="AO1330" s="1">
        <v>17704.0</v>
      </c>
      <c r="AP1330" s="1">
        <v>6.782</v>
      </c>
      <c r="AR1330" s="1">
        <v>0.0</v>
      </c>
      <c r="AW1330" s="1">
        <v>0.0</v>
      </c>
      <c r="AX1330" s="1">
        <v>3.0</v>
      </c>
      <c r="AY1330" s="1">
        <v>5.0</v>
      </c>
      <c r="BA1330" s="1">
        <v>0.0</v>
      </c>
      <c r="BB1330" s="1">
        <v>0.0</v>
      </c>
      <c r="BC1330" s="1">
        <v>0.0</v>
      </c>
      <c r="BD1330" s="1">
        <v>0.0</v>
      </c>
      <c r="BE1330" s="1">
        <v>0.0</v>
      </c>
      <c r="BF1330" s="1">
        <v>0.0</v>
      </c>
      <c r="BG1330" s="1">
        <v>0.0</v>
      </c>
      <c r="BH1330" s="1">
        <v>0.0</v>
      </c>
      <c r="BI1330" s="1">
        <v>0.0</v>
      </c>
      <c r="BJ1330" s="1">
        <v>0.0</v>
      </c>
      <c r="BP1330" s="1">
        <v>0.405</v>
      </c>
      <c r="BQ1330" s="1" t="s">
        <v>4582</v>
      </c>
      <c r="BV1330" s="1">
        <v>1.1</v>
      </c>
      <c r="EQ1330" s="9" t="s">
        <v>4616</v>
      </c>
      <c r="ER1330" s="21">
        <v>46045.30049768519</v>
      </c>
    </row>
    <row r="1331">
      <c r="A1331" s="9" t="s">
        <v>4617</v>
      </c>
      <c r="B1331" s="20" t="str">
        <f>IFERROR(__xludf.DUMMYFUNCTION("REGEXREPLACE(A1331, ""^https?://[^/]+"", """")"),"/wp-content/uploads/2019/12/manu-case-thumb-768x440.jpg")</f>
        <v>/wp-content/uploads/2019/12/manu-case-thumb-768x440.jpg</v>
      </c>
      <c r="F1331" s="1" t="s">
        <v>1004</v>
      </c>
      <c r="G1331" s="1">
        <v>200.0</v>
      </c>
      <c r="H1331" s="1" t="s">
        <v>966</v>
      </c>
      <c r="I1331" s="1" t="s">
        <v>967</v>
      </c>
      <c r="L1331" s="1">
        <v>0.0</v>
      </c>
      <c r="M1331" s="1">
        <v>0.0</v>
      </c>
      <c r="O1331" s="1">
        <v>0.0</v>
      </c>
      <c r="P1331" s="1">
        <v>0.0</v>
      </c>
      <c r="R1331" s="1">
        <v>0.0</v>
      </c>
      <c r="S1331" s="1">
        <v>0.0</v>
      </c>
      <c r="U1331" s="1">
        <v>0.0</v>
      </c>
      <c r="W1331" s="1">
        <v>0.0</v>
      </c>
      <c r="Y1331" s="1">
        <v>0.0</v>
      </c>
      <c r="AA1331" s="1">
        <v>0.0</v>
      </c>
      <c r="AC1331" s="1">
        <v>0.0</v>
      </c>
      <c r="AM1331" s="1">
        <v>80565.0</v>
      </c>
      <c r="AN1331" s="1">
        <v>80565.0</v>
      </c>
      <c r="AO1331" s="1">
        <v>80565.0</v>
      </c>
      <c r="AP1331" s="1">
        <v>30.863</v>
      </c>
      <c r="AR1331" s="1">
        <v>0.0</v>
      </c>
      <c r="AW1331" s="1">
        <v>0.0</v>
      </c>
      <c r="AX1331" s="1">
        <v>3.0</v>
      </c>
      <c r="AY1331" s="1">
        <v>4.0</v>
      </c>
      <c r="BA1331" s="1">
        <v>0.0</v>
      </c>
      <c r="BB1331" s="1">
        <v>0.0</v>
      </c>
      <c r="BC1331" s="1">
        <v>0.0</v>
      </c>
      <c r="BD1331" s="1">
        <v>0.0</v>
      </c>
      <c r="BE1331" s="1">
        <v>0.0</v>
      </c>
      <c r="BF1331" s="1">
        <v>0.0</v>
      </c>
      <c r="BG1331" s="1">
        <v>0.0</v>
      </c>
      <c r="BH1331" s="1">
        <v>0.0</v>
      </c>
      <c r="BI1331" s="1">
        <v>0.0</v>
      </c>
      <c r="BJ1331" s="1">
        <v>0.0</v>
      </c>
      <c r="BP1331" s="1">
        <v>0.272</v>
      </c>
      <c r="BQ1331" s="1" t="s">
        <v>4618</v>
      </c>
      <c r="BV1331" s="1">
        <v>1.1</v>
      </c>
      <c r="EQ1331" s="9" t="s">
        <v>4617</v>
      </c>
      <c r="ER1331" s="21">
        <v>46045.30049768519</v>
      </c>
    </row>
    <row r="1332">
      <c r="A1332" s="9" t="s">
        <v>4619</v>
      </c>
      <c r="B1332" s="20" t="str">
        <f>IFERROR(__xludf.DUMMYFUNCTION("REGEXREPLACE(A1332, ""^https?://[^/]+"", """")"),"/wp-content/uploads/2021/07/thumb-Case-Study_Manufacturing_Grew-6-768x421.jpg")</f>
        <v>/wp-content/uploads/2021/07/thumb-Case-Study_Manufacturing_Grew-6-768x421.jpg</v>
      </c>
      <c r="F1332" s="1" t="s">
        <v>1004</v>
      </c>
      <c r="G1332" s="1">
        <v>200.0</v>
      </c>
      <c r="H1332" s="1" t="s">
        <v>966</v>
      </c>
      <c r="I1332" s="1" t="s">
        <v>967</v>
      </c>
      <c r="L1332" s="1">
        <v>0.0</v>
      </c>
      <c r="M1332" s="1">
        <v>0.0</v>
      </c>
      <c r="O1332" s="1">
        <v>0.0</v>
      </c>
      <c r="P1332" s="1">
        <v>0.0</v>
      </c>
      <c r="R1332" s="1">
        <v>0.0</v>
      </c>
      <c r="S1332" s="1">
        <v>0.0</v>
      </c>
      <c r="U1332" s="1">
        <v>0.0</v>
      </c>
      <c r="W1332" s="1">
        <v>0.0</v>
      </c>
      <c r="Y1332" s="1">
        <v>0.0</v>
      </c>
      <c r="AA1332" s="1">
        <v>0.0</v>
      </c>
      <c r="AC1332" s="1">
        <v>0.0</v>
      </c>
      <c r="AM1332" s="1">
        <v>50776.0</v>
      </c>
      <c r="AN1332" s="1">
        <v>50776.0</v>
      </c>
      <c r="AO1332" s="1">
        <v>50776.0</v>
      </c>
      <c r="AP1332" s="1">
        <v>19.451</v>
      </c>
      <c r="AR1332" s="1">
        <v>0.0</v>
      </c>
      <c r="AW1332" s="1">
        <v>0.0</v>
      </c>
      <c r="AX1332" s="1">
        <v>3.0</v>
      </c>
      <c r="AY1332" s="1">
        <v>4.0</v>
      </c>
      <c r="BA1332" s="1">
        <v>0.0</v>
      </c>
      <c r="BB1332" s="1">
        <v>0.0</v>
      </c>
      <c r="BC1332" s="1">
        <v>0.0</v>
      </c>
      <c r="BD1332" s="1">
        <v>0.0</v>
      </c>
      <c r="BE1332" s="1">
        <v>0.0</v>
      </c>
      <c r="BF1332" s="1">
        <v>0.0</v>
      </c>
      <c r="BG1332" s="1">
        <v>0.0</v>
      </c>
      <c r="BH1332" s="1">
        <v>0.0</v>
      </c>
      <c r="BI1332" s="1">
        <v>0.0</v>
      </c>
      <c r="BJ1332" s="1">
        <v>0.0</v>
      </c>
      <c r="BP1332" s="1">
        <v>0.271</v>
      </c>
      <c r="BQ1332" s="1" t="s">
        <v>4620</v>
      </c>
      <c r="BV1332" s="1">
        <v>1.1</v>
      </c>
      <c r="EQ1332" s="9" t="s">
        <v>4619</v>
      </c>
      <c r="ER1332" s="21">
        <v>46045.30049768519</v>
      </c>
    </row>
    <row r="1333">
      <c r="A1333" s="9" t="s">
        <v>4621</v>
      </c>
      <c r="B1333" s="20" t="str">
        <f>IFERROR(__xludf.DUMMYFUNCTION("REGEXREPLACE(A1333, ""^https?://[^/]+"", """")"),"/wp-content/plugins/elementor-pro/assets/css/widget-author-box.min.css?ver=3.34.0")</f>
        <v>/wp-content/plugins/elementor-pro/assets/css/widget-author-box.min.css?ver=3.34.0</v>
      </c>
      <c r="F1333" s="1" t="s">
        <v>1016</v>
      </c>
      <c r="G1333" s="1">
        <v>200.0</v>
      </c>
      <c r="H1333" s="1" t="s">
        <v>966</v>
      </c>
      <c r="I1333" s="1" t="s">
        <v>967</v>
      </c>
      <c r="L1333" s="1">
        <v>0.0</v>
      </c>
      <c r="M1333" s="1">
        <v>0.0</v>
      </c>
      <c r="O1333" s="1">
        <v>0.0</v>
      </c>
      <c r="P1333" s="1">
        <v>0.0</v>
      </c>
      <c r="R1333" s="1">
        <v>0.0</v>
      </c>
      <c r="S1333" s="1">
        <v>0.0</v>
      </c>
      <c r="U1333" s="1">
        <v>0.0</v>
      </c>
      <c r="W1333" s="1">
        <v>0.0</v>
      </c>
      <c r="Y1333" s="1">
        <v>0.0</v>
      </c>
      <c r="AA1333" s="1">
        <v>0.0</v>
      </c>
      <c r="AC1333" s="1">
        <v>0.0</v>
      </c>
      <c r="AM1333" s="1">
        <v>551.0</v>
      </c>
      <c r="AN1333" s="1">
        <v>551.0</v>
      </c>
      <c r="AO1333" s="1">
        <v>551.0</v>
      </c>
      <c r="AP1333" s="1">
        <v>0.211</v>
      </c>
      <c r="AR1333" s="1">
        <v>0.0</v>
      </c>
      <c r="AW1333" s="1">
        <v>0.0</v>
      </c>
      <c r="AX1333" s="1">
        <v>3.0</v>
      </c>
      <c r="AY1333" s="1">
        <v>5.0</v>
      </c>
      <c r="BA1333" s="1">
        <v>0.0</v>
      </c>
      <c r="BB1333" s="1">
        <v>0.0</v>
      </c>
      <c r="BC1333" s="1">
        <v>0.0</v>
      </c>
      <c r="BD1333" s="1">
        <v>0.0</v>
      </c>
      <c r="BE1333" s="1">
        <v>0.0</v>
      </c>
      <c r="BF1333" s="1">
        <v>0.0</v>
      </c>
      <c r="BG1333" s="1">
        <v>0.0</v>
      </c>
      <c r="BH1333" s="1">
        <v>0.0</v>
      </c>
      <c r="BI1333" s="1">
        <v>0.0</v>
      </c>
      <c r="BJ1333" s="1">
        <v>0.0</v>
      </c>
      <c r="BP1333" s="1">
        <v>0.265</v>
      </c>
      <c r="BQ1333" s="1" t="s">
        <v>1041</v>
      </c>
      <c r="BV1333" s="1">
        <v>1.1</v>
      </c>
      <c r="EQ1333" s="9" t="s">
        <v>4621</v>
      </c>
      <c r="ER1333" s="21">
        <v>46045.30049768519</v>
      </c>
    </row>
    <row r="1334">
      <c r="A1334" s="9" t="s">
        <v>4622</v>
      </c>
      <c r="B1334" s="20" t="str">
        <f>IFERROR(__xludf.DUMMYFUNCTION("REGEXREPLACE(A1334, ""^https?://[^/]+"", """")"),"/wp-content/uploads/2019/10/pr-case-study-thumb-768x443.jpg")</f>
        <v>/wp-content/uploads/2019/10/pr-case-study-thumb-768x443.jpg</v>
      </c>
      <c r="F1334" s="1" t="s">
        <v>1004</v>
      </c>
      <c r="G1334" s="1">
        <v>200.0</v>
      </c>
      <c r="H1334" s="1" t="s">
        <v>966</v>
      </c>
      <c r="I1334" s="1" t="s">
        <v>967</v>
      </c>
      <c r="L1334" s="1">
        <v>0.0</v>
      </c>
      <c r="M1334" s="1">
        <v>0.0</v>
      </c>
      <c r="O1334" s="1">
        <v>0.0</v>
      </c>
      <c r="P1334" s="1">
        <v>0.0</v>
      </c>
      <c r="R1334" s="1">
        <v>0.0</v>
      </c>
      <c r="S1334" s="1">
        <v>0.0</v>
      </c>
      <c r="U1334" s="1">
        <v>0.0</v>
      </c>
      <c r="W1334" s="1">
        <v>0.0</v>
      </c>
      <c r="Y1334" s="1">
        <v>0.0</v>
      </c>
      <c r="AA1334" s="1">
        <v>0.0</v>
      </c>
      <c r="AC1334" s="1">
        <v>0.0</v>
      </c>
      <c r="AM1334" s="1">
        <v>56096.0</v>
      </c>
      <c r="AN1334" s="1">
        <v>56096.0</v>
      </c>
      <c r="AO1334" s="1">
        <v>56096.0</v>
      </c>
      <c r="AP1334" s="1">
        <v>21.489</v>
      </c>
      <c r="AR1334" s="1">
        <v>0.0</v>
      </c>
      <c r="AW1334" s="1">
        <v>0.0</v>
      </c>
      <c r="AX1334" s="1">
        <v>3.0</v>
      </c>
      <c r="AY1334" s="1">
        <v>4.0</v>
      </c>
      <c r="BA1334" s="1">
        <v>0.0</v>
      </c>
      <c r="BB1334" s="1">
        <v>0.0</v>
      </c>
      <c r="BC1334" s="1">
        <v>0.0</v>
      </c>
      <c r="BD1334" s="1">
        <v>0.0</v>
      </c>
      <c r="BE1334" s="1">
        <v>0.0</v>
      </c>
      <c r="BF1334" s="1">
        <v>0.0</v>
      </c>
      <c r="BG1334" s="1">
        <v>0.0</v>
      </c>
      <c r="BH1334" s="1">
        <v>0.0</v>
      </c>
      <c r="BI1334" s="1">
        <v>0.0</v>
      </c>
      <c r="BJ1334" s="1">
        <v>0.0</v>
      </c>
      <c r="BP1334" s="1">
        <v>0.275</v>
      </c>
      <c r="BQ1334" s="1" t="s">
        <v>4623</v>
      </c>
      <c r="BV1334" s="1">
        <v>1.1</v>
      </c>
      <c r="EQ1334" s="9" t="s">
        <v>4622</v>
      </c>
      <c r="ER1334" s="21">
        <v>46045.30049768519</v>
      </c>
    </row>
    <row r="1335">
      <c r="A1335" s="9" t="s">
        <v>4624</v>
      </c>
      <c r="B1335" s="20" t="str">
        <f>IFERROR(__xludf.DUMMYFUNCTION("REGEXREPLACE(A1335, ""^https?://[^/]+"", """")"),"/wp-content/uploads/2019/03/tech-case-study1-768x439.jpg")</f>
        <v>/wp-content/uploads/2019/03/tech-case-study1-768x439.jpg</v>
      </c>
      <c r="F1335" s="1" t="s">
        <v>1004</v>
      </c>
      <c r="G1335" s="1">
        <v>200.0</v>
      </c>
      <c r="H1335" s="1" t="s">
        <v>966</v>
      </c>
      <c r="I1335" s="1" t="s">
        <v>967</v>
      </c>
      <c r="L1335" s="1">
        <v>0.0</v>
      </c>
      <c r="M1335" s="1">
        <v>0.0</v>
      </c>
      <c r="O1335" s="1">
        <v>0.0</v>
      </c>
      <c r="P1335" s="1">
        <v>0.0</v>
      </c>
      <c r="R1335" s="1">
        <v>0.0</v>
      </c>
      <c r="S1335" s="1">
        <v>0.0</v>
      </c>
      <c r="U1335" s="1">
        <v>0.0</v>
      </c>
      <c r="W1335" s="1">
        <v>0.0</v>
      </c>
      <c r="Y1335" s="1">
        <v>0.0</v>
      </c>
      <c r="AA1335" s="1">
        <v>0.0</v>
      </c>
      <c r="AC1335" s="1">
        <v>0.0</v>
      </c>
      <c r="AM1335" s="1">
        <v>37131.0</v>
      </c>
      <c r="AN1335" s="1">
        <v>37131.0</v>
      </c>
      <c r="AO1335" s="1">
        <v>37131.0</v>
      </c>
      <c r="AP1335" s="1">
        <v>14.224</v>
      </c>
      <c r="AR1335" s="1">
        <v>0.0</v>
      </c>
      <c r="AW1335" s="1">
        <v>0.0</v>
      </c>
      <c r="AX1335" s="1">
        <v>3.0</v>
      </c>
      <c r="AY1335" s="1">
        <v>4.0</v>
      </c>
      <c r="BA1335" s="1">
        <v>0.0</v>
      </c>
      <c r="BB1335" s="1">
        <v>0.0</v>
      </c>
      <c r="BC1335" s="1">
        <v>0.0</v>
      </c>
      <c r="BD1335" s="1">
        <v>0.0</v>
      </c>
      <c r="BE1335" s="1">
        <v>0.0</v>
      </c>
      <c r="BF1335" s="1">
        <v>0.0</v>
      </c>
      <c r="BG1335" s="1">
        <v>0.0</v>
      </c>
      <c r="BH1335" s="1">
        <v>0.0</v>
      </c>
      <c r="BI1335" s="1">
        <v>0.0</v>
      </c>
      <c r="BJ1335" s="1">
        <v>0.0</v>
      </c>
      <c r="BP1335" s="1">
        <v>0.26</v>
      </c>
      <c r="BQ1335" s="1" t="s">
        <v>4625</v>
      </c>
      <c r="BV1335" s="1">
        <v>1.1</v>
      </c>
      <c r="EQ1335" s="9" t="s">
        <v>4624</v>
      </c>
      <c r="ER1335" s="21">
        <v>46045.30049768519</v>
      </c>
    </row>
    <row r="1336">
      <c r="A1336" s="9" t="s">
        <v>4626</v>
      </c>
      <c r="B1336" s="20" t="str">
        <f>IFERROR(__xludf.DUMMYFUNCTION("REGEXREPLACE(A1336, ""^https?://[^/]+"", """")"),"/wp-content/uploads/2019/11/retail-thumb-768x439.jpg")</f>
        <v>/wp-content/uploads/2019/11/retail-thumb-768x439.jpg</v>
      </c>
      <c r="F1336" s="1" t="s">
        <v>1004</v>
      </c>
      <c r="G1336" s="1">
        <v>200.0</v>
      </c>
      <c r="H1336" s="1" t="s">
        <v>966</v>
      </c>
      <c r="I1336" s="1" t="s">
        <v>967</v>
      </c>
      <c r="L1336" s="1">
        <v>0.0</v>
      </c>
      <c r="M1336" s="1">
        <v>0.0</v>
      </c>
      <c r="O1336" s="1">
        <v>0.0</v>
      </c>
      <c r="P1336" s="1">
        <v>0.0</v>
      </c>
      <c r="R1336" s="1">
        <v>0.0</v>
      </c>
      <c r="S1336" s="1">
        <v>0.0</v>
      </c>
      <c r="U1336" s="1">
        <v>0.0</v>
      </c>
      <c r="W1336" s="1">
        <v>0.0</v>
      </c>
      <c r="Y1336" s="1">
        <v>0.0</v>
      </c>
      <c r="AA1336" s="1">
        <v>0.0</v>
      </c>
      <c r="AC1336" s="1">
        <v>0.0</v>
      </c>
      <c r="AM1336" s="1">
        <v>34889.0</v>
      </c>
      <c r="AN1336" s="1">
        <v>34889.0</v>
      </c>
      <c r="AO1336" s="1">
        <v>34889.0</v>
      </c>
      <c r="AP1336" s="1">
        <v>13.365</v>
      </c>
      <c r="AR1336" s="1">
        <v>0.0</v>
      </c>
      <c r="AW1336" s="1">
        <v>0.0</v>
      </c>
      <c r="AX1336" s="1">
        <v>3.0</v>
      </c>
      <c r="AY1336" s="1">
        <v>4.0</v>
      </c>
      <c r="BA1336" s="1">
        <v>0.0</v>
      </c>
      <c r="BB1336" s="1">
        <v>0.0</v>
      </c>
      <c r="BC1336" s="1">
        <v>0.0</v>
      </c>
      <c r="BD1336" s="1">
        <v>0.0</v>
      </c>
      <c r="BE1336" s="1">
        <v>0.0</v>
      </c>
      <c r="BF1336" s="1">
        <v>0.0</v>
      </c>
      <c r="BG1336" s="1">
        <v>0.0</v>
      </c>
      <c r="BH1336" s="1">
        <v>0.0</v>
      </c>
      <c r="BI1336" s="1">
        <v>0.0</v>
      </c>
      <c r="BJ1336" s="1">
        <v>0.0</v>
      </c>
      <c r="BP1336" s="1">
        <v>0.252</v>
      </c>
      <c r="BQ1336" s="1" t="s">
        <v>4627</v>
      </c>
      <c r="BV1336" s="1">
        <v>1.1</v>
      </c>
      <c r="EQ1336" s="9" t="s">
        <v>4626</v>
      </c>
      <c r="ER1336" s="21">
        <v>46045.30049768519</v>
      </c>
    </row>
    <row r="1337">
      <c r="A1337" s="9" t="s">
        <v>4628</v>
      </c>
      <c r="B1337" s="20" t="str">
        <f>IFERROR(__xludf.DUMMYFUNCTION("REGEXREPLACE(A1337, ""^https?://[^/]+"", """")"),"/wp-content/uploads/2026/01/Why-68-of-Companies-Cant-Trust-Their-Sales-Forecasts-300x200.jpg")</f>
        <v>/wp-content/uploads/2026/01/Why-68-of-Companies-Cant-Trust-Their-Sales-Forecasts-300x200.jpg</v>
      </c>
      <c r="F1337" s="1" t="s">
        <v>1004</v>
      </c>
      <c r="G1337" s="1">
        <v>200.0</v>
      </c>
      <c r="H1337" s="1" t="s">
        <v>966</v>
      </c>
      <c r="I1337" s="1" t="s">
        <v>967</v>
      </c>
      <c r="L1337" s="1">
        <v>0.0</v>
      </c>
      <c r="M1337" s="1">
        <v>0.0</v>
      </c>
      <c r="O1337" s="1">
        <v>0.0</v>
      </c>
      <c r="P1337" s="1">
        <v>0.0</v>
      </c>
      <c r="R1337" s="1">
        <v>0.0</v>
      </c>
      <c r="S1337" s="1">
        <v>0.0</v>
      </c>
      <c r="U1337" s="1">
        <v>0.0</v>
      </c>
      <c r="W1337" s="1">
        <v>0.0</v>
      </c>
      <c r="Y1337" s="1">
        <v>0.0</v>
      </c>
      <c r="AA1337" s="1">
        <v>0.0</v>
      </c>
      <c r="AC1337" s="1">
        <v>0.0</v>
      </c>
      <c r="AM1337" s="1">
        <v>17981.0</v>
      </c>
      <c r="AN1337" s="1">
        <v>17981.0</v>
      </c>
      <c r="AO1337" s="1">
        <v>17981.0</v>
      </c>
      <c r="AP1337" s="1">
        <v>6.888</v>
      </c>
      <c r="AR1337" s="1">
        <v>0.0</v>
      </c>
      <c r="AW1337" s="1">
        <v>0.0</v>
      </c>
      <c r="AX1337" s="1">
        <v>3.0</v>
      </c>
      <c r="AY1337" s="1">
        <v>4.0</v>
      </c>
      <c r="BA1337" s="1">
        <v>0.0</v>
      </c>
      <c r="BB1337" s="1">
        <v>0.0</v>
      </c>
      <c r="BC1337" s="1">
        <v>0.0</v>
      </c>
      <c r="BD1337" s="1">
        <v>0.0</v>
      </c>
      <c r="BE1337" s="1">
        <v>0.0</v>
      </c>
      <c r="BF1337" s="1">
        <v>0.0</v>
      </c>
      <c r="BG1337" s="1">
        <v>0.0</v>
      </c>
      <c r="BH1337" s="1">
        <v>0.0</v>
      </c>
      <c r="BI1337" s="1">
        <v>0.0</v>
      </c>
      <c r="BJ1337" s="1">
        <v>0.0</v>
      </c>
      <c r="BP1337" s="1">
        <v>0.271</v>
      </c>
      <c r="BQ1337" s="1" t="s">
        <v>4629</v>
      </c>
      <c r="BV1337" s="1">
        <v>1.1</v>
      </c>
      <c r="EQ1337" s="9" t="s">
        <v>4628</v>
      </c>
      <c r="ER1337" s="21">
        <v>46045.30049768519</v>
      </c>
    </row>
    <row r="1338">
      <c r="A1338" s="9" t="s">
        <v>4630</v>
      </c>
      <c r="B1338" s="20" t="str">
        <f>IFERROR(__xludf.DUMMYFUNCTION("REGEXREPLACE(A1338, ""^https?://[^/]+"", """")"),"/wp-content/uploads/2019/05/case-study-thumb-768x440.jpg")</f>
        <v>/wp-content/uploads/2019/05/case-study-thumb-768x440.jpg</v>
      </c>
      <c r="F1338" s="1" t="s">
        <v>1004</v>
      </c>
      <c r="G1338" s="1">
        <v>200.0</v>
      </c>
      <c r="H1338" s="1" t="s">
        <v>966</v>
      </c>
      <c r="I1338" s="1" t="s">
        <v>967</v>
      </c>
      <c r="L1338" s="1">
        <v>0.0</v>
      </c>
      <c r="M1338" s="1">
        <v>0.0</v>
      </c>
      <c r="O1338" s="1">
        <v>0.0</v>
      </c>
      <c r="P1338" s="1">
        <v>0.0</v>
      </c>
      <c r="R1338" s="1">
        <v>0.0</v>
      </c>
      <c r="S1338" s="1">
        <v>0.0</v>
      </c>
      <c r="U1338" s="1">
        <v>0.0</v>
      </c>
      <c r="W1338" s="1">
        <v>0.0</v>
      </c>
      <c r="Y1338" s="1">
        <v>0.0</v>
      </c>
      <c r="AA1338" s="1">
        <v>0.0</v>
      </c>
      <c r="AC1338" s="1">
        <v>0.0</v>
      </c>
      <c r="AM1338" s="1">
        <v>75009.0</v>
      </c>
      <c r="AN1338" s="1">
        <v>75009.0</v>
      </c>
      <c r="AO1338" s="1">
        <v>75009.0</v>
      </c>
      <c r="AP1338" s="1">
        <v>28.735</v>
      </c>
      <c r="AR1338" s="1">
        <v>0.0</v>
      </c>
      <c r="AW1338" s="1">
        <v>0.0</v>
      </c>
      <c r="AX1338" s="1">
        <v>3.0</v>
      </c>
      <c r="AY1338" s="1">
        <v>4.0</v>
      </c>
      <c r="BA1338" s="1">
        <v>0.0</v>
      </c>
      <c r="BB1338" s="1">
        <v>0.0</v>
      </c>
      <c r="BC1338" s="1">
        <v>0.0</v>
      </c>
      <c r="BD1338" s="1">
        <v>0.0</v>
      </c>
      <c r="BE1338" s="1">
        <v>0.0</v>
      </c>
      <c r="BF1338" s="1">
        <v>0.0</v>
      </c>
      <c r="BG1338" s="1">
        <v>0.0</v>
      </c>
      <c r="BH1338" s="1">
        <v>0.0</v>
      </c>
      <c r="BI1338" s="1">
        <v>0.0</v>
      </c>
      <c r="BJ1338" s="1">
        <v>0.0</v>
      </c>
      <c r="BP1338" s="1">
        <v>0.262</v>
      </c>
      <c r="BQ1338" s="1" t="s">
        <v>4631</v>
      </c>
      <c r="BV1338" s="1">
        <v>1.1</v>
      </c>
      <c r="EQ1338" s="9" t="s">
        <v>4630</v>
      </c>
      <c r="ER1338" s="21">
        <v>46045.30049768519</v>
      </c>
    </row>
    <row r="1339">
      <c r="A1339" s="9" t="s">
        <v>4632</v>
      </c>
      <c r="B1339" s="20" t="str">
        <f>IFERROR(__xludf.DUMMYFUNCTION("REGEXREPLACE(A1339, ""^https?://[^/]+"", """")"),"/wp-content/uploads/2019/11/construction-thumb-768x430.jpg")</f>
        <v>/wp-content/uploads/2019/11/construction-thumb-768x430.jpg</v>
      </c>
      <c r="F1339" s="1" t="s">
        <v>1004</v>
      </c>
      <c r="G1339" s="1">
        <v>200.0</v>
      </c>
      <c r="H1339" s="1" t="s">
        <v>966</v>
      </c>
      <c r="I1339" s="1" t="s">
        <v>967</v>
      </c>
      <c r="L1339" s="1">
        <v>0.0</v>
      </c>
      <c r="M1339" s="1">
        <v>0.0</v>
      </c>
      <c r="O1339" s="1">
        <v>0.0</v>
      </c>
      <c r="P1339" s="1">
        <v>0.0</v>
      </c>
      <c r="R1339" s="1">
        <v>0.0</v>
      </c>
      <c r="S1339" s="1">
        <v>0.0</v>
      </c>
      <c r="U1339" s="1">
        <v>0.0</v>
      </c>
      <c r="W1339" s="1">
        <v>0.0</v>
      </c>
      <c r="Y1339" s="1">
        <v>0.0</v>
      </c>
      <c r="AA1339" s="1">
        <v>0.0</v>
      </c>
      <c r="AC1339" s="1">
        <v>0.0</v>
      </c>
      <c r="AM1339" s="1">
        <v>47650.0</v>
      </c>
      <c r="AN1339" s="1">
        <v>47650.0</v>
      </c>
      <c r="AO1339" s="1">
        <v>47650.0</v>
      </c>
      <c r="AP1339" s="1">
        <v>18.254</v>
      </c>
      <c r="AR1339" s="1">
        <v>0.0</v>
      </c>
      <c r="AW1339" s="1">
        <v>0.0</v>
      </c>
      <c r="AX1339" s="1">
        <v>3.0</v>
      </c>
      <c r="AY1339" s="1">
        <v>4.0</v>
      </c>
      <c r="BA1339" s="1">
        <v>0.0</v>
      </c>
      <c r="BB1339" s="1">
        <v>0.0</v>
      </c>
      <c r="BC1339" s="1">
        <v>0.0</v>
      </c>
      <c r="BD1339" s="1">
        <v>0.0</v>
      </c>
      <c r="BE1339" s="1">
        <v>0.0</v>
      </c>
      <c r="BF1339" s="1">
        <v>0.0</v>
      </c>
      <c r="BG1339" s="1">
        <v>0.0</v>
      </c>
      <c r="BH1339" s="1">
        <v>0.0</v>
      </c>
      <c r="BI1339" s="1">
        <v>0.0</v>
      </c>
      <c r="BJ1339" s="1">
        <v>0.0</v>
      </c>
      <c r="BP1339" s="1">
        <v>0.279</v>
      </c>
      <c r="BQ1339" s="1" t="s">
        <v>4633</v>
      </c>
      <c r="BV1339" s="1">
        <v>1.1</v>
      </c>
      <c r="EQ1339" s="9" t="s">
        <v>4632</v>
      </c>
      <c r="ER1339" s="21">
        <v>46045.30049768519</v>
      </c>
    </row>
    <row r="1340">
      <c r="A1340" s="9" t="s">
        <v>4634</v>
      </c>
      <c r="B1340" s="20" t="str">
        <f>IFERROR(__xludf.DUMMYFUNCTION("REGEXREPLACE(A1340, ""^https?://[^/]+"", """")"),"/wp-content/uploads/elementor/css/post-52090.css?ver=1768847962")</f>
        <v>/wp-content/uploads/elementor/css/post-52090.css?ver=1768847962</v>
      </c>
      <c r="F1340" s="1" t="s">
        <v>1016</v>
      </c>
      <c r="G1340" s="1">
        <v>200.0</v>
      </c>
      <c r="H1340" s="1" t="s">
        <v>966</v>
      </c>
      <c r="I1340" s="1" t="s">
        <v>967</v>
      </c>
      <c r="L1340" s="1">
        <v>0.0</v>
      </c>
      <c r="M1340" s="1">
        <v>0.0</v>
      </c>
      <c r="O1340" s="1">
        <v>0.0</v>
      </c>
      <c r="P1340" s="1">
        <v>0.0</v>
      </c>
      <c r="R1340" s="1">
        <v>0.0</v>
      </c>
      <c r="S1340" s="1">
        <v>0.0</v>
      </c>
      <c r="U1340" s="1">
        <v>0.0</v>
      </c>
      <c r="W1340" s="1">
        <v>0.0</v>
      </c>
      <c r="Y1340" s="1">
        <v>0.0</v>
      </c>
      <c r="AA1340" s="1">
        <v>0.0</v>
      </c>
      <c r="AC1340" s="1">
        <v>0.0</v>
      </c>
      <c r="AM1340" s="1">
        <v>4519.0</v>
      </c>
      <c r="AN1340" s="1">
        <v>4519.0</v>
      </c>
      <c r="AO1340" s="1">
        <v>4519.0</v>
      </c>
      <c r="AP1340" s="1">
        <v>1.731</v>
      </c>
      <c r="AR1340" s="1">
        <v>0.0</v>
      </c>
      <c r="AW1340" s="1">
        <v>0.0</v>
      </c>
      <c r="AX1340" s="1">
        <v>3.0</v>
      </c>
      <c r="AY1340" s="1">
        <v>4.0</v>
      </c>
      <c r="BA1340" s="1">
        <v>0.0</v>
      </c>
      <c r="BB1340" s="1">
        <v>0.0</v>
      </c>
      <c r="BC1340" s="1">
        <v>0.0</v>
      </c>
      <c r="BD1340" s="1">
        <v>0.0</v>
      </c>
      <c r="BE1340" s="1">
        <v>0.0</v>
      </c>
      <c r="BF1340" s="1">
        <v>0.0</v>
      </c>
      <c r="BG1340" s="1">
        <v>0.0</v>
      </c>
      <c r="BH1340" s="1">
        <v>0.0</v>
      </c>
      <c r="BI1340" s="1">
        <v>0.0</v>
      </c>
      <c r="BJ1340" s="1">
        <v>0.0</v>
      </c>
      <c r="BP1340" s="1">
        <v>0.261</v>
      </c>
      <c r="BQ1340" s="1" t="s">
        <v>2939</v>
      </c>
      <c r="BV1340" s="1">
        <v>1.1</v>
      </c>
      <c r="EQ1340" s="9" t="s">
        <v>4634</v>
      </c>
      <c r="ER1340" s="21">
        <v>46045.30049768519</v>
      </c>
    </row>
    <row r="1341">
      <c r="A1341" s="9" t="s">
        <v>4635</v>
      </c>
      <c r="B1341" s="20" t="str">
        <f>IFERROR(__xludf.DUMMYFUNCTION("REGEXREPLACE(A1341, ""^https?://[^/]+"", """")"),"/wp-content/plugins/elementor/assets/lib/animations/styles/slideInUp.min.css?ver=3.34.0")</f>
        <v>/wp-content/plugins/elementor/assets/lib/animations/styles/slideInUp.min.css?ver=3.34.0</v>
      </c>
      <c r="F1341" s="1" t="s">
        <v>1016</v>
      </c>
      <c r="G1341" s="1">
        <v>200.0</v>
      </c>
      <c r="H1341" s="1" t="s">
        <v>966</v>
      </c>
      <c r="I1341" s="1" t="s">
        <v>967</v>
      </c>
      <c r="L1341" s="1">
        <v>0.0</v>
      </c>
      <c r="M1341" s="1">
        <v>0.0</v>
      </c>
      <c r="O1341" s="1">
        <v>0.0</v>
      </c>
      <c r="P1341" s="1">
        <v>0.0</v>
      </c>
      <c r="R1341" s="1">
        <v>0.0</v>
      </c>
      <c r="S1341" s="1">
        <v>0.0</v>
      </c>
      <c r="U1341" s="1">
        <v>0.0</v>
      </c>
      <c r="W1341" s="1">
        <v>0.0</v>
      </c>
      <c r="Y1341" s="1">
        <v>0.0</v>
      </c>
      <c r="AA1341" s="1">
        <v>0.0</v>
      </c>
      <c r="AC1341" s="1">
        <v>0.0</v>
      </c>
      <c r="AM1341" s="1">
        <v>119.0</v>
      </c>
      <c r="AN1341" s="1">
        <v>119.0</v>
      </c>
      <c r="AO1341" s="1">
        <v>119.0</v>
      </c>
      <c r="AP1341" s="1">
        <v>0.046</v>
      </c>
      <c r="AR1341" s="1">
        <v>0.0</v>
      </c>
      <c r="AW1341" s="1">
        <v>0.0</v>
      </c>
      <c r="AX1341" s="1">
        <v>3.0</v>
      </c>
      <c r="AY1341" s="1">
        <v>7.0</v>
      </c>
      <c r="BA1341" s="1">
        <v>0.0</v>
      </c>
      <c r="BB1341" s="1">
        <v>0.0</v>
      </c>
      <c r="BC1341" s="1">
        <v>0.0</v>
      </c>
      <c r="BD1341" s="1">
        <v>0.0</v>
      </c>
      <c r="BE1341" s="1">
        <v>0.0</v>
      </c>
      <c r="BF1341" s="1">
        <v>0.0</v>
      </c>
      <c r="BG1341" s="1">
        <v>0.0</v>
      </c>
      <c r="BH1341" s="1">
        <v>0.0</v>
      </c>
      <c r="BI1341" s="1">
        <v>0.0</v>
      </c>
      <c r="BJ1341" s="1">
        <v>0.0</v>
      </c>
      <c r="BP1341" s="1">
        <v>0.25</v>
      </c>
      <c r="BQ1341" s="1" t="s">
        <v>1017</v>
      </c>
      <c r="BV1341" s="1">
        <v>1.1</v>
      </c>
      <c r="EQ1341" s="9" t="s">
        <v>4635</v>
      </c>
      <c r="ER1341" s="21">
        <v>46045.30050925926</v>
      </c>
    </row>
    <row r="1342">
      <c r="A1342" s="9" t="s">
        <v>4636</v>
      </c>
      <c r="B1342" s="20" t="str">
        <f>IFERROR(__xludf.DUMMYFUNCTION("REGEXREPLACE(A1342, ""^https?://[^/]+"", """")"),"/wp-content/plugins/elementor-pro/assets/css/modules/motion-fx.min.css?ver=3.34.0")</f>
        <v>/wp-content/plugins/elementor-pro/assets/css/modules/motion-fx.min.css?ver=3.34.0</v>
      </c>
      <c r="F1342" s="1" t="s">
        <v>1016</v>
      </c>
      <c r="G1342" s="1">
        <v>200.0</v>
      </c>
      <c r="H1342" s="1" t="s">
        <v>966</v>
      </c>
      <c r="I1342" s="1" t="s">
        <v>967</v>
      </c>
      <c r="L1342" s="1">
        <v>0.0</v>
      </c>
      <c r="M1342" s="1">
        <v>0.0</v>
      </c>
      <c r="O1342" s="1">
        <v>0.0</v>
      </c>
      <c r="P1342" s="1">
        <v>0.0</v>
      </c>
      <c r="R1342" s="1">
        <v>0.0</v>
      </c>
      <c r="S1342" s="1">
        <v>0.0</v>
      </c>
      <c r="U1342" s="1">
        <v>0.0</v>
      </c>
      <c r="W1342" s="1">
        <v>0.0</v>
      </c>
      <c r="Y1342" s="1">
        <v>0.0</v>
      </c>
      <c r="AA1342" s="1">
        <v>0.0</v>
      </c>
      <c r="AC1342" s="1">
        <v>0.0</v>
      </c>
      <c r="AM1342" s="1">
        <v>310.0</v>
      </c>
      <c r="AN1342" s="1">
        <v>310.0</v>
      </c>
      <c r="AO1342" s="1">
        <v>310.0</v>
      </c>
      <c r="AP1342" s="1">
        <v>0.119</v>
      </c>
      <c r="AR1342" s="1">
        <v>0.0</v>
      </c>
      <c r="AW1342" s="1">
        <v>0.0</v>
      </c>
      <c r="AX1342" s="1">
        <v>3.0</v>
      </c>
      <c r="AY1342" s="1">
        <v>6.0</v>
      </c>
      <c r="BA1342" s="1">
        <v>0.0</v>
      </c>
      <c r="BB1342" s="1">
        <v>0.0</v>
      </c>
      <c r="BC1342" s="1">
        <v>0.0</v>
      </c>
      <c r="BD1342" s="1">
        <v>0.0</v>
      </c>
      <c r="BE1342" s="1">
        <v>0.0</v>
      </c>
      <c r="BF1342" s="1">
        <v>0.0</v>
      </c>
      <c r="BG1342" s="1">
        <v>0.0</v>
      </c>
      <c r="BH1342" s="1">
        <v>0.0</v>
      </c>
      <c r="BI1342" s="1">
        <v>0.0</v>
      </c>
      <c r="BJ1342" s="1">
        <v>0.0</v>
      </c>
      <c r="BP1342" s="1">
        <v>0.25</v>
      </c>
      <c r="BQ1342" s="1" t="s">
        <v>1041</v>
      </c>
      <c r="BV1342" s="1">
        <v>1.1</v>
      </c>
      <c r="EQ1342" s="9" t="s">
        <v>4636</v>
      </c>
      <c r="ER1342" s="21">
        <v>46045.30050925926</v>
      </c>
    </row>
    <row r="1343">
      <c r="A1343" s="9" t="s">
        <v>4637</v>
      </c>
      <c r="B1343" s="20" t="str">
        <f>IFERROR(__xludf.DUMMYFUNCTION("REGEXREPLACE(A1343, ""^https?://[^/]+"", """")"),"/why-68-cant-trust-sales-forecasts-sales-xceleration/")</f>
        <v>/why-68-cant-trust-sales-forecasts-sales-xceleration/</v>
      </c>
      <c r="C1343" s="1" t="s">
        <v>4638</v>
      </c>
      <c r="D1343" s="1" t="s">
        <v>4639</v>
      </c>
      <c r="E1343" s="1" t="s">
        <v>4640</v>
      </c>
      <c r="F1343" s="1" t="s">
        <v>965</v>
      </c>
      <c r="G1343" s="1">
        <v>200.0</v>
      </c>
      <c r="H1343" s="1" t="s">
        <v>966</v>
      </c>
      <c r="I1343" s="1" t="s">
        <v>967</v>
      </c>
      <c r="K1343" s="1" t="s">
        <v>4641</v>
      </c>
      <c r="L1343" s="1">
        <v>80.0</v>
      </c>
      <c r="M1343" s="1">
        <v>716.0</v>
      </c>
      <c r="O1343" s="1">
        <v>0.0</v>
      </c>
      <c r="P1343" s="1">
        <v>0.0</v>
      </c>
      <c r="Q1343" s="1" t="s">
        <v>4642</v>
      </c>
      <c r="R1343" s="1">
        <v>151.0</v>
      </c>
      <c r="S1343" s="1">
        <v>897.0</v>
      </c>
      <c r="U1343" s="1">
        <v>0.0</v>
      </c>
      <c r="V1343" s="1" t="s">
        <v>4638</v>
      </c>
      <c r="W1343" s="1">
        <v>55.0</v>
      </c>
      <c r="Y1343" s="1">
        <v>0.0</v>
      </c>
      <c r="Z1343" s="1" t="s">
        <v>4639</v>
      </c>
      <c r="AA1343" s="1">
        <v>53.0</v>
      </c>
      <c r="AB1343" s="1" t="s">
        <v>4640</v>
      </c>
      <c r="AC1343" s="1">
        <v>37.0</v>
      </c>
      <c r="AD1343" s="1" t="s">
        <v>971</v>
      </c>
      <c r="AG1343" s="9" t="s">
        <v>4637</v>
      </c>
      <c r="AM1343" s="1">
        <v>207967.0</v>
      </c>
      <c r="AN1343" s="1">
        <v>36987.0</v>
      </c>
      <c r="AO1343" s="1">
        <v>36987.0</v>
      </c>
      <c r="AP1343" s="1">
        <v>14.169</v>
      </c>
      <c r="AR1343" s="1">
        <v>1468.0</v>
      </c>
      <c r="AS1343" s="1">
        <v>249.0</v>
      </c>
      <c r="AT1343" s="1">
        <v>5.896</v>
      </c>
      <c r="AU1343" s="1">
        <v>54.818</v>
      </c>
      <c r="AV1343" s="1" t="s">
        <v>972</v>
      </c>
      <c r="AW1343" s="1">
        <v>5.769</v>
      </c>
      <c r="AX1343" s="1">
        <v>3.0</v>
      </c>
      <c r="AY1343" s="1">
        <v>1.0</v>
      </c>
      <c r="AZ1343" s="1">
        <v>1.0</v>
      </c>
      <c r="BA1343" s="1">
        <v>3.0</v>
      </c>
      <c r="BB1343" s="1">
        <v>1.0</v>
      </c>
      <c r="BC1343" s="1">
        <v>0.0</v>
      </c>
      <c r="BD1343" s="1">
        <v>0.13</v>
      </c>
      <c r="BE1343" s="1">
        <v>134.0</v>
      </c>
      <c r="BF1343" s="1">
        <v>49.0</v>
      </c>
      <c r="BG1343" s="1">
        <v>0.0</v>
      </c>
      <c r="BH1343" s="1">
        <v>16.0</v>
      </c>
      <c r="BI1343" s="1">
        <v>8.0</v>
      </c>
      <c r="BJ1343" s="1">
        <v>0.0</v>
      </c>
      <c r="BO1343" s="1" t="s">
        <v>4643</v>
      </c>
      <c r="BP1343" s="1">
        <v>1.018</v>
      </c>
      <c r="BU1343" s="1" t="s">
        <v>974</v>
      </c>
      <c r="BV1343" s="1">
        <v>1.1</v>
      </c>
      <c r="EQ1343" s="9" t="s">
        <v>4637</v>
      </c>
      <c r="ER1343" s="21">
        <v>46045.30049768519</v>
      </c>
    </row>
    <row r="1344">
      <c r="A1344" s="9" t="s">
        <v>4644</v>
      </c>
      <c r="B1344" s="20" t="str">
        <f>IFERROR(__xludf.DUMMYFUNCTION("REGEXREPLACE(A1344, ""^https?://[^/]+"", """")"),"/wp-content/uploads/elementor/thumbs/Strategy_Quarterly-Meetings-qsxwbixohdmoj0xm8y98p52eoutoxl6c26x557j2rk.jpg")</f>
        <v>/wp-content/uploads/elementor/thumbs/Strategy_Quarterly-Meetings-qsxwbixohdmoj0xm8y98p52eoutoxl6c26x557j2rk.jpg</v>
      </c>
      <c r="F1344" s="1" t="s">
        <v>1004</v>
      </c>
      <c r="G1344" s="1">
        <v>200.0</v>
      </c>
      <c r="H1344" s="1" t="s">
        <v>966</v>
      </c>
      <c r="I1344" s="1" t="s">
        <v>967</v>
      </c>
      <c r="L1344" s="1">
        <v>0.0</v>
      </c>
      <c r="M1344" s="1">
        <v>0.0</v>
      </c>
      <c r="O1344" s="1">
        <v>0.0</v>
      </c>
      <c r="P1344" s="1">
        <v>0.0</v>
      </c>
      <c r="R1344" s="1">
        <v>0.0</v>
      </c>
      <c r="S1344" s="1">
        <v>0.0</v>
      </c>
      <c r="U1344" s="1">
        <v>0.0</v>
      </c>
      <c r="W1344" s="1">
        <v>0.0</v>
      </c>
      <c r="Y1344" s="1">
        <v>0.0</v>
      </c>
      <c r="AA1344" s="1">
        <v>0.0</v>
      </c>
      <c r="AC1344" s="1">
        <v>0.0</v>
      </c>
      <c r="AM1344" s="1">
        <v>198389.0</v>
      </c>
      <c r="AN1344" s="1">
        <v>198389.0</v>
      </c>
      <c r="AO1344" s="1">
        <v>198389.0</v>
      </c>
      <c r="AP1344" s="1">
        <v>75.999</v>
      </c>
      <c r="AR1344" s="1">
        <v>0.0</v>
      </c>
      <c r="AW1344" s="1">
        <v>0.0</v>
      </c>
      <c r="AX1344" s="1">
        <v>3.0</v>
      </c>
      <c r="AY1344" s="1">
        <v>4.0</v>
      </c>
      <c r="BA1344" s="1">
        <v>0.0</v>
      </c>
      <c r="BB1344" s="1">
        <v>0.0</v>
      </c>
      <c r="BC1344" s="1">
        <v>0.0</v>
      </c>
      <c r="BD1344" s="1">
        <v>0.0</v>
      </c>
      <c r="BE1344" s="1">
        <v>0.0</v>
      </c>
      <c r="BF1344" s="1">
        <v>0.0</v>
      </c>
      <c r="BG1344" s="1">
        <v>0.0</v>
      </c>
      <c r="BH1344" s="1">
        <v>0.0</v>
      </c>
      <c r="BI1344" s="1">
        <v>0.0</v>
      </c>
      <c r="BJ1344" s="1">
        <v>0.0</v>
      </c>
      <c r="BP1344" s="1">
        <v>0.268</v>
      </c>
      <c r="BQ1344" s="1" t="s">
        <v>4645</v>
      </c>
      <c r="BV1344" s="1">
        <v>1.1</v>
      </c>
      <c r="EQ1344" s="9" t="s">
        <v>4644</v>
      </c>
      <c r="ER1344" s="21">
        <v>46045.30050925926</v>
      </c>
    </row>
    <row r="1345">
      <c r="A1345" s="9" t="s">
        <v>4646</v>
      </c>
      <c r="B1345" s="20" t="str">
        <f>IFERROR(__xludf.DUMMYFUNCTION("REGEXREPLACE(A1345, ""^https?://[^/]+"", """")"),"/wp-content/themes/salesxceleratione/assets/css/style.css?ver=1769123493")</f>
        <v>/wp-content/themes/salesxceleratione/assets/css/style.css?ver=1769123493</v>
      </c>
      <c r="F1345" s="1" t="s">
        <v>1016</v>
      </c>
      <c r="G1345" s="1">
        <v>200.0</v>
      </c>
      <c r="H1345" s="1" t="s">
        <v>966</v>
      </c>
      <c r="I1345" s="1" t="s">
        <v>967</v>
      </c>
      <c r="L1345" s="1">
        <v>0.0</v>
      </c>
      <c r="M1345" s="1">
        <v>0.0</v>
      </c>
      <c r="O1345" s="1">
        <v>0.0</v>
      </c>
      <c r="P1345" s="1">
        <v>0.0</v>
      </c>
      <c r="R1345" s="1">
        <v>0.0</v>
      </c>
      <c r="S1345" s="1">
        <v>0.0</v>
      </c>
      <c r="U1345" s="1">
        <v>0.0</v>
      </c>
      <c r="W1345" s="1">
        <v>0.0</v>
      </c>
      <c r="Y1345" s="1">
        <v>0.0</v>
      </c>
      <c r="AA1345" s="1">
        <v>0.0</v>
      </c>
      <c r="AC1345" s="1">
        <v>0.0</v>
      </c>
      <c r="AM1345" s="1">
        <v>17704.0</v>
      </c>
      <c r="AN1345" s="1">
        <v>17704.0</v>
      </c>
      <c r="AO1345" s="1">
        <v>17704.0</v>
      </c>
      <c r="AP1345" s="1">
        <v>6.782</v>
      </c>
      <c r="AR1345" s="1">
        <v>0.0</v>
      </c>
      <c r="AW1345" s="1">
        <v>0.0</v>
      </c>
      <c r="AX1345" s="1">
        <v>3.0</v>
      </c>
      <c r="AY1345" s="1">
        <v>5.0</v>
      </c>
      <c r="BA1345" s="1">
        <v>0.0</v>
      </c>
      <c r="BB1345" s="1">
        <v>0.0</v>
      </c>
      <c r="BC1345" s="1">
        <v>0.0</v>
      </c>
      <c r="BD1345" s="1">
        <v>0.0</v>
      </c>
      <c r="BE1345" s="1">
        <v>0.0</v>
      </c>
      <c r="BF1345" s="1">
        <v>0.0</v>
      </c>
      <c r="BG1345" s="1">
        <v>0.0</v>
      </c>
      <c r="BH1345" s="1">
        <v>0.0</v>
      </c>
      <c r="BI1345" s="1">
        <v>0.0</v>
      </c>
      <c r="BJ1345" s="1">
        <v>0.0</v>
      </c>
      <c r="BP1345" s="1">
        <v>0.298</v>
      </c>
      <c r="BQ1345" s="1" t="s">
        <v>4647</v>
      </c>
      <c r="BV1345" s="1">
        <v>1.1</v>
      </c>
      <c r="EQ1345" s="9" t="s">
        <v>4646</v>
      </c>
      <c r="ER1345" s="21">
        <v>46045.30050925926</v>
      </c>
    </row>
    <row r="1346">
      <c r="A1346" s="9" t="s">
        <v>4648</v>
      </c>
      <c r="B1346" s="20" t="str">
        <f>IFERROR(__xludf.DUMMYFUNCTION("REGEXREPLACE(A1346, ""^https?://[^/]+"", """")"),"/wp-content/uploads/elementor/css/post-65915.css?ver=1768878763")</f>
        <v>/wp-content/uploads/elementor/css/post-65915.css?ver=1768878763</v>
      </c>
      <c r="F1346" s="1" t="s">
        <v>1016</v>
      </c>
      <c r="G1346" s="1">
        <v>200.0</v>
      </c>
      <c r="H1346" s="1" t="s">
        <v>966</v>
      </c>
      <c r="I1346" s="1" t="s">
        <v>967</v>
      </c>
      <c r="L1346" s="1">
        <v>0.0</v>
      </c>
      <c r="M1346" s="1">
        <v>0.0</v>
      </c>
      <c r="O1346" s="1">
        <v>0.0</v>
      </c>
      <c r="P1346" s="1">
        <v>0.0</v>
      </c>
      <c r="R1346" s="1">
        <v>0.0</v>
      </c>
      <c r="S1346" s="1">
        <v>0.0</v>
      </c>
      <c r="U1346" s="1">
        <v>0.0</v>
      </c>
      <c r="W1346" s="1">
        <v>0.0</v>
      </c>
      <c r="Y1346" s="1">
        <v>0.0</v>
      </c>
      <c r="AA1346" s="1">
        <v>0.0</v>
      </c>
      <c r="AC1346" s="1">
        <v>0.0</v>
      </c>
      <c r="AM1346" s="1">
        <v>5451.0</v>
      </c>
      <c r="AN1346" s="1">
        <v>5451.0</v>
      </c>
      <c r="AO1346" s="1">
        <v>5451.0</v>
      </c>
      <c r="AP1346" s="1">
        <v>2.088</v>
      </c>
      <c r="AR1346" s="1">
        <v>0.0</v>
      </c>
      <c r="AW1346" s="1">
        <v>0.0</v>
      </c>
      <c r="AX1346" s="1">
        <v>3.0</v>
      </c>
      <c r="AY1346" s="1">
        <v>4.0</v>
      </c>
      <c r="BA1346" s="1">
        <v>0.0</v>
      </c>
      <c r="BB1346" s="1">
        <v>0.0</v>
      </c>
      <c r="BC1346" s="1">
        <v>0.0</v>
      </c>
      <c r="BD1346" s="1">
        <v>0.0</v>
      </c>
      <c r="BE1346" s="1">
        <v>0.0</v>
      </c>
      <c r="BF1346" s="1">
        <v>0.0</v>
      </c>
      <c r="BG1346" s="1">
        <v>0.0</v>
      </c>
      <c r="BH1346" s="1">
        <v>0.0</v>
      </c>
      <c r="BI1346" s="1">
        <v>0.0</v>
      </c>
      <c r="BJ1346" s="1">
        <v>0.0</v>
      </c>
      <c r="BP1346" s="1">
        <v>0.28</v>
      </c>
      <c r="BQ1346" s="1" t="s">
        <v>4649</v>
      </c>
      <c r="BV1346" s="1">
        <v>1.1</v>
      </c>
      <c r="EQ1346" s="9" t="s">
        <v>4648</v>
      </c>
      <c r="ER1346" s="21">
        <v>46045.30050925926</v>
      </c>
    </row>
    <row r="1347">
      <c r="A1347" s="9" t="s">
        <v>4650</v>
      </c>
      <c r="B1347" s="20" t="str">
        <f>IFERROR(__xludf.DUMMYFUNCTION("REGEXREPLACE(A1347, ""^https?://[^/]+"", """")"),"/wp-content/uploads/elementor/thumbs/Fractional-Sales-Leader-working-with-Portfolio-Company-r21bbh5ybk2xbz3lorsb6g8hu0nek1luyclaw2bef4.jpg")</f>
        <v>/wp-content/uploads/elementor/thumbs/Fractional-Sales-Leader-working-with-Portfolio-Company-r21bbh5ybk2xbz3lorsb6g8hu0nek1luyclaw2bef4.jpg</v>
      </c>
      <c r="F1347" s="1" t="s">
        <v>1004</v>
      </c>
      <c r="G1347" s="1">
        <v>200.0</v>
      </c>
      <c r="H1347" s="1" t="s">
        <v>966</v>
      </c>
      <c r="I1347" s="1" t="s">
        <v>967</v>
      </c>
      <c r="L1347" s="1">
        <v>0.0</v>
      </c>
      <c r="M1347" s="1">
        <v>0.0</v>
      </c>
      <c r="O1347" s="1">
        <v>0.0</v>
      </c>
      <c r="P1347" s="1">
        <v>0.0</v>
      </c>
      <c r="R1347" s="1">
        <v>0.0</v>
      </c>
      <c r="S1347" s="1">
        <v>0.0</v>
      </c>
      <c r="U1347" s="1">
        <v>0.0</v>
      </c>
      <c r="W1347" s="1">
        <v>0.0</v>
      </c>
      <c r="Y1347" s="1">
        <v>0.0</v>
      </c>
      <c r="AA1347" s="1">
        <v>0.0</v>
      </c>
      <c r="AC1347" s="1">
        <v>0.0</v>
      </c>
      <c r="AM1347" s="1">
        <v>187204.0</v>
      </c>
      <c r="AN1347" s="1">
        <v>187204.0</v>
      </c>
      <c r="AO1347" s="1">
        <v>187204.0</v>
      </c>
      <c r="AP1347" s="1">
        <v>71.714</v>
      </c>
      <c r="AR1347" s="1">
        <v>0.0</v>
      </c>
      <c r="AW1347" s="1">
        <v>0.0</v>
      </c>
      <c r="AX1347" s="1">
        <v>3.0</v>
      </c>
      <c r="AY1347" s="1">
        <v>4.0</v>
      </c>
      <c r="BA1347" s="1">
        <v>0.0</v>
      </c>
      <c r="BB1347" s="1">
        <v>0.0</v>
      </c>
      <c r="BC1347" s="1">
        <v>0.0</v>
      </c>
      <c r="BD1347" s="1">
        <v>0.0</v>
      </c>
      <c r="BE1347" s="1">
        <v>0.0</v>
      </c>
      <c r="BF1347" s="1">
        <v>0.0</v>
      </c>
      <c r="BG1347" s="1">
        <v>0.0</v>
      </c>
      <c r="BH1347" s="1">
        <v>0.0</v>
      </c>
      <c r="BI1347" s="1">
        <v>0.0</v>
      </c>
      <c r="BJ1347" s="1">
        <v>0.0</v>
      </c>
      <c r="BP1347" s="1">
        <v>0.264</v>
      </c>
      <c r="BQ1347" s="1" t="s">
        <v>4651</v>
      </c>
      <c r="BV1347" s="1">
        <v>1.1</v>
      </c>
      <c r="EQ1347" s="9" t="s">
        <v>4650</v>
      </c>
      <c r="ER1347" s="21">
        <v>46045.30050925926</v>
      </c>
    </row>
    <row r="1348">
      <c r="A1348" s="9" t="s">
        <v>4652</v>
      </c>
      <c r="B1348" s="20" t="str">
        <f>IFERROR(__xludf.DUMMYFUNCTION("REGEXREPLACE(A1348, ""^https?://[^/]+"", """")"),"/wp-content/uploads/2019/10/case-study-recruiting-1.jpg")</f>
        <v>/wp-content/uploads/2019/10/case-study-recruiting-1.jpg</v>
      </c>
      <c r="F1348" s="1" t="s">
        <v>1004</v>
      </c>
      <c r="G1348" s="1">
        <v>200.0</v>
      </c>
      <c r="H1348" s="1" t="s">
        <v>966</v>
      </c>
      <c r="I1348" s="1" t="s">
        <v>967</v>
      </c>
      <c r="L1348" s="1">
        <v>0.0</v>
      </c>
      <c r="M1348" s="1">
        <v>0.0</v>
      </c>
      <c r="O1348" s="1">
        <v>0.0</v>
      </c>
      <c r="P1348" s="1">
        <v>0.0</v>
      </c>
      <c r="R1348" s="1">
        <v>0.0</v>
      </c>
      <c r="S1348" s="1">
        <v>0.0</v>
      </c>
      <c r="U1348" s="1">
        <v>0.0</v>
      </c>
      <c r="W1348" s="1">
        <v>0.0</v>
      </c>
      <c r="Y1348" s="1">
        <v>0.0</v>
      </c>
      <c r="AA1348" s="1">
        <v>0.0</v>
      </c>
      <c r="AC1348" s="1">
        <v>0.0</v>
      </c>
      <c r="AM1348" s="1">
        <v>194928.0</v>
      </c>
      <c r="AN1348" s="1">
        <v>194928.0</v>
      </c>
      <c r="AO1348" s="1">
        <v>194928.0</v>
      </c>
      <c r="AP1348" s="1">
        <v>74.673</v>
      </c>
      <c r="AR1348" s="1">
        <v>0.0</v>
      </c>
      <c r="AW1348" s="1">
        <v>0.0</v>
      </c>
      <c r="AX1348" s="1">
        <v>3.0</v>
      </c>
      <c r="AY1348" s="1">
        <v>4.0</v>
      </c>
      <c r="BA1348" s="1">
        <v>0.0</v>
      </c>
      <c r="BB1348" s="1">
        <v>0.0</v>
      </c>
      <c r="BC1348" s="1">
        <v>0.0</v>
      </c>
      <c r="BD1348" s="1">
        <v>0.0</v>
      </c>
      <c r="BE1348" s="1">
        <v>0.0</v>
      </c>
      <c r="BF1348" s="1">
        <v>0.0</v>
      </c>
      <c r="BG1348" s="1">
        <v>0.0</v>
      </c>
      <c r="BH1348" s="1">
        <v>0.0</v>
      </c>
      <c r="BI1348" s="1">
        <v>0.0</v>
      </c>
      <c r="BJ1348" s="1">
        <v>0.0</v>
      </c>
      <c r="BP1348" s="1">
        <v>0.284</v>
      </c>
      <c r="BQ1348" s="1" t="s">
        <v>4653</v>
      </c>
      <c r="BV1348" s="1">
        <v>1.1</v>
      </c>
      <c r="EQ1348" s="9" t="s">
        <v>4652</v>
      </c>
      <c r="ER1348" s="21">
        <v>46045.30050925926</v>
      </c>
    </row>
    <row r="1349">
      <c r="A1349" s="9" t="s">
        <v>4654</v>
      </c>
      <c r="B1349" s="20" t="str">
        <f>IFERROR(__xludf.DUMMYFUNCTION("REGEXREPLACE(A1349, ""^https?://[^/]+"", """")"),"/wp-content/uploads/2021/09/Case-Study_Recruiting.pdf")</f>
        <v>/wp-content/uploads/2021/09/Case-Study_Recruiting.pdf</v>
      </c>
      <c r="F1349" s="1" t="s">
        <v>1730</v>
      </c>
      <c r="G1349" s="1">
        <v>200.0</v>
      </c>
      <c r="H1349" s="1" t="s">
        <v>966</v>
      </c>
      <c r="I1349" s="1" t="s">
        <v>967</v>
      </c>
      <c r="L1349" s="1">
        <v>0.0</v>
      </c>
      <c r="M1349" s="1">
        <v>0.0</v>
      </c>
      <c r="O1349" s="1">
        <v>0.0</v>
      </c>
      <c r="P1349" s="1">
        <v>0.0</v>
      </c>
      <c r="R1349" s="1">
        <v>0.0</v>
      </c>
      <c r="S1349" s="1">
        <v>0.0</v>
      </c>
      <c r="U1349" s="1">
        <v>0.0</v>
      </c>
      <c r="W1349" s="1">
        <v>0.0</v>
      </c>
      <c r="Y1349" s="1">
        <v>0.0</v>
      </c>
      <c r="AA1349" s="1">
        <v>0.0</v>
      </c>
      <c r="AC1349" s="1">
        <v>0.0</v>
      </c>
      <c r="AM1349" s="1">
        <v>927733.0</v>
      </c>
      <c r="AN1349" s="1">
        <v>927733.0</v>
      </c>
      <c r="AO1349" s="1">
        <v>927733.0</v>
      </c>
      <c r="AP1349" s="1">
        <v>355.397</v>
      </c>
      <c r="AR1349" s="1">
        <v>0.0</v>
      </c>
      <c r="AW1349" s="1">
        <v>0.0</v>
      </c>
      <c r="AX1349" s="1">
        <v>3.0</v>
      </c>
      <c r="AY1349" s="1">
        <v>4.0</v>
      </c>
      <c r="AZ1349" s="1">
        <v>1.0</v>
      </c>
      <c r="BA1349" s="1">
        <v>1.0</v>
      </c>
      <c r="BB1349" s="1">
        <v>1.0</v>
      </c>
      <c r="BC1349" s="1">
        <v>0.0</v>
      </c>
      <c r="BD1349" s="1">
        <v>0.13</v>
      </c>
      <c r="BE1349" s="1">
        <v>0.0</v>
      </c>
      <c r="BF1349" s="1">
        <v>0.0</v>
      </c>
      <c r="BG1349" s="1">
        <v>0.0</v>
      </c>
      <c r="BH1349" s="1">
        <v>0.0</v>
      </c>
      <c r="BI1349" s="1">
        <v>0.0</v>
      </c>
      <c r="BJ1349" s="1">
        <v>0.0</v>
      </c>
      <c r="BP1349" s="1">
        <v>0.272</v>
      </c>
      <c r="BQ1349" s="1" t="s">
        <v>4655</v>
      </c>
      <c r="BV1349" s="1">
        <v>1.1</v>
      </c>
      <c r="EQ1349" s="9" t="s">
        <v>4654</v>
      </c>
      <c r="ER1349" s="21">
        <v>46045.30050925926</v>
      </c>
    </row>
    <row r="1350">
      <c r="A1350" s="9" t="s">
        <v>4656</v>
      </c>
      <c r="B1350" s="20" t="str">
        <f>IFERROR(__xludf.DUMMYFUNCTION("REGEXREPLACE(A1350, ""^https?://[^/]+"", """")"),"/wp-content/themes/salesxceleratione/assets/css/style.css?ver=1769123494")</f>
        <v>/wp-content/themes/salesxceleratione/assets/css/style.css?ver=1769123494</v>
      </c>
      <c r="F1350" s="1" t="s">
        <v>1016</v>
      </c>
      <c r="G1350" s="1">
        <v>200.0</v>
      </c>
      <c r="H1350" s="1" t="s">
        <v>966</v>
      </c>
      <c r="I1350" s="1" t="s">
        <v>967</v>
      </c>
      <c r="L1350" s="1">
        <v>0.0</v>
      </c>
      <c r="M1350" s="1">
        <v>0.0</v>
      </c>
      <c r="O1350" s="1">
        <v>0.0</v>
      </c>
      <c r="P1350" s="1">
        <v>0.0</v>
      </c>
      <c r="R1350" s="1">
        <v>0.0</v>
      </c>
      <c r="S1350" s="1">
        <v>0.0</v>
      </c>
      <c r="U1350" s="1">
        <v>0.0</v>
      </c>
      <c r="W1350" s="1">
        <v>0.0</v>
      </c>
      <c r="Y1350" s="1">
        <v>0.0</v>
      </c>
      <c r="AA1350" s="1">
        <v>0.0</v>
      </c>
      <c r="AC1350" s="1">
        <v>0.0</v>
      </c>
      <c r="AM1350" s="1">
        <v>17704.0</v>
      </c>
      <c r="AN1350" s="1">
        <v>17704.0</v>
      </c>
      <c r="AO1350" s="1">
        <v>17704.0</v>
      </c>
      <c r="AP1350" s="1">
        <v>6.782</v>
      </c>
      <c r="AR1350" s="1">
        <v>0.0</v>
      </c>
      <c r="AW1350" s="1">
        <v>0.0</v>
      </c>
      <c r="AX1350" s="1">
        <v>3.0</v>
      </c>
      <c r="AY1350" s="1">
        <v>5.0</v>
      </c>
      <c r="BA1350" s="1">
        <v>0.0</v>
      </c>
      <c r="BB1350" s="1">
        <v>0.0</v>
      </c>
      <c r="BC1350" s="1">
        <v>0.0</v>
      </c>
      <c r="BD1350" s="1">
        <v>0.0</v>
      </c>
      <c r="BE1350" s="1">
        <v>0.0</v>
      </c>
      <c r="BF1350" s="1">
        <v>0.0</v>
      </c>
      <c r="BG1350" s="1">
        <v>0.0</v>
      </c>
      <c r="BH1350" s="1">
        <v>0.0</v>
      </c>
      <c r="BI1350" s="1">
        <v>0.0</v>
      </c>
      <c r="BJ1350" s="1">
        <v>0.0</v>
      </c>
      <c r="BP1350" s="1">
        <v>0.272</v>
      </c>
      <c r="BQ1350" s="1" t="s">
        <v>4657</v>
      </c>
      <c r="BV1350" s="1">
        <v>1.1</v>
      </c>
      <c r="EQ1350" s="9" t="s">
        <v>4656</v>
      </c>
      <c r="ER1350" s="21">
        <v>46045.30050925926</v>
      </c>
    </row>
    <row r="1351">
      <c r="A1351" s="9" t="s">
        <v>4658</v>
      </c>
      <c r="B1351" s="20" t="str">
        <f>IFERROR(__xludf.DUMMYFUNCTION("REGEXREPLACE(A1351, ""^https?://[^/]+"", """")"),"/wp-content/uploads/2021/09/Case_Study_Handheld_Equipment_Manufacturing.pdf")</f>
        <v>/wp-content/uploads/2021/09/Case_Study_Handheld_Equipment_Manufacturing.pdf</v>
      </c>
      <c r="F1351" s="1" t="s">
        <v>1730</v>
      </c>
      <c r="G1351" s="1">
        <v>200.0</v>
      </c>
      <c r="H1351" s="1" t="s">
        <v>966</v>
      </c>
      <c r="I1351" s="1" t="s">
        <v>967</v>
      </c>
      <c r="L1351" s="1">
        <v>0.0</v>
      </c>
      <c r="M1351" s="1">
        <v>0.0</v>
      </c>
      <c r="O1351" s="1">
        <v>0.0</v>
      </c>
      <c r="P1351" s="1">
        <v>0.0</v>
      </c>
      <c r="R1351" s="1">
        <v>0.0</v>
      </c>
      <c r="S1351" s="1">
        <v>0.0</v>
      </c>
      <c r="U1351" s="1">
        <v>0.0</v>
      </c>
      <c r="W1351" s="1">
        <v>0.0</v>
      </c>
      <c r="Y1351" s="1">
        <v>0.0</v>
      </c>
      <c r="AA1351" s="1">
        <v>0.0</v>
      </c>
      <c r="AC1351" s="1">
        <v>0.0</v>
      </c>
      <c r="AM1351" s="1">
        <v>1205144.0</v>
      </c>
      <c r="AN1351" s="1">
        <v>1205144.0</v>
      </c>
      <c r="AO1351" s="1">
        <v>1205144.0</v>
      </c>
      <c r="AP1351" s="1">
        <v>461.668</v>
      </c>
      <c r="AR1351" s="1">
        <v>0.0</v>
      </c>
      <c r="AW1351" s="1">
        <v>0.0</v>
      </c>
      <c r="AX1351" s="1">
        <v>3.0</v>
      </c>
      <c r="AY1351" s="1">
        <v>4.0</v>
      </c>
      <c r="AZ1351" s="1">
        <v>1.0</v>
      </c>
      <c r="BA1351" s="1">
        <v>1.0</v>
      </c>
      <c r="BB1351" s="1">
        <v>1.0</v>
      </c>
      <c r="BC1351" s="1">
        <v>0.0</v>
      </c>
      <c r="BD1351" s="1">
        <v>0.13</v>
      </c>
      <c r="BE1351" s="1">
        <v>0.0</v>
      </c>
      <c r="BF1351" s="1">
        <v>0.0</v>
      </c>
      <c r="BG1351" s="1">
        <v>0.0</v>
      </c>
      <c r="BH1351" s="1">
        <v>0.0</v>
      </c>
      <c r="BI1351" s="1">
        <v>0.0</v>
      </c>
      <c r="BJ1351" s="1">
        <v>0.0</v>
      </c>
      <c r="BP1351" s="1">
        <v>0.269</v>
      </c>
      <c r="BQ1351" s="1" t="s">
        <v>4659</v>
      </c>
      <c r="BV1351" s="1">
        <v>1.1</v>
      </c>
      <c r="EQ1351" s="9" t="s">
        <v>4658</v>
      </c>
      <c r="ER1351" s="21">
        <v>46045.30050925926</v>
      </c>
    </row>
    <row r="1352">
      <c r="A1352" s="9" t="s">
        <v>4660</v>
      </c>
      <c r="B1352" s="20" t="str">
        <f>IFERROR(__xludf.DUMMYFUNCTION("REGEXREPLACE(A1352, ""^https?://[^/]+"", """")"),"/wp-content/uploads/2019/12/streamline-manu-thumb.jpg-1.webp")</f>
        <v>/wp-content/uploads/2019/12/streamline-manu-thumb.jpg-1.webp</v>
      </c>
      <c r="F1352" s="1" t="s">
        <v>1575</v>
      </c>
      <c r="G1352" s="1">
        <v>200.0</v>
      </c>
      <c r="H1352" s="1" t="s">
        <v>966</v>
      </c>
      <c r="I1352" s="1" t="s">
        <v>967</v>
      </c>
      <c r="L1352" s="1">
        <v>0.0</v>
      </c>
      <c r="M1352" s="1">
        <v>0.0</v>
      </c>
      <c r="O1352" s="1">
        <v>0.0</v>
      </c>
      <c r="P1352" s="1">
        <v>0.0</v>
      </c>
      <c r="R1352" s="1">
        <v>0.0</v>
      </c>
      <c r="S1352" s="1">
        <v>0.0</v>
      </c>
      <c r="U1352" s="1">
        <v>0.0</v>
      </c>
      <c r="W1352" s="1">
        <v>0.0</v>
      </c>
      <c r="Y1352" s="1">
        <v>0.0</v>
      </c>
      <c r="AA1352" s="1">
        <v>0.0</v>
      </c>
      <c r="AC1352" s="1">
        <v>0.0</v>
      </c>
      <c r="AM1352" s="1">
        <v>48158.0</v>
      </c>
      <c r="AN1352" s="1">
        <v>48158.0</v>
      </c>
      <c r="AO1352" s="1">
        <v>48158.0</v>
      </c>
      <c r="AP1352" s="1">
        <v>18.448</v>
      </c>
      <c r="AR1352" s="1">
        <v>0.0</v>
      </c>
      <c r="AW1352" s="1">
        <v>0.0</v>
      </c>
      <c r="AX1352" s="1">
        <v>3.0</v>
      </c>
      <c r="AY1352" s="1">
        <v>4.0</v>
      </c>
      <c r="BA1352" s="1">
        <v>0.0</v>
      </c>
      <c r="BB1352" s="1">
        <v>0.0</v>
      </c>
      <c r="BC1352" s="1">
        <v>0.0</v>
      </c>
      <c r="BD1352" s="1">
        <v>0.0</v>
      </c>
      <c r="BE1352" s="1">
        <v>0.0</v>
      </c>
      <c r="BF1352" s="1">
        <v>0.0</v>
      </c>
      <c r="BG1352" s="1">
        <v>0.0</v>
      </c>
      <c r="BH1352" s="1">
        <v>0.0</v>
      </c>
      <c r="BI1352" s="1">
        <v>0.0</v>
      </c>
      <c r="BJ1352" s="1">
        <v>0.0</v>
      </c>
      <c r="BP1352" s="1">
        <v>0.246</v>
      </c>
      <c r="BQ1352" s="1" t="s">
        <v>4661</v>
      </c>
      <c r="BV1352" s="1">
        <v>1.1</v>
      </c>
      <c r="EQ1352" s="9" t="s">
        <v>4660</v>
      </c>
      <c r="ER1352" s="21">
        <v>46045.30050925926</v>
      </c>
    </row>
    <row r="1353">
      <c r="A1353" s="9" t="s">
        <v>4662</v>
      </c>
      <c r="B1353" s="20" t="str">
        <f>IFERROR(__xludf.DUMMYFUNCTION("REGEXREPLACE(A1353, ""^https?://[^/]+"", """")"),"/wp-content/uploads/elementor/css/post-15927.css?ver=1768862549")</f>
        <v>/wp-content/uploads/elementor/css/post-15927.css?ver=1768862549</v>
      </c>
      <c r="F1353" s="1" t="s">
        <v>1016</v>
      </c>
      <c r="G1353" s="1">
        <v>200.0</v>
      </c>
      <c r="H1353" s="1" t="s">
        <v>966</v>
      </c>
      <c r="I1353" s="1" t="s">
        <v>967</v>
      </c>
      <c r="L1353" s="1">
        <v>0.0</v>
      </c>
      <c r="M1353" s="1">
        <v>0.0</v>
      </c>
      <c r="O1353" s="1">
        <v>0.0</v>
      </c>
      <c r="P1353" s="1">
        <v>0.0</v>
      </c>
      <c r="R1353" s="1">
        <v>0.0</v>
      </c>
      <c r="S1353" s="1">
        <v>0.0</v>
      </c>
      <c r="U1353" s="1">
        <v>0.0</v>
      </c>
      <c r="W1353" s="1">
        <v>0.0</v>
      </c>
      <c r="Y1353" s="1">
        <v>0.0</v>
      </c>
      <c r="AA1353" s="1">
        <v>0.0</v>
      </c>
      <c r="AC1353" s="1">
        <v>0.0</v>
      </c>
      <c r="AM1353" s="1">
        <v>1151.0</v>
      </c>
      <c r="AN1353" s="1">
        <v>1151.0</v>
      </c>
      <c r="AO1353" s="1">
        <v>1151.0</v>
      </c>
      <c r="AP1353" s="1">
        <v>0.441</v>
      </c>
      <c r="AR1353" s="1">
        <v>0.0</v>
      </c>
      <c r="AW1353" s="1">
        <v>0.0</v>
      </c>
      <c r="AX1353" s="1">
        <v>3.0</v>
      </c>
      <c r="AY1353" s="1">
        <v>4.0</v>
      </c>
      <c r="BA1353" s="1">
        <v>0.0</v>
      </c>
      <c r="BB1353" s="1">
        <v>0.0</v>
      </c>
      <c r="BC1353" s="1">
        <v>0.0</v>
      </c>
      <c r="BD1353" s="1">
        <v>0.0</v>
      </c>
      <c r="BE1353" s="1">
        <v>0.0</v>
      </c>
      <c r="BF1353" s="1">
        <v>0.0</v>
      </c>
      <c r="BG1353" s="1">
        <v>0.0</v>
      </c>
      <c r="BH1353" s="1">
        <v>0.0</v>
      </c>
      <c r="BI1353" s="1">
        <v>0.0</v>
      </c>
      <c r="BJ1353" s="1">
        <v>0.0</v>
      </c>
      <c r="BP1353" s="1">
        <v>0.272</v>
      </c>
      <c r="BQ1353" s="1" t="s">
        <v>4663</v>
      </c>
      <c r="BV1353" s="1">
        <v>1.1</v>
      </c>
      <c r="EQ1353" s="9" t="s">
        <v>4662</v>
      </c>
      <c r="ER1353" s="21">
        <v>46045.30050925926</v>
      </c>
    </row>
    <row r="1354">
      <c r="A1354" s="9" t="s">
        <v>4664</v>
      </c>
      <c r="B1354" s="20" t="str">
        <f>IFERROR(__xludf.DUMMYFUNCTION("REGEXREPLACE(A1354, ""^https?://[^/]+"", """")"),"/wp-content/uploads/elementor/thumbs/Healthcare-Managed-Services-Team-r21bbv9j62m864j4efvppuoeqspwri5u0adl37qhts.jpg")</f>
        <v>/wp-content/uploads/elementor/thumbs/Healthcare-Managed-Services-Team-r21bbv9j62m864j4efvppuoeqspwri5u0adl37qhts.jpg</v>
      </c>
      <c r="F1354" s="1" t="s">
        <v>1004</v>
      </c>
      <c r="G1354" s="1">
        <v>200.0</v>
      </c>
      <c r="H1354" s="1" t="s">
        <v>966</v>
      </c>
      <c r="I1354" s="1" t="s">
        <v>967</v>
      </c>
      <c r="L1354" s="1">
        <v>0.0</v>
      </c>
      <c r="M1354" s="1">
        <v>0.0</v>
      </c>
      <c r="O1354" s="1">
        <v>0.0</v>
      </c>
      <c r="P1354" s="1">
        <v>0.0</v>
      </c>
      <c r="R1354" s="1">
        <v>0.0</v>
      </c>
      <c r="S1354" s="1">
        <v>0.0</v>
      </c>
      <c r="U1354" s="1">
        <v>0.0</v>
      </c>
      <c r="W1354" s="1">
        <v>0.0</v>
      </c>
      <c r="Y1354" s="1">
        <v>0.0</v>
      </c>
      <c r="AA1354" s="1">
        <v>0.0</v>
      </c>
      <c r="AC1354" s="1">
        <v>0.0</v>
      </c>
      <c r="AM1354" s="1">
        <v>359968.0</v>
      </c>
      <c r="AN1354" s="1">
        <v>359968.0</v>
      </c>
      <c r="AO1354" s="1">
        <v>359968.0</v>
      </c>
      <c r="AP1354" s="1">
        <v>137.897</v>
      </c>
      <c r="AR1354" s="1">
        <v>0.0</v>
      </c>
      <c r="AW1354" s="1">
        <v>0.0</v>
      </c>
      <c r="AX1354" s="1">
        <v>3.0</v>
      </c>
      <c r="AY1354" s="1">
        <v>4.0</v>
      </c>
      <c r="BA1354" s="1">
        <v>0.0</v>
      </c>
      <c r="BB1354" s="1">
        <v>0.0</v>
      </c>
      <c r="BC1354" s="1">
        <v>0.0</v>
      </c>
      <c r="BD1354" s="1">
        <v>0.0</v>
      </c>
      <c r="BE1354" s="1">
        <v>0.0</v>
      </c>
      <c r="BF1354" s="1">
        <v>0.0</v>
      </c>
      <c r="BG1354" s="1">
        <v>0.0</v>
      </c>
      <c r="BH1354" s="1">
        <v>0.0</v>
      </c>
      <c r="BI1354" s="1">
        <v>0.0</v>
      </c>
      <c r="BJ1354" s="1">
        <v>0.0</v>
      </c>
      <c r="BP1354" s="1">
        <v>0.708</v>
      </c>
      <c r="BQ1354" s="1" t="s">
        <v>4665</v>
      </c>
      <c r="BV1354" s="1">
        <v>1.1</v>
      </c>
      <c r="EQ1354" s="9" t="s">
        <v>4664</v>
      </c>
      <c r="ER1354" s="21">
        <v>46045.30050925926</v>
      </c>
    </row>
    <row r="1355">
      <c r="A1355" s="9" t="s">
        <v>4666</v>
      </c>
      <c r="B1355" s="20" t="str">
        <f>IFERROR(__xludf.DUMMYFUNCTION("REGEXREPLACE(A1355, ""^https?://[^/]+"", """")"),"/wp-content/themes/salesxceleratione/assets/css/style.css?ver=1769123495")</f>
        <v>/wp-content/themes/salesxceleratione/assets/css/style.css?ver=1769123495</v>
      </c>
      <c r="F1355" s="1" t="s">
        <v>1016</v>
      </c>
      <c r="G1355" s="1">
        <v>200.0</v>
      </c>
      <c r="H1355" s="1" t="s">
        <v>966</v>
      </c>
      <c r="I1355" s="1" t="s">
        <v>967</v>
      </c>
      <c r="L1355" s="1">
        <v>0.0</v>
      </c>
      <c r="M1355" s="1">
        <v>0.0</v>
      </c>
      <c r="O1355" s="1">
        <v>0.0</v>
      </c>
      <c r="P1355" s="1">
        <v>0.0</v>
      </c>
      <c r="R1355" s="1">
        <v>0.0</v>
      </c>
      <c r="S1355" s="1">
        <v>0.0</v>
      </c>
      <c r="U1355" s="1">
        <v>0.0</v>
      </c>
      <c r="W1355" s="1">
        <v>0.0</v>
      </c>
      <c r="Y1355" s="1">
        <v>0.0</v>
      </c>
      <c r="AA1355" s="1">
        <v>0.0</v>
      </c>
      <c r="AC1355" s="1">
        <v>0.0</v>
      </c>
      <c r="AM1355" s="1">
        <v>17704.0</v>
      </c>
      <c r="AN1355" s="1">
        <v>17704.0</v>
      </c>
      <c r="AO1355" s="1">
        <v>17704.0</v>
      </c>
      <c r="AP1355" s="1">
        <v>6.782</v>
      </c>
      <c r="AR1355" s="1">
        <v>0.0</v>
      </c>
      <c r="AW1355" s="1">
        <v>0.0</v>
      </c>
      <c r="AX1355" s="1">
        <v>3.0</v>
      </c>
      <c r="AY1355" s="1">
        <v>5.0</v>
      </c>
      <c r="BA1355" s="1">
        <v>0.0</v>
      </c>
      <c r="BB1355" s="1">
        <v>0.0</v>
      </c>
      <c r="BC1355" s="1">
        <v>0.0</v>
      </c>
      <c r="BD1355" s="1">
        <v>0.0</v>
      </c>
      <c r="BE1355" s="1">
        <v>0.0</v>
      </c>
      <c r="BF1355" s="1">
        <v>0.0</v>
      </c>
      <c r="BG1355" s="1">
        <v>0.0</v>
      </c>
      <c r="BH1355" s="1">
        <v>0.0</v>
      </c>
      <c r="BI1355" s="1">
        <v>0.0</v>
      </c>
      <c r="BJ1355" s="1">
        <v>0.0</v>
      </c>
      <c r="BP1355" s="1">
        <v>0.292</v>
      </c>
      <c r="BQ1355" s="1" t="s">
        <v>4647</v>
      </c>
      <c r="BV1355" s="1">
        <v>1.1</v>
      </c>
      <c r="EQ1355" s="9" t="s">
        <v>4666</v>
      </c>
      <c r="ER1355" s="21">
        <v>46045.30050925926</v>
      </c>
    </row>
    <row r="1356">
      <c r="A1356" s="9" t="s">
        <v>4667</v>
      </c>
      <c r="B1356" s="20" t="str">
        <f>IFERROR(__xludf.DUMMYFUNCTION("REGEXREPLACE(A1356, ""^https?://[^/]+"", """")"),"/wp-content/uploads/2019/10/hvac-pageone.jpg")</f>
        <v>/wp-content/uploads/2019/10/hvac-pageone.jpg</v>
      </c>
      <c r="F1356" s="1" t="s">
        <v>1004</v>
      </c>
      <c r="G1356" s="1">
        <v>200.0</v>
      </c>
      <c r="H1356" s="1" t="s">
        <v>966</v>
      </c>
      <c r="I1356" s="1" t="s">
        <v>967</v>
      </c>
      <c r="L1356" s="1">
        <v>0.0</v>
      </c>
      <c r="M1356" s="1">
        <v>0.0</v>
      </c>
      <c r="O1356" s="1">
        <v>0.0</v>
      </c>
      <c r="P1356" s="1">
        <v>0.0</v>
      </c>
      <c r="R1356" s="1">
        <v>0.0</v>
      </c>
      <c r="S1356" s="1">
        <v>0.0</v>
      </c>
      <c r="U1356" s="1">
        <v>0.0</v>
      </c>
      <c r="W1356" s="1">
        <v>0.0</v>
      </c>
      <c r="Y1356" s="1">
        <v>0.0</v>
      </c>
      <c r="AA1356" s="1">
        <v>0.0</v>
      </c>
      <c r="AC1356" s="1">
        <v>0.0</v>
      </c>
      <c r="AM1356" s="1">
        <v>202178.0</v>
      </c>
      <c r="AN1356" s="1">
        <v>202178.0</v>
      </c>
      <c r="AO1356" s="1">
        <v>202178.0</v>
      </c>
      <c r="AP1356" s="1">
        <v>77.451</v>
      </c>
      <c r="AR1356" s="1">
        <v>0.0</v>
      </c>
      <c r="AW1356" s="1">
        <v>0.0</v>
      </c>
      <c r="AX1356" s="1">
        <v>3.0</v>
      </c>
      <c r="AY1356" s="1">
        <v>4.0</v>
      </c>
      <c r="BA1356" s="1">
        <v>0.0</v>
      </c>
      <c r="BB1356" s="1">
        <v>0.0</v>
      </c>
      <c r="BC1356" s="1">
        <v>0.0</v>
      </c>
      <c r="BD1356" s="1">
        <v>0.0</v>
      </c>
      <c r="BE1356" s="1">
        <v>0.0</v>
      </c>
      <c r="BF1356" s="1">
        <v>0.0</v>
      </c>
      <c r="BG1356" s="1">
        <v>0.0</v>
      </c>
      <c r="BH1356" s="1">
        <v>0.0</v>
      </c>
      <c r="BI1356" s="1">
        <v>0.0</v>
      </c>
      <c r="BJ1356" s="1">
        <v>0.0</v>
      </c>
      <c r="BP1356" s="1">
        <v>0.251</v>
      </c>
      <c r="BQ1356" s="1" t="s">
        <v>4668</v>
      </c>
      <c r="BV1356" s="1">
        <v>1.1</v>
      </c>
      <c r="EQ1356" s="9" t="s">
        <v>4667</v>
      </c>
      <c r="ER1356" s="21">
        <v>46045.300520833334</v>
      </c>
    </row>
    <row r="1357">
      <c r="A1357" s="9" t="s">
        <v>4669</v>
      </c>
      <c r="B1357" s="20" t="str">
        <f>IFERROR(__xludf.DUMMYFUNCTION("REGEXREPLACE(A1357, ""^https?://[^/]+"", """")"),"/wp-content/uploads/2020/09/cs-hvac-full-1-2048x2048.jpg")</f>
        <v>/wp-content/uploads/2020/09/cs-hvac-full-1-2048x2048.jpg</v>
      </c>
      <c r="F1357" s="1" t="s">
        <v>1004</v>
      </c>
      <c r="G1357" s="1">
        <v>200.0</v>
      </c>
      <c r="H1357" s="1" t="s">
        <v>966</v>
      </c>
      <c r="I1357" s="1" t="s">
        <v>967</v>
      </c>
      <c r="L1357" s="1">
        <v>0.0</v>
      </c>
      <c r="M1357" s="1">
        <v>0.0</v>
      </c>
      <c r="O1357" s="1">
        <v>0.0</v>
      </c>
      <c r="P1357" s="1">
        <v>0.0</v>
      </c>
      <c r="R1357" s="1">
        <v>0.0</v>
      </c>
      <c r="S1357" s="1">
        <v>0.0</v>
      </c>
      <c r="U1357" s="1">
        <v>0.0</v>
      </c>
      <c r="W1357" s="1">
        <v>0.0</v>
      </c>
      <c r="Y1357" s="1">
        <v>0.0</v>
      </c>
      <c r="AA1357" s="1">
        <v>0.0</v>
      </c>
      <c r="AC1357" s="1">
        <v>0.0</v>
      </c>
      <c r="AM1357" s="1">
        <v>330339.0</v>
      </c>
      <c r="AN1357" s="1">
        <v>330339.0</v>
      </c>
      <c r="AO1357" s="1">
        <v>330339.0</v>
      </c>
      <c r="AP1357" s="1">
        <v>126.547</v>
      </c>
      <c r="AR1357" s="1">
        <v>0.0</v>
      </c>
      <c r="AW1357" s="1">
        <v>0.0</v>
      </c>
      <c r="AX1357" s="1">
        <v>3.0</v>
      </c>
      <c r="AY1357" s="1">
        <v>4.0</v>
      </c>
      <c r="BA1357" s="1">
        <v>0.0</v>
      </c>
      <c r="BB1357" s="1">
        <v>0.0</v>
      </c>
      <c r="BC1357" s="1">
        <v>0.0</v>
      </c>
      <c r="BD1357" s="1">
        <v>0.0</v>
      </c>
      <c r="BE1357" s="1">
        <v>0.0</v>
      </c>
      <c r="BF1357" s="1">
        <v>0.0</v>
      </c>
      <c r="BG1357" s="1">
        <v>0.0</v>
      </c>
      <c r="BH1357" s="1">
        <v>0.0</v>
      </c>
      <c r="BI1357" s="1">
        <v>0.0</v>
      </c>
      <c r="BJ1357" s="1">
        <v>0.0</v>
      </c>
      <c r="BP1357" s="1">
        <v>0.266</v>
      </c>
      <c r="BQ1357" s="1" t="s">
        <v>4670</v>
      </c>
      <c r="BV1357" s="1">
        <v>1.1</v>
      </c>
      <c r="EQ1357" s="9" t="s">
        <v>4669</v>
      </c>
      <c r="ER1357" s="21">
        <v>46045.300520833334</v>
      </c>
    </row>
    <row r="1358">
      <c r="A1358" s="9" t="s">
        <v>4671</v>
      </c>
      <c r="B1358" s="20" t="str">
        <f>IFERROR(__xludf.DUMMYFUNCTION("REGEXREPLACE(A1358, ""^https?://[^/]+"", """")"),"/wp-content/uploads/elementor/css/post-17816.css?ver=1768858407")</f>
        <v>/wp-content/uploads/elementor/css/post-17816.css?ver=1768858407</v>
      </c>
      <c r="F1358" s="1" t="s">
        <v>1016</v>
      </c>
      <c r="G1358" s="1">
        <v>200.0</v>
      </c>
      <c r="H1358" s="1" t="s">
        <v>966</v>
      </c>
      <c r="I1358" s="1" t="s">
        <v>967</v>
      </c>
      <c r="L1358" s="1">
        <v>0.0</v>
      </c>
      <c r="M1358" s="1">
        <v>0.0</v>
      </c>
      <c r="O1358" s="1">
        <v>0.0</v>
      </c>
      <c r="P1358" s="1">
        <v>0.0</v>
      </c>
      <c r="R1358" s="1">
        <v>0.0</v>
      </c>
      <c r="S1358" s="1">
        <v>0.0</v>
      </c>
      <c r="U1358" s="1">
        <v>0.0</v>
      </c>
      <c r="W1358" s="1">
        <v>0.0</v>
      </c>
      <c r="Y1358" s="1">
        <v>0.0</v>
      </c>
      <c r="AA1358" s="1">
        <v>0.0</v>
      </c>
      <c r="AC1358" s="1">
        <v>0.0</v>
      </c>
      <c r="AM1358" s="1">
        <v>1151.0</v>
      </c>
      <c r="AN1358" s="1">
        <v>1151.0</v>
      </c>
      <c r="AO1358" s="1">
        <v>1151.0</v>
      </c>
      <c r="AP1358" s="1">
        <v>0.441</v>
      </c>
      <c r="AR1358" s="1">
        <v>0.0</v>
      </c>
      <c r="AW1358" s="1">
        <v>0.0</v>
      </c>
      <c r="AX1358" s="1">
        <v>3.0</v>
      </c>
      <c r="AY1358" s="1">
        <v>4.0</v>
      </c>
      <c r="BA1358" s="1">
        <v>0.0</v>
      </c>
      <c r="BB1358" s="1">
        <v>0.0</v>
      </c>
      <c r="BC1358" s="1">
        <v>0.0</v>
      </c>
      <c r="BD1358" s="1">
        <v>0.0</v>
      </c>
      <c r="BE1358" s="1">
        <v>0.0</v>
      </c>
      <c r="BF1358" s="1">
        <v>0.0</v>
      </c>
      <c r="BG1358" s="1">
        <v>0.0</v>
      </c>
      <c r="BH1358" s="1">
        <v>0.0</v>
      </c>
      <c r="BI1358" s="1">
        <v>0.0</v>
      </c>
      <c r="BJ1358" s="1">
        <v>0.0</v>
      </c>
      <c r="BP1358" s="1">
        <v>0.271</v>
      </c>
      <c r="BQ1358" s="1" t="s">
        <v>4672</v>
      </c>
      <c r="BV1358" s="1">
        <v>1.1</v>
      </c>
      <c r="EQ1358" s="9" t="s">
        <v>4671</v>
      </c>
      <c r="ER1358" s="21">
        <v>46045.300520833334</v>
      </c>
    </row>
    <row r="1359">
      <c r="A1359" s="9" t="s">
        <v>4673</v>
      </c>
      <c r="B1359" s="20" t="str">
        <f>IFERROR(__xludf.DUMMYFUNCTION("REGEXREPLACE(A1359, ""^https?://[^/]+"", """")"),"/wp-content/uploads/2020/09/Case-Study_Industry_HVAC_SX-Website.pdf")</f>
        <v>/wp-content/uploads/2020/09/Case-Study_Industry_HVAC_SX-Website.pdf</v>
      </c>
      <c r="F1359" s="1" t="s">
        <v>1730</v>
      </c>
      <c r="G1359" s="1">
        <v>200.0</v>
      </c>
      <c r="H1359" s="1" t="s">
        <v>966</v>
      </c>
      <c r="I1359" s="1" t="s">
        <v>967</v>
      </c>
      <c r="L1359" s="1">
        <v>0.0</v>
      </c>
      <c r="M1359" s="1">
        <v>0.0</v>
      </c>
      <c r="O1359" s="1">
        <v>0.0</v>
      </c>
      <c r="P1359" s="1">
        <v>0.0</v>
      </c>
      <c r="R1359" s="1">
        <v>0.0</v>
      </c>
      <c r="S1359" s="1">
        <v>0.0</v>
      </c>
      <c r="U1359" s="1">
        <v>0.0</v>
      </c>
      <c r="W1359" s="1">
        <v>0.0</v>
      </c>
      <c r="Y1359" s="1">
        <v>0.0</v>
      </c>
      <c r="AA1359" s="1">
        <v>0.0</v>
      </c>
      <c r="AC1359" s="1">
        <v>0.0</v>
      </c>
      <c r="AM1359" s="1">
        <v>1034062.0</v>
      </c>
      <c r="AN1359" s="1">
        <v>1034062.0</v>
      </c>
      <c r="AO1359" s="1">
        <v>1034062.0</v>
      </c>
      <c r="AP1359" s="1">
        <v>396.13</v>
      </c>
      <c r="AR1359" s="1">
        <v>0.0</v>
      </c>
      <c r="AW1359" s="1">
        <v>0.0</v>
      </c>
      <c r="AX1359" s="1">
        <v>3.0</v>
      </c>
      <c r="AY1359" s="1">
        <v>4.0</v>
      </c>
      <c r="AZ1359" s="1">
        <v>1.0</v>
      </c>
      <c r="BA1359" s="1">
        <v>1.0</v>
      </c>
      <c r="BB1359" s="1">
        <v>1.0</v>
      </c>
      <c r="BC1359" s="1">
        <v>0.0</v>
      </c>
      <c r="BD1359" s="1">
        <v>0.13</v>
      </c>
      <c r="BE1359" s="1">
        <v>0.0</v>
      </c>
      <c r="BF1359" s="1">
        <v>0.0</v>
      </c>
      <c r="BG1359" s="1">
        <v>0.0</v>
      </c>
      <c r="BH1359" s="1">
        <v>0.0</v>
      </c>
      <c r="BI1359" s="1">
        <v>0.0</v>
      </c>
      <c r="BJ1359" s="1">
        <v>0.0</v>
      </c>
      <c r="BP1359" s="1">
        <v>0.266</v>
      </c>
      <c r="BQ1359" s="1" t="s">
        <v>4674</v>
      </c>
      <c r="BV1359" s="1">
        <v>1.1</v>
      </c>
      <c r="EQ1359" s="9" t="s">
        <v>4673</v>
      </c>
      <c r="ER1359" s="21">
        <v>46045.300520833334</v>
      </c>
    </row>
    <row r="1360">
      <c r="A1360" s="9" t="s">
        <v>4675</v>
      </c>
      <c r="B1360" s="20" t="str">
        <f>IFERROR(__xludf.DUMMYFUNCTION("REGEXREPLACE(A1360, ""^https?://[^/]+"", """")"),"/wp-content/uploads/elementor/css/post-16417.css?ver=1768870837")</f>
        <v>/wp-content/uploads/elementor/css/post-16417.css?ver=1768870837</v>
      </c>
      <c r="F1360" s="1" t="s">
        <v>1016</v>
      </c>
      <c r="G1360" s="1">
        <v>200.0</v>
      </c>
      <c r="H1360" s="1" t="s">
        <v>966</v>
      </c>
      <c r="I1360" s="1" t="s">
        <v>967</v>
      </c>
      <c r="L1360" s="1">
        <v>0.0</v>
      </c>
      <c r="M1360" s="1">
        <v>0.0</v>
      </c>
      <c r="O1360" s="1">
        <v>0.0</v>
      </c>
      <c r="P1360" s="1">
        <v>0.0</v>
      </c>
      <c r="R1360" s="1">
        <v>0.0</v>
      </c>
      <c r="S1360" s="1">
        <v>0.0</v>
      </c>
      <c r="U1360" s="1">
        <v>0.0</v>
      </c>
      <c r="W1360" s="1">
        <v>0.0</v>
      </c>
      <c r="Y1360" s="1">
        <v>0.0</v>
      </c>
      <c r="AA1360" s="1">
        <v>0.0</v>
      </c>
      <c r="AC1360" s="1">
        <v>0.0</v>
      </c>
      <c r="AM1360" s="1">
        <v>1149.0</v>
      </c>
      <c r="AN1360" s="1">
        <v>1149.0</v>
      </c>
      <c r="AO1360" s="1">
        <v>1149.0</v>
      </c>
      <c r="AP1360" s="1">
        <v>0.44</v>
      </c>
      <c r="AR1360" s="1">
        <v>0.0</v>
      </c>
      <c r="AW1360" s="1">
        <v>0.0</v>
      </c>
      <c r="AX1360" s="1">
        <v>3.0</v>
      </c>
      <c r="AY1360" s="1">
        <v>4.0</v>
      </c>
      <c r="BA1360" s="1">
        <v>0.0</v>
      </c>
      <c r="BB1360" s="1">
        <v>0.0</v>
      </c>
      <c r="BC1360" s="1">
        <v>0.0</v>
      </c>
      <c r="BD1360" s="1">
        <v>0.0</v>
      </c>
      <c r="BE1360" s="1">
        <v>0.0</v>
      </c>
      <c r="BF1360" s="1">
        <v>0.0</v>
      </c>
      <c r="BG1360" s="1">
        <v>0.0</v>
      </c>
      <c r="BH1360" s="1">
        <v>0.0</v>
      </c>
      <c r="BI1360" s="1">
        <v>0.0</v>
      </c>
      <c r="BJ1360" s="1">
        <v>0.0</v>
      </c>
      <c r="BP1360" s="1">
        <v>0.264</v>
      </c>
      <c r="BQ1360" s="1" t="s">
        <v>4676</v>
      </c>
      <c r="BV1360" s="1">
        <v>1.1</v>
      </c>
      <c r="EQ1360" s="9" t="s">
        <v>4675</v>
      </c>
      <c r="ER1360" s="21">
        <v>46045.300520833334</v>
      </c>
    </row>
    <row r="1361">
      <c r="A1361" s="9" t="s">
        <v>4677</v>
      </c>
      <c r="B1361" s="20" t="str">
        <f>IFERROR(__xludf.DUMMYFUNCTION("REGEXREPLACE(A1361, ""^https?://[^/]+"", """")"),"/wp-content/uploads/2019/10/Case_Study_HVAC.pdf")</f>
        <v>/wp-content/uploads/2019/10/Case_Study_HVAC.pdf</v>
      </c>
      <c r="F1361" s="1" t="s">
        <v>1730</v>
      </c>
      <c r="G1361" s="1">
        <v>200.0</v>
      </c>
      <c r="H1361" s="1" t="s">
        <v>966</v>
      </c>
      <c r="I1361" s="1" t="s">
        <v>967</v>
      </c>
      <c r="L1361" s="1">
        <v>0.0</v>
      </c>
      <c r="M1361" s="1">
        <v>0.0</v>
      </c>
      <c r="O1361" s="1">
        <v>0.0</v>
      </c>
      <c r="P1361" s="1">
        <v>0.0</v>
      </c>
      <c r="R1361" s="1">
        <v>0.0</v>
      </c>
      <c r="S1361" s="1">
        <v>0.0</v>
      </c>
      <c r="U1361" s="1">
        <v>0.0</v>
      </c>
      <c r="W1361" s="1">
        <v>0.0</v>
      </c>
      <c r="Y1361" s="1">
        <v>0.0</v>
      </c>
      <c r="AA1361" s="1">
        <v>0.0</v>
      </c>
      <c r="AC1361" s="1">
        <v>0.0</v>
      </c>
      <c r="AM1361" s="1">
        <v>1417248.0</v>
      </c>
      <c r="AN1361" s="1">
        <v>1417248.0</v>
      </c>
      <c r="AO1361" s="1">
        <v>1417248.0</v>
      </c>
      <c r="AP1361" s="1">
        <v>542.921</v>
      </c>
      <c r="AR1361" s="1">
        <v>0.0</v>
      </c>
      <c r="AW1361" s="1">
        <v>0.0</v>
      </c>
      <c r="AX1361" s="1">
        <v>3.0</v>
      </c>
      <c r="AY1361" s="1">
        <v>4.0</v>
      </c>
      <c r="AZ1361" s="1">
        <v>1.0</v>
      </c>
      <c r="BA1361" s="1">
        <v>1.0</v>
      </c>
      <c r="BB1361" s="1">
        <v>1.0</v>
      </c>
      <c r="BC1361" s="1">
        <v>0.0</v>
      </c>
      <c r="BD1361" s="1">
        <v>0.13</v>
      </c>
      <c r="BE1361" s="1">
        <v>0.0</v>
      </c>
      <c r="BF1361" s="1">
        <v>0.0</v>
      </c>
      <c r="BG1361" s="1">
        <v>0.0</v>
      </c>
      <c r="BH1361" s="1">
        <v>0.0</v>
      </c>
      <c r="BI1361" s="1">
        <v>0.0</v>
      </c>
      <c r="BJ1361" s="1">
        <v>0.0</v>
      </c>
      <c r="BP1361" s="1">
        <v>0.264</v>
      </c>
      <c r="BQ1361" s="1" t="s">
        <v>4678</v>
      </c>
      <c r="BV1361" s="1">
        <v>1.1</v>
      </c>
      <c r="EQ1361" s="9" t="s">
        <v>4677</v>
      </c>
      <c r="ER1361" s="21">
        <v>46045.300520833334</v>
      </c>
    </row>
    <row r="1362">
      <c r="A1362" s="9" t="s">
        <v>4679</v>
      </c>
      <c r="B1362" s="20" t="str">
        <f>IFERROR(__xludf.DUMMYFUNCTION("REGEXREPLACE(A1362, ""^https?://[^/]+"", """")"),"/wp-content/uploads/elementor/css/post-25098.css?ver=1768862526")</f>
        <v>/wp-content/uploads/elementor/css/post-25098.css?ver=1768862526</v>
      </c>
      <c r="F1362" s="1" t="s">
        <v>1016</v>
      </c>
      <c r="G1362" s="1">
        <v>200.0</v>
      </c>
      <c r="H1362" s="1" t="s">
        <v>966</v>
      </c>
      <c r="I1362" s="1" t="s">
        <v>967</v>
      </c>
      <c r="L1362" s="1">
        <v>0.0</v>
      </c>
      <c r="M1362" s="1">
        <v>0.0</v>
      </c>
      <c r="O1362" s="1">
        <v>0.0</v>
      </c>
      <c r="P1362" s="1">
        <v>0.0</v>
      </c>
      <c r="R1362" s="1">
        <v>0.0</v>
      </c>
      <c r="S1362" s="1">
        <v>0.0</v>
      </c>
      <c r="U1362" s="1">
        <v>0.0</v>
      </c>
      <c r="W1362" s="1">
        <v>0.0</v>
      </c>
      <c r="Y1362" s="1">
        <v>0.0</v>
      </c>
      <c r="AA1362" s="1">
        <v>0.0</v>
      </c>
      <c r="AC1362" s="1">
        <v>0.0</v>
      </c>
      <c r="AM1362" s="1">
        <v>1159.0</v>
      </c>
      <c r="AN1362" s="1">
        <v>1159.0</v>
      </c>
      <c r="AO1362" s="1">
        <v>1159.0</v>
      </c>
      <c r="AP1362" s="1">
        <v>0.444</v>
      </c>
      <c r="AR1362" s="1">
        <v>0.0</v>
      </c>
      <c r="AW1362" s="1">
        <v>0.0</v>
      </c>
      <c r="AX1362" s="1">
        <v>3.0</v>
      </c>
      <c r="AY1362" s="1">
        <v>4.0</v>
      </c>
      <c r="BA1362" s="1">
        <v>0.0</v>
      </c>
      <c r="BB1362" s="1">
        <v>0.0</v>
      </c>
      <c r="BC1362" s="1">
        <v>0.0</v>
      </c>
      <c r="BD1362" s="1">
        <v>0.0</v>
      </c>
      <c r="BE1362" s="1">
        <v>0.0</v>
      </c>
      <c r="BF1362" s="1">
        <v>0.0</v>
      </c>
      <c r="BG1362" s="1">
        <v>0.0</v>
      </c>
      <c r="BH1362" s="1">
        <v>0.0</v>
      </c>
      <c r="BI1362" s="1">
        <v>0.0</v>
      </c>
      <c r="BJ1362" s="1">
        <v>0.0</v>
      </c>
      <c r="BP1362" s="1">
        <v>0.243</v>
      </c>
      <c r="BQ1362" s="1" t="s">
        <v>4680</v>
      </c>
      <c r="BV1362" s="1">
        <v>1.1</v>
      </c>
      <c r="EQ1362" s="9" t="s">
        <v>4679</v>
      </c>
      <c r="ER1362" s="21">
        <v>46045.300520833334</v>
      </c>
    </row>
    <row r="1363">
      <c r="A1363" s="9" t="s">
        <v>4681</v>
      </c>
      <c r="B1363" s="20" t="str">
        <f>IFERROR(__xludf.DUMMYFUNCTION("REGEXREPLACE(A1363, ""^https?://[^/]+"", """")"),"/wp-content/themes/salesxceleratione/assets/css/style.css?ver=1769123496")</f>
        <v>/wp-content/themes/salesxceleratione/assets/css/style.css?ver=1769123496</v>
      </c>
      <c r="F1363" s="1" t="s">
        <v>1016</v>
      </c>
      <c r="G1363" s="1">
        <v>200.0</v>
      </c>
      <c r="H1363" s="1" t="s">
        <v>966</v>
      </c>
      <c r="I1363" s="1" t="s">
        <v>967</v>
      </c>
      <c r="L1363" s="1">
        <v>0.0</v>
      </c>
      <c r="M1363" s="1">
        <v>0.0</v>
      </c>
      <c r="O1363" s="1">
        <v>0.0</v>
      </c>
      <c r="P1363" s="1">
        <v>0.0</v>
      </c>
      <c r="R1363" s="1">
        <v>0.0</v>
      </c>
      <c r="S1363" s="1">
        <v>0.0</v>
      </c>
      <c r="U1363" s="1">
        <v>0.0</v>
      </c>
      <c r="W1363" s="1">
        <v>0.0</v>
      </c>
      <c r="Y1363" s="1">
        <v>0.0</v>
      </c>
      <c r="AA1363" s="1">
        <v>0.0</v>
      </c>
      <c r="AC1363" s="1">
        <v>0.0</v>
      </c>
      <c r="AM1363" s="1">
        <v>17704.0</v>
      </c>
      <c r="AN1363" s="1">
        <v>17704.0</v>
      </c>
      <c r="AO1363" s="1">
        <v>17704.0</v>
      </c>
      <c r="AP1363" s="1">
        <v>6.782</v>
      </c>
      <c r="AR1363" s="1">
        <v>0.0</v>
      </c>
      <c r="AW1363" s="1">
        <v>0.0</v>
      </c>
      <c r="AX1363" s="1">
        <v>3.0</v>
      </c>
      <c r="AY1363" s="1">
        <v>5.0</v>
      </c>
      <c r="BA1363" s="1">
        <v>0.0</v>
      </c>
      <c r="BB1363" s="1">
        <v>0.0</v>
      </c>
      <c r="BC1363" s="1">
        <v>0.0</v>
      </c>
      <c r="BD1363" s="1">
        <v>0.0</v>
      </c>
      <c r="BE1363" s="1">
        <v>0.0</v>
      </c>
      <c r="BF1363" s="1">
        <v>0.0</v>
      </c>
      <c r="BG1363" s="1">
        <v>0.0</v>
      </c>
      <c r="BH1363" s="1">
        <v>0.0</v>
      </c>
      <c r="BI1363" s="1">
        <v>0.0</v>
      </c>
      <c r="BJ1363" s="1">
        <v>0.0</v>
      </c>
      <c r="BP1363" s="1">
        <v>0.271</v>
      </c>
      <c r="BQ1363" s="1" t="s">
        <v>4647</v>
      </c>
      <c r="BV1363" s="1">
        <v>1.1</v>
      </c>
      <c r="EQ1363" s="9" t="s">
        <v>4681</v>
      </c>
      <c r="ER1363" s="21">
        <v>46045.300520833334</v>
      </c>
    </row>
    <row r="1364">
      <c r="A1364" s="9" t="s">
        <v>4682</v>
      </c>
      <c r="B1364" s="20" t="str">
        <f>IFERROR(__xludf.DUMMYFUNCTION("REGEXREPLACE(A1364, ""^https?://[^/]+"", """")"),"/wp-content/uploads/2022/03/Case-Study_Professional-Services_JL_SX.pdf")</f>
        <v>/wp-content/uploads/2022/03/Case-Study_Professional-Services_JL_SX.pdf</v>
      </c>
      <c r="F1364" s="1" t="s">
        <v>1730</v>
      </c>
      <c r="G1364" s="1">
        <v>200.0</v>
      </c>
      <c r="H1364" s="1" t="s">
        <v>966</v>
      </c>
      <c r="I1364" s="1" t="s">
        <v>967</v>
      </c>
      <c r="L1364" s="1">
        <v>0.0</v>
      </c>
      <c r="M1364" s="1">
        <v>0.0</v>
      </c>
      <c r="O1364" s="1">
        <v>0.0</v>
      </c>
      <c r="P1364" s="1">
        <v>0.0</v>
      </c>
      <c r="R1364" s="1">
        <v>0.0</v>
      </c>
      <c r="S1364" s="1">
        <v>0.0</v>
      </c>
      <c r="U1364" s="1">
        <v>0.0</v>
      </c>
      <c r="W1364" s="1">
        <v>0.0</v>
      </c>
      <c r="Y1364" s="1">
        <v>0.0</v>
      </c>
      <c r="AA1364" s="1">
        <v>0.0</v>
      </c>
      <c r="AC1364" s="1">
        <v>0.0</v>
      </c>
      <c r="AM1364" s="1">
        <v>1082545.0</v>
      </c>
      <c r="AN1364" s="1">
        <v>1082545.0</v>
      </c>
      <c r="AO1364" s="1">
        <v>1082545.0</v>
      </c>
      <c r="AP1364" s="1">
        <v>414.702</v>
      </c>
      <c r="AR1364" s="1">
        <v>0.0</v>
      </c>
      <c r="AW1364" s="1">
        <v>0.0</v>
      </c>
      <c r="AX1364" s="1">
        <v>3.0</v>
      </c>
      <c r="AY1364" s="1">
        <v>4.0</v>
      </c>
      <c r="AZ1364" s="1">
        <v>1.0</v>
      </c>
      <c r="BA1364" s="1">
        <v>1.0</v>
      </c>
      <c r="BB1364" s="1">
        <v>1.0</v>
      </c>
      <c r="BC1364" s="1">
        <v>0.0</v>
      </c>
      <c r="BD1364" s="1">
        <v>0.13</v>
      </c>
      <c r="BE1364" s="1">
        <v>0.0</v>
      </c>
      <c r="BF1364" s="1">
        <v>0.0</v>
      </c>
      <c r="BG1364" s="1">
        <v>0.0</v>
      </c>
      <c r="BH1364" s="1">
        <v>0.0</v>
      </c>
      <c r="BI1364" s="1">
        <v>0.0</v>
      </c>
      <c r="BJ1364" s="1">
        <v>0.0</v>
      </c>
      <c r="BP1364" s="1">
        <v>0.279</v>
      </c>
      <c r="BQ1364" s="1" t="s">
        <v>4683</v>
      </c>
      <c r="BV1364" s="1">
        <v>1.1</v>
      </c>
      <c r="EQ1364" s="9" t="s">
        <v>4682</v>
      </c>
      <c r="ER1364" s="21">
        <v>46045.300520833334</v>
      </c>
    </row>
    <row r="1365">
      <c r="A1365" s="9" t="s">
        <v>4684</v>
      </c>
      <c r="B1365" s="20" t="str">
        <f>IFERROR(__xludf.DUMMYFUNCTION("REGEXREPLACE(A1365, ""^https?://[^/]+"", """")"),"/wp-content/themes/salesxceleratione/assets/css/style.css?ver=1769123497")</f>
        <v>/wp-content/themes/salesxceleratione/assets/css/style.css?ver=1769123497</v>
      </c>
      <c r="F1365" s="1" t="s">
        <v>1016</v>
      </c>
      <c r="G1365" s="1">
        <v>200.0</v>
      </c>
      <c r="H1365" s="1" t="s">
        <v>966</v>
      </c>
      <c r="I1365" s="1" t="s">
        <v>967</v>
      </c>
      <c r="L1365" s="1">
        <v>0.0</v>
      </c>
      <c r="M1365" s="1">
        <v>0.0</v>
      </c>
      <c r="O1365" s="1">
        <v>0.0</v>
      </c>
      <c r="P1365" s="1">
        <v>0.0</v>
      </c>
      <c r="R1365" s="1">
        <v>0.0</v>
      </c>
      <c r="S1365" s="1">
        <v>0.0</v>
      </c>
      <c r="U1365" s="1">
        <v>0.0</v>
      </c>
      <c r="W1365" s="1">
        <v>0.0</v>
      </c>
      <c r="Y1365" s="1">
        <v>0.0</v>
      </c>
      <c r="AA1365" s="1">
        <v>0.0</v>
      </c>
      <c r="AC1365" s="1">
        <v>0.0</v>
      </c>
      <c r="AM1365" s="1">
        <v>17704.0</v>
      </c>
      <c r="AN1365" s="1">
        <v>17704.0</v>
      </c>
      <c r="AO1365" s="1">
        <v>17704.0</v>
      </c>
      <c r="AP1365" s="1">
        <v>6.782</v>
      </c>
      <c r="AR1365" s="1">
        <v>0.0</v>
      </c>
      <c r="AW1365" s="1">
        <v>0.0</v>
      </c>
      <c r="AX1365" s="1">
        <v>3.0</v>
      </c>
      <c r="AY1365" s="1">
        <v>5.0</v>
      </c>
      <c r="BA1365" s="1">
        <v>0.0</v>
      </c>
      <c r="BB1365" s="1">
        <v>0.0</v>
      </c>
      <c r="BC1365" s="1">
        <v>0.0</v>
      </c>
      <c r="BD1365" s="1">
        <v>0.0</v>
      </c>
      <c r="BE1365" s="1">
        <v>0.0</v>
      </c>
      <c r="BF1365" s="1">
        <v>0.0</v>
      </c>
      <c r="BG1365" s="1">
        <v>0.0</v>
      </c>
      <c r="BH1365" s="1">
        <v>0.0</v>
      </c>
      <c r="BI1365" s="1">
        <v>0.0</v>
      </c>
      <c r="BJ1365" s="1">
        <v>0.0</v>
      </c>
      <c r="BP1365" s="1">
        <v>0.258</v>
      </c>
      <c r="BQ1365" s="1" t="s">
        <v>4647</v>
      </c>
      <c r="BV1365" s="1">
        <v>1.1</v>
      </c>
      <c r="EQ1365" s="9" t="s">
        <v>4684</v>
      </c>
      <c r="ER1365" s="21">
        <v>46045.300520833334</v>
      </c>
    </row>
    <row r="1366">
      <c r="A1366" s="9" t="s">
        <v>4685</v>
      </c>
      <c r="B1366" s="20" t="str">
        <f>IFERROR(__xludf.DUMMYFUNCTION("REGEXREPLACE(A1366, ""^https?://[^/]+"", """")"),"/wp-content/uploads/2021/02/case-study-sx1-thumb-2048x2048.jpg")</f>
        <v>/wp-content/uploads/2021/02/case-study-sx1-thumb-2048x2048.jpg</v>
      </c>
      <c r="F1366" s="1" t="s">
        <v>1004</v>
      </c>
      <c r="G1366" s="1">
        <v>200.0</v>
      </c>
      <c r="H1366" s="1" t="s">
        <v>966</v>
      </c>
      <c r="I1366" s="1" t="s">
        <v>967</v>
      </c>
      <c r="L1366" s="1">
        <v>0.0</v>
      </c>
      <c r="M1366" s="1">
        <v>0.0</v>
      </c>
      <c r="O1366" s="1">
        <v>0.0</v>
      </c>
      <c r="P1366" s="1">
        <v>0.0</v>
      </c>
      <c r="R1366" s="1">
        <v>0.0</v>
      </c>
      <c r="S1366" s="1">
        <v>0.0</v>
      </c>
      <c r="U1366" s="1">
        <v>0.0</v>
      </c>
      <c r="W1366" s="1">
        <v>0.0</v>
      </c>
      <c r="Y1366" s="1">
        <v>0.0</v>
      </c>
      <c r="AA1366" s="1">
        <v>0.0</v>
      </c>
      <c r="AC1366" s="1">
        <v>0.0</v>
      </c>
      <c r="AM1366" s="1">
        <v>251549.0</v>
      </c>
      <c r="AN1366" s="1">
        <v>251549.0</v>
      </c>
      <c r="AO1366" s="1">
        <v>251549.0</v>
      </c>
      <c r="AP1366" s="1">
        <v>96.364</v>
      </c>
      <c r="AR1366" s="1">
        <v>0.0</v>
      </c>
      <c r="AW1366" s="1">
        <v>0.0</v>
      </c>
      <c r="AX1366" s="1">
        <v>3.0</v>
      </c>
      <c r="AY1366" s="1">
        <v>4.0</v>
      </c>
      <c r="BA1366" s="1">
        <v>0.0</v>
      </c>
      <c r="BB1366" s="1">
        <v>0.0</v>
      </c>
      <c r="BC1366" s="1">
        <v>0.0</v>
      </c>
      <c r="BD1366" s="1">
        <v>0.0</v>
      </c>
      <c r="BE1366" s="1">
        <v>0.0</v>
      </c>
      <c r="BF1366" s="1">
        <v>0.0</v>
      </c>
      <c r="BG1366" s="1">
        <v>0.0</v>
      </c>
      <c r="BH1366" s="1">
        <v>0.0</v>
      </c>
      <c r="BI1366" s="1">
        <v>0.0</v>
      </c>
      <c r="BJ1366" s="1">
        <v>0.0</v>
      </c>
      <c r="BP1366" s="1">
        <v>0.297</v>
      </c>
      <c r="BQ1366" s="1" t="s">
        <v>4686</v>
      </c>
      <c r="BV1366" s="1">
        <v>1.1</v>
      </c>
      <c r="EQ1366" s="9" t="s">
        <v>4685</v>
      </c>
      <c r="ER1366" s="21">
        <v>46045.300520833334</v>
      </c>
    </row>
    <row r="1367">
      <c r="A1367" s="9" t="s">
        <v>4687</v>
      </c>
      <c r="B1367" s="20" t="str">
        <f>IFERROR(__xludf.DUMMYFUNCTION("REGEXREPLACE(A1367, ""^https?://[^/]+"", """")"),"/wp-content/uploads/2019/03/marketing-case-study1-1.jpg")</f>
        <v>/wp-content/uploads/2019/03/marketing-case-study1-1.jpg</v>
      </c>
      <c r="F1367" s="1" t="s">
        <v>1004</v>
      </c>
      <c r="G1367" s="1">
        <v>200.0</v>
      </c>
      <c r="H1367" s="1" t="s">
        <v>966</v>
      </c>
      <c r="I1367" s="1" t="s">
        <v>967</v>
      </c>
      <c r="L1367" s="1">
        <v>0.0</v>
      </c>
      <c r="M1367" s="1">
        <v>0.0</v>
      </c>
      <c r="O1367" s="1">
        <v>0.0</v>
      </c>
      <c r="P1367" s="1">
        <v>0.0</v>
      </c>
      <c r="R1367" s="1">
        <v>0.0</v>
      </c>
      <c r="S1367" s="1">
        <v>0.0</v>
      </c>
      <c r="U1367" s="1">
        <v>0.0</v>
      </c>
      <c r="W1367" s="1">
        <v>0.0</v>
      </c>
      <c r="Y1367" s="1">
        <v>0.0</v>
      </c>
      <c r="AA1367" s="1">
        <v>0.0</v>
      </c>
      <c r="AC1367" s="1">
        <v>0.0</v>
      </c>
      <c r="AM1367" s="1">
        <v>61596.0</v>
      </c>
      <c r="AN1367" s="1">
        <v>61596.0</v>
      </c>
      <c r="AO1367" s="1">
        <v>61596.0</v>
      </c>
      <c r="AP1367" s="1">
        <v>23.596</v>
      </c>
      <c r="AR1367" s="1">
        <v>0.0</v>
      </c>
      <c r="AW1367" s="1">
        <v>0.0</v>
      </c>
      <c r="AX1367" s="1">
        <v>3.0</v>
      </c>
      <c r="AY1367" s="1">
        <v>4.0</v>
      </c>
      <c r="BA1367" s="1">
        <v>0.0</v>
      </c>
      <c r="BB1367" s="1">
        <v>0.0</v>
      </c>
      <c r="BC1367" s="1">
        <v>0.0</v>
      </c>
      <c r="BD1367" s="1">
        <v>0.0</v>
      </c>
      <c r="BE1367" s="1">
        <v>0.0</v>
      </c>
      <c r="BF1367" s="1">
        <v>0.0</v>
      </c>
      <c r="BG1367" s="1">
        <v>0.0</v>
      </c>
      <c r="BH1367" s="1">
        <v>0.0</v>
      </c>
      <c r="BI1367" s="1">
        <v>0.0</v>
      </c>
      <c r="BJ1367" s="1">
        <v>0.0</v>
      </c>
      <c r="BP1367" s="1">
        <v>0.255</v>
      </c>
      <c r="BQ1367" s="1" t="s">
        <v>4688</v>
      </c>
      <c r="BV1367" s="1">
        <v>1.1</v>
      </c>
      <c r="EQ1367" s="9" t="s">
        <v>4687</v>
      </c>
      <c r="ER1367" s="21">
        <v>46045.300520833334</v>
      </c>
    </row>
    <row r="1368">
      <c r="A1368" s="9" t="s">
        <v>4689</v>
      </c>
      <c r="B1368" s="20" t="str">
        <f>IFERROR(__xludf.DUMMYFUNCTION("REGEXREPLACE(A1368, ""^https?://[^/]+"", """")"),"/wp-content/uploads/2020/02/Case_Study_Food___Agriculture.pdf")</f>
        <v>/wp-content/uploads/2020/02/Case_Study_Food___Agriculture.pdf</v>
      </c>
      <c r="F1368" s="1" t="s">
        <v>1730</v>
      </c>
      <c r="G1368" s="1">
        <v>200.0</v>
      </c>
      <c r="H1368" s="1" t="s">
        <v>966</v>
      </c>
      <c r="I1368" s="1" t="s">
        <v>967</v>
      </c>
      <c r="L1368" s="1">
        <v>0.0</v>
      </c>
      <c r="M1368" s="1">
        <v>0.0</v>
      </c>
      <c r="O1368" s="1">
        <v>0.0</v>
      </c>
      <c r="P1368" s="1">
        <v>0.0</v>
      </c>
      <c r="R1368" s="1">
        <v>0.0</v>
      </c>
      <c r="S1368" s="1">
        <v>0.0</v>
      </c>
      <c r="U1368" s="1">
        <v>0.0</v>
      </c>
      <c r="W1368" s="1">
        <v>0.0</v>
      </c>
      <c r="Y1368" s="1">
        <v>0.0</v>
      </c>
      <c r="AA1368" s="1">
        <v>0.0</v>
      </c>
      <c r="AC1368" s="1">
        <v>0.0</v>
      </c>
      <c r="AM1368" s="1">
        <v>796580.0</v>
      </c>
      <c r="AN1368" s="1">
        <v>796580.0</v>
      </c>
      <c r="AO1368" s="1">
        <v>796580.0</v>
      </c>
      <c r="AP1368" s="1">
        <v>305.155</v>
      </c>
      <c r="AR1368" s="1">
        <v>0.0</v>
      </c>
      <c r="AW1368" s="1">
        <v>0.0</v>
      </c>
      <c r="AX1368" s="1">
        <v>3.0</v>
      </c>
      <c r="AY1368" s="1">
        <v>4.0</v>
      </c>
      <c r="AZ1368" s="1">
        <v>1.0</v>
      </c>
      <c r="BA1368" s="1">
        <v>1.0</v>
      </c>
      <c r="BB1368" s="1">
        <v>1.0</v>
      </c>
      <c r="BC1368" s="1">
        <v>0.0</v>
      </c>
      <c r="BD1368" s="1">
        <v>0.13</v>
      </c>
      <c r="BE1368" s="1">
        <v>0.0</v>
      </c>
      <c r="BF1368" s="1">
        <v>0.0</v>
      </c>
      <c r="BG1368" s="1">
        <v>0.0</v>
      </c>
      <c r="BH1368" s="1">
        <v>0.0</v>
      </c>
      <c r="BI1368" s="1">
        <v>0.0</v>
      </c>
      <c r="BJ1368" s="1">
        <v>0.0</v>
      </c>
      <c r="BP1368" s="1">
        <v>0.282</v>
      </c>
      <c r="BQ1368" s="1" t="s">
        <v>4690</v>
      </c>
      <c r="BV1368" s="1">
        <v>1.1</v>
      </c>
      <c r="EQ1368" s="9" t="s">
        <v>4689</v>
      </c>
      <c r="ER1368" s="21">
        <v>46045.300520833334</v>
      </c>
    </row>
    <row r="1369">
      <c r="A1369" s="9" t="s">
        <v>4691</v>
      </c>
      <c r="B1369" s="20" t="str">
        <f>IFERROR(__xludf.DUMMYFUNCTION("REGEXREPLACE(A1369, ""^https?://[^/]+"", """")"),"/wp-content/uploads/elementor/css/post-25741.css?ver=1768901001")</f>
        <v>/wp-content/uploads/elementor/css/post-25741.css?ver=1768901001</v>
      </c>
      <c r="F1369" s="1" t="s">
        <v>1016</v>
      </c>
      <c r="G1369" s="1">
        <v>200.0</v>
      </c>
      <c r="H1369" s="1" t="s">
        <v>966</v>
      </c>
      <c r="I1369" s="1" t="s">
        <v>967</v>
      </c>
      <c r="L1369" s="1">
        <v>0.0</v>
      </c>
      <c r="M1369" s="1">
        <v>0.0</v>
      </c>
      <c r="O1369" s="1">
        <v>0.0</v>
      </c>
      <c r="P1369" s="1">
        <v>0.0</v>
      </c>
      <c r="R1369" s="1">
        <v>0.0</v>
      </c>
      <c r="S1369" s="1">
        <v>0.0</v>
      </c>
      <c r="U1369" s="1">
        <v>0.0</v>
      </c>
      <c r="W1369" s="1">
        <v>0.0</v>
      </c>
      <c r="Y1369" s="1">
        <v>0.0</v>
      </c>
      <c r="AA1369" s="1">
        <v>0.0</v>
      </c>
      <c r="AC1369" s="1">
        <v>0.0</v>
      </c>
      <c r="AM1369" s="1">
        <v>1151.0</v>
      </c>
      <c r="AN1369" s="1">
        <v>1151.0</v>
      </c>
      <c r="AO1369" s="1">
        <v>1151.0</v>
      </c>
      <c r="AP1369" s="1">
        <v>0.441</v>
      </c>
      <c r="AR1369" s="1">
        <v>0.0</v>
      </c>
      <c r="AW1369" s="1">
        <v>0.0</v>
      </c>
      <c r="AX1369" s="1">
        <v>3.0</v>
      </c>
      <c r="AY1369" s="1">
        <v>4.0</v>
      </c>
      <c r="BA1369" s="1">
        <v>0.0</v>
      </c>
      <c r="BB1369" s="1">
        <v>0.0</v>
      </c>
      <c r="BC1369" s="1">
        <v>0.0</v>
      </c>
      <c r="BD1369" s="1">
        <v>0.0</v>
      </c>
      <c r="BE1369" s="1">
        <v>0.0</v>
      </c>
      <c r="BF1369" s="1">
        <v>0.0</v>
      </c>
      <c r="BG1369" s="1">
        <v>0.0</v>
      </c>
      <c r="BH1369" s="1">
        <v>0.0</v>
      </c>
      <c r="BI1369" s="1">
        <v>0.0</v>
      </c>
      <c r="BJ1369" s="1">
        <v>0.0</v>
      </c>
      <c r="BP1369" s="1">
        <v>0.253</v>
      </c>
      <c r="BQ1369" s="1" t="s">
        <v>4692</v>
      </c>
      <c r="BV1369" s="1">
        <v>1.1</v>
      </c>
      <c r="EQ1369" s="9" t="s">
        <v>4691</v>
      </c>
      <c r="ER1369" s="21">
        <v>46045.300532407404</v>
      </c>
    </row>
    <row r="1370">
      <c r="A1370" s="9" t="s">
        <v>4693</v>
      </c>
      <c r="B1370" s="20" t="str">
        <f>IFERROR(__xludf.DUMMYFUNCTION("REGEXREPLACE(A1370, ""^https?://[^/]+"", """")"),"/wp-content/uploads/2019/11/construction-thumb-2048x2048.jpg")</f>
        <v>/wp-content/uploads/2019/11/construction-thumb-2048x2048.jpg</v>
      </c>
      <c r="F1370" s="1" t="s">
        <v>1004</v>
      </c>
      <c r="G1370" s="1">
        <v>200.0</v>
      </c>
      <c r="H1370" s="1" t="s">
        <v>966</v>
      </c>
      <c r="I1370" s="1" t="s">
        <v>967</v>
      </c>
      <c r="L1370" s="1">
        <v>0.0</v>
      </c>
      <c r="M1370" s="1">
        <v>0.0</v>
      </c>
      <c r="O1370" s="1">
        <v>0.0</v>
      </c>
      <c r="P1370" s="1">
        <v>0.0</v>
      </c>
      <c r="R1370" s="1">
        <v>0.0</v>
      </c>
      <c r="S1370" s="1">
        <v>0.0</v>
      </c>
      <c r="U1370" s="1">
        <v>0.0</v>
      </c>
      <c r="W1370" s="1">
        <v>0.0</v>
      </c>
      <c r="Y1370" s="1">
        <v>0.0</v>
      </c>
      <c r="AA1370" s="1">
        <v>0.0</v>
      </c>
      <c r="AC1370" s="1">
        <v>0.0</v>
      </c>
      <c r="AM1370" s="1">
        <v>322646.0</v>
      </c>
      <c r="AN1370" s="1">
        <v>322646.0</v>
      </c>
      <c r="AO1370" s="1">
        <v>322646.0</v>
      </c>
      <c r="AP1370" s="1">
        <v>123.6</v>
      </c>
      <c r="AR1370" s="1">
        <v>0.0</v>
      </c>
      <c r="AW1370" s="1">
        <v>0.0</v>
      </c>
      <c r="AX1370" s="1">
        <v>3.0</v>
      </c>
      <c r="AY1370" s="1">
        <v>4.0</v>
      </c>
      <c r="BA1370" s="1">
        <v>0.0</v>
      </c>
      <c r="BB1370" s="1">
        <v>0.0</v>
      </c>
      <c r="BC1370" s="1">
        <v>0.0</v>
      </c>
      <c r="BD1370" s="1">
        <v>0.0</v>
      </c>
      <c r="BE1370" s="1">
        <v>0.0</v>
      </c>
      <c r="BF1370" s="1">
        <v>0.0</v>
      </c>
      <c r="BG1370" s="1">
        <v>0.0</v>
      </c>
      <c r="BH1370" s="1">
        <v>0.0</v>
      </c>
      <c r="BI1370" s="1">
        <v>0.0</v>
      </c>
      <c r="BJ1370" s="1">
        <v>0.0</v>
      </c>
      <c r="BP1370" s="1">
        <v>0.303</v>
      </c>
      <c r="BQ1370" s="1" t="s">
        <v>4694</v>
      </c>
      <c r="BV1370" s="1">
        <v>1.1</v>
      </c>
      <c r="EQ1370" s="9" t="s">
        <v>4693</v>
      </c>
      <c r="ER1370" s="21">
        <v>46045.300532407404</v>
      </c>
    </row>
    <row r="1371">
      <c r="A1371" s="9" t="s">
        <v>4695</v>
      </c>
      <c r="B1371" s="20" t="str">
        <f>IFERROR(__xludf.DUMMYFUNCTION("REGEXREPLACE(A1371, ""^https?://[^/]+"", """")"),"/wp-content/uploads/2020/01/manu_thumbnail-2048x2048.jpg")</f>
        <v>/wp-content/uploads/2020/01/manu_thumbnail-2048x2048.jpg</v>
      </c>
      <c r="F1371" s="1" t="s">
        <v>1004</v>
      </c>
      <c r="G1371" s="1">
        <v>200.0</v>
      </c>
      <c r="H1371" s="1" t="s">
        <v>966</v>
      </c>
      <c r="I1371" s="1" t="s">
        <v>967</v>
      </c>
      <c r="L1371" s="1">
        <v>0.0</v>
      </c>
      <c r="M1371" s="1">
        <v>0.0</v>
      </c>
      <c r="O1371" s="1">
        <v>0.0</v>
      </c>
      <c r="P1371" s="1">
        <v>0.0</v>
      </c>
      <c r="R1371" s="1">
        <v>0.0</v>
      </c>
      <c r="S1371" s="1">
        <v>0.0</v>
      </c>
      <c r="U1371" s="1">
        <v>0.0</v>
      </c>
      <c r="W1371" s="1">
        <v>0.0</v>
      </c>
      <c r="Y1371" s="1">
        <v>0.0</v>
      </c>
      <c r="AA1371" s="1">
        <v>0.0</v>
      </c>
      <c r="AC1371" s="1">
        <v>0.0</v>
      </c>
      <c r="AM1371" s="1">
        <v>414027.0</v>
      </c>
      <c r="AN1371" s="1">
        <v>414027.0</v>
      </c>
      <c r="AO1371" s="1">
        <v>414027.0</v>
      </c>
      <c r="AP1371" s="1">
        <v>158.606</v>
      </c>
      <c r="AR1371" s="1">
        <v>0.0</v>
      </c>
      <c r="AW1371" s="1">
        <v>0.0</v>
      </c>
      <c r="AX1371" s="1">
        <v>3.0</v>
      </c>
      <c r="AY1371" s="1">
        <v>4.0</v>
      </c>
      <c r="BA1371" s="1">
        <v>0.0</v>
      </c>
      <c r="BB1371" s="1">
        <v>0.0</v>
      </c>
      <c r="BC1371" s="1">
        <v>0.0</v>
      </c>
      <c r="BD1371" s="1">
        <v>0.0</v>
      </c>
      <c r="BE1371" s="1">
        <v>0.0</v>
      </c>
      <c r="BF1371" s="1">
        <v>0.0</v>
      </c>
      <c r="BG1371" s="1">
        <v>0.0</v>
      </c>
      <c r="BH1371" s="1">
        <v>0.0</v>
      </c>
      <c r="BI1371" s="1">
        <v>0.0</v>
      </c>
      <c r="BJ1371" s="1">
        <v>0.0</v>
      </c>
      <c r="BP1371" s="1">
        <v>0.291</v>
      </c>
      <c r="BQ1371" s="1" t="s">
        <v>4696</v>
      </c>
      <c r="BV1371" s="1">
        <v>1.1</v>
      </c>
      <c r="EQ1371" s="9" t="s">
        <v>4695</v>
      </c>
      <c r="ER1371" s="21">
        <v>46045.300532407404</v>
      </c>
    </row>
    <row r="1372">
      <c r="A1372" s="9" t="s">
        <v>4697</v>
      </c>
      <c r="B1372" s="20" t="str">
        <f>IFERROR(__xludf.DUMMYFUNCTION("REGEXREPLACE(A1372, ""^https?://[^/]+"", """")"),"/wp-content/uploads/2021/09/Case-Study_Marketing_March.pdf")</f>
        <v>/wp-content/uploads/2021/09/Case-Study_Marketing_March.pdf</v>
      </c>
      <c r="F1372" s="1" t="s">
        <v>1730</v>
      </c>
      <c r="G1372" s="1">
        <v>200.0</v>
      </c>
      <c r="H1372" s="1" t="s">
        <v>966</v>
      </c>
      <c r="I1372" s="1" t="s">
        <v>967</v>
      </c>
      <c r="L1372" s="1">
        <v>0.0</v>
      </c>
      <c r="M1372" s="1">
        <v>0.0</v>
      </c>
      <c r="O1372" s="1">
        <v>0.0</v>
      </c>
      <c r="P1372" s="1">
        <v>0.0</v>
      </c>
      <c r="R1372" s="1">
        <v>0.0</v>
      </c>
      <c r="S1372" s="1">
        <v>0.0</v>
      </c>
      <c r="U1372" s="1">
        <v>0.0</v>
      </c>
      <c r="W1372" s="1">
        <v>0.0</v>
      </c>
      <c r="Y1372" s="1">
        <v>0.0</v>
      </c>
      <c r="AA1372" s="1">
        <v>0.0</v>
      </c>
      <c r="AC1372" s="1">
        <v>0.0</v>
      </c>
      <c r="AM1372" s="1">
        <v>836291.0</v>
      </c>
      <c r="AN1372" s="1">
        <v>836291.0</v>
      </c>
      <c r="AO1372" s="1">
        <v>836291.0</v>
      </c>
      <c r="AP1372" s="1">
        <v>320.367</v>
      </c>
      <c r="AR1372" s="1">
        <v>0.0</v>
      </c>
      <c r="AW1372" s="1">
        <v>0.0</v>
      </c>
      <c r="AX1372" s="1">
        <v>3.0</v>
      </c>
      <c r="AY1372" s="1">
        <v>4.0</v>
      </c>
      <c r="AZ1372" s="1">
        <v>1.0</v>
      </c>
      <c r="BA1372" s="1">
        <v>1.0</v>
      </c>
      <c r="BB1372" s="1">
        <v>1.0</v>
      </c>
      <c r="BC1372" s="1">
        <v>0.0</v>
      </c>
      <c r="BD1372" s="1">
        <v>0.13</v>
      </c>
      <c r="BE1372" s="1">
        <v>0.0</v>
      </c>
      <c r="BF1372" s="1">
        <v>0.0</v>
      </c>
      <c r="BG1372" s="1">
        <v>0.0</v>
      </c>
      <c r="BH1372" s="1">
        <v>0.0</v>
      </c>
      <c r="BI1372" s="1">
        <v>0.0</v>
      </c>
      <c r="BJ1372" s="1">
        <v>0.0</v>
      </c>
      <c r="BP1372" s="1">
        <v>0.328</v>
      </c>
      <c r="BQ1372" s="1" t="s">
        <v>4698</v>
      </c>
      <c r="BV1372" s="1">
        <v>1.1</v>
      </c>
      <c r="EQ1372" s="9" t="s">
        <v>4697</v>
      </c>
      <c r="ER1372" s="21">
        <v>46045.300520833334</v>
      </c>
    </row>
    <row r="1373">
      <c r="A1373" s="9" t="s">
        <v>4699</v>
      </c>
      <c r="B1373" s="20" t="str">
        <f>IFERROR(__xludf.DUMMYFUNCTION("REGEXREPLACE(A1373, ""^https?://[^/]+"", """")"),"/wp-content/uploads/2022/05/thumb-Case-Study_Construction_SX-1-2048x2048.jpg")</f>
        <v>/wp-content/uploads/2022/05/thumb-Case-Study_Construction_SX-1-2048x2048.jpg</v>
      </c>
      <c r="F1373" s="1" t="s">
        <v>1004</v>
      </c>
      <c r="G1373" s="1">
        <v>200.0</v>
      </c>
      <c r="H1373" s="1" t="s">
        <v>966</v>
      </c>
      <c r="I1373" s="1" t="s">
        <v>967</v>
      </c>
      <c r="L1373" s="1">
        <v>0.0</v>
      </c>
      <c r="M1373" s="1">
        <v>0.0</v>
      </c>
      <c r="O1373" s="1">
        <v>0.0</v>
      </c>
      <c r="P1373" s="1">
        <v>0.0</v>
      </c>
      <c r="R1373" s="1">
        <v>0.0</v>
      </c>
      <c r="S1373" s="1">
        <v>0.0</v>
      </c>
      <c r="U1373" s="1">
        <v>0.0</v>
      </c>
      <c r="W1373" s="1">
        <v>0.0</v>
      </c>
      <c r="Y1373" s="1">
        <v>0.0</v>
      </c>
      <c r="AA1373" s="1">
        <v>0.0</v>
      </c>
      <c r="AC1373" s="1">
        <v>0.0</v>
      </c>
      <c r="AM1373" s="1">
        <v>473782.0</v>
      </c>
      <c r="AN1373" s="1">
        <v>473782.0</v>
      </c>
      <c r="AO1373" s="1">
        <v>473782.0</v>
      </c>
      <c r="AP1373" s="1">
        <v>181.497</v>
      </c>
      <c r="AR1373" s="1">
        <v>0.0</v>
      </c>
      <c r="AW1373" s="1">
        <v>0.0</v>
      </c>
      <c r="AX1373" s="1">
        <v>3.0</v>
      </c>
      <c r="AY1373" s="1">
        <v>4.0</v>
      </c>
      <c r="BA1373" s="1">
        <v>0.0</v>
      </c>
      <c r="BB1373" s="1">
        <v>0.0</v>
      </c>
      <c r="BC1373" s="1">
        <v>0.0</v>
      </c>
      <c r="BD1373" s="1">
        <v>0.0</v>
      </c>
      <c r="BE1373" s="1">
        <v>0.0</v>
      </c>
      <c r="BF1373" s="1">
        <v>0.0</v>
      </c>
      <c r="BG1373" s="1">
        <v>0.0</v>
      </c>
      <c r="BH1373" s="1">
        <v>0.0</v>
      </c>
      <c r="BI1373" s="1">
        <v>0.0</v>
      </c>
      <c r="BJ1373" s="1">
        <v>0.0</v>
      </c>
      <c r="BP1373" s="1">
        <v>0.279</v>
      </c>
      <c r="BQ1373" s="1" t="s">
        <v>4700</v>
      </c>
      <c r="BV1373" s="1">
        <v>1.1</v>
      </c>
      <c r="EQ1373" s="9" t="s">
        <v>4699</v>
      </c>
      <c r="ER1373" s="21">
        <v>46045.300532407404</v>
      </c>
    </row>
    <row r="1374">
      <c r="A1374" s="9" t="s">
        <v>4701</v>
      </c>
      <c r="B1374" s="20" t="str">
        <f>IFERROR(__xludf.DUMMYFUNCTION("REGEXREPLACE(A1374, ""^https?://[^/]+"", """")"),"/wp-content/uploads/2022/05/Case-Study_Construction-Paving_SX-1.pdf")</f>
        <v>/wp-content/uploads/2022/05/Case-Study_Construction-Paving_SX-1.pdf</v>
      </c>
      <c r="F1374" s="1" t="s">
        <v>1730</v>
      </c>
      <c r="G1374" s="1">
        <v>200.0</v>
      </c>
      <c r="H1374" s="1" t="s">
        <v>966</v>
      </c>
      <c r="I1374" s="1" t="s">
        <v>967</v>
      </c>
      <c r="L1374" s="1">
        <v>0.0</v>
      </c>
      <c r="M1374" s="1">
        <v>0.0</v>
      </c>
      <c r="O1374" s="1">
        <v>0.0</v>
      </c>
      <c r="P1374" s="1">
        <v>0.0</v>
      </c>
      <c r="R1374" s="1">
        <v>0.0</v>
      </c>
      <c r="S1374" s="1">
        <v>0.0</v>
      </c>
      <c r="U1374" s="1">
        <v>0.0</v>
      </c>
      <c r="W1374" s="1">
        <v>0.0</v>
      </c>
      <c r="Y1374" s="1">
        <v>0.0</v>
      </c>
      <c r="AA1374" s="1">
        <v>0.0</v>
      </c>
      <c r="AC1374" s="1">
        <v>0.0</v>
      </c>
      <c r="AM1374" s="1">
        <v>1567092.0</v>
      </c>
      <c r="AN1374" s="1">
        <v>1567092.0</v>
      </c>
      <c r="AO1374" s="1">
        <v>1567092.0</v>
      </c>
      <c r="AP1374" s="1">
        <v>600.323</v>
      </c>
      <c r="AR1374" s="1">
        <v>0.0</v>
      </c>
      <c r="AW1374" s="1">
        <v>0.0</v>
      </c>
      <c r="AX1374" s="1">
        <v>3.0</v>
      </c>
      <c r="AY1374" s="1">
        <v>4.0</v>
      </c>
      <c r="AZ1374" s="1">
        <v>1.0</v>
      </c>
      <c r="BA1374" s="1">
        <v>1.0</v>
      </c>
      <c r="BB1374" s="1">
        <v>1.0</v>
      </c>
      <c r="BC1374" s="1">
        <v>0.0</v>
      </c>
      <c r="BD1374" s="1">
        <v>0.13</v>
      </c>
      <c r="BE1374" s="1">
        <v>0.0</v>
      </c>
      <c r="BF1374" s="1">
        <v>0.0</v>
      </c>
      <c r="BG1374" s="1">
        <v>0.0</v>
      </c>
      <c r="BH1374" s="1">
        <v>0.0</v>
      </c>
      <c r="BI1374" s="1">
        <v>0.0</v>
      </c>
      <c r="BJ1374" s="1">
        <v>0.0</v>
      </c>
      <c r="BP1374" s="1">
        <v>0.282</v>
      </c>
      <c r="BQ1374" s="1" t="s">
        <v>4702</v>
      </c>
      <c r="BV1374" s="1">
        <v>1.1</v>
      </c>
      <c r="EQ1374" s="9" t="s">
        <v>4701</v>
      </c>
      <c r="ER1374" s="21">
        <v>46045.300532407404</v>
      </c>
    </row>
    <row r="1375">
      <c r="A1375" s="9" t="s">
        <v>4703</v>
      </c>
      <c r="B1375" s="20" t="str">
        <f>IFERROR(__xludf.DUMMYFUNCTION("REGEXREPLACE(A1375, ""^https?://[^/]+"", """")"),"/wp-content/uploads/elementor/css/post-22928.css?ver=1768861625")</f>
        <v>/wp-content/uploads/elementor/css/post-22928.css?ver=1768861625</v>
      </c>
      <c r="F1375" s="1" t="s">
        <v>1016</v>
      </c>
      <c r="G1375" s="1">
        <v>200.0</v>
      </c>
      <c r="H1375" s="1" t="s">
        <v>966</v>
      </c>
      <c r="I1375" s="1" t="s">
        <v>967</v>
      </c>
      <c r="L1375" s="1">
        <v>0.0</v>
      </c>
      <c r="M1375" s="1">
        <v>0.0</v>
      </c>
      <c r="O1375" s="1">
        <v>0.0</v>
      </c>
      <c r="P1375" s="1">
        <v>0.0</v>
      </c>
      <c r="R1375" s="1">
        <v>0.0</v>
      </c>
      <c r="S1375" s="1">
        <v>0.0</v>
      </c>
      <c r="U1375" s="1">
        <v>0.0</v>
      </c>
      <c r="W1375" s="1">
        <v>0.0</v>
      </c>
      <c r="Y1375" s="1">
        <v>0.0</v>
      </c>
      <c r="AA1375" s="1">
        <v>0.0</v>
      </c>
      <c r="AC1375" s="1">
        <v>0.0</v>
      </c>
      <c r="AM1375" s="1">
        <v>1158.0</v>
      </c>
      <c r="AN1375" s="1">
        <v>1158.0</v>
      </c>
      <c r="AO1375" s="1">
        <v>1158.0</v>
      </c>
      <c r="AP1375" s="1">
        <v>0.444</v>
      </c>
      <c r="AR1375" s="1">
        <v>0.0</v>
      </c>
      <c r="AW1375" s="1">
        <v>0.0</v>
      </c>
      <c r="AX1375" s="1">
        <v>3.0</v>
      </c>
      <c r="AY1375" s="1">
        <v>4.0</v>
      </c>
      <c r="BA1375" s="1">
        <v>0.0</v>
      </c>
      <c r="BB1375" s="1">
        <v>0.0</v>
      </c>
      <c r="BC1375" s="1">
        <v>0.0</v>
      </c>
      <c r="BD1375" s="1">
        <v>0.0</v>
      </c>
      <c r="BE1375" s="1">
        <v>0.0</v>
      </c>
      <c r="BF1375" s="1">
        <v>0.0</v>
      </c>
      <c r="BG1375" s="1">
        <v>0.0</v>
      </c>
      <c r="BH1375" s="1">
        <v>0.0</v>
      </c>
      <c r="BI1375" s="1">
        <v>0.0</v>
      </c>
      <c r="BJ1375" s="1">
        <v>0.0</v>
      </c>
      <c r="BP1375" s="1">
        <v>0.264</v>
      </c>
      <c r="BQ1375" s="1" t="s">
        <v>4704</v>
      </c>
      <c r="BV1375" s="1">
        <v>1.1</v>
      </c>
      <c r="EQ1375" s="9" t="s">
        <v>4703</v>
      </c>
      <c r="ER1375" s="21">
        <v>46045.300532407404</v>
      </c>
    </row>
    <row r="1376">
      <c r="A1376" s="9" t="s">
        <v>4705</v>
      </c>
      <c r="B1376" s="20" t="str">
        <f>IFERROR(__xludf.DUMMYFUNCTION("REGEXREPLACE(A1376, ""^https?://[^/]+"", """")"),"/wp-content/themes/salesxceleratione/assets/css/style.css?ver=1769123498")</f>
        <v>/wp-content/themes/salesxceleratione/assets/css/style.css?ver=1769123498</v>
      </c>
      <c r="F1376" s="1" t="s">
        <v>1016</v>
      </c>
      <c r="G1376" s="1">
        <v>200.0</v>
      </c>
      <c r="H1376" s="1" t="s">
        <v>966</v>
      </c>
      <c r="I1376" s="1" t="s">
        <v>967</v>
      </c>
      <c r="L1376" s="1">
        <v>0.0</v>
      </c>
      <c r="M1376" s="1">
        <v>0.0</v>
      </c>
      <c r="O1376" s="1">
        <v>0.0</v>
      </c>
      <c r="P1376" s="1">
        <v>0.0</v>
      </c>
      <c r="R1376" s="1">
        <v>0.0</v>
      </c>
      <c r="S1376" s="1">
        <v>0.0</v>
      </c>
      <c r="U1376" s="1">
        <v>0.0</v>
      </c>
      <c r="W1376" s="1">
        <v>0.0</v>
      </c>
      <c r="Y1376" s="1">
        <v>0.0</v>
      </c>
      <c r="AA1376" s="1">
        <v>0.0</v>
      </c>
      <c r="AC1376" s="1">
        <v>0.0</v>
      </c>
      <c r="AM1376" s="1">
        <v>17704.0</v>
      </c>
      <c r="AN1376" s="1">
        <v>17704.0</v>
      </c>
      <c r="AO1376" s="1">
        <v>17704.0</v>
      </c>
      <c r="AP1376" s="1">
        <v>6.782</v>
      </c>
      <c r="AR1376" s="1">
        <v>0.0</v>
      </c>
      <c r="AW1376" s="1">
        <v>0.0</v>
      </c>
      <c r="AX1376" s="1">
        <v>3.0</v>
      </c>
      <c r="AY1376" s="1">
        <v>5.0</v>
      </c>
      <c r="BA1376" s="1">
        <v>0.0</v>
      </c>
      <c r="BB1376" s="1">
        <v>0.0</v>
      </c>
      <c r="BC1376" s="1">
        <v>0.0</v>
      </c>
      <c r="BD1376" s="1">
        <v>0.0</v>
      </c>
      <c r="BE1376" s="1">
        <v>0.0</v>
      </c>
      <c r="BF1376" s="1">
        <v>0.0</v>
      </c>
      <c r="BG1376" s="1">
        <v>0.0</v>
      </c>
      <c r="BH1376" s="1">
        <v>0.0</v>
      </c>
      <c r="BI1376" s="1">
        <v>0.0</v>
      </c>
      <c r="BJ1376" s="1">
        <v>0.0</v>
      </c>
      <c r="BP1376" s="1">
        <v>0.264</v>
      </c>
      <c r="BQ1376" s="1" t="s">
        <v>4706</v>
      </c>
      <c r="BV1376" s="1">
        <v>1.1</v>
      </c>
      <c r="EQ1376" s="9" t="s">
        <v>4705</v>
      </c>
      <c r="ER1376" s="21">
        <v>46045.300532407404</v>
      </c>
    </row>
    <row r="1377">
      <c r="A1377" s="9" t="s">
        <v>4707</v>
      </c>
      <c r="B1377" s="20" t="str">
        <f>IFERROR(__xludf.DUMMYFUNCTION("REGEXREPLACE(A1377, ""^https?://[^/]+"", """")"),"/wp-content/uploads/elementor/css/post-25728.css?ver=1768865722")</f>
        <v>/wp-content/uploads/elementor/css/post-25728.css?ver=1768865722</v>
      </c>
      <c r="F1377" s="1" t="s">
        <v>1016</v>
      </c>
      <c r="G1377" s="1">
        <v>200.0</v>
      </c>
      <c r="H1377" s="1" t="s">
        <v>966</v>
      </c>
      <c r="I1377" s="1" t="s">
        <v>967</v>
      </c>
      <c r="L1377" s="1">
        <v>0.0</v>
      </c>
      <c r="M1377" s="1">
        <v>0.0</v>
      </c>
      <c r="O1377" s="1">
        <v>0.0</v>
      </c>
      <c r="P1377" s="1">
        <v>0.0</v>
      </c>
      <c r="R1377" s="1">
        <v>0.0</v>
      </c>
      <c r="S1377" s="1">
        <v>0.0</v>
      </c>
      <c r="U1377" s="1">
        <v>0.0</v>
      </c>
      <c r="W1377" s="1">
        <v>0.0</v>
      </c>
      <c r="Y1377" s="1">
        <v>0.0</v>
      </c>
      <c r="AA1377" s="1">
        <v>0.0</v>
      </c>
      <c r="AC1377" s="1">
        <v>0.0</v>
      </c>
      <c r="AM1377" s="1">
        <v>1159.0</v>
      </c>
      <c r="AN1377" s="1">
        <v>1159.0</v>
      </c>
      <c r="AO1377" s="1">
        <v>1159.0</v>
      </c>
      <c r="AP1377" s="1">
        <v>0.444</v>
      </c>
      <c r="AR1377" s="1">
        <v>0.0</v>
      </c>
      <c r="AW1377" s="1">
        <v>0.0</v>
      </c>
      <c r="AX1377" s="1">
        <v>3.0</v>
      </c>
      <c r="AY1377" s="1">
        <v>4.0</v>
      </c>
      <c r="BA1377" s="1">
        <v>0.0</v>
      </c>
      <c r="BB1377" s="1">
        <v>0.0</v>
      </c>
      <c r="BC1377" s="1">
        <v>0.0</v>
      </c>
      <c r="BD1377" s="1">
        <v>0.0</v>
      </c>
      <c r="BE1377" s="1">
        <v>0.0</v>
      </c>
      <c r="BF1377" s="1">
        <v>0.0</v>
      </c>
      <c r="BG1377" s="1">
        <v>0.0</v>
      </c>
      <c r="BH1377" s="1">
        <v>0.0</v>
      </c>
      <c r="BI1377" s="1">
        <v>0.0</v>
      </c>
      <c r="BJ1377" s="1">
        <v>0.0</v>
      </c>
      <c r="BP1377" s="1">
        <v>0.257</v>
      </c>
      <c r="BQ1377" s="1" t="s">
        <v>4708</v>
      </c>
      <c r="BV1377" s="1">
        <v>1.1</v>
      </c>
      <c r="EQ1377" s="9" t="s">
        <v>4707</v>
      </c>
      <c r="ER1377" s="21">
        <v>46045.300532407404</v>
      </c>
    </row>
    <row r="1378">
      <c r="A1378" s="9" t="s">
        <v>4709</v>
      </c>
      <c r="B1378" s="20" t="str">
        <f>IFERROR(__xludf.DUMMYFUNCTION("REGEXREPLACE(A1378, ""^https?://[^/]+"", """")"),"/wp-content/uploads/2022/04/Case-Study_Manufacturing_Calibration.pdf")</f>
        <v>/wp-content/uploads/2022/04/Case-Study_Manufacturing_Calibration.pdf</v>
      </c>
      <c r="F1378" s="1" t="s">
        <v>1730</v>
      </c>
      <c r="G1378" s="1">
        <v>200.0</v>
      </c>
      <c r="H1378" s="1" t="s">
        <v>966</v>
      </c>
      <c r="I1378" s="1" t="s">
        <v>967</v>
      </c>
      <c r="L1378" s="1">
        <v>0.0</v>
      </c>
      <c r="M1378" s="1">
        <v>0.0</v>
      </c>
      <c r="O1378" s="1">
        <v>0.0</v>
      </c>
      <c r="P1378" s="1">
        <v>0.0</v>
      </c>
      <c r="R1378" s="1">
        <v>0.0</v>
      </c>
      <c r="S1378" s="1">
        <v>0.0</v>
      </c>
      <c r="U1378" s="1">
        <v>0.0</v>
      </c>
      <c r="W1378" s="1">
        <v>0.0</v>
      </c>
      <c r="Y1378" s="1">
        <v>0.0</v>
      </c>
      <c r="AA1378" s="1">
        <v>0.0</v>
      </c>
      <c r="AC1378" s="1">
        <v>0.0</v>
      </c>
      <c r="AM1378" s="1">
        <v>836311.0</v>
      </c>
      <c r="AN1378" s="1">
        <v>836311.0</v>
      </c>
      <c r="AO1378" s="1">
        <v>836311.0</v>
      </c>
      <c r="AP1378" s="1">
        <v>320.375</v>
      </c>
      <c r="AR1378" s="1">
        <v>0.0</v>
      </c>
      <c r="AW1378" s="1">
        <v>0.0</v>
      </c>
      <c r="AX1378" s="1">
        <v>3.0</v>
      </c>
      <c r="AY1378" s="1">
        <v>4.0</v>
      </c>
      <c r="AZ1378" s="1">
        <v>1.0</v>
      </c>
      <c r="BA1378" s="1">
        <v>1.0</v>
      </c>
      <c r="BB1378" s="1">
        <v>1.0</v>
      </c>
      <c r="BC1378" s="1">
        <v>0.0</v>
      </c>
      <c r="BD1378" s="1">
        <v>0.13</v>
      </c>
      <c r="BE1378" s="1">
        <v>0.0</v>
      </c>
      <c r="BF1378" s="1">
        <v>0.0</v>
      </c>
      <c r="BG1378" s="1">
        <v>0.0</v>
      </c>
      <c r="BH1378" s="1">
        <v>0.0</v>
      </c>
      <c r="BI1378" s="1">
        <v>0.0</v>
      </c>
      <c r="BJ1378" s="1">
        <v>0.0</v>
      </c>
      <c r="BP1378" s="1">
        <v>0.257</v>
      </c>
      <c r="BQ1378" s="1" t="s">
        <v>4710</v>
      </c>
      <c r="BV1378" s="1">
        <v>1.1</v>
      </c>
      <c r="EQ1378" s="9" t="s">
        <v>4709</v>
      </c>
      <c r="ER1378" s="21">
        <v>46045.300532407404</v>
      </c>
    </row>
    <row r="1379">
      <c r="A1379" s="9" t="s">
        <v>4711</v>
      </c>
      <c r="B1379" s="20" t="str">
        <f>IFERROR(__xludf.DUMMYFUNCTION("REGEXREPLACE(A1379, ""^https?://[^/]+"", """")"),"/wp-content/uploads/2022/05/thumb-Case-Study_Construction-Paving_SX-1-2048x2048.jpg")</f>
        <v>/wp-content/uploads/2022/05/thumb-Case-Study_Construction-Paving_SX-1-2048x2048.jpg</v>
      </c>
      <c r="F1379" s="1" t="s">
        <v>1004</v>
      </c>
      <c r="G1379" s="1">
        <v>200.0</v>
      </c>
      <c r="H1379" s="1" t="s">
        <v>966</v>
      </c>
      <c r="I1379" s="1" t="s">
        <v>967</v>
      </c>
      <c r="L1379" s="1">
        <v>0.0</v>
      </c>
      <c r="M1379" s="1">
        <v>0.0</v>
      </c>
      <c r="O1379" s="1">
        <v>0.0</v>
      </c>
      <c r="P1379" s="1">
        <v>0.0</v>
      </c>
      <c r="R1379" s="1">
        <v>0.0</v>
      </c>
      <c r="S1379" s="1">
        <v>0.0</v>
      </c>
      <c r="U1379" s="1">
        <v>0.0</v>
      </c>
      <c r="W1379" s="1">
        <v>0.0</v>
      </c>
      <c r="Y1379" s="1">
        <v>0.0</v>
      </c>
      <c r="AA1379" s="1">
        <v>0.0</v>
      </c>
      <c r="AC1379" s="1">
        <v>0.0</v>
      </c>
      <c r="AM1379" s="1">
        <v>699619.0</v>
      </c>
      <c r="AN1379" s="1">
        <v>699619.0</v>
      </c>
      <c r="AO1379" s="1">
        <v>699619.0</v>
      </c>
      <c r="AP1379" s="1">
        <v>268.011</v>
      </c>
      <c r="AR1379" s="1">
        <v>0.0</v>
      </c>
      <c r="AW1379" s="1">
        <v>0.0</v>
      </c>
      <c r="AX1379" s="1">
        <v>3.0</v>
      </c>
      <c r="AY1379" s="1">
        <v>4.0</v>
      </c>
      <c r="BA1379" s="1">
        <v>0.0</v>
      </c>
      <c r="BB1379" s="1">
        <v>0.0</v>
      </c>
      <c r="BC1379" s="1">
        <v>0.0</v>
      </c>
      <c r="BD1379" s="1">
        <v>0.0</v>
      </c>
      <c r="BE1379" s="1">
        <v>0.0</v>
      </c>
      <c r="BF1379" s="1">
        <v>0.0</v>
      </c>
      <c r="BG1379" s="1">
        <v>0.0</v>
      </c>
      <c r="BH1379" s="1">
        <v>0.0</v>
      </c>
      <c r="BI1379" s="1">
        <v>0.0</v>
      </c>
      <c r="BJ1379" s="1">
        <v>0.0</v>
      </c>
      <c r="BP1379" s="1">
        <v>0.282</v>
      </c>
      <c r="BQ1379" s="1" t="s">
        <v>4712</v>
      </c>
      <c r="BV1379" s="1">
        <v>1.1</v>
      </c>
      <c r="EQ1379" s="9" t="s">
        <v>4711</v>
      </c>
      <c r="ER1379" s="21">
        <v>46045.300532407404</v>
      </c>
    </row>
    <row r="1380">
      <c r="A1380" s="9" t="s">
        <v>4713</v>
      </c>
      <c r="B1380" s="20" t="str">
        <f>IFERROR(__xludf.DUMMYFUNCTION("REGEXREPLACE(A1380, ""^https?://[^/]+"", """")"),"/wp-content/uploads/elementor/css/post-18658.css?ver=1768864365")</f>
        <v>/wp-content/uploads/elementor/css/post-18658.css?ver=1768864365</v>
      </c>
      <c r="F1380" s="1" t="s">
        <v>1016</v>
      </c>
      <c r="G1380" s="1">
        <v>200.0</v>
      </c>
      <c r="H1380" s="1" t="s">
        <v>966</v>
      </c>
      <c r="I1380" s="1" t="s">
        <v>967</v>
      </c>
      <c r="L1380" s="1">
        <v>0.0</v>
      </c>
      <c r="M1380" s="1">
        <v>0.0</v>
      </c>
      <c r="O1380" s="1">
        <v>0.0</v>
      </c>
      <c r="P1380" s="1">
        <v>0.0</v>
      </c>
      <c r="R1380" s="1">
        <v>0.0</v>
      </c>
      <c r="S1380" s="1">
        <v>0.0</v>
      </c>
      <c r="U1380" s="1">
        <v>0.0</v>
      </c>
      <c r="W1380" s="1">
        <v>0.0</v>
      </c>
      <c r="Y1380" s="1">
        <v>0.0</v>
      </c>
      <c r="AA1380" s="1">
        <v>0.0</v>
      </c>
      <c r="AC1380" s="1">
        <v>0.0</v>
      </c>
      <c r="AM1380" s="1">
        <v>1163.0</v>
      </c>
      <c r="AN1380" s="1">
        <v>1163.0</v>
      </c>
      <c r="AO1380" s="1">
        <v>1163.0</v>
      </c>
      <c r="AP1380" s="1">
        <v>0.446</v>
      </c>
      <c r="AR1380" s="1">
        <v>0.0</v>
      </c>
      <c r="AW1380" s="1">
        <v>0.0</v>
      </c>
      <c r="AX1380" s="1">
        <v>3.0</v>
      </c>
      <c r="AY1380" s="1">
        <v>4.0</v>
      </c>
      <c r="BA1380" s="1">
        <v>0.0</v>
      </c>
      <c r="BB1380" s="1">
        <v>0.0</v>
      </c>
      <c r="BC1380" s="1">
        <v>0.0</v>
      </c>
      <c r="BD1380" s="1">
        <v>0.0</v>
      </c>
      <c r="BE1380" s="1">
        <v>0.0</v>
      </c>
      <c r="BF1380" s="1">
        <v>0.0</v>
      </c>
      <c r="BG1380" s="1">
        <v>0.0</v>
      </c>
      <c r="BH1380" s="1">
        <v>0.0</v>
      </c>
      <c r="BI1380" s="1">
        <v>0.0</v>
      </c>
      <c r="BJ1380" s="1">
        <v>0.0</v>
      </c>
      <c r="BP1380" s="1">
        <v>0.267</v>
      </c>
      <c r="BQ1380" s="1" t="s">
        <v>4714</v>
      </c>
      <c r="BV1380" s="1">
        <v>1.1</v>
      </c>
      <c r="EQ1380" s="9" t="s">
        <v>4713</v>
      </c>
      <c r="ER1380" s="21">
        <v>46045.300532407404</v>
      </c>
    </row>
    <row r="1381">
      <c r="A1381" s="9" t="s">
        <v>4715</v>
      </c>
      <c r="B1381" s="20" t="str">
        <f>IFERROR(__xludf.DUMMYFUNCTION("REGEXREPLACE(A1381, ""^https?://[^/]+"", """")"),"/wp-content/uploads/2021/09/Case-Study_Manufacturing_SX_041221.pdf")</f>
        <v>/wp-content/uploads/2021/09/Case-Study_Manufacturing_SX_041221.pdf</v>
      </c>
      <c r="F1381" s="1" t="s">
        <v>1730</v>
      </c>
      <c r="G1381" s="1">
        <v>200.0</v>
      </c>
      <c r="H1381" s="1" t="s">
        <v>966</v>
      </c>
      <c r="I1381" s="1" t="s">
        <v>967</v>
      </c>
      <c r="L1381" s="1">
        <v>0.0</v>
      </c>
      <c r="M1381" s="1">
        <v>0.0</v>
      </c>
      <c r="O1381" s="1">
        <v>0.0</v>
      </c>
      <c r="P1381" s="1">
        <v>0.0</v>
      </c>
      <c r="R1381" s="1">
        <v>0.0</v>
      </c>
      <c r="S1381" s="1">
        <v>0.0</v>
      </c>
      <c r="U1381" s="1">
        <v>0.0</v>
      </c>
      <c r="W1381" s="1">
        <v>0.0</v>
      </c>
      <c r="Y1381" s="1">
        <v>0.0</v>
      </c>
      <c r="AA1381" s="1">
        <v>0.0</v>
      </c>
      <c r="AC1381" s="1">
        <v>0.0</v>
      </c>
      <c r="AM1381" s="1">
        <v>766703.0</v>
      </c>
      <c r="AN1381" s="1">
        <v>766703.0</v>
      </c>
      <c r="AO1381" s="1">
        <v>766703.0</v>
      </c>
      <c r="AP1381" s="1">
        <v>293.709</v>
      </c>
      <c r="AR1381" s="1">
        <v>0.0</v>
      </c>
      <c r="AW1381" s="1">
        <v>0.0</v>
      </c>
      <c r="AX1381" s="1">
        <v>3.0</v>
      </c>
      <c r="AY1381" s="1">
        <v>4.0</v>
      </c>
      <c r="AZ1381" s="1">
        <v>1.0</v>
      </c>
      <c r="BA1381" s="1">
        <v>1.0</v>
      </c>
      <c r="BB1381" s="1">
        <v>1.0</v>
      </c>
      <c r="BC1381" s="1">
        <v>0.0</v>
      </c>
      <c r="BD1381" s="1">
        <v>0.13</v>
      </c>
      <c r="BE1381" s="1">
        <v>0.0</v>
      </c>
      <c r="BF1381" s="1">
        <v>0.0</v>
      </c>
      <c r="BG1381" s="1">
        <v>0.0</v>
      </c>
      <c r="BH1381" s="1">
        <v>0.0</v>
      </c>
      <c r="BI1381" s="1">
        <v>0.0</v>
      </c>
      <c r="BJ1381" s="1">
        <v>0.0</v>
      </c>
      <c r="BP1381" s="1">
        <v>0.257</v>
      </c>
      <c r="BQ1381" s="1" t="s">
        <v>4170</v>
      </c>
      <c r="BV1381" s="1">
        <v>1.1</v>
      </c>
      <c r="EQ1381" s="9" t="s">
        <v>4715</v>
      </c>
      <c r="ER1381" s="21">
        <v>46045.300532407404</v>
      </c>
    </row>
    <row r="1382">
      <c r="A1382" s="9" t="s">
        <v>4716</v>
      </c>
      <c r="B1382" s="20" t="str">
        <f>IFERROR(__xludf.DUMMYFUNCTION("REGEXREPLACE(A1382, ""^https?://[^/]+"", """")"),"/wp-content/themes/salesxceleratione/assets/css/style.css?ver=1769123499")</f>
        <v>/wp-content/themes/salesxceleratione/assets/css/style.css?ver=1769123499</v>
      </c>
      <c r="F1382" s="1" t="s">
        <v>1016</v>
      </c>
      <c r="G1382" s="1">
        <v>200.0</v>
      </c>
      <c r="H1382" s="1" t="s">
        <v>966</v>
      </c>
      <c r="I1382" s="1" t="s">
        <v>967</v>
      </c>
      <c r="L1382" s="1">
        <v>0.0</v>
      </c>
      <c r="M1382" s="1">
        <v>0.0</v>
      </c>
      <c r="O1382" s="1">
        <v>0.0</v>
      </c>
      <c r="P1382" s="1">
        <v>0.0</v>
      </c>
      <c r="R1382" s="1">
        <v>0.0</v>
      </c>
      <c r="S1382" s="1">
        <v>0.0</v>
      </c>
      <c r="U1382" s="1">
        <v>0.0</v>
      </c>
      <c r="W1382" s="1">
        <v>0.0</v>
      </c>
      <c r="Y1382" s="1">
        <v>0.0</v>
      </c>
      <c r="AA1382" s="1">
        <v>0.0</v>
      </c>
      <c r="AC1382" s="1">
        <v>0.0</v>
      </c>
      <c r="AM1382" s="1">
        <v>17704.0</v>
      </c>
      <c r="AN1382" s="1">
        <v>17704.0</v>
      </c>
      <c r="AO1382" s="1">
        <v>17704.0</v>
      </c>
      <c r="AP1382" s="1">
        <v>6.782</v>
      </c>
      <c r="AR1382" s="1">
        <v>0.0</v>
      </c>
      <c r="AW1382" s="1">
        <v>0.0</v>
      </c>
      <c r="AX1382" s="1">
        <v>3.0</v>
      </c>
      <c r="AY1382" s="1">
        <v>5.0</v>
      </c>
      <c r="BA1382" s="1">
        <v>0.0</v>
      </c>
      <c r="BB1382" s="1">
        <v>0.0</v>
      </c>
      <c r="BC1382" s="1">
        <v>0.0</v>
      </c>
      <c r="BD1382" s="1">
        <v>0.0</v>
      </c>
      <c r="BE1382" s="1">
        <v>0.0</v>
      </c>
      <c r="BF1382" s="1">
        <v>0.0</v>
      </c>
      <c r="BG1382" s="1">
        <v>0.0</v>
      </c>
      <c r="BH1382" s="1">
        <v>0.0</v>
      </c>
      <c r="BI1382" s="1">
        <v>0.0</v>
      </c>
      <c r="BJ1382" s="1">
        <v>0.0</v>
      </c>
      <c r="BP1382" s="1">
        <v>0.286</v>
      </c>
      <c r="BQ1382" s="1" t="s">
        <v>4717</v>
      </c>
      <c r="BV1382" s="1">
        <v>1.1</v>
      </c>
      <c r="EQ1382" s="9" t="s">
        <v>4716</v>
      </c>
      <c r="ER1382" s="21">
        <v>46045.300532407404</v>
      </c>
    </row>
    <row r="1383">
      <c r="A1383" s="9" t="s">
        <v>4718</v>
      </c>
      <c r="B1383" s="20" t="str">
        <f>IFERROR(__xludf.DUMMYFUNCTION("REGEXREPLACE(A1383, ""^https?://[^/]+"", """")"),"/wp-content/uploads/2019/11/payroll-casestudy-onepage-1.jpg")</f>
        <v>/wp-content/uploads/2019/11/payroll-casestudy-onepage-1.jpg</v>
      </c>
      <c r="F1383" s="1" t="s">
        <v>1004</v>
      </c>
      <c r="G1383" s="1">
        <v>200.0</v>
      </c>
      <c r="H1383" s="1" t="s">
        <v>966</v>
      </c>
      <c r="I1383" s="1" t="s">
        <v>967</v>
      </c>
      <c r="L1383" s="1">
        <v>0.0</v>
      </c>
      <c r="M1383" s="1">
        <v>0.0</v>
      </c>
      <c r="O1383" s="1">
        <v>0.0</v>
      </c>
      <c r="P1383" s="1">
        <v>0.0</v>
      </c>
      <c r="R1383" s="1">
        <v>0.0</v>
      </c>
      <c r="S1383" s="1">
        <v>0.0</v>
      </c>
      <c r="U1383" s="1">
        <v>0.0</v>
      </c>
      <c r="W1383" s="1">
        <v>0.0</v>
      </c>
      <c r="Y1383" s="1">
        <v>0.0</v>
      </c>
      <c r="AA1383" s="1">
        <v>0.0</v>
      </c>
      <c r="AC1383" s="1">
        <v>0.0</v>
      </c>
      <c r="AM1383" s="1">
        <v>235789.0</v>
      </c>
      <c r="AN1383" s="1">
        <v>235789.0</v>
      </c>
      <c r="AO1383" s="1">
        <v>235789.0</v>
      </c>
      <c r="AP1383" s="1">
        <v>90.326</v>
      </c>
      <c r="AR1383" s="1">
        <v>0.0</v>
      </c>
      <c r="AW1383" s="1">
        <v>0.0</v>
      </c>
      <c r="AX1383" s="1">
        <v>3.0</v>
      </c>
      <c r="AY1383" s="1">
        <v>4.0</v>
      </c>
      <c r="BA1383" s="1">
        <v>0.0</v>
      </c>
      <c r="BB1383" s="1">
        <v>0.0</v>
      </c>
      <c r="BC1383" s="1">
        <v>0.0</v>
      </c>
      <c r="BD1383" s="1">
        <v>0.0</v>
      </c>
      <c r="BE1383" s="1">
        <v>0.0</v>
      </c>
      <c r="BF1383" s="1">
        <v>0.0</v>
      </c>
      <c r="BG1383" s="1">
        <v>0.0</v>
      </c>
      <c r="BH1383" s="1">
        <v>0.0</v>
      </c>
      <c r="BI1383" s="1">
        <v>0.0</v>
      </c>
      <c r="BJ1383" s="1">
        <v>0.0</v>
      </c>
      <c r="BP1383" s="1">
        <v>0.271</v>
      </c>
      <c r="BQ1383" s="1" t="s">
        <v>4719</v>
      </c>
      <c r="BV1383" s="1">
        <v>1.1</v>
      </c>
      <c r="EQ1383" s="9" t="s">
        <v>4718</v>
      </c>
      <c r="ER1383" s="21">
        <v>46045.30054398148</v>
      </c>
    </row>
    <row r="1384">
      <c r="A1384" s="9" t="s">
        <v>4720</v>
      </c>
      <c r="B1384" s="20" t="str">
        <f>IFERROR(__xludf.DUMMYFUNCTION("REGEXREPLACE(A1384, ""^https?://[^/]+"", """")"),"/wp-content/uploads/2021/09/Case_Study_PEO_Payroll_Case-Study.pdf")</f>
        <v>/wp-content/uploads/2021/09/Case_Study_PEO_Payroll_Case-Study.pdf</v>
      </c>
      <c r="F1384" s="1" t="s">
        <v>1730</v>
      </c>
      <c r="G1384" s="1">
        <v>200.0</v>
      </c>
      <c r="H1384" s="1" t="s">
        <v>966</v>
      </c>
      <c r="I1384" s="1" t="s">
        <v>967</v>
      </c>
      <c r="L1384" s="1">
        <v>0.0</v>
      </c>
      <c r="M1384" s="1">
        <v>0.0</v>
      </c>
      <c r="O1384" s="1">
        <v>0.0</v>
      </c>
      <c r="P1384" s="1">
        <v>0.0</v>
      </c>
      <c r="R1384" s="1">
        <v>0.0</v>
      </c>
      <c r="S1384" s="1">
        <v>0.0</v>
      </c>
      <c r="U1384" s="1">
        <v>0.0</v>
      </c>
      <c r="W1384" s="1">
        <v>0.0</v>
      </c>
      <c r="Y1384" s="1">
        <v>0.0</v>
      </c>
      <c r="AA1384" s="1">
        <v>0.0</v>
      </c>
      <c r="AC1384" s="1">
        <v>0.0</v>
      </c>
      <c r="AM1384" s="1">
        <v>757815.0</v>
      </c>
      <c r="AN1384" s="1">
        <v>757815.0</v>
      </c>
      <c r="AO1384" s="1">
        <v>757815.0</v>
      </c>
      <c r="AP1384" s="1">
        <v>290.305</v>
      </c>
      <c r="AR1384" s="1">
        <v>0.0</v>
      </c>
      <c r="AW1384" s="1">
        <v>0.0</v>
      </c>
      <c r="AX1384" s="1">
        <v>3.0</v>
      </c>
      <c r="AY1384" s="1">
        <v>4.0</v>
      </c>
      <c r="AZ1384" s="1">
        <v>1.0</v>
      </c>
      <c r="BA1384" s="1">
        <v>1.0</v>
      </c>
      <c r="BB1384" s="1">
        <v>1.0</v>
      </c>
      <c r="BC1384" s="1">
        <v>0.0</v>
      </c>
      <c r="BD1384" s="1">
        <v>0.13</v>
      </c>
      <c r="BE1384" s="1">
        <v>0.0</v>
      </c>
      <c r="BF1384" s="1">
        <v>0.0</v>
      </c>
      <c r="BG1384" s="1">
        <v>0.0</v>
      </c>
      <c r="BH1384" s="1">
        <v>0.0</v>
      </c>
      <c r="BI1384" s="1">
        <v>0.0</v>
      </c>
      <c r="BJ1384" s="1">
        <v>0.0</v>
      </c>
      <c r="BP1384" s="1">
        <v>0.278</v>
      </c>
      <c r="BQ1384" s="1" t="s">
        <v>4698</v>
      </c>
      <c r="BV1384" s="1">
        <v>1.1</v>
      </c>
      <c r="EQ1384" s="9" t="s">
        <v>4720</v>
      </c>
      <c r="ER1384" s="21">
        <v>46045.300532407404</v>
      </c>
    </row>
    <row r="1385">
      <c r="A1385" s="9" t="s">
        <v>4721</v>
      </c>
      <c r="B1385" s="20" t="str">
        <f>IFERROR(__xludf.DUMMYFUNCTION("REGEXREPLACE(A1385, ""^https?://[^/]+"", """")"),"/wp-content/uploads/2019/11/marketing-casestudy-onepage-1.jpg")</f>
        <v>/wp-content/uploads/2019/11/marketing-casestudy-onepage-1.jpg</v>
      </c>
      <c r="F1385" s="1" t="s">
        <v>1004</v>
      </c>
      <c r="G1385" s="1">
        <v>200.0</v>
      </c>
      <c r="H1385" s="1" t="s">
        <v>966</v>
      </c>
      <c r="I1385" s="1" t="s">
        <v>967</v>
      </c>
      <c r="L1385" s="1">
        <v>0.0</v>
      </c>
      <c r="M1385" s="1">
        <v>0.0</v>
      </c>
      <c r="O1385" s="1">
        <v>0.0</v>
      </c>
      <c r="P1385" s="1">
        <v>0.0</v>
      </c>
      <c r="R1385" s="1">
        <v>0.0</v>
      </c>
      <c r="S1385" s="1">
        <v>0.0</v>
      </c>
      <c r="U1385" s="1">
        <v>0.0</v>
      </c>
      <c r="W1385" s="1">
        <v>0.0</v>
      </c>
      <c r="Y1385" s="1">
        <v>0.0</v>
      </c>
      <c r="AA1385" s="1">
        <v>0.0</v>
      </c>
      <c r="AC1385" s="1">
        <v>0.0</v>
      </c>
      <c r="AM1385" s="1">
        <v>291447.0</v>
      </c>
      <c r="AN1385" s="1">
        <v>291447.0</v>
      </c>
      <c r="AO1385" s="1">
        <v>291447.0</v>
      </c>
      <c r="AP1385" s="1">
        <v>111.648</v>
      </c>
      <c r="AR1385" s="1">
        <v>0.0</v>
      </c>
      <c r="AW1385" s="1">
        <v>0.0</v>
      </c>
      <c r="AX1385" s="1">
        <v>3.0</v>
      </c>
      <c r="AY1385" s="1">
        <v>4.0</v>
      </c>
      <c r="BA1385" s="1">
        <v>0.0</v>
      </c>
      <c r="BB1385" s="1">
        <v>0.0</v>
      </c>
      <c r="BC1385" s="1">
        <v>0.0</v>
      </c>
      <c r="BD1385" s="1">
        <v>0.0</v>
      </c>
      <c r="BE1385" s="1">
        <v>0.0</v>
      </c>
      <c r="BF1385" s="1">
        <v>0.0</v>
      </c>
      <c r="BG1385" s="1">
        <v>0.0</v>
      </c>
      <c r="BH1385" s="1">
        <v>0.0</v>
      </c>
      <c r="BI1385" s="1">
        <v>0.0</v>
      </c>
      <c r="BJ1385" s="1">
        <v>0.0</v>
      </c>
      <c r="BP1385" s="1">
        <v>0.29</v>
      </c>
      <c r="BQ1385" s="1" t="s">
        <v>4722</v>
      </c>
      <c r="BV1385" s="1">
        <v>1.1</v>
      </c>
      <c r="EQ1385" s="9" t="s">
        <v>4721</v>
      </c>
      <c r="ER1385" s="21">
        <v>46045.30054398148</v>
      </c>
    </row>
    <row r="1386">
      <c r="A1386" s="9" t="s">
        <v>4723</v>
      </c>
      <c r="B1386" s="20" t="str">
        <f>IFERROR(__xludf.DUMMYFUNCTION("REGEXREPLACE(A1386, ""^https?://[^/]+"", """")"),"/wp-content/uploads/2019/11/Case_Study_Marketing_Case-Study-1.pdf")</f>
        <v>/wp-content/uploads/2019/11/Case_Study_Marketing_Case-Study-1.pdf</v>
      </c>
      <c r="F1386" s="1" t="s">
        <v>1730</v>
      </c>
      <c r="G1386" s="1">
        <v>200.0</v>
      </c>
      <c r="H1386" s="1" t="s">
        <v>966</v>
      </c>
      <c r="I1386" s="1" t="s">
        <v>967</v>
      </c>
      <c r="L1386" s="1">
        <v>0.0</v>
      </c>
      <c r="M1386" s="1">
        <v>0.0</v>
      </c>
      <c r="O1386" s="1">
        <v>0.0</v>
      </c>
      <c r="P1386" s="1">
        <v>0.0</v>
      </c>
      <c r="R1386" s="1">
        <v>0.0</v>
      </c>
      <c r="S1386" s="1">
        <v>0.0</v>
      </c>
      <c r="U1386" s="1">
        <v>0.0</v>
      </c>
      <c r="W1386" s="1">
        <v>0.0</v>
      </c>
      <c r="Y1386" s="1">
        <v>0.0</v>
      </c>
      <c r="AA1386" s="1">
        <v>0.0</v>
      </c>
      <c r="AC1386" s="1">
        <v>0.0</v>
      </c>
      <c r="AM1386" s="1">
        <v>1121076.0</v>
      </c>
      <c r="AN1386" s="1">
        <v>1121076.0</v>
      </c>
      <c r="AO1386" s="1">
        <v>1121076.0</v>
      </c>
      <c r="AP1386" s="1">
        <v>429.463</v>
      </c>
      <c r="AR1386" s="1">
        <v>0.0</v>
      </c>
      <c r="AW1386" s="1">
        <v>0.0</v>
      </c>
      <c r="AX1386" s="1">
        <v>3.0</v>
      </c>
      <c r="AY1386" s="1">
        <v>4.0</v>
      </c>
      <c r="AZ1386" s="1">
        <v>1.0</v>
      </c>
      <c r="BA1386" s="1">
        <v>1.0</v>
      </c>
      <c r="BB1386" s="1">
        <v>1.0</v>
      </c>
      <c r="BC1386" s="1">
        <v>0.0</v>
      </c>
      <c r="BD1386" s="1">
        <v>0.13</v>
      </c>
      <c r="BE1386" s="1">
        <v>0.0</v>
      </c>
      <c r="BF1386" s="1">
        <v>0.0</v>
      </c>
      <c r="BG1386" s="1">
        <v>0.0</v>
      </c>
      <c r="BH1386" s="1">
        <v>0.0</v>
      </c>
      <c r="BI1386" s="1">
        <v>0.0</v>
      </c>
      <c r="BJ1386" s="1">
        <v>0.0</v>
      </c>
      <c r="BP1386" s="1">
        <v>0.266</v>
      </c>
      <c r="BQ1386" s="1" t="s">
        <v>4724</v>
      </c>
      <c r="BV1386" s="1">
        <v>1.1</v>
      </c>
      <c r="EQ1386" s="9" t="s">
        <v>4723</v>
      </c>
      <c r="ER1386" s="21">
        <v>46045.30054398148</v>
      </c>
    </row>
    <row r="1387">
      <c r="A1387" s="9" t="s">
        <v>4725</v>
      </c>
      <c r="B1387" s="20" t="str">
        <f>IFERROR(__xludf.DUMMYFUNCTION("REGEXREPLACE(A1387, ""^https?://[^/]+"", """")"),"/wp-content/uploads/2019/03/tech-case-study1-1.jpg")</f>
        <v>/wp-content/uploads/2019/03/tech-case-study1-1.jpg</v>
      </c>
      <c r="F1387" s="1" t="s">
        <v>1004</v>
      </c>
      <c r="G1387" s="1">
        <v>200.0</v>
      </c>
      <c r="H1387" s="1" t="s">
        <v>966</v>
      </c>
      <c r="I1387" s="1" t="s">
        <v>967</v>
      </c>
      <c r="L1387" s="1">
        <v>0.0</v>
      </c>
      <c r="M1387" s="1">
        <v>0.0</v>
      </c>
      <c r="O1387" s="1">
        <v>0.0</v>
      </c>
      <c r="P1387" s="1">
        <v>0.0</v>
      </c>
      <c r="R1387" s="1">
        <v>0.0</v>
      </c>
      <c r="S1387" s="1">
        <v>0.0</v>
      </c>
      <c r="U1387" s="1">
        <v>0.0</v>
      </c>
      <c r="W1387" s="1">
        <v>0.0</v>
      </c>
      <c r="Y1387" s="1">
        <v>0.0</v>
      </c>
      <c r="AA1387" s="1">
        <v>0.0</v>
      </c>
      <c r="AC1387" s="1">
        <v>0.0</v>
      </c>
      <c r="AM1387" s="1">
        <v>53703.0</v>
      </c>
      <c r="AN1387" s="1">
        <v>53703.0</v>
      </c>
      <c r="AO1387" s="1">
        <v>53703.0</v>
      </c>
      <c r="AP1387" s="1">
        <v>20.573</v>
      </c>
      <c r="AR1387" s="1">
        <v>0.0</v>
      </c>
      <c r="AW1387" s="1">
        <v>0.0</v>
      </c>
      <c r="AX1387" s="1">
        <v>3.0</v>
      </c>
      <c r="AY1387" s="1">
        <v>4.0</v>
      </c>
      <c r="BA1387" s="1">
        <v>0.0</v>
      </c>
      <c r="BB1387" s="1">
        <v>0.0</v>
      </c>
      <c r="BC1387" s="1">
        <v>0.0</v>
      </c>
      <c r="BD1387" s="1">
        <v>0.0</v>
      </c>
      <c r="BE1387" s="1">
        <v>0.0</v>
      </c>
      <c r="BF1387" s="1">
        <v>0.0</v>
      </c>
      <c r="BG1387" s="1">
        <v>0.0</v>
      </c>
      <c r="BH1387" s="1">
        <v>0.0</v>
      </c>
      <c r="BI1387" s="1">
        <v>0.0</v>
      </c>
      <c r="BJ1387" s="1">
        <v>0.0</v>
      </c>
      <c r="BP1387" s="1">
        <v>0.259</v>
      </c>
      <c r="BQ1387" s="1" t="s">
        <v>4726</v>
      </c>
      <c r="BV1387" s="1">
        <v>1.1</v>
      </c>
      <c r="EQ1387" s="9" t="s">
        <v>4725</v>
      </c>
      <c r="ER1387" s="21">
        <v>46045.30054398148</v>
      </c>
    </row>
    <row r="1388">
      <c r="A1388" s="9" t="s">
        <v>4727</v>
      </c>
      <c r="B1388" s="20" t="str">
        <f>IFERROR(__xludf.DUMMYFUNCTION("REGEXREPLACE(A1388, ""^https?://[^/]+"", """")"),"/wp-content/uploads/2022/05/Case-Study_Construction_SX.pdf")</f>
        <v>/wp-content/uploads/2022/05/Case-Study_Construction_SX.pdf</v>
      </c>
      <c r="F1388" s="1" t="s">
        <v>1730</v>
      </c>
      <c r="G1388" s="1">
        <v>200.0</v>
      </c>
      <c r="H1388" s="1" t="s">
        <v>966</v>
      </c>
      <c r="I1388" s="1" t="s">
        <v>967</v>
      </c>
      <c r="L1388" s="1">
        <v>0.0</v>
      </c>
      <c r="M1388" s="1">
        <v>0.0</v>
      </c>
      <c r="O1388" s="1">
        <v>0.0</v>
      </c>
      <c r="P1388" s="1">
        <v>0.0</v>
      </c>
      <c r="R1388" s="1">
        <v>0.0</v>
      </c>
      <c r="S1388" s="1">
        <v>0.0</v>
      </c>
      <c r="U1388" s="1">
        <v>0.0</v>
      </c>
      <c r="W1388" s="1">
        <v>0.0</v>
      </c>
      <c r="Y1388" s="1">
        <v>0.0</v>
      </c>
      <c r="AA1388" s="1">
        <v>0.0</v>
      </c>
      <c r="AC1388" s="1">
        <v>0.0</v>
      </c>
      <c r="AM1388" s="1">
        <v>1069093.0</v>
      </c>
      <c r="AN1388" s="1">
        <v>1069093.0</v>
      </c>
      <c r="AO1388" s="1">
        <v>1069093.0</v>
      </c>
      <c r="AP1388" s="1">
        <v>409.549</v>
      </c>
      <c r="AR1388" s="1">
        <v>0.0</v>
      </c>
      <c r="AW1388" s="1">
        <v>0.0</v>
      </c>
      <c r="AX1388" s="1">
        <v>3.0</v>
      </c>
      <c r="AY1388" s="1">
        <v>4.0</v>
      </c>
      <c r="AZ1388" s="1">
        <v>1.0</v>
      </c>
      <c r="BA1388" s="1">
        <v>1.0</v>
      </c>
      <c r="BB1388" s="1">
        <v>1.0</v>
      </c>
      <c r="BC1388" s="1">
        <v>0.0</v>
      </c>
      <c r="BD1388" s="1">
        <v>0.13</v>
      </c>
      <c r="BE1388" s="1">
        <v>0.0</v>
      </c>
      <c r="BF1388" s="1">
        <v>0.0</v>
      </c>
      <c r="BG1388" s="1">
        <v>0.0</v>
      </c>
      <c r="BH1388" s="1">
        <v>0.0</v>
      </c>
      <c r="BI1388" s="1">
        <v>0.0</v>
      </c>
      <c r="BJ1388" s="1">
        <v>0.0</v>
      </c>
      <c r="BP1388" s="1">
        <v>0.265</v>
      </c>
      <c r="BQ1388" s="1" t="s">
        <v>4728</v>
      </c>
      <c r="BV1388" s="1">
        <v>1.1</v>
      </c>
      <c r="EQ1388" s="9" t="s">
        <v>4727</v>
      </c>
      <c r="ER1388" s="21">
        <v>46045.300532407404</v>
      </c>
    </row>
    <row r="1389">
      <c r="A1389" s="9" t="s">
        <v>4729</v>
      </c>
      <c r="B1389" s="20" t="str">
        <f>IFERROR(__xludf.DUMMYFUNCTION("REGEXREPLACE(A1389, ""^https?://[^/]+"", """")"),"/wp-content/themes/salesxceleratione/assets/css/style.css?ver=1769123500")</f>
        <v>/wp-content/themes/salesxceleratione/assets/css/style.css?ver=1769123500</v>
      </c>
      <c r="F1389" s="1" t="s">
        <v>1016</v>
      </c>
      <c r="G1389" s="1">
        <v>200.0</v>
      </c>
      <c r="H1389" s="1" t="s">
        <v>966</v>
      </c>
      <c r="I1389" s="1" t="s">
        <v>967</v>
      </c>
      <c r="L1389" s="1">
        <v>0.0</v>
      </c>
      <c r="M1389" s="1">
        <v>0.0</v>
      </c>
      <c r="O1389" s="1">
        <v>0.0</v>
      </c>
      <c r="P1389" s="1">
        <v>0.0</v>
      </c>
      <c r="R1389" s="1">
        <v>0.0</v>
      </c>
      <c r="S1389" s="1">
        <v>0.0</v>
      </c>
      <c r="U1389" s="1">
        <v>0.0</v>
      </c>
      <c r="W1389" s="1">
        <v>0.0</v>
      </c>
      <c r="Y1389" s="1">
        <v>0.0</v>
      </c>
      <c r="AA1389" s="1">
        <v>0.0</v>
      </c>
      <c r="AC1389" s="1">
        <v>0.0</v>
      </c>
      <c r="AM1389" s="1">
        <v>17704.0</v>
      </c>
      <c r="AN1389" s="1">
        <v>17704.0</v>
      </c>
      <c r="AO1389" s="1">
        <v>17704.0</v>
      </c>
      <c r="AP1389" s="1">
        <v>6.782</v>
      </c>
      <c r="AR1389" s="1">
        <v>0.0</v>
      </c>
      <c r="AW1389" s="1">
        <v>0.0</v>
      </c>
      <c r="AX1389" s="1">
        <v>3.0</v>
      </c>
      <c r="AY1389" s="1">
        <v>5.0</v>
      </c>
      <c r="BA1389" s="1">
        <v>0.0</v>
      </c>
      <c r="BB1389" s="1">
        <v>0.0</v>
      </c>
      <c r="BC1389" s="1">
        <v>0.0</v>
      </c>
      <c r="BD1389" s="1">
        <v>0.0</v>
      </c>
      <c r="BE1389" s="1">
        <v>0.0</v>
      </c>
      <c r="BF1389" s="1">
        <v>0.0</v>
      </c>
      <c r="BG1389" s="1">
        <v>0.0</v>
      </c>
      <c r="BH1389" s="1">
        <v>0.0</v>
      </c>
      <c r="BI1389" s="1">
        <v>0.0</v>
      </c>
      <c r="BJ1389" s="1">
        <v>0.0</v>
      </c>
      <c r="BP1389" s="1">
        <v>0.29</v>
      </c>
      <c r="BQ1389" s="1" t="s">
        <v>4730</v>
      </c>
      <c r="BV1389" s="1">
        <v>1.1</v>
      </c>
      <c r="EQ1389" s="9" t="s">
        <v>4729</v>
      </c>
      <c r="ER1389" s="21">
        <v>46045.30054398148</v>
      </c>
    </row>
    <row r="1390">
      <c r="A1390" s="9" t="s">
        <v>4731</v>
      </c>
      <c r="B1390" s="20" t="str">
        <f>IFERROR(__xludf.DUMMYFUNCTION("REGEXREPLACE(A1390, ""^https?://[^/]+"", """")"),"/wp-content/uploads/elementor/css/post-13656.css?ver=1768856712")</f>
        <v>/wp-content/uploads/elementor/css/post-13656.css?ver=1768856712</v>
      </c>
      <c r="F1390" s="1" t="s">
        <v>1016</v>
      </c>
      <c r="G1390" s="1">
        <v>200.0</v>
      </c>
      <c r="H1390" s="1" t="s">
        <v>966</v>
      </c>
      <c r="I1390" s="1" t="s">
        <v>967</v>
      </c>
      <c r="L1390" s="1">
        <v>0.0</v>
      </c>
      <c r="M1390" s="1">
        <v>0.0</v>
      </c>
      <c r="O1390" s="1">
        <v>0.0</v>
      </c>
      <c r="P1390" s="1">
        <v>0.0</v>
      </c>
      <c r="R1390" s="1">
        <v>0.0</v>
      </c>
      <c r="S1390" s="1">
        <v>0.0</v>
      </c>
      <c r="U1390" s="1">
        <v>0.0</v>
      </c>
      <c r="W1390" s="1">
        <v>0.0</v>
      </c>
      <c r="Y1390" s="1">
        <v>0.0</v>
      </c>
      <c r="AA1390" s="1">
        <v>0.0</v>
      </c>
      <c r="AC1390" s="1">
        <v>0.0</v>
      </c>
      <c r="AM1390" s="1">
        <v>69.0</v>
      </c>
      <c r="AN1390" s="1">
        <v>69.0</v>
      </c>
      <c r="AO1390" s="1">
        <v>69.0</v>
      </c>
      <c r="AP1390" s="1">
        <v>0.026</v>
      </c>
      <c r="AR1390" s="1">
        <v>0.0</v>
      </c>
      <c r="AW1390" s="1">
        <v>0.0</v>
      </c>
      <c r="AX1390" s="1">
        <v>3.0</v>
      </c>
      <c r="AY1390" s="1">
        <v>4.0</v>
      </c>
      <c r="BA1390" s="1">
        <v>0.0</v>
      </c>
      <c r="BB1390" s="1">
        <v>0.0</v>
      </c>
      <c r="BC1390" s="1">
        <v>0.0</v>
      </c>
      <c r="BD1390" s="1">
        <v>0.0</v>
      </c>
      <c r="BE1390" s="1">
        <v>0.0</v>
      </c>
      <c r="BF1390" s="1">
        <v>0.0</v>
      </c>
      <c r="BG1390" s="1">
        <v>0.0</v>
      </c>
      <c r="BH1390" s="1">
        <v>0.0</v>
      </c>
      <c r="BI1390" s="1">
        <v>0.0</v>
      </c>
      <c r="BJ1390" s="1">
        <v>0.0</v>
      </c>
      <c r="BP1390" s="1">
        <v>0.256</v>
      </c>
      <c r="BQ1390" s="1" t="s">
        <v>4732</v>
      </c>
      <c r="BV1390" s="1">
        <v>1.1</v>
      </c>
      <c r="EQ1390" s="9" t="s">
        <v>4731</v>
      </c>
      <c r="ER1390" s="21">
        <v>46045.30054398148</v>
      </c>
    </row>
    <row r="1391">
      <c r="A1391" s="9" t="s">
        <v>4733</v>
      </c>
      <c r="B1391" s="20" t="str">
        <f>IFERROR(__xludf.DUMMYFUNCTION("REGEXREPLACE(A1391, ""^https?://[^/]+"", """")"),"/wp-content/uploads/2019/07/2019-05-10_145944.jpg")</f>
        <v>/wp-content/uploads/2019/07/2019-05-10_145944.jpg</v>
      </c>
      <c r="F1391" s="1" t="s">
        <v>1004</v>
      </c>
      <c r="G1391" s="1">
        <v>200.0</v>
      </c>
      <c r="H1391" s="1" t="s">
        <v>966</v>
      </c>
      <c r="I1391" s="1" t="s">
        <v>967</v>
      </c>
      <c r="L1391" s="1">
        <v>0.0</v>
      </c>
      <c r="M1391" s="1">
        <v>0.0</v>
      </c>
      <c r="O1391" s="1">
        <v>0.0</v>
      </c>
      <c r="P1391" s="1">
        <v>0.0</v>
      </c>
      <c r="R1391" s="1">
        <v>0.0</v>
      </c>
      <c r="S1391" s="1">
        <v>0.0</v>
      </c>
      <c r="U1391" s="1">
        <v>0.0</v>
      </c>
      <c r="W1391" s="1">
        <v>0.0</v>
      </c>
      <c r="Y1391" s="1">
        <v>0.0</v>
      </c>
      <c r="AA1391" s="1">
        <v>0.0</v>
      </c>
      <c r="AC1391" s="1">
        <v>0.0</v>
      </c>
      <c r="AM1391" s="1">
        <v>41553.0</v>
      </c>
      <c r="AN1391" s="1">
        <v>41553.0</v>
      </c>
      <c r="AO1391" s="1">
        <v>41553.0</v>
      </c>
      <c r="AP1391" s="1">
        <v>15.918</v>
      </c>
      <c r="AR1391" s="1">
        <v>0.0</v>
      </c>
      <c r="AW1391" s="1">
        <v>0.0</v>
      </c>
      <c r="AX1391" s="1">
        <v>3.0</v>
      </c>
      <c r="AY1391" s="1">
        <v>4.0</v>
      </c>
      <c r="BA1391" s="1">
        <v>0.0</v>
      </c>
      <c r="BB1391" s="1">
        <v>0.0</v>
      </c>
      <c r="BC1391" s="1">
        <v>0.0</v>
      </c>
      <c r="BD1391" s="1">
        <v>0.0</v>
      </c>
      <c r="BE1391" s="1">
        <v>0.0</v>
      </c>
      <c r="BF1391" s="1">
        <v>0.0</v>
      </c>
      <c r="BG1391" s="1">
        <v>0.0</v>
      </c>
      <c r="BH1391" s="1">
        <v>0.0</v>
      </c>
      <c r="BI1391" s="1">
        <v>0.0</v>
      </c>
      <c r="BJ1391" s="1">
        <v>0.0</v>
      </c>
      <c r="BP1391" s="1">
        <v>0.285</v>
      </c>
      <c r="BQ1391" s="1" t="s">
        <v>4734</v>
      </c>
      <c r="BV1391" s="1">
        <v>1.1</v>
      </c>
      <c r="EQ1391" s="9" t="s">
        <v>4733</v>
      </c>
      <c r="ER1391" s="21">
        <v>46045.30054398148</v>
      </c>
    </row>
    <row r="1392">
      <c r="A1392" s="9" t="s">
        <v>4735</v>
      </c>
      <c r="B1392" s="20" t="str">
        <f>IFERROR(__xludf.DUMMYFUNCTION("REGEXREPLACE(A1392, ""^https?://[^/]+"", """")"),"/wp-content/uploads/2019/07/Case-Study_Finance_093020.pdf")</f>
        <v>/wp-content/uploads/2019/07/Case-Study_Finance_093020.pdf</v>
      </c>
      <c r="F1392" s="1" t="s">
        <v>1730</v>
      </c>
      <c r="G1392" s="1">
        <v>200.0</v>
      </c>
      <c r="H1392" s="1" t="s">
        <v>966</v>
      </c>
      <c r="I1392" s="1" t="s">
        <v>967</v>
      </c>
      <c r="L1392" s="1">
        <v>0.0</v>
      </c>
      <c r="M1392" s="1">
        <v>0.0</v>
      </c>
      <c r="O1392" s="1">
        <v>0.0</v>
      </c>
      <c r="P1392" s="1">
        <v>0.0</v>
      </c>
      <c r="R1392" s="1">
        <v>0.0</v>
      </c>
      <c r="S1392" s="1">
        <v>0.0</v>
      </c>
      <c r="U1392" s="1">
        <v>0.0</v>
      </c>
      <c r="W1392" s="1">
        <v>0.0</v>
      </c>
      <c r="Y1392" s="1">
        <v>0.0</v>
      </c>
      <c r="AA1392" s="1">
        <v>0.0</v>
      </c>
      <c r="AC1392" s="1">
        <v>0.0</v>
      </c>
      <c r="AM1392" s="1">
        <v>795910.0</v>
      </c>
      <c r="AN1392" s="1">
        <v>795910.0</v>
      </c>
      <c r="AO1392" s="1">
        <v>795910.0</v>
      </c>
      <c r="AP1392" s="1">
        <v>304.898</v>
      </c>
      <c r="AR1392" s="1">
        <v>0.0</v>
      </c>
      <c r="AW1392" s="1">
        <v>0.0</v>
      </c>
      <c r="AX1392" s="1">
        <v>3.0</v>
      </c>
      <c r="AY1392" s="1">
        <v>4.0</v>
      </c>
      <c r="AZ1392" s="1">
        <v>1.0</v>
      </c>
      <c r="BA1392" s="1">
        <v>1.0</v>
      </c>
      <c r="BB1392" s="1">
        <v>1.0</v>
      </c>
      <c r="BC1392" s="1">
        <v>0.0</v>
      </c>
      <c r="BD1392" s="1">
        <v>0.13</v>
      </c>
      <c r="BE1392" s="1">
        <v>0.0</v>
      </c>
      <c r="BF1392" s="1">
        <v>0.0</v>
      </c>
      <c r="BG1392" s="1">
        <v>0.0</v>
      </c>
      <c r="BH1392" s="1">
        <v>0.0</v>
      </c>
      <c r="BI1392" s="1">
        <v>0.0</v>
      </c>
      <c r="BJ1392" s="1">
        <v>0.0</v>
      </c>
      <c r="BP1392" s="1">
        <v>0.243</v>
      </c>
      <c r="BQ1392" s="1" t="s">
        <v>4736</v>
      </c>
      <c r="BV1392" s="1">
        <v>1.1</v>
      </c>
      <c r="EQ1392" s="9" t="s">
        <v>4735</v>
      </c>
      <c r="ER1392" s="21">
        <v>46045.30054398148</v>
      </c>
    </row>
    <row r="1393">
      <c r="A1393" s="9" t="s">
        <v>4737</v>
      </c>
      <c r="B1393" s="20" t="str">
        <f>IFERROR(__xludf.DUMMYFUNCTION("REGEXREPLACE(A1393, ""^https?://[^/]+"", """")"),"/wp-content/uploads/2019/03/Case-Study_Technology_March.pdf")</f>
        <v>/wp-content/uploads/2019/03/Case-Study_Technology_March.pdf</v>
      </c>
      <c r="F1393" s="1" t="s">
        <v>1730</v>
      </c>
      <c r="G1393" s="1">
        <v>200.0</v>
      </c>
      <c r="H1393" s="1" t="s">
        <v>966</v>
      </c>
      <c r="I1393" s="1" t="s">
        <v>967</v>
      </c>
      <c r="L1393" s="1">
        <v>0.0</v>
      </c>
      <c r="M1393" s="1">
        <v>0.0</v>
      </c>
      <c r="O1393" s="1">
        <v>0.0</v>
      </c>
      <c r="P1393" s="1">
        <v>0.0</v>
      </c>
      <c r="R1393" s="1">
        <v>0.0</v>
      </c>
      <c r="S1393" s="1">
        <v>0.0</v>
      </c>
      <c r="U1393" s="1">
        <v>0.0</v>
      </c>
      <c r="W1393" s="1">
        <v>0.0</v>
      </c>
      <c r="Y1393" s="1">
        <v>0.0</v>
      </c>
      <c r="AA1393" s="1">
        <v>0.0</v>
      </c>
      <c r="AC1393" s="1">
        <v>0.0</v>
      </c>
      <c r="AM1393" s="1">
        <v>790729.0</v>
      </c>
      <c r="AN1393" s="1">
        <v>790729.0</v>
      </c>
      <c r="AO1393" s="1">
        <v>790729.0</v>
      </c>
      <c r="AP1393" s="1">
        <v>302.913</v>
      </c>
      <c r="AR1393" s="1">
        <v>0.0</v>
      </c>
      <c r="AW1393" s="1">
        <v>0.0</v>
      </c>
      <c r="AX1393" s="1">
        <v>3.0</v>
      </c>
      <c r="AY1393" s="1">
        <v>4.0</v>
      </c>
      <c r="AZ1393" s="1">
        <v>2.0</v>
      </c>
      <c r="BA1393" s="1">
        <v>1.0</v>
      </c>
      <c r="BB1393" s="1">
        <v>1.0</v>
      </c>
      <c r="BC1393" s="1">
        <v>0.0</v>
      </c>
      <c r="BD1393" s="1">
        <v>0.13</v>
      </c>
      <c r="BE1393" s="1">
        <v>0.0</v>
      </c>
      <c r="BF1393" s="1">
        <v>0.0</v>
      </c>
      <c r="BG1393" s="1">
        <v>0.0</v>
      </c>
      <c r="BH1393" s="1">
        <v>0.0</v>
      </c>
      <c r="BI1393" s="1">
        <v>0.0</v>
      </c>
      <c r="BJ1393" s="1">
        <v>0.0</v>
      </c>
      <c r="BP1393" s="1">
        <v>0.285</v>
      </c>
      <c r="BQ1393" s="1" t="s">
        <v>4738</v>
      </c>
      <c r="BV1393" s="1">
        <v>1.1</v>
      </c>
      <c r="EQ1393" s="9" t="s">
        <v>4737</v>
      </c>
      <c r="ER1393" s="21">
        <v>46045.30054398148</v>
      </c>
    </row>
    <row r="1394">
      <c r="A1394" s="9" t="s">
        <v>4739</v>
      </c>
      <c r="B1394" s="20" t="str">
        <f>IFERROR(__xludf.DUMMYFUNCTION("REGEXREPLACE(A1394, ""^https?://[^/]+"", """")"),"/wp-content/uploads/2019/07/2019-07-18_161018-2048x2048.jpg")</f>
        <v>/wp-content/uploads/2019/07/2019-07-18_161018-2048x2048.jpg</v>
      </c>
      <c r="F1394" s="1" t="s">
        <v>1004</v>
      </c>
      <c r="G1394" s="1">
        <v>200.0</v>
      </c>
      <c r="H1394" s="1" t="s">
        <v>966</v>
      </c>
      <c r="I1394" s="1" t="s">
        <v>967</v>
      </c>
      <c r="L1394" s="1">
        <v>0.0</v>
      </c>
      <c r="M1394" s="1">
        <v>0.0</v>
      </c>
      <c r="O1394" s="1">
        <v>0.0</v>
      </c>
      <c r="P1394" s="1">
        <v>0.0</v>
      </c>
      <c r="R1394" s="1">
        <v>0.0</v>
      </c>
      <c r="S1394" s="1">
        <v>0.0</v>
      </c>
      <c r="U1394" s="1">
        <v>0.0</v>
      </c>
      <c r="W1394" s="1">
        <v>0.0</v>
      </c>
      <c r="Y1394" s="1">
        <v>0.0</v>
      </c>
      <c r="AA1394" s="1">
        <v>0.0</v>
      </c>
      <c r="AC1394" s="1">
        <v>0.0</v>
      </c>
      <c r="AM1394" s="1">
        <v>192406.0</v>
      </c>
      <c r="AN1394" s="1">
        <v>192406.0</v>
      </c>
      <c r="AO1394" s="1">
        <v>192406.0</v>
      </c>
      <c r="AP1394" s="1">
        <v>73.707</v>
      </c>
      <c r="AR1394" s="1">
        <v>0.0</v>
      </c>
      <c r="AW1394" s="1">
        <v>0.0</v>
      </c>
      <c r="AX1394" s="1">
        <v>3.0</v>
      </c>
      <c r="AY1394" s="1">
        <v>4.0</v>
      </c>
      <c r="BA1394" s="1">
        <v>0.0</v>
      </c>
      <c r="BB1394" s="1">
        <v>0.0</v>
      </c>
      <c r="BC1394" s="1">
        <v>0.0</v>
      </c>
      <c r="BD1394" s="1">
        <v>0.0</v>
      </c>
      <c r="BE1394" s="1">
        <v>0.0</v>
      </c>
      <c r="BF1394" s="1">
        <v>0.0</v>
      </c>
      <c r="BG1394" s="1">
        <v>0.0</v>
      </c>
      <c r="BH1394" s="1">
        <v>0.0</v>
      </c>
      <c r="BI1394" s="1">
        <v>0.0</v>
      </c>
      <c r="BJ1394" s="1">
        <v>0.0</v>
      </c>
      <c r="BP1394" s="1">
        <v>0.283</v>
      </c>
      <c r="BQ1394" s="1" t="s">
        <v>4740</v>
      </c>
      <c r="BV1394" s="1">
        <v>1.1</v>
      </c>
      <c r="EQ1394" s="9" t="s">
        <v>4739</v>
      </c>
      <c r="ER1394" s="21">
        <v>46045.30054398148</v>
      </c>
    </row>
    <row r="1395">
      <c r="A1395" s="9" t="s">
        <v>4741</v>
      </c>
      <c r="B1395" s="20" t="str">
        <f>IFERROR(__xludf.DUMMYFUNCTION("REGEXREPLACE(A1395, ""^https?://[^/]+"", """")"),"/wp-content/uploads/elementor/css/post-17815.css?ver=1768850108")</f>
        <v>/wp-content/uploads/elementor/css/post-17815.css?ver=1768850108</v>
      </c>
      <c r="F1395" s="1" t="s">
        <v>1016</v>
      </c>
      <c r="G1395" s="1">
        <v>200.0</v>
      </c>
      <c r="H1395" s="1" t="s">
        <v>966</v>
      </c>
      <c r="I1395" s="1" t="s">
        <v>967</v>
      </c>
      <c r="L1395" s="1">
        <v>0.0</v>
      </c>
      <c r="M1395" s="1">
        <v>0.0</v>
      </c>
      <c r="O1395" s="1">
        <v>0.0</v>
      </c>
      <c r="P1395" s="1">
        <v>0.0</v>
      </c>
      <c r="R1395" s="1">
        <v>0.0</v>
      </c>
      <c r="S1395" s="1">
        <v>0.0</v>
      </c>
      <c r="U1395" s="1">
        <v>0.0</v>
      </c>
      <c r="W1395" s="1">
        <v>0.0</v>
      </c>
      <c r="Y1395" s="1">
        <v>0.0</v>
      </c>
      <c r="AA1395" s="1">
        <v>0.0</v>
      </c>
      <c r="AC1395" s="1">
        <v>0.0</v>
      </c>
      <c r="AM1395" s="1">
        <v>1151.0</v>
      </c>
      <c r="AN1395" s="1">
        <v>1151.0</v>
      </c>
      <c r="AO1395" s="1">
        <v>1151.0</v>
      </c>
      <c r="AP1395" s="1">
        <v>0.441</v>
      </c>
      <c r="AR1395" s="1">
        <v>0.0</v>
      </c>
      <c r="AW1395" s="1">
        <v>0.0</v>
      </c>
      <c r="AX1395" s="1">
        <v>3.0</v>
      </c>
      <c r="AY1395" s="1">
        <v>4.0</v>
      </c>
      <c r="BA1395" s="1">
        <v>0.0</v>
      </c>
      <c r="BB1395" s="1">
        <v>0.0</v>
      </c>
      <c r="BC1395" s="1">
        <v>0.0</v>
      </c>
      <c r="BD1395" s="1">
        <v>0.0</v>
      </c>
      <c r="BE1395" s="1">
        <v>0.0</v>
      </c>
      <c r="BF1395" s="1">
        <v>0.0</v>
      </c>
      <c r="BG1395" s="1">
        <v>0.0</v>
      </c>
      <c r="BH1395" s="1">
        <v>0.0</v>
      </c>
      <c r="BI1395" s="1">
        <v>0.0</v>
      </c>
      <c r="BJ1395" s="1">
        <v>0.0</v>
      </c>
      <c r="BP1395" s="1">
        <v>0.277</v>
      </c>
      <c r="BQ1395" s="1" t="s">
        <v>4742</v>
      </c>
      <c r="BV1395" s="1">
        <v>1.1</v>
      </c>
      <c r="EQ1395" s="9" t="s">
        <v>4741</v>
      </c>
      <c r="ER1395" s="21">
        <v>46045.30054398148</v>
      </c>
    </row>
    <row r="1396">
      <c r="A1396" s="9" t="s">
        <v>4743</v>
      </c>
      <c r="B1396" s="20" t="str">
        <f>IFERROR(__xludf.DUMMYFUNCTION("REGEXREPLACE(A1396, ""^https?://[^/]+"", """")"),"/wp-content/uploads/2022/05/thumb-Case-Study_Food-Industry_SX-1-2048x2048.jpg")</f>
        <v>/wp-content/uploads/2022/05/thumb-Case-Study_Food-Industry_SX-1-2048x2048.jpg</v>
      </c>
      <c r="F1396" s="1" t="s">
        <v>1004</v>
      </c>
      <c r="G1396" s="1">
        <v>200.0</v>
      </c>
      <c r="H1396" s="1" t="s">
        <v>966</v>
      </c>
      <c r="I1396" s="1" t="s">
        <v>967</v>
      </c>
      <c r="L1396" s="1">
        <v>0.0</v>
      </c>
      <c r="M1396" s="1">
        <v>0.0</v>
      </c>
      <c r="O1396" s="1">
        <v>0.0</v>
      </c>
      <c r="P1396" s="1">
        <v>0.0</v>
      </c>
      <c r="R1396" s="1">
        <v>0.0</v>
      </c>
      <c r="S1396" s="1">
        <v>0.0</v>
      </c>
      <c r="U1396" s="1">
        <v>0.0</v>
      </c>
      <c r="W1396" s="1">
        <v>0.0</v>
      </c>
      <c r="Y1396" s="1">
        <v>0.0</v>
      </c>
      <c r="AA1396" s="1">
        <v>0.0</v>
      </c>
      <c r="AC1396" s="1">
        <v>0.0</v>
      </c>
      <c r="AM1396" s="1">
        <v>497280.0</v>
      </c>
      <c r="AN1396" s="1">
        <v>497280.0</v>
      </c>
      <c r="AO1396" s="1">
        <v>497280.0</v>
      </c>
      <c r="AP1396" s="1">
        <v>190.499</v>
      </c>
      <c r="AR1396" s="1">
        <v>0.0</v>
      </c>
      <c r="AW1396" s="1">
        <v>0.0</v>
      </c>
      <c r="AX1396" s="1">
        <v>3.0</v>
      </c>
      <c r="AY1396" s="1">
        <v>4.0</v>
      </c>
      <c r="BA1396" s="1">
        <v>0.0</v>
      </c>
      <c r="BB1396" s="1">
        <v>0.0</v>
      </c>
      <c r="BC1396" s="1">
        <v>0.0</v>
      </c>
      <c r="BD1396" s="1">
        <v>0.0</v>
      </c>
      <c r="BE1396" s="1">
        <v>0.0</v>
      </c>
      <c r="BF1396" s="1">
        <v>0.0</v>
      </c>
      <c r="BG1396" s="1">
        <v>0.0</v>
      </c>
      <c r="BH1396" s="1">
        <v>0.0</v>
      </c>
      <c r="BI1396" s="1">
        <v>0.0</v>
      </c>
      <c r="BJ1396" s="1">
        <v>0.0</v>
      </c>
      <c r="BP1396" s="1">
        <v>0.251</v>
      </c>
      <c r="BQ1396" s="1" t="s">
        <v>4744</v>
      </c>
      <c r="BV1396" s="1">
        <v>1.1</v>
      </c>
      <c r="EQ1396" s="9" t="s">
        <v>4743</v>
      </c>
      <c r="ER1396" s="21">
        <v>46045.30055555556</v>
      </c>
    </row>
    <row r="1397">
      <c r="A1397" s="9" t="s">
        <v>4745</v>
      </c>
      <c r="B1397" s="20" t="str">
        <f>IFERROR(__xludf.DUMMYFUNCTION("REGEXREPLACE(A1397, ""^https?://[^/]+"", """")"),"/wp-content/uploads/2019/11/marketing-2.jpg")</f>
        <v>/wp-content/uploads/2019/11/marketing-2.jpg</v>
      </c>
      <c r="F1397" s="1" t="s">
        <v>1004</v>
      </c>
      <c r="G1397" s="1">
        <v>200.0</v>
      </c>
      <c r="H1397" s="1" t="s">
        <v>966</v>
      </c>
      <c r="I1397" s="1" t="s">
        <v>967</v>
      </c>
      <c r="L1397" s="1">
        <v>0.0</v>
      </c>
      <c r="M1397" s="1">
        <v>0.0</v>
      </c>
      <c r="O1397" s="1">
        <v>0.0</v>
      </c>
      <c r="P1397" s="1">
        <v>0.0</v>
      </c>
      <c r="R1397" s="1">
        <v>0.0</v>
      </c>
      <c r="S1397" s="1">
        <v>0.0</v>
      </c>
      <c r="U1397" s="1">
        <v>0.0</v>
      </c>
      <c r="W1397" s="1">
        <v>0.0</v>
      </c>
      <c r="Y1397" s="1">
        <v>0.0</v>
      </c>
      <c r="AA1397" s="1">
        <v>0.0</v>
      </c>
      <c r="AC1397" s="1">
        <v>0.0</v>
      </c>
      <c r="AM1397" s="1">
        <v>198147.0</v>
      </c>
      <c r="AN1397" s="1">
        <v>198147.0</v>
      </c>
      <c r="AO1397" s="1">
        <v>198147.0</v>
      </c>
      <c r="AP1397" s="1">
        <v>75.906</v>
      </c>
      <c r="AR1397" s="1">
        <v>0.0</v>
      </c>
      <c r="AW1397" s="1">
        <v>0.0</v>
      </c>
      <c r="AX1397" s="1">
        <v>3.0</v>
      </c>
      <c r="AY1397" s="1">
        <v>4.0</v>
      </c>
      <c r="BA1397" s="1">
        <v>0.0</v>
      </c>
      <c r="BB1397" s="1">
        <v>0.0</v>
      </c>
      <c r="BC1397" s="1">
        <v>0.0</v>
      </c>
      <c r="BD1397" s="1">
        <v>0.0</v>
      </c>
      <c r="BE1397" s="1">
        <v>0.0</v>
      </c>
      <c r="BF1397" s="1">
        <v>0.0</v>
      </c>
      <c r="BG1397" s="1">
        <v>0.0</v>
      </c>
      <c r="BH1397" s="1">
        <v>0.0</v>
      </c>
      <c r="BI1397" s="1">
        <v>0.0</v>
      </c>
      <c r="BJ1397" s="1">
        <v>0.0</v>
      </c>
      <c r="BP1397" s="1">
        <v>0.278</v>
      </c>
      <c r="BQ1397" s="1" t="s">
        <v>4746</v>
      </c>
      <c r="BV1397" s="1">
        <v>1.1</v>
      </c>
      <c r="EQ1397" s="9" t="s">
        <v>4745</v>
      </c>
      <c r="ER1397" s="21">
        <v>46045.30055555556</v>
      </c>
    </row>
    <row r="1398">
      <c r="A1398" s="9" t="s">
        <v>4747</v>
      </c>
      <c r="B1398" s="20" t="str">
        <f>IFERROR(__xludf.DUMMYFUNCTION("REGEXREPLACE(A1398, ""^https?://[^/]+"", """")"),"/wp-content/uploads/2019/11/Case_Study_Marketing-2.pdf")</f>
        <v>/wp-content/uploads/2019/11/Case_Study_Marketing-2.pdf</v>
      </c>
      <c r="F1398" s="1" t="s">
        <v>1730</v>
      </c>
      <c r="G1398" s="1">
        <v>200.0</v>
      </c>
      <c r="H1398" s="1" t="s">
        <v>966</v>
      </c>
      <c r="I1398" s="1" t="s">
        <v>967</v>
      </c>
      <c r="L1398" s="1">
        <v>0.0</v>
      </c>
      <c r="M1398" s="1">
        <v>0.0</v>
      </c>
      <c r="O1398" s="1">
        <v>0.0</v>
      </c>
      <c r="P1398" s="1">
        <v>0.0</v>
      </c>
      <c r="R1398" s="1">
        <v>0.0</v>
      </c>
      <c r="S1398" s="1">
        <v>0.0</v>
      </c>
      <c r="U1398" s="1">
        <v>0.0</v>
      </c>
      <c r="W1398" s="1">
        <v>0.0</v>
      </c>
      <c r="Y1398" s="1">
        <v>0.0</v>
      </c>
      <c r="AA1398" s="1">
        <v>0.0</v>
      </c>
      <c r="AC1398" s="1">
        <v>0.0</v>
      </c>
      <c r="AM1398" s="1">
        <v>1557495.0</v>
      </c>
      <c r="AN1398" s="1">
        <v>1557495.0</v>
      </c>
      <c r="AO1398" s="1">
        <v>1557495.0</v>
      </c>
      <c r="AP1398" s="1">
        <v>596.647</v>
      </c>
      <c r="AR1398" s="1">
        <v>0.0</v>
      </c>
      <c r="AW1398" s="1">
        <v>0.0</v>
      </c>
      <c r="AX1398" s="1">
        <v>3.0</v>
      </c>
      <c r="AY1398" s="1">
        <v>4.0</v>
      </c>
      <c r="AZ1398" s="1">
        <v>1.0</v>
      </c>
      <c r="BA1398" s="1">
        <v>1.0</v>
      </c>
      <c r="BB1398" s="1">
        <v>1.0</v>
      </c>
      <c r="BC1398" s="1">
        <v>0.0</v>
      </c>
      <c r="BD1398" s="1">
        <v>0.13</v>
      </c>
      <c r="BE1398" s="1">
        <v>0.0</v>
      </c>
      <c r="BF1398" s="1">
        <v>0.0</v>
      </c>
      <c r="BG1398" s="1">
        <v>0.0</v>
      </c>
      <c r="BH1398" s="1">
        <v>0.0</v>
      </c>
      <c r="BI1398" s="1">
        <v>0.0</v>
      </c>
      <c r="BJ1398" s="1">
        <v>0.0</v>
      </c>
      <c r="BP1398" s="1">
        <v>0.241</v>
      </c>
      <c r="BQ1398" s="1" t="s">
        <v>4748</v>
      </c>
      <c r="BV1398" s="1">
        <v>1.1</v>
      </c>
      <c r="EQ1398" s="9" t="s">
        <v>4747</v>
      </c>
      <c r="ER1398" s="21">
        <v>46045.30055555556</v>
      </c>
    </row>
    <row r="1399">
      <c r="A1399" s="9" t="s">
        <v>4749</v>
      </c>
      <c r="B1399" s="20" t="str">
        <f>IFERROR(__xludf.DUMMYFUNCTION("REGEXREPLACE(A1399, ""^https?://[^/]+"", """")"),"/wp-content/themes/salesxceleratione/assets/css/style.css?ver=1769123501")</f>
        <v>/wp-content/themes/salesxceleratione/assets/css/style.css?ver=1769123501</v>
      </c>
      <c r="F1399" s="1" t="s">
        <v>1016</v>
      </c>
      <c r="G1399" s="1">
        <v>200.0</v>
      </c>
      <c r="H1399" s="1" t="s">
        <v>966</v>
      </c>
      <c r="I1399" s="1" t="s">
        <v>967</v>
      </c>
      <c r="L1399" s="1">
        <v>0.0</v>
      </c>
      <c r="M1399" s="1">
        <v>0.0</v>
      </c>
      <c r="O1399" s="1">
        <v>0.0</v>
      </c>
      <c r="P1399" s="1">
        <v>0.0</v>
      </c>
      <c r="R1399" s="1">
        <v>0.0</v>
      </c>
      <c r="S1399" s="1">
        <v>0.0</v>
      </c>
      <c r="U1399" s="1">
        <v>0.0</v>
      </c>
      <c r="W1399" s="1">
        <v>0.0</v>
      </c>
      <c r="Y1399" s="1">
        <v>0.0</v>
      </c>
      <c r="AA1399" s="1">
        <v>0.0</v>
      </c>
      <c r="AC1399" s="1">
        <v>0.0</v>
      </c>
      <c r="AM1399" s="1">
        <v>17704.0</v>
      </c>
      <c r="AN1399" s="1">
        <v>17704.0</v>
      </c>
      <c r="AO1399" s="1">
        <v>17704.0</v>
      </c>
      <c r="AP1399" s="1">
        <v>6.782</v>
      </c>
      <c r="AR1399" s="1">
        <v>0.0</v>
      </c>
      <c r="AW1399" s="1">
        <v>0.0</v>
      </c>
      <c r="AX1399" s="1">
        <v>3.0</v>
      </c>
      <c r="AY1399" s="1">
        <v>5.0</v>
      </c>
      <c r="BA1399" s="1">
        <v>0.0</v>
      </c>
      <c r="BB1399" s="1">
        <v>0.0</v>
      </c>
      <c r="BC1399" s="1">
        <v>0.0</v>
      </c>
      <c r="BD1399" s="1">
        <v>0.0</v>
      </c>
      <c r="BE1399" s="1">
        <v>0.0</v>
      </c>
      <c r="BF1399" s="1">
        <v>0.0</v>
      </c>
      <c r="BG1399" s="1">
        <v>0.0</v>
      </c>
      <c r="BH1399" s="1">
        <v>0.0</v>
      </c>
      <c r="BI1399" s="1">
        <v>0.0</v>
      </c>
      <c r="BJ1399" s="1">
        <v>0.0</v>
      </c>
      <c r="BP1399" s="1">
        <v>0.271</v>
      </c>
      <c r="BQ1399" s="1" t="s">
        <v>4730</v>
      </c>
      <c r="BV1399" s="1">
        <v>1.1</v>
      </c>
      <c r="EQ1399" s="9" t="s">
        <v>4749</v>
      </c>
      <c r="ER1399" s="21">
        <v>46045.30055555556</v>
      </c>
    </row>
    <row r="1400">
      <c r="A1400" s="9" t="s">
        <v>4750</v>
      </c>
      <c r="B1400" s="20" t="str">
        <f>IFERROR(__xludf.DUMMYFUNCTION("REGEXREPLACE(A1400, ""^https?://[^/]+"", """")"),"/wp-content/uploads/elementor/css/post-18508.css?ver=1768854537")</f>
        <v>/wp-content/uploads/elementor/css/post-18508.css?ver=1768854537</v>
      </c>
      <c r="F1400" s="1" t="s">
        <v>1016</v>
      </c>
      <c r="G1400" s="1">
        <v>200.0</v>
      </c>
      <c r="H1400" s="1" t="s">
        <v>966</v>
      </c>
      <c r="I1400" s="1" t="s">
        <v>967</v>
      </c>
      <c r="L1400" s="1">
        <v>0.0</v>
      </c>
      <c r="M1400" s="1">
        <v>0.0</v>
      </c>
      <c r="O1400" s="1">
        <v>0.0</v>
      </c>
      <c r="P1400" s="1">
        <v>0.0</v>
      </c>
      <c r="R1400" s="1">
        <v>0.0</v>
      </c>
      <c r="S1400" s="1">
        <v>0.0</v>
      </c>
      <c r="U1400" s="1">
        <v>0.0</v>
      </c>
      <c r="W1400" s="1">
        <v>0.0</v>
      </c>
      <c r="Y1400" s="1">
        <v>0.0</v>
      </c>
      <c r="AA1400" s="1">
        <v>0.0</v>
      </c>
      <c r="AC1400" s="1">
        <v>0.0</v>
      </c>
      <c r="AM1400" s="1">
        <v>1163.0</v>
      </c>
      <c r="AN1400" s="1">
        <v>1163.0</v>
      </c>
      <c r="AO1400" s="1">
        <v>1163.0</v>
      </c>
      <c r="AP1400" s="1">
        <v>0.446</v>
      </c>
      <c r="AR1400" s="1">
        <v>0.0</v>
      </c>
      <c r="AW1400" s="1">
        <v>0.0</v>
      </c>
      <c r="AX1400" s="1">
        <v>3.0</v>
      </c>
      <c r="AY1400" s="1">
        <v>4.0</v>
      </c>
      <c r="BA1400" s="1">
        <v>0.0</v>
      </c>
      <c r="BB1400" s="1">
        <v>0.0</v>
      </c>
      <c r="BC1400" s="1">
        <v>0.0</v>
      </c>
      <c r="BD1400" s="1">
        <v>0.0</v>
      </c>
      <c r="BE1400" s="1">
        <v>0.0</v>
      </c>
      <c r="BF1400" s="1">
        <v>0.0</v>
      </c>
      <c r="BG1400" s="1">
        <v>0.0</v>
      </c>
      <c r="BH1400" s="1">
        <v>0.0</v>
      </c>
      <c r="BI1400" s="1">
        <v>0.0</v>
      </c>
      <c r="BJ1400" s="1">
        <v>0.0</v>
      </c>
      <c r="BP1400" s="1">
        <v>0.278</v>
      </c>
      <c r="BQ1400" s="1" t="s">
        <v>4751</v>
      </c>
      <c r="BV1400" s="1">
        <v>1.1</v>
      </c>
      <c r="EQ1400" s="9" t="s">
        <v>4750</v>
      </c>
      <c r="ER1400" s="21">
        <v>46045.30055555556</v>
      </c>
    </row>
    <row r="1401">
      <c r="A1401" s="9" t="s">
        <v>4752</v>
      </c>
      <c r="B1401" s="20" t="str">
        <f>IFERROR(__xludf.DUMMYFUNCTION("REGEXREPLACE(A1401, ""^https?://[^/]+"", """")"),"/wp-content/uploads/2020/09/Case-Study_Distribution_SX-Web.pdf")</f>
        <v>/wp-content/uploads/2020/09/Case-Study_Distribution_SX-Web.pdf</v>
      </c>
      <c r="F1401" s="1" t="s">
        <v>1730</v>
      </c>
      <c r="G1401" s="1">
        <v>200.0</v>
      </c>
      <c r="H1401" s="1" t="s">
        <v>966</v>
      </c>
      <c r="I1401" s="1" t="s">
        <v>967</v>
      </c>
      <c r="L1401" s="1">
        <v>0.0</v>
      </c>
      <c r="M1401" s="1">
        <v>0.0</v>
      </c>
      <c r="O1401" s="1">
        <v>0.0</v>
      </c>
      <c r="P1401" s="1">
        <v>0.0</v>
      </c>
      <c r="R1401" s="1">
        <v>0.0</v>
      </c>
      <c r="S1401" s="1">
        <v>0.0</v>
      </c>
      <c r="U1401" s="1">
        <v>0.0</v>
      </c>
      <c r="W1401" s="1">
        <v>0.0</v>
      </c>
      <c r="Y1401" s="1">
        <v>0.0</v>
      </c>
      <c r="AA1401" s="1">
        <v>0.0</v>
      </c>
      <c r="AC1401" s="1">
        <v>0.0</v>
      </c>
      <c r="AM1401" s="1">
        <v>1600095.0</v>
      </c>
      <c r="AN1401" s="1">
        <v>1600095.0</v>
      </c>
      <c r="AO1401" s="1">
        <v>1600095.0</v>
      </c>
      <c r="AP1401" s="1">
        <v>612.966</v>
      </c>
      <c r="AR1401" s="1">
        <v>0.0</v>
      </c>
      <c r="AW1401" s="1">
        <v>0.0</v>
      </c>
      <c r="AX1401" s="1">
        <v>3.0</v>
      </c>
      <c r="AY1401" s="1">
        <v>4.0</v>
      </c>
      <c r="AZ1401" s="1">
        <v>1.0</v>
      </c>
      <c r="BA1401" s="1">
        <v>1.0</v>
      </c>
      <c r="BB1401" s="1">
        <v>1.0</v>
      </c>
      <c r="BC1401" s="1">
        <v>0.0</v>
      </c>
      <c r="BD1401" s="1">
        <v>0.13</v>
      </c>
      <c r="BE1401" s="1">
        <v>0.0</v>
      </c>
      <c r="BF1401" s="1">
        <v>0.0</v>
      </c>
      <c r="BG1401" s="1">
        <v>0.0</v>
      </c>
      <c r="BH1401" s="1">
        <v>0.0</v>
      </c>
      <c r="BI1401" s="1">
        <v>0.0</v>
      </c>
      <c r="BJ1401" s="1">
        <v>0.0</v>
      </c>
      <c r="BP1401" s="1">
        <v>0.266</v>
      </c>
      <c r="BQ1401" s="1" t="s">
        <v>4753</v>
      </c>
      <c r="BV1401" s="1">
        <v>1.1</v>
      </c>
      <c r="EQ1401" s="9" t="s">
        <v>4752</v>
      </c>
      <c r="ER1401" s="21">
        <v>46045.30054398148</v>
      </c>
    </row>
    <row r="1402">
      <c r="A1402" s="9" t="s">
        <v>4754</v>
      </c>
      <c r="B1402" s="20" t="str">
        <f>IFERROR(__xludf.DUMMYFUNCTION("REGEXREPLACE(A1402, ""^https?://[^/]+"", """")"),"/wp-content/uploads/2021/02/Case-Study_Marketing_SX.pdf")</f>
        <v>/wp-content/uploads/2021/02/Case-Study_Marketing_SX.pdf</v>
      </c>
      <c r="F1402" s="1" t="s">
        <v>1730</v>
      </c>
      <c r="G1402" s="1">
        <v>200.0</v>
      </c>
      <c r="H1402" s="1" t="s">
        <v>966</v>
      </c>
      <c r="I1402" s="1" t="s">
        <v>967</v>
      </c>
      <c r="L1402" s="1">
        <v>0.0</v>
      </c>
      <c r="M1402" s="1">
        <v>0.0</v>
      </c>
      <c r="O1402" s="1">
        <v>0.0</v>
      </c>
      <c r="P1402" s="1">
        <v>0.0</v>
      </c>
      <c r="R1402" s="1">
        <v>0.0</v>
      </c>
      <c r="S1402" s="1">
        <v>0.0</v>
      </c>
      <c r="U1402" s="1">
        <v>0.0</v>
      </c>
      <c r="W1402" s="1">
        <v>0.0</v>
      </c>
      <c r="Y1402" s="1">
        <v>0.0</v>
      </c>
      <c r="AA1402" s="1">
        <v>0.0</v>
      </c>
      <c r="AC1402" s="1">
        <v>0.0</v>
      </c>
      <c r="AM1402" s="1">
        <v>747385.0</v>
      </c>
      <c r="AN1402" s="1">
        <v>747385.0</v>
      </c>
      <c r="AO1402" s="1">
        <v>747385.0</v>
      </c>
      <c r="AP1402" s="1">
        <v>286.309</v>
      </c>
      <c r="AR1402" s="1">
        <v>0.0</v>
      </c>
      <c r="AW1402" s="1">
        <v>0.0</v>
      </c>
      <c r="AX1402" s="1">
        <v>3.0</v>
      </c>
      <c r="AY1402" s="1">
        <v>4.0</v>
      </c>
      <c r="AZ1402" s="1">
        <v>1.0</v>
      </c>
      <c r="BA1402" s="1">
        <v>1.0</v>
      </c>
      <c r="BB1402" s="1">
        <v>1.0</v>
      </c>
      <c r="BC1402" s="1">
        <v>0.0</v>
      </c>
      <c r="BD1402" s="1">
        <v>0.13</v>
      </c>
      <c r="BE1402" s="1">
        <v>0.0</v>
      </c>
      <c r="BF1402" s="1">
        <v>0.0</v>
      </c>
      <c r="BG1402" s="1">
        <v>0.0</v>
      </c>
      <c r="BH1402" s="1">
        <v>0.0</v>
      </c>
      <c r="BI1402" s="1">
        <v>0.0</v>
      </c>
      <c r="BJ1402" s="1">
        <v>0.0</v>
      </c>
      <c r="BP1402" s="1">
        <v>0.284</v>
      </c>
      <c r="BQ1402" s="1" t="s">
        <v>4755</v>
      </c>
      <c r="BV1402" s="1">
        <v>1.1</v>
      </c>
      <c r="EQ1402" s="9" t="s">
        <v>4754</v>
      </c>
      <c r="ER1402" s="21">
        <v>46045.30055555556</v>
      </c>
    </row>
    <row r="1403">
      <c r="A1403" s="9" t="s">
        <v>4756</v>
      </c>
      <c r="B1403" s="20" t="str">
        <f>IFERROR(__xludf.DUMMYFUNCTION("REGEXREPLACE(A1403, ""^https?://[^/]+"", """")"),"/wp-content/uploads/2022/06/Case-Study_Security_SX.pdf")</f>
        <v>/wp-content/uploads/2022/06/Case-Study_Security_SX.pdf</v>
      </c>
      <c r="F1403" s="1" t="s">
        <v>1730</v>
      </c>
      <c r="G1403" s="1">
        <v>200.0</v>
      </c>
      <c r="H1403" s="1" t="s">
        <v>966</v>
      </c>
      <c r="I1403" s="1" t="s">
        <v>967</v>
      </c>
      <c r="L1403" s="1">
        <v>0.0</v>
      </c>
      <c r="M1403" s="1">
        <v>0.0</v>
      </c>
      <c r="O1403" s="1">
        <v>0.0</v>
      </c>
      <c r="P1403" s="1">
        <v>0.0</v>
      </c>
      <c r="R1403" s="1">
        <v>0.0</v>
      </c>
      <c r="S1403" s="1">
        <v>0.0</v>
      </c>
      <c r="U1403" s="1">
        <v>0.0</v>
      </c>
      <c r="W1403" s="1">
        <v>0.0</v>
      </c>
      <c r="Y1403" s="1">
        <v>0.0</v>
      </c>
      <c r="AA1403" s="1">
        <v>0.0</v>
      </c>
      <c r="AC1403" s="1">
        <v>0.0</v>
      </c>
      <c r="AM1403" s="1">
        <v>712512.0</v>
      </c>
      <c r="AN1403" s="1">
        <v>712512.0</v>
      </c>
      <c r="AO1403" s="1">
        <v>712512.0</v>
      </c>
      <c r="AP1403" s="1">
        <v>272.95</v>
      </c>
      <c r="AR1403" s="1">
        <v>0.0</v>
      </c>
      <c r="AW1403" s="1">
        <v>0.0</v>
      </c>
      <c r="AX1403" s="1">
        <v>3.0</v>
      </c>
      <c r="AY1403" s="1">
        <v>4.0</v>
      </c>
      <c r="AZ1403" s="1">
        <v>1.0</v>
      </c>
      <c r="BA1403" s="1">
        <v>1.0</v>
      </c>
      <c r="BB1403" s="1">
        <v>1.0</v>
      </c>
      <c r="BC1403" s="1">
        <v>0.0</v>
      </c>
      <c r="BD1403" s="1">
        <v>0.13</v>
      </c>
      <c r="BE1403" s="1">
        <v>0.0</v>
      </c>
      <c r="BF1403" s="1">
        <v>0.0</v>
      </c>
      <c r="BG1403" s="1">
        <v>0.0</v>
      </c>
      <c r="BH1403" s="1">
        <v>0.0</v>
      </c>
      <c r="BI1403" s="1">
        <v>0.0</v>
      </c>
      <c r="BJ1403" s="1">
        <v>0.0</v>
      </c>
      <c r="BP1403" s="1">
        <v>0.253</v>
      </c>
      <c r="BQ1403" s="1" t="s">
        <v>4757</v>
      </c>
      <c r="BV1403" s="1">
        <v>1.1</v>
      </c>
      <c r="EQ1403" s="9" t="s">
        <v>4756</v>
      </c>
      <c r="ER1403" s="21">
        <v>46045.30055555556</v>
      </c>
    </row>
    <row r="1404">
      <c r="A1404" s="9" t="s">
        <v>4758</v>
      </c>
      <c r="B1404" s="20" t="str">
        <f>IFERROR(__xludf.DUMMYFUNCTION("REGEXREPLACE(A1404, ""^https?://[^/]+"", """")"),"/wp-content/uploads/elementor/css/post-25843.css?ver=1768862551")</f>
        <v>/wp-content/uploads/elementor/css/post-25843.css?ver=1768862551</v>
      </c>
      <c r="F1404" s="1" t="s">
        <v>1016</v>
      </c>
      <c r="G1404" s="1">
        <v>200.0</v>
      </c>
      <c r="H1404" s="1" t="s">
        <v>966</v>
      </c>
      <c r="I1404" s="1" t="s">
        <v>967</v>
      </c>
      <c r="L1404" s="1">
        <v>0.0</v>
      </c>
      <c r="M1404" s="1">
        <v>0.0</v>
      </c>
      <c r="O1404" s="1">
        <v>0.0</v>
      </c>
      <c r="P1404" s="1">
        <v>0.0</v>
      </c>
      <c r="R1404" s="1">
        <v>0.0</v>
      </c>
      <c r="S1404" s="1">
        <v>0.0</v>
      </c>
      <c r="U1404" s="1">
        <v>0.0</v>
      </c>
      <c r="W1404" s="1">
        <v>0.0</v>
      </c>
      <c r="Y1404" s="1">
        <v>0.0</v>
      </c>
      <c r="AA1404" s="1">
        <v>0.0</v>
      </c>
      <c r="AC1404" s="1">
        <v>0.0</v>
      </c>
      <c r="AM1404" s="1">
        <v>1151.0</v>
      </c>
      <c r="AN1404" s="1">
        <v>1151.0</v>
      </c>
      <c r="AO1404" s="1">
        <v>1151.0</v>
      </c>
      <c r="AP1404" s="1">
        <v>0.441</v>
      </c>
      <c r="AR1404" s="1">
        <v>0.0</v>
      </c>
      <c r="AW1404" s="1">
        <v>0.0</v>
      </c>
      <c r="AX1404" s="1">
        <v>3.0</v>
      </c>
      <c r="AY1404" s="1">
        <v>4.0</v>
      </c>
      <c r="BA1404" s="1">
        <v>0.0</v>
      </c>
      <c r="BB1404" s="1">
        <v>0.0</v>
      </c>
      <c r="BC1404" s="1">
        <v>0.0</v>
      </c>
      <c r="BD1404" s="1">
        <v>0.0</v>
      </c>
      <c r="BE1404" s="1">
        <v>0.0</v>
      </c>
      <c r="BF1404" s="1">
        <v>0.0</v>
      </c>
      <c r="BG1404" s="1">
        <v>0.0</v>
      </c>
      <c r="BH1404" s="1">
        <v>0.0</v>
      </c>
      <c r="BI1404" s="1">
        <v>0.0</v>
      </c>
      <c r="BJ1404" s="1">
        <v>0.0</v>
      </c>
      <c r="BP1404" s="1">
        <v>0.27</v>
      </c>
      <c r="BQ1404" s="1" t="s">
        <v>4759</v>
      </c>
      <c r="BV1404" s="1">
        <v>1.1</v>
      </c>
      <c r="EQ1404" s="9" t="s">
        <v>4758</v>
      </c>
      <c r="ER1404" s="21">
        <v>46045.30055555556</v>
      </c>
    </row>
    <row r="1405">
      <c r="A1405" s="9" t="s">
        <v>4760</v>
      </c>
      <c r="B1405" s="20" t="str">
        <f>IFERROR(__xludf.DUMMYFUNCTION("REGEXREPLACE(A1405, ""^https?://[^/]+"", """")"),"/wp-content/uploads/2019/07/Case-Study_Logistics-1-1.jpg")</f>
        <v>/wp-content/uploads/2019/07/Case-Study_Logistics-1-1.jpg</v>
      </c>
      <c r="F1405" s="1" t="s">
        <v>1004</v>
      </c>
      <c r="G1405" s="1">
        <v>200.0</v>
      </c>
      <c r="H1405" s="1" t="s">
        <v>966</v>
      </c>
      <c r="I1405" s="1" t="s">
        <v>967</v>
      </c>
      <c r="L1405" s="1">
        <v>0.0</v>
      </c>
      <c r="M1405" s="1">
        <v>0.0</v>
      </c>
      <c r="O1405" s="1">
        <v>0.0</v>
      </c>
      <c r="P1405" s="1">
        <v>0.0</v>
      </c>
      <c r="R1405" s="1">
        <v>0.0</v>
      </c>
      <c r="S1405" s="1">
        <v>0.0</v>
      </c>
      <c r="U1405" s="1">
        <v>0.0</v>
      </c>
      <c r="W1405" s="1">
        <v>0.0</v>
      </c>
      <c r="Y1405" s="1">
        <v>0.0</v>
      </c>
      <c r="AA1405" s="1">
        <v>0.0</v>
      </c>
      <c r="AC1405" s="1">
        <v>0.0</v>
      </c>
      <c r="AM1405" s="1">
        <v>237384.0</v>
      </c>
      <c r="AN1405" s="1">
        <v>237384.0</v>
      </c>
      <c r="AO1405" s="1">
        <v>237384.0</v>
      </c>
      <c r="AP1405" s="1">
        <v>90.937</v>
      </c>
      <c r="AR1405" s="1">
        <v>0.0</v>
      </c>
      <c r="AW1405" s="1">
        <v>0.0</v>
      </c>
      <c r="AX1405" s="1">
        <v>3.0</v>
      </c>
      <c r="AY1405" s="1">
        <v>4.0</v>
      </c>
      <c r="BA1405" s="1">
        <v>0.0</v>
      </c>
      <c r="BB1405" s="1">
        <v>0.0</v>
      </c>
      <c r="BC1405" s="1">
        <v>0.0</v>
      </c>
      <c r="BD1405" s="1">
        <v>0.0</v>
      </c>
      <c r="BE1405" s="1">
        <v>0.0</v>
      </c>
      <c r="BF1405" s="1">
        <v>0.0</v>
      </c>
      <c r="BG1405" s="1">
        <v>0.0</v>
      </c>
      <c r="BH1405" s="1">
        <v>0.0</v>
      </c>
      <c r="BI1405" s="1">
        <v>0.0</v>
      </c>
      <c r="BJ1405" s="1">
        <v>0.0</v>
      </c>
      <c r="BP1405" s="1">
        <v>0.28</v>
      </c>
      <c r="BQ1405" s="1" t="s">
        <v>4761</v>
      </c>
      <c r="BV1405" s="1">
        <v>1.1</v>
      </c>
      <c r="EQ1405" s="9" t="s">
        <v>4760</v>
      </c>
      <c r="ER1405" s="21">
        <v>46045.30055555556</v>
      </c>
    </row>
    <row r="1406">
      <c r="A1406" s="9" t="s">
        <v>4762</v>
      </c>
      <c r="B1406" s="20" t="str">
        <f>IFERROR(__xludf.DUMMYFUNCTION("REGEXREPLACE(A1406, ""^https?://[^/]+"", """")"),"/wp-content/uploads/2019/07/Case-Study_Logistics-1.pdf")</f>
        <v>/wp-content/uploads/2019/07/Case-Study_Logistics-1.pdf</v>
      </c>
      <c r="F1406" s="1" t="s">
        <v>1730</v>
      </c>
      <c r="G1406" s="1">
        <v>200.0</v>
      </c>
      <c r="H1406" s="1" t="s">
        <v>966</v>
      </c>
      <c r="I1406" s="1" t="s">
        <v>967</v>
      </c>
      <c r="L1406" s="1">
        <v>0.0</v>
      </c>
      <c r="M1406" s="1">
        <v>0.0</v>
      </c>
      <c r="O1406" s="1">
        <v>0.0</v>
      </c>
      <c r="P1406" s="1">
        <v>0.0</v>
      </c>
      <c r="R1406" s="1">
        <v>0.0</v>
      </c>
      <c r="S1406" s="1">
        <v>0.0</v>
      </c>
      <c r="U1406" s="1">
        <v>0.0</v>
      </c>
      <c r="W1406" s="1">
        <v>0.0</v>
      </c>
      <c r="Y1406" s="1">
        <v>0.0</v>
      </c>
      <c r="AA1406" s="1">
        <v>0.0</v>
      </c>
      <c r="AC1406" s="1">
        <v>0.0</v>
      </c>
      <c r="AM1406" s="1">
        <v>977387.0</v>
      </c>
      <c r="AN1406" s="1">
        <v>977387.0</v>
      </c>
      <c r="AO1406" s="1">
        <v>977387.0</v>
      </c>
      <c r="AP1406" s="1">
        <v>374.418</v>
      </c>
      <c r="AR1406" s="1">
        <v>0.0</v>
      </c>
      <c r="AW1406" s="1">
        <v>0.0</v>
      </c>
      <c r="AX1406" s="1">
        <v>3.0</v>
      </c>
      <c r="AY1406" s="1">
        <v>4.0</v>
      </c>
      <c r="AZ1406" s="1">
        <v>1.0</v>
      </c>
      <c r="BA1406" s="1">
        <v>1.0</v>
      </c>
      <c r="BB1406" s="1">
        <v>1.0</v>
      </c>
      <c r="BC1406" s="1">
        <v>0.0</v>
      </c>
      <c r="BD1406" s="1">
        <v>0.13</v>
      </c>
      <c r="BE1406" s="1">
        <v>0.0</v>
      </c>
      <c r="BF1406" s="1">
        <v>0.0</v>
      </c>
      <c r="BG1406" s="1">
        <v>0.0</v>
      </c>
      <c r="BH1406" s="1">
        <v>0.0</v>
      </c>
      <c r="BI1406" s="1">
        <v>0.0</v>
      </c>
      <c r="BJ1406" s="1">
        <v>0.0</v>
      </c>
      <c r="BP1406" s="1">
        <v>0.409</v>
      </c>
      <c r="BQ1406" s="1" t="s">
        <v>4763</v>
      </c>
      <c r="BV1406" s="1">
        <v>1.1</v>
      </c>
      <c r="EQ1406" s="9" t="s">
        <v>4762</v>
      </c>
      <c r="ER1406" s="21">
        <v>46045.30055555556</v>
      </c>
    </row>
    <row r="1407">
      <c r="A1407" s="9" t="s">
        <v>4764</v>
      </c>
      <c r="B1407" s="20" t="str">
        <f>IFERROR(__xludf.DUMMYFUNCTION("REGEXREPLACE(A1407, ""^https?://[^/]+"", """")"),"/wp-content/themes/salesxceleratione/assets/css/style.css?ver=1769123502")</f>
        <v>/wp-content/themes/salesxceleratione/assets/css/style.css?ver=1769123502</v>
      </c>
      <c r="F1407" s="1" t="s">
        <v>1016</v>
      </c>
      <c r="G1407" s="1">
        <v>200.0</v>
      </c>
      <c r="H1407" s="1" t="s">
        <v>966</v>
      </c>
      <c r="I1407" s="1" t="s">
        <v>967</v>
      </c>
      <c r="L1407" s="1">
        <v>0.0</v>
      </c>
      <c r="M1407" s="1">
        <v>0.0</v>
      </c>
      <c r="O1407" s="1">
        <v>0.0</v>
      </c>
      <c r="P1407" s="1">
        <v>0.0</v>
      </c>
      <c r="R1407" s="1">
        <v>0.0</v>
      </c>
      <c r="S1407" s="1">
        <v>0.0</v>
      </c>
      <c r="U1407" s="1">
        <v>0.0</v>
      </c>
      <c r="W1407" s="1">
        <v>0.0</v>
      </c>
      <c r="Y1407" s="1">
        <v>0.0</v>
      </c>
      <c r="AA1407" s="1">
        <v>0.0</v>
      </c>
      <c r="AC1407" s="1">
        <v>0.0</v>
      </c>
      <c r="AM1407" s="1">
        <v>17704.0</v>
      </c>
      <c r="AN1407" s="1">
        <v>17704.0</v>
      </c>
      <c r="AO1407" s="1">
        <v>17704.0</v>
      </c>
      <c r="AP1407" s="1">
        <v>6.782</v>
      </c>
      <c r="AR1407" s="1">
        <v>0.0</v>
      </c>
      <c r="AW1407" s="1">
        <v>0.0</v>
      </c>
      <c r="AX1407" s="1">
        <v>3.0</v>
      </c>
      <c r="AY1407" s="1">
        <v>5.0</v>
      </c>
      <c r="BA1407" s="1">
        <v>0.0</v>
      </c>
      <c r="BB1407" s="1">
        <v>0.0</v>
      </c>
      <c r="BC1407" s="1">
        <v>0.0</v>
      </c>
      <c r="BD1407" s="1">
        <v>0.0</v>
      </c>
      <c r="BE1407" s="1">
        <v>0.0</v>
      </c>
      <c r="BF1407" s="1">
        <v>0.0</v>
      </c>
      <c r="BG1407" s="1">
        <v>0.0</v>
      </c>
      <c r="BH1407" s="1">
        <v>0.0</v>
      </c>
      <c r="BI1407" s="1">
        <v>0.0</v>
      </c>
      <c r="BJ1407" s="1">
        <v>0.0</v>
      </c>
      <c r="BP1407" s="1">
        <v>0.252</v>
      </c>
      <c r="BQ1407" s="1" t="s">
        <v>4730</v>
      </c>
      <c r="BV1407" s="1">
        <v>1.1</v>
      </c>
      <c r="EQ1407" s="9" t="s">
        <v>4764</v>
      </c>
      <c r="ER1407" s="21">
        <v>46045.30055555556</v>
      </c>
    </row>
    <row r="1408">
      <c r="A1408" s="9" t="s">
        <v>4765</v>
      </c>
      <c r="B1408" s="20" t="str">
        <f>IFERROR(__xludf.DUMMYFUNCTION("REGEXREPLACE(A1408, ""^https?://[^/]+"", """")"),"/wp-content/uploads/2020/09/cs-distrib-full-1-2048x2048.jpg")</f>
        <v>/wp-content/uploads/2020/09/cs-distrib-full-1-2048x2048.jpg</v>
      </c>
      <c r="F1408" s="1" t="s">
        <v>1004</v>
      </c>
      <c r="G1408" s="1">
        <v>200.0</v>
      </c>
      <c r="H1408" s="1" t="s">
        <v>966</v>
      </c>
      <c r="I1408" s="1" t="s">
        <v>967</v>
      </c>
      <c r="L1408" s="1">
        <v>0.0</v>
      </c>
      <c r="M1408" s="1">
        <v>0.0</v>
      </c>
      <c r="O1408" s="1">
        <v>0.0</v>
      </c>
      <c r="P1408" s="1">
        <v>0.0</v>
      </c>
      <c r="R1408" s="1">
        <v>0.0</v>
      </c>
      <c r="S1408" s="1">
        <v>0.0</v>
      </c>
      <c r="U1408" s="1">
        <v>0.0</v>
      </c>
      <c r="W1408" s="1">
        <v>0.0</v>
      </c>
      <c r="Y1408" s="1">
        <v>0.0</v>
      </c>
      <c r="AA1408" s="1">
        <v>0.0</v>
      </c>
      <c r="AC1408" s="1">
        <v>0.0</v>
      </c>
      <c r="AM1408" s="1">
        <v>468443.0</v>
      </c>
      <c r="AN1408" s="1">
        <v>468443.0</v>
      </c>
      <c r="AO1408" s="1">
        <v>468443.0</v>
      </c>
      <c r="AP1408" s="1">
        <v>179.452</v>
      </c>
      <c r="AR1408" s="1">
        <v>0.0</v>
      </c>
      <c r="AW1408" s="1">
        <v>0.0</v>
      </c>
      <c r="AX1408" s="1">
        <v>3.0</v>
      </c>
      <c r="AY1408" s="1">
        <v>4.0</v>
      </c>
      <c r="BA1408" s="1">
        <v>0.0</v>
      </c>
      <c r="BB1408" s="1">
        <v>0.0</v>
      </c>
      <c r="BC1408" s="1">
        <v>0.0</v>
      </c>
      <c r="BD1408" s="1">
        <v>0.0</v>
      </c>
      <c r="BE1408" s="1">
        <v>0.0</v>
      </c>
      <c r="BF1408" s="1">
        <v>0.0</v>
      </c>
      <c r="BG1408" s="1">
        <v>0.0</v>
      </c>
      <c r="BH1408" s="1">
        <v>0.0</v>
      </c>
      <c r="BI1408" s="1">
        <v>0.0</v>
      </c>
      <c r="BJ1408" s="1">
        <v>0.0</v>
      </c>
      <c r="BP1408" s="1">
        <v>0.268</v>
      </c>
      <c r="BQ1408" s="1" t="s">
        <v>4766</v>
      </c>
      <c r="BV1408" s="1">
        <v>1.1</v>
      </c>
      <c r="EQ1408" s="9" t="s">
        <v>4765</v>
      </c>
      <c r="ER1408" s="21">
        <v>46045.30055555556</v>
      </c>
    </row>
    <row r="1409">
      <c r="A1409" s="9" t="s">
        <v>4767</v>
      </c>
      <c r="B1409" s="20" t="str">
        <f>IFERROR(__xludf.DUMMYFUNCTION("REGEXREPLACE(A1409, ""^https?://[^/]+"", """")"),"/wp-content/uploads/elementor/css/post-28525.css?ver=1768860984")</f>
        <v>/wp-content/uploads/elementor/css/post-28525.css?ver=1768860984</v>
      </c>
      <c r="F1409" s="1" t="s">
        <v>1016</v>
      </c>
      <c r="G1409" s="1">
        <v>200.0</v>
      </c>
      <c r="H1409" s="1" t="s">
        <v>966</v>
      </c>
      <c r="I1409" s="1" t="s">
        <v>967</v>
      </c>
      <c r="L1409" s="1">
        <v>0.0</v>
      </c>
      <c r="M1409" s="1">
        <v>0.0</v>
      </c>
      <c r="O1409" s="1">
        <v>0.0</v>
      </c>
      <c r="P1409" s="1">
        <v>0.0</v>
      </c>
      <c r="R1409" s="1">
        <v>0.0</v>
      </c>
      <c r="S1409" s="1">
        <v>0.0</v>
      </c>
      <c r="U1409" s="1">
        <v>0.0</v>
      </c>
      <c r="W1409" s="1">
        <v>0.0</v>
      </c>
      <c r="Y1409" s="1">
        <v>0.0</v>
      </c>
      <c r="AA1409" s="1">
        <v>0.0</v>
      </c>
      <c r="AC1409" s="1">
        <v>0.0</v>
      </c>
      <c r="AM1409" s="1">
        <v>1147.0</v>
      </c>
      <c r="AN1409" s="1">
        <v>1147.0</v>
      </c>
      <c r="AO1409" s="1">
        <v>1147.0</v>
      </c>
      <c r="AP1409" s="1">
        <v>0.439</v>
      </c>
      <c r="AR1409" s="1">
        <v>0.0</v>
      </c>
      <c r="AW1409" s="1">
        <v>0.0</v>
      </c>
      <c r="AX1409" s="1">
        <v>3.0</v>
      </c>
      <c r="AY1409" s="1">
        <v>4.0</v>
      </c>
      <c r="BA1409" s="1">
        <v>0.0</v>
      </c>
      <c r="BB1409" s="1">
        <v>0.0</v>
      </c>
      <c r="BC1409" s="1">
        <v>0.0</v>
      </c>
      <c r="BD1409" s="1">
        <v>0.0</v>
      </c>
      <c r="BE1409" s="1">
        <v>0.0</v>
      </c>
      <c r="BF1409" s="1">
        <v>0.0</v>
      </c>
      <c r="BG1409" s="1">
        <v>0.0</v>
      </c>
      <c r="BH1409" s="1">
        <v>0.0</v>
      </c>
      <c r="BI1409" s="1">
        <v>0.0</v>
      </c>
      <c r="BJ1409" s="1">
        <v>0.0</v>
      </c>
      <c r="BP1409" s="1">
        <v>0.277</v>
      </c>
      <c r="BQ1409" s="1" t="s">
        <v>4768</v>
      </c>
      <c r="BV1409" s="1">
        <v>1.1</v>
      </c>
      <c r="EQ1409" s="9" t="s">
        <v>4767</v>
      </c>
      <c r="ER1409" s="21">
        <v>46045.30055555556</v>
      </c>
    </row>
    <row r="1410">
      <c r="A1410" s="9" t="s">
        <v>4769</v>
      </c>
      <c r="B1410" s="20" t="str">
        <f>IFERROR(__xludf.DUMMYFUNCTION("REGEXREPLACE(A1410, ""^https?://[^/]+"", """")"),"/wp-content/uploads/2021/09/Case_Study_Public_Relations.pdf")</f>
        <v>/wp-content/uploads/2021/09/Case_Study_Public_Relations.pdf</v>
      </c>
      <c r="F1410" s="1" t="s">
        <v>1730</v>
      </c>
      <c r="G1410" s="1">
        <v>200.0</v>
      </c>
      <c r="H1410" s="1" t="s">
        <v>966</v>
      </c>
      <c r="I1410" s="1" t="s">
        <v>967</v>
      </c>
      <c r="L1410" s="1">
        <v>0.0</v>
      </c>
      <c r="M1410" s="1">
        <v>0.0</v>
      </c>
      <c r="O1410" s="1">
        <v>0.0</v>
      </c>
      <c r="P1410" s="1">
        <v>0.0</v>
      </c>
      <c r="R1410" s="1">
        <v>0.0</v>
      </c>
      <c r="S1410" s="1">
        <v>0.0</v>
      </c>
      <c r="U1410" s="1">
        <v>0.0</v>
      </c>
      <c r="W1410" s="1">
        <v>0.0</v>
      </c>
      <c r="Y1410" s="1">
        <v>0.0</v>
      </c>
      <c r="AA1410" s="1">
        <v>0.0</v>
      </c>
      <c r="AC1410" s="1">
        <v>0.0</v>
      </c>
      <c r="AM1410" s="1">
        <v>802033.0</v>
      </c>
      <c r="AN1410" s="1">
        <v>802033.0</v>
      </c>
      <c r="AO1410" s="1">
        <v>802033.0</v>
      </c>
      <c r="AP1410" s="1">
        <v>307.244</v>
      </c>
      <c r="AR1410" s="1">
        <v>0.0</v>
      </c>
      <c r="AW1410" s="1">
        <v>0.0</v>
      </c>
      <c r="AX1410" s="1">
        <v>3.0</v>
      </c>
      <c r="AY1410" s="1">
        <v>4.0</v>
      </c>
      <c r="AZ1410" s="1">
        <v>1.0</v>
      </c>
      <c r="BA1410" s="1">
        <v>1.0</v>
      </c>
      <c r="BB1410" s="1">
        <v>1.0</v>
      </c>
      <c r="BC1410" s="1">
        <v>0.0</v>
      </c>
      <c r="BD1410" s="1">
        <v>0.13</v>
      </c>
      <c r="BE1410" s="1">
        <v>0.0</v>
      </c>
      <c r="BF1410" s="1">
        <v>0.0</v>
      </c>
      <c r="BG1410" s="1">
        <v>0.0</v>
      </c>
      <c r="BH1410" s="1">
        <v>0.0</v>
      </c>
      <c r="BI1410" s="1">
        <v>0.0</v>
      </c>
      <c r="BJ1410" s="1">
        <v>0.0</v>
      </c>
      <c r="BP1410" s="1">
        <v>0.247</v>
      </c>
      <c r="BQ1410" s="1" t="s">
        <v>4770</v>
      </c>
      <c r="BV1410" s="1">
        <v>1.1</v>
      </c>
      <c r="EQ1410" s="9" t="s">
        <v>4769</v>
      </c>
      <c r="ER1410" s="21">
        <v>46045.30056712963</v>
      </c>
    </row>
    <row r="1411">
      <c r="A1411" s="9" t="s">
        <v>4771</v>
      </c>
      <c r="B1411" s="20" t="str">
        <f>IFERROR(__xludf.DUMMYFUNCTION("REGEXREPLACE(A1411, ""^https?://[^/]+"", """")"),"/wp-content/uploads/2019/10/pr-case-study-1.jpg")</f>
        <v>/wp-content/uploads/2019/10/pr-case-study-1.jpg</v>
      </c>
      <c r="F1411" s="1" t="s">
        <v>1004</v>
      </c>
      <c r="G1411" s="1">
        <v>200.0</v>
      </c>
      <c r="H1411" s="1" t="s">
        <v>966</v>
      </c>
      <c r="I1411" s="1" t="s">
        <v>967</v>
      </c>
      <c r="L1411" s="1">
        <v>0.0</v>
      </c>
      <c r="M1411" s="1">
        <v>0.0</v>
      </c>
      <c r="O1411" s="1">
        <v>0.0</v>
      </c>
      <c r="P1411" s="1">
        <v>0.0</v>
      </c>
      <c r="R1411" s="1">
        <v>0.0</v>
      </c>
      <c r="S1411" s="1">
        <v>0.0</v>
      </c>
      <c r="U1411" s="1">
        <v>0.0</v>
      </c>
      <c r="W1411" s="1">
        <v>0.0</v>
      </c>
      <c r="Y1411" s="1">
        <v>0.0</v>
      </c>
      <c r="AA1411" s="1">
        <v>0.0</v>
      </c>
      <c r="AC1411" s="1">
        <v>0.0</v>
      </c>
      <c r="AM1411" s="1">
        <v>218941.0</v>
      </c>
      <c r="AN1411" s="1">
        <v>218941.0</v>
      </c>
      <c r="AO1411" s="1">
        <v>218941.0</v>
      </c>
      <c r="AP1411" s="1">
        <v>83.872</v>
      </c>
      <c r="AR1411" s="1">
        <v>0.0</v>
      </c>
      <c r="AW1411" s="1">
        <v>0.0</v>
      </c>
      <c r="AX1411" s="1">
        <v>3.0</v>
      </c>
      <c r="AY1411" s="1">
        <v>4.0</v>
      </c>
      <c r="BA1411" s="1">
        <v>0.0</v>
      </c>
      <c r="BB1411" s="1">
        <v>0.0</v>
      </c>
      <c r="BC1411" s="1">
        <v>0.0</v>
      </c>
      <c r="BD1411" s="1">
        <v>0.0</v>
      </c>
      <c r="BE1411" s="1">
        <v>0.0</v>
      </c>
      <c r="BF1411" s="1">
        <v>0.0</v>
      </c>
      <c r="BG1411" s="1">
        <v>0.0</v>
      </c>
      <c r="BH1411" s="1">
        <v>0.0</v>
      </c>
      <c r="BI1411" s="1">
        <v>0.0</v>
      </c>
      <c r="BJ1411" s="1">
        <v>0.0</v>
      </c>
      <c r="BP1411" s="1">
        <v>0.275</v>
      </c>
      <c r="BQ1411" s="1" t="s">
        <v>4772</v>
      </c>
      <c r="BV1411" s="1">
        <v>1.1</v>
      </c>
      <c r="EQ1411" s="9" t="s">
        <v>4771</v>
      </c>
      <c r="ER1411" s="21">
        <v>46045.30056712963</v>
      </c>
    </row>
    <row r="1412">
      <c r="A1412" s="9" t="s">
        <v>4773</v>
      </c>
      <c r="B1412" s="20" t="str">
        <f>IFERROR(__xludf.DUMMYFUNCTION("REGEXREPLACE(A1412, ""^https?://[^/]+"", """")"),"/wp-content/uploads/elementor/css/post-19018.css?ver=1768862536")</f>
        <v>/wp-content/uploads/elementor/css/post-19018.css?ver=1768862536</v>
      </c>
      <c r="F1412" s="1" t="s">
        <v>1016</v>
      </c>
      <c r="G1412" s="1">
        <v>200.0</v>
      </c>
      <c r="H1412" s="1" t="s">
        <v>966</v>
      </c>
      <c r="I1412" s="1" t="s">
        <v>967</v>
      </c>
      <c r="L1412" s="1">
        <v>0.0</v>
      </c>
      <c r="M1412" s="1">
        <v>0.0</v>
      </c>
      <c r="O1412" s="1">
        <v>0.0</v>
      </c>
      <c r="P1412" s="1">
        <v>0.0</v>
      </c>
      <c r="R1412" s="1">
        <v>0.0</v>
      </c>
      <c r="S1412" s="1">
        <v>0.0</v>
      </c>
      <c r="U1412" s="1">
        <v>0.0</v>
      </c>
      <c r="W1412" s="1">
        <v>0.0</v>
      </c>
      <c r="Y1412" s="1">
        <v>0.0</v>
      </c>
      <c r="AA1412" s="1">
        <v>0.0</v>
      </c>
      <c r="AC1412" s="1">
        <v>0.0</v>
      </c>
      <c r="AM1412" s="1">
        <v>1080.0</v>
      </c>
      <c r="AN1412" s="1">
        <v>1080.0</v>
      </c>
      <c r="AO1412" s="1">
        <v>1080.0</v>
      </c>
      <c r="AP1412" s="1">
        <v>0.414</v>
      </c>
      <c r="AR1412" s="1">
        <v>0.0</v>
      </c>
      <c r="AW1412" s="1">
        <v>0.0</v>
      </c>
      <c r="AX1412" s="1">
        <v>3.0</v>
      </c>
      <c r="AY1412" s="1">
        <v>4.0</v>
      </c>
      <c r="BA1412" s="1">
        <v>0.0</v>
      </c>
      <c r="BB1412" s="1">
        <v>0.0</v>
      </c>
      <c r="BC1412" s="1">
        <v>0.0</v>
      </c>
      <c r="BD1412" s="1">
        <v>0.0</v>
      </c>
      <c r="BE1412" s="1">
        <v>0.0</v>
      </c>
      <c r="BF1412" s="1">
        <v>0.0</v>
      </c>
      <c r="BG1412" s="1">
        <v>0.0</v>
      </c>
      <c r="BH1412" s="1">
        <v>0.0</v>
      </c>
      <c r="BI1412" s="1">
        <v>0.0</v>
      </c>
      <c r="BJ1412" s="1">
        <v>0.0</v>
      </c>
      <c r="BP1412" s="1">
        <v>0.278</v>
      </c>
      <c r="BQ1412" s="1" t="s">
        <v>4774</v>
      </c>
      <c r="BV1412" s="1">
        <v>1.1</v>
      </c>
      <c r="EQ1412" s="9" t="s">
        <v>4773</v>
      </c>
      <c r="ER1412" s="21">
        <v>46045.30056712963</v>
      </c>
    </row>
    <row r="1413">
      <c r="A1413" s="9" t="s">
        <v>4775</v>
      </c>
      <c r="B1413" s="20" t="str">
        <f>IFERROR(__xludf.DUMMYFUNCTION("REGEXREPLACE(A1413, ""^https?://[^/]+"", """")"),"/wp-content/uploads/2023/08/Driving-Sales-Efficiency-Through-Strategic-Transformation-Manufacturing-Case-Study_SX.pdf")</f>
        <v>/wp-content/uploads/2023/08/Driving-Sales-Efficiency-Through-Strategic-Transformation-Manufacturing-Case-Study_SX.pdf</v>
      </c>
      <c r="F1413" s="1" t="s">
        <v>1730</v>
      </c>
      <c r="G1413" s="1">
        <v>200.0</v>
      </c>
      <c r="H1413" s="1" t="s">
        <v>966</v>
      </c>
      <c r="I1413" s="1" t="s">
        <v>967</v>
      </c>
      <c r="K1413" s="1" t="s">
        <v>4776</v>
      </c>
      <c r="L1413" s="1">
        <v>83.0</v>
      </c>
      <c r="M1413" s="1">
        <v>762.0</v>
      </c>
      <c r="O1413" s="1">
        <v>0.0</v>
      </c>
      <c r="P1413" s="1">
        <v>0.0</v>
      </c>
      <c r="R1413" s="1">
        <v>0.0</v>
      </c>
      <c r="S1413" s="1">
        <v>0.0</v>
      </c>
      <c r="T1413" s="1" t="s">
        <v>4777</v>
      </c>
      <c r="U1413" s="1">
        <v>23.0</v>
      </c>
      <c r="W1413" s="1">
        <v>0.0</v>
      </c>
      <c r="Y1413" s="1">
        <v>0.0</v>
      </c>
      <c r="AA1413" s="1">
        <v>0.0</v>
      </c>
      <c r="AC1413" s="1">
        <v>0.0</v>
      </c>
      <c r="AM1413" s="1">
        <v>787082.0</v>
      </c>
      <c r="AN1413" s="1">
        <v>787082.0</v>
      </c>
      <c r="AO1413" s="1">
        <v>787082.0</v>
      </c>
      <c r="AP1413" s="1">
        <v>301.516</v>
      </c>
      <c r="AR1413" s="1">
        <v>0.0</v>
      </c>
      <c r="AW1413" s="1">
        <v>0.0</v>
      </c>
      <c r="AX1413" s="1">
        <v>3.0</v>
      </c>
      <c r="AY1413" s="1">
        <v>4.0</v>
      </c>
      <c r="AZ1413" s="1">
        <v>1.0</v>
      </c>
      <c r="BA1413" s="1">
        <v>1.0</v>
      </c>
      <c r="BB1413" s="1">
        <v>1.0</v>
      </c>
      <c r="BC1413" s="1">
        <v>0.0</v>
      </c>
      <c r="BD1413" s="1">
        <v>0.13</v>
      </c>
      <c r="BE1413" s="1">
        <v>0.0</v>
      </c>
      <c r="BF1413" s="1">
        <v>0.0</v>
      </c>
      <c r="BG1413" s="1">
        <v>0.0</v>
      </c>
      <c r="BH1413" s="1">
        <v>0.0</v>
      </c>
      <c r="BI1413" s="1">
        <v>0.0</v>
      </c>
      <c r="BJ1413" s="1">
        <v>0.0</v>
      </c>
      <c r="BP1413" s="1">
        <v>0.284</v>
      </c>
      <c r="BQ1413" s="1" t="s">
        <v>4778</v>
      </c>
      <c r="BV1413" s="1">
        <v>1.1</v>
      </c>
      <c r="EQ1413" s="9" t="s">
        <v>4775</v>
      </c>
      <c r="ER1413" s="21">
        <v>46045.30056712963</v>
      </c>
    </row>
    <row r="1414">
      <c r="A1414" s="9" t="s">
        <v>4779</v>
      </c>
      <c r="B1414" s="20" t="str">
        <f>IFERROR(__xludf.DUMMYFUNCTION("REGEXREPLACE(A1414, ""^https?://[^/]+"", """")"),"/wp-content/themes/salesxceleratione/assets/css/style.css?ver=1769123503")</f>
        <v>/wp-content/themes/salesxceleratione/assets/css/style.css?ver=1769123503</v>
      </c>
      <c r="F1414" s="1" t="s">
        <v>1016</v>
      </c>
      <c r="G1414" s="1">
        <v>200.0</v>
      </c>
      <c r="H1414" s="1" t="s">
        <v>966</v>
      </c>
      <c r="I1414" s="1" t="s">
        <v>967</v>
      </c>
      <c r="L1414" s="1">
        <v>0.0</v>
      </c>
      <c r="M1414" s="1">
        <v>0.0</v>
      </c>
      <c r="O1414" s="1">
        <v>0.0</v>
      </c>
      <c r="P1414" s="1">
        <v>0.0</v>
      </c>
      <c r="R1414" s="1">
        <v>0.0</v>
      </c>
      <c r="S1414" s="1">
        <v>0.0</v>
      </c>
      <c r="U1414" s="1">
        <v>0.0</v>
      </c>
      <c r="W1414" s="1">
        <v>0.0</v>
      </c>
      <c r="Y1414" s="1">
        <v>0.0</v>
      </c>
      <c r="AA1414" s="1">
        <v>0.0</v>
      </c>
      <c r="AC1414" s="1">
        <v>0.0</v>
      </c>
      <c r="AM1414" s="1">
        <v>17704.0</v>
      </c>
      <c r="AN1414" s="1">
        <v>17704.0</v>
      </c>
      <c r="AO1414" s="1">
        <v>17704.0</v>
      </c>
      <c r="AP1414" s="1">
        <v>6.782</v>
      </c>
      <c r="AR1414" s="1">
        <v>0.0</v>
      </c>
      <c r="AW1414" s="1">
        <v>0.0</v>
      </c>
      <c r="AX1414" s="1">
        <v>3.0</v>
      </c>
      <c r="AY1414" s="1">
        <v>5.0</v>
      </c>
      <c r="BA1414" s="1">
        <v>0.0</v>
      </c>
      <c r="BB1414" s="1">
        <v>0.0</v>
      </c>
      <c r="BC1414" s="1">
        <v>0.0</v>
      </c>
      <c r="BD1414" s="1">
        <v>0.0</v>
      </c>
      <c r="BE1414" s="1">
        <v>0.0</v>
      </c>
      <c r="BF1414" s="1">
        <v>0.0</v>
      </c>
      <c r="BG1414" s="1">
        <v>0.0</v>
      </c>
      <c r="BH1414" s="1">
        <v>0.0</v>
      </c>
      <c r="BI1414" s="1">
        <v>0.0</v>
      </c>
      <c r="BJ1414" s="1">
        <v>0.0</v>
      </c>
      <c r="BP1414" s="1">
        <v>0.251</v>
      </c>
      <c r="BQ1414" s="1" t="s">
        <v>4780</v>
      </c>
      <c r="BV1414" s="1">
        <v>1.1</v>
      </c>
      <c r="EQ1414" s="9" t="s">
        <v>4779</v>
      </c>
      <c r="ER1414" s="21">
        <v>46045.30056712963</v>
      </c>
    </row>
    <row r="1415">
      <c r="A1415" s="9" t="s">
        <v>4781</v>
      </c>
      <c r="B1415" s="20" t="str">
        <f>IFERROR(__xludf.DUMMYFUNCTION("REGEXREPLACE(A1415, ""^https?://[^/]+"", """")"),"/wp-content/uploads/2019/11/construction-onepage-1.jpg")</f>
        <v>/wp-content/uploads/2019/11/construction-onepage-1.jpg</v>
      </c>
      <c r="F1415" s="1" t="s">
        <v>1004</v>
      </c>
      <c r="G1415" s="1">
        <v>200.0</v>
      </c>
      <c r="H1415" s="1" t="s">
        <v>966</v>
      </c>
      <c r="I1415" s="1" t="s">
        <v>967</v>
      </c>
      <c r="L1415" s="1">
        <v>0.0</v>
      </c>
      <c r="M1415" s="1">
        <v>0.0</v>
      </c>
      <c r="O1415" s="1">
        <v>0.0</v>
      </c>
      <c r="P1415" s="1">
        <v>0.0</v>
      </c>
      <c r="R1415" s="1">
        <v>0.0</v>
      </c>
      <c r="S1415" s="1">
        <v>0.0</v>
      </c>
      <c r="U1415" s="1">
        <v>0.0</v>
      </c>
      <c r="W1415" s="1">
        <v>0.0</v>
      </c>
      <c r="Y1415" s="1">
        <v>0.0</v>
      </c>
      <c r="AA1415" s="1">
        <v>0.0</v>
      </c>
      <c r="AC1415" s="1">
        <v>0.0</v>
      </c>
      <c r="AM1415" s="1">
        <v>160269.0</v>
      </c>
      <c r="AN1415" s="1">
        <v>160269.0</v>
      </c>
      <c r="AO1415" s="1">
        <v>160269.0</v>
      </c>
      <c r="AP1415" s="1">
        <v>61.396</v>
      </c>
      <c r="AR1415" s="1">
        <v>0.0</v>
      </c>
      <c r="AW1415" s="1">
        <v>0.0</v>
      </c>
      <c r="AX1415" s="1">
        <v>3.0</v>
      </c>
      <c r="AY1415" s="1">
        <v>4.0</v>
      </c>
      <c r="BA1415" s="1">
        <v>0.0</v>
      </c>
      <c r="BB1415" s="1">
        <v>0.0</v>
      </c>
      <c r="BC1415" s="1">
        <v>0.0</v>
      </c>
      <c r="BD1415" s="1">
        <v>0.0</v>
      </c>
      <c r="BE1415" s="1">
        <v>0.0</v>
      </c>
      <c r="BF1415" s="1">
        <v>0.0</v>
      </c>
      <c r="BG1415" s="1">
        <v>0.0</v>
      </c>
      <c r="BH1415" s="1">
        <v>0.0</v>
      </c>
      <c r="BI1415" s="1">
        <v>0.0</v>
      </c>
      <c r="BJ1415" s="1">
        <v>0.0</v>
      </c>
      <c r="BP1415" s="1">
        <v>0.271</v>
      </c>
      <c r="BQ1415" s="1" t="s">
        <v>4782</v>
      </c>
      <c r="BV1415" s="1">
        <v>1.1</v>
      </c>
      <c r="EQ1415" s="9" t="s">
        <v>4781</v>
      </c>
      <c r="ER1415" s="21">
        <v>46045.30056712963</v>
      </c>
    </row>
    <row r="1416">
      <c r="A1416" s="9" t="s">
        <v>4783</v>
      </c>
      <c r="B1416" s="20" t="str">
        <f>IFERROR(__xludf.DUMMYFUNCTION("REGEXREPLACE(A1416, ""^https?://[^/]+"", """")"),"/wp-content/uploads/elementor/css/post-69843.css?ver=1768862530")</f>
        <v>/wp-content/uploads/elementor/css/post-69843.css?ver=1768862530</v>
      </c>
      <c r="F1416" s="1" t="s">
        <v>1016</v>
      </c>
      <c r="G1416" s="1">
        <v>200.0</v>
      </c>
      <c r="H1416" s="1" t="s">
        <v>966</v>
      </c>
      <c r="I1416" s="1" t="s">
        <v>967</v>
      </c>
      <c r="L1416" s="1">
        <v>0.0</v>
      </c>
      <c r="M1416" s="1">
        <v>0.0</v>
      </c>
      <c r="O1416" s="1">
        <v>0.0</v>
      </c>
      <c r="P1416" s="1">
        <v>0.0</v>
      </c>
      <c r="R1416" s="1">
        <v>0.0</v>
      </c>
      <c r="S1416" s="1">
        <v>0.0</v>
      </c>
      <c r="U1416" s="1">
        <v>0.0</v>
      </c>
      <c r="W1416" s="1">
        <v>0.0</v>
      </c>
      <c r="Y1416" s="1">
        <v>0.0</v>
      </c>
      <c r="AA1416" s="1">
        <v>0.0</v>
      </c>
      <c r="AC1416" s="1">
        <v>0.0</v>
      </c>
      <c r="AM1416" s="1">
        <v>1194.0</v>
      </c>
      <c r="AN1416" s="1">
        <v>1194.0</v>
      </c>
      <c r="AO1416" s="1">
        <v>1194.0</v>
      </c>
      <c r="AP1416" s="1">
        <v>0.457</v>
      </c>
      <c r="AR1416" s="1">
        <v>0.0</v>
      </c>
      <c r="AW1416" s="1">
        <v>0.0</v>
      </c>
      <c r="AX1416" s="1">
        <v>3.0</v>
      </c>
      <c r="AY1416" s="1">
        <v>4.0</v>
      </c>
      <c r="BA1416" s="1">
        <v>0.0</v>
      </c>
      <c r="BB1416" s="1">
        <v>0.0</v>
      </c>
      <c r="BC1416" s="1">
        <v>0.0</v>
      </c>
      <c r="BD1416" s="1">
        <v>0.0</v>
      </c>
      <c r="BE1416" s="1">
        <v>0.0</v>
      </c>
      <c r="BF1416" s="1">
        <v>0.0</v>
      </c>
      <c r="BG1416" s="1">
        <v>0.0</v>
      </c>
      <c r="BH1416" s="1">
        <v>0.0</v>
      </c>
      <c r="BI1416" s="1">
        <v>0.0</v>
      </c>
      <c r="BJ1416" s="1">
        <v>0.0</v>
      </c>
      <c r="BP1416" s="1">
        <v>0.244</v>
      </c>
      <c r="BQ1416" s="1" t="s">
        <v>4784</v>
      </c>
      <c r="BV1416" s="1">
        <v>1.1</v>
      </c>
      <c r="EQ1416" s="9" t="s">
        <v>4783</v>
      </c>
      <c r="ER1416" s="21">
        <v>46045.30056712963</v>
      </c>
    </row>
    <row r="1417">
      <c r="A1417" s="9" t="s">
        <v>4785</v>
      </c>
      <c r="B1417" s="20" t="str">
        <f>IFERROR(__xludf.DUMMYFUNCTION("REGEXREPLACE(A1417, ""^https?://[^/]+"", """")"),"/wp-content/uploads/2025/07/Early-Education-Thumbnail.jpg")</f>
        <v>/wp-content/uploads/2025/07/Early-Education-Thumbnail.jpg</v>
      </c>
      <c r="F1417" s="1" t="s">
        <v>1004</v>
      </c>
      <c r="G1417" s="1">
        <v>200.0</v>
      </c>
      <c r="H1417" s="1" t="s">
        <v>966</v>
      </c>
      <c r="I1417" s="1" t="s">
        <v>967</v>
      </c>
      <c r="L1417" s="1">
        <v>0.0</v>
      </c>
      <c r="M1417" s="1">
        <v>0.0</v>
      </c>
      <c r="O1417" s="1">
        <v>0.0</v>
      </c>
      <c r="P1417" s="1">
        <v>0.0</v>
      </c>
      <c r="R1417" s="1">
        <v>0.0</v>
      </c>
      <c r="S1417" s="1">
        <v>0.0</v>
      </c>
      <c r="U1417" s="1">
        <v>0.0</v>
      </c>
      <c r="W1417" s="1">
        <v>0.0</v>
      </c>
      <c r="Y1417" s="1">
        <v>0.0</v>
      </c>
      <c r="AA1417" s="1">
        <v>0.0</v>
      </c>
      <c r="AC1417" s="1">
        <v>0.0</v>
      </c>
      <c r="AM1417" s="1">
        <v>95197.0</v>
      </c>
      <c r="AN1417" s="1">
        <v>95197.0</v>
      </c>
      <c r="AO1417" s="1">
        <v>95197.0</v>
      </c>
      <c r="AP1417" s="1">
        <v>36.468</v>
      </c>
      <c r="AR1417" s="1">
        <v>0.0</v>
      </c>
      <c r="AW1417" s="1">
        <v>0.0</v>
      </c>
      <c r="AX1417" s="1">
        <v>3.0</v>
      </c>
      <c r="AY1417" s="1">
        <v>4.0</v>
      </c>
      <c r="BA1417" s="1">
        <v>0.0</v>
      </c>
      <c r="BB1417" s="1">
        <v>0.0</v>
      </c>
      <c r="BC1417" s="1">
        <v>0.0</v>
      </c>
      <c r="BD1417" s="1">
        <v>0.0</v>
      </c>
      <c r="BE1417" s="1">
        <v>0.0</v>
      </c>
      <c r="BF1417" s="1">
        <v>0.0</v>
      </c>
      <c r="BG1417" s="1">
        <v>0.0</v>
      </c>
      <c r="BH1417" s="1">
        <v>0.0</v>
      </c>
      <c r="BI1417" s="1">
        <v>0.0</v>
      </c>
      <c r="BJ1417" s="1">
        <v>0.0</v>
      </c>
      <c r="BP1417" s="1">
        <v>0.273</v>
      </c>
      <c r="BQ1417" s="1" t="s">
        <v>3455</v>
      </c>
      <c r="BV1417" s="1">
        <v>1.1</v>
      </c>
      <c r="EQ1417" s="9" t="s">
        <v>4785</v>
      </c>
      <c r="ER1417" s="21">
        <v>46045.30056712963</v>
      </c>
    </row>
    <row r="1418">
      <c r="A1418" s="9" t="s">
        <v>4786</v>
      </c>
      <c r="B1418" s="20" t="str">
        <f>IFERROR(__xludf.DUMMYFUNCTION("REGEXREPLACE(A1418, ""^https?://[^/]+"", """")"),"/wp-content/uploads/elementor/css/post-26154.css?ver=1768858960")</f>
        <v>/wp-content/uploads/elementor/css/post-26154.css?ver=1768858960</v>
      </c>
      <c r="F1418" s="1" t="s">
        <v>1016</v>
      </c>
      <c r="G1418" s="1">
        <v>200.0</v>
      </c>
      <c r="H1418" s="1" t="s">
        <v>966</v>
      </c>
      <c r="I1418" s="1" t="s">
        <v>967</v>
      </c>
      <c r="L1418" s="1">
        <v>0.0</v>
      </c>
      <c r="M1418" s="1">
        <v>0.0</v>
      </c>
      <c r="O1418" s="1">
        <v>0.0</v>
      </c>
      <c r="P1418" s="1">
        <v>0.0</v>
      </c>
      <c r="R1418" s="1">
        <v>0.0</v>
      </c>
      <c r="S1418" s="1">
        <v>0.0</v>
      </c>
      <c r="U1418" s="1">
        <v>0.0</v>
      </c>
      <c r="W1418" s="1">
        <v>0.0</v>
      </c>
      <c r="Y1418" s="1">
        <v>0.0</v>
      </c>
      <c r="AA1418" s="1">
        <v>0.0</v>
      </c>
      <c r="AC1418" s="1">
        <v>0.0</v>
      </c>
      <c r="AM1418" s="1">
        <v>1260.0</v>
      </c>
      <c r="AN1418" s="1">
        <v>1260.0</v>
      </c>
      <c r="AO1418" s="1">
        <v>1260.0</v>
      </c>
      <c r="AP1418" s="1">
        <v>0.483</v>
      </c>
      <c r="AR1418" s="1">
        <v>0.0</v>
      </c>
      <c r="AW1418" s="1">
        <v>0.0</v>
      </c>
      <c r="AX1418" s="1">
        <v>3.0</v>
      </c>
      <c r="AY1418" s="1">
        <v>4.0</v>
      </c>
      <c r="BA1418" s="1">
        <v>0.0</v>
      </c>
      <c r="BB1418" s="1">
        <v>0.0</v>
      </c>
      <c r="BC1418" s="1">
        <v>0.0</v>
      </c>
      <c r="BD1418" s="1">
        <v>0.0</v>
      </c>
      <c r="BE1418" s="1">
        <v>0.0</v>
      </c>
      <c r="BF1418" s="1">
        <v>0.0</v>
      </c>
      <c r="BG1418" s="1">
        <v>0.0</v>
      </c>
      <c r="BH1418" s="1">
        <v>0.0</v>
      </c>
      <c r="BI1418" s="1">
        <v>0.0</v>
      </c>
      <c r="BJ1418" s="1">
        <v>0.0</v>
      </c>
      <c r="BP1418" s="1">
        <v>0.268</v>
      </c>
      <c r="BQ1418" s="1" t="s">
        <v>4787</v>
      </c>
      <c r="BV1418" s="1">
        <v>1.1</v>
      </c>
      <c r="EQ1418" s="9" t="s">
        <v>4786</v>
      </c>
      <c r="ER1418" s="21">
        <v>46045.30056712963</v>
      </c>
    </row>
    <row r="1419">
      <c r="A1419" s="9" t="s">
        <v>4788</v>
      </c>
      <c r="B1419" s="20" t="str">
        <f>IFERROR(__xludf.DUMMYFUNCTION("REGEXREPLACE(A1419, ""^https?://[^/]+"", """")"),"/wp-content/uploads/2025/07/Transforming-Early-Education-Sales-Success-18-Year-Over-Year-Revenue-Growth.pdf")</f>
        <v>/wp-content/uploads/2025/07/Transforming-Early-Education-Sales-Success-18-Year-Over-Year-Revenue-Growth.pdf</v>
      </c>
      <c r="F1419" s="1" t="s">
        <v>1730</v>
      </c>
      <c r="G1419" s="1">
        <v>200.0</v>
      </c>
      <c r="H1419" s="1" t="s">
        <v>966</v>
      </c>
      <c r="I1419" s="1" t="s">
        <v>967</v>
      </c>
      <c r="K1419" s="1" t="s">
        <v>4789</v>
      </c>
      <c r="L1419" s="1">
        <v>77.0</v>
      </c>
      <c r="M1419" s="1">
        <v>735.0</v>
      </c>
      <c r="O1419" s="1">
        <v>0.0</v>
      </c>
      <c r="P1419" s="1">
        <v>0.0</v>
      </c>
      <c r="R1419" s="1">
        <v>0.0</v>
      </c>
      <c r="S1419" s="1">
        <v>0.0</v>
      </c>
      <c r="T1419" s="1" t="s">
        <v>4790</v>
      </c>
      <c r="U1419" s="1">
        <v>25.0</v>
      </c>
      <c r="W1419" s="1">
        <v>0.0</v>
      </c>
      <c r="Y1419" s="1">
        <v>0.0</v>
      </c>
      <c r="AA1419" s="1">
        <v>0.0</v>
      </c>
      <c r="AC1419" s="1">
        <v>0.0</v>
      </c>
      <c r="AM1419" s="1">
        <v>989264.0</v>
      </c>
      <c r="AN1419" s="1">
        <v>989264.0</v>
      </c>
      <c r="AO1419" s="1">
        <v>989264.0</v>
      </c>
      <c r="AP1419" s="1">
        <v>378.968</v>
      </c>
      <c r="AR1419" s="1">
        <v>0.0</v>
      </c>
      <c r="AW1419" s="1">
        <v>0.0</v>
      </c>
      <c r="AX1419" s="1">
        <v>3.0</v>
      </c>
      <c r="AY1419" s="1">
        <v>4.0</v>
      </c>
      <c r="AZ1419" s="1">
        <v>1.0</v>
      </c>
      <c r="BA1419" s="1">
        <v>1.0</v>
      </c>
      <c r="BB1419" s="1">
        <v>1.0</v>
      </c>
      <c r="BC1419" s="1">
        <v>0.0</v>
      </c>
      <c r="BD1419" s="1">
        <v>0.13</v>
      </c>
      <c r="BE1419" s="1">
        <v>0.0</v>
      </c>
      <c r="BF1419" s="1">
        <v>0.0</v>
      </c>
      <c r="BG1419" s="1">
        <v>0.0</v>
      </c>
      <c r="BH1419" s="1">
        <v>0.0</v>
      </c>
      <c r="BI1419" s="1">
        <v>0.0</v>
      </c>
      <c r="BJ1419" s="1">
        <v>0.0</v>
      </c>
      <c r="BP1419" s="1">
        <v>0.267</v>
      </c>
      <c r="BQ1419" s="1" t="s">
        <v>4791</v>
      </c>
      <c r="BV1419" s="1">
        <v>1.1</v>
      </c>
      <c r="EQ1419" s="9" t="s">
        <v>4788</v>
      </c>
      <c r="ER1419" s="21">
        <v>46045.30056712963</v>
      </c>
    </row>
    <row r="1420">
      <c r="A1420" s="9" t="s">
        <v>4792</v>
      </c>
      <c r="B1420" s="20" t="str">
        <f>IFERROR(__xludf.DUMMYFUNCTION("REGEXREPLACE(A1420, ""^https?://[^/]+"", """")"),"/wp-content/uploads/elementor/css/post-18447.css?ver=1768914655")</f>
        <v>/wp-content/uploads/elementor/css/post-18447.css?ver=1768914655</v>
      </c>
      <c r="F1420" s="1" t="s">
        <v>1016</v>
      </c>
      <c r="G1420" s="1">
        <v>200.0</v>
      </c>
      <c r="H1420" s="1" t="s">
        <v>966</v>
      </c>
      <c r="I1420" s="1" t="s">
        <v>967</v>
      </c>
      <c r="L1420" s="1">
        <v>0.0</v>
      </c>
      <c r="M1420" s="1">
        <v>0.0</v>
      </c>
      <c r="O1420" s="1">
        <v>0.0</v>
      </c>
      <c r="P1420" s="1">
        <v>0.0</v>
      </c>
      <c r="R1420" s="1">
        <v>0.0</v>
      </c>
      <c r="S1420" s="1">
        <v>0.0</v>
      </c>
      <c r="U1420" s="1">
        <v>0.0</v>
      </c>
      <c r="W1420" s="1">
        <v>0.0</v>
      </c>
      <c r="Y1420" s="1">
        <v>0.0</v>
      </c>
      <c r="AA1420" s="1">
        <v>0.0</v>
      </c>
      <c r="AC1420" s="1">
        <v>0.0</v>
      </c>
      <c r="AM1420" s="1">
        <v>1153.0</v>
      </c>
      <c r="AN1420" s="1">
        <v>1153.0</v>
      </c>
      <c r="AO1420" s="1">
        <v>1153.0</v>
      </c>
      <c r="AP1420" s="1">
        <v>0.442</v>
      </c>
      <c r="AR1420" s="1">
        <v>0.0</v>
      </c>
      <c r="AW1420" s="1">
        <v>0.0</v>
      </c>
      <c r="AX1420" s="1">
        <v>3.0</v>
      </c>
      <c r="AY1420" s="1">
        <v>4.0</v>
      </c>
      <c r="BA1420" s="1">
        <v>0.0</v>
      </c>
      <c r="BB1420" s="1">
        <v>0.0</v>
      </c>
      <c r="BC1420" s="1">
        <v>0.0</v>
      </c>
      <c r="BD1420" s="1">
        <v>0.0</v>
      </c>
      <c r="BE1420" s="1">
        <v>0.0</v>
      </c>
      <c r="BF1420" s="1">
        <v>0.0</v>
      </c>
      <c r="BG1420" s="1">
        <v>0.0</v>
      </c>
      <c r="BH1420" s="1">
        <v>0.0</v>
      </c>
      <c r="BI1420" s="1">
        <v>0.0</v>
      </c>
      <c r="BJ1420" s="1">
        <v>0.0</v>
      </c>
      <c r="BP1420" s="1">
        <v>0.265</v>
      </c>
      <c r="BQ1420" s="1" t="s">
        <v>4793</v>
      </c>
      <c r="BV1420" s="1">
        <v>1.1</v>
      </c>
      <c r="EQ1420" s="9" t="s">
        <v>4792</v>
      </c>
      <c r="ER1420" s="21">
        <v>46045.30056712963</v>
      </c>
    </row>
    <row r="1421">
      <c r="A1421" s="9" t="s">
        <v>4794</v>
      </c>
      <c r="B1421" s="20" t="str">
        <f>IFERROR(__xludf.DUMMYFUNCTION("REGEXREPLACE(A1421, ""^https?://[^/]+"", """")"),"/wp-content/uploads/2025/01/go-to-market-manufacturing-case-study.pdf")</f>
        <v>/wp-content/uploads/2025/01/go-to-market-manufacturing-case-study.pdf</v>
      </c>
      <c r="F1421" s="1" t="s">
        <v>1730</v>
      </c>
      <c r="G1421" s="1">
        <v>200.0</v>
      </c>
      <c r="H1421" s="1" t="s">
        <v>966</v>
      </c>
      <c r="I1421" s="1" t="s">
        <v>967</v>
      </c>
      <c r="K1421" s="1" t="s">
        <v>4795</v>
      </c>
      <c r="L1421" s="1">
        <v>22.0</v>
      </c>
      <c r="M1421" s="1">
        <v>216.0</v>
      </c>
      <c r="O1421" s="1">
        <v>0.0</v>
      </c>
      <c r="P1421" s="1">
        <v>0.0</v>
      </c>
      <c r="R1421" s="1">
        <v>0.0</v>
      </c>
      <c r="S1421" s="1">
        <v>0.0</v>
      </c>
      <c r="T1421" s="1" t="s">
        <v>4796</v>
      </c>
      <c r="U1421" s="1">
        <v>23.0</v>
      </c>
      <c r="W1421" s="1">
        <v>0.0</v>
      </c>
      <c r="Y1421" s="1">
        <v>0.0</v>
      </c>
      <c r="AA1421" s="1">
        <v>0.0</v>
      </c>
      <c r="AC1421" s="1">
        <v>0.0</v>
      </c>
      <c r="AM1421" s="1">
        <v>419118.0</v>
      </c>
      <c r="AN1421" s="1">
        <v>419118.0</v>
      </c>
      <c r="AO1421" s="1">
        <v>419118.0</v>
      </c>
      <c r="AP1421" s="1">
        <v>160.556</v>
      </c>
      <c r="AR1421" s="1">
        <v>0.0</v>
      </c>
      <c r="AW1421" s="1">
        <v>0.0</v>
      </c>
      <c r="AX1421" s="1">
        <v>3.0</v>
      </c>
      <c r="AY1421" s="1">
        <v>4.0</v>
      </c>
      <c r="AZ1421" s="1">
        <v>1.0</v>
      </c>
      <c r="BA1421" s="1">
        <v>1.0</v>
      </c>
      <c r="BB1421" s="1">
        <v>1.0</v>
      </c>
      <c r="BC1421" s="1">
        <v>0.0</v>
      </c>
      <c r="BD1421" s="1">
        <v>0.13</v>
      </c>
      <c r="BE1421" s="1">
        <v>0.0</v>
      </c>
      <c r="BF1421" s="1">
        <v>0.0</v>
      </c>
      <c r="BG1421" s="1">
        <v>0.0</v>
      </c>
      <c r="BH1421" s="1">
        <v>0.0</v>
      </c>
      <c r="BI1421" s="1">
        <v>0.0</v>
      </c>
      <c r="BJ1421" s="1">
        <v>0.0</v>
      </c>
      <c r="BP1421" s="1">
        <v>0.272</v>
      </c>
      <c r="BQ1421" s="1" t="s">
        <v>4797</v>
      </c>
      <c r="BV1421" s="1">
        <v>1.1</v>
      </c>
      <c r="EQ1421" s="9" t="s">
        <v>4794</v>
      </c>
      <c r="ER1421" s="21">
        <v>46045.30056712963</v>
      </c>
    </row>
    <row r="1422">
      <c r="A1422" s="9" t="s">
        <v>4798</v>
      </c>
      <c r="B1422" s="20" t="str">
        <f>IFERROR(__xludf.DUMMYFUNCTION("REGEXREPLACE(A1422, ""^https?://[^/]+"", """")"),"/wp-content/uploads/2021/09/Case_Study_Manufacturing2.pdf")</f>
        <v>/wp-content/uploads/2021/09/Case_Study_Manufacturing2.pdf</v>
      </c>
      <c r="F1422" s="1" t="s">
        <v>1730</v>
      </c>
      <c r="G1422" s="1">
        <v>200.0</v>
      </c>
      <c r="H1422" s="1" t="s">
        <v>966</v>
      </c>
      <c r="I1422" s="1" t="s">
        <v>967</v>
      </c>
      <c r="L1422" s="1">
        <v>0.0</v>
      </c>
      <c r="M1422" s="1">
        <v>0.0</v>
      </c>
      <c r="O1422" s="1">
        <v>0.0</v>
      </c>
      <c r="P1422" s="1">
        <v>0.0</v>
      </c>
      <c r="R1422" s="1">
        <v>0.0</v>
      </c>
      <c r="S1422" s="1">
        <v>0.0</v>
      </c>
      <c r="U1422" s="1">
        <v>0.0</v>
      </c>
      <c r="W1422" s="1">
        <v>0.0</v>
      </c>
      <c r="Y1422" s="1">
        <v>0.0</v>
      </c>
      <c r="AA1422" s="1">
        <v>0.0</v>
      </c>
      <c r="AC1422" s="1">
        <v>0.0</v>
      </c>
      <c r="AM1422" s="1">
        <v>1083561.0</v>
      </c>
      <c r="AN1422" s="1">
        <v>1083561.0</v>
      </c>
      <c r="AO1422" s="1">
        <v>1083561.0</v>
      </c>
      <c r="AP1422" s="1">
        <v>415.092</v>
      </c>
      <c r="AR1422" s="1">
        <v>0.0</v>
      </c>
      <c r="AW1422" s="1">
        <v>0.0</v>
      </c>
      <c r="AX1422" s="1">
        <v>3.0</v>
      </c>
      <c r="AY1422" s="1">
        <v>4.0</v>
      </c>
      <c r="AZ1422" s="1">
        <v>1.0</v>
      </c>
      <c r="BA1422" s="1">
        <v>1.0</v>
      </c>
      <c r="BB1422" s="1">
        <v>1.0</v>
      </c>
      <c r="BC1422" s="1">
        <v>0.0</v>
      </c>
      <c r="BD1422" s="1">
        <v>0.13</v>
      </c>
      <c r="BE1422" s="1">
        <v>0.0</v>
      </c>
      <c r="BF1422" s="1">
        <v>0.0</v>
      </c>
      <c r="BG1422" s="1">
        <v>0.0</v>
      </c>
      <c r="BH1422" s="1">
        <v>0.0</v>
      </c>
      <c r="BI1422" s="1">
        <v>0.0</v>
      </c>
      <c r="BJ1422" s="1">
        <v>0.0</v>
      </c>
      <c r="BP1422" s="1">
        <v>0.263</v>
      </c>
      <c r="BQ1422" s="1" t="s">
        <v>4799</v>
      </c>
      <c r="BV1422" s="1">
        <v>1.1</v>
      </c>
      <c r="EQ1422" s="9" t="s">
        <v>4798</v>
      </c>
      <c r="ER1422" s="21">
        <v>46045.30056712963</v>
      </c>
    </row>
    <row r="1423">
      <c r="A1423" s="9" t="s">
        <v>4800</v>
      </c>
      <c r="B1423" s="20" t="str">
        <f>IFERROR(__xludf.DUMMYFUNCTION("REGEXREPLACE(A1423, ""^https?://[^/]+"", """")"),"/wp-content/uploads/elementor/css/post-16005.css?ver=1768862533")</f>
        <v>/wp-content/uploads/elementor/css/post-16005.css?ver=1768862533</v>
      </c>
      <c r="F1423" s="1" t="s">
        <v>1016</v>
      </c>
      <c r="G1423" s="1">
        <v>200.0</v>
      </c>
      <c r="H1423" s="1" t="s">
        <v>966</v>
      </c>
      <c r="I1423" s="1" t="s">
        <v>967</v>
      </c>
      <c r="L1423" s="1">
        <v>0.0</v>
      </c>
      <c r="M1423" s="1">
        <v>0.0</v>
      </c>
      <c r="O1423" s="1">
        <v>0.0</v>
      </c>
      <c r="P1423" s="1">
        <v>0.0</v>
      </c>
      <c r="R1423" s="1">
        <v>0.0</v>
      </c>
      <c r="S1423" s="1">
        <v>0.0</v>
      </c>
      <c r="U1423" s="1">
        <v>0.0</v>
      </c>
      <c r="W1423" s="1">
        <v>0.0</v>
      </c>
      <c r="Y1423" s="1">
        <v>0.0</v>
      </c>
      <c r="AA1423" s="1">
        <v>0.0</v>
      </c>
      <c r="AC1423" s="1">
        <v>0.0</v>
      </c>
      <c r="AM1423" s="1">
        <v>1150.0</v>
      </c>
      <c r="AN1423" s="1">
        <v>1150.0</v>
      </c>
      <c r="AO1423" s="1">
        <v>1150.0</v>
      </c>
      <c r="AP1423" s="1">
        <v>0.441</v>
      </c>
      <c r="AR1423" s="1">
        <v>0.0</v>
      </c>
      <c r="AW1423" s="1">
        <v>0.0</v>
      </c>
      <c r="AX1423" s="1">
        <v>3.0</v>
      </c>
      <c r="AY1423" s="1">
        <v>4.0</v>
      </c>
      <c r="BA1423" s="1">
        <v>0.0</v>
      </c>
      <c r="BB1423" s="1">
        <v>0.0</v>
      </c>
      <c r="BC1423" s="1">
        <v>0.0</v>
      </c>
      <c r="BD1423" s="1">
        <v>0.0</v>
      </c>
      <c r="BE1423" s="1">
        <v>0.0</v>
      </c>
      <c r="BF1423" s="1">
        <v>0.0</v>
      </c>
      <c r="BG1423" s="1">
        <v>0.0</v>
      </c>
      <c r="BH1423" s="1">
        <v>0.0</v>
      </c>
      <c r="BI1423" s="1">
        <v>0.0</v>
      </c>
      <c r="BJ1423" s="1">
        <v>0.0</v>
      </c>
      <c r="BP1423" s="1">
        <v>0.278</v>
      </c>
      <c r="BQ1423" s="1" t="s">
        <v>4801</v>
      </c>
      <c r="BV1423" s="1">
        <v>1.1</v>
      </c>
      <c r="EQ1423" s="9" t="s">
        <v>4800</v>
      </c>
      <c r="ER1423" s="21">
        <v>46045.300578703704</v>
      </c>
    </row>
    <row r="1424">
      <c r="A1424" s="9" t="s">
        <v>4802</v>
      </c>
      <c r="B1424" s="20" t="str">
        <f>IFERROR(__xludf.DUMMYFUNCTION("REGEXREPLACE(A1424, ""^https?://[^/]+"", """")"),"/wp-content/uploads/2019/11/Case_Study_Construction-1.pdf")</f>
        <v>/wp-content/uploads/2019/11/Case_Study_Construction-1.pdf</v>
      </c>
      <c r="F1424" s="1" t="s">
        <v>1730</v>
      </c>
      <c r="G1424" s="1">
        <v>200.0</v>
      </c>
      <c r="H1424" s="1" t="s">
        <v>966</v>
      </c>
      <c r="I1424" s="1" t="s">
        <v>967</v>
      </c>
      <c r="L1424" s="1">
        <v>0.0</v>
      </c>
      <c r="M1424" s="1">
        <v>0.0</v>
      </c>
      <c r="O1424" s="1">
        <v>0.0</v>
      </c>
      <c r="P1424" s="1">
        <v>0.0</v>
      </c>
      <c r="R1424" s="1">
        <v>0.0</v>
      </c>
      <c r="S1424" s="1">
        <v>0.0</v>
      </c>
      <c r="U1424" s="1">
        <v>0.0</v>
      </c>
      <c r="W1424" s="1">
        <v>0.0</v>
      </c>
      <c r="Y1424" s="1">
        <v>0.0</v>
      </c>
      <c r="AA1424" s="1">
        <v>0.0</v>
      </c>
      <c r="AC1424" s="1">
        <v>0.0</v>
      </c>
      <c r="AM1424" s="1">
        <v>1432056.0</v>
      </c>
      <c r="AN1424" s="1">
        <v>1432056.0</v>
      </c>
      <c r="AO1424" s="1">
        <v>1432056.0</v>
      </c>
      <c r="AP1424" s="1">
        <v>548.593</v>
      </c>
      <c r="AR1424" s="1">
        <v>0.0</v>
      </c>
      <c r="AW1424" s="1">
        <v>0.0</v>
      </c>
      <c r="AX1424" s="1">
        <v>3.0</v>
      </c>
      <c r="AY1424" s="1">
        <v>4.0</v>
      </c>
      <c r="AZ1424" s="1">
        <v>1.0</v>
      </c>
      <c r="BA1424" s="1">
        <v>1.0</v>
      </c>
      <c r="BB1424" s="1">
        <v>1.0</v>
      </c>
      <c r="BC1424" s="1">
        <v>0.0</v>
      </c>
      <c r="BD1424" s="1">
        <v>0.13</v>
      </c>
      <c r="BE1424" s="1">
        <v>0.0</v>
      </c>
      <c r="BF1424" s="1">
        <v>0.0</v>
      </c>
      <c r="BG1424" s="1">
        <v>0.0</v>
      </c>
      <c r="BH1424" s="1">
        <v>0.0</v>
      </c>
      <c r="BI1424" s="1">
        <v>0.0</v>
      </c>
      <c r="BJ1424" s="1">
        <v>0.0</v>
      </c>
      <c r="BP1424" s="1">
        <v>0.271</v>
      </c>
      <c r="BQ1424" s="1" t="s">
        <v>4803</v>
      </c>
      <c r="BV1424" s="1">
        <v>1.1</v>
      </c>
      <c r="EQ1424" s="9" t="s">
        <v>4802</v>
      </c>
      <c r="ER1424" s="21">
        <v>46045.30056712963</v>
      </c>
    </row>
    <row r="1425">
      <c r="A1425" s="9" t="s">
        <v>4804</v>
      </c>
      <c r="B1425" s="20" t="str">
        <f>IFERROR(__xludf.DUMMYFUNCTION("REGEXREPLACE(A1425, ""^https?://[^/]+"", """")"),"/wp-content/themes/salesxceleratione/assets/css/style.css?ver=1769123504")</f>
        <v>/wp-content/themes/salesxceleratione/assets/css/style.css?ver=1769123504</v>
      </c>
      <c r="F1425" s="1" t="s">
        <v>1016</v>
      </c>
      <c r="G1425" s="1">
        <v>200.0</v>
      </c>
      <c r="H1425" s="1" t="s">
        <v>966</v>
      </c>
      <c r="I1425" s="1" t="s">
        <v>967</v>
      </c>
      <c r="L1425" s="1">
        <v>0.0</v>
      </c>
      <c r="M1425" s="1">
        <v>0.0</v>
      </c>
      <c r="O1425" s="1">
        <v>0.0</v>
      </c>
      <c r="P1425" s="1">
        <v>0.0</v>
      </c>
      <c r="R1425" s="1">
        <v>0.0</v>
      </c>
      <c r="S1425" s="1">
        <v>0.0</v>
      </c>
      <c r="U1425" s="1">
        <v>0.0</v>
      </c>
      <c r="W1425" s="1">
        <v>0.0</v>
      </c>
      <c r="Y1425" s="1">
        <v>0.0</v>
      </c>
      <c r="AA1425" s="1">
        <v>0.0</v>
      </c>
      <c r="AC1425" s="1">
        <v>0.0</v>
      </c>
      <c r="AM1425" s="1">
        <v>17704.0</v>
      </c>
      <c r="AN1425" s="1">
        <v>17704.0</v>
      </c>
      <c r="AO1425" s="1">
        <v>17704.0</v>
      </c>
      <c r="AP1425" s="1">
        <v>6.782</v>
      </c>
      <c r="AR1425" s="1">
        <v>0.0</v>
      </c>
      <c r="AW1425" s="1">
        <v>0.0</v>
      </c>
      <c r="AX1425" s="1">
        <v>3.0</v>
      </c>
      <c r="AY1425" s="1">
        <v>5.0</v>
      </c>
      <c r="BA1425" s="1">
        <v>0.0</v>
      </c>
      <c r="BB1425" s="1">
        <v>0.0</v>
      </c>
      <c r="BC1425" s="1">
        <v>0.0</v>
      </c>
      <c r="BD1425" s="1">
        <v>0.0</v>
      </c>
      <c r="BE1425" s="1">
        <v>0.0</v>
      </c>
      <c r="BF1425" s="1">
        <v>0.0</v>
      </c>
      <c r="BG1425" s="1">
        <v>0.0</v>
      </c>
      <c r="BH1425" s="1">
        <v>0.0</v>
      </c>
      <c r="BI1425" s="1">
        <v>0.0</v>
      </c>
      <c r="BJ1425" s="1">
        <v>0.0</v>
      </c>
      <c r="BP1425" s="1">
        <v>0.27</v>
      </c>
      <c r="BQ1425" s="1" t="s">
        <v>4805</v>
      </c>
      <c r="BV1425" s="1">
        <v>1.1</v>
      </c>
      <c r="EQ1425" s="9" t="s">
        <v>4804</v>
      </c>
      <c r="ER1425" s="21">
        <v>46045.300578703704</v>
      </c>
    </row>
    <row r="1426">
      <c r="A1426" s="9" t="s">
        <v>4806</v>
      </c>
      <c r="B1426" s="20" t="str">
        <f>IFERROR(__xludf.DUMMYFUNCTION("REGEXREPLACE(A1426, ""^https?://[^/]+"", """")"),"/wp-content/uploads/2019/11/retail-page-one-1.jpg")</f>
        <v>/wp-content/uploads/2019/11/retail-page-one-1.jpg</v>
      </c>
      <c r="F1426" s="1" t="s">
        <v>1004</v>
      </c>
      <c r="G1426" s="1">
        <v>200.0</v>
      </c>
      <c r="H1426" s="1" t="s">
        <v>966</v>
      </c>
      <c r="I1426" s="1" t="s">
        <v>967</v>
      </c>
      <c r="L1426" s="1">
        <v>0.0</v>
      </c>
      <c r="M1426" s="1">
        <v>0.0</v>
      </c>
      <c r="O1426" s="1">
        <v>0.0</v>
      </c>
      <c r="P1426" s="1">
        <v>0.0</v>
      </c>
      <c r="R1426" s="1">
        <v>0.0</v>
      </c>
      <c r="S1426" s="1">
        <v>0.0</v>
      </c>
      <c r="U1426" s="1">
        <v>0.0</v>
      </c>
      <c r="W1426" s="1">
        <v>0.0</v>
      </c>
      <c r="Y1426" s="1">
        <v>0.0</v>
      </c>
      <c r="AA1426" s="1">
        <v>0.0</v>
      </c>
      <c r="AC1426" s="1">
        <v>0.0</v>
      </c>
      <c r="AM1426" s="1">
        <v>123636.0</v>
      </c>
      <c r="AN1426" s="1">
        <v>123636.0</v>
      </c>
      <c r="AO1426" s="1">
        <v>123636.0</v>
      </c>
      <c r="AP1426" s="1">
        <v>47.363</v>
      </c>
      <c r="AR1426" s="1">
        <v>0.0</v>
      </c>
      <c r="AW1426" s="1">
        <v>0.0</v>
      </c>
      <c r="AX1426" s="1">
        <v>3.0</v>
      </c>
      <c r="AY1426" s="1">
        <v>4.0</v>
      </c>
      <c r="BA1426" s="1">
        <v>0.0</v>
      </c>
      <c r="BB1426" s="1">
        <v>0.0</v>
      </c>
      <c r="BC1426" s="1">
        <v>0.0</v>
      </c>
      <c r="BD1426" s="1">
        <v>0.0</v>
      </c>
      <c r="BE1426" s="1">
        <v>0.0</v>
      </c>
      <c r="BF1426" s="1">
        <v>0.0</v>
      </c>
      <c r="BG1426" s="1">
        <v>0.0</v>
      </c>
      <c r="BH1426" s="1">
        <v>0.0</v>
      </c>
      <c r="BI1426" s="1">
        <v>0.0</v>
      </c>
      <c r="BJ1426" s="1">
        <v>0.0</v>
      </c>
      <c r="BP1426" s="1">
        <v>0.26</v>
      </c>
      <c r="BQ1426" s="1" t="s">
        <v>4807</v>
      </c>
      <c r="BV1426" s="1">
        <v>1.1</v>
      </c>
      <c r="EQ1426" s="9" t="s">
        <v>4806</v>
      </c>
      <c r="ER1426" s="21">
        <v>46045.300578703704</v>
      </c>
    </row>
    <row r="1427">
      <c r="A1427" s="9" t="s">
        <v>4808</v>
      </c>
      <c r="B1427" s="20" t="str">
        <f>IFERROR(__xludf.DUMMYFUNCTION("REGEXREPLACE(A1427, ""^https?://[^/]+"", """")"),"/wp-content/uploads/2021/09/Case-Study_Manufacturing_SX.pdf")</f>
        <v>/wp-content/uploads/2021/09/Case-Study_Manufacturing_SX.pdf</v>
      </c>
      <c r="F1427" s="1" t="s">
        <v>1730</v>
      </c>
      <c r="G1427" s="1">
        <v>200.0</v>
      </c>
      <c r="H1427" s="1" t="s">
        <v>966</v>
      </c>
      <c r="I1427" s="1" t="s">
        <v>967</v>
      </c>
      <c r="L1427" s="1">
        <v>0.0</v>
      </c>
      <c r="M1427" s="1">
        <v>0.0</v>
      </c>
      <c r="O1427" s="1">
        <v>0.0</v>
      </c>
      <c r="P1427" s="1">
        <v>0.0</v>
      </c>
      <c r="R1427" s="1">
        <v>0.0</v>
      </c>
      <c r="S1427" s="1">
        <v>0.0</v>
      </c>
      <c r="U1427" s="1">
        <v>0.0</v>
      </c>
      <c r="W1427" s="1">
        <v>0.0</v>
      </c>
      <c r="Y1427" s="1">
        <v>0.0</v>
      </c>
      <c r="AA1427" s="1">
        <v>0.0</v>
      </c>
      <c r="AC1427" s="1">
        <v>0.0</v>
      </c>
      <c r="AM1427" s="1">
        <v>1623006.0</v>
      </c>
      <c r="AN1427" s="1">
        <v>1623006.0</v>
      </c>
      <c r="AO1427" s="1">
        <v>1623006.0</v>
      </c>
      <c r="AP1427" s="1">
        <v>621.743</v>
      </c>
      <c r="AR1427" s="1">
        <v>0.0</v>
      </c>
      <c r="AW1427" s="1">
        <v>0.0</v>
      </c>
      <c r="AX1427" s="1">
        <v>3.0</v>
      </c>
      <c r="AY1427" s="1">
        <v>4.0</v>
      </c>
      <c r="AZ1427" s="1">
        <v>1.0</v>
      </c>
      <c r="BA1427" s="1">
        <v>1.0</v>
      </c>
      <c r="BB1427" s="1">
        <v>1.0</v>
      </c>
      <c r="BC1427" s="1">
        <v>0.0</v>
      </c>
      <c r="BD1427" s="1">
        <v>0.13</v>
      </c>
      <c r="BE1427" s="1">
        <v>0.0</v>
      </c>
      <c r="BF1427" s="1">
        <v>0.0</v>
      </c>
      <c r="BG1427" s="1">
        <v>0.0</v>
      </c>
      <c r="BH1427" s="1">
        <v>0.0</v>
      </c>
      <c r="BI1427" s="1">
        <v>0.0</v>
      </c>
      <c r="BJ1427" s="1">
        <v>0.0</v>
      </c>
      <c r="BP1427" s="1">
        <v>0.254</v>
      </c>
      <c r="BQ1427" s="1" t="s">
        <v>4809</v>
      </c>
      <c r="BV1427" s="1">
        <v>1.1</v>
      </c>
      <c r="EQ1427" s="9" t="s">
        <v>4808</v>
      </c>
      <c r="ER1427" s="21">
        <v>46045.300578703704</v>
      </c>
    </row>
    <row r="1428">
      <c r="A1428" s="9" t="s">
        <v>4810</v>
      </c>
      <c r="B1428" s="20" t="str">
        <f>IFERROR(__xludf.DUMMYFUNCTION("REGEXREPLACE(A1428, ""^https?://[^/]+"", """")"),"/wp-content/uploads/2021/09/Case_Study_Retail.pdf")</f>
        <v>/wp-content/uploads/2021/09/Case_Study_Retail.pdf</v>
      </c>
      <c r="F1428" s="1" t="s">
        <v>1730</v>
      </c>
      <c r="G1428" s="1">
        <v>200.0</v>
      </c>
      <c r="H1428" s="1" t="s">
        <v>966</v>
      </c>
      <c r="I1428" s="1" t="s">
        <v>967</v>
      </c>
      <c r="L1428" s="1">
        <v>0.0</v>
      </c>
      <c r="M1428" s="1">
        <v>0.0</v>
      </c>
      <c r="O1428" s="1">
        <v>0.0</v>
      </c>
      <c r="P1428" s="1">
        <v>0.0</v>
      </c>
      <c r="R1428" s="1">
        <v>0.0</v>
      </c>
      <c r="S1428" s="1">
        <v>0.0</v>
      </c>
      <c r="U1428" s="1">
        <v>0.0</v>
      </c>
      <c r="W1428" s="1">
        <v>0.0</v>
      </c>
      <c r="Y1428" s="1">
        <v>0.0</v>
      </c>
      <c r="AA1428" s="1">
        <v>0.0</v>
      </c>
      <c r="AC1428" s="1">
        <v>0.0</v>
      </c>
      <c r="AM1428" s="1">
        <v>660209.0</v>
      </c>
      <c r="AN1428" s="1">
        <v>660209.0</v>
      </c>
      <c r="AO1428" s="1">
        <v>660209.0</v>
      </c>
      <c r="AP1428" s="1">
        <v>252.914</v>
      </c>
      <c r="AR1428" s="1">
        <v>0.0</v>
      </c>
      <c r="AW1428" s="1">
        <v>0.0</v>
      </c>
      <c r="AX1428" s="1">
        <v>3.0</v>
      </c>
      <c r="AY1428" s="1">
        <v>4.0</v>
      </c>
      <c r="AZ1428" s="1">
        <v>1.0</v>
      </c>
      <c r="BA1428" s="1">
        <v>1.0</v>
      </c>
      <c r="BB1428" s="1">
        <v>1.0</v>
      </c>
      <c r="BC1428" s="1">
        <v>0.0</v>
      </c>
      <c r="BD1428" s="1">
        <v>0.13</v>
      </c>
      <c r="BE1428" s="1">
        <v>0.0</v>
      </c>
      <c r="BF1428" s="1">
        <v>0.0</v>
      </c>
      <c r="BG1428" s="1">
        <v>0.0</v>
      </c>
      <c r="BH1428" s="1">
        <v>0.0</v>
      </c>
      <c r="BI1428" s="1">
        <v>0.0</v>
      </c>
      <c r="BJ1428" s="1">
        <v>0.0</v>
      </c>
      <c r="BP1428" s="1">
        <v>0.283</v>
      </c>
      <c r="BQ1428" s="1" t="s">
        <v>4811</v>
      </c>
      <c r="BV1428" s="1">
        <v>1.1</v>
      </c>
      <c r="EQ1428" s="9" t="s">
        <v>4810</v>
      </c>
      <c r="ER1428" s="21">
        <v>46045.300578703704</v>
      </c>
    </row>
    <row r="1429">
      <c r="A1429" s="9" t="s">
        <v>4812</v>
      </c>
      <c r="B1429" s="20" t="str">
        <f>IFERROR(__xludf.DUMMYFUNCTION("REGEXREPLACE(A1429, ""^https?://[^/]+"", """")"),"/wp-content/uploads/elementor/css/post-25674.css?ver=1768859045")</f>
        <v>/wp-content/uploads/elementor/css/post-25674.css?ver=1768859045</v>
      </c>
      <c r="F1429" s="1" t="s">
        <v>1016</v>
      </c>
      <c r="G1429" s="1">
        <v>200.0</v>
      </c>
      <c r="H1429" s="1" t="s">
        <v>966</v>
      </c>
      <c r="I1429" s="1" t="s">
        <v>967</v>
      </c>
      <c r="L1429" s="1">
        <v>0.0</v>
      </c>
      <c r="M1429" s="1">
        <v>0.0</v>
      </c>
      <c r="O1429" s="1">
        <v>0.0</v>
      </c>
      <c r="P1429" s="1">
        <v>0.0</v>
      </c>
      <c r="R1429" s="1">
        <v>0.0</v>
      </c>
      <c r="S1429" s="1">
        <v>0.0</v>
      </c>
      <c r="U1429" s="1">
        <v>0.0</v>
      </c>
      <c r="W1429" s="1">
        <v>0.0</v>
      </c>
      <c r="Y1429" s="1">
        <v>0.0</v>
      </c>
      <c r="AA1429" s="1">
        <v>0.0</v>
      </c>
      <c r="AC1429" s="1">
        <v>0.0</v>
      </c>
      <c r="AM1429" s="1">
        <v>1154.0</v>
      </c>
      <c r="AN1429" s="1">
        <v>1154.0</v>
      </c>
      <c r="AO1429" s="1">
        <v>1154.0</v>
      </c>
      <c r="AP1429" s="1">
        <v>0.442</v>
      </c>
      <c r="AR1429" s="1">
        <v>0.0</v>
      </c>
      <c r="AW1429" s="1">
        <v>0.0</v>
      </c>
      <c r="AX1429" s="1">
        <v>3.0</v>
      </c>
      <c r="AY1429" s="1">
        <v>4.0</v>
      </c>
      <c r="BA1429" s="1">
        <v>0.0</v>
      </c>
      <c r="BB1429" s="1">
        <v>0.0</v>
      </c>
      <c r="BC1429" s="1">
        <v>0.0</v>
      </c>
      <c r="BD1429" s="1">
        <v>0.0</v>
      </c>
      <c r="BE1429" s="1">
        <v>0.0</v>
      </c>
      <c r="BF1429" s="1">
        <v>0.0</v>
      </c>
      <c r="BG1429" s="1">
        <v>0.0</v>
      </c>
      <c r="BH1429" s="1">
        <v>0.0</v>
      </c>
      <c r="BI1429" s="1">
        <v>0.0</v>
      </c>
      <c r="BJ1429" s="1">
        <v>0.0</v>
      </c>
      <c r="BP1429" s="1">
        <v>0.284</v>
      </c>
      <c r="BQ1429" s="1" t="s">
        <v>4813</v>
      </c>
      <c r="BV1429" s="1">
        <v>1.1</v>
      </c>
      <c r="EQ1429" s="9" t="s">
        <v>4812</v>
      </c>
      <c r="ER1429" s="21">
        <v>46045.300578703704</v>
      </c>
    </row>
    <row r="1430">
      <c r="A1430" s="9" t="s">
        <v>4814</v>
      </c>
      <c r="B1430" s="20" t="str">
        <f>IFERROR(__xludf.DUMMYFUNCTION("REGEXREPLACE(A1430, ""^https?://[^/]+"", """")"),"/wp-content/uploads/elementor/css/post-18507.css?ver=1768880060")</f>
        <v>/wp-content/uploads/elementor/css/post-18507.css?ver=1768880060</v>
      </c>
      <c r="F1430" s="1" t="s">
        <v>1016</v>
      </c>
      <c r="G1430" s="1">
        <v>200.0</v>
      </c>
      <c r="H1430" s="1" t="s">
        <v>966</v>
      </c>
      <c r="I1430" s="1" t="s">
        <v>967</v>
      </c>
      <c r="L1430" s="1">
        <v>0.0</v>
      </c>
      <c r="M1430" s="1">
        <v>0.0</v>
      </c>
      <c r="O1430" s="1">
        <v>0.0</v>
      </c>
      <c r="P1430" s="1">
        <v>0.0</v>
      </c>
      <c r="R1430" s="1">
        <v>0.0</v>
      </c>
      <c r="S1430" s="1">
        <v>0.0</v>
      </c>
      <c r="U1430" s="1">
        <v>0.0</v>
      </c>
      <c r="W1430" s="1">
        <v>0.0</v>
      </c>
      <c r="Y1430" s="1">
        <v>0.0</v>
      </c>
      <c r="AA1430" s="1">
        <v>0.0</v>
      </c>
      <c r="AC1430" s="1">
        <v>0.0</v>
      </c>
      <c r="AM1430" s="1">
        <v>1156.0</v>
      </c>
      <c r="AN1430" s="1">
        <v>1156.0</v>
      </c>
      <c r="AO1430" s="1">
        <v>1156.0</v>
      </c>
      <c r="AP1430" s="1">
        <v>0.443</v>
      </c>
      <c r="AR1430" s="1">
        <v>0.0</v>
      </c>
      <c r="AW1430" s="1">
        <v>0.0</v>
      </c>
      <c r="AX1430" s="1">
        <v>3.0</v>
      </c>
      <c r="AY1430" s="1">
        <v>4.0</v>
      </c>
      <c r="BA1430" s="1">
        <v>0.0</v>
      </c>
      <c r="BB1430" s="1">
        <v>0.0</v>
      </c>
      <c r="BC1430" s="1">
        <v>0.0</v>
      </c>
      <c r="BD1430" s="1">
        <v>0.0</v>
      </c>
      <c r="BE1430" s="1">
        <v>0.0</v>
      </c>
      <c r="BF1430" s="1">
        <v>0.0</v>
      </c>
      <c r="BG1430" s="1">
        <v>0.0</v>
      </c>
      <c r="BH1430" s="1">
        <v>0.0</v>
      </c>
      <c r="BI1430" s="1">
        <v>0.0</v>
      </c>
      <c r="BJ1430" s="1">
        <v>0.0</v>
      </c>
      <c r="BP1430" s="1">
        <v>0.246</v>
      </c>
      <c r="BQ1430" s="1" t="s">
        <v>4815</v>
      </c>
      <c r="BV1430" s="1">
        <v>1.1</v>
      </c>
      <c r="EQ1430" s="9" t="s">
        <v>4814</v>
      </c>
      <c r="ER1430" s="21">
        <v>46045.300578703704</v>
      </c>
    </row>
    <row r="1431">
      <c r="A1431" s="9" t="s">
        <v>4816</v>
      </c>
      <c r="B1431" s="20" t="str">
        <f>IFERROR(__xludf.DUMMYFUNCTION("REGEXREPLACE(A1431, ""^https?://[^/]+"", """")"),"/wp-content/themes/salesxceleratione/assets/css/style.css?ver=1769123505")</f>
        <v>/wp-content/themes/salesxceleratione/assets/css/style.css?ver=1769123505</v>
      </c>
      <c r="F1431" s="1" t="s">
        <v>1016</v>
      </c>
      <c r="G1431" s="1">
        <v>200.0</v>
      </c>
      <c r="H1431" s="1" t="s">
        <v>966</v>
      </c>
      <c r="I1431" s="1" t="s">
        <v>967</v>
      </c>
      <c r="L1431" s="1">
        <v>0.0</v>
      </c>
      <c r="M1431" s="1">
        <v>0.0</v>
      </c>
      <c r="O1431" s="1">
        <v>0.0</v>
      </c>
      <c r="P1431" s="1">
        <v>0.0</v>
      </c>
      <c r="R1431" s="1">
        <v>0.0</v>
      </c>
      <c r="S1431" s="1">
        <v>0.0</v>
      </c>
      <c r="U1431" s="1">
        <v>0.0</v>
      </c>
      <c r="W1431" s="1">
        <v>0.0</v>
      </c>
      <c r="Y1431" s="1">
        <v>0.0</v>
      </c>
      <c r="AA1431" s="1">
        <v>0.0</v>
      </c>
      <c r="AC1431" s="1">
        <v>0.0</v>
      </c>
      <c r="AM1431" s="1">
        <v>17704.0</v>
      </c>
      <c r="AN1431" s="1">
        <v>17704.0</v>
      </c>
      <c r="AO1431" s="1">
        <v>17704.0</v>
      </c>
      <c r="AP1431" s="1">
        <v>6.782</v>
      </c>
      <c r="AR1431" s="1">
        <v>0.0</v>
      </c>
      <c r="AW1431" s="1">
        <v>0.0</v>
      </c>
      <c r="AX1431" s="1">
        <v>3.0</v>
      </c>
      <c r="AY1431" s="1">
        <v>5.0</v>
      </c>
      <c r="BA1431" s="1">
        <v>0.0</v>
      </c>
      <c r="BB1431" s="1">
        <v>0.0</v>
      </c>
      <c r="BC1431" s="1">
        <v>0.0</v>
      </c>
      <c r="BD1431" s="1">
        <v>0.0</v>
      </c>
      <c r="BE1431" s="1">
        <v>0.0</v>
      </c>
      <c r="BF1431" s="1">
        <v>0.0</v>
      </c>
      <c r="BG1431" s="1">
        <v>0.0</v>
      </c>
      <c r="BH1431" s="1">
        <v>0.0</v>
      </c>
      <c r="BI1431" s="1">
        <v>0.0</v>
      </c>
      <c r="BJ1431" s="1">
        <v>0.0</v>
      </c>
      <c r="BP1431" s="1">
        <v>0.252</v>
      </c>
      <c r="BQ1431" s="1" t="s">
        <v>3657</v>
      </c>
      <c r="BV1431" s="1">
        <v>1.1</v>
      </c>
      <c r="EQ1431" s="9" t="s">
        <v>4816</v>
      </c>
      <c r="ER1431" s="21">
        <v>46045.300578703704</v>
      </c>
    </row>
    <row r="1432">
      <c r="A1432" s="9" t="s">
        <v>4817</v>
      </c>
      <c r="B1432" s="20" t="str">
        <f>IFERROR(__xludf.DUMMYFUNCTION("REGEXREPLACE(A1432, ""^https?://[^/]+"", """")"),"/wp-content/uploads/2021/09/Case-Study_JP_Technology_SX.pdf")</f>
        <v>/wp-content/uploads/2021/09/Case-Study_JP_Technology_SX.pdf</v>
      </c>
      <c r="F1432" s="1" t="s">
        <v>1730</v>
      </c>
      <c r="G1432" s="1">
        <v>200.0</v>
      </c>
      <c r="H1432" s="1" t="s">
        <v>966</v>
      </c>
      <c r="I1432" s="1" t="s">
        <v>967</v>
      </c>
      <c r="L1432" s="1">
        <v>0.0</v>
      </c>
      <c r="M1432" s="1">
        <v>0.0</v>
      </c>
      <c r="O1432" s="1">
        <v>0.0</v>
      </c>
      <c r="P1432" s="1">
        <v>0.0</v>
      </c>
      <c r="R1432" s="1">
        <v>0.0</v>
      </c>
      <c r="S1432" s="1">
        <v>0.0</v>
      </c>
      <c r="U1432" s="1">
        <v>0.0</v>
      </c>
      <c r="W1432" s="1">
        <v>0.0</v>
      </c>
      <c r="Y1432" s="1">
        <v>0.0</v>
      </c>
      <c r="AA1432" s="1">
        <v>0.0</v>
      </c>
      <c r="AC1432" s="1">
        <v>0.0</v>
      </c>
      <c r="AM1432" s="1">
        <v>673111.0</v>
      </c>
      <c r="AN1432" s="1">
        <v>673111.0</v>
      </c>
      <c r="AO1432" s="1">
        <v>673111.0</v>
      </c>
      <c r="AP1432" s="1">
        <v>257.856</v>
      </c>
      <c r="AR1432" s="1">
        <v>0.0</v>
      </c>
      <c r="AW1432" s="1">
        <v>0.0</v>
      </c>
      <c r="AX1432" s="1">
        <v>3.0</v>
      </c>
      <c r="AY1432" s="1">
        <v>4.0</v>
      </c>
      <c r="AZ1432" s="1">
        <v>1.0</v>
      </c>
      <c r="BA1432" s="1">
        <v>1.0</v>
      </c>
      <c r="BB1432" s="1">
        <v>1.0</v>
      </c>
      <c r="BC1432" s="1">
        <v>0.0</v>
      </c>
      <c r="BD1432" s="1">
        <v>0.13</v>
      </c>
      <c r="BE1432" s="1">
        <v>0.0</v>
      </c>
      <c r="BF1432" s="1">
        <v>0.0</v>
      </c>
      <c r="BG1432" s="1">
        <v>0.0</v>
      </c>
      <c r="BH1432" s="1">
        <v>0.0</v>
      </c>
      <c r="BI1432" s="1">
        <v>0.0</v>
      </c>
      <c r="BJ1432" s="1">
        <v>0.0</v>
      </c>
      <c r="BP1432" s="1">
        <v>0.279</v>
      </c>
      <c r="BQ1432" s="1" t="s">
        <v>4156</v>
      </c>
      <c r="BV1432" s="1">
        <v>1.1</v>
      </c>
      <c r="EQ1432" s="9" t="s">
        <v>4817</v>
      </c>
      <c r="ER1432" s="21">
        <v>46045.300578703704</v>
      </c>
    </row>
    <row r="1433">
      <c r="A1433" s="9" t="s">
        <v>4818</v>
      </c>
      <c r="B1433" s="20" t="str">
        <f>IFERROR(__xludf.DUMMYFUNCTION("REGEXREPLACE(A1433, ""^https?://[^/]+"", """")"),"/wp-content/uploads/elementor/css/post-16019.css?ver=1768848826")</f>
        <v>/wp-content/uploads/elementor/css/post-16019.css?ver=1768848826</v>
      </c>
      <c r="F1433" s="1" t="s">
        <v>1016</v>
      </c>
      <c r="G1433" s="1">
        <v>200.0</v>
      </c>
      <c r="H1433" s="1" t="s">
        <v>966</v>
      </c>
      <c r="I1433" s="1" t="s">
        <v>967</v>
      </c>
      <c r="L1433" s="1">
        <v>0.0</v>
      </c>
      <c r="M1433" s="1">
        <v>0.0</v>
      </c>
      <c r="O1433" s="1">
        <v>0.0</v>
      </c>
      <c r="P1433" s="1">
        <v>0.0</v>
      </c>
      <c r="R1433" s="1">
        <v>0.0</v>
      </c>
      <c r="S1433" s="1">
        <v>0.0</v>
      </c>
      <c r="U1433" s="1">
        <v>0.0</v>
      </c>
      <c r="W1433" s="1">
        <v>0.0</v>
      </c>
      <c r="Y1433" s="1">
        <v>0.0</v>
      </c>
      <c r="AA1433" s="1">
        <v>0.0</v>
      </c>
      <c r="AC1433" s="1">
        <v>0.0</v>
      </c>
      <c r="AM1433" s="1">
        <v>1167.0</v>
      </c>
      <c r="AN1433" s="1">
        <v>1167.0</v>
      </c>
      <c r="AO1433" s="1">
        <v>1167.0</v>
      </c>
      <c r="AP1433" s="1">
        <v>0.447</v>
      </c>
      <c r="AR1433" s="1">
        <v>0.0</v>
      </c>
      <c r="AW1433" s="1">
        <v>0.0</v>
      </c>
      <c r="AX1433" s="1">
        <v>3.0</v>
      </c>
      <c r="AY1433" s="1">
        <v>4.0</v>
      </c>
      <c r="BA1433" s="1">
        <v>0.0</v>
      </c>
      <c r="BB1433" s="1">
        <v>0.0</v>
      </c>
      <c r="BC1433" s="1">
        <v>0.0</v>
      </c>
      <c r="BD1433" s="1">
        <v>0.0</v>
      </c>
      <c r="BE1433" s="1">
        <v>0.0</v>
      </c>
      <c r="BF1433" s="1">
        <v>0.0</v>
      </c>
      <c r="BG1433" s="1">
        <v>0.0</v>
      </c>
      <c r="BH1433" s="1">
        <v>0.0</v>
      </c>
      <c r="BI1433" s="1">
        <v>0.0</v>
      </c>
      <c r="BJ1433" s="1">
        <v>0.0</v>
      </c>
      <c r="BP1433" s="1">
        <v>0.27</v>
      </c>
      <c r="BQ1433" s="1" t="s">
        <v>1711</v>
      </c>
      <c r="BV1433" s="1">
        <v>1.1</v>
      </c>
      <c r="EQ1433" s="9" t="s">
        <v>4818</v>
      </c>
      <c r="ER1433" s="21">
        <v>46045.30059027778</v>
      </c>
    </row>
    <row r="1434">
      <c r="A1434" s="9" t="s">
        <v>4819</v>
      </c>
      <c r="B1434" s="20" t="str">
        <f>IFERROR(__xludf.DUMMYFUNCTION("REGEXREPLACE(A1434, ""^https?://[^/]+"", """")"),"/wp-content/uploads/elementor/css/post-22925.css?ver=1768862537")</f>
        <v>/wp-content/uploads/elementor/css/post-22925.css?ver=1768862537</v>
      </c>
      <c r="F1434" s="1" t="s">
        <v>1016</v>
      </c>
      <c r="G1434" s="1">
        <v>200.0</v>
      </c>
      <c r="H1434" s="1" t="s">
        <v>966</v>
      </c>
      <c r="I1434" s="1" t="s">
        <v>967</v>
      </c>
      <c r="L1434" s="1">
        <v>0.0</v>
      </c>
      <c r="M1434" s="1">
        <v>0.0</v>
      </c>
      <c r="O1434" s="1">
        <v>0.0</v>
      </c>
      <c r="P1434" s="1">
        <v>0.0</v>
      </c>
      <c r="R1434" s="1">
        <v>0.0</v>
      </c>
      <c r="S1434" s="1">
        <v>0.0</v>
      </c>
      <c r="U1434" s="1">
        <v>0.0</v>
      </c>
      <c r="W1434" s="1">
        <v>0.0</v>
      </c>
      <c r="Y1434" s="1">
        <v>0.0</v>
      </c>
      <c r="AA1434" s="1">
        <v>0.0</v>
      </c>
      <c r="AC1434" s="1">
        <v>0.0</v>
      </c>
      <c r="AM1434" s="1">
        <v>1147.0</v>
      </c>
      <c r="AN1434" s="1">
        <v>1147.0</v>
      </c>
      <c r="AO1434" s="1">
        <v>1147.0</v>
      </c>
      <c r="AP1434" s="1">
        <v>0.439</v>
      </c>
      <c r="AR1434" s="1">
        <v>0.0</v>
      </c>
      <c r="AW1434" s="1">
        <v>0.0</v>
      </c>
      <c r="AX1434" s="1">
        <v>3.0</v>
      </c>
      <c r="AY1434" s="1">
        <v>4.0</v>
      </c>
      <c r="BA1434" s="1">
        <v>0.0</v>
      </c>
      <c r="BB1434" s="1">
        <v>0.0</v>
      </c>
      <c r="BC1434" s="1">
        <v>0.0</v>
      </c>
      <c r="BD1434" s="1">
        <v>0.0</v>
      </c>
      <c r="BE1434" s="1">
        <v>0.0</v>
      </c>
      <c r="BF1434" s="1">
        <v>0.0</v>
      </c>
      <c r="BG1434" s="1">
        <v>0.0</v>
      </c>
      <c r="BH1434" s="1">
        <v>0.0</v>
      </c>
      <c r="BI1434" s="1">
        <v>0.0</v>
      </c>
      <c r="BJ1434" s="1">
        <v>0.0</v>
      </c>
      <c r="BP1434" s="1">
        <v>0.246</v>
      </c>
      <c r="BQ1434" s="1" t="s">
        <v>4820</v>
      </c>
      <c r="BV1434" s="1">
        <v>1.1</v>
      </c>
      <c r="EQ1434" s="9" t="s">
        <v>4819</v>
      </c>
      <c r="ER1434" s="21">
        <v>46045.30059027778</v>
      </c>
    </row>
    <row r="1435">
      <c r="A1435" s="9" t="s">
        <v>4821</v>
      </c>
      <c r="B1435" s="20" t="str">
        <f>IFERROR(__xludf.DUMMYFUNCTION("REGEXREPLACE(A1435, ""^https?://[^/]+"", """")"),"/wp-content/uploads/2020/01/Case_Study_Construction-Manufacturing.pdf")</f>
        <v>/wp-content/uploads/2020/01/Case_Study_Construction-Manufacturing.pdf</v>
      </c>
      <c r="F1435" s="1" t="s">
        <v>1730</v>
      </c>
      <c r="G1435" s="1">
        <v>200.0</v>
      </c>
      <c r="H1435" s="1" t="s">
        <v>966</v>
      </c>
      <c r="I1435" s="1" t="s">
        <v>967</v>
      </c>
      <c r="L1435" s="1">
        <v>0.0</v>
      </c>
      <c r="M1435" s="1">
        <v>0.0</v>
      </c>
      <c r="O1435" s="1">
        <v>0.0</v>
      </c>
      <c r="P1435" s="1">
        <v>0.0</v>
      </c>
      <c r="R1435" s="1">
        <v>0.0</v>
      </c>
      <c r="S1435" s="1">
        <v>0.0</v>
      </c>
      <c r="U1435" s="1">
        <v>0.0</v>
      </c>
      <c r="W1435" s="1">
        <v>0.0</v>
      </c>
      <c r="Y1435" s="1">
        <v>0.0</v>
      </c>
      <c r="AA1435" s="1">
        <v>0.0</v>
      </c>
      <c r="AC1435" s="1">
        <v>0.0</v>
      </c>
      <c r="AM1435" s="1">
        <v>932998.0</v>
      </c>
      <c r="AN1435" s="1">
        <v>932998.0</v>
      </c>
      <c r="AO1435" s="1">
        <v>932998.0</v>
      </c>
      <c r="AP1435" s="1">
        <v>357.414</v>
      </c>
      <c r="AR1435" s="1">
        <v>0.0</v>
      </c>
      <c r="AW1435" s="1">
        <v>0.0</v>
      </c>
      <c r="AX1435" s="1">
        <v>3.0</v>
      </c>
      <c r="AY1435" s="1">
        <v>4.0</v>
      </c>
      <c r="AZ1435" s="1">
        <v>1.0</v>
      </c>
      <c r="BA1435" s="1">
        <v>1.0</v>
      </c>
      <c r="BB1435" s="1">
        <v>1.0</v>
      </c>
      <c r="BC1435" s="1">
        <v>0.0</v>
      </c>
      <c r="BD1435" s="1">
        <v>0.13</v>
      </c>
      <c r="BE1435" s="1">
        <v>0.0</v>
      </c>
      <c r="BF1435" s="1">
        <v>0.0</v>
      </c>
      <c r="BG1435" s="1">
        <v>0.0</v>
      </c>
      <c r="BH1435" s="1">
        <v>0.0</v>
      </c>
      <c r="BI1435" s="1">
        <v>0.0</v>
      </c>
      <c r="BJ1435" s="1">
        <v>0.0</v>
      </c>
      <c r="BP1435" s="1">
        <v>0.257</v>
      </c>
      <c r="BQ1435" s="1" t="s">
        <v>4822</v>
      </c>
      <c r="BV1435" s="1">
        <v>1.1</v>
      </c>
      <c r="EQ1435" s="9" t="s">
        <v>4821</v>
      </c>
      <c r="ER1435" s="21">
        <v>46045.30059027778</v>
      </c>
    </row>
    <row r="1436">
      <c r="A1436" s="9" t="s">
        <v>4823</v>
      </c>
      <c r="B1436" s="20" t="str">
        <f>IFERROR(__xludf.DUMMYFUNCTION("REGEXREPLACE(A1436, ""^https?://[^/]+"", """")"),"/wp-content/uploads/2022/05/Case-Study_Food-Industry_SX.pdf")</f>
        <v>/wp-content/uploads/2022/05/Case-Study_Food-Industry_SX.pdf</v>
      </c>
      <c r="F1436" s="1" t="s">
        <v>1730</v>
      </c>
      <c r="G1436" s="1">
        <v>200.0</v>
      </c>
      <c r="H1436" s="1" t="s">
        <v>966</v>
      </c>
      <c r="I1436" s="1" t="s">
        <v>967</v>
      </c>
      <c r="L1436" s="1">
        <v>0.0</v>
      </c>
      <c r="M1436" s="1">
        <v>0.0</v>
      </c>
      <c r="O1436" s="1">
        <v>0.0</v>
      </c>
      <c r="P1436" s="1">
        <v>0.0</v>
      </c>
      <c r="R1436" s="1">
        <v>0.0</v>
      </c>
      <c r="S1436" s="1">
        <v>0.0</v>
      </c>
      <c r="U1436" s="1">
        <v>0.0</v>
      </c>
      <c r="W1436" s="1">
        <v>0.0</v>
      </c>
      <c r="Y1436" s="1">
        <v>0.0</v>
      </c>
      <c r="AA1436" s="1">
        <v>0.0</v>
      </c>
      <c r="AC1436" s="1">
        <v>0.0</v>
      </c>
      <c r="AM1436" s="1">
        <v>1100381.0</v>
      </c>
      <c r="AN1436" s="1">
        <v>1100381.0</v>
      </c>
      <c r="AO1436" s="1">
        <v>1100381.0</v>
      </c>
      <c r="AP1436" s="1">
        <v>421.535</v>
      </c>
      <c r="AR1436" s="1">
        <v>0.0</v>
      </c>
      <c r="AW1436" s="1">
        <v>0.0</v>
      </c>
      <c r="AX1436" s="1">
        <v>3.0</v>
      </c>
      <c r="AY1436" s="1">
        <v>4.0</v>
      </c>
      <c r="AZ1436" s="1">
        <v>1.0</v>
      </c>
      <c r="BA1436" s="1">
        <v>1.0</v>
      </c>
      <c r="BB1436" s="1">
        <v>1.0</v>
      </c>
      <c r="BC1436" s="1">
        <v>0.0</v>
      </c>
      <c r="BD1436" s="1">
        <v>0.13</v>
      </c>
      <c r="BE1436" s="1">
        <v>0.0</v>
      </c>
      <c r="BF1436" s="1">
        <v>0.0</v>
      </c>
      <c r="BG1436" s="1">
        <v>0.0</v>
      </c>
      <c r="BH1436" s="1">
        <v>0.0</v>
      </c>
      <c r="BI1436" s="1">
        <v>0.0</v>
      </c>
      <c r="BJ1436" s="1">
        <v>0.0</v>
      </c>
      <c r="BP1436" s="1">
        <v>0.273</v>
      </c>
      <c r="BQ1436" s="1" t="s">
        <v>4824</v>
      </c>
      <c r="BV1436" s="1">
        <v>1.1</v>
      </c>
      <c r="EQ1436" s="9" t="s">
        <v>4823</v>
      </c>
      <c r="ER1436" s="21">
        <v>46045.300578703704</v>
      </c>
    </row>
    <row r="1437">
      <c r="A1437" s="9" t="s">
        <v>4825</v>
      </c>
      <c r="B1437" s="20" t="str">
        <f>IFERROR(__xludf.DUMMYFUNCTION("REGEXREPLACE(A1437, ""^https?://[^/]+"", """")"),"/wp-content/uploads/2021/10/Metal-Fab.pdf")</f>
        <v>/wp-content/uploads/2021/10/Metal-Fab.pdf</v>
      </c>
      <c r="F1437" s="1" t="s">
        <v>1730</v>
      </c>
      <c r="G1437" s="1">
        <v>200.0</v>
      </c>
      <c r="H1437" s="1" t="s">
        <v>966</v>
      </c>
      <c r="I1437" s="1" t="s">
        <v>967</v>
      </c>
      <c r="L1437" s="1">
        <v>0.0</v>
      </c>
      <c r="M1437" s="1">
        <v>0.0</v>
      </c>
      <c r="O1437" s="1">
        <v>0.0</v>
      </c>
      <c r="P1437" s="1">
        <v>0.0</v>
      </c>
      <c r="R1437" s="1">
        <v>0.0</v>
      </c>
      <c r="S1437" s="1">
        <v>0.0</v>
      </c>
      <c r="U1437" s="1">
        <v>0.0</v>
      </c>
      <c r="W1437" s="1">
        <v>0.0</v>
      </c>
      <c r="Y1437" s="1">
        <v>0.0</v>
      </c>
      <c r="AA1437" s="1">
        <v>0.0</v>
      </c>
      <c r="AC1437" s="1">
        <v>0.0</v>
      </c>
      <c r="AM1437" s="1">
        <v>1329522.0</v>
      </c>
      <c r="AN1437" s="1">
        <v>1329522.0</v>
      </c>
      <c r="AO1437" s="1">
        <v>1329522.0</v>
      </c>
      <c r="AP1437" s="1">
        <v>509.315</v>
      </c>
      <c r="AR1437" s="1">
        <v>0.0</v>
      </c>
      <c r="AW1437" s="1">
        <v>0.0</v>
      </c>
      <c r="AX1437" s="1">
        <v>3.0</v>
      </c>
      <c r="AY1437" s="1">
        <v>4.0</v>
      </c>
      <c r="AZ1437" s="1">
        <v>1.0</v>
      </c>
      <c r="BA1437" s="1">
        <v>1.0</v>
      </c>
      <c r="BB1437" s="1">
        <v>1.0</v>
      </c>
      <c r="BC1437" s="1">
        <v>0.0</v>
      </c>
      <c r="BD1437" s="1">
        <v>0.13</v>
      </c>
      <c r="BE1437" s="1">
        <v>0.0</v>
      </c>
      <c r="BF1437" s="1">
        <v>0.0</v>
      </c>
      <c r="BG1437" s="1">
        <v>0.0</v>
      </c>
      <c r="BH1437" s="1">
        <v>0.0</v>
      </c>
      <c r="BI1437" s="1">
        <v>0.0</v>
      </c>
      <c r="BJ1437" s="1">
        <v>0.0</v>
      </c>
      <c r="BP1437" s="1">
        <v>0.28</v>
      </c>
      <c r="BQ1437" s="1" t="s">
        <v>4826</v>
      </c>
      <c r="BV1437" s="1">
        <v>1.1</v>
      </c>
      <c r="EQ1437" s="9" t="s">
        <v>4825</v>
      </c>
      <c r="ER1437" s="21">
        <v>46045.30059027778</v>
      </c>
    </row>
    <row r="1438">
      <c r="A1438" s="9" t="s">
        <v>4827</v>
      </c>
      <c r="B1438" s="20" t="str">
        <f>IFERROR(__xludf.DUMMYFUNCTION("REGEXREPLACE(A1438, ""^https?://[^/]+"", """")"),"/wp-content/uploads/2019/11/healthcare-casestudy-onepage-1.jpg")</f>
        <v>/wp-content/uploads/2019/11/healthcare-casestudy-onepage-1.jpg</v>
      </c>
      <c r="F1438" s="1" t="s">
        <v>1004</v>
      </c>
      <c r="G1438" s="1">
        <v>200.0</v>
      </c>
      <c r="H1438" s="1" t="s">
        <v>966</v>
      </c>
      <c r="I1438" s="1" t="s">
        <v>967</v>
      </c>
      <c r="L1438" s="1">
        <v>0.0</v>
      </c>
      <c r="M1438" s="1">
        <v>0.0</v>
      </c>
      <c r="O1438" s="1">
        <v>0.0</v>
      </c>
      <c r="P1438" s="1">
        <v>0.0</v>
      </c>
      <c r="R1438" s="1">
        <v>0.0</v>
      </c>
      <c r="S1438" s="1">
        <v>0.0</v>
      </c>
      <c r="U1438" s="1">
        <v>0.0</v>
      </c>
      <c r="W1438" s="1">
        <v>0.0</v>
      </c>
      <c r="Y1438" s="1">
        <v>0.0</v>
      </c>
      <c r="AA1438" s="1">
        <v>0.0</v>
      </c>
      <c r="AC1438" s="1">
        <v>0.0</v>
      </c>
      <c r="AM1438" s="1">
        <v>266919.0</v>
      </c>
      <c r="AN1438" s="1">
        <v>266919.0</v>
      </c>
      <c r="AO1438" s="1">
        <v>266919.0</v>
      </c>
      <c r="AP1438" s="1">
        <v>102.252</v>
      </c>
      <c r="AR1438" s="1">
        <v>0.0</v>
      </c>
      <c r="AW1438" s="1">
        <v>0.0</v>
      </c>
      <c r="AX1438" s="1">
        <v>3.0</v>
      </c>
      <c r="AY1438" s="1">
        <v>4.0</v>
      </c>
      <c r="BA1438" s="1">
        <v>0.0</v>
      </c>
      <c r="BB1438" s="1">
        <v>0.0</v>
      </c>
      <c r="BC1438" s="1">
        <v>0.0</v>
      </c>
      <c r="BD1438" s="1">
        <v>0.0</v>
      </c>
      <c r="BE1438" s="1">
        <v>0.0</v>
      </c>
      <c r="BF1438" s="1">
        <v>0.0</v>
      </c>
      <c r="BG1438" s="1">
        <v>0.0</v>
      </c>
      <c r="BH1438" s="1">
        <v>0.0</v>
      </c>
      <c r="BI1438" s="1">
        <v>0.0</v>
      </c>
      <c r="BJ1438" s="1">
        <v>0.0</v>
      </c>
      <c r="BP1438" s="1">
        <v>0.259</v>
      </c>
      <c r="BQ1438" s="1" t="s">
        <v>4828</v>
      </c>
      <c r="BV1438" s="1">
        <v>1.1</v>
      </c>
      <c r="EQ1438" s="9" t="s">
        <v>4827</v>
      </c>
      <c r="ER1438" s="21">
        <v>46045.30059027778</v>
      </c>
    </row>
    <row r="1439">
      <c r="A1439" s="9" t="s">
        <v>4829</v>
      </c>
      <c r="B1439" s="20" t="str">
        <f>IFERROR(__xludf.DUMMYFUNCTION("REGEXREPLACE(A1439, ""^https?://[^/]+"", """")"),"/wp-content/uploads/2021/09/Case_Study_Technology.pdf")</f>
        <v>/wp-content/uploads/2021/09/Case_Study_Technology.pdf</v>
      </c>
      <c r="F1439" s="1" t="s">
        <v>1730</v>
      </c>
      <c r="G1439" s="1">
        <v>200.0</v>
      </c>
      <c r="H1439" s="1" t="s">
        <v>966</v>
      </c>
      <c r="I1439" s="1" t="s">
        <v>967</v>
      </c>
      <c r="L1439" s="1">
        <v>0.0</v>
      </c>
      <c r="M1439" s="1">
        <v>0.0</v>
      </c>
      <c r="O1439" s="1">
        <v>0.0</v>
      </c>
      <c r="P1439" s="1">
        <v>0.0</v>
      </c>
      <c r="R1439" s="1">
        <v>0.0</v>
      </c>
      <c r="S1439" s="1">
        <v>0.0</v>
      </c>
      <c r="U1439" s="1">
        <v>0.0</v>
      </c>
      <c r="W1439" s="1">
        <v>0.0</v>
      </c>
      <c r="Y1439" s="1">
        <v>0.0</v>
      </c>
      <c r="AA1439" s="1">
        <v>0.0</v>
      </c>
      <c r="AC1439" s="1">
        <v>0.0</v>
      </c>
      <c r="AM1439" s="1">
        <v>8764155.0</v>
      </c>
      <c r="AN1439" s="1">
        <v>8764155.0</v>
      </c>
      <c r="AO1439" s="1">
        <v>8764155.0</v>
      </c>
      <c r="AP1439" s="1">
        <v>3357.381</v>
      </c>
      <c r="AR1439" s="1">
        <v>0.0</v>
      </c>
      <c r="AW1439" s="1">
        <v>0.0</v>
      </c>
      <c r="AX1439" s="1">
        <v>3.0</v>
      </c>
      <c r="AY1439" s="1">
        <v>4.0</v>
      </c>
      <c r="AZ1439" s="1">
        <v>1.0</v>
      </c>
      <c r="BA1439" s="1">
        <v>1.0</v>
      </c>
      <c r="BB1439" s="1">
        <v>1.0</v>
      </c>
      <c r="BC1439" s="1">
        <v>0.0</v>
      </c>
      <c r="BD1439" s="1">
        <v>0.13</v>
      </c>
      <c r="BE1439" s="1">
        <v>0.0</v>
      </c>
      <c r="BF1439" s="1">
        <v>0.0</v>
      </c>
      <c r="BG1439" s="1">
        <v>0.0</v>
      </c>
      <c r="BH1439" s="1">
        <v>0.0</v>
      </c>
      <c r="BI1439" s="1">
        <v>0.0</v>
      </c>
      <c r="BJ1439" s="1">
        <v>0.0</v>
      </c>
      <c r="BP1439" s="1">
        <v>0.251</v>
      </c>
      <c r="BQ1439" s="1" t="s">
        <v>4809</v>
      </c>
      <c r="BV1439" s="1">
        <v>1.1</v>
      </c>
      <c r="EQ1439" s="9" t="s">
        <v>4829</v>
      </c>
      <c r="ER1439" s="21">
        <v>46045.300578703704</v>
      </c>
    </row>
    <row r="1440">
      <c r="A1440" s="9" t="s">
        <v>4830</v>
      </c>
      <c r="B1440" s="20" t="str">
        <f>IFERROR(__xludf.DUMMYFUNCTION("REGEXREPLACE(A1440, ""^https?://[^/]+"", """")"),"/wp-content/themes/salesxceleratione/assets/css/style.css?ver=1769123356")</f>
        <v>/wp-content/themes/salesxceleratione/assets/css/style.css?ver=1769123356</v>
      </c>
      <c r="F1440" s="1" t="s">
        <v>1016</v>
      </c>
      <c r="G1440" s="1">
        <v>200.0</v>
      </c>
      <c r="H1440" s="1" t="s">
        <v>966</v>
      </c>
      <c r="I1440" s="1" t="s">
        <v>967</v>
      </c>
      <c r="L1440" s="1">
        <v>0.0</v>
      </c>
      <c r="M1440" s="1">
        <v>0.0</v>
      </c>
      <c r="O1440" s="1">
        <v>0.0</v>
      </c>
      <c r="P1440" s="1">
        <v>0.0</v>
      </c>
      <c r="R1440" s="1">
        <v>0.0</v>
      </c>
      <c r="S1440" s="1">
        <v>0.0</v>
      </c>
      <c r="U1440" s="1">
        <v>0.0</v>
      </c>
      <c r="W1440" s="1">
        <v>0.0</v>
      </c>
      <c r="Y1440" s="1">
        <v>0.0</v>
      </c>
      <c r="AA1440" s="1">
        <v>0.0</v>
      </c>
      <c r="AC1440" s="1">
        <v>0.0</v>
      </c>
      <c r="AM1440" s="1">
        <v>17704.0</v>
      </c>
      <c r="AN1440" s="1">
        <v>17704.0</v>
      </c>
      <c r="AO1440" s="1">
        <v>17704.0</v>
      </c>
      <c r="AP1440" s="1">
        <v>6.782</v>
      </c>
      <c r="AR1440" s="1">
        <v>0.0</v>
      </c>
      <c r="AW1440" s="1">
        <v>0.0</v>
      </c>
      <c r="AX1440" s="1">
        <v>3.0</v>
      </c>
      <c r="AY1440" s="1">
        <v>5.0</v>
      </c>
      <c r="BA1440" s="1">
        <v>0.0</v>
      </c>
      <c r="BB1440" s="1">
        <v>0.0</v>
      </c>
      <c r="BC1440" s="1">
        <v>0.0</v>
      </c>
      <c r="BD1440" s="1">
        <v>0.0</v>
      </c>
      <c r="BE1440" s="1">
        <v>0.0</v>
      </c>
      <c r="BF1440" s="1">
        <v>0.0</v>
      </c>
      <c r="BG1440" s="1">
        <v>0.0</v>
      </c>
      <c r="BH1440" s="1">
        <v>0.0</v>
      </c>
      <c r="BI1440" s="1">
        <v>0.0</v>
      </c>
      <c r="BJ1440" s="1">
        <v>0.0</v>
      </c>
      <c r="BP1440" s="1">
        <v>0.267</v>
      </c>
      <c r="BQ1440" s="1" t="s">
        <v>4831</v>
      </c>
      <c r="BV1440" s="1">
        <v>1.1</v>
      </c>
      <c r="EQ1440" s="9" t="s">
        <v>4830</v>
      </c>
      <c r="ER1440" s="21">
        <v>46045.30059027778</v>
      </c>
    </row>
    <row r="1441">
      <c r="A1441" s="9" t="s">
        <v>4832</v>
      </c>
      <c r="B1441" s="20" t="str">
        <f>IFERROR(__xludf.DUMMYFUNCTION("REGEXREPLACE(A1441, ""^https?://[^/]+"", """")"),"/wp-content/uploads/2019/11/healthcare-case-one-page-1.jpg")</f>
        <v>/wp-content/uploads/2019/11/healthcare-case-one-page-1.jpg</v>
      </c>
      <c r="F1441" s="1" t="s">
        <v>1004</v>
      </c>
      <c r="G1441" s="1">
        <v>200.0</v>
      </c>
      <c r="H1441" s="1" t="s">
        <v>966</v>
      </c>
      <c r="I1441" s="1" t="s">
        <v>967</v>
      </c>
      <c r="L1441" s="1">
        <v>0.0</v>
      </c>
      <c r="M1441" s="1">
        <v>0.0</v>
      </c>
      <c r="O1441" s="1">
        <v>0.0</v>
      </c>
      <c r="P1441" s="1">
        <v>0.0</v>
      </c>
      <c r="R1441" s="1">
        <v>0.0</v>
      </c>
      <c r="S1441" s="1">
        <v>0.0</v>
      </c>
      <c r="U1441" s="1">
        <v>0.0</v>
      </c>
      <c r="W1441" s="1">
        <v>0.0</v>
      </c>
      <c r="Y1441" s="1">
        <v>0.0</v>
      </c>
      <c r="AA1441" s="1">
        <v>0.0</v>
      </c>
      <c r="AC1441" s="1">
        <v>0.0</v>
      </c>
      <c r="AM1441" s="1">
        <v>255124.0</v>
      </c>
      <c r="AN1441" s="1">
        <v>255124.0</v>
      </c>
      <c r="AO1441" s="1">
        <v>255124.0</v>
      </c>
      <c r="AP1441" s="1">
        <v>97.733</v>
      </c>
      <c r="AR1441" s="1">
        <v>0.0</v>
      </c>
      <c r="AW1441" s="1">
        <v>0.0</v>
      </c>
      <c r="AX1441" s="1">
        <v>3.0</v>
      </c>
      <c r="AY1441" s="1">
        <v>4.0</v>
      </c>
      <c r="BA1441" s="1">
        <v>0.0</v>
      </c>
      <c r="BB1441" s="1">
        <v>0.0</v>
      </c>
      <c r="BC1441" s="1">
        <v>0.0</v>
      </c>
      <c r="BD1441" s="1">
        <v>0.0</v>
      </c>
      <c r="BE1441" s="1">
        <v>0.0</v>
      </c>
      <c r="BF1441" s="1">
        <v>0.0</v>
      </c>
      <c r="BG1441" s="1">
        <v>0.0</v>
      </c>
      <c r="BH1441" s="1">
        <v>0.0</v>
      </c>
      <c r="BI1441" s="1">
        <v>0.0</v>
      </c>
      <c r="BJ1441" s="1">
        <v>0.0</v>
      </c>
      <c r="BP1441" s="1">
        <v>0.296</v>
      </c>
      <c r="BQ1441" s="1" t="s">
        <v>4833</v>
      </c>
      <c r="BV1441" s="1">
        <v>1.1</v>
      </c>
      <c r="EQ1441" s="9" t="s">
        <v>4832</v>
      </c>
      <c r="ER1441" s="21">
        <v>46045.30059027778</v>
      </c>
    </row>
    <row r="1442">
      <c r="A1442" s="9" t="s">
        <v>4834</v>
      </c>
      <c r="B1442" s="20" t="str">
        <f>IFERROR(__xludf.DUMMYFUNCTION("REGEXREPLACE(A1442, ""^https?://[^/]+"", """")"),"/wp-content/uploads/2023/03/Developing-a-Strategy-for-Ensured-Success.pdf")</f>
        <v>/wp-content/uploads/2023/03/Developing-a-Strategy-for-Ensured-Success.pdf</v>
      </c>
      <c r="F1442" s="1" t="s">
        <v>1730</v>
      </c>
      <c r="G1442" s="1">
        <v>200.0</v>
      </c>
      <c r="H1442" s="1" t="s">
        <v>966</v>
      </c>
      <c r="I1442" s="1" t="s">
        <v>967</v>
      </c>
      <c r="K1442" s="1" t="s">
        <v>4835</v>
      </c>
      <c r="L1442" s="1">
        <v>41.0</v>
      </c>
      <c r="M1442" s="1">
        <v>401.0</v>
      </c>
      <c r="O1442" s="1">
        <v>0.0</v>
      </c>
      <c r="P1442" s="1">
        <v>0.0</v>
      </c>
      <c r="R1442" s="1">
        <v>0.0</v>
      </c>
      <c r="S1442" s="1">
        <v>0.0</v>
      </c>
      <c r="T1442" s="1" t="s">
        <v>4836</v>
      </c>
      <c r="U1442" s="1">
        <v>23.0</v>
      </c>
      <c r="W1442" s="1">
        <v>0.0</v>
      </c>
      <c r="Y1442" s="1">
        <v>0.0</v>
      </c>
      <c r="AA1442" s="1">
        <v>0.0</v>
      </c>
      <c r="AC1442" s="1">
        <v>0.0</v>
      </c>
      <c r="AM1442" s="1">
        <v>387570.0</v>
      </c>
      <c r="AN1442" s="1">
        <v>387570.0</v>
      </c>
      <c r="AO1442" s="1">
        <v>387570.0</v>
      </c>
      <c r="AP1442" s="1">
        <v>148.471</v>
      </c>
      <c r="AR1442" s="1">
        <v>0.0</v>
      </c>
      <c r="AW1442" s="1">
        <v>0.0</v>
      </c>
      <c r="AX1442" s="1">
        <v>3.0</v>
      </c>
      <c r="AY1442" s="1">
        <v>4.0</v>
      </c>
      <c r="AZ1442" s="1">
        <v>1.0</v>
      </c>
      <c r="BA1442" s="1">
        <v>1.0</v>
      </c>
      <c r="BB1442" s="1">
        <v>1.0</v>
      </c>
      <c r="BC1442" s="1">
        <v>0.0</v>
      </c>
      <c r="BD1442" s="1">
        <v>0.13</v>
      </c>
      <c r="BE1442" s="1">
        <v>0.0</v>
      </c>
      <c r="BF1442" s="1">
        <v>0.0</v>
      </c>
      <c r="BG1442" s="1">
        <v>0.0</v>
      </c>
      <c r="BH1442" s="1">
        <v>0.0</v>
      </c>
      <c r="BI1442" s="1">
        <v>0.0</v>
      </c>
      <c r="BJ1442" s="1">
        <v>0.0</v>
      </c>
      <c r="BP1442" s="1">
        <v>0.286</v>
      </c>
      <c r="BQ1442" s="1" t="s">
        <v>4837</v>
      </c>
      <c r="BV1442" s="1">
        <v>1.1</v>
      </c>
      <c r="EQ1442" s="9" t="s">
        <v>4834</v>
      </c>
      <c r="ER1442" s="21">
        <v>46045.30059027778</v>
      </c>
    </row>
    <row r="1443">
      <c r="A1443" s="9" t="s">
        <v>4838</v>
      </c>
      <c r="B1443" s="20" t="str">
        <f>IFERROR(__xludf.DUMMYFUNCTION("REGEXREPLACE(A1443, ""^https?://[^/]+"", """")"),"/wp-content/uploads/2025/11/SAO-YT-Thumbnail-Tom-Gardner.jpg")</f>
        <v>/wp-content/uploads/2025/11/SAO-YT-Thumbnail-Tom-Gardner.jpg</v>
      </c>
      <c r="F1443" s="1" t="s">
        <v>1004</v>
      </c>
      <c r="G1443" s="1">
        <v>200.0</v>
      </c>
      <c r="H1443" s="1" t="s">
        <v>966</v>
      </c>
      <c r="I1443" s="1" t="s">
        <v>967</v>
      </c>
      <c r="L1443" s="1">
        <v>0.0</v>
      </c>
      <c r="M1443" s="1">
        <v>0.0</v>
      </c>
      <c r="O1443" s="1">
        <v>0.0</v>
      </c>
      <c r="P1443" s="1">
        <v>0.0</v>
      </c>
      <c r="R1443" s="1">
        <v>0.0</v>
      </c>
      <c r="S1443" s="1">
        <v>0.0</v>
      </c>
      <c r="U1443" s="1">
        <v>0.0</v>
      </c>
      <c r="W1443" s="1">
        <v>0.0</v>
      </c>
      <c r="Y1443" s="1">
        <v>0.0</v>
      </c>
      <c r="AA1443" s="1">
        <v>0.0</v>
      </c>
      <c r="AC1443" s="1">
        <v>0.0</v>
      </c>
      <c r="AM1443" s="1">
        <v>259775.0</v>
      </c>
      <c r="AN1443" s="1">
        <v>259775.0</v>
      </c>
      <c r="AO1443" s="1">
        <v>259775.0</v>
      </c>
      <c r="AP1443" s="1">
        <v>99.515</v>
      </c>
      <c r="AR1443" s="1">
        <v>0.0</v>
      </c>
      <c r="AW1443" s="1">
        <v>0.0</v>
      </c>
      <c r="AX1443" s="1">
        <v>3.0</v>
      </c>
      <c r="AY1443" s="1">
        <v>4.0</v>
      </c>
      <c r="BA1443" s="1">
        <v>0.0</v>
      </c>
      <c r="BB1443" s="1">
        <v>0.0</v>
      </c>
      <c r="BC1443" s="1">
        <v>0.0</v>
      </c>
      <c r="BD1443" s="1">
        <v>0.0</v>
      </c>
      <c r="BE1443" s="1">
        <v>0.0</v>
      </c>
      <c r="BF1443" s="1">
        <v>0.0</v>
      </c>
      <c r="BG1443" s="1">
        <v>0.0</v>
      </c>
      <c r="BH1443" s="1">
        <v>0.0</v>
      </c>
      <c r="BI1443" s="1">
        <v>0.0</v>
      </c>
      <c r="BJ1443" s="1">
        <v>0.0</v>
      </c>
      <c r="BP1443" s="1">
        <v>0.272</v>
      </c>
      <c r="BQ1443" s="1" t="s">
        <v>1816</v>
      </c>
      <c r="BV1443" s="1">
        <v>1.1</v>
      </c>
      <c r="EQ1443" s="9" t="s">
        <v>4838</v>
      </c>
      <c r="ER1443" s="21">
        <v>46045.30060185185</v>
      </c>
    </row>
    <row r="1444">
      <c r="A1444" s="9" t="s">
        <v>4839</v>
      </c>
      <c r="B1444" s="20" t="str">
        <f>IFERROR(__xludf.DUMMYFUNCTION("REGEXREPLACE(A1444, ""^https?://[^/]+"", """")"),"/wp-content/uploads/2025/10/SAO-YT-Thumbnail-John-Hirsh.jpg")</f>
        <v>/wp-content/uploads/2025/10/SAO-YT-Thumbnail-John-Hirsh.jpg</v>
      </c>
      <c r="F1444" s="1" t="s">
        <v>1004</v>
      </c>
      <c r="G1444" s="1">
        <v>200.0</v>
      </c>
      <c r="H1444" s="1" t="s">
        <v>966</v>
      </c>
      <c r="I1444" s="1" t="s">
        <v>967</v>
      </c>
      <c r="L1444" s="1">
        <v>0.0</v>
      </c>
      <c r="M1444" s="1">
        <v>0.0</v>
      </c>
      <c r="O1444" s="1">
        <v>0.0</v>
      </c>
      <c r="P1444" s="1">
        <v>0.0</v>
      </c>
      <c r="R1444" s="1">
        <v>0.0</v>
      </c>
      <c r="S1444" s="1">
        <v>0.0</v>
      </c>
      <c r="U1444" s="1">
        <v>0.0</v>
      </c>
      <c r="W1444" s="1">
        <v>0.0</v>
      </c>
      <c r="Y1444" s="1">
        <v>0.0</v>
      </c>
      <c r="AA1444" s="1">
        <v>0.0</v>
      </c>
      <c r="AC1444" s="1">
        <v>0.0</v>
      </c>
      <c r="AM1444" s="1">
        <v>1604495.0</v>
      </c>
      <c r="AN1444" s="1">
        <v>1604495.0</v>
      </c>
      <c r="AO1444" s="1">
        <v>1604495.0</v>
      </c>
      <c r="AP1444" s="1">
        <v>614.652</v>
      </c>
      <c r="AR1444" s="1">
        <v>0.0</v>
      </c>
      <c r="AW1444" s="1">
        <v>0.0</v>
      </c>
      <c r="AX1444" s="1">
        <v>3.0</v>
      </c>
      <c r="AY1444" s="1">
        <v>4.0</v>
      </c>
      <c r="BA1444" s="1">
        <v>0.0</v>
      </c>
      <c r="BB1444" s="1">
        <v>0.0</v>
      </c>
      <c r="BC1444" s="1">
        <v>0.0</v>
      </c>
      <c r="BD1444" s="1">
        <v>0.0</v>
      </c>
      <c r="BE1444" s="1">
        <v>0.0</v>
      </c>
      <c r="BF1444" s="1">
        <v>0.0</v>
      </c>
      <c r="BG1444" s="1">
        <v>0.0</v>
      </c>
      <c r="BH1444" s="1">
        <v>0.0</v>
      </c>
      <c r="BI1444" s="1">
        <v>0.0</v>
      </c>
      <c r="BJ1444" s="1">
        <v>0.0</v>
      </c>
      <c r="BP1444" s="1">
        <v>0.269</v>
      </c>
      <c r="BQ1444" s="1" t="s">
        <v>4840</v>
      </c>
      <c r="BV1444" s="1">
        <v>1.1</v>
      </c>
      <c r="EQ1444" s="9" t="s">
        <v>4839</v>
      </c>
      <c r="ER1444" s="21">
        <v>46045.30060185185</v>
      </c>
    </row>
    <row r="1445">
      <c r="A1445" s="9" t="s">
        <v>4841</v>
      </c>
      <c r="B1445" s="20" t="str">
        <f>IFERROR(__xludf.DUMMYFUNCTION("REGEXREPLACE(A1445, ""^https?://[^/]+"", """")"),"/wp-content/uploads/2019/11/Case_Study_Home_Healthcare-1.pdf")</f>
        <v>/wp-content/uploads/2019/11/Case_Study_Home_Healthcare-1.pdf</v>
      </c>
      <c r="F1445" s="1" t="s">
        <v>1730</v>
      </c>
      <c r="G1445" s="1">
        <v>200.0</v>
      </c>
      <c r="H1445" s="1" t="s">
        <v>966</v>
      </c>
      <c r="I1445" s="1" t="s">
        <v>967</v>
      </c>
      <c r="L1445" s="1">
        <v>0.0</v>
      </c>
      <c r="M1445" s="1">
        <v>0.0</v>
      </c>
      <c r="O1445" s="1">
        <v>0.0</v>
      </c>
      <c r="P1445" s="1">
        <v>0.0</v>
      </c>
      <c r="R1445" s="1">
        <v>0.0</v>
      </c>
      <c r="S1445" s="1">
        <v>0.0</v>
      </c>
      <c r="U1445" s="1">
        <v>0.0</v>
      </c>
      <c r="W1445" s="1">
        <v>0.0</v>
      </c>
      <c r="Y1445" s="1">
        <v>0.0</v>
      </c>
      <c r="AA1445" s="1">
        <v>0.0</v>
      </c>
      <c r="AC1445" s="1">
        <v>0.0</v>
      </c>
      <c r="AM1445" s="1">
        <v>781649.0</v>
      </c>
      <c r="AN1445" s="1">
        <v>781649.0</v>
      </c>
      <c r="AO1445" s="1">
        <v>781649.0</v>
      </c>
      <c r="AP1445" s="1">
        <v>299.435</v>
      </c>
      <c r="AR1445" s="1">
        <v>0.0</v>
      </c>
      <c r="AW1445" s="1">
        <v>0.0</v>
      </c>
      <c r="AX1445" s="1">
        <v>3.0</v>
      </c>
      <c r="AY1445" s="1">
        <v>4.0</v>
      </c>
      <c r="AZ1445" s="1">
        <v>1.0</v>
      </c>
      <c r="BA1445" s="1">
        <v>1.0</v>
      </c>
      <c r="BB1445" s="1">
        <v>1.0</v>
      </c>
      <c r="BC1445" s="1">
        <v>0.0</v>
      </c>
      <c r="BD1445" s="1">
        <v>0.13</v>
      </c>
      <c r="BE1445" s="1">
        <v>0.0</v>
      </c>
      <c r="BF1445" s="1">
        <v>0.0</v>
      </c>
      <c r="BG1445" s="1">
        <v>0.0</v>
      </c>
      <c r="BH1445" s="1">
        <v>0.0</v>
      </c>
      <c r="BI1445" s="1">
        <v>0.0</v>
      </c>
      <c r="BJ1445" s="1">
        <v>0.0</v>
      </c>
      <c r="BP1445" s="1">
        <v>0.258</v>
      </c>
      <c r="BQ1445" s="1" t="s">
        <v>4842</v>
      </c>
      <c r="BV1445" s="1">
        <v>1.1</v>
      </c>
      <c r="EQ1445" s="9" t="s">
        <v>4841</v>
      </c>
      <c r="ER1445" s="21">
        <v>46045.30059027778</v>
      </c>
    </row>
    <row r="1446">
      <c r="A1446" s="9" t="s">
        <v>4843</v>
      </c>
      <c r="B1446" s="20" t="str">
        <f>IFERROR(__xludf.DUMMYFUNCTION("REGEXREPLACE(A1446, ""^https?://[^/]+"", """")"),"/wp-content/themes/salesxceleratione/assets/css/style.css?ver=1769123357")</f>
        <v>/wp-content/themes/salesxceleratione/assets/css/style.css?ver=1769123357</v>
      </c>
      <c r="F1446" s="1" t="s">
        <v>1016</v>
      </c>
      <c r="G1446" s="1">
        <v>200.0</v>
      </c>
      <c r="H1446" s="1" t="s">
        <v>966</v>
      </c>
      <c r="I1446" s="1" t="s">
        <v>967</v>
      </c>
      <c r="L1446" s="1">
        <v>0.0</v>
      </c>
      <c r="M1446" s="1">
        <v>0.0</v>
      </c>
      <c r="O1446" s="1">
        <v>0.0</v>
      </c>
      <c r="P1446" s="1">
        <v>0.0</v>
      </c>
      <c r="R1446" s="1">
        <v>0.0</v>
      </c>
      <c r="S1446" s="1">
        <v>0.0</v>
      </c>
      <c r="U1446" s="1">
        <v>0.0</v>
      </c>
      <c r="W1446" s="1">
        <v>0.0</v>
      </c>
      <c r="Y1446" s="1">
        <v>0.0</v>
      </c>
      <c r="AA1446" s="1">
        <v>0.0</v>
      </c>
      <c r="AC1446" s="1">
        <v>0.0</v>
      </c>
      <c r="AM1446" s="1">
        <v>17704.0</v>
      </c>
      <c r="AN1446" s="1">
        <v>17704.0</v>
      </c>
      <c r="AO1446" s="1">
        <v>17704.0</v>
      </c>
      <c r="AP1446" s="1">
        <v>6.782</v>
      </c>
      <c r="AR1446" s="1">
        <v>0.0</v>
      </c>
      <c r="AW1446" s="1">
        <v>0.0</v>
      </c>
      <c r="AX1446" s="1">
        <v>3.0</v>
      </c>
      <c r="AY1446" s="1">
        <v>5.0</v>
      </c>
      <c r="BA1446" s="1">
        <v>0.0</v>
      </c>
      <c r="BB1446" s="1">
        <v>0.0</v>
      </c>
      <c r="BC1446" s="1">
        <v>0.0</v>
      </c>
      <c r="BD1446" s="1">
        <v>0.0</v>
      </c>
      <c r="BE1446" s="1">
        <v>0.0</v>
      </c>
      <c r="BF1446" s="1">
        <v>0.0</v>
      </c>
      <c r="BG1446" s="1">
        <v>0.0</v>
      </c>
      <c r="BH1446" s="1">
        <v>0.0</v>
      </c>
      <c r="BI1446" s="1">
        <v>0.0</v>
      </c>
      <c r="BJ1446" s="1">
        <v>0.0</v>
      </c>
      <c r="BP1446" s="1">
        <v>0.243</v>
      </c>
      <c r="BQ1446" s="1" t="s">
        <v>4844</v>
      </c>
      <c r="BV1446" s="1">
        <v>1.1</v>
      </c>
      <c r="EQ1446" s="9" t="s">
        <v>4843</v>
      </c>
      <c r="ER1446" s="21">
        <v>46045.30060185185</v>
      </c>
    </row>
    <row r="1447">
      <c r="A1447" s="9" t="s">
        <v>1789</v>
      </c>
      <c r="B1447" s="20" t="str">
        <f>IFERROR(__xludf.DUMMYFUNCTION("REGEXREPLACE(A1447, ""^https?://[^/]+"", """")"),"/sales-training-alone-wont-improve-businesss-revenue/")</f>
        <v>/sales-training-alone-wont-improve-businesss-revenue/</v>
      </c>
      <c r="C1447" s="1" t="s">
        <v>4845</v>
      </c>
      <c r="F1447" s="1" t="s">
        <v>965</v>
      </c>
      <c r="G1447" s="1">
        <v>200.0</v>
      </c>
      <c r="H1447" s="1" t="s">
        <v>966</v>
      </c>
      <c r="I1447" s="1" t="s">
        <v>967</v>
      </c>
      <c r="K1447" s="1" t="s">
        <v>4846</v>
      </c>
      <c r="L1447" s="1">
        <v>59.0</v>
      </c>
      <c r="M1447" s="1">
        <v>555.0</v>
      </c>
      <c r="O1447" s="1">
        <v>0.0</v>
      </c>
      <c r="P1447" s="1">
        <v>0.0</v>
      </c>
      <c r="Q1447" s="1" t="s">
        <v>4847</v>
      </c>
      <c r="R1447" s="1">
        <v>150.0</v>
      </c>
      <c r="S1447" s="1">
        <v>942.0</v>
      </c>
      <c r="U1447" s="1">
        <v>0.0</v>
      </c>
      <c r="V1447" s="1" t="s">
        <v>4845</v>
      </c>
      <c r="W1447" s="1">
        <v>119.0</v>
      </c>
      <c r="Y1447" s="1">
        <v>0.0</v>
      </c>
      <c r="AA1447" s="1">
        <v>0.0</v>
      </c>
      <c r="AC1447" s="1">
        <v>0.0</v>
      </c>
      <c r="AD1447" s="1" t="s">
        <v>971</v>
      </c>
      <c r="AG1447" s="9" t="s">
        <v>1789</v>
      </c>
      <c r="AM1447" s="1">
        <v>201521.0</v>
      </c>
      <c r="AN1447" s="1">
        <v>35322.0</v>
      </c>
      <c r="AO1447" s="1">
        <v>35322.0</v>
      </c>
      <c r="AP1447" s="1">
        <v>13.531</v>
      </c>
      <c r="AR1447" s="1">
        <v>1196.0</v>
      </c>
      <c r="AS1447" s="1">
        <v>175.0</v>
      </c>
      <c r="AT1447" s="1">
        <v>6.834</v>
      </c>
      <c r="AU1447" s="1">
        <v>64.864</v>
      </c>
      <c r="AV1447" s="1" t="s">
        <v>990</v>
      </c>
      <c r="AW1447" s="1">
        <v>4.824</v>
      </c>
      <c r="AX1447" s="1">
        <v>3.0</v>
      </c>
      <c r="AY1447" s="1">
        <v>1.0</v>
      </c>
      <c r="AZ1447" s="1">
        <v>3.0</v>
      </c>
      <c r="BA1447" s="1">
        <v>0.0</v>
      </c>
      <c r="BB1447" s="1">
        <v>0.0</v>
      </c>
      <c r="BC1447" s="1">
        <v>0.0</v>
      </c>
      <c r="BD1447" s="1">
        <v>0.0</v>
      </c>
      <c r="BE1447" s="1">
        <v>129.0</v>
      </c>
      <c r="BF1447" s="1">
        <v>47.0</v>
      </c>
      <c r="BG1447" s="1">
        <v>0.0</v>
      </c>
      <c r="BH1447" s="1">
        <v>16.0</v>
      </c>
      <c r="BI1447" s="1">
        <v>8.0</v>
      </c>
      <c r="BJ1447" s="1">
        <v>0.0</v>
      </c>
      <c r="BO1447" s="1" t="s">
        <v>4848</v>
      </c>
      <c r="BP1447" s="1">
        <v>1.416</v>
      </c>
      <c r="BU1447" s="1" t="s">
        <v>974</v>
      </c>
      <c r="BV1447" s="1">
        <v>1.1</v>
      </c>
      <c r="EQ1447" s="9" t="s">
        <v>1789</v>
      </c>
      <c r="ER1447" s="21">
        <v>46045.30059027778</v>
      </c>
    </row>
    <row r="1448">
      <c r="A1448" s="9" t="s">
        <v>4849</v>
      </c>
      <c r="B1448" s="20" t="str">
        <f>IFERROR(__xludf.DUMMYFUNCTION("REGEXREPLACE(A1448, ""^https?://[^/]+"", """")"),"/wp-content/uploads/2024/05/Mastering-AI-for-Sales-Prospecting.jpg")</f>
        <v>/wp-content/uploads/2024/05/Mastering-AI-for-Sales-Prospecting.jpg</v>
      </c>
      <c r="F1448" s="1" t="s">
        <v>1004</v>
      </c>
      <c r="G1448" s="1">
        <v>200.0</v>
      </c>
      <c r="H1448" s="1" t="s">
        <v>966</v>
      </c>
      <c r="I1448" s="1" t="s">
        <v>967</v>
      </c>
      <c r="L1448" s="1">
        <v>0.0</v>
      </c>
      <c r="M1448" s="1">
        <v>0.0</v>
      </c>
      <c r="O1448" s="1">
        <v>0.0</v>
      </c>
      <c r="P1448" s="1">
        <v>0.0</v>
      </c>
      <c r="R1448" s="1">
        <v>0.0</v>
      </c>
      <c r="S1448" s="1">
        <v>0.0</v>
      </c>
      <c r="U1448" s="1">
        <v>0.0</v>
      </c>
      <c r="W1448" s="1">
        <v>0.0</v>
      </c>
      <c r="Y1448" s="1">
        <v>0.0</v>
      </c>
      <c r="AA1448" s="1">
        <v>0.0</v>
      </c>
      <c r="AC1448" s="1">
        <v>0.0</v>
      </c>
      <c r="AM1448" s="1">
        <v>226389.0</v>
      </c>
      <c r="AN1448" s="1">
        <v>226389.0</v>
      </c>
      <c r="AO1448" s="1">
        <v>226389.0</v>
      </c>
      <c r="AP1448" s="1">
        <v>86.725</v>
      </c>
      <c r="AR1448" s="1">
        <v>0.0</v>
      </c>
      <c r="AW1448" s="1">
        <v>0.0</v>
      </c>
      <c r="AX1448" s="1">
        <v>3.0</v>
      </c>
      <c r="AY1448" s="1">
        <v>4.0</v>
      </c>
      <c r="BA1448" s="1">
        <v>0.0</v>
      </c>
      <c r="BB1448" s="1">
        <v>0.0</v>
      </c>
      <c r="BC1448" s="1">
        <v>0.0</v>
      </c>
      <c r="BD1448" s="1">
        <v>0.0</v>
      </c>
      <c r="BE1448" s="1">
        <v>0.0</v>
      </c>
      <c r="BF1448" s="1">
        <v>0.0</v>
      </c>
      <c r="BG1448" s="1">
        <v>0.0</v>
      </c>
      <c r="BH1448" s="1">
        <v>0.0</v>
      </c>
      <c r="BI1448" s="1">
        <v>0.0</v>
      </c>
      <c r="BJ1448" s="1">
        <v>0.0</v>
      </c>
      <c r="BP1448" s="1">
        <v>0.598</v>
      </c>
      <c r="BQ1448" s="1" t="s">
        <v>4850</v>
      </c>
      <c r="BV1448" s="1">
        <v>1.1</v>
      </c>
      <c r="EQ1448" s="9" t="s">
        <v>4849</v>
      </c>
      <c r="ER1448" s="21">
        <v>46045.30060185185</v>
      </c>
    </row>
    <row r="1449">
      <c r="A1449" s="9" t="s">
        <v>4851</v>
      </c>
      <c r="B1449" s="20" t="str">
        <f>IFERROR(__xludf.DUMMYFUNCTION("REGEXREPLACE(A1449, ""^https?://[^/]+"", """")"),"/wp-content/uploads/elementor/css/post-72624.css?ver=1768862553")</f>
        <v>/wp-content/uploads/elementor/css/post-72624.css?ver=1768862553</v>
      </c>
      <c r="F1449" s="1" t="s">
        <v>1016</v>
      </c>
      <c r="G1449" s="1">
        <v>200.0</v>
      </c>
      <c r="H1449" s="1" t="s">
        <v>966</v>
      </c>
      <c r="I1449" s="1" t="s">
        <v>967</v>
      </c>
      <c r="L1449" s="1">
        <v>0.0</v>
      </c>
      <c r="M1449" s="1">
        <v>0.0</v>
      </c>
      <c r="O1449" s="1">
        <v>0.0</v>
      </c>
      <c r="P1449" s="1">
        <v>0.0</v>
      </c>
      <c r="R1449" s="1">
        <v>0.0</v>
      </c>
      <c r="S1449" s="1">
        <v>0.0</v>
      </c>
      <c r="U1449" s="1">
        <v>0.0</v>
      </c>
      <c r="W1449" s="1">
        <v>0.0</v>
      </c>
      <c r="Y1449" s="1">
        <v>0.0</v>
      </c>
      <c r="AA1449" s="1">
        <v>0.0</v>
      </c>
      <c r="AC1449" s="1">
        <v>0.0</v>
      </c>
      <c r="AM1449" s="1">
        <v>340.0</v>
      </c>
      <c r="AN1449" s="1">
        <v>340.0</v>
      </c>
      <c r="AO1449" s="1">
        <v>340.0</v>
      </c>
      <c r="AP1449" s="1">
        <v>0.13</v>
      </c>
      <c r="AR1449" s="1">
        <v>0.0</v>
      </c>
      <c r="AW1449" s="1">
        <v>0.0</v>
      </c>
      <c r="AX1449" s="1">
        <v>3.0</v>
      </c>
      <c r="AY1449" s="1">
        <v>4.0</v>
      </c>
      <c r="BA1449" s="1">
        <v>0.0</v>
      </c>
      <c r="BB1449" s="1">
        <v>0.0</v>
      </c>
      <c r="BC1449" s="1">
        <v>0.0</v>
      </c>
      <c r="BD1449" s="1">
        <v>0.0</v>
      </c>
      <c r="BE1449" s="1">
        <v>0.0</v>
      </c>
      <c r="BF1449" s="1">
        <v>0.0</v>
      </c>
      <c r="BG1449" s="1">
        <v>0.0</v>
      </c>
      <c r="BH1449" s="1">
        <v>0.0</v>
      </c>
      <c r="BI1449" s="1">
        <v>0.0</v>
      </c>
      <c r="BJ1449" s="1">
        <v>0.0</v>
      </c>
      <c r="BP1449" s="1">
        <v>0.271</v>
      </c>
      <c r="BQ1449" s="1" t="s">
        <v>4852</v>
      </c>
      <c r="BV1449" s="1">
        <v>1.1</v>
      </c>
      <c r="EQ1449" s="9" t="s">
        <v>4851</v>
      </c>
      <c r="ER1449" s="21">
        <v>46045.30061342593</v>
      </c>
    </row>
    <row r="1450">
      <c r="A1450" s="9" t="s">
        <v>4853</v>
      </c>
      <c r="B1450" s="20" t="str">
        <f>IFERROR(__xludf.DUMMYFUNCTION("REGEXREPLACE(A1450, ""^https?://[^/]+"", """")"),"/wp-content/uploads/2014/09/Leading-lagging-sales-2048x2048.jpg")</f>
        <v>/wp-content/uploads/2014/09/Leading-lagging-sales-2048x2048.jpg</v>
      </c>
      <c r="F1450" s="1" t="s">
        <v>1004</v>
      </c>
      <c r="G1450" s="1">
        <v>200.0</v>
      </c>
      <c r="H1450" s="1" t="s">
        <v>966</v>
      </c>
      <c r="I1450" s="1" t="s">
        <v>967</v>
      </c>
      <c r="L1450" s="1">
        <v>0.0</v>
      </c>
      <c r="M1450" s="1">
        <v>0.0</v>
      </c>
      <c r="O1450" s="1">
        <v>0.0</v>
      </c>
      <c r="P1450" s="1">
        <v>0.0</v>
      </c>
      <c r="R1450" s="1">
        <v>0.0</v>
      </c>
      <c r="S1450" s="1">
        <v>0.0</v>
      </c>
      <c r="U1450" s="1">
        <v>0.0</v>
      </c>
      <c r="W1450" s="1">
        <v>0.0</v>
      </c>
      <c r="Y1450" s="1">
        <v>0.0</v>
      </c>
      <c r="AA1450" s="1">
        <v>0.0</v>
      </c>
      <c r="AC1450" s="1">
        <v>0.0</v>
      </c>
      <c r="AM1450" s="1">
        <v>372724.0</v>
      </c>
      <c r="AN1450" s="1">
        <v>372724.0</v>
      </c>
      <c r="AO1450" s="1">
        <v>372724.0</v>
      </c>
      <c r="AP1450" s="1">
        <v>142.783</v>
      </c>
      <c r="AR1450" s="1">
        <v>0.0</v>
      </c>
      <c r="AW1450" s="1">
        <v>0.0</v>
      </c>
      <c r="AX1450" s="1">
        <v>3.0</v>
      </c>
      <c r="AY1450" s="1">
        <v>4.0</v>
      </c>
      <c r="BA1450" s="1">
        <v>0.0</v>
      </c>
      <c r="BB1450" s="1">
        <v>0.0</v>
      </c>
      <c r="BC1450" s="1">
        <v>0.0</v>
      </c>
      <c r="BD1450" s="1">
        <v>0.0</v>
      </c>
      <c r="BE1450" s="1">
        <v>0.0</v>
      </c>
      <c r="BF1450" s="1">
        <v>0.0</v>
      </c>
      <c r="BG1450" s="1">
        <v>0.0</v>
      </c>
      <c r="BH1450" s="1">
        <v>0.0</v>
      </c>
      <c r="BI1450" s="1">
        <v>0.0</v>
      </c>
      <c r="BJ1450" s="1">
        <v>0.0</v>
      </c>
      <c r="BP1450" s="1">
        <v>0.268</v>
      </c>
      <c r="BQ1450" s="1" t="s">
        <v>4854</v>
      </c>
      <c r="BV1450" s="1">
        <v>1.1</v>
      </c>
      <c r="EQ1450" s="9" t="s">
        <v>4853</v>
      </c>
      <c r="ER1450" s="21">
        <v>46045.30061342593</v>
      </c>
    </row>
    <row r="1451">
      <c r="A1451" s="9" t="s">
        <v>4855</v>
      </c>
      <c r="B1451" s="20" t="str">
        <f>IFERROR(__xludf.DUMMYFUNCTION("REGEXREPLACE(A1451, ""^https?://[^/]+"", """")"),"/wp-content/uploads/2025/12/SAO-YT-Thumbnail-Kurt-Schneiber.jpg")</f>
        <v>/wp-content/uploads/2025/12/SAO-YT-Thumbnail-Kurt-Schneiber.jpg</v>
      </c>
      <c r="F1451" s="1" t="s">
        <v>1004</v>
      </c>
      <c r="G1451" s="1">
        <v>200.0</v>
      </c>
      <c r="H1451" s="1" t="s">
        <v>966</v>
      </c>
      <c r="I1451" s="1" t="s">
        <v>967</v>
      </c>
      <c r="L1451" s="1">
        <v>0.0</v>
      </c>
      <c r="M1451" s="1">
        <v>0.0</v>
      </c>
      <c r="O1451" s="1">
        <v>0.0</v>
      </c>
      <c r="P1451" s="1">
        <v>0.0</v>
      </c>
      <c r="R1451" s="1">
        <v>0.0</v>
      </c>
      <c r="S1451" s="1">
        <v>0.0</v>
      </c>
      <c r="U1451" s="1">
        <v>0.0</v>
      </c>
      <c r="W1451" s="1">
        <v>0.0</v>
      </c>
      <c r="Y1451" s="1">
        <v>0.0</v>
      </c>
      <c r="AA1451" s="1">
        <v>0.0</v>
      </c>
      <c r="AC1451" s="1">
        <v>0.0</v>
      </c>
      <c r="AM1451" s="1">
        <v>358493.0</v>
      </c>
      <c r="AN1451" s="1">
        <v>358493.0</v>
      </c>
      <c r="AO1451" s="1">
        <v>358493.0</v>
      </c>
      <c r="AP1451" s="1">
        <v>137.332</v>
      </c>
      <c r="AR1451" s="1">
        <v>0.0</v>
      </c>
      <c r="AW1451" s="1">
        <v>0.0</v>
      </c>
      <c r="AX1451" s="1">
        <v>3.0</v>
      </c>
      <c r="AY1451" s="1">
        <v>4.0</v>
      </c>
      <c r="BA1451" s="1">
        <v>0.0</v>
      </c>
      <c r="BB1451" s="1">
        <v>0.0</v>
      </c>
      <c r="BC1451" s="1">
        <v>0.0</v>
      </c>
      <c r="BD1451" s="1">
        <v>0.0</v>
      </c>
      <c r="BE1451" s="1">
        <v>0.0</v>
      </c>
      <c r="BF1451" s="1">
        <v>0.0</v>
      </c>
      <c r="BG1451" s="1">
        <v>0.0</v>
      </c>
      <c r="BH1451" s="1">
        <v>0.0</v>
      </c>
      <c r="BI1451" s="1">
        <v>0.0</v>
      </c>
      <c r="BJ1451" s="1">
        <v>0.0</v>
      </c>
      <c r="BP1451" s="1">
        <v>0.258</v>
      </c>
      <c r="BQ1451" s="1" t="s">
        <v>4856</v>
      </c>
      <c r="BV1451" s="1">
        <v>1.1</v>
      </c>
      <c r="EQ1451" s="9" t="s">
        <v>4855</v>
      </c>
      <c r="ER1451" s="21">
        <v>46045.30061342593</v>
      </c>
    </row>
    <row r="1452">
      <c r="A1452" s="9" t="s">
        <v>4857</v>
      </c>
      <c r="B1452" s="20" t="str">
        <f>IFERROR(__xludf.DUMMYFUNCTION("REGEXREPLACE(A1452, ""^https?://[^/]+"", """")"),"/mastering-ai-for-sales-prospecting/")</f>
        <v>/mastering-ai-for-sales-prospecting/</v>
      </c>
      <c r="C1452" s="1" t="s">
        <v>4858</v>
      </c>
      <c r="D1452" s="1" t="s">
        <v>4859</v>
      </c>
      <c r="E1452" s="1" t="s">
        <v>4860</v>
      </c>
      <c r="F1452" s="1" t="s">
        <v>965</v>
      </c>
      <c r="G1452" s="1">
        <v>200.0</v>
      </c>
      <c r="H1452" s="1" t="s">
        <v>966</v>
      </c>
      <c r="I1452" s="1" t="s">
        <v>967</v>
      </c>
      <c r="K1452" s="1" t="s">
        <v>4861</v>
      </c>
      <c r="L1452" s="1">
        <v>59.0</v>
      </c>
      <c r="M1452" s="1">
        <v>524.0</v>
      </c>
      <c r="O1452" s="1">
        <v>0.0</v>
      </c>
      <c r="P1452" s="1">
        <v>0.0</v>
      </c>
      <c r="Q1452" s="1" t="s">
        <v>4862</v>
      </c>
      <c r="R1452" s="1">
        <v>151.0</v>
      </c>
      <c r="S1452" s="1">
        <v>925.0</v>
      </c>
      <c r="U1452" s="1">
        <v>0.0</v>
      </c>
      <c r="V1452" s="1" t="s">
        <v>4858</v>
      </c>
      <c r="W1452" s="1">
        <v>34.0</v>
      </c>
      <c r="Y1452" s="1">
        <v>0.0</v>
      </c>
      <c r="Z1452" s="1" t="s">
        <v>4859</v>
      </c>
      <c r="AA1452" s="1">
        <v>30.0</v>
      </c>
      <c r="AB1452" s="1" t="s">
        <v>4860</v>
      </c>
      <c r="AC1452" s="1">
        <v>27.0</v>
      </c>
      <c r="AD1452" s="1" t="s">
        <v>971</v>
      </c>
      <c r="AG1452" s="9" t="s">
        <v>4857</v>
      </c>
      <c r="AM1452" s="1">
        <v>207713.0</v>
      </c>
      <c r="AN1452" s="1">
        <v>36616.0</v>
      </c>
      <c r="AO1452" s="1">
        <v>36616.0</v>
      </c>
      <c r="AP1452" s="1">
        <v>14.027</v>
      </c>
      <c r="AR1452" s="1">
        <v>1405.0</v>
      </c>
      <c r="AS1452" s="1">
        <v>218.0</v>
      </c>
      <c r="AT1452" s="1">
        <v>6.445</v>
      </c>
      <c r="AU1452" s="1">
        <v>58.491</v>
      </c>
      <c r="AV1452" s="1" t="s">
        <v>972</v>
      </c>
      <c r="AW1452" s="1">
        <v>5.444</v>
      </c>
      <c r="AX1452" s="1">
        <v>3.0</v>
      </c>
      <c r="AY1452" s="1">
        <v>1.0</v>
      </c>
      <c r="AZ1452" s="1">
        <v>1.0</v>
      </c>
      <c r="BA1452" s="1">
        <v>4.0</v>
      </c>
      <c r="BB1452" s="1">
        <v>3.0</v>
      </c>
      <c r="BC1452" s="1">
        <v>0.0</v>
      </c>
      <c r="BD1452" s="1">
        <v>0.4</v>
      </c>
      <c r="BE1452" s="1">
        <v>135.0</v>
      </c>
      <c r="BF1452" s="1">
        <v>47.0</v>
      </c>
      <c r="BG1452" s="1">
        <v>0.0</v>
      </c>
      <c r="BH1452" s="1">
        <v>16.0</v>
      </c>
      <c r="BI1452" s="1">
        <v>8.0</v>
      </c>
      <c r="BJ1452" s="1">
        <v>0.0</v>
      </c>
      <c r="BO1452" s="1" t="s">
        <v>4863</v>
      </c>
      <c r="BP1452" s="1">
        <v>1.42</v>
      </c>
      <c r="BU1452" s="1" t="s">
        <v>974</v>
      </c>
      <c r="BV1452" s="1">
        <v>1.1</v>
      </c>
      <c r="EQ1452" s="9" t="s">
        <v>4857</v>
      </c>
      <c r="ER1452" s="21">
        <v>46045.30060185185</v>
      </c>
    </row>
    <row r="1453">
      <c r="A1453" s="9" t="s">
        <v>4864</v>
      </c>
      <c r="B1453" s="20" t="str">
        <f>IFERROR(__xludf.DUMMYFUNCTION("REGEXREPLACE(A1453, ""^https?://[^/]+"", """")"),"/are-you-leading-or-lagging-in-sales-why-your-metrics-should-berevolutionary/")</f>
        <v>/are-you-leading-or-lagging-in-sales-why-your-metrics-should-berevolutionary/</v>
      </c>
      <c r="C1453" s="1" t="s">
        <v>4865</v>
      </c>
      <c r="F1453" s="1" t="s">
        <v>965</v>
      </c>
      <c r="G1453" s="1">
        <v>200.0</v>
      </c>
      <c r="H1453" s="1" t="s">
        <v>966</v>
      </c>
      <c r="I1453" s="1" t="s">
        <v>967</v>
      </c>
      <c r="K1453" s="1" t="s">
        <v>4866</v>
      </c>
      <c r="L1453" s="1">
        <v>51.0</v>
      </c>
      <c r="M1453" s="1">
        <v>460.0</v>
      </c>
      <c r="O1453" s="1">
        <v>0.0</v>
      </c>
      <c r="P1453" s="1">
        <v>0.0</v>
      </c>
      <c r="Q1453" s="1" t="s">
        <v>4867</v>
      </c>
      <c r="R1453" s="1">
        <v>152.0</v>
      </c>
      <c r="S1453" s="1">
        <v>909.0</v>
      </c>
      <c r="U1453" s="1">
        <v>0.0</v>
      </c>
      <c r="V1453" s="1" t="s">
        <v>4865</v>
      </c>
      <c r="W1453" s="1">
        <v>77.0</v>
      </c>
      <c r="Y1453" s="1">
        <v>0.0</v>
      </c>
      <c r="AA1453" s="1">
        <v>0.0</v>
      </c>
      <c r="AC1453" s="1">
        <v>0.0</v>
      </c>
      <c r="AD1453" s="1" t="s">
        <v>971</v>
      </c>
      <c r="AG1453" s="9" t="s">
        <v>4864</v>
      </c>
      <c r="AM1453" s="1">
        <v>202357.0</v>
      </c>
      <c r="AN1453" s="1">
        <v>36421.0</v>
      </c>
      <c r="AO1453" s="1">
        <v>36421.0</v>
      </c>
      <c r="AP1453" s="1">
        <v>13.952</v>
      </c>
      <c r="AR1453" s="1">
        <v>1418.0</v>
      </c>
      <c r="AS1453" s="1">
        <v>205.0</v>
      </c>
      <c r="AT1453" s="1">
        <v>6.917</v>
      </c>
      <c r="AU1453" s="1">
        <v>62.354</v>
      </c>
      <c r="AV1453" s="1" t="s">
        <v>990</v>
      </c>
      <c r="AW1453" s="1">
        <v>5.534</v>
      </c>
      <c r="AX1453" s="1">
        <v>3.0</v>
      </c>
      <c r="AY1453" s="1">
        <v>1.0</v>
      </c>
      <c r="AZ1453" s="1">
        <v>1.0</v>
      </c>
      <c r="BA1453" s="1">
        <v>14.0</v>
      </c>
      <c r="BB1453" s="1">
        <v>14.0</v>
      </c>
      <c r="BC1453" s="1">
        <v>0.0</v>
      </c>
      <c r="BD1453" s="1">
        <v>1.86</v>
      </c>
      <c r="BE1453" s="1">
        <v>132.0</v>
      </c>
      <c r="BF1453" s="1">
        <v>49.0</v>
      </c>
      <c r="BG1453" s="1">
        <v>0.0</v>
      </c>
      <c r="BH1453" s="1">
        <v>17.0</v>
      </c>
      <c r="BI1453" s="1">
        <v>9.0</v>
      </c>
      <c r="BJ1453" s="1">
        <v>0.0</v>
      </c>
      <c r="BO1453" s="1" t="s">
        <v>4868</v>
      </c>
      <c r="BP1453" s="1">
        <v>1.396</v>
      </c>
      <c r="BU1453" s="1" t="s">
        <v>974</v>
      </c>
      <c r="BV1453" s="1">
        <v>1.1</v>
      </c>
      <c r="EQ1453" s="9" t="s">
        <v>4864</v>
      </c>
      <c r="ER1453" s="21">
        <v>46045.30060185185</v>
      </c>
    </row>
    <row r="1454">
      <c r="A1454" s="9" t="s">
        <v>4869</v>
      </c>
      <c r="B1454" s="20" t="str">
        <f>IFERROR(__xludf.DUMMYFUNCTION("REGEXREPLACE(A1454, ""^https?://[^/]+"", """")"),"/how-do-you-keep-sales-human-in-an-ai-driven-world/")</f>
        <v>/how-do-you-keep-sales-human-in-an-ai-driven-world/</v>
      </c>
      <c r="C1454" s="1" t="s">
        <v>4870</v>
      </c>
      <c r="D1454" s="1" t="s">
        <v>4871</v>
      </c>
      <c r="E1454" s="1" t="s">
        <v>4872</v>
      </c>
      <c r="F1454" s="1" t="s">
        <v>965</v>
      </c>
      <c r="G1454" s="1">
        <v>200.0</v>
      </c>
      <c r="H1454" s="1" t="s">
        <v>966</v>
      </c>
      <c r="I1454" s="1" t="s">
        <v>967</v>
      </c>
      <c r="K1454" s="1" t="s">
        <v>4873</v>
      </c>
      <c r="L1454" s="1">
        <v>75.0</v>
      </c>
      <c r="M1454" s="1">
        <v>712.0</v>
      </c>
      <c r="O1454" s="1">
        <v>0.0</v>
      </c>
      <c r="P1454" s="1">
        <v>0.0</v>
      </c>
      <c r="Q1454" s="1" t="s">
        <v>4874</v>
      </c>
      <c r="R1454" s="1">
        <v>156.0</v>
      </c>
      <c r="S1454" s="1">
        <v>1001.0</v>
      </c>
      <c r="U1454" s="1">
        <v>0.0</v>
      </c>
      <c r="V1454" s="1" t="s">
        <v>4870</v>
      </c>
      <c r="W1454" s="1">
        <v>50.0</v>
      </c>
      <c r="Y1454" s="1">
        <v>0.0</v>
      </c>
      <c r="Z1454" s="1" t="s">
        <v>4871</v>
      </c>
      <c r="AA1454" s="1">
        <v>14.0</v>
      </c>
      <c r="AB1454" s="1" t="s">
        <v>4872</v>
      </c>
      <c r="AC1454" s="1">
        <v>19.0</v>
      </c>
      <c r="AD1454" s="1" t="s">
        <v>971</v>
      </c>
      <c r="AG1454" s="9" t="s">
        <v>4869</v>
      </c>
      <c r="AM1454" s="1">
        <v>234295.0</v>
      </c>
      <c r="AN1454" s="1">
        <v>48700.0</v>
      </c>
      <c r="AO1454" s="1">
        <v>48700.0</v>
      </c>
      <c r="AP1454" s="1">
        <v>18.656</v>
      </c>
      <c r="AR1454" s="1">
        <v>7602.0</v>
      </c>
      <c r="AS1454" s="1">
        <v>1038.0</v>
      </c>
      <c r="AT1454" s="1">
        <v>7.324</v>
      </c>
      <c r="AU1454" s="1">
        <v>90.185</v>
      </c>
      <c r="AV1454" s="1" t="s">
        <v>4875</v>
      </c>
      <c r="AW1454" s="1">
        <v>18.622</v>
      </c>
      <c r="AX1454" s="1">
        <v>3.0</v>
      </c>
      <c r="AY1454" s="1">
        <v>1.0</v>
      </c>
      <c r="AZ1454" s="1">
        <v>1.0</v>
      </c>
      <c r="BA1454" s="1">
        <v>4.0</v>
      </c>
      <c r="BB1454" s="1">
        <v>3.0</v>
      </c>
      <c r="BC1454" s="1">
        <v>0.0</v>
      </c>
      <c r="BD1454" s="1">
        <v>0.4</v>
      </c>
      <c r="BE1454" s="1">
        <v>130.0</v>
      </c>
      <c r="BF1454" s="1">
        <v>47.0</v>
      </c>
      <c r="BG1454" s="1">
        <v>0.0</v>
      </c>
      <c r="BH1454" s="1">
        <v>18.0</v>
      </c>
      <c r="BI1454" s="1">
        <v>10.0</v>
      </c>
      <c r="BJ1454" s="1">
        <v>0.0</v>
      </c>
      <c r="BO1454" s="1" t="s">
        <v>4876</v>
      </c>
      <c r="BP1454" s="1">
        <v>1.484</v>
      </c>
      <c r="BU1454" s="1" t="s">
        <v>974</v>
      </c>
      <c r="BV1454" s="1">
        <v>1.1</v>
      </c>
      <c r="EQ1454" s="9" t="s">
        <v>4869</v>
      </c>
      <c r="ER1454" s="21">
        <v>46045.30060185185</v>
      </c>
    </row>
    <row r="1455">
      <c r="A1455" s="9" t="s">
        <v>4877</v>
      </c>
      <c r="B1455" s="20" t="str">
        <f>IFERROR(__xludf.DUMMYFUNCTION("REGEXREPLACE(A1455, ""^https?://[^/]+"", """")"),"/wp-content/uploads/2022/02/It-is-my-passion-2048x2048.jpg")</f>
        <v>/wp-content/uploads/2022/02/It-is-my-passion-2048x2048.jpg</v>
      </c>
      <c r="F1455" s="1" t="s">
        <v>1004</v>
      </c>
      <c r="G1455" s="1">
        <v>200.0</v>
      </c>
      <c r="H1455" s="1" t="s">
        <v>966</v>
      </c>
      <c r="I1455" s="1" t="s">
        <v>967</v>
      </c>
      <c r="L1455" s="1">
        <v>0.0</v>
      </c>
      <c r="M1455" s="1">
        <v>0.0</v>
      </c>
      <c r="O1455" s="1">
        <v>0.0</v>
      </c>
      <c r="P1455" s="1">
        <v>0.0</v>
      </c>
      <c r="R1455" s="1">
        <v>0.0</v>
      </c>
      <c r="S1455" s="1">
        <v>0.0</v>
      </c>
      <c r="U1455" s="1">
        <v>0.0</v>
      </c>
      <c r="W1455" s="1">
        <v>0.0</v>
      </c>
      <c r="Y1455" s="1">
        <v>0.0</v>
      </c>
      <c r="AA1455" s="1">
        <v>0.0</v>
      </c>
      <c r="AC1455" s="1">
        <v>0.0</v>
      </c>
      <c r="AM1455" s="1">
        <v>475001.0</v>
      </c>
      <c r="AN1455" s="1">
        <v>475001.0</v>
      </c>
      <c r="AO1455" s="1">
        <v>475001.0</v>
      </c>
      <c r="AP1455" s="1">
        <v>181.964</v>
      </c>
      <c r="AR1455" s="1">
        <v>0.0</v>
      </c>
      <c r="AW1455" s="1">
        <v>0.0</v>
      </c>
      <c r="AX1455" s="1">
        <v>3.0</v>
      </c>
      <c r="AY1455" s="1">
        <v>4.0</v>
      </c>
      <c r="BA1455" s="1">
        <v>0.0</v>
      </c>
      <c r="BB1455" s="1">
        <v>0.0</v>
      </c>
      <c r="BC1455" s="1">
        <v>0.0</v>
      </c>
      <c r="BD1455" s="1">
        <v>0.0</v>
      </c>
      <c r="BE1455" s="1">
        <v>0.0</v>
      </c>
      <c r="BF1455" s="1">
        <v>0.0</v>
      </c>
      <c r="BG1455" s="1">
        <v>0.0</v>
      </c>
      <c r="BH1455" s="1">
        <v>0.0</v>
      </c>
      <c r="BI1455" s="1">
        <v>0.0</v>
      </c>
      <c r="BJ1455" s="1">
        <v>0.0</v>
      </c>
      <c r="BP1455" s="1">
        <v>0.265</v>
      </c>
      <c r="BQ1455" s="1" t="s">
        <v>4878</v>
      </c>
      <c r="BV1455" s="1">
        <v>1.1</v>
      </c>
      <c r="EQ1455" s="9" t="s">
        <v>4877</v>
      </c>
      <c r="ER1455" s="21">
        <v>46045.30061342593</v>
      </c>
    </row>
    <row r="1456">
      <c r="A1456" s="9" t="s">
        <v>4879</v>
      </c>
      <c r="B1456" s="20" t="str">
        <f>IFERROR(__xludf.DUMMYFUNCTION("REGEXREPLACE(A1456, ""^https?://[^/]+"", """")"),"/wp-content/uploads/2015/03/top-20-percent-sales-xceleration-2048x2048.png")</f>
        <v>/wp-content/uploads/2015/03/top-20-percent-sales-xceleration-2048x2048.png</v>
      </c>
      <c r="F1456" s="1" t="s">
        <v>1047</v>
      </c>
      <c r="G1456" s="1">
        <v>200.0</v>
      </c>
      <c r="H1456" s="1" t="s">
        <v>966</v>
      </c>
      <c r="I1456" s="1" t="s">
        <v>967</v>
      </c>
      <c r="L1456" s="1">
        <v>0.0</v>
      </c>
      <c r="M1456" s="1">
        <v>0.0</v>
      </c>
      <c r="O1456" s="1">
        <v>0.0</v>
      </c>
      <c r="P1456" s="1">
        <v>0.0</v>
      </c>
      <c r="R1456" s="1">
        <v>0.0</v>
      </c>
      <c r="S1456" s="1">
        <v>0.0</v>
      </c>
      <c r="U1456" s="1">
        <v>0.0</v>
      </c>
      <c r="W1456" s="1">
        <v>0.0</v>
      </c>
      <c r="Y1456" s="1">
        <v>0.0</v>
      </c>
      <c r="AA1456" s="1">
        <v>0.0</v>
      </c>
      <c r="AC1456" s="1">
        <v>0.0</v>
      </c>
      <c r="AM1456" s="1">
        <v>1834531.0</v>
      </c>
      <c r="AN1456" s="1">
        <v>1834531.0</v>
      </c>
      <c r="AO1456" s="1">
        <v>1834531.0</v>
      </c>
      <c r="AP1456" s="1">
        <v>702.774</v>
      </c>
      <c r="AR1456" s="1">
        <v>0.0</v>
      </c>
      <c r="AW1456" s="1">
        <v>0.0</v>
      </c>
      <c r="AX1456" s="1">
        <v>3.0</v>
      </c>
      <c r="AY1456" s="1">
        <v>4.0</v>
      </c>
      <c r="BA1456" s="1">
        <v>0.0</v>
      </c>
      <c r="BB1456" s="1">
        <v>0.0</v>
      </c>
      <c r="BC1456" s="1">
        <v>0.0</v>
      </c>
      <c r="BD1456" s="1">
        <v>0.0</v>
      </c>
      <c r="BE1456" s="1">
        <v>0.0</v>
      </c>
      <c r="BF1456" s="1">
        <v>0.0</v>
      </c>
      <c r="BG1456" s="1">
        <v>0.0</v>
      </c>
      <c r="BH1456" s="1">
        <v>0.0</v>
      </c>
      <c r="BI1456" s="1">
        <v>0.0</v>
      </c>
      <c r="BJ1456" s="1">
        <v>0.0</v>
      </c>
      <c r="BP1456" s="1">
        <v>0.274</v>
      </c>
      <c r="BQ1456" s="1" t="s">
        <v>4880</v>
      </c>
      <c r="BV1456" s="1">
        <v>1.1</v>
      </c>
      <c r="EQ1456" s="9" t="s">
        <v>4879</v>
      </c>
      <c r="ER1456" s="21">
        <v>46045.300625</v>
      </c>
    </row>
    <row r="1457">
      <c r="A1457" s="9" t="s">
        <v>4881</v>
      </c>
      <c r="B1457" s="20" t="str">
        <f>IFERROR(__xludf.DUMMYFUNCTION("REGEXREPLACE(A1457, ""^https?://[^/]+"", """")"),"/wp-content/uploads/2025/11/SAO-YT-Thumbnail-Nick-Friedman.jpg")</f>
        <v>/wp-content/uploads/2025/11/SAO-YT-Thumbnail-Nick-Friedman.jpg</v>
      </c>
      <c r="F1457" s="1" t="s">
        <v>1004</v>
      </c>
      <c r="G1457" s="1">
        <v>200.0</v>
      </c>
      <c r="H1457" s="1" t="s">
        <v>966</v>
      </c>
      <c r="I1457" s="1" t="s">
        <v>967</v>
      </c>
      <c r="L1457" s="1">
        <v>0.0</v>
      </c>
      <c r="M1457" s="1">
        <v>0.0</v>
      </c>
      <c r="O1457" s="1">
        <v>0.0</v>
      </c>
      <c r="P1457" s="1">
        <v>0.0</v>
      </c>
      <c r="R1457" s="1">
        <v>0.0</v>
      </c>
      <c r="S1457" s="1">
        <v>0.0</v>
      </c>
      <c r="U1457" s="1">
        <v>0.0</v>
      </c>
      <c r="W1457" s="1">
        <v>0.0</v>
      </c>
      <c r="Y1457" s="1">
        <v>0.0</v>
      </c>
      <c r="AA1457" s="1">
        <v>0.0</v>
      </c>
      <c r="AC1457" s="1">
        <v>0.0</v>
      </c>
      <c r="AM1457" s="1">
        <v>264717.0</v>
      </c>
      <c r="AN1457" s="1">
        <v>264717.0</v>
      </c>
      <c r="AO1457" s="1">
        <v>264717.0</v>
      </c>
      <c r="AP1457" s="1">
        <v>101.408</v>
      </c>
      <c r="AR1457" s="1">
        <v>0.0</v>
      </c>
      <c r="AW1457" s="1">
        <v>0.0</v>
      </c>
      <c r="AX1457" s="1">
        <v>3.0</v>
      </c>
      <c r="AY1457" s="1">
        <v>4.0</v>
      </c>
      <c r="BA1457" s="1">
        <v>0.0</v>
      </c>
      <c r="BB1457" s="1">
        <v>0.0</v>
      </c>
      <c r="BC1457" s="1">
        <v>0.0</v>
      </c>
      <c r="BD1457" s="1">
        <v>0.0</v>
      </c>
      <c r="BE1457" s="1">
        <v>0.0</v>
      </c>
      <c r="BF1457" s="1">
        <v>0.0</v>
      </c>
      <c r="BG1457" s="1">
        <v>0.0</v>
      </c>
      <c r="BH1457" s="1">
        <v>0.0</v>
      </c>
      <c r="BI1457" s="1">
        <v>0.0</v>
      </c>
      <c r="BJ1457" s="1">
        <v>0.0</v>
      </c>
      <c r="BP1457" s="1">
        <v>0.265</v>
      </c>
      <c r="BQ1457" s="1" t="s">
        <v>1818</v>
      </c>
      <c r="BV1457" s="1">
        <v>1.1</v>
      </c>
      <c r="EQ1457" s="9" t="s">
        <v>4881</v>
      </c>
      <c r="ER1457" s="21">
        <v>46045.300625</v>
      </c>
    </row>
    <row r="1458">
      <c r="A1458" s="9" t="s">
        <v>4882</v>
      </c>
      <c r="B1458" s="20" t="str">
        <f>IFERROR(__xludf.DUMMYFUNCTION("REGEXREPLACE(A1458, ""^https?://[^/]+"", """")"),"/wp-content/uploads/elementor/css/post-72614.css?ver=1768846336")</f>
        <v>/wp-content/uploads/elementor/css/post-72614.css?ver=1768846336</v>
      </c>
      <c r="F1458" s="1" t="s">
        <v>1016</v>
      </c>
      <c r="G1458" s="1">
        <v>200.0</v>
      </c>
      <c r="H1458" s="1" t="s">
        <v>966</v>
      </c>
      <c r="I1458" s="1" t="s">
        <v>967</v>
      </c>
      <c r="L1458" s="1">
        <v>0.0</v>
      </c>
      <c r="M1458" s="1">
        <v>0.0</v>
      </c>
      <c r="O1458" s="1">
        <v>0.0</v>
      </c>
      <c r="P1458" s="1">
        <v>0.0</v>
      </c>
      <c r="R1458" s="1">
        <v>0.0</v>
      </c>
      <c r="S1458" s="1">
        <v>0.0</v>
      </c>
      <c r="U1458" s="1">
        <v>0.0</v>
      </c>
      <c r="W1458" s="1">
        <v>0.0</v>
      </c>
      <c r="Y1458" s="1">
        <v>0.0</v>
      </c>
      <c r="AA1458" s="1">
        <v>0.0</v>
      </c>
      <c r="AC1458" s="1">
        <v>0.0</v>
      </c>
      <c r="AM1458" s="1">
        <v>340.0</v>
      </c>
      <c r="AN1458" s="1">
        <v>340.0</v>
      </c>
      <c r="AO1458" s="1">
        <v>340.0</v>
      </c>
      <c r="AP1458" s="1">
        <v>0.13</v>
      </c>
      <c r="AR1458" s="1">
        <v>0.0</v>
      </c>
      <c r="AW1458" s="1">
        <v>0.0</v>
      </c>
      <c r="AX1458" s="1">
        <v>3.0</v>
      </c>
      <c r="AY1458" s="1">
        <v>4.0</v>
      </c>
      <c r="BA1458" s="1">
        <v>0.0</v>
      </c>
      <c r="BB1458" s="1">
        <v>0.0</v>
      </c>
      <c r="BC1458" s="1">
        <v>0.0</v>
      </c>
      <c r="BD1458" s="1">
        <v>0.0</v>
      </c>
      <c r="BE1458" s="1">
        <v>0.0</v>
      </c>
      <c r="BF1458" s="1">
        <v>0.0</v>
      </c>
      <c r="BG1458" s="1">
        <v>0.0</v>
      </c>
      <c r="BH1458" s="1">
        <v>0.0</v>
      </c>
      <c r="BI1458" s="1">
        <v>0.0</v>
      </c>
      <c r="BJ1458" s="1">
        <v>0.0</v>
      </c>
      <c r="BP1458" s="1">
        <v>0.274</v>
      </c>
      <c r="BQ1458" s="1" t="s">
        <v>4883</v>
      </c>
      <c r="BV1458" s="1">
        <v>1.1</v>
      </c>
      <c r="EQ1458" s="9" t="s">
        <v>4882</v>
      </c>
      <c r="ER1458" s="21">
        <v>46045.300625</v>
      </c>
    </row>
    <row r="1459">
      <c r="A1459" s="9" t="s">
        <v>4884</v>
      </c>
      <c r="B1459" s="20" t="str">
        <f>IFERROR(__xludf.DUMMYFUNCTION("REGEXREPLACE(A1459, ""^https?://[^/]+"", """")"),"/wp-content/uploads/2022/03/Corporate-Travel-2048x2048.jpg")</f>
        <v>/wp-content/uploads/2022/03/Corporate-Travel-2048x2048.jpg</v>
      </c>
      <c r="F1459" s="1" t="s">
        <v>1004</v>
      </c>
      <c r="G1459" s="1">
        <v>200.0</v>
      </c>
      <c r="H1459" s="1" t="s">
        <v>966</v>
      </c>
      <c r="I1459" s="1" t="s">
        <v>967</v>
      </c>
      <c r="L1459" s="1">
        <v>0.0</v>
      </c>
      <c r="M1459" s="1">
        <v>0.0</v>
      </c>
      <c r="O1459" s="1">
        <v>0.0</v>
      </c>
      <c r="P1459" s="1">
        <v>0.0</v>
      </c>
      <c r="R1459" s="1">
        <v>0.0</v>
      </c>
      <c r="S1459" s="1">
        <v>0.0</v>
      </c>
      <c r="U1459" s="1">
        <v>0.0</v>
      </c>
      <c r="W1459" s="1">
        <v>0.0</v>
      </c>
      <c r="Y1459" s="1">
        <v>0.0</v>
      </c>
      <c r="AA1459" s="1">
        <v>0.0</v>
      </c>
      <c r="AC1459" s="1">
        <v>0.0</v>
      </c>
      <c r="AM1459" s="1">
        <v>476843.0</v>
      </c>
      <c r="AN1459" s="1">
        <v>476843.0</v>
      </c>
      <c r="AO1459" s="1">
        <v>476843.0</v>
      </c>
      <c r="AP1459" s="1">
        <v>182.669</v>
      </c>
      <c r="AR1459" s="1">
        <v>0.0</v>
      </c>
      <c r="AW1459" s="1">
        <v>0.0</v>
      </c>
      <c r="AX1459" s="1">
        <v>3.0</v>
      </c>
      <c r="AY1459" s="1">
        <v>4.0</v>
      </c>
      <c r="BA1459" s="1">
        <v>0.0</v>
      </c>
      <c r="BB1459" s="1">
        <v>0.0</v>
      </c>
      <c r="BC1459" s="1">
        <v>0.0</v>
      </c>
      <c r="BD1459" s="1">
        <v>0.0</v>
      </c>
      <c r="BE1459" s="1">
        <v>0.0</v>
      </c>
      <c r="BF1459" s="1">
        <v>0.0</v>
      </c>
      <c r="BG1459" s="1">
        <v>0.0</v>
      </c>
      <c r="BH1459" s="1">
        <v>0.0</v>
      </c>
      <c r="BI1459" s="1">
        <v>0.0</v>
      </c>
      <c r="BJ1459" s="1">
        <v>0.0</v>
      </c>
      <c r="BP1459" s="1">
        <v>0.278</v>
      </c>
      <c r="BQ1459" s="1" t="s">
        <v>4885</v>
      </c>
      <c r="BV1459" s="1">
        <v>1.1</v>
      </c>
      <c r="EQ1459" s="9" t="s">
        <v>4884</v>
      </c>
      <c r="ER1459" s="21">
        <v>46045.300625</v>
      </c>
    </row>
    <row r="1460">
      <c r="A1460" s="9" t="s">
        <v>4886</v>
      </c>
      <c r="B1460" s="20" t="str">
        <f>IFERROR(__xludf.DUMMYFUNCTION("REGEXREPLACE(A1460, ""^https?://[^/]+"", """")"),"/how-do-i-join-the-20-and-not-the-80/")</f>
        <v>/how-do-i-join-the-20-and-not-the-80/</v>
      </c>
      <c r="C1460" s="1" t="s">
        <v>4887</v>
      </c>
      <c r="F1460" s="1" t="s">
        <v>965</v>
      </c>
      <c r="G1460" s="1">
        <v>200.0</v>
      </c>
      <c r="H1460" s="1" t="s">
        <v>966</v>
      </c>
      <c r="I1460" s="1" t="s">
        <v>967</v>
      </c>
      <c r="K1460" s="1" t="s">
        <v>4888</v>
      </c>
      <c r="L1460" s="1">
        <v>63.0</v>
      </c>
      <c r="M1460" s="1">
        <v>573.0</v>
      </c>
      <c r="O1460" s="1">
        <v>0.0</v>
      </c>
      <c r="P1460" s="1">
        <v>0.0</v>
      </c>
      <c r="Q1460" s="1" t="s">
        <v>4889</v>
      </c>
      <c r="R1460" s="1">
        <v>151.0</v>
      </c>
      <c r="S1460" s="1">
        <v>925.0</v>
      </c>
      <c r="U1460" s="1">
        <v>0.0</v>
      </c>
      <c r="V1460" s="1" t="s">
        <v>4887</v>
      </c>
      <c r="W1460" s="1">
        <v>38.0</v>
      </c>
      <c r="Y1460" s="1">
        <v>0.0</v>
      </c>
      <c r="AA1460" s="1">
        <v>0.0</v>
      </c>
      <c r="AC1460" s="1">
        <v>0.0</v>
      </c>
      <c r="AD1460" s="1" t="s">
        <v>971</v>
      </c>
      <c r="AG1460" s="9" t="s">
        <v>4886</v>
      </c>
      <c r="AM1460" s="1">
        <v>200117.0</v>
      </c>
      <c r="AN1460" s="1">
        <v>35102.0</v>
      </c>
      <c r="AO1460" s="1">
        <v>35102.0</v>
      </c>
      <c r="AP1460" s="1">
        <v>13.447</v>
      </c>
      <c r="AR1460" s="1">
        <v>1154.0</v>
      </c>
      <c r="AS1460" s="1">
        <v>163.0</v>
      </c>
      <c r="AT1460" s="1">
        <v>7.08</v>
      </c>
      <c r="AU1460" s="1">
        <v>75.462</v>
      </c>
      <c r="AV1460" s="1" t="s">
        <v>1264</v>
      </c>
      <c r="AW1460" s="1">
        <v>4.538</v>
      </c>
      <c r="AX1460" s="1">
        <v>3.0</v>
      </c>
      <c r="AY1460" s="1">
        <v>1.0</v>
      </c>
      <c r="AZ1460" s="1">
        <v>1.0</v>
      </c>
      <c r="BA1460" s="1">
        <v>2.0</v>
      </c>
      <c r="BB1460" s="1">
        <v>2.0</v>
      </c>
      <c r="BC1460" s="1">
        <v>0.0</v>
      </c>
      <c r="BD1460" s="1">
        <v>0.27</v>
      </c>
      <c r="BE1460" s="1">
        <v>129.0</v>
      </c>
      <c r="BF1460" s="1">
        <v>47.0</v>
      </c>
      <c r="BG1460" s="1">
        <v>0.0</v>
      </c>
      <c r="BH1460" s="1">
        <v>16.0</v>
      </c>
      <c r="BI1460" s="1">
        <v>8.0</v>
      </c>
      <c r="BJ1460" s="1">
        <v>0.0</v>
      </c>
      <c r="BO1460" s="1" t="s">
        <v>4890</v>
      </c>
      <c r="BP1460" s="1">
        <v>0.984</v>
      </c>
      <c r="BU1460" s="1" t="s">
        <v>974</v>
      </c>
      <c r="BV1460" s="1">
        <v>1.1</v>
      </c>
      <c r="EQ1460" s="9" t="s">
        <v>4886</v>
      </c>
      <c r="ER1460" s="21">
        <v>46045.30061342593</v>
      </c>
    </row>
    <row r="1461">
      <c r="A1461" s="9" t="s">
        <v>4891</v>
      </c>
      <c r="B1461" s="20" t="str">
        <f>IFERROR(__xludf.DUMMYFUNCTION("REGEXREPLACE(A1461, ""^https?://[^/]+"", """")"),"/wp-content/uploads/2022/05/Business-Lifeline-2048x2048.jpg")</f>
        <v>/wp-content/uploads/2022/05/Business-Lifeline-2048x2048.jpg</v>
      </c>
      <c r="F1461" s="1" t="s">
        <v>1004</v>
      </c>
      <c r="G1461" s="1">
        <v>200.0</v>
      </c>
      <c r="H1461" s="1" t="s">
        <v>966</v>
      </c>
      <c r="I1461" s="1" t="s">
        <v>967</v>
      </c>
      <c r="L1461" s="1">
        <v>0.0</v>
      </c>
      <c r="M1461" s="1">
        <v>0.0</v>
      </c>
      <c r="O1461" s="1">
        <v>0.0</v>
      </c>
      <c r="P1461" s="1">
        <v>0.0</v>
      </c>
      <c r="R1461" s="1">
        <v>0.0</v>
      </c>
      <c r="S1461" s="1">
        <v>0.0</v>
      </c>
      <c r="U1461" s="1">
        <v>0.0</v>
      </c>
      <c r="W1461" s="1">
        <v>0.0</v>
      </c>
      <c r="Y1461" s="1">
        <v>0.0</v>
      </c>
      <c r="AA1461" s="1">
        <v>0.0</v>
      </c>
      <c r="AC1461" s="1">
        <v>0.0</v>
      </c>
      <c r="AM1461" s="1">
        <v>275567.0</v>
      </c>
      <c r="AN1461" s="1">
        <v>275567.0</v>
      </c>
      <c r="AO1461" s="1">
        <v>275567.0</v>
      </c>
      <c r="AP1461" s="1">
        <v>105.564</v>
      </c>
      <c r="AR1461" s="1">
        <v>0.0</v>
      </c>
      <c r="AW1461" s="1">
        <v>0.0</v>
      </c>
      <c r="AX1461" s="1">
        <v>3.0</v>
      </c>
      <c r="AY1461" s="1">
        <v>4.0</v>
      </c>
      <c r="BA1461" s="1">
        <v>0.0</v>
      </c>
      <c r="BB1461" s="1">
        <v>0.0</v>
      </c>
      <c r="BC1461" s="1">
        <v>0.0</v>
      </c>
      <c r="BD1461" s="1">
        <v>0.0</v>
      </c>
      <c r="BE1461" s="1">
        <v>0.0</v>
      </c>
      <c r="BF1461" s="1">
        <v>0.0</v>
      </c>
      <c r="BG1461" s="1">
        <v>0.0</v>
      </c>
      <c r="BH1461" s="1">
        <v>0.0</v>
      </c>
      <c r="BI1461" s="1">
        <v>0.0</v>
      </c>
      <c r="BJ1461" s="1">
        <v>0.0</v>
      </c>
      <c r="BP1461" s="1">
        <v>0.272</v>
      </c>
      <c r="BQ1461" s="1" t="s">
        <v>4892</v>
      </c>
      <c r="BV1461" s="1">
        <v>1.1</v>
      </c>
      <c r="EQ1461" s="9" t="s">
        <v>4891</v>
      </c>
      <c r="ER1461" s="21">
        <v>46045.300625</v>
      </c>
    </row>
    <row r="1462">
      <c r="A1462" s="9" t="s">
        <v>4893</v>
      </c>
      <c r="B1462" s="20" t="str">
        <f>IFERROR(__xludf.DUMMYFUNCTION("REGEXREPLACE(A1462, ""^https?://[^/]+"", """")"),"/wp-content/uploads/elementor/css/post-72931.css?ver=1768855127")</f>
        <v>/wp-content/uploads/elementor/css/post-72931.css?ver=1768855127</v>
      </c>
      <c r="F1462" s="1" t="s">
        <v>1016</v>
      </c>
      <c r="G1462" s="1">
        <v>200.0</v>
      </c>
      <c r="H1462" s="1" t="s">
        <v>966</v>
      </c>
      <c r="I1462" s="1" t="s">
        <v>967</v>
      </c>
      <c r="L1462" s="1">
        <v>0.0</v>
      </c>
      <c r="M1462" s="1">
        <v>0.0</v>
      </c>
      <c r="O1462" s="1">
        <v>0.0</v>
      </c>
      <c r="P1462" s="1">
        <v>0.0</v>
      </c>
      <c r="R1462" s="1">
        <v>0.0</v>
      </c>
      <c r="S1462" s="1">
        <v>0.0</v>
      </c>
      <c r="U1462" s="1">
        <v>0.0</v>
      </c>
      <c r="W1462" s="1">
        <v>0.0</v>
      </c>
      <c r="Y1462" s="1">
        <v>0.0</v>
      </c>
      <c r="AA1462" s="1">
        <v>0.0</v>
      </c>
      <c r="AC1462" s="1">
        <v>0.0</v>
      </c>
      <c r="AM1462" s="1">
        <v>341.0</v>
      </c>
      <c r="AN1462" s="1">
        <v>341.0</v>
      </c>
      <c r="AO1462" s="1">
        <v>341.0</v>
      </c>
      <c r="AP1462" s="1">
        <v>0.131</v>
      </c>
      <c r="AR1462" s="1">
        <v>0.0</v>
      </c>
      <c r="AW1462" s="1">
        <v>0.0</v>
      </c>
      <c r="AX1462" s="1">
        <v>3.0</v>
      </c>
      <c r="AY1462" s="1">
        <v>4.0</v>
      </c>
      <c r="BA1462" s="1">
        <v>0.0</v>
      </c>
      <c r="BB1462" s="1">
        <v>0.0</v>
      </c>
      <c r="BC1462" s="1">
        <v>0.0</v>
      </c>
      <c r="BD1462" s="1">
        <v>0.0</v>
      </c>
      <c r="BE1462" s="1">
        <v>0.0</v>
      </c>
      <c r="BF1462" s="1">
        <v>0.0</v>
      </c>
      <c r="BG1462" s="1">
        <v>0.0</v>
      </c>
      <c r="BH1462" s="1">
        <v>0.0</v>
      </c>
      <c r="BI1462" s="1">
        <v>0.0</v>
      </c>
      <c r="BJ1462" s="1">
        <v>0.0</v>
      </c>
      <c r="BP1462" s="1">
        <v>0.265</v>
      </c>
      <c r="BQ1462" s="1" t="s">
        <v>4894</v>
      </c>
      <c r="BV1462" s="1">
        <v>1.1</v>
      </c>
      <c r="EQ1462" s="9" t="s">
        <v>4893</v>
      </c>
      <c r="ER1462" s="21">
        <v>46045.30063657407</v>
      </c>
    </row>
    <row r="1463">
      <c r="A1463" s="9" t="s">
        <v>4895</v>
      </c>
      <c r="B1463" s="20" t="str">
        <f>IFERROR(__xludf.DUMMYFUNCTION("REGEXREPLACE(A1463, ""^https?://[^/]+"", """")"),"/wp-content/themes/salesxceleratione/assets/css/style.css?ver=1769123358")</f>
        <v>/wp-content/themes/salesxceleratione/assets/css/style.css?ver=1769123358</v>
      </c>
      <c r="F1463" s="1" t="s">
        <v>1016</v>
      </c>
      <c r="G1463" s="1">
        <v>200.0</v>
      </c>
      <c r="H1463" s="1" t="s">
        <v>966</v>
      </c>
      <c r="I1463" s="1" t="s">
        <v>967</v>
      </c>
      <c r="L1463" s="1">
        <v>0.0</v>
      </c>
      <c r="M1463" s="1">
        <v>0.0</v>
      </c>
      <c r="O1463" s="1">
        <v>0.0</v>
      </c>
      <c r="P1463" s="1">
        <v>0.0</v>
      </c>
      <c r="R1463" s="1">
        <v>0.0</v>
      </c>
      <c r="S1463" s="1">
        <v>0.0</v>
      </c>
      <c r="U1463" s="1">
        <v>0.0</v>
      </c>
      <c r="W1463" s="1">
        <v>0.0</v>
      </c>
      <c r="Y1463" s="1">
        <v>0.0</v>
      </c>
      <c r="AA1463" s="1">
        <v>0.0</v>
      </c>
      <c r="AC1463" s="1">
        <v>0.0</v>
      </c>
      <c r="AM1463" s="1">
        <v>17704.0</v>
      </c>
      <c r="AN1463" s="1">
        <v>17704.0</v>
      </c>
      <c r="AO1463" s="1">
        <v>17704.0</v>
      </c>
      <c r="AP1463" s="1">
        <v>6.782</v>
      </c>
      <c r="AR1463" s="1">
        <v>0.0</v>
      </c>
      <c r="AW1463" s="1">
        <v>0.0</v>
      </c>
      <c r="AX1463" s="1">
        <v>3.0</v>
      </c>
      <c r="AY1463" s="1">
        <v>5.0</v>
      </c>
      <c r="BA1463" s="1">
        <v>0.0</v>
      </c>
      <c r="BB1463" s="1">
        <v>0.0</v>
      </c>
      <c r="BC1463" s="1">
        <v>0.0</v>
      </c>
      <c r="BD1463" s="1">
        <v>0.0</v>
      </c>
      <c r="BE1463" s="1">
        <v>0.0</v>
      </c>
      <c r="BF1463" s="1">
        <v>0.0</v>
      </c>
      <c r="BG1463" s="1">
        <v>0.0</v>
      </c>
      <c r="BH1463" s="1">
        <v>0.0</v>
      </c>
      <c r="BI1463" s="1">
        <v>0.0</v>
      </c>
      <c r="BJ1463" s="1">
        <v>0.0</v>
      </c>
      <c r="BP1463" s="1">
        <v>0.267</v>
      </c>
      <c r="BQ1463" s="1" t="s">
        <v>4896</v>
      </c>
      <c r="BV1463" s="1">
        <v>1.1</v>
      </c>
      <c r="EQ1463" s="9" t="s">
        <v>4895</v>
      </c>
      <c r="ER1463" s="21">
        <v>46045.30063657407</v>
      </c>
    </row>
    <row r="1464">
      <c r="A1464" s="9" t="s">
        <v>4897</v>
      </c>
      <c r="B1464" s="20" t="str">
        <f>IFERROR(__xludf.DUMMYFUNCTION("REGEXREPLACE(A1464, ""^https?://[^/]+"", """")"),"/what-are-you-passionate-about-and-what-are-you-doing-about-it/")</f>
        <v>/what-are-you-passionate-about-and-what-are-you-doing-about-it/</v>
      </c>
      <c r="C1464" s="1" t="s">
        <v>4898</v>
      </c>
      <c r="D1464" s="1" t="s">
        <v>4899</v>
      </c>
      <c r="E1464" s="1" t="s">
        <v>4900</v>
      </c>
      <c r="F1464" s="1" t="s">
        <v>965</v>
      </c>
      <c r="G1464" s="1">
        <v>200.0</v>
      </c>
      <c r="H1464" s="1" t="s">
        <v>966</v>
      </c>
      <c r="I1464" s="1" t="s">
        <v>967</v>
      </c>
      <c r="K1464" s="1" t="s">
        <v>4901</v>
      </c>
      <c r="L1464" s="1">
        <v>90.0</v>
      </c>
      <c r="M1464" s="1">
        <v>830.0</v>
      </c>
      <c r="O1464" s="1">
        <v>0.0</v>
      </c>
      <c r="P1464" s="1">
        <v>0.0</v>
      </c>
      <c r="Q1464" s="1" t="s">
        <v>4902</v>
      </c>
      <c r="R1464" s="1">
        <v>151.0</v>
      </c>
      <c r="S1464" s="1">
        <v>918.0</v>
      </c>
      <c r="U1464" s="1">
        <v>0.0</v>
      </c>
      <c r="V1464" s="1" t="s">
        <v>4898</v>
      </c>
      <c r="W1464" s="1">
        <v>65.0</v>
      </c>
      <c r="Y1464" s="1">
        <v>0.0</v>
      </c>
      <c r="Z1464" s="1" t="s">
        <v>4899</v>
      </c>
      <c r="AA1464" s="1">
        <v>41.0</v>
      </c>
      <c r="AB1464" s="1" t="s">
        <v>4900</v>
      </c>
      <c r="AC1464" s="1">
        <v>21.0</v>
      </c>
      <c r="AD1464" s="1" t="s">
        <v>971</v>
      </c>
      <c r="AG1464" s="9" t="s">
        <v>4897</v>
      </c>
      <c r="AM1464" s="1">
        <v>199646.0</v>
      </c>
      <c r="AN1464" s="1">
        <v>35734.0</v>
      </c>
      <c r="AO1464" s="1">
        <v>35734.0</v>
      </c>
      <c r="AP1464" s="1">
        <v>13.689</v>
      </c>
      <c r="AR1464" s="1">
        <v>1337.0</v>
      </c>
      <c r="AS1464" s="1">
        <v>199.0</v>
      </c>
      <c r="AT1464" s="1">
        <v>6.719</v>
      </c>
      <c r="AU1464" s="1">
        <v>67.706</v>
      </c>
      <c r="AV1464" s="1" t="s">
        <v>990</v>
      </c>
      <c r="AW1464" s="1">
        <v>5.251</v>
      </c>
      <c r="AX1464" s="1">
        <v>3.0</v>
      </c>
      <c r="AY1464" s="1">
        <v>1.0</v>
      </c>
      <c r="AZ1464" s="1">
        <v>1.0</v>
      </c>
      <c r="BA1464" s="1">
        <v>9.0</v>
      </c>
      <c r="BB1464" s="1">
        <v>6.0</v>
      </c>
      <c r="BC1464" s="1">
        <v>0.0</v>
      </c>
      <c r="BD1464" s="1">
        <v>0.8</v>
      </c>
      <c r="BE1464" s="1">
        <v>131.0</v>
      </c>
      <c r="BF1464" s="1">
        <v>48.0</v>
      </c>
      <c r="BG1464" s="1">
        <v>0.0</v>
      </c>
      <c r="BH1464" s="1">
        <v>16.0</v>
      </c>
      <c r="BI1464" s="1">
        <v>8.0</v>
      </c>
      <c r="BJ1464" s="1">
        <v>0.0</v>
      </c>
      <c r="BO1464" s="1" t="s">
        <v>4903</v>
      </c>
      <c r="BP1464" s="1">
        <v>1.0</v>
      </c>
      <c r="BU1464" s="1" t="s">
        <v>974</v>
      </c>
      <c r="BV1464" s="1">
        <v>1.1</v>
      </c>
      <c r="EQ1464" s="9" t="s">
        <v>4897</v>
      </c>
      <c r="ER1464" s="21">
        <v>46045.300625</v>
      </c>
    </row>
    <row r="1465">
      <c r="A1465" s="9" t="s">
        <v>4904</v>
      </c>
      <c r="B1465" s="20" t="str">
        <f>IFERROR(__xludf.DUMMYFUNCTION("REGEXREPLACE(A1465, ""^https?://[^/]+"", """")"),"/looking-forward-to-endless-hours-in-planes-trains-and-automobiles-heres-an-alternative/")</f>
        <v>/looking-forward-to-endless-hours-in-planes-trains-and-automobiles-heres-an-alternative/</v>
      </c>
      <c r="C1465" s="1" t="s">
        <v>4905</v>
      </c>
      <c r="D1465" s="1" t="s">
        <v>4906</v>
      </c>
      <c r="E1465" s="1" t="s">
        <v>4907</v>
      </c>
      <c r="F1465" s="1" t="s">
        <v>965</v>
      </c>
      <c r="G1465" s="1">
        <v>200.0</v>
      </c>
      <c r="H1465" s="1" t="s">
        <v>966</v>
      </c>
      <c r="I1465" s="1" t="s">
        <v>967</v>
      </c>
      <c r="K1465" s="1" t="s">
        <v>4908</v>
      </c>
      <c r="L1465" s="1">
        <v>116.0</v>
      </c>
      <c r="M1465" s="1">
        <v>1044.0</v>
      </c>
      <c r="O1465" s="1">
        <v>0.0</v>
      </c>
      <c r="P1465" s="1">
        <v>0.0</v>
      </c>
      <c r="Q1465" s="1" t="s">
        <v>4909</v>
      </c>
      <c r="R1465" s="1">
        <v>151.0</v>
      </c>
      <c r="S1465" s="1">
        <v>943.0</v>
      </c>
      <c r="U1465" s="1">
        <v>0.0</v>
      </c>
      <c r="V1465" s="1" t="s">
        <v>4905</v>
      </c>
      <c r="W1465" s="1">
        <v>91.0</v>
      </c>
      <c r="Y1465" s="1">
        <v>0.0</v>
      </c>
      <c r="Z1465" s="1" t="s">
        <v>4906</v>
      </c>
      <c r="AA1465" s="1">
        <v>18.0</v>
      </c>
      <c r="AB1465" s="1" t="s">
        <v>4907</v>
      </c>
      <c r="AC1465" s="1">
        <v>34.0</v>
      </c>
      <c r="AD1465" s="1" t="s">
        <v>971</v>
      </c>
      <c r="AG1465" s="9" t="s">
        <v>4904</v>
      </c>
      <c r="AM1465" s="1">
        <v>199986.0</v>
      </c>
      <c r="AN1465" s="1">
        <v>35973.0</v>
      </c>
      <c r="AO1465" s="1">
        <v>35973.0</v>
      </c>
      <c r="AP1465" s="1">
        <v>13.781</v>
      </c>
      <c r="AR1465" s="1">
        <v>1303.0</v>
      </c>
      <c r="AS1465" s="1">
        <v>193.0</v>
      </c>
      <c r="AT1465" s="1">
        <v>6.751</v>
      </c>
      <c r="AU1465" s="1">
        <v>67.531</v>
      </c>
      <c r="AV1465" s="1" t="s">
        <v>990</v>
      </c>
      <c r="AW1465" s="1">
        <v>5.151</v>
      </c>
      <c r="AX1465" s="1">
        <v>3.0</v>
      </c>
      <c r="AY1465" s="1">
        <v>1.0</v>
      </c>
      <c r="AZ1465" s="1">
        <v>1.0</v>
      </c>
      <c r="BA1465" s="1">
        <v>9.0</v>
      </c>
      <c r="BB1465" s="1">
        <v>6.0</v>
      </c>
      <c r="BC1465" s="1">
        <v>0.0</v>
      </c>
      <c r="BD1465" s="1">
        <v>0.8</v>
      </c>
      <c r="BE1465" s="1">
        <v>132.0</v>
      </c>
      <c r="BF1465" s="1">
        <v>49.0</v>
      </c>
      <c r="BG1465" s="1">
        <v>0.0</v>
      </c>
      <c r="BH1465" s="1">
        <v>16.0</v>
      </c>
      <c r="BI1465" s="1">
        <v>8.0</v>
      </c>
      <c r="BJ1465" s="1">
        <v>0.0</v>
      </c>
      <c r="BO1465" s="1" t="s">
        <v>4910</v>
      </c>
      <c r="BP1465" s="1">
        <v>1.013</v>
      </c>
      <c r="BU1465" s="1" t="s">
        <v>974</v>
      </c>
      <c r="BV1465" s="1">
        <v>1.1</v>
      </c>
      <c r="EQ1465" s="9" t="s">
        <v>4904</v>
      </c>
      <c r="ER1465" s="21">
        <v>46045.300625</v>
      </c>
    </row>
    <row r="1466">
      <c r="A1466" s="9" t="s">
        <v>4911</v>
      </c>
      <c r="B1466" s="20" t="str">
        <f>IFERROR(__xludf.DUMMYFUNCTION("REGEXREPLACE(A1466, ""^https?://[^/]+"", """")"),"/wp-content/uploads/2025/12/SAO-YT-Thumbnail-Bryan-Cressey.jpg")</f>
        <v>/wp-content/uploads/2025/12/SAO-YT-Thumbnail-Bryan-Cressey.jpg</v>
      </c>
      <c r="F1466" s="1" t="s">
        <v>1004</v>
      </c>
      <c r="G1466" s="1">
        <v>200.0</v>
      </c>
      <c r="H1466" s="1" t="s">
        <v>966</v>
      </c>
      <c r="I1466" s="1" t="s">
        <v>967</v>
      </c>
      <c r="L1466" s="1">
        <v>0.0</v>
      </c>
      <c r="M1466" s="1">
        <v>0.0</v>
      </c>
      <c r="O1466" s="1">
        <v>0.0</v>
      </c>
      <c r="P1466" s="1">
        <v>0.0</v>
      </c>
      <c r="R1466" s="1">
        <v>0.0</v>
      </c>
      <c r="S1466" s="1">
        <v>0.0</v>
      </c>
      <c r="U1466" s="1">
        <v>0.0</v>
      </c>
      <c r="W1466" s="1">
        <v>0.0</v>
      </c>
      <c r="Y1466" s="1">
        <v>0.0</v>
      </c>
      <c r="AA1466" s="1">
        <v>0.0</v>
      </c>
      <c r="AC1466" s="1">
        <v>0.0</v>
      </c>
      <c r="AM1466" s="1">
        <v>1881895.0</v>
      </c>
      <c r="AN1466" s="1">
        <v>1881895.0</v>
      </c>
      <c r="AO1466" s="1">
        <v>1881895.0</v>
      </c>
      <c r="AP1466" s="1">
        <v>720.918</v>
      </c>
      <c r="AR1466" s="1">
        <v>0.0</v>
      </c>
      <c r="AW1466" s="1">
        <v>0.0</v>
      </c>
      <c r="AX1466" s="1">
        <v>3.0</v>
      </c>
      <c r="AY1466" s="1">
        <v>4.0</v>
      </c>
      <c r="BA1466" s="1">
        <v>0.0</v>
      </c>
      <c r="BB1466" s="1">
        <v>0.0</v>
      </c>
      <c r="BC1466" s="1">
        <v>0.0</v>
      </c>
      <c r="BD1466" s="1">
        <v>0.0</v>
      </c>
      <c r="BE1466" s="1">
        <v>0.0</v>
      </c>
      <c r="BF1466" s="1">
        <v>0.0</v>
      </c>
      <c r="BG1466" s="1">
        <v>0.0</v>
      </c>
      <c r="BH1466" s="1">
        <v>0.0</v>
      </c>
      <c r="BI1466" s="1">
        <v>0.0</v>
      </c>
      <c r="BJ1466" s="1">
        <v>0.0</v>
      </c>
      <c r="BP1466" s="1">
        <v>0.272</v>
      </c>
      <c r="BQ1466" s="1" t="s">
        <v>4912</v>
      </c>
      <c r="BV1466" s="1">
        <v>1.1</v>
      </c>
      <c r="EQ1466" s="9" t="s">
        <v>4911</v>
      </c>
      <c r="ER1466" s="21">
        <v>46045.30063657407</v>
      </c>
    </row>
    <row r="1467">
      <c r="A1467" s="9" t="s">
        <v>4913</v>
      </c>
      <c r="B1467" s="20" t="str">
        <f>IFERROR(__xludf.DUMMYFUNCTION("REGEXREPLACE(A1467, ""^https?://[^/]+"", """")"),"/wp-content/uploads/elementor/css/post-72821.css?ver=1768862524")</f>
        <v>/wp-content/uploads/elementor/css/post-72821.css?ver=1768862524</v>
      </c>
      <c r="F1467" s="1" t="s">
        <v>1016</v>
      </c>
      <c r="G1467" s="1">
        <v>200.0</v>
      </c>
      <c r="H1467" s="1" t="s">
        <v>966</v>
      </c>
      <c r="I1467" s="1" t="s">
        <v>967</v>
      </c>
      <c r="L1467" s="1">
        <v>0.0</v>
      </c>
      <c r="M1467" s="1">
        <v>0.0</v>
      </c>
      <c r="O1467" s="1">
        <v>0.0</v>
      </c>
      <c r="P1467" s="1">
        <v>0.0</v>
      </c>
      <c r="R1467" s="1">
        <v>0.0</v>
      </c>
      <c r="S1467" s="1">
        <v>0.0</v>
      </c>
      <c r="U1467" s="1">
        <v>0.0</v>
      </c>
      <c r="W1467" s="1">
        <v>0.0</v>
      </c>
      <c r="Y1467" s="1">
        <v>0.0</v>
      </c>
      <c r="AA1467" s="1">
        <v>0.0</v>
      </c>
      <c r="AC1467" s="1">
        <v>0.0</v>
      </c>
      <c r="AM1467" s="1">
        <v>338.0</v>
      </c>
      <c r="AN1467" s="1">
        <v>338.0</v>
      </c>
      <c r="AO1467" s="1">
        <v>338.0</v>
      </c>
      <c r="AP1467" s="1">
        <v>0.129</v>
      </c>
      <c r="AR1467" s="1">
        <v>0.0</v>
      </c>
      <c r="AW1467" s="1">
        <v>0.0</v>
      </c>
      <c r="AX1467" s="1">
        <v>3.0</v>
      </c>
      <c r="AY1467" s="1">
        <v>4.0</v>
      </c>
      <c r="BA1467" s="1">
        <v>0.0</v>
      </c>
      <c r="BB1467" s="1">
        <v>0.0</v>
      </c>
      <c r="BC1467" s="1">
        <v>0.0</v>
      </c>
      <c r="BD1467" s="1">
        <v>0.0</v>
      </c>
      <c r="BE1467" s="1">
        <v>0.0</v>
      </c>
      <c r="BF1467" s="1">
        <v>0.0</v>
      </c>
      <c r="BG1467" s="1">
        <v>0.0</v>
      </c>
      <c r="BH1467" s="1">
        <v>0.0</v>
      </c>
      <c r="BI1467" s="1">
        <v>0.0</v>
      </c>
      <c r="BJ1467" s="1">
        <v>0.0</v>
      </c>
      <c r="BP1467" s="1">
        <v>0.267</v>
      </c>
      <c r="BQ1467" s="1" t="s">
        <v>4914</v>
      </c>
      <c r="BV1467" s="1">
        <v>1.1</v>
      </c>
      <c r="EQ1467" s="9" t="s">
        <v>4913</v>
      </c>
      <c r="ER1467" s="21">
        <v>46045.30063657407</v>
      </c>
    </row>
    <row r="1468">
      <c r="A1468" s="9" t="s">
        <v>4915</v>
      </c>
      <c r="B1468" s="20" t="str">
        <f>IFERROR(__xludf.DUMMYFUNCTION("REGEXREPLACE(A1468, ""^https?://[^/]+"", """")"),"/wp-content/uploads/2014/09/Sales-Growth-accountability-2048x2048.jpg")</f>
        <v>/wp-content/uploads/2014/09/Sales-Growth-accountability-2048x2048.jpg</v>
      </c>
      <c r="F1468" s="1" t="s">
        <v>1004</v>
      </c>
      <c r="G1468" s="1">
        <v>200.0</v>
      </c>
      <c r="H1468" s="1" t="s">
        <v>966</v>
      </c>
      <c r="I1468" s="1" t="s">
        <v>967</v>
      </c>
      <c r="L1468" s="1">
        <v>0.0</v>
      </c>
      <c r="M1468" s="1">
        <v>0.0</v>
      </c>
      <c r="O1468" s="1">
        <v>0.0</v>
      </c>
      <c r="P1468" s="1">
        <v>0.0</v>
      </c>
      <c r="R1468" s="1">
        <v>0.0</v>
      </c>
      <c r="S1468" s="1">
        <v>0.0</v>
      </c>
      <c r="U1468" s="1">
        <v>0.0</v>
      </c>
      <c r="W1468" s="1">
        <v>0.0</v>
      </c>
      <c r="Y1468" s="1">
        <v>0.0</v>
      </c>
      <c r="AA1468" s="1">
        <v>0.0</v>
      </c>
      <c r="AC1468" s="1">
        <v>0.0</v>
      </c>
      <c r="AM1468" s="1">
        <v>410966.0</v>
      </c>
      <c r="AN1468" s="1">
        <v>410966.0</v>
      </c>
      <c r="AO1468" s="1">
        <v>410966.0</v>
      </c>
      <c r="AP1468" s="1">
        <v>157.433</v>
      </c>
      <c r="AR1468" s="1">
        <v>0.0</v>
      </c>
      <c r="AW1468" s="1">
        <v>0.0</v>
      </c>
      <c r="AX1468" s="1">
        <v>3.0</v>
      </c>
      <c r="AY1468" s="1">
        <v>4.0</v>
      </c>
      <c r="BA1468" s="1">
        <v>0.0</v>
      </c>
      <c r="BB1468" s="1">
        <v>0.0</v>
      </c>
      <c r="BC1468" s="1">
        <v>0.0</v>
      </c>
      <c r="BD1468" s="1">
        <v>0.0</v>
      </c>
      <c r="BE1468" s="1">
        <v>0.0</v>
      </c>
      <c r="BF1468" s="1">
        <v>0.0</v>
      </c>
      <c r="BG1468" s="1">
        <v>0.0</v>
      </c>
      <c r="BH1468" s="1">
        <v>0.0</v>
      </c>
      <c r="BI1468" s="1">
        <v>0.0</v>
      </c>
      <c r="BJ1468" s="1">
        <v>0.0</v>
      </c>
      <c r="BP1468" s="1">
        <v>0.275</v>
      </c>
      <c r="BQ1468" s="1" t="s">
        <v>4916</v>
      </c>
      <c r="BV1468" s="1">
        <v>1.1</v>
      </c>
      <c r="EQ1468" s="9" t="s">
        <v>4915</v>
      </c>
      <c r="ER1468" s="21">
        <v>46045.30063657407</v>
      </c>
    </row>
    <row r="1469">
      <c r="A1469" s="9" t="s">
        <v>4917</v>
      </c>
      <c r="B1469" s="20" t="str">
        <f>IFERROR(__xludf.DUMMYFUNCTION("REGEXREPLACE(A1469, ""^https?://[^/]+"", """")"),"/looking-for-a-lifeline-maybe-you-are-the-lifeline-for-businesses-in-need/")</f>
        <v>/looking-for-a-lifeline-maybe-you-are-the-lifeline-for-businesses-in-need/</v>
      </c>
      <c r="C1469" s="1" t="s">
        <v>4918</v>
      </c>
      <c r="D1469" s="1" t="s">
        <v>4919</v>
      </c>
      <c r="E1469" s="1" t="s">
        <v>4920</v>
      </c>
      <c r="F1469" s="1" t="s">
        <v>965</v>
      </c>
      <c r="G1469" s="1">
        <v>200.0</v>
      </c>
      <c r="H1469" s="1" t="s">
        <v>966</v>
      </c>
      <c r="I1469" s="1" t="s">
        <v>967</v>
      </c>
      <c r="K1469" s="1" t="s">
        <v>4921</v>
      </c>
      <c r="L1469" s="1">
        <v>100.0</v>
      </c>
      <c r="M1469" s="1">
        <v>883.0</v>
      </c>
      <c r="O1469" s="1">
        <v>0.0</v>
      </c>
      <c r="P1469" s="1">
        <v>0.0</v>
      </c>
      <c r="Q1469" s="1" t="s">
        <v>4922</v>
      </c>
      <c r="R1469" s="1">
        <v>156.0</v>
      </c>
      <c r="S1469" s="1">
        <v>951.0</v>
      </c>
      <c r="U1469" s="1">
        <v>0.0</v>
      </c>
      <c r="V1469" s="1" t="s">
        <v>4918</v>
      </c>
      <c r="W1469" s="1">
        <v>75.0</v>
      </c>
      <c r="Y1469" s="1">
        <v>0.0</v>
      </c>
      <c r="Z1469" s="1" t="s">
        <v>4919</v>
      </c>
      <c r="AA1469" s="1">
        <v>22.0</v>
      </c>
      <c r="AB1469" s="1" t="s">
        <v>4920</v>
      </c>
      <c r="AC1469" s="1">
        <v>46.0</v>
      </c>
      <c r="AD1469" s="1" t="s">
        <v>971</v>
      </c>
      <c r="AG1469" s="9" t="s">
        <v>4917</v>
      </c>
      <c r="AM1469" s="1">
        <v>199052.0</v>
      </c>
      <c r="AN1469" s="1">
        <v>35544.0</v>
      </c>
      <c r="AO1469" s="1">
        <v>35544.0</v>
      </c>
      <c r="AP1469" s="1">
        <v>13.616</v>
      </c>
      <c r="AR1469" s="1">
        <v>1255.0</v>
      </c>
      <c r="AS1469" s="1">
        <v>193.0</v>
      </c>
      <c r="AT1469" s="1">
        <v>6.503</v>
      </c>
      <c r="AU1469" s="1">
        <v>67.976</v>
      </c>
      <c r="AV1469" s="1" t="s">
        <v>990</v>
      </c>
      <c r="AW1469" s="1">
        <v>5.014</v>
      </c>
      <c r="AX1469" s="1">
        <v>3.0</v>
      </c>
      <c r="AY1469" s="1">
        <v>1.0</v>
      </c>
      <c r="AZ1469" s="1">
        <v>1.0</v>
      </c>
      <c r="BA1469" s="1">
        <v>9.0</v>
      </c>
      <c r="BB1469" s="1">
        <v>6.0</v>
      </c>
      <c r="BC1469" s="1">
        <v>0.0</v>
      </c>
      <c r="BD1469" s="1">
        <v>0.8</v>
      </c>
      <c r="BE1469" s="1">
        <v>131.0</v>
      </c>
      <c r="BF1469" s="1">
        <v>49.0</v>
      </c>
      <c r="BG1469" s="1">
        <v>0.0</v>
      </c>
      <c r="BH1469" s="1">
        <v>16.0</v>
      </c>
      <c r="BI1469" s="1">
        <v>8.0</v>
      </c>
      <c r="BJ1469" s="1">
        <v>0.0</v>
      </c>
      <c r="BO1469" s="1" t="s">
        <v>4923</v>
      </c>
      <c r="BP1469" s="1">
        <v>0.995</v>
      </c>
      <c r="BU1469" s="1" t="s">
        <v>974</v>
      </c>
      <c r="BV1469" s="1">
        <v>1.1</v>
      </c>
      <c r="EQ1469" s="9" t="s">
        <v>4917</v>
      </c>
      <c r="ER1469" s="21">
        <v>46045.300625</v>
      </c>
    </row>
    <row r="1470">
      <c r="A1470" s="9" t="s">
        <v>4924</v>
      </c>
      <c r="B1470" s="20" t="str">
        <f>IFERROR(__xludf.DUMMYFUNCTION("REGEXREPLACE(A1470, ""^https?://[^/]+"", """")"),"/wp-content/uploads/elementor/css/post-73141.css?ver=1768846288")</f>
        <v>/wp-content/uploads/elementor/css/post-73141.css?ver=1768846288</v>
      </c>
      <c r="F1470" s="1" t="s">
        <v>1016</v>
      </c>
      <c r="G1470" s="1">
        <v>200.0</v>
      </c>
      <c r="H1470" s="1" t="s">
        <v>966</v>
      </c>
      <c r="I1470" s="1" t="s">
        <v>967</v>
      </c>
      <c r="L1470" s="1">
        <v>0.0</v>
      </c>
      <c r="M1470" s="1">
        <v>0.0</v>
      </c>
      <c r="O1470" s="1">
        <v>0.0</v>
      </c>
      <c r="P1470" s="1">
        <v>0.0</v>
      </c>
      <c r="R1470" s="1">
        <v>0.0</v>
      </c>
      <c r="S1470" s="1">
        <v>0.0</v>
      </c>
      <c r="U1470" s="1">
        <v>0.0</v>
      </c>
      <c r="W1470" s="1">
        <v>0.0</v>
      </c>
      <c r="Y1470" s="1">
        <v>0.0</v>
      </c>
      <c r="AA1470" s="1">
        <v>0.0</v>
      </c>
      <c r="AC1470" s="1">
        <v>0.0</v>
      </c>
      <c r="AM1470" s="1">
        <v>339.0</v>
      </c>
      <c r="AN1470" s="1">
        <v>339.0</v>
      </c>
      <c r="AO1470" s="1">
        <v>339.0</v>
      </c>
      <c r="AP1470" s="1">
        <v>0.13</v>
      </c>
      <c r="AR1470" s="1">
        <v>0.0</v>
      </c>
      <c r="AW1470" s="1">
        <v>0.0</v>
      </c>
      <c r="AX1470" s="1">
        <v>3.0</v>
      </c>
      <c r="AY1470" s="1">
        <v>4.0</v>
      </c>
      <c r="BA1470" s="1">
        <v>0.0</v>
      </c>
      <c r="BB1470" s="1">
        <v>0.0</v>
      </c>
      <c r="BC1470" s="1">
        <v>0.0</v>
      </c>
      <c r="BD1470" s="1">
        <v>0.0</v>
      </c>
      <c r="BE1470" s="1">
        <v>0.0</v>
      </c>
      <c r="BF1470" s="1">
        <v>0.0</v>
      </c>
      <c r="BG1470" s="1">
        <v>0.0</v>
      </c>
      <c r="BH1470" s="1">
        <v>0.0</v>
      </c>
      <c r="BI1470" s="1">
        <v>0.0</v>
      </c>
      <c r="BJ1470" s="1">
        <v>0.0</v>
      </c>
      <c r="BP1470" s="1">
        <v>0.277</v>
      </c>
      <c r="BQ1470" s="1" t="s">
        <v>4925</v>
      </c>
      <c r="BV1470" s="1">
        <v>1.1</v>
      </c>
      <c r="EQ1470" s="9" t="s">
        <v>4924</v>
      </c>
      <c r="ER1470" s="21">
        <v>46045.30064814815</v>
      </c>
    </row>
    <row r="1471">
      <c r="A1471" s="9" t="s">
        <v>4926</v>
      </c>
      <c r="B1471" s="20" t="str">
        <f>IFERROR(__xludf.DUMMYFUNCTION("REGEXREPLACE(A1471, ""^https?://[^/]+"", """")"),"/wp-content/uploads/2026/01/SAO-YT-Thumbnail-Tim-Van-Mieghem.jpg")</f>
        <v>/wp-content/uploads/2026/01/SAO-YT-Thumbnail-Tim-Van-Mieghem.jpg</v>
      </c>
      <c r="F1471" s="1" t="s">
        <v>1004</v>
      </c>
      <c r="G1471" s="1">
        <v>200.0</v>
      </c>
      <c r="H1471" s="1" t="s">
        <v>966</v>
      </c>
      <c r="I1471" s="1" t="s">
        <v>967</v>
      </c>
      <c r="L1471" s="1">
        <v>0.0</v>
      </c>
      <c r="M1471" s="1">
        <v>0.0</v>
      </c>
      <c r="O1471" s="1">
        <v>0.0</v>
      </c>
      <c r="P1471" s="1">
        <v>0.0</v>
      </c>
      <c r="R1471" s="1">
        <v>0.0</v>
      </c>
      <c r="S1471" s="1">
        <v>0.0</v>
      </c>
      <c r="U1471" s="1">
        <v>0.0</v>
      </c>
      <c r="W1471" s="1">
        <v>0.0</v>
      </c>
      <c r="Y1471" s="1">
        <v>0.0</v>
      </c>
      <c r="AA1471" s="1">
        <v>0.0</v>
      </c>
      <c r="AC1471" s="1">
        <v>0.0</v>
      </c>
      <c r="AM1471" s="1">
        <v>366363.0</v>
      </c>
      <c r="AN1471" s="1">
        <v>366363.0</v>
      </c>
      <c r="AO1471" s="1">
        <v>366363.0</v>
      </c>
      <c r="AP1471" s="1">
        <v>140.347</v>
      </c>
      <c r="AR1471" s="1">
        <v>0.0</v>
      </c>
      <c r="AW1471" s="1">
        <v>0.0</v>
      </c>
      <c r="AX1471" s="1">
        <v>3.0</v>
      </c>
      <c r="AY1471" s="1">
        <v>4.0</v>
      </c>
      <c r="BA1471" s="1">
        <v>0.0</v>
      </c>
      <c r="BB1471" s="1">
        <v>0.0</v>
      </c>
      <c r="BC1471" s="1">
        <v>0.0</v>
      </c>
      <c r="BD1471" s="1">
        <v>0.0</v>
      </c>
      <c r="BE1471" s="1">
        <v>0.0</v>
      </c>
      <c r="BF1471" s="1">
        <v>0.0</v>
      </c>
      <c r="BG1471" s="1">
        <v>0.0</v>
      </c>
      <c r="BH1471" s="1">
        <v>0.0</v>
      </c>
      <c r="BI1471" s="1">
        <v>0.0</v>
      </c>
      <c r="BJ1471" s="1">
        <v>0.0</v>
      </c>
      <c r="BP1471" s="1">
        <v>0.274</v>
      </c>
      <c r="BQ1471" s="1" t="s">
        <v>1791</v>
      </c>
      <c r="BV1471" s="1">
        <v>1.1</v>
      </c>
      <c r="EQ1471" s="9" t="s">
        <v>4926</v>
      </c>
      <c r="ER1471" s="21">
        <v>46045.30064814815</v>
      </c>
    </row>
    <row r="1472">
      <c r="A1472" s="9" t="s">
        <v>4927</v>
      </c>
      <c r="B1472" s="20" t="str">
        <f>IFERROR(__xludf.DUMMYFUNCTION("REGEXREPLACE(A1472, ""^https?://[^/]+"", """")"),"/focus-on-sales-growth-the-accountability-factor/")</f>
        <v>/focus-on-sales-growth-the-accountability-factor/</v>
      </c>
      <c r="C1472" s="1" t="s">
        <v>4928</v>
      </c>
      <c r="F1472" s="1" t="s">
        <v>965</v>
      </c>
      <c r="G1472" s="1">
        <v>200.0</v>
      </c>
      <c r="H1472" s="1" t="s">
        <v>966</v>
      </c>
      <c r="I1472" s="1" t="s">
        <v>967</v>
      </c>
      <c r="K1472" s="1" t="s">
        <v>4929</v>
      </c>
      <c r="L1472" s="1">
        <v>73.0</v>
      </c>
      <c r="M1472" s="1">
        <v>656.0</v>
      </c>
      <c r="O1472" s="1">
        <v>0.0</v>
      </c>
      <c r="P1472" s="1">
        <v>0.0</v>
      </c>
      <c r="Q1472" s="1" t="s">
        <v>4930</v>
      </c>
      <c r="R1472" s="1">
        <v>130.0</v>
      </c>
      <c r="S1472" s="1">
        <v>793.0</v>
      </c>
      <c r="U1472" s="1">
        <v>0.0</v>
      </c>
      <c r="V1472" s="1" t="s">
        <v>4928</v>
      </c>
      <c r="W1472" s="1">
        <v>48.0</v>
      </c>
      <c r="Y1472" s="1">
        <v>0.0</v>
      </c>
      <c r="AA1472" s="1">
        <v>0.0</v>
      </c>
      <c r="AC1472" s="1">
        <v>0.0</v>
      </c>
      <c r="AD1472" s="1" t="s">
        <v>971</v>
      </c>
      <c r="AG1472" s="9" t="s">
        <v>4927</v>
      </c>
      <c r="AM1472" s="1">
        <v>202054.0</v>
      </c>
      <c r="AN1472" s="1">
        <v>36448.0</v>
      </c>
      <c r="AO1472" s="1">
        <v>36448.0</v>
      </c>
      <c r="AP1472" s="1">
        <v>13.963</v>
      </c>
      <c r="AR1472" s="1">
        <v>1554.0</v>
      </c>
      <c r="AS1472" s="1">
        <v>231.0</v>
      </c>
      <c r="AT1472" s="1">
        <v>6.727</v>
      </c>
      <c r="AU1472" s="1">
        <v>57.864</v>
      </c>
      <c r="AV1472" s="1" t="s">
        <v>972</v>
      </c>
      <c r="AW1472" s="1">
        <v>6.048</v>
      </c>
      <c r="AX1472" s="1">
        <v>3.0</v>
      </c>
      <c r="AY1472" s="1">
        <v>1.0</v>
      </c>
      <c r="AZ1472" s="1">
        <v>1.0</v>
      </c>
      <c r="BA1472" s="1">
        <v>10.0</v>
      </c>
      <c r="BB1472" s="1">
        <v>10.0</v>
      </c>
      <c r="BC1472" s="1">
        <v>0.0</v>
      </c>
      <c r="BD1472" s="1">
        <v>1.33</v>
      </c>
      <c r="BE1472" s="1">
        <v>131.0</v>
      </c>
      <c r="BF1472" s="1">
        <v>49.0</v>
      </c>
      <c r="BG1472" s="1">
        <v>0.0</v>
      </c>
      <c r="BH1472" s="1">
        <v>16.0</v>
      </c>
      <c r="BI1472" s="1">
        <v>8.0</v>
      </c>
      <c r="BJ1472" s="1">
        <v>0.0</v>
      </c>
      <c r="BO1472" s="1" t="s">
        <v>4931</v>
      </c>
      <c r="BP1472" s="1">
        <v>0.993</v>
      </c>
      <c r="BU1472" s="1" t="s">
        <v>974</v>
      </c>
      <c r="BV1472" s="1">
        <v>1.1</v>
      </c>
      <c r="EQ1472" s="9" t="s">
        <v>4927</v>
      </c>
      <c r="ER1472" s="21">
        <v>46045.30063657407</v>
      </c>
    </row>
    <row r="1473">
      <c r="A1473" s="9" t="s">
        <v>4932</v>
      </c>
      <c r="B1473" s="20" t="str">
        <f>IFERROR(__xludf.DUMMYFUNCTION("REGEXREPLACE(A1473, ""^https?://[^/]+"", """")"),"/wp-content/plugins/wp-job-manager/assets/dist/js/job-application.js?ver=f98f84a4980682498065")</f>
        <v>/wp-content/plugins/wp-job-manager/assets/dist/js/job-application.js?ver=f98f84a4980682498065</v>
      </c>
      <c r="F1473" s="1" t="s">
        <v>984</v>
      </c>
      <c r="G1473" s="1">
        <v>200.0</v>
      </c>
      <c r="H1473" s="1" t="s">
        <v>966</v>
      </c>
      <c r="I1473" s="1" t="s">
        <v>967</v>
      </c>
      <c r="L1473" s="1">
        <v>0.0</v>
      </c>
      <c r="M1473" s="1">
        <v>0.0</v>
      </c>
      <c r="O1473" s="1">
        <v>0.0</v>
      </c>
      <c r="P1473" s="1">
        <v>0.0</v>
      </c>
      <c r="R1473" s="1">
        <v>0.0</v>
      </c>
      <c r="S1473" s="1">
        <v>0.0</v>
      </c>
      <c r="U1473" s="1">
        <v>0.0</v>
      </c>
      <c r="W1473" s="1">
        <v>0.0</v>
      </c>
      <c r="Y1473" s="1">
        <v>0.0</v>
      </c>
      <c r="AA1473" s="1">
        <v>0.0</v>
      </c>
      <c r="AC1473" s="1">
        <v>0.0</v>
      </c>
      <c r="AM1473" s="1">
        <v>447.0</v>
      </c>
      <c r="AN1473" s="1">
        <v>447.0</v>
      </c>
      <c r="AO1473" s="1">
        <v>447.0</v>
      </c>
      <c r="AP1473" s="1">
        <v>0.171</v>
      </c>
      <c r="AR1473" s="1">
        <v>0.0</v>
      </c>
      <c r="AW1473" s="1">
        <v>0.0</v>
      </c>
      <c r="AX1473" s="1">
        <v>3.0</v>
      </c>
      <c r="AY1473" s="1">
        <v>6.0</v>
      </c>
      <c r="BA1473" s="1">
        <v>0.0</v>
      </c>
      <c r="BB1473" s="1">
        <v>0.0</v>
      </c>
      <c r="BC1473" s="1">
        <v>0.0</v>
      </c>
      <c r="BD1473" s="1">
        <v>0.0</v>
      </c>
      <c r="BE1473" s="1">
        <v>0.0</v>
      </c>
      <c r="BF1473" s="1">
        <v>0.0</v>
      </c>
      <c r="BG1473" s="1">
        <v>0.0</v>
      </c>
      <c r="BH1473" s="1">
        <v>0.0</v>
      </c>
      <c r="BI1473" s="1">
        <v>0.0</v>
      </c>
      <c r="BJ1473" s="1">
        <v>0.0</v>
      </c>
      <c r="BP1473" s="1">
        <v>0.273</v>
      </c>
      <c r="BQ1473" s="1" t="s">
        <v>1300</v>
      </c>
      <c r="BV1473" s="1">
        <v>1.1</v>
      </c>
      <c r="EQ1473" s="9" t="s">
        <v>4932</v>
      </c>
      <c r="ER1473" s="21">
        <v>46045.30064814815</v>
      </c>
    </row>
    <row r="1474">
      <c r="A1474" s="9" t="s">
        <v>4933</v>
      </c>
      <c r="B1474" s="20" t="str">
        <f>IFERROR(__xludf.DUMMYFUNCTION("REGEXREPLACE(A1474, ""^https?://[^/]+"", """")"),"/wp-content/themes/salesxceleratione/assets/css/style.css?ver=1769123360")</f>
        <v>/wp-content/themes/salesxceleratione/assets/css/style.css?ver=1769123360</v>
      </c>
      <c r="F1474" s="1" t="s">
        <v>1016</v>
      </c>
      <c r="G1474" s="1">
        <v>200.0</v>
      </c>
      <c r="H1474" s="1" t="s">
        <v>966</v>
      </c>
      <c r="I1474" s="1" t="s">
        <v>967</v>
      </c>
      <c r="L1474" s="1">
        <v>0.0</v>
      </c>
      <c r="M1474" s="1">
        <v>0.0</v>
      </c>
      <c r="O1474" s="1">
        <v>0.0</v>
      </c>
      <c r="P1474" s="1">
        <v>0.0</v>
      </c>
      <c r="R1474" s="1">
        <v>0.0</v>
      </c>
      <c r="S1474" s="1">
        <v>0.0</v>
      </c>
      <c r="U1474" s="1">
        <v>0.0</v>
      </c>
      <c r="W1474" s="1">
        <v>0.0</v>
      </c>
      <c r="Y1474" s="1">
        <v>0.0</v>
      </c>
      <c r="AA1474" s="1">
        <v>0.0</v>
      </c>
      <c r="AC1474" s="1">
        <v>0.0</v>
      </c>
      <c r="AM1474" s="1">
        <v>17704.0</v>
      </c>
      <c r="AN1474" s="1">
        <v>17704.0</v>
      </c>
      <c r="AO1474" s="1">
        <v>17704.0</v>
      </c>
      <c r="AP1474" s="1">
        <v>6.782</v>
      </c>
      <c r="AR1474" s="1">
        <v>0.0</v>
      </c>
      <c r="AW1474" s="1">
        <v>0.0</v>
      </c>
      <c r="AX1474" s="1">
        <v>3.0</v>
      </c>
      <c r="AY1474" s="1">
        <v>5.0</v>
      </c>
      <c r="BA1474" s="1">
        <v>0.0</v>
      </c>
      <c r="BB1474" s="1">
        <v>0.0</v>
      </c>
      <c r="BC1474" s="1">
        <v>0.0</v>
      </c>
      <c r="BD1474" s="1">
        <v>0.0</v>
      </c>
      <c r="BE1474" s="1">
        <v>0.0</v>
      </c>
      <c r="BF1474" s="1">
        <v>0.0</v>
      </c>
      <c r="BG1474" s="1">
        <v>0.0</v>
      </c>
      <c r="BH1474" s="1">
        <v>0.0</v>
      </c>
      <c r="BI1474" s="1">
        <v>0.0</v>
      </c>
      <c r="BJ1474" s="1">
        <v>0.0</v>
      </c>
      <c r="BP1474" s="1">
        <v>0.282</v>
      </c>
      <c r="BQ1474" s="1" t="s">
        <v>4934</v>
      </c>
      <c r="BV1474" s="1">
        <v>1.1</v>
      </c>
      <c r="EQ1474" s="9" t="s">
        <v>4933</v>
      </c>
      <c r="ER1474" s="21">
        <v>46045.30064814815</v>
      </c>
    </row>
    <row r="1475">
      <c r="A1475" s="9" t="s">
        <v>4935</v>
      </c>
      <c r="B1475" s="20" t="str">
        <f>IFERROR(__xludf.DUMMYFUNCTION("REGEXREPLACE(A1475, ""^https?://[^/]+"", """")"),"/wp-content/themes/salesxceleratione/assets/css/style.css?ver=1769123361")</f>
        <v>/wp-content/themes/salesxceleratione/assets/css/style.css?ver=1769123361</v>
      </c>
      <c r="F1475" s="1" t="s">
        <v>1016</v>
      </c>
      <c r="G1475" s="1">
        <v>200.0</v>
      </c>
      <c r="H1475" s="1" t="s">
        <v>966</v>
      </c>
      <c r="I1475" s="1" t="s">
        <v>967</v>
      </c>
      <c r="L1475" s="1">
        <v>0.0</v>
      </c>
      <c r="M1475" s="1">
        <v>0.0</v>
      </c>
      <c r="O1475" s="1">
        <v>0.0</v>
      </c>
      <c r="P1475" s="1">
        <v>0.0</v>
      </c>
      <c r="R1475" s="1">
        <v>0.0</v>
      </c>
      <c r="S1475" s="1">
        <v>0.0</v>
      </c>
      <c r="U1475" s="1">
        <v>0.0</v>
      </c>
      <c r="W1475" s="1">
        <v>0.0</v>
      </c>
      <c r="Y1475" s="1">
        <v>0.0</v>
      </c>
      <c r="AA1475" s="1">
        <v>0.0</v>
      </c>
      <c r="AC1475" s="1">
        <v>0.0</v>
      </c>
      <c r="AM1475" s="1">
        <v>17704.0</v>
      </c>
      <c r="AN1475" s="1">
        <v>17704.0</v>
      </c>
      <c r="AO1475" s="1">
        <v>17704.0</v>
      </c>
      <c r="AP1475" s="1">
        <v>6.782</v>
      </c>
      <c r="AR1475" s="1">
        <v>0.0</v>
      </c>
      <c r="AW1475" s="1">
        <v>0.0</v>
      </c>
      <c r="AX1475" s="1">
        <v>3.0</v>
      </c>
      <c r="AY1475" s="1">
        <v>5.0</v>
      </c>
      <c r="BA1475" s="1">
        <v>0.0</v>
      </c>
      <c r="BB1475" s="1">
        <v>0.0</v>
      </c>
      <c r="BC1475" s="1">
        <v>0.0</v>
      </c>
      <c r="BD1475" s="1">
        <v>0.0</v>
      </c>
      <c r="BE1475" s="1">
        <v>0.0</v>
      </c>
      <c r="BF1475" s="1">
        <v>0.0</v>
      </c>
      <c r="BG1475" s="1">
        <v>0.0</v>
      </c>
      <c r="BH1475" s="1">
        <v>0.0</v>
      </c>
      <c r="BI1475" s="1">
        <v>0.0</v>
      </c>
      <c r="BJ1475" s="1">
        <v>0.0</v>
      </c>
      <c r="BP1475" s="1">
        <v>0.26</v>
      </c>
      <c r="BQ1475" s="1" t="s">
        <v>4936</v>
      </c>
      <c r="BV1475" s="1">
        <v>1.1</v>
      </c>
      <c r="EQ1475" s="9" t="s">
        <v>4935</v>
      </c>
      <c r="ER1475" s="21">
        <v>46045.30065972222</v>
      </c>
    </row>
    <row r="1476">
      <c r="A1476" s="9" t="s">
        <v>4937</v>
      </c>
      <c r="B1476" s="20" t="str">
        <f>IFERROR(__xludf.DUMMYFUNCTION("REGEXREPLACE(A1476, ""^https?://[^/]+"", """")"),"/wp-content/themes/salesxceleratione/assets/css/style.css?ver=1769123362")</f>
        <v>/wp-content/themes/salesxceleratione/assets/css/style.css?ver=1769123362</v>
      </c>
      <c r="F1476" s="1" t="s">
        <v>1016</v>
      </c>
      <c r="G1476" s="1">
        <v>200.0</v>
      </c>
      <c r="H1476" s="1" t="s">
        <v>966</v>
      </c>
      <c r="I1476" s="1" t="s">
        <v>967</v>
      </c>
      <c r="L1476" s="1">
        <v>0.0</v>
      </c>
      <c r="M1476" s="1">
        <v>0.0</v>
      </c>
      <c r="O1476" s="1">
        <v>0.0</v>
      </c>
      <c r="P1476" s="1">
        <v>0.0</v>
      </c>
      <c r="R1476" s="1">
        <v>0.0</v>
      </c>
      <c r="S1476" s="1">
        <v>0.0</v>
      </c>
      <c r="U1476" s="1">
        <v>0.0</v>
      </c>
      <c r="W1476" s="1">
        <v>0.0</v>
      </c>
      <c r="Y1476" s="1">
        <v>0.0</v>
      </c>
      <c r="AA1476" s="1">
        <v>0.0</v>
      </c>
      <c r="AC1476" s="1">
        <v>0.0</v>
      </c>
      <c r="AM1476" s="1">
        <v>17704.0</v>
      </c>
      <c r="AN1476" s="1">
        <v>17704.0</v>
      </c>
      <c r="AO1476" s="1">
        <v>17704.0</v>
      </c>
      <c r="AP1476" s="1">
        <v>6.782</v>
      </c>
      <c r="AR1476" s="1">
        <v>0.0</v>
      </c>
      <c r="AW1476" s="1">
        <v>0.0</v>
      </c>
      <c r="AX1476" s="1">
        <v>3.0</v>
      </c>
      <c r="AY1476" s="1">
        <v>5.0</v>
      </c>
      <c r="BA1476" s="1">
        <v>0.0</v>
      </c>
      <c r="BB1476" s="1">
        <v>0.0</v>
      </c>
      <c r="BC1476" s="1">
        <v>0.0</v>
      </c>
      <c r="BD1476" s="1">
        <v>0.0</v>
      </c>
      <c r="BE1476" s="1">
        <v>0.0</v>
      </c>
      <c r="BF1476" s="1">
        <v>0.0</v>
      </c>
      <c r="BG1476" s="1">
        <v>0.0</v>
      </c>
      <c r="BH1476" s="1">
        <v>0.0</v>
      </c>
      <c r="BI1476" s="1">
        <v>0.0</v>
      </c>
      <c r="BJ1476" s="1">
        <v>0.0</v>
      </c>
      <c r="BP1476" s="1">
        <v>0.266</v>
      </c>
      <c r="BQ1476" s="1" t="s">
        <v>4938</v>
      </c>
      <c r="BV1476" s="1">
        <v>1.1</v>
      </c>
      <c r="EQ1476" s="9" t="s">
        <v>4937</v>
      </c>
      <c r="ER1476" s="21">
        <v>46045.30065972222</v>
      </c>
    </row>
    <row r="1477">
      <c r="A1477" s="9" t="s">
        <v>4939</v>
      </c>
      <c r="B1477" s="20" t="str">
        <f>IFERROR(__xludf.DUMMYFUNCTION("REGEXREPLACE(A1477, ""^https?://[^/]+"", """")"),"/wp-content/themes/salesxceleratione/assets/css/style.css?ver=1769123363")</f>
        <v>/wp-content/themes/salesxceleratione/assets/css/style.css?ver=1769123363</v>
      </c>
      <c r="F1477" s="1" t="s">
        <v>1016</v>
      </c>
      <c r="G1477" s="1">
        <v>200.0</v>
      </c>
      <c r="H1477" s="1" t="s">
        <v>966</v>
      </c>
      <c r="I1477" s="1" t="s">
        <v>967</v>
      </c>
      <c r="L1477" s="1">
        <v>0.0</v>
      </c>
      <c r="M1477" s="1">
        <v>0.0</v>
      </c>
      <c r="O1477" s="1">
        <v>0.0</v>
      </c>
      <c r="P1477" s="1">
        <v>0.0</v>
      </c>
      <c r="R1477" s="1">
        <v>0.0</v>
      </c>
      <c r="S1477" s="1">
        <v>0.0</v>
      </c>
      <c r="U1477" s="1">
        <v>0.0</v>
      </c>
      <c r="W1477" s="1">
        <v>0.0</v>
      </c>
      <c r="Y1477" s="1">
        <v>0.0</v>
      </c>
      <c r="AA1477" s="1">
        <v>0.0</v>
      </c>
      <c r="AC1477" s="1">
        <v>0.0</v>
      </c>
      <c r="AM1477" s="1">
        <v>17704.0</v>
      </c>
      <c r="AN1477" s="1">
        <v>17704.0</v>
      </c>
      <c r="AO1477" s="1">
        <v>17704.0</v>
      </c>
      <c r="AP1477" s="1">
        <v>6.782</v>
      </c>
      <c r="AR1477" s="1">
        <v>0.0</v>
      </c>
      <c r="AW1477" s="1">
        <v>0.0</v>
      </c>
      <c r="AX1477" s="1">
        <v>3.0</v>
      </c>
      <c r="AY1477" s="1">
        <v>5.0</v>
      </c>
      <c r="BA1477" s="1">
        <v>0.0</v>
      </c>
      <c r="BB1477" s="1">
        <v>0.0</v>
      </c>
      <c r="BC1477" s="1">
        <v>0.0</v>
      </c>
      <c r="BD1477" s="1">
        <v>0.0</v>
      </c>
      <c r="BE1477" s="1">
        <v>0.0</v>
      </c>
      <c r="BF1477" s="1">
        <v>0.0</v>
      </c>
      <c r="BG1477" s="1">
        <v>0.0</v>
      </c>
      <c r="BH1477" s="1">
        <v>0.0</v>
      </c>
      <c r="BI1477" s="1">
        <v>0.0</v>
      </c>
      <c r="BJ1477" s="1">
        <v>0.0</v>
      </c>
      <c r="BP1477" s="1">
        <v>0.276</v>
      </c>
      <c r="BQ1477" s="1" t="s">
        <v>4940</v>
      </c>
      <c r="BV1477" s="1">
        <v>1.1</v>
      </c>
      <c r="EQ1477" s="9" t="s">
        <v>4939</v>
      </c>
      <c r="ER1477" s="21">
        <v>46045.30065972222</v>
      </c>
    </row>
    <row r="1478">
      <c r="A1478" s="9" t="s">
        <v>4941</v>
      </c>
      <c r="B1478" s="20" t="str">
        <f>IFERROR(__xludf.DUMMYFUNCTION("REGEXREPLACE(A1478, ""^https?://[^/]+"", """")"),"/wp-content/uploads/elementor/css/post-71337.css?ver=1768862523")</f>
        <v>/wp-content/uploads/elementor/css/post-71337.css?ver=1768862523</v>
      </c>
      <c r="F1478" s="1" t="s">
        <v>1016</v>
      </c>
      <c r="G1478" s="1">
        <v>200.0</v>
      </c>
      <c r="H1478" s="1" t="s">
        <v>966</v>
      </c>
      <c r="I1478" s="1" t="s">
        <v>967</v>
      </c>
      <c r="L1478" s="1">
        <v>0.0</v>
      </c>
      <c r="M1478" s="1">
        <v>0.0</v>
      </c>
      <c r="O1478" s="1">
        <v>0.0</v>
      </c>
      <c r="P1478" s="1">
        <v>0.0</v>
      </c>
      <c r="R1478" s="1">
        <v>0.0</v>
      </c>
      <c r="S1478" s="1">
        <v>0.0</v>
      </c>
      <c r="U1478" s="1">
        <v>0.0</v>
      </c>
      <c r="W1478" s="1">
        <v>0.0</v>
      </c>
      <c r="Y1478" s="1">
        <v>0.0</v>
      </c>
      <c r="AA1478" s="1">
        <v>0.0</v>
      </c>
      <c r="AC1478" s="1">
        <v>0.0</v>
      </c>
      <c r="AM1478" s="1">
        <v>1842.0</v>
      </c>
      <c r="AN1478" s="1">
        <v>1842.0</v>
      </c>
      <c r="AO1478" s="1">
        <v>1842.0</v>
      </c>
      <c r="AP1478" s="1">
        <v>0.706</v>
      </c>
      <c r="AR1478" s="1">
        <v>0.0</v>
      </c>
      <c r="AW1478" s="1">
        <v>0.0</v>
      </c>
      <c r="AX1478" s="1">
        <v>3.0</v>
      </c>
      <c r="AY1478" s="1">
        <v>4.0</v>
      </c>
      <c r="BA1478" s="1">
        <v>0.0</v>
      </c>
      <c r="BB1478" s="1">
        <v>0.0</v>
      </c>
      <c r="BC1478" s="1">
        <v>0.0</v>
      </c>
      <c r="BD1478" s="1">
        <v>0.0</v>
      </c>
      <c r="BE1478" s="1">
        <v>0.0</v>
      </c>
      <c r="BF1478" s="1">
        <v>0.0</v>
      </c>
      <c r="BG1478" s="1">
        <v>0.0</v>
      </c>
      <c r="BH1478" s="1">
        <v>0.0</v>
      </c>
      <c r="BI1478" s="1">
        <v>0.0</v>
      </c>
      <c r="BJ1478" s="1">
        <v>0.0</v>
      </c>
      <c r="BP1478" s="1">
        <v>0.259</v>
      </c>
      <c r="BQ1478" s="1" t="s">
        <v>4942</v>
      </c>
      <c r="BV1478" s="1">
        <v>1.1</v>
      </c>
      <c r="EQ1478" s="9" t="s">
        <v>4941</v>
      </c>
      <c r="ER1478" s="21">
        <v>46045.30065972222</v>
      </c>
    </row>
    <row r="1479">
      <c r="A1479" s="9" t="s">
        <v>4943</v>
      </c>
      <c r="B1479" s="20" t="str">
        <f>IFERROR(__xludf.DUMMYFUNCTION("REGEXREPLACE(A1479, ""^https?://[^/]+"", """")"),"/wp-content/themes/salesxceleratione/assets/css/style.css?ver=1769123364")</f>
        <v>/wp-content/themes/salesxceleratione/assets/css/style.css?ver=1769123364</v>
      </c>
      <c r="F1479" s="1" t="s">
        <v>1016</v>
      </c>
      <c r="G1479" s="1">
        <v>200.0</v>
      </c>
      <c r="H1479" s="1" t="s">
        <v>966</v>
      </c>
      <c r="I1479" s="1" t="s">
        <v>967</v>
      </c>
      <c r="L1479" s="1">
        <v>0.0</v>
      </c>
      <c r="M1479" s="1">
        <v>0.0</v>
      </c>
      <c r="O1479" s="1">
        <v>0.0</v>
      </c>
      <c r="P1479" s="1">
        <v>0.0</v>
      </c>
      <c r="R1479" s="1">
        <v>0.0</v>
      </c>
      <c r="S1479" s="1">
        <v>0.0</v>
      </c>
      <c r="U1479" s="1">
        <v>0.0</v>
      </c>
      <c r="W1479" s="1">
        <v>0.0</v>
      </c>
      <c r="Y1479" s="1">
        <v>0.0</v>
      </c>
      <c r="AA1479" s="1">
        <v>0.0</v>
      </c>
      <c r="AC1479" s="1">
        <v>0.0</v>
      </c>
      <c r="AM1479" s="1">
        <v>17704.0</v>
      </c>
      <c r="AN1479" s="1">
        <v>17704.0</v>
      </c>
      <c r="AO1479" s="1">
        <v>17704.0</v>
      </c>
      <c r="AP1479" s="1">
        <v>6.782</v>
      </c>
      <c r="AR1479" s="1">
        <v>0.0</v>
      </c>
      <c r="AW1479" s="1">
        <v>0.0</v>
      </c>
      <c r="AX1479" s="1">
        <v>3.0</v>
      </c>
      <c r="AY1479" s="1">
        <v>5.0</v>
      </c>
      <c r="BA1479" s="1">
        <v>0.0</v>
      </c>
      <c r="BB1479" s="1">
        <v>0.0</v>
      </c>
      <c r="BC1479" s="1">
        <v>0.0</v>
      </c>
      <c r="BD1479" s="1">
        <v>0.0</v>
      </c>
      <c r="BE1479" s="1">
        <v>0.0</v>
      </c>
      <c r="BF1479" s="1">
        <v>0.0</v>
      </c>
      <c r="BG1479" s="1">
        <v>0.0</v>
      </c>
      <c r="BH1479" s="1">
        <v>0.0</v>
      </c>
      <c r="BI1479" s="1">
        <v>0.0</v>
      </c>
      <c r="BJ1479" s="1">
        <v>0.0</v>
      </c>
      <c r="BP1479" s="1">
        <v>0.266</v>
      </c>
      <c r="BQ1479" s="1" t="s">
        <v>4936</v>
      </c>
      <c r="BV1479" s="1">
        <v>1.1</v>
      </c>
      <c r="EQ1479" s="9" t="s">
        <v>4943</v>
      </c>
      <c r="ER1479" s="21">
        <v>46045.30065972222</v>
      </c>
    </row>
    <row r="1480">
      <c r="A1480" s="9" t="s">
        <v>4944</v>
      </c>
      <c r="B1480" s="20" t="str">
        <f>IFERROR(__xludf.DUMMYFUNCTION("REGEXREPLACE(A1480, ""^https?://[^/]+"", """")"),"/wp-content/uploads/elementor/css/post-26692.css?ver=1768846160")</f>
        <v>/wp-content/uploads/elementor/css/post-26692.css?ver=1768846160</v>
      </c>
      <c r="F1480" s="1" t="s">
        <v>1016</v>
      </c>
      <c r="G1480" s="1">
        <v>200.0</v>
      </c>
      <c r="H1480" s="1" t="s">
        <v>966</v>
      </c>
      <c r="I1480" s="1" t="s">
        <v>967</v>
      </c>
      <c r="L1480" s="1">
        <v>0.0</v>
      </c>
      <c r="M1480" s="1">
        <v>0.0</v>
      </c>
      <c r="O1480" s="1">
        <v>0.0</v>
      </c>
      <c r="P1480" s="1">
        <v>0.0</v>
      </c>
      <c r="R1480" s="1">
        <v>0.0</v>
      </c>
      <c r="S1480" s="1">
        <v>0.0</v>
      </c>
      <c r="U1480" s="1">
        <v>0.0</v>
      </c>
      <c r="W1480" s="1">
        <v>0.0</v>
      </c>
      <c r="Y1480" s="1">
        <v>0.0</v>
      </c>
      <c r="AA1480" s="1">
        <v>0.0</v>
      </c>
      <c r="AC1480" s="1">
        <v>0.0</v>
      </c>
      <c r="AM1480" s="1">
        <v>558.0</v>
      </c>
      <c r="AN1480" s="1">
        <v>558.0</v>
      </c>
      <c r="AO1480" s="1">
        <v>558.0</v>
      </c>
      <c r="AP1480" s="1">
        <v>0.214</v>
      </c>
      <c r="AR1480" s="1">
        <v>0.0</v>
      </c>
      <c r="AW1480" s="1">
        <v>0.0</v>
      </c>
      <c r="AX1480" s="1">
        <v>3.0</v>
      </c>
      <c r="AY1480" s="1">
        <v>4.0</v>
      </c>
      <c r="BA1480" s="1">
        <v>0.0</v>
      </c>
      <c r="BB1480" s="1">
        <v>0.0</v>
      </c>
      <c r="BC1480" s="1">
        <v>0.0</v>
      </c>
      <c r="BD1480" s="1">
        <v>0.0</v>
      </c>
      <c r="BE1480" s="1">
        <v>0.0</v>
      </c>
      <c r="BF1480" s="1">
        <v>0.0</v>
      </c>
      <c r="BG1480" s="1">
        <v>0.0</v>
      </c>
      <c r="BH1480" s="1">
        <v>0.0</v>
      </c>
      <c r="BI1480" s="1">
        <v>0.0</v>
      </c>
      <c r="BJ1480" s="1">
        <v>0.0</v>
      </c>
      <c r="BP1480" s="1">
        <v>0.266</v>
      </c>
      <c r="BQ1480" s="1" t="s">
        <v>4945</v>
      </c>
      <c r="BV1480" s="1">
        <v>1.1</v>
      </c>
      <c r="EQ1480" s="9" t="s">
        <v>4944</v>
      </c>
      <c r="ER1480" s="21">
        <v>46045.30065972222</v>
      </c>
    </row>
    <row r="1481">
      <c r="A1481" s="9" t="s">
        <v>4946</v>
      </c>
      <c r="B1481" s="20" t="str">
        <f>IFERROR(__xludf.DUMMYFUNCTION("REGEXREPLACE(A1481, ""^https?://[^/]+"", """")"),"/wp-content/themes/salesxceleratione/assets/css/style.css?ver=1769123368")</f>
        <v>/wp-content/themes/salesxceleratione/assets/css/style.css?ver=1769123368</v>
      </c>
      <c r="F1481" s="1" t="s">
        <v>1016</v>
      </c>
      <c r="G1481" s="1">
        <v>200.0</v>
      </c>
      <c r="H1481" s="1" t="s">
        <v>966</v>
      </c>
      <c r="I1481" s="1" t="s">
        <v>967</v>
      </c>
      <c r="L1481" s="1">
        <v>0.0</v>
      </c>
      <c r="M1481" s="1">
        <v>0.0</v>
      </c>
      <c r="O1481" s="1">
        <v>0.0</v>
      </c>
      <c r="P1481" s="1">
        <v>0.0</v>
      </c>
      <c r="R1481" s="1">
        <v>0.0</v>
      </c>
      <c r="S1481" s="1">
        <v>0.0</v>
      </c>
      <c r="U1481" s="1">
        <v>0.0</v>
      </c>
      <c r="W1481" s="1">
        <v>0.0</v>
      </c>
      <c r="Y1481" s="1">
        <v>0.0</v>
      </c>
      <c r="AA1481" s="1">
        <v>0.0</v>
      </c>
      <c r="AC1481" s="1">
        <v>0.0</v>
      </c>
      <c r="AM1481" s="1">
        <v>17704.0</v>
      </c>
      <c r="AN1481" s="1">
        <v>17704.0</v>
      </c>
      <c r="AO1481" s="1">
        <v>17704.0</v>
      </c>
      <c r="AP1481" s="1">
        <v>6.782</v>
      </c>
      <c r="AR1481" s="1">
        <v>0.0</v>
      </c>
      <c r="AW1481" s="1">
        <v>0.0</v>
      </c>
      <c r="AX1481" s="1">
        <v>3.0</v>
      </c>
      <c r="AY1481" s="1">
        <v>5.0</v>
      </c>
      <c r="BA1481" s="1">
        <v>0.0</v>
      </c>
      <c r="BB1481" s="1">
        <v>0.0</v>
      </c>
      <c r="BC1481" s="1">
        <v>0.0</v>
      </c>
      <c r="BD1481" s="1">
        <v>0.0</v>
      </c>
      <c r="BE1481" s="1">
        <v>0.0</v>
      </c>
      <c r="BF1481" s="1">
        <v>0.0</v>
      </c>
      <c r="BG1481" s="1">
        <v>0.0</v>
      </c>
      <c r="BH1481" s="1">
        <v>0.0</v>
      </c>
      <c r="BI1481" s="1">
        <v>0.0</v>
      </c>
      <c r="BJ1481" s="1">
        <v>0.0</v>
      </c>
      <c r="BP1481" s="1">
        <v>0.283</v>
      </c>
      <c r="BQ1481" s="1" t="s">
        <v>4938</v>
      </c>
      <c r="BV1481" s="1">
        <v>1.1</v>
      </c>
      <c r="EQ1481" s="9" t="s">
        <v>4946</v>
      </c>
      <c r="ER1481" s="21">
        <v>46045.30065972222</v>
      </c>
    </row>
    <row r="1482">
      <c r="A1482" s="9" t="s">
        <v>4947</v>
      </c>
      <c r="B1482" s="20" t="str">
        <f>IFERROR(__xludf.DUMMYFUNCTION("REGEXREPLACE(A1482, ""^https?://[^/]+"", """")"),"/wp-content/themes/salesxceleratione/assets/css/style.css?ver=1769123389")</f>
        <v>/wp-content/themes/salesxceleratione/assets/css/style.css?ver=1769123389</v>
      </c>
      <c r="F1482" s="1" t="s">
        <v>1016</v>
      </c>
      <c r="G1482" s="1">
        <v>200.0</v>
      </c>
      <c r="H1482" s="1" t="s">
        <v>966</v>
      </c>
      <c r="I1482" s="1" t="s">
        <v>967</v>
      </c>
      <c r="L1482" s="1">
        <v>0.0</v>
      </c>
      <c r="M1482" s="1">
        <v>0.0</v>
      </c>
      <c r="O1482" s="1">
        <v>0.0</v>
      </c>
      <c r="P1482" s="1">
        <v>0.0</v>
      </c>
      <c r="R1482" s="1">
        <v>0.0</v>
      </c>
      <c r="S1482" s="1">
        <v>0.0</v>
      </c>
      <c r="U1482" s="1">
        <v>0.0</v>
      </c>
      <c r="W1482" s="1">
        <v>0.0</v>
      </c>
      <c r="Y1482" s="1">
        <v>0.0</v>
      </c>
      <c r="AA1482" s="1">
        <v>0.0</v>
      </c>
      <c r="AC1482" s="1">
        <v>0.0</v>
      </c>
      <c r="AM1482" s="1">
        <v>17704.0</v>
      </c>
      <c r="AN1482" s="1">
        <v>17704.0</v>
      </c>
      <c r="AO1482" s="1">
        <v>17704.0</v>
      </c>
      <c r="AP1482" s="1">
        <v>6.782</v>
      </c>
      <c r="AR1482" s="1">
        <v>0.0</v>
      </c>
      <c r="AW1482" s="1">
        <v>0.0</v>
      </c>
      <c r="AX1482" s="1">
        <v>3.0</v>
      </c>
      <c r="AY1482" s="1">
        <v>5.0</v>
      </c>
      <c r="BA1482" s="1">
        <v>0.0</v>
      </c>
      <c r="BB1482" s="1">
        <v>0.0</v>
      </c>
      <c r="BC1482" s="1">
        <v>0.0</v>
      </c>
      <c r="BD1482" s="1">
        <v>0.0</v>
      </c>
      <c r="BE1482" s="1">
        <v>0.0</v>
      </c>
      <c r="BF1482" s="1">
        <v>0.0</v>
      </c>
      <c r="BG1482" s="1">
        <v>0.0</v>
      </c>
      <c r="BH1482" s="1">
        <v>0.0</v>
      </c>
      <c r="BI1482" s="1">
        <v>0.0</v>
      </c>
      <c r="BJ1482" s="1">
        <v>0.0</v>
      </c>
      <c r="BP1482" s="1">
        <v>0.277</v>
      </c>
      <c r="BQ1482" s="1" t="s">
        <v>4938</v>
      </c>
      <c r="BV1482" s="1">
        <v>1.1</v>
      </c>
      <c r="EQ1482" s="9" t="s">
        <v>4947</v>
      </c>
      <c r="ER1482" s="21">
        <v>46045.30065972222</v>
      </c>
    </row>
    <row r="1483">
      <c r="A1483" s="9" t="s">
        <v>4948</v>
      </c>
      <c r="B1483" s="20" t="str">
        <f>IFERROR(__xludf.DUMMYFUNCTION("REGEXREPLACE(A1483, ""^https?://[^/]+"", """")"),"/contact-us")</f>
        <v>/contact-us</v>
      </c>
      <c r="G1483" s="1">
        <v>301.0</v>
      </c>
      <c r="H1483" s="1" t="s">
        <v>1304</v>
      </c>
      <c r="I1483" s="1" t="s">
        <v>1214</v>
      </c>
      <c r="J1483" s="1" t="s">
        <v>1305</v>
      </c>
      <c r="L1483" s="1">
        <v>0.0</v>
      </c>
      <c r="M1483" s="1">
        <v>0.0</v>
      </c>
      <c r="O1483" s="1">
        <v>0.0</v>
      </c>
      <c r="P1483" s="1">
        <v>0.0</v>
      </c>
      <c r="R1483" s="1">
        <v>0.0</v>
      </c>
      <c r="S1483" s="1">
        <v>0.0</v>
      </c>
      <c r="U1483" s="1">
        <v>0.0</v>
      </c>
      <c r="W1483" s="1">
        <v>0.0</v>
      </c>
      <c r="Y1483" s="1">
        <v>0.0</v>
      </c>
      <c r="AA1483" s="1">
        <v>0.0</v>
      </c>
      <c r="AC1483" s="1">
        <v>0.0</v>
      </c>
      <c r="AM1483" s="1">
        <v>0.0</v>
      </c>
      <c r="AN1483" s="1">
        <v>0.0</v>
      </c>
      <c r="AO1483" s="1">
        <v>0.0</v>
      </c>
      <c r="AP1483" s="1">
        <v>0.0</v>
      </c>
      <c r="AR1483" s="1">
        <v>0.0</v>
      </c>
      <c r="AW1483" s="1">
        <v>0.0</v>
      </c>
      <c r="AX1483" s="1">
        <v>3.0</v>
      </c>
      <c r="AY1483" s="1">
        <v>0.0</v>
      </c>
      <c r="BA1483" s="1">
        <v>0.0</v>
      </c>
      <c r="BB1483" s="1">
        <v>0.0</v>
      </c>
      <c r="BC1483" s="1">
        <v>0.0</v>
      </c>
      <c r="BD1483" s="1">
        <v>0.0</v>
      </c>
      <c r="BE1483" s="1">
        <v>0.0</v>
      </c>
      <c r="BF1483" s="1">
        <v>0.0</v>
      </c>
      <c r="BG1483" s="1">
        <v>0.0</v>
      </c>
      <c r="BH1483" s="1">
        <v>0.0</v>
      </c>
      <c r="BI1483" s="1">
        <v>0.0</v>
      </c>
      <c r="BJ1483" s="1">
        <v>0.0</v>
      </c>
      <c r="BP1483" s="1">
        <v>0.012</v>
      </c>
      <c r="BR1483" s="9" t="s">
        <v>4949</v>
      </c>
      <c r="BS1483" s="1" t="s">
        <v>1307</v>
      </c>
      <c r="BV1483" s="1">
        <v>1.1</v>
      </c>
      <c r="EQ1483" s="9" t="s">
        <v>4948</v>
      </c>
      <c r="ER1483" s="21">
        <v>46045.30065972222</v>
      </c>
    </row>
    <row r="1484">
      <c r="A1484" s="9" t="s">
        <v>4950</v>
      </c>
      <c r="B1484" s="20" t="str">
        <f>IFERROR(__xludf.DUMMYFUNCTION("REGEXREPLACE(A1484, ""^https?://[^/]+"", """")"),"/")</f>
        <v>/</v>
      </c>
      <c r="G1484" s="1">
        <v>301.0</v>
      </c>
      <c r="H1484" s="1" t="s">
        <v>1304</v>
      </c>
      <c r="I1484" s="1" t="s">
        <v>1214</v>
      </c>
      <c r="J1484" s="1" t="s">
        <v>1305</v>
      </c>
      <c r="L1484" s="1">
        <v>0.0</v>
      </c>
      <c r="M1484" s="1">
        <v>0.0</v>
      </c>
      <c r="O1484" s="1">
        <v>0.0</v>
      </c>
      <c r="P1484" s="1">
        <v>0.0</v>
      </c>
      <c r="R1484" s="1">
        <v>0.0</v>
      </c>
      <c r="S1484" s="1">
        <v>0.0</v>
      </c>
      <c r="U1484" s="1">
        <v>0.0</v>
      </c>
      <c r="W1484" s="1">
        <v>0.0</v>
      </c>
      <c r="Y1484" s="1">
        <v>0.0</v>
      </c>
      <c r="AA1484" s="1">
        <v>0.0</v>
      </c>
      <c r="AC1484" s="1">
        <v>0.0</v>
      </c>
      <c r="AM1484" s="1">
        <v>0.0</v>
      </c>
      <c r="AN1484" s="1">
        <v>0.0</v>
      </c>
      <c r="AO1484" s="1">
        <v>0.0</v>
      </c>
      <c r="AP1484" s="1">
        <v>0.0</v>
      </c>
      <c r="AR1484" s="1">
        <v>0.0</v>
      </c>
      <c r="AW1484" s="1">
        <v>0.0</v>
      </c>
      <c r="AX1484" s="1">
        <v>3.0</v>
      </c>
      <c r="AY1484" s="1">
        <v>0.0</v>
      </c>
      <c r="BA1484" s="1">
        <v>0.0</v>
      </c>
      <c r="BB1484" s="1">
        <v>0.0</v>
      </c>
      <c r="BC1484" s="1">
        <v>0.0</v>
      </c>
      <c r="BD1484" s="1">
        <v>0.0</v>
      </c>
      <c r="BE1484" s="1">
        <v>0.0</v>
      </c>
      <c r="BF1484" s="1">
        <v>0.0</v>
      </c>
      <c r="BG1484" s="1">
        <v>0.0</v>
      </c>
      <c r="BH1484" s="1">
        <v>0.0</v>
      </c>
      <c r="BI1484" s="1">
        <v>0.0</v>
      </c>
      <c r="BJ1484" s="1">
        <v>0.0</v>
      </c>
      <c r="BP1484" s="1">
        <v>0.012</v>
      </c>
      <c r="BR1484" s="9" t="s">
        <v>961</v>
      </c>
      <c r="BS1484" s="1" t="s">
        <v>1307</v>
      </c>
      <c r="BV1484" s="1">
        <v>1.1</v>
      </c>
      <c r="EQ1484" s="9" t="s">
        <v>4950</v>
      </c>
      <c r="ER1484" s="21">
        <v>46045.30065972222</v>
      </c>
    </row>
    <row r="1485">
      <c r="A1485" s="9" t="s">
        <v>4951</v>
      </c>
      <c r="B1485" s="20" t="str">
        <f>IFERROR(__xludf.DUMMYFUNCTION("REGEXREPLACE(A1485, ""^https?://[^/]+"", """")"),"/wp-content/themes/salesxceleratione/assets/css/style.css?ver=1769123411")</f>
        <v>/wp-content/themes/salesxceleratione/assets/css/style.css?ver=1769123411</v>
      </c>
      <c r="F1485" s="1" t="s">
        <v>1016</v>
      </c>
      <c r="G1485" s="1">
        <v>200.0</v>
      </c>
      <c r="H1485" s="1" t="s">
        <v>966</v>
      </c>
      <c r="I1485" s="1" t="s">
        <v>967</v>
      </c>
      <c r="L1485" s="1">
        <v>0.0</v>
      </c>
      <c r="M1485" s="1">
        <v>0.0</v>
      </c>
      <c r="O1485" s="1">
        <v>0.0</v>
      </c>
      <c r="P1485" s="1">
        <v>0.0</v>
      </c>
      <c r="R1485" s="1">
        <v>0.0</v>
      </c>
      <c r="S1485" s="1">
        <v>0.0</v>
      </c>
      <c r="U1485" s="1">
        <v>0.0</v>
      </c>
      <c r="W1485" s="1">
        <v>0.0</v>
      </c>
      <c r="Y1485" s="1">
        <v>0.0</v>
      </c>
      <c r="AA1485" s="1">
        <v>0.0</v>
      </c>
      <c r="AC1485" s="1">
        <v>0.0</v>
      </c>
      <c r="AM1485" s="1">
        <v>17704.0</v>
      </c>
      <c r="AN1485" s="1">
        <v>17704.0</v>
      </c>
      <c r="AO1485" s="1">
        <v>17704.0</v>
      </c>
      <c r="AP1485" s="1">
        <v>6.782</v>
      </c>
      <c r="AR1485" s="1">
        <v>0.0</v>
      </c>
      <c r="AW1485" s="1">
        <v>0.0</v>
      </c>
      <c r="AX1485" s="1">
        <v>3.0</v>
      </c>
      <c r="AY1485" s="1">
        <v>5.0</v>
      </c>
      <c r="BA1485" s="1">
        <v>0.0</v>
      </c>
      <c r="BB1485" s="1">
        <v>0.0</v>
      </c>
      <c r="BC1485" s="1">
        <v>0.0</v>
      </c>
      <c r="BD1485" s="1">
        <v>0.0</v>
      </c>
      <c r="BE1485" s="1">
        <v>0.0</v>
      </c>
      <c r="BF1485" s="1">
        <v>0.0</v>
      </c>
      <c r="BG1485" s="1">
        <v>0.0</v>
      </c>
      <c r="BH1485" s="1">
        <v>0.0</v>
      </c>
      <c r="BI1485" s="1">
        <v>0.0</v>
      </c>
      <c r="BJ1485" s="1">
        <v>0.0</v>
      </c>
      <c r="BP1485" s="1">
        <v>0.286</v>
      </c>
      <c r="BQ1485" s="1" t="s">
        <v>4938</v>
      </c>
      <c r="BV1485" s="1">
        <v>1.1</v>
      </c>
      <c r="EQ1485" s="9" t="s">
        <v>4951</v>
      </c>
      <c r="ER1485" s="21">
        <v>46045.30065972222</v>
      </c>
    </row>
    <row r="1486">
      <c r="A1486" s="9" t="s">
        <v>4952</v>
      </c>
      <c r="B1486" s="20" t="str">
        <f>IFERROR(__xludf.DUMMYFUNCTION("REGEXREPLACE(A1486, ""^https?://[^/]+"", """")"),"/")</f>
        <v>/</v>
      </c>
      <c r="F1486" s="1" t="s">
        <v>965</v>
      </c>
      <c r="G1486" s="1">
        <v>301.0</v>
      </c>
      <c r="H1486" s="1" t="s">
        <v>1304</v>
      </c>
      <c r="I1486" s="1" t="s">
        <v>1214</v>
      </c>
      <c r="J1486" s="1" t="s">
        <v>1305</v>
      </c>
      <c r="L1486" s="1">
        <v>0.0</v>
      </c>
      <c r="M1486" s="1">
        <v>0.0</v>
      </c>
      <c r="O1486" s="1">
        <v>0.0</v>
      </c>
      <c r="P1486" s="1">
        <v>0.0</v>
      </c>
      <c r="R1486" s="1">
        <v>0.0</v>
      </c>
      <c r="S1486" s="1">
        <v>0.0</v>
      </c>
      <c r="U1486" s="1">
        <v>0.0</v>
      </c>
      <c r="W1486" s="1">
        <v>0.0</v>
      </c>
      <c r="Y1486" s="1">
        <v>0.0</v>
      </c>
      <c r="AA1486" s="1">
        <v>0.0</v>
      </c>
      <c r="AC1486" s="1">
        <v>0.0</v>
      </c>
      <c r="AM1486" s="1">
        <v>0.0</v>
      </c>
      <c r="AN1486" s="1">
        <v>0.0</v>
      </c>
      <c r="AO1486" s="1">
        <v>0.0</v>
      </c>
      <c r="AP1486" s="1">
        <v>0.0</v>
      </c>
      <c r="AR1486" s="1">
        <v>0.0</v>
      </c>
      <c r="AW1486" s="1">
        <v>0.0</v>
      </c>
      <c r="AX1486" s="1">
        <v>3.0</v>
      </c>
      <c r="AY1486" s="1">
        <v>0.0</v>
      </c>
      <c r="BA1486" s="1">
        <v>35.0</v>
      </c>
      <c r="BB1486" s="1">
        <v>34.0</v>
      </c>
      <c r="BC1486" s="1">
        <v>0.0</v>
      </c>
      <c r="BD1486" s="1">
        <v>4.51</v>
      </c>
      <c r="BE1486" s="1">
        <v>0.0</v>
      </c>
      <c r="BF1486" s="1">
        <v>0.0</v>
      </c>
      <c r="BG1486" s="1">
        <v>0.0</v>
      </c>
      <c r="BH1486" s="1">
        <v>0.0</v>
      </c>
      <c r="BI1486" s="1">
        <v>0.0</v>
      </c>
      <c r="BJ1486" s="1">
        <v>0.0</v>
      </c>
      <c r="BP1486" s="1">
        <v>0.955</v>
      </c>
      <c r="BR1486" s="9" t="s">
        <v>961</v>
      </c>
      <c r="BS1486" s="1" t="s">
        <v>1307</v>
      </c>
      <c r="BV1486" s="1">
        <v>1.1</v>
      </c>
      <c r="EQ1486" s="9" t="s">
        <v>4952</v>
      </c>
      <c r="ER1486" s="21">
        <v>46045.30065972222</v>
      </c>
    </row>
    <row r="1487">
      <c r="A1487" s="9" t="s">
        <v>4953</v>
      </c>
      <c r="B1487" s="20" t="str">
        <f>IFERROR(__xludf.DUMMYFUNCTION("REGEXREPLACE(A1487, ""^https?://[^/]+"", """")"),"/wp-content/themes/salesxceleratione/assets/css/style.css?ver=1769123413")</f>
        <v>/wp-content/themes/salesxceleratione/assets/css/style.css?ver=1769123413</v>
      </c>
      <c r="F1487" s="1" t="s">
        <v>1016</v>
      </c>
      <c r="G1487" s="1">
        <v>200.0</v>
      </c>
      <c r="H1487" s="1" t="s">
        <v>966</v>
      </c>
      <c r="I1487" s="1" t="s">
        <v>967</v>
      </c>
      <c r="L1487" s="1">
        <v>0.0</v>
      </c>
      <c r="M1487" s="1">
        <v>0.0</v>
      </c>
      <c r="O1487" s="1">
        <v>0.0</v>
      </c>
      <c r="P1487" s="1">
        <v>0.0</v>
      </c>
      <c r="R1487" s="1">
        <v>0.0</v>
      </c>
      <c r="S1487" s="1">
        <v>0.0</v>
      </c>
      <c r="U1487" s="1">
        <v>0.0</v>
      </c>
      <c r="W1487" s="1">
        <v>0.0</v>
      </c>
      <c r="Y1487" s="1">
        <v>0.0</v>
      </c>
      <c r="AA1487" s="1">
        <v>0.0</v>
      </c>
      <c r="AC1487" s="1">
        <v>0.0</v>
      </c>
      <c r="AM1487" s="1">
        <v>17704.0</v>
      </c>
      <c r="AN1487" s="1">
        <v>17704.0</v>
      </c>
      <c r="AO1487" s="1">
        <v>17704.0</v>
      </c>
      <c r="AP1487" s="1">
        <v>6.782</v>
      </c>
      <c r="AR1487" s="1">
        <v>0.0</v>
      </c>
      <c r="AW1487" s="1">
        <v>0.0</v>
      </c>
      <c r="AX1487" s="1">
        <v>3.0</v>
      </c>
      <c r="AY1487" s="1">
        <v>5.0</v>
      </c>
      <c r="BA1487" s="1">
        <v>0.0</v>
      </c>
      <c r="BB1487" s="1">
        <v>0.0</v>
      </c>
      <c r="BC1487" s="1">
        <v>0.0</v>
      </c>
      <c r="BD1487" s="1">
        <v>0.0</v>
      </c>
      <c r="BE1487" s="1">
        <v>0.0</v>
      </c>
      <c r="BF1487" s="1">
        <v>0.0</v>
      </c>
      <c r="BG1487" s="1">
        <v>0.0</v>
      </c>
      <c r="BH1487" s="1">
        <v>0.0</v>
      </c>
      <c r="BI1487" s="1">
        <v>0.0</v>
      </c>
      <c r="BJ1487" s="1">
        <v>0.0</v>
      </c>
      <c r="BP1487" s="1">
        <v>0.278</v>
      </c>
      <c r="BQ1487" s="1" t="s">
        <v>4938</v>
      </c>
      <c r="BV1487" s="1">
        <v>1.1</v>
      </c>
      <c r="EQ1487" s="9" t="s">
        <v>4953</v>
      </c>
      <c r="ER1487" s="21">
        <v>46045.30065972222</v>
      </c>
    </row>
    <row r="1488">
      <c r="A1488" s="9" t="s">
        <v>4954</v>
      </c>
      <c r="B1488" s="20" t="str">
        <f>IFERROR(__xludf.DUMMYFUNCTION("REGEXREPLACE(A1488, ""^https?://[^/]+"", """")"),"/wp-content/uploads/elementor/css/post-21524.css?ver=1768849081")</f>
        <v>/wp-content/uploads/elementor/css/post-21524.css?ver=1768849081</v>
      </c>
      <c r="F1488" s="1" t="s">
        <v>1016</v>
      </c>
      <c r="G1488" s="1">
        <v>200.0</v>
      </c>
      <c r="H1488" s="1" t="s">
        <v>966</v>
      </c>
      <c r="I1488" s="1" t="s">
        <v>967</v>
      </c>
      <c r="L1488" s="1">
        <v>0.0</v>
      </c>
      <c r="M1488" s="1">
        <v>0.0</v>
      </c>
      <c r="O1488" s="1">
        <v>0.0</v>
      </c>
      <c r="P1488" s="1">
        <v>0.0</v>
      </c>
      <c r="R1488" s="1">
        <v>0.0</v>
      </c>
      <c r="S1488" s="1">
        <v>0.0</v>
      </c>
      <c r="U1488" s="1">
        <v>0.0</v>
      </c>
      <c r="W1488" s="1">
        <v>0.0</v>
      </c>
      <c r="Y1488" s="1">
        <v>0.0</v>
      </c>
      <c r="AA1488" s="1">
        <v>0.0</v>
      </c>
      <c r="AC1488" s="1">
        <v>0.0</v>
      </c>
      <c r="AM1488" s="1">
        <v>535.0</v>
      </c>
      <c r="AN1488" s="1">
        <v>535.0</v>
      </c>
      <c r="AO1488" s="1">
        <v>535.0</v>
      </c>
      <c r="AP1488" s="1">
        <v>0.205</v>
      </c>
      <c r="AR1488" s="1">
        <v>0.0</v>
      </c>
      <c r="AW1488" s="1">
        <v>0.0</v>
      </c>
      <c r="AX1488" s="1">
        <v>3.0</v>
      </c>
      <c r="AY1488" s="1">
        <v>4.0</v>
      </c>
      <c r="BA1488" s="1">
        <v>0.0</v>
      </c>
      <c r="BB1488" s="1">
        <v>0.0</v>
      </c>
      <c r="BC1488" s="1">
        <v>0.0</v>
      </c>
      <c r="BD1488" s="1">
        <v>0.0</v>
      </c>
      <c r="BE1488" s="1">
        <v>0.0</v>
      </c>
      <c r="BF1488" s="1">
        <v>0.0</v>
      </c>
      <c r="BG1488" s="1">
        <v>0.0</v>
      </c>
      <c r="BH1488" s="1">
        <v>0.0</v>
      </c>
      <c r="BI1488" s="1">
        <v>0.0</v>
      </c>
      <c r="BJ1488" s="1">
        <v>0.0</v>
      </c>
      <c r="BP1488" s="1">
        <v>0.253</v>
      </c>
      <c r="BQ1488" s="1" t="s">
        <v>4955</v>
      </c>
      <c r="BV1488" s="1">
        <v>1.1</v>
      </c>
      <c r="EQ1488" s="9" t="s">
        <v>4954</v>
      </c>
      <c r="ER1488" s="21">
        <v>46045.30065972222</v>
      </c>
    </row>
    <row r="1489">
      <c r="A1489" s="9" t="s">
        <v>4956</v>
      </c>
      <c r="B1489" s="20" t="str">
        <f>IFERROR(__xludf.DUMMYFUNCTION("REGEXREPLACE(A1489, ""^https?://[^/]+"", """")"),"/wp-content/themes/salesxceleratione/assets/css/style.css?ver=1769123416")</f>
        <v>/wp-content/themes/salesxceleratione/assets/css/style.css?ver=1769123416</v>
      </c>
      <c r="F1489" s="1" t="s">
        <v>1016</v>
      </c>
      <c r="G1489" s="1">
        <v>200.0</v>
      </c>
      <c r="H1489" s="1" t="s">
        <v>966</v>
      </c>
      <c r="I1489" s="1" t="s">
        <v>967</v>
      </c>
      <c r="L1489" s="1">
        <v>0.0</v>
      </c>
      <c r="M1489" s="1">
        <v>0.0</v>
      </c>
      <c r="O1489" s="1">
        <v>0.0</v>
      </c>
      <c r="P1489" s="1">
        <v>0.0</v>
      </c>
      <c r="R1489" s="1">
        <v>0.0</v>
      </c>
      <c r="S1489" s="1">
        <v>0.0</v>
      </c>
      <c r="U1489" s="1">
        <v>0.0</v>
      </c>
      <c r="W1489" s="1">
        <v>0.0</v>
      </c>
      <c r="Y1489" s="1">
        <v>0.0</v>
      </c>
      <c r="AA1489" s="1">
        <v>0.0</v>
      </c>
      <c r="AC1489" s="1">
        <v>0.0</v>
      </c>
      <c r="AM1489" s="1">
        <v>17704.0</v>
      </c>
      <c r="AN1489" s="1">
        <v>17704.0</v>
      </c>
      <c r="AO1489" s="1">
        <v>17704.0</v>
      </c>
      <c r="AP1489" s="1">
        <v>6.782</v>
      </c>
      <c r="AR1489" s="1">
        <v>0.0</v>
      </c>
      <c r="AW1489" s="1">
        <v>0.0</v>
      </c>
      <c r="AX1489" s="1">
        <v>3.0</v>
      </c>
      <c r="AY1489" s="1">
        <v>5.0</v>
      </c>
      <c r="BA1489" s="1">
        <v>0.0</v>
      </c>
      <c r="BB1489" s="1">
        <v>0.0</v>
      </c>
      <c r="BC1489" s="1">
        <v>0.0</v>
      </c>
      <c r="BD1489" s="1">
        <v>0.0</v>
      </c>
      <c r="BE1489" s="1">
        <v>0.0</v>
      </c>
      <c r="BF1489" s="1">
        <v>0.0</v>
      </c>
      <c r="BG1489" s="1">
        <v>0.0</v>
      </c>
      <c r="BH1489" s="1">
        <v>0.0</v>
      </c>
      <c r="BI1489" s="1">
        <v>0.0</v>
      </c>
      <c r="BJ1489" s="1">
        <v>0.0</v>
      </c>
      <c r="BP1489" s="1">
        <v>0.261</v>
      </c>
      <c r="BQ1489" s="1" t="s">
        <v>4957</v>
      </c>
      <c r="BV1489" s="1">
        <v>1.1</v>
      </c>
      <c r="EQ1489" s="9" t="s">
        <v>4956</v>
      </c>
      <c r="ER1489" s="21">
        <v>46045.30065972222</v>
      </c>
    </row>
    <row r="1490">
      <c r="A1490" s="9" t="s">
        <v>4958</v>
      </c>
      <c r="B1490" s="20" t="str">
        <f>IFERROR(__xludf.DUMMYFUNCTION("REGEXREPLACE(A1490, ""^https?://[^/]+"", """")"),"/wp-content/uploads/2023/10/The-Power-of-Serving-Versus-Selling-300x200.jpg")</f>
        <v>/wp-content/uploads/2023/10/The-Power-of-Serving-Versus-Selling-300x200.jpg</v>
      </c>
      <c r="F1490" s="1" t="s">
        <v>1004</v>
      </c>
      <c r="G1490" s="1">
        <v>200.0</v>
      </c>
      <c r="H1490" s="1" t="s">
        <v>966</v>
      </c>
      <c r="I1490" s="1" t="s">
        <v>967</v>
      </c>
      <c r="L1490" s="1">
        <v>0.0</v>
      </c>
      <c r="M1490" s="1">
        <v>0.0</v>
      </c>
      <c r="O1490" s="1">
        <v>0.0</v>
      </c>
      <c r="P1490" s="1">
        <v>0.0</v>
      </c>
      <c r="R1490" s="1">
        <v>0.0</v>
      </c>
      <c r="S1490" s="1">
        <v>0.0</v>
      </c>
      <c r="U1490" s="1">
        <v>0.0</v>
      </c>
      <c r="W1490" s="1">
        <v>0.0</v>
      </c>
      <c r="Y1490" s="1">
        <v>0.0</v>
      </c>
      <c r="AA1490" s="1">
        <v>0.0</v>
      </c>
      <c r="AC1490" s="1">
        <v>0.0</v>
      </c>
      <c r="AM1490" s="1">
        <v>12186.0</v>
      </c>
      <c r="AN1490" s="1">
        <v>12186.0</v>
      </c>
      <c r="AO1490" s="1">
        <v>12186.0</v>
      </c>
      <c r="AP1490" s="1">
        <v>4.668</v>
      </c>
      <c r="AR1490" s="1">
        <v>0.0</v>
      </c>
      <c r="AW1490" s="1">
        <v>0.0</v>
      </c>
      <c r="AX1490" s="1">
        <v>3.0</v>
      </c>
      <c r="AY1490" s="1">
        <v>4.0</v>
      </c>
      <c r="BA1490" s="1">
        <v>0.0</v>
      </c>
      <c r="BB1490" s="1">
        <v>0.0</v>
      </c>
      <c r="BC1490" s="1">
        <v>0.0</v>
      </c>
      <c r="BD1490" s="1">
        <v>0.0</v>
      </c>
      <c r="BE1490" s="1">
        <v>0.0</v>
      </c>
      <c r="BF1490" s="1">
        <v>0.0</v>
      </c>
      <c r="BG1490" s="1">
        <v>0.0</v>
      </c>
      <c r="BH1490" s="1">
        <v>0.0</v>
      </c>
      <c r="BI1490" s="1">
        <v>0.0</v>
      </c>
      <c r="BJ1490" s="1">
        <v>0.0</v>
      </c>
      <c r="BP1490" s="1">
        <v>0.263</v>
      </c>
      <c r="BQ1490" s="1" t="s">
        <v>2366</v>
      </c>
      <c r="BV1490" s="1">
        <v>1.1</v>
      </c>
      <c r="EQ1490" s="9" t="s">
        <v>4958</v>
      </c>
      <c r="ER1490" s="21">
        <v>46045.30065972222</v>
      </c>
    </row>
    <row r="1491">
      <c r="A1491" s="9" t="s">
        <v>4959</v>
      </c>
      <c r="B1491" s="20" t="str">
        <f>IFERROR(__xludf.DUMMYFUNCTION("REGEXREPLACE(A1491, ""^https?://[^/]+"", """")"),"/wp-content/uploads/2023/11/Fractional-Work-300x200.jpg")</f>
        <v>/wp-content/uploads/2023/11/Fractional-Work-300x200.jpg</v>
      </c>
      <c r="F1491" s="1" t="s">
        <v>1004</v>
      </c>
      <c r="G1491" s="1">
        <v>200.0</v>
      </c>
      <c r="H1491" s="1" t="s">
        <v>966</v>
      </c>
      <c r="I1491" s="1" t="s">
        <v>967</v>
      </c>
      <c r="L1491" s="1">
        <v>0.0</v>
      </c>
      <c r="M1491" s="1">
        <v>0.0</v>
      </c>
      <c r="O1491" s="1">
        <v>0.0</v>
      </c>
      <c r="P1491" s="1">
        <v>0.0</v>
      </c>
      <c r="R1491" s="1">
        <v>0.0</v>
      </c>
      <c r="S1491" s="1">
        <v>0.0</v>
      </c>
      <c r="U1491" s="1">
        <v>0.0</v>
      </c>
      <c r="W1491" s="1">
        <v>0.0</v>
      </c>
      <c r="Y1491" s="1">
        <v>0.0</v>
      </c>
      <c r="AA1491" s="1">
        <v>0.0</v>
      </c>
      <c r="AC1491" s="1">
        <v>0.0</v>
      </c>
      <c r="AM1491" s="1">
        <v>11556.0</v>
      </c>
      <c r="AN1491" s="1">
        <v>11556.0</v>
      </c>
      <c r="AO1491" s="1">
        <v>11556.0</v>
      </c>
      <c r="AP1491" s="1">
        <v>4.427</v>
      </c>
      <c r="AR1491" s="1">
        <v>0.0</v>
      </c>
      <c r="AW1491" s="1">
        <v>0.0</v>
      </c>
      <c r="AX1491" s="1">
        <v>3.0</v>
      </c>
      <c r="AY1491" s="1">
        <v>4.0</v>
      </c>
      <c r="BA1491" s="1">
        <v>0.0</v>
      </c>
      <c r="BB1491" s="1">
        <v>0.0</v>
      </c>
      <c r="BC1491" s="1">
        <v>0.0</v>
      </c>
      <c r="BD1491" s="1">
        <v>0.0</v>
      </c>
      <c r="BE1491" s="1">
        <v>0.0</v>
      </c>
      <c r="BF1491" s="1">
        <v>0.0</v>
      </c>
      <c r="BG1491" s="1">
        <v>0.0</v>
      </c>
      <c r="BH1491" s="1">
        <v>0.0</v>
      </c>
      <c r="BI1491" s="1">
        <v>0.0</v>
      </c>
      <c r="BJ1491" s="1">
        <v>0.0</v>
      </c>
      <c r="BP1491" s="1">
        <v>0.37</v>
      </c>
      <c r="BQ1491" s="1" t="s">
        <v>4960</v>
      </c>
      <c r="BV1491" s="1">
        <v>1.1</v>
      </c>
      <c r="EQ1491" s="9" t="s">
        <v>4959</v>
      </c>
      <c r="ER1491" s="21">
        <v>46045.300671296296</v>
      </c>
    </row>
    <row r="1492">
      <c r="A1492" s="9" t="s">
        <v>4961</v>
      </c>
      <c r="B1492" s="20" t="str">
        <f>IFERROR(__xludf.DUMMYFUNCTION("REGEXREPLACE(A1492, ""^https?://[^/]+"", """")"),"/wp-content/uploads/2022/12/Business-Opportunity-300x200.jpg")</f>
        <v>/wp-content/uploads/2022/12/Business-Opportunity-300x200.jpg</v>
      </c>
      <c r="F1492" s="1" t="s">
        <v>1004</v>
      </c>
      <c r="G1492" s="1">
        <v>200.0</v>
      </c>
      <c r="H1492" s="1" t="s">
        <v>966</v>
      </c>
      <c r="I1492" s="1" t="s">
        <v>967</v>
      </c>
      <c r="L1492" s="1">
        <v>0.0</v>
      </c>
      <c r="M1492" s="1">
        <v>0.0</v>
      </c>
      <c r="O1492" s="1">
        <v>0.0</v>
      </c>
      <c r="P1492" s="1">
        <v>0.0</v>
      </c>
      <c r="R1492" s="1">
        <v>0.0</v>
      </c>
      <c r="S1492" s="1">
        <v>0.0</v>
      </c>
      <c r="U1492" s="1">
        <v>0.0</v>
      </c>
      <c r="W1492" s="1">
        <v>0.0</v>
      </c>
      <c r="Y1492" s="1">
        <v>0.0</v>
      </c>
      <c r="AA1492" s="1">
        <v>0.0</v>
      </c>
      <c r="AC1492" s="1">
        <v>0.0</v>
      </c>
      <c r="AM1492" s="1">
        <v>16419.0</v>
      </c>
      <c r="AN1492" s="1">
        <v>16419.0</v>
      </c>
      <c r="AO1492" s="1">
        <v>16419.0</v>
      </c>
      <c r="AP1492" s="1">
        <v>6.29</v>
      </c>
      <c r="AR1492" s="1">
        <v>0.0</v>
      </c>
      <c r="AW1492" s="1">
        <v>0.0</v>
      </c>
      <c r="AX1492" s="1">
        <v>3.0</v>
      </c>
      <c r="AY1492" s="1">
        <v>4.0</v>
      </c>
      <c r="BA1492" s="1">
        <v>0.0</v>
      </c>
      <c r="BB1492" s="1">
        <v>0.0</v>
      </c>
      <c r="BC1492" s="1">
        <v>0.0</v>
      </c>
      <c r="BD1492" s="1">
        <v>0.0</v>
      </c>
      <c r="BE1492" s="1">
        <v>0.0</v>
      </c>
      <c r="BF1492" s="1">
        <v>0.0</v>
      </c>
      <c r="BG1492" s="1">
        <v>0.0</v>
      </c>
      <c r="BH1492" s="1">
        <v>0.0</v>
      </c>
      <c r="BI1492" s="1">
        <v>0.0</v>
      </c>
      <c r="BJ1492" s="1">
        <v>0.0</v>
      </c>
      <c r="BP1492" s="1">
        <v>0.269</v>
      </c>
      <c r="BQ1492" s="1" t="s">
        <v>4962</v>
      </c>
      <c r="BV1492" s="1">
        <v>1.1</v>
      </c>
      <c r="EQ1492" s="9" t="s">
        <v>4961</v>
      </c>
      <c r="ER1492" s="21">
        <v>46045.300671296296</v>
      </c>
    </row>
    <row r="1493">
      <c r="A1493" s="9" t="s">
        <v>4963</v>
      </c>
      <c r="B1493" s="20" t="str">
        <f>IFERROR(__xludf.DUMMYFUNCTION("REGEXREPLACE(A1493, ""^https?://[^/]+"", """")"),"/wp-content/uploads/2023/03/Fractional-Sales-Leadership-Consultants-300x200.jpg")</f>
        <v>/wp-content/uploads/2023/03/Fractional-Sales-Leadership-Consultants-300x200.jpg</v>
      </c>
      <c r="F1493" s="1" t="s">
        <v>1004</v>
      </c>
      <c r="G1493" s="1">
        <v>200.0</v>
      </c>
      <c r="H1493" s="1" t="s">
        <v>966</v>
      </c>
      <c r="I1493" s="1" t="s">
        <v>967</v>
      </c>
      <c r="L1493" s="1">
        <v>0.0</v>
      </c>
      <c r="M1493" s="1">
        <v>0.0</v>
      </c>
      <c r="O1493" s="1">
        <v>0.0</v>
      </c>
      <c r="P1493" s="1">
        <v>0.0</v>
      </c>
      <c r="R1493" s="1">
        <v>0.0</v>
      </c>
      <c r="S1493" s="1">
        <v>0.0</v>
      </c>
      <c r="U1493" s="1">
        <v>0.0</v>
      </c>
      <c r="W1493" s="1">
        <v>0.0</v>
      </c>
      <c r="Y1493" s="1">
        <v>0.0</v>
      </c>
      <c r="AA1493" s="1">
        <v>0.0</v>
      </c>
      <c r="AC1493" s="1">
        <v>0.0</v>
      </c>
      <c r="AM1493" s="1">
        <v>13271.0</v>
      </c>
      <c r="AN1493" s="1">
        <v>13271.0</v>
      </c>
      <c r="AO1493" s="1">
        <v>13271.0</v>
      </c>
      <c r="AP1493" s="1">
        <v>5.084</v>
      </c>
      <c r="AR1493" s="1">
        <v>0.0</v>
      </c>
      <c r="AW1493" s="1">
        <v>0.0</v>
      </c>
      <c r="AX1493" s="1">
        <v>3.0</v>
      </c>
      <c r="AY1493" s="1">
        <v>4.0</v>
      </c>
      <c r="BA1493" s="1">
        <v>0.0</v>
      </c>
      <c r="BB1493" s="1">
        <v>0.0</v>
      </c>
      <c r="BC1493" s="1">
        <v>0.0</v>
      </c>
      <c r="BD1493" s="1">
        <v>0.0</v>
      </c>
      <c r="BE1493" s="1">
        <v>0.0</v>
      </c>
      <c r="BF1493" s="1">
        <v>0.0</v>
      </c>
      <c r="BG1493" s="1">
        <v>0.0</v>
      </c>
      <c r="BH1493" s="1">
        <v>0.0</v>
      </c>
      <c r="BI1493" s="1">
        <v>0.0</v>
      </c>
      <c r="BJ1493" s="1">
        <v>0.0</v>
      </c>
      <c r="BP1493" s="1">
        <v>0.272</v>
      </c>
      <c r="BQ1493" s="1" t="s">
        <v>4964</v>
      </c>
      <c r="BV1493" s="1">
        <v>1.1</v>
      </c>
      <c r="EQ1493" s="9" t="s">
        <v>4963</v>
      </c>
      <c r="ER1493" s="21">
        <v>46045.300671296296</v>
      </c>
    </row>
    <row r="1494">
      <c r="A1494" s="9" t="s">
        <v>4965</v>
      </c>
      <c r="B1494" s="20" t="str">
        <f>IFERROR(__xludf.DUMMYFUNCTION("REGEXREPLACE(A1494, ""^https?://[^/]+"", """")"),"/wp-content/uploads/2023/04/Business-Ninjas-WriteForMe-178-SalesXceleration-300x169.jpg")</f>
        <v>/wp-content/uploads/2023/04/Business-Ninjas-WriteForMe-178-SalesXceleration-300x169.jpg</v>
      </c>
      <c r="F1494" s="1" t="s">
        <v>1004</v>
      </c>
      <c r="G1494" s="1">
        <v>200.0</v>
      </c>
      <c r="H1494" s="1" t="s">
        <v>966</v>
      </c>
      <c r="I1494" s="1" t="s">
        <v>967</v>
      </c>
      <c r="L1494" s="1">
        <v>0.0</v>
      </c>
      <c r="M1494" s="1">
        <v>0.0</v>
      </c>
      <c r="O1494" s="1">
        <v>0.0</v>
      </c>
      <c r="P1494" s="1">
        <v>0.0</v>
      </c>
      <c r="R1494" s="1">
        <v>0.0</v>
      </c>
      <c r="S1494" s="1">
        <v>0.0</v>
      </c>
      <c r="U1494" s="1">
        <v>0.0</v>
      </c>
      <c r="W1494" s="1">
        <v>0.0</v>
      </c>
      <c r="Y1494" s="1">
        <v>0.0</v>
      </c>
      <c r="AA1494" s="1">
        <v>0.0</v>
      </c>
      <c r="AC1494" s="1">
        <v>0.0</v>
      </c>
      <c r="AM1494" s="1">
        <v>14767.0</v>
      </c>
      <c r="AN1494" s="1">
        <v>14767.0</v>
      </c>
      <c r="AO1494" s="1">
        <v>14767.0</v>
      </c>
      <c r="AP1494" s="1">
        <v>5.657</v>
      </c>
      <c r="AR1494" s="1">
        <v>0.0</v>
      </c>
      <c r="AW1494" s="1">
        <v>0.0</v>
      </c>
      <c r="AX1494" s="1">
        <v>3.0</v>
      </c>
      <c r="AY1494" s="1">
        <v>4.0</v>
      </c>
      <c r="BA1494" s="1">
        <v>0.0</v>
      </c>
      <c r="BB1494" s="1">
        <v>0.0</v>
      </c>
      <c r="BC1494" s="1">
        <v>0.0</v>
      </c>
      <c r="BD1494" s="1">
        <v>0.0</v>
      </c>
      <c r="BE1494" s="1">
        <v>0.0</v>
      </c>
      <c r="BF1494" s="1">
        <v>0.0</v>
      </c>
      <c r="BG1494" s="1">
        <v>0.0</v>
      </c>
      <c r="BH1494" s="1">
        <v>0.0</v>
      </c>
      <c r="BI1494" s="1">
        <v>0.0</v>
      </c>
      <c r="BJ1494" s="1">
        <v>0.0</v>
      </c>
      <c r="BP1494" s="1">
        <v>0.259</v>
      </c>
      <c r="BQ1494" s="1" t="s">
        <v>4966</v>
      </c>
      <c r="BV1494" s="1">
        <v>1.1</v>
      </c>
      <c r="EQ1494" s="9" t="s">
        <v>4965</v>
      </c>
      <c r="ER1494" s="21">
        <v>46045.300671296296</v>
      </c>
    </row>
    <row r="1495">
      <c r="A1495" s="9" t="s">
        <v>4967</v>
      </c>
      <c r="B1495" s="20" t="str">
        <f>IFERROR(__xludf.DUMMYFUNCTION("REGEXREPLACE(A1495, ""^https?://[^/]+"", """")"),"/wp-content/uploads/2025/02/Podcast-Episode_Transforming-Sales-for-Growth-300x169.png")</f>
        <v>/wp-content/uploads/2025/02/Podcast-Episode_Transforming-Sales-for-Growth-300x169.png</v>
      </c>
      <c r="F1495" s="1" t="s">
        <v>1047</v>
      </c>
      <c r="G1495" s="1">
        <v>200.0</v>
      </c>
      <c r="H1495" s="1" t="s">
        <v>966</v>
      </c>
      <c r="I1495" s="1" t="s">
        <v>967</v>
      </c>
      <c r="L1495" s="1">
        <v>0.0</v>
      </c>
      <c r="M1495" s="1">
        <v>0.0</v>
      </c>
      <c r="O1495" s="1">
        <v>0.0</v>
      </c>
      <c r="P1495" s="1">
        <v>0.0</v>
      </c>
      <c r="R1495" s="1">
        <v>0.0</v>
      </c>
      <c r="S1495" s="1">
        <v>0.0</v>
      </c>
      <c r="U1495" s="1">
        <v>0.0</v>
      </c>
      <c r="W1495" s="1">
        <v>0.0</v>
      </c>
      <c r="Y1495" s="1">
        <v>0.0</v>
      </c>
      <c r="AA1495" s="1">
        <v>0.0</v>
      </c>
      <c r="AC1495" s="1">
        <v>0.0</v>
      </c>
      <c r="AM1495" s="1">
        <v>23213.0</v>
      </c>
      <c r="AN1495" s="1">
        <v>23213.0</v>
      </c>
      <c r="AO1495" s="1">
        <v>23213.0</v>
      </c>
      <c r="AP1495" s="1">
        <v>8.892</v>
      </c>
      <c r="AR1495" s="1">
        <v>0.0</v>
      </c>
      <c r="AW1495" s="1">
        <v>0.0</v>
      </c>
      <c r="AX1495" s="1">
        <v>3.0</v>
      </c>
      <c r="AY1495" s="1">
        <v>4.0</v>
      </c>
      <c r="BA1495" s="1">
        <v>0.0</v>
      </c>
      <c r="BB1495" s="1">
        <v>0.0</v>
      </c>
      <c r="BC1495" s="1">
        <v>0.0</v>
      </c>
      <c r="BD1495" s="1">
        <v>0.0</v>
      </c>
      <c r="BE1495" s="1">
        <v>0.0</v>
      </c>
      <c r="BF1495" s="1">
        <v>0.0</v>
      </c>
      <c r="BG1495" s="1">
        <v>0.0</v>
      </c>
      <c r="BH1495" s="1">
        <v>0.0</v>
      </c>
      <c r="BI1495" s="1">
        <v>0.0</v>
      </c>
      <c r="BJ1495" s="1">
        <v>0.0</v>
      </c>
      <c r="BP1495" s="1">
        <v>0.279</v>
      </c>
      <c r="BQ1495" s="1" t="s">
        <v>4968</v>
      </c>
      <c r="BV1495" s="1">
        <v>1.1</v>
      </c>
      <c r="EQ1495" s="9" t="s">
        <v>4967</v>
      </c>
      <c r="ER1495" s="21">
        <v>46045.300671296296</v>
      </c>
    </row>
    <row r="1496">
      <c r="A1496" s="9" t="s">
        <v>4969</v>
      </c>
      <c r="B1496" s="20" t="str">
        <f>IFERROR(__xludf.DUMMYFUNCTION("REGEXREPLACE(A1496, ""^https?://[^/]+"", """")"),"/why-our-advisors-chose-fractional-sales-leadership-consulting/")</f>
        <v>/why-our-advisors-chose-fractional-sales-leadership-consulting/</v>
      </c>
      <c r="C1496" s="1" t="s">
        <v>4970</v>
      </c>
      <c r="D1496" s="1" t="s">
        <v>4971</v>
      </c>
      <c r="E1496" s="1" t="s">
        <v>4972</v>
      </c>
      <c r="F1496" s="1" t="s">
        <v>965</v>
      </c>
      <c r="G1496" s="1">
        <v>200.0</v>
      </c>
      <c r="H1496" s="1" t="s">
        <v>966</v>
      </c>
      <c r="I1496" s="1" t="s">
        <v>967</v>
      </c>
      <c r="K1496" s="1" t="s">
        <v>4973</v>
      </c>
      <c r="L1496" s="1">
        <v>86.0</v>
      </c>
      <c r="M1496" s="1">
        <v>785.0</v>
      </c>
      <c r="O1496" s="1">
        <v>0.0</v>
      </c>
      <c r="P1496" s="1">
        <v>0.0</v>
      </c>
      <c r="Q1496" s="1" t="s">
        <v>4974</v>
      </c>
      <c r="R1496" s="1">
        <v>146.0</v>
      </c>
      <c r="S1496" s="1">
        <v>915.0</v>
      </c>
      <c r="U1496" s="1">
        <v>0.0</v>
      </c>
      <c r="V1496" s="1" t="s">
        <v>4970</v>
      </c>
      <c r="W1496" s="1">
        <v>61.0</v>
      </c>
      <c r="Y1496" s="1">
        <v>0.0</v>
      </c>
      <c r="Z1496" s="1" t="s">
        <v>4971</v>
      </c>
      <c r="AA1496" s="1">
        <v>128.0</v>
      </c>
      <c r="AB1496" s="1" t="s">
        <v>4972</v>
      </c>
      <c r="AC1496" s="1">
        <v>147.0</v>
      </c>
      <c r="AD1496" s="1" t="s">
        <v>971</v>
      </c>
      <c r="AG1496" s="9" t="s">
        <v>4969</v>
      </c>
      <c r="AM1496" s="1">
        <v>203526.0</v>
      </c>
      <c r="AN1496" s="1">
        <v>36921.0</v>
      </c>
      <c r="AO1496" s="1">
        <v>36921.0</v>
      </c>
      <c r="AP1496" s="1">
        <v>14.144</v>
      </c>
      <c r="AR1496" s="1">
        <v>1704.0</v>
      </c>
      <c r="AS1496" s="1">
        <v>256.0</v>
      </c>
      <c r="AT1496" s="1">
        <v>6.656</v>
      </c>
      <c r="AU1496" s="1">
        <v>61.958</v>
      </c>
      <c r="AV1496" s="1" t="s">
        <v>990</v>
      </c>
      <c r="AW1496" s="1">
        <v>6.43</v>
      </c>
      <c r="AX1496" s="1">
        <v>3.0</v>
      </c>
      <c r="AY1496" s="1">
        <v>1.0</v>
      </c>
      <c r="AZ1496" s="1">
        <v>1.0</v>
      </c>
      <c r="BA1496" s="1">
        <v>2.0</v>
      </c>
      <c r="BB1496" s="1">
        <v>1.0</v>
      </c>
      <c r="BC1496" s="1">
        <v>0.0</v>
      </c>
      <c r="BD1496" s="1">
        <v>0.13</v>
      </c>
      <c r="BE1496" s="1">
        <v>131.0</v>
      </c>
      <c r="BF1496" s="1">
        <v>49.0</v>
      </c>
      <c r="BG1496" s="1">
        <v>0.0</v>
      </c>
      <c r="BH1496" s="1">
        <v>16.0</v>
      </c>
      <c r="BI1496" s="1">
        <v>8.0</v>
      </c>
      <c r="BJ1496" s="1">
        <v>0.0</v>
      </c>
      <c r="BO1496" s="1" t="s">
        <v>4975</v>
      </c>
      <c r="BP1496" s="1">
        <v>1.001</v>
      </c>
      <c r="BU1496" s="1" t="s">
        <v>974</v>
      </c>
      <c r="BV1496" s="1">
        <v>1.1</v>
      </c>
      <c r="EQ1496" s="9" t="s">
        <v>4969</v>
      </c>
      <c r="ER1496" s="21">
        <v>46045.300671296296</v>
      </c>
    </row>
    <row r="1497">
      <c r="A1497" s="9" t="s">
        <v>4976</v>
      </c>
      <c r="B1497" s="20" t="str">
        <f>IFERROR(__xludf.DUMMYFUNCTION("REGEXREPLACE(A1497, ""^https?://[^/]+"", """")"),"/can-being-too-resilient-keep-you-from-realizing-opportunity/")</f>
        <v>/can-being-too-resilient-keep-you-from-realizing-opportunity/</v>
      </c>
      <c r="C1497" s="1" t="s">
        <v>4977</v>
      </c>
      <c r="D1497" s="1" t="s">
        <v>4978</v>
      </c>
      <c r="E1497" s="1" t="s">
        <v>4979</v>
      </c>
      <c r="F1497" s="1" t="s">
        <v>965</v>
      </c>
      <c r="G1497" s="1">
        <v>200.0</v>
      </c>
      <c r="H1497" s="1" t="s">
        <v>966</v>
      </c>
      <c r="I1497" s="1" t="s">
        <v>967</v>
      </c>
      <c r="K1497" s="1" t="s">
        <v>4980</v>
      </c>
      <c r="L1497" s="1">
        <v>85.0</v>
      </c>
      <c r="M1497" s="1">
        <v>768.0</v>
      </c>
      <c r="O1497" s="1">
        <v>0.0</v>
      </c>
      <c r="P1497" s="1">
        <v>0.0</v>
      </c>
      <c r="Q1497" s="1" t="s">
        <v>4981</v>
      </c>
      <c r="R1497" s="1">
        <v>148.0</v>
      </c>
      <c r="S1497" s="1">
        <v>899.0</v>
      </c>
      <c r="U1497" s="1">
        <v>0.0</v>
      </c>
      <c r="V1497" s="1" t="s">
        <v>4977</v>
      </c>
      <c r="W1497" s="1">
        <v>60.0</v>
      </c>
      <c r="Y1497" s="1">
        <v>0.0</v>
      </c>
      <c r="Z1497" s="1" t="s">
        <v>4978</v>
      </c>
      <c r="AA1497" s="1">
        <v>43.0</v>
      </c>
      <c r="AB1497" s="1" t="s">
        <v>4979</v>
      </c>
      <c r="AC1497" s="1">
        <v>35.0</v>
      </c>
      <c r="AD1497" s="1" t="s">
        <v>971</v>
      </c>
      <c r="AG1497" s="9" t="s">
        <v>4976</v>
      </c>
      <c r="AM1497" s="1">
        <v>204789.0</v>
      </c>
      <c r="AN1497" s="1">
        <v>36620.0</v>
      </c>
      <c r="AO1497" s="1">
        <v>36620.0</v>
      </c>
      <c r="AP1497" s="1">
        <v>14.028</v>
      </c>
      <c r="AR1497" s="1">
        <v>1321.0</v>
      </c>
      <c r="AS1497" s="1">
        <v>195.0</v>
      </c>
      <c r="AT1497" s="1">
        <v>6.774</v>
      </c>
      <c r="AU1497" s="1">
        <v>62.652</v>
      </c>
      <c r="AV1497" s="1" t="s">
        <v>990</v>
      </c>
      <c r="AW1497" s="1">
        <v>5.172</v>
      </c>
      <c r="AX1497" s="1">
        <v>3.0</v>
      </c>
      <c r="AY1497" s="1">
        <v>1.0</v>
      </c>
      <c r="AZ1497" s="1">
        <v>1.0</v>
      </c>
      <c r="BA1497" s="1">
        <v>2.0</v>
      </c>
      <c r="BB1497" s="1">
        <v>1.0</v>
      </c>
      <c r="BC1497" s="1">
        <v>0.0</v>
      </c>
      <c r="BD1497" s="1">
        <v>0.13</v>
      </c>
      <c r="BE1497" s="1">
        <v>132.0</v>
      </c>
      <c r="BF1497" s="1">
        <v>49.0</v>
      </c>
      <c r="BG1497" s="1">
        <v>0.0</v>
      </c>
      <c r="BH1497" s="1">
        <v>20.0</v>
      </c>
      <c r="BI1497" s="1">
        <v>12.0</v>
      </c>
      <c r="BJ1497" s="1">
        <v>0.0</v>
      </c>
      <c r="BO1497" s="1" t="s">
        <v>4982</v>
      </c>
      <c r="BP1497" s="1">
        <v>0.989</v>
      </c>
      <c r="BU1497" s="1" t="s">
        <v>974</v>
      </c>
      <c r="BV1497" s="1">
        <v>1.1</v>
      </c>
      <c r="EQ1497" s="9" t="s">
        <v>4976</v>
      </c>
      <c r="ER1497" s="21">
        <v>46045.300671296296</v>
      </c>
    </row>
    <row r="1498">
      <c r="A1498" s="9" t="s">
        <v>4983</v>
      </c>
      <c r="B1498" s="20" t="str">
        <f>IFERROR(__xludf.DUMMYFUNCTION("REGEXREPLACE(A1498, ""^https?://[^/]+"", """")"),"/leading-with-heart-sales-marketing-and-servant-leadership/")</f>
        <v>/leading-with-heart-sales-marketing-and-servant-leadership/</v>
      </c>
      <c r="C1498" s="1" t="s">
        <v>4984</v>
      </c>
      <c r="F1498" s="1" t="s">
        <v>965</v>
      </c>
      <c r="G1498" s="1">
        <v>200.0</v>
      </c>
      <c r="H1498" s="1" t="s">
        <v>966</v>
      </c>
      <c r="I1498" s="1" t="s">
        <v>967</v>
      </c>
      <c r="K1498" s="1" t="s">
        <v>4985</v>
      </c>
      <c r="L1498" s="1">
        <v>85.0</v>
      </c>
      <c r="M1498" s="1">
        <v>762.0</v>
      </c>
      <c r="O1498" s="1">
        <v>0.0</v>
      </c>
      <c r="P1498" s="1">
        <v>0.0</v>
      </c>
      <c r="Q1498" s="1" t="s">
        <v>4986</v>
      </c>
      <c r="R1498" s="1">
        <v>152.0</v>
      </c>
      <c r="S1498" s="1">
        <v>918.0</v>
      </c>
      <c r="U1498" s="1">
        <v>0.0</v>
      </c>
      <c r="V1498" s="1" t="s">
        <v>4984</v>
      </c>
      <c r="W1498" s="1">
        <v>60.0</v>
      </c>
      <c r="Y1498" s="1">
        <v>0.0</v>
      </c>
      <c r="AA1498" s="1">
        <v>0.0</v>
      </c>
      <c r="AC1498" s="1">
        <v>0.0</v>
      </c>
      <c r="AD1498" s="1" t="s">
        <v>971</v>
      </c>
      <c r="AG1498" s="9" t="s">
        <v>4983</v>
      </c>
      <c r="AM1498" s="1">
        <v>196953.0</v>
      </c>
      <c r="AN1498" s="1">
        <v>34288.0</v>
      </c>
      <c r="AO1498" s="1">
        <v>34288.0</v>
      </c>
      <c r="AP1498" s="1">
        <v>13.135</v>
      </c>
      <c r="AR1498" s="1">
        <v>789.0</v>
      </c>
      <c r="AS1498" s="1">
        <v>142.0</v>
      </c>
      <c r="AT1498" s="1">
        <v>5.556</v>
      </c>
      <c r="AU1498" s="1">
        <v>53.547</v>
      </c>
      <c r="AV1498" s="1" t="s">
        <v>972</v>
      </c>
      <c r="AW1498" s="1">
        <v>3.792</v>
      </c>
      <c r="AX1498" s="1">
        <v>3.0</v>
      </c>
      <c r="AY1498" s="1">
        <v>1.0</v>
      </c>
      <c r="AZ1498" s="1">
        <v>1.0</v>
      </c>
      <c r="BA1498" s="1">
        <v>7.0</v>
      </c>
      <c r="BB1498" s="1">
        <v>3.0</v>
      </c>
      <c r="BC1498" s="1">
        <v>0.0</v>
      </c>
      <c r="BD1498" s="1">
        <v>0.4</v>
      </c>
      <c r="BE1498" s="1">
        <v>129.0</v>
      </c>
      <c r="BF1498" s="1">
        <v>47.0</v>
      </c>
      <c r="BG1498" s="1">
        <v>0.0</v>
      </c>
      <c r="BH1498" s="1">
        <v>17.0</v>
      </c>
      <c r="BI1498" s="1">
        <v>9.0</v>
      </c>
      <c r="BJ1498" s="1">
        <v>0.0</v>
      </c>
      <c r="BO1498" s="1" t="s">
        <v>4987</v>
      </c>
      <c r="BP1498" s="1">
        <v>1.044</v>
      </c>
      <c r="BU1498" s="1" t="s">
        <v>974</v>
      </c>
      <c r="BV1498" s="1">
        <v>1.1</v>
      </c>
      <c r="EQ1498" s="9" t="s">
        <v>4983</v>
      </c>
      <c r="ER1498" s="21">
        <v>46045.300671296296</v>
      </c>
    </row>
    <row r="1499">
      <c r="A1499" s="9" t="s">
        <v>4988</v>
      </c>
      <c r="B1499" s="20" t="str">
        <f>IFERROR(__xludf.DUMMYFUNCTION("REGEXREPLACE(A1499, ""^https?://[^/]+"", """")"),"/thriving-with-outsourced-sales-leadership/")</f>
        <v>/thriving-with-outsourced-sales-leadership/</v>
      </c>
      <c r="C1499" s="1" t="s">
        <v>4989</v>
      </c>
      <c r="D1499" s="1" t="s">
        <v>4990</v>
      </c>
      <c r="E1499" s="1" t="s">
        <v>4991</v>
      </c>
      <c r="F1499" s="1" t="s">
        <v>965</v>
      </c>
      <c r="G1499" s="1">
        <v>200.0</v>
      </c>
      <c r="H1499" s="1" t="s">
        <v>966</v>
      </c>
      <c r="I1499" s="1" t="s">
        <v>967</v>
      </c>
      <c r="K1499" s="1" t="s">
        <v>4992</v>
      </c>
      <c r="L1499" s="1">
        <v>66.0</v>
      </c>
      <c r="M1499" s="1">
        <v>596.0</v>
      </c>
      <c r="O1499" s="1">
        <v>0.0</v>
      </c>
      <c r="P1499" s="1">
        <v>0.0</v>
      </c>
      <c r="Q1499" s="1" t="s">
        <v>4993</v>
      </c>
      <c r="R1499" s="1">
        <v>166.0</v>
      </c>
      <c r="S1499" s="1">
        <v>1058.0</v>
      </c>
      <c r="U1499" s="1">
        <v>0.0</v>
      </c>
      <c r="V1499" s="1" t="s">
        <v>4989</v>
      </c>
      <c r="W1499" s="1">
        <v>41.0</v>
      </c>
      <c r="Y1499" s="1">
        <v>0.0</v>
      </c>
      <c r="Z1499" s="1" t="s">
        <v>4990</v>
      </c>
      <c r="AA1499" s="1">
        <v>37.0</v>
      </c>
      <c r="AB1499" s="1" t="s">
        <v>4991</v>
      </c>
      <c r="AC1499" s="1">
        <v>40.0</v>
      </c>
      <c r="AD1499" s="1" t="s">
        <v>971</v>
      </c>
      <c r="AG1499" s="9" t="s">
        <v>4988</v>
      </c>
      <c r="AM1499" s="1">
        <v>203784.0</v>
      </c>
      <c r="AN1499" s="1">
        <v>36231.0</v>
      </c>
      <c r="AO1499" s="1">
        <v>36231.0</v>
      </c>
      <c r="AP1499" s="1">
        <v>13.879</v>
      </c>
      <c r="AR1499" s="1">
        <v>1227.0</v>
      </c>
      <c r="AS1499" s="1">
        <v>192.0</v>
      </c>
      <c r="AT1499" s="1">
        <v>6.391</v>
      </c>
      <c r="AU1499" s="1">
        <v>55.97</v>
      </c>
      <c r="AV1499" s="1" t="s">
        <v>972</v>
      </c>
      <c r="AW1499" s="1">
        <v>5.069</v>
      </c>
      <c r="AX1499" s="1">
        <v>3.0</v>
      </c>
      <c r="AY1499" s="1">
        <v>1.0</v>
      </c>
      <c r="AZ1499" s="1">
        <v>1.0</v>
      </c>
      <c r="BA1499" s="1">
        <v>2.0</v>
      </c>
      <c r="BB1499" s="1">
        <v>1.0</v>
      </c>
      <c r="BC1499" s="1">
        <v>0.0</v>
      </c>
      <c r="BD1499" s="1">
        <v>0.13</v>
      </c>
      <c r="BE1499" s="1">
        <v>135.0</v>
      </c>
      <c r="BF1499" s="1">
        <v>47.0</v>
      </c>
      <c r="BG1499" s="1">
        <v>0.0</v>
      </c>
      <c r="BH1499" s="1">
        <v>16.0</v>
      </c>
      <c r="BI1499" s="1">
        <v>8.0</v>
      </c>
      <c r="BJ1499" s="1">
        <v>0.0</v>
      </c>
      <c r="BO1499" s="1" t="s">
        <v>4994</v>
      </c>
      <c r="BP1499" s="1">
        <v>1.011</v>
      </c>
      <c r="BU1499" s="1" t="s">
        <v>974</v>
      </c>
      <c r="BV1499" s="1">
        <v>1.1</v>
      </c>
      <c r="EQ1499" s="9" t="s">
        <v>4988</v>
      </c>
      <c r="ER1499" s="21">
        <v>46045.300671296296</v>
      </c>
    </row>
    <row r="1500">
      <c r="A1500" s="9" t="s">
        <v>4995</v>
      </c>
      <c r="B1500" s="20" t="str">
        <f>IFERROR(__xludf.DUMMYFUNCTION("REGEXREPLACE(A1500, ""^https?://[^/]+"", """")"),"/wp-content/uploads/2023/03/Fractional-Sales-Leader-300x200.jpg")</f>
        <v>/wp-content/uploads/2023/03/Fractional-Sales-Leader-300x200.jpg</v>
      </c>
      <c r="F1500" s="1" t="s">
        <v>1004</v>
      </c>
      <c r="G1500" s="1">
        <v>200.0</v>
      </c>
      <c r="H1500" s="1" t="s">
        <v>966</v>
      </c>
      <c r="I1500" s="1" t="s">
        <v>967</v>
      </c>
      <c r="L1500" s="1">
        <v>0.0</v>
      </c>
      <c r="M1500" s="1">
        <v>0.0</v>
      </c>
      <c r="O1500" s="1">
        <v>0.0</v>
      </c>
      <c r="P1500" s="1">
        <v>0.0</v>
      </c>
      <c r="R1500" s="1">
        <v>0.0</v>
      </c>
      <c r="S1500" s="1">
        <v>0.0</v>
      </c>
      <c r="U1500" s="1">
        <v>0.0</v>
      </c>
      <c r="W1500" s="1">
        <v>0.0</v>
      </c>
      <c r="Y1500" s="1">
        <v>0.0</v>
      </c>
      <c r="AA1500" s="1">
        <v>0.0</v>
      </c>
      <c r="AC1500" s="1">
        <v>0.0</v>
      </c>
      <c r="AM1500" s="1">
        <v>13405.0</v>
      </c>
      <c r="AN1500" s="1">
        <v>13405.0</v>
      </c>
      <c r="AO1500" s="1">
        <v>13405.0</v>
      </c>
      <c r="AP1500" s="1">
        <v>5.135</v>
      </c>
      <c r="AR1500" s="1">
        <v>0.0</v>
      </c>
      <c r="AW1500" s="1">
        <v>0.0</v>
      </c>
      <c r="AX1500" s="1">
        <v>3.0</v>
      </c>
      <c r="AY1500" s="1">
        <v>4.0</v>
      </c>
      <c r="BA1500" s="1">
        <v>0.0</v>
      </c>
      <c r="BB1500" s="1">
        <v>0.0</v>
      </c>
      <c r="BC1500" s="1">
        <v>0.0</v>
      </c>
      <c r="BD1500" s="1">
        <v>0.0</v>
      </c>
      <c r="BE1500" s="1">
        <v>0.0</v>
      </c>
      <c r="BF1500" s="1">
        <v>0.0</v>
      </c>
      <c r="BG1500" s="1">
        <v>0.0</v>
      </c>
      <c r="BH1500" s="1">
        <v>0.0</v>
      </c>
      <c r="BI1500" s="1">
        <v>0.0</v>
      </c>
      <c r="BJ1500" s="1">
        <v>0.0</v>
      </c>
      <c r="BP1500" s="1">
        <v>0.339</v>
      </c>
      <c r="BQ1500" s="1" t="s">
        <v>4996</v>
      </c>
      <c r="BV1500" s="1">
        <v>1.1</v>
      </c>
      <c r="EQ1500" s="9" t="s">
        <v>4995</v>
      </c>
      <c r="ER1500" s="21">
        <v>46045.30068287037</v>
      </c>
    </row>
    <row r="1501">
      <c r="A1501" s="9" t="s">
        <v>4997</v>
      </c>
      <c r="B1501" s="20" t="str">
        <f>IFERROR(__xludf.DUMMYFUNCTION("REGEXREPLACE(A1501, ""^https?://[^/]+"", """")"),"/wp-content/uploads/2024/02/Outsourced-Sales-Leadership-300x200.jpg")</f>
        <v>/wp-content/uploads/2024/02/Outsourced-Sales-Leadership-300x200.jpg</v>
      </c>
      <c r="F1501" s="1" t="s">
        <v>1004</v>
      </c>
      <c r="G1501" s="1">
        <v>200.0</v>
      </c>
      <c r="H1501" s="1" t="s">
        <v>966</v>
      </c>
      <c r="I1501" s="1" t="s">
        <v>967</v>
      </c>
      <c r="L1501" s="1">
        <v>0.0</v>
      </c>
      <c r="M1501" s="1">
        <v>0.0</v>
      </c>
      <c r="O1501" s="1">
        <v>0.0</v>
      </c>
      <c r="P1501" s="1">
        <v>0.0</v>
      </c>
      <c r="R1501" s="1">
        <v>0.0</v>
      </c>
      <c r="S1501" s="1">
        <v>0.0</v>
      </c>
      <c r="U1501" s="1">
        <v>0.0</v>
      </c>
      <c r="W1501" s="1">
        <v>0.0</v>
      </c>
      <c r="Y1501" s="1">
        <v>0.0</v>
      </c>
      <c r="AA1501" s="1">
        <v>0.0</v>
      </c>
      <c r="AC1501" s="1">
        <v>0.0</v>
      </c>
      <c r="AM1501" s="1">
        <v>16072.0</v>
      </c>
      <c r="AN1501" s="1">
        <v>16072.0</v>
      </c>
      <c r="AO1501" s="1">
        <v>16072.0</v>
      </c>
      <c r="AP1501" s="1">
        <v>6.157</v>
      </c>
      <c r="AR1501" s="1">
        <v>0.0</v>
      </c>
      <c r="AW1501" s="1">
        <v>0.0</v>
      </c>
      <c r="AX1501" s="1">
        <v>3.0</v>
      </c>
      <c r="AY1501" s="1">
        <v>4.0</v>
      </c>
      <c r="BA1501" s="1">
        <v>0.0</v>
      </c>
      <c r="BB1501" s="1">
        <v>0.0</v>
      </c>
      <c r="BC1501" s="1">
        <v>0.0</v>
      </c>
      <c r="BD1501" s="1">
        <v>0.0</v>
      </c>
      <c r="BE1501" s="1">
        <v>0.0</v>
      </c>
      <c r="BF1501" s="1">
        <v>0.0</v>
      </c>
      <c r="BG1501" s="1">
        <v>0.0</v>
      </c>
      <c r="BH1501" s="1">
        <v>0.0</v>
      </c>
      <c r="BI1501" s="1">
        <v>0.0</v>
      </c>
      <c r="BJ1501" s="1">
        <v>0.0</v>
      </c>
      <c r="BP1501" s="1">
        <v>0.268</v>
      </c>
      <c r="BQ1501" s="1" t="s">
        <v>3196</v>
      </c>
      <c r="BV1501" s="1">
        <v>1.1</v>
      </c>
      <c r="EQ1501" s="9" t="s">
        <v>4997</v>
      </c>
      <c r="ER1501" s="21">
        <v>46045.30069444444</v>
      </c>
    </row>
    <row r="1502">
      <c r="A1502" s="9" t="s">
        <v>4998</v>
      </c>
      <c r="B1502" s="20" t="str">
        <f>IFERROR(__xludf.DUMMYFUNCTION("REGEXREPLACE(A1502, ""^https?://[^/]+"", """")"),"/wp-content/uploads/2024/01/Leading-with-Heart_Podcast-300x300.jpg")</f>
        <v>/wp-content/uploads/2024/01/Leading-with-Heart_Podcast-300x300.jpg</v>
      </c>
      <c r="F1502" s="1" t="s">
        <v>1004</v>
      </c>
      <c r="G1502" s="1">
        <v>200.0</v>
      </c>
      <c r="H1502" s="1" t="s">
        <v>966</v>
      </c>
      <c r="I1502" s="1" t="s">
        <v>967</v>
      </c>
      <c r="L1502" s="1">
        <v>0.0</v>
      </c>
      <c r="M1502" s="1">
        <v>0.0</v>
      </c>
      <c r="O1502" s="1">
        <v>0.0</v>
      </c>
      <c r="P1502" s="1">
        <v>0.0</v>
      </c>
      <c r="R1502" s="1">
        <v>0.0</v>
      </c>
      <c r="S1502" s="1">
        <v>0.0</v>
      </c>
      <c r="U1502" s="1">
        <v>0.0</v>
      </c>
      <c r="W1502" s="1">
        <v>0.0</v>
      </c>
      <c r="Y1502" s="1">
        <v>0.0</v>
      </c>
      <c r="AA1502" s="1">
        <v>0.0</v>
      </c>
      <c r="AC1502" s="1">
        <v>0.0</v>
      </c>
      <c r="AM1502" s="1">
        <v>22626.0</v>
      </c>
      <c r="AN1502" s="1">
        <v>22626.0</v>
      </c>
      <c r="AO1502" s="1">
        <v>22626.0</v>
      </c>
      <c r="AP1502" s="1">
        <v>8.668</v>
      </c>
      <c r="AR1502" s="1">
        <v>0.0</v>
      </c>
      <c r="AW1502" s="1">
        <v>0.0</v>
      </c>
      <c r="AX1502" s="1">
        <v>3.0</v>
      </c>
      <c r="AY1502" s="1">
        <v>4.0</v>
      </c>
      <c r="BA1502" s="1">
        <v>0.0</v>
      </c>
      <c r="BB1502" s="1">
        <v>0.0</v>
      </c>
      <c r="BC1502" s="1">
        <v>0.0</v>
      </c>
      <c r="BD1502" s="1">
        <v>0.0</v>
      </c>
      <c r="BE1502" s="1">
        <v>0.0</v>
      </c>
      <c r="BF1502" s="1">
        <v>0.0</v>
      </c>
      <c r="BG1502" s="1">
        <v>0.0</v>
      </c>
      <c r="BH1502" s="1">
        <v>0.0</v>
      </c>
      <c r="BI1502" s="1">
        <v>0.0</v>
      </c>
      <c r="BJ1502" s="1">
        <v>0.0</v>
      </c>
      <c r="BP1502" s="1">
        <v>0.266</v>
      </c>
      <c r="BQ1502" s="1" t="s">
        <v>4999</v>
      </c>
      <c r="BV1502" s="1">
        <v>1.1</v>
      </c>
      <c r="EQ1502" s="9" t="s">
        <v>4998</v>
      </c>
      <c r="ER1502" s="21">
        <v>46045.30069444444</v>
      </c>
    </row>
    <row r="1503">
      <c r="A1503" s="9" t="s">
        <v>5000</v>
      </c>
      <c r="B1503" s="20" t="str">
        <f>IFERROR(__xludf.DUMMYFUNCTION("REGEXREPLACE(A1503, ""^https?://[^/]+"", """")"),"/the-rise-of-fractional-sales-leadership-a-growing-opportunity-for-sales-leaders/")</f>
        <v>/the-rise-of-fractional-sales-leadership-a-growing-opportunity-for-sales-leaders/</v>
      </c>
      <c r="C1503" s="1" t="s">
        <v>5001</v>
      </c>
      <c r="F1503" s="1" t="s">
        <v>965</v>
      </c>
      <c r="G1503" s="1">
        <v>200.0</v>
      </c>
      <c r="H1503" s="1" t="s">
        <v>966</v>
      </c>
      <c r="I1503" s="1" t="s">
        <v>967</v>
      </c>
      <c r="K1503" s="1" t="s">
        <v>5002</v>
      </c>
      <c r="L1503" s="1">
        <v>105.0</v>
      </c>
      <c r="M1503" s="1">
        <v>939.0</v>
      </c>
      <c r="O1503" s="1">
        <v>0.0</v>
      </c>
      <c r="P1503" s="1">
        <v>0.0</v>
      </c>
      <c r="Q1503" s="1" t="s">
        <v>5003</v>
      </c>
      <c r="R1503" s="1">
        <v>147.0</v>
      </c>
      <c r="S1503" s="1">
        <v>893.0</v>
      </c>
      <c r="U1503" s="1">
        <v>0.0</v>
      </c>
      <c r="V1503" s="1" t="s">
        <v>5001</v>
      </c>
      <c r="W1503" s="1">
        <v>80.0</v>
      </c>
      <c r="Y1503" s="1">
        <v>0.0</v>
      </c>
      <c r="AA1503" s="1">
        <v>0.0</v>
      </c>
      <c r="AC1503" s="1">
        <v>0.0</v>
      </c>
      <c r="AD1503" s="1" t="s">
        <v>971</v>
      </c>
      <c r="AG1503" s="9" t="s">
        <v>5000</v>
      </c>
      <c r="AM1503" s="1">
        <v>200381.0</v>
      </c>
      <c r="AN1503" s="1">
        <v>35364.0</v>
      </c>
      <c r="AO1503" s="1">
        <v>35364.0</v>
      </c>
      <c r="AP1503" s="1">
        <v>13.547</v>
      </c>
      <c r="AR1503" s="1">
        <v>1159.0</v>
      </c>
      <c r="AS1503" s="1">
        <v>171.0</v>
      </c>
      <c r="AT1503" s="1">
        <v>6.778</v>
      </c>
      <c r="AU1503" s="1">
        <v>54.625</v>
      </c>
      <c r="AV1503" s="1" t="s">
        <v>972</v>
      </c>
      <c r="AW1503" s="1">
        <v>4.91</v>
      </c>
      <c r="AX1503" s="1">
        <v>3.0</v>
      </c>
      <c r="AY1503" s="1">
        <v>1.0</v>
      </c>
      <c r="AZ1503" s="1">
        <v>1.0</v>
      </c>
      <c r="BA1503" s="1">
        <v>2.0</v>
      </c>
      <c r="BB1503" s="1">
        <v>1.0</v>
      </c>
      <c r="BC1503" s="1">
        <v>0.0</v>
      </c>
      <c r="BD1503" s="1">
        <v>0.13</v>
      </c>
      <c r="BE1503" s="1">
        <v>131.0</v>
      </c>
      <c r="BF1503" s="1">
        <v>47.0</v>
      </c>
      <c r="BG1503" s="1">
        <v>0.0</v>
      </c>
      <c r="BH1503" s="1">
        <v>16.0</v>
      </c>
      <c r="BI1503" s="1">
        <v>8.0</v>
      </c>
      <c r="BJ1503" s="1">
        <v>0.0</v>
      </c>
      <c r="BO1503" s="1" t="s">
        <v>5004</v>
      </c>
      <c r="BP1503" s="1">
        <v>1.43</v>
      </c>
      <c r="BU1503" s="1" t="s">
        <v>974</v>
      </c>
      <c r="BV1503" s="1">
        <v>1.1</v>
      </c>
      <c r="EQ1503" s="9" t="s">
        <v>5000</v>
      </c>
      <c r="ER1503" s="21">
        <v>46045.300671296296</v>
      </c>
    </row>
    <row r="1504">
      <c r="A1504" s="9" t="s">
        <v>5005</v>
      </c>
      <c r="B1504" s="20" t="str">
        <f>IFERROR(__xludf.DUMMYFUNCTION("REGEXREPLACE(A1504, ""^https?://[^/]+"", """")"),"/category/sales-consulting/page/3/")</f>
        <v>/category/sales-consulting/page/3/</v>
      </c>
      <c r="C1504" s="1" t="s">
        <v>2388</v>
      </c>
      <c r="F1504" s="1" t="s">
        <v>965</v>
      </c>
      <c r="G1504" s="1">
        <v>200.0</v>
      </c>
      <c r="H1504" s="1" t="s">
        <v>966</v>
      </c>
      <c r="I1504" s="1" t="s">
        <v>967</v>
      </c>
      <c r="K1504" s="1" t="s">
        <v>5006</v>
      </c>
      <c r="L1504" s="1">
        <v>60.0</v>
      </c>
      <c r="M1504" s="1">
        <v>529.0</v>
      </c>
      <c r="O1504" s="1">
        <v>0.0</v>
      </c>
      <c r="P1504" s="1">
        <v>0.0</v>
      </c>
      <c r="Q1504" s="1" t="s">
        <v>2390</v>
      </c>
      <c r="R1504" s="1">
        <v>139.0</v>
      </c>
      <c r="S1504" s="1">
        <v>855.0</v>
      </c>
      <c r="U1504" s="1">
        <v>0.0</v>
      </c>
      <c r="V1504" s="1" t="s">
        <v>2388</v>
      </c>
      <c r="W1504" s="1">
        <v>26.0</v>
      </c>
      <c r="Y1504" s="1">
        <v>0.0</v>
      </c>
      <c r="AA1504" s="1">
        <v>0.0</v>
      </c>
      <c r="AC1504" s="1">
        <v>0.0</v>
      </c>
      <c r="AD1504" s="1" t="s">
        <v>971</v>
      </c>
      <c r="AG1504" s="9" t="s">
        <v>5005</v>
      </c>
      <c r="AH1504" s="9" t="s">
        <v>5007</v>
      </c>
      <c r="AI1504" s="9" t="s">
        <v>2391</v>
      </c>
      <c r="AM1504" s="1">
        <v>169675.0</v>
      </c>
      <c r="AN1504" s="1">
        <v>31475.0</v>
      </c>
      <c r="AO1504" s="1">
        <v>31475.0</v>
      </c>
      <c r="AP1504" s="1">
        <v>12.057</v>
      </c>
      <c r="AR1504" s="1">
        <v>651.0</v>
      </c>
      <c r="AS1504" s="1">
        <v>110.0</v>
      </c>
      <c r="AT1504" s="1">
        <v>5.918</v>
      </c>
      <c r="AU1504" s="1">
        <v>63.077</v>
      </c>
      <c r="AV1504" s="1" t="s">
        <v>990</v>
      </c>
      <c r="AW1504" s="1">
        <v>3.78</v>
      </c>
      <c r="AX1504" s="1">
        <v>3.0</v>
      </c>
      <c r="AY1504" s="1">
        <v>4.0</v>
      </c>
      <c r="AZ1504" s="1">
        <v>1.0</v>
      </c>
      <c r="BA1504" s="1">
        <v>6.0</v>
      </c>
      <c r="BB1504" s="1">
        <v>4.0</v>
      </c>
      <c r="BC1504" s="1">
        <v>0.0</v>
      </c>
      <c r="BD1504" s="1">
        <v>0.53</v>
      </c>
      <c r="BE1504" s="1">
        <v>152.0</v>
      </c>
      <c r="BF1504" s="1">
        <v>58.0</v>
      </c>
      <c r="BG1504" s="1">
        <v>0.0</v>
      </c>
      <c r="BH1504" s="1">
        <v>16.0</v>
      </c>
      <c r="BI1504" s="1">
        <v>8.0</v>
      </c>
      <c r="BJ1504" s="1">
        <v>0.0</v>
      </c>
      <c r="BO1504" s="1" t="s">
        <v>5008</v>
      </c>
      <c r="BP1504" s="1">
        <v>0.971</v>
      </c>
      <c r="BU1504" s="1" t="s">
        <v>974</v>
      </c>
      <c r="BV1504" s="1">
        <v>1.1</v>
      </c>
      <c r="EQ1504" s="9" t="s">
        <v>5005</v>
      </c>
      <c r="ER1504" s="21">
        <v>46045.30068287037</v>
      </c>
    </row>
    <row r="1505">
      <c r="A1505" s="9" t="s">
        <v>5009</v>
      </c>
      <c r="B1505" s="20" t="str">
        <f>IFERROR(__xludf.DUMMYFUNCTION("REGEXREPLACE(A1505, ""^https?://[^/]+"", """")"),"/category/sales-consulting/page/5/")</f>
        <v>/category/sales-consulting/page/5/</v>
      </c>
      <c r="C1505" s="1" t="s">
        <v>2388</v>
      </c>
      <c r="F1505" s="1" t="s">
        <v>965</v>
      </c>
      <c r="G1505" s="1">
        <v>200.0</v>
      </c>
      <c r="H1505" s="1" t="s">
        <v>966</v>
      </c>
      <c r="I1505" s="1" t="s">
        <v>967</v>
      </c>
      <c r="K1505" s="1" t="s">
        <v>5010</v>
      </c>
      <c r="L1505" s="1">
        <v>60.0</v>
      </c>
      <c r="M1505" s="1">
        <v>529.0</v>
      </c>
      <c r="O1505" s="1">
        <v>0.0</v>
      </c>
      <c r="P1505" s="1">
        <v>0.0</v>
      </c>
      <c r="Q1505" s="1" t="s">
        <v>2390</v>
      </c>
      <c r="R1505" s="1">
        <v>139.0</v>
      </c>
      <c r="S1505" s="1">
        <v>855.0</v>
      </c>
      <c r="U1505" s="1">
        <v>0.0</v>
      </c>
      <c r="V1505" s="1" t="s">
        <v>2388</v>
      </c>
      <c r="W1505" s="1">
        <v>26.0</v>
      </c>
      <c r="Y1505" s="1">
        <v>0.0</v>
      </c>
      <c r="AA1505" s="1">
        <v>0.0</v>
      </c>
      <c r="AC1505" s="1">
        <v>0.0</v>
      </c>
      <c r="AD1505" s="1" t="s">
        <v>971</v>
      </c>
      <c r="AG1505" s="9" t="s">
        <v>5009</v>
      </c>
      <c r="AH1505" s="9" t="s">
        <v>5011</v>
      </c>
      <c r="AI1505" s="9" t="s">
        <v>5007</v>
      </c>
      <c r="AM1505" s="1">
        <v>170855.0</v>
      </c>
      <c r="AN1505" s="1">
        <v>31509.0</v>
      </c>
      <c r="AO1505" s="1">
        <v>31509.0</v>
      </c>
      <c r="AP1505" s="1">
        <v>12.07</v>
      </c>
      <c r="AR1505" s="1">
        <v>669.0</v>
      </c>
      <c r="AS1505" s="1">
        <v>111.0</v>
      </c>
      <c r="AT1505" s="1">
        <v>6.027</v>
      </c>
      <c r="AU1505" s="1">
        <v>62.12</v>
      </c>
      <c r="AV1505" s="1" t="s">
        <v>990</v>
      </c>
      <c r="AW1505" s="1">
        <v>3.844</v>
      </c>
      <c r="AX1505" s="1">
        <v>3.0</v>
      </c>
      <c r="AY1505" s="1">
        <v>4.0</v>
      </c>
      <c r="AZ1505" s="1">
        <v>1.0</v>
      </c>
      <c r="BA1505" s="1">
        <v>5.0</v>
      </c>
      <c r="BB1505" s="1">
        <v>4.0</v>
      </c>
      <c r="BC1505" s="1">
        <v>0.0</v>
      </c>
      <c r="BD1505" s="1">
        <v>0.53</v>
      </c>
      <c r="BE1505" s="1">
        <v>151.0</v>
      </c>
      <c r="BF1505" s="1">
        <v>58.0</v>
      </c>
      <c r="BG1505" s="1">
        <v>0.0</v>
      </c>
      <c r="BH1505" s="1">
        <v>16.0</v>
      </c>
      <c r="BI1505" s="1">
        <v>8.0</v>
      </c>
      <c r="BJ1505" s="1">
        <v>0.0</v>
      </c>
      <c r="BO1505" s="1" t="s">
        <v>5012</v>
      </c>
      <c r="BP1505" s="1">
        <v>1.014</v>
      </c>
      <c r="BU1505" s="1" t="s">
        <v>974</v>
      </c>
      <c r="BV1505" s="1">
        <v>1.1</v>
      </c>
      <c r="EQ1505" s="9" t="s">
        <v>5009</v>
      </c>
      <c r="ER1505" s="21">
        <v>46045.30068287037</v>
      </c>
    </row>
    <row r="1506">
      <c r="A1506" s="9" t="s">
        <v>5013</v>
      </c>
      <c r="B1506" s="20" t="str">
        <f>IFERROR(__xludf.DUMMYFUNCTION("REGEXREPLACE(A1506, ""^https?://[^/]+"", """")"),"/wp-content/uploads/2024/08/Fractional-Sales-Leadership-300x200.jpg")</f>
        <v>/wp-content/uploads/2024/08/Fractional-Sales-Leadership-300x200.jpg</v>
      </c>
      <c r="F1506" s="1" t="s">
        <v>1004</v>
      </c>
      <c r="G1506" s="1">
        <v>200.0</v>
      </c>
      <c r="H1506" s="1" t="s">
        <v>966</v>
      </c>
      <c r="I1506" s="1" t="s">
        <v>967</v>
      </c>
      <c r="L1506" s="1">
        <v>0.0</v>
      </c>
      <c r="M1506" s="1">
        <v>0.0</v>
      </c>
      <c r="O1506" s="1">
        <v>0.0</v>
      </c>
      <c r="P1506" s="1">
        <v>0.0</v>
      </c>
      <c r="R1506" s="1">
        <v>0.0</v>
      </c>
      <c r="S1506" s="1">
        <v>0.0</v>
      </c>
      <c r="U1506" s="1">
        <v>0.0</v>
      </c>
      <c r="W1506" s="1">
        <v>0.0</v>
      </c>
      <c r="Y1506" s="1">
        <v>0.0</v>
      </c>
      <c r="AA1506" s="1">
        <v>0.0</v>
      </c>
      <c r="AC1506" s="1">
        <v>0.0</v>
      </c>
      <c r="AM1506" s="1">
        <v>15621.0</v>
      </c>
      <c r="AN1506" s="1">
        <v>15621.0</v>
      </c>
      <c r="AO1506" s="1">
        <v>15621.0</v>
      </c>
      <c r="AP1506" s="1">
        <v>5.984</v>
      </c>
      <c r="AR1506" s="1">
        <v>0.0</v>
      </c>
      <c r="AW1506" s="1">
        <v>0.0</v>
      </c>
      <c r="AX1506" s="1">
        <v>3.0</v>
      </c>
      <c r="AY1506" s="1">
        <v>4.0</v>
      </c>
      <c r="BA1506" s="1">
        <v>0.0</v>
      </c>
      <c r="BB1506" s="1">
        <v>0.0</v>
      </c>
      <c r="BC1506" s="1">
        <v>0.0</v>
      </c>
      <c r="BD1506" s="1">
        <v>0.0</v>
      </c>
      <c r="BE1506" s="1">
        <v>0.0</v>
      </c>
      <c r="BF1506" s="1">
        <v>0.0</v>
      </c>
      <c r="BG1506" s="1">
        <v>0.0</v>
      </c>
      <c r="BH1506" s="1">
        <v>0.0</v>
      </c>
      <c r="BI1506" s="1">
        <v>0.0</v>
      </c>
      <c r="BJ1506" s="1">
        <v>0.0</v>
      </c>
      <c r="BP1506" s="1">
        <v>0.274</v>
      </c>
      <c r="BQ1506" s="1" t="s">
        <v>5014</v>
      </c>
      <c r="BV1506" s="1">
        <v>1.1</v>
      </c>
      <c r="EQ1506" s="9" t="s">
        <v>5013</v>
      </c>
      <c r="ER1506" s="21">
        <v>46045.30069444444</v>
      </c>
    </row>
    <row r="1507">
      <c r="A1507" s="9" t="s">
        <v>5015</v>
      </c>
      <c r="B1507" s="20" t="str">
        <f>IFERROR(__xludf.DUMMYFUNCTION("REGEXREPLACE(A1507, ""^https?://[^/]+"", """")"),"/youve-earned-respect-but-are-you-still-getting-it/")</f>
        <v>/youve-earned-respect-but-are-you-still-getting-it/</v>
      </c>
      <c r="C1507" s="1" t="s">
        <v>5016</v>
      </c>
      <c r="D1507" s="1" t="s">
        <v>5017</v>
      </c>
      <c r="E1507" s="1" t="s">
        <v>5018</v>
      </c>
      <c r="F1507" s="1" t="s">
        <v>965</v>
      </c>
      <c r="G1507" s="1">
        <v>200.0</v>
      </c>
      <c r="H1507" s="1" t="s">
        <v>966</v>
      </c>
      <c r="I1507" s="1" t="s">
        <v>967</v>
      </c>
      <c r="K1507" s="1" t="s">
        <v>5019</v>
      </c>
      <c r="L1507" s="1">
        <v>76.0</v>
      </c>
      <c r="M1507" s="1">
        <v>664.0</v>
      </c>
      <c r="O1507" s="1">
        <v>0.0</v>
      </c>
      <c r="P1507" s="1">
        <v>0.0</v>
      </c>
      <c r="Q1507" s="1" t="s">
        <v>5020</v>
      </c>
      <c r="R1507" s="1">
        <v>149.0</v>
      </c>
      <c r="S1507" s="1">
        <v>924.0</v>
      </c>
      <c r="U1507" s="1">
        <v>0.0</v>
      </c>
      <c r="V1507" s="1" t="s">
        <v>5016</v>
      </c>
      <c r="W1507" s="1">
        <v>51.0</v>
      </c>
      <c r="Y1507" s="1">
        <v>0.0</v>
      </c>
      <c r="Z1507" s="1" t="s">
        <v>5017</v>
      </c>
      <c r="AA1507" s="1">
        <v>29.0</v>
      </c>
      <c r="AB1507" s="1" t="s">
        <v>5018</v>
      </c>
      <c r="AC1507" s="1">
        <v>41.0</v>
      </c>
      <c r="AD1507" s="1" t="s">
        <v>971</v>
      </c>
      <c r="AG1507" s="9" t="s">
        <v>5015</v>
      </c>
      <c r="AM1507" s="1">
        <v>202071.0</v>
      </c>
      <c r="AN1507" s="1">
        <v>36252.0</v>
      </c>
      <c r="AO1507" s="1">
        <v>36252.0</v>
      </c>
      <c r="AP1507" s="1">
        <v>13.887</v>
      </c>
      <c r="AR1507" s="1">
        <v>1384.0</v>
      </c>
      <c r="AS1507" s="1">
        <v>207.0</v>
      </c>
      <c r="AT1507" s="1">
        <v>6.686</v>
      </c>
      <c r="AU1507" s="1">
        <v>60.923</v>
      </c>
      <c r="AV1507" s="1" t="s">
        <v>990</v>
      </c>
      <c r="AW1507" s="1">
        <v>5.468</v>
      </c>
      <c r="AX1507" s="1">
        <v>3.0</v>
      </c>
      <c r="AY1507" s="1">
        <v>1.0</v>
      </c>
      <c r="AZ1507" s="1">
        <v>1.0</v>
      </c>
      <c r="BA1507" s="1">
        <v>2.0</v>
      </c>
      <c r="BB1507" s="1">
        <v>1.0</v>
      </c>
      <c r="BC1507" s="1">
        <v>0.0</v>
      </c>
      <c r="BD1507" s="1">
        <v>0.13</v>
      </c>
      <c r="BE1507" s="1">
        <v>131.0</v>
      </c>
      <c r="BF1507" s="1">
        <v>49.0</v>
      </c>
      <c r="BG1507" s="1">
        <v>0.0</v>
      </c>
      <c r="BH1507" s="1">
        <v>16.0</v>
      </c>
      <c r="BI1507" s="1">
        <v>8.0</v>
      </c>
      <c r="BJ1507" s="1">
        <v>0.0</v>
      </c>
      <c r="BO1507" s="1" t="s">
        <v>5021</v>
      </c>
      <c r="BP1507" s="1">
        <v>1.037</v>
      </c>
      <c r="BU1507" s="1" t="s">
        <v>974</v>
      </c>
      <c r="BV1507" s="1">
        <v>1.1</v>
      </c>
      <c r="EQ1507" s="9" t="s">
        <v>5015</v>
      </c>
      <c r="ER1507" s="21">
        <v>46045.30068287037</v>
      </c>
    </row>
    <row r="1508">
      <c r="A1508" s="9" t="s">
        <v>5022</v>
      </c>
      <c r="B1508" s="20" t="str">
        <f>IFERROR(__xludf.DUMMYFUNCTION("REGEXREPLACE(A1508, ""^https?://[^/]+"", """")"),"/wp-content/uploads/2023/07/Businesswoman-in-thought-300x218.jpg")</f>
        <v>/wp-content/uploads/2023/07/Businesswoman-in-thought-300x218.jpg</v>
      </c>
      <c r="F1508" s="1" t="s">
        <v>1004</v>
      </c>
      <c r="G1508" s="1">
        <v>200.0</v>
      </c>
      <c r="H1508" s="1" t="s">
        <v>966</v>
      </c>
      <c r="I1508" s="1" t="s">
        <v>967</v>
      </c>
      <c r="L1508" s="1">
        <v>0.0</v>
      </c>
      <c r="M1508" s="1">
        <v>0.0</v>
      </c>
      <c r="O1508" s="1">
        <v>0.0</v>
      </c>
      <c r="P1508" s="1">
        <v>0.0</v>
      </c>
      <c r="R1508" s="1">
        <v>0.0</v>
      </c>
      <c r="S1508" s="1">
        <v>0.0</v>
      </c>
      <c r="U1508" s="1">
        <v>0.0</v>
      </c>
      <c r="W1508" s="1">
        <v>0.0</v>
      </c>
      <c r="Y1508" s="1">
        <v>0.0</v>
      </c>
      <c r="AA1508" s="1">
        <v>0.0</v>
      </c>
      <c r="AC1508" s="1">
        <v>0.0</v>
      </c>
      <c r="AM1508" s="1">
        <v>17611.0</v>
      </c>
      <c r="AN1508" s="1">
        <v>17611.0</v>
      </c>
      <c r="AO1508" s="1">
        <v>17611.0</v>
      </c>
      <c r="AP1508" s="1">
        <v>6.746</v>
      </c>
      <c r="AR1508" s="1">
        <v>0.0</v>
      </c>
      <c r="AW1508" s="1">
        <v>0.0</v>
      </c>
      <c r="AX1508" s="1">
        <v>3.0</v>
      </c>
      <c r="AY1508" s="1">
        <v>4.0</v>
      </c>
      <c r="BA1508" s="1">
        <v>0.0</v>
      </c>
      <c r="BB1508" s="1">
        <v>0.0</v>
      </c>
      <c r="BC1508" s="1">
        <v>0.0</v>
      </c>
      <c r="BD1508" s="1">
        <v>0.0</v>
      </c>
      <c r="BE1508" s="1">
        <v>0.0</v>
      </c>
      <c r="BF1508" s="1">
        <v>0.0</v>
      </c>
      <c r="BG1508" s="1">
        <v>0.0</v>
      </c>
      <c r="BH1508" s="1">
        <v>0.0</v>
      </c>
      <c r="BI1508" s="1">
        <v>0.0</v>
      </c>
      <c r="BJ1508" s="1">
        <v>0.0</v>
      </c>
      <c r="BP1508" s="1">
        <v>0.266</v>
      </c>
      <c r="BQ1508" s="1" t="s">
        <v>5023</v>
      </c>
      <c r="BV1508" s="1">
        <v>1.1</v>
      </c>
      <c r="EQ1508" s="9" t="s">
        <v>5022</v>
      </c>
      <c r="ER1508" s="21">
        <v>46045.30069444444</v>
      </c>
    </row>
    <row r="1509">
      <c r="A1509" s="9" t="s">
        <v>5024</v>
      </c>
      <c r="B1509" s="20" t="str">
        <f>IFERROR(__xludf.DUMMYFUNCTION("REGEXREPLACE(A1509, ""^https?://[^/]+"", """")"),"/wp-content/uploads/2023/02/finding-your-professional-purpose-300x200.jpg")</f>
        <v>/wp-content/uploads/2023/02/finding-your-professional-purpose-300x200.jpg</v>
      </c>
      <c r="F1509" s="1" t="s">
        <v>1004</v>
      </c>
      <c r="G1509" s="1">
        <v>200.0</v>
      </c>
      <c r="H1509" s="1" t="s">
        <v>966</v>
      </c>
      <c r="I1509" s="1" t="s">
        <v>967</v>
      </c>
      <c r="L1509" s="1">
        <v>0.0</v>
      </c>
      <c r="M1509" s="1">
        <v>0.0</v>
      </c>
      <c r="O1509" s="1">
        <v>0.0</v>
      </c>
      <c r="P1509" s="1">
        <v>0.0</v>
      </c>
      <c r="R1509" s="1">
        <v>0.0</v>
      </c>
      <c r="S1509" s="1">
        <v>0.0</v>
      </c>
      <c r="U1509" s="1">
        <v>0.0</v>
      </c>
      <c r="W1509" s="1">
        <v>0.0</v>
      </c>
      <c r="Y1509" s="1">
        <v>0.0</v>
      </c>
      <c r="AA1509" s="1">
        <v>0.0</v>
      </c>
      <c r="AC1509" s="1">
        <v>0.0</v>
      </c>
      <c r="AM1509" s="1">
        <v>14520.0</v>
      </c>
      <c r="AN1509" s="1">
        <v>14520.0</v>
      </c>
      <c r="AO1509" s="1">
        <v>14520.0</v>
      </c>
      <c r="AP1509" s="1">
        <v>5.562</v>
      </c>
      <c r="AR1509" s="1">
        <v>0.0</v>
      </c>
      <c r="AW1509" s="1">
        <v>0.0</v>
      </c>
      <c r="AX1509" s="1">
        <v>3.0</v>
      </c>
      <c r="AY1509" s="1">
        <v>4.0</v>
      </c>
      <c r="BA1509" s="1">
        <v>0.0</v>
      </c>
      <c r="BB1509" s="1">
        <v>0.0</v>
      </c>
      <c r="BC1509" s="1">
        <v>0.0</v>
      </c>
      <c r="BD1509" s="1">
        <v>0.0</v>
      </c>
      <c r="BE1509" s="1">
        <v>0.0</v>
      </c>
      <c r="BF1509" s="1">
        <v>0.0</v>
      </c>
      <c r="BG1509" s="1">
        <v>0.0</v>
      </c>
      <c r="BH1509" s="1">
        <v>0.0</v>
      </c>
      <c r="BI1509" s="1">
        <v>0.0</v>
      </c>
      <c r="BJ1509" s="1">
        <v>0.0</v>
      </c>
      <c r="BP1509" s="1">
        <v>0.279</v>
      </c>
      <c r="BQ1509" s="1" t="s">
        <v>5025</v>
      </c>
      <c r="BV1509" s="1">
        <v>1.1</v>
      </c>
      <c r="EQ1509" s="9" t="s">
        <v>5024</v>
      </c>
      <c r="ER1509" s="21">
        <v>46045.30069444444</v>
      </c>
    </row>
    <row r="1510">
      <c r="A1510" s="9" t="s">
        <v>5026</v>
      </c>
      <c r="B1510" s="20" t="str">
        <f>IFERROR(__xludf.DUMMYFUNCTION("REGEXREPLACE(A1510, ""^https?://[^/]+"", """")"),"/fresh-starts-new-beginnings-and-finding-your-professional-purpose/")</f>
        <v>/fresh-starts-new-beginnings-and-finding-your-professional-purpose/</v>
      </c>
      <c r="C1510" s="1" t="s">
        <v>5027</v>
      </c>
      <c r="D1510" s="1" t="s">
        <v>5028</v>
      </c>
      <c r="E1510" s="1" t="s">
        <v>5029</v>
      </c>
      <c r="F1510" s="1" t="s">
        <v>965</v>
      </c>
      <c r="G1510" s="1">
        <v>200.0</v>
      </c>
      <c r="H1510" s="1" t="s">
        <v>966</v>
      </c>
      <c r="I1510" s="1" t="s">
        <v>967</v>
      </c>
      <c r="K1510" s="1" t="s">
        <v>5030</v>
      </c>
      <c r="L1510" s="1">
        <v>92.0</v>
      </c>
      <c r="M1510" s="1">
        <v>830.0</v>
      </c>
      <c r="O1510" s="1">
        <v>0.0</v>
      </c>
      <c r="P1510" s="1">
        <v>0.0</v>
      </c>
      <c r="Q1510" s="1" t="s">
        <v>5031</v>
      </c>
      <c r="R1510" s="1">
        <v>148.0</v>
      </c>
      <c r="S1510" s="1">
        <v>895.0</v>
      </c>
      <c r="U1510" s="1">
        <v>0.0</v>
      </c>
      <c r="V1510" s="1" t="s">
        <v>5027</v>
      </c>
      <c r="W1510" s="1">
        <v>67.0</v>
      </c>
      <c r="Y1510" s="1">
        <v>0.0</v>
      </c>
      <c r="Z1510" s="1" t="s">
        <v>5028</v>
      </c>
      <c r="AA1510" s="1">
        <v>13.0</v>
      </c>
      <c r="AB1510" s="1" t="s">
        <v>5029</v>
      </c>
      <c r="AC1510" s="1">
        <v>18.0</v>
      </c>
      <c r="AD1510" s="1" t="s">
        <v>971</v>
      </c>
      <c r="AG1510" s="9" t="s">
        <v>5026</v>
      </c>
      <c r="AM1510" s="1">
        <v>202772.0</v>
      </c>
      <c r="AN1510" s="1">
        <v>36363.0</v>
      </c>
      <c r="AO1510" s="1">
        <v>36363.0</v>
      </c>
      <c r="AP1510" s="1">
        <v>13.93</v>
      </c>
      <c r="AR1510" s="1">
        <v>1438.0</v>
      </c>
      <c r="AS1510" s="1">
        <v>222.0</v>
      </c>
      <c r="AT1510" s="1">
        <v>6.477</v>
      </c>
      <c r="AU1510" s="1">
        <v>64.183</v>
      </c>
      <c r="AV1510" s="1" t="s">
        <v>990</v>
      </c>
      <c r="AW1510" s="1">
        <v>5.541</v>
      </c>
      <c r="AX1510" s="1">
        <v>3.0</v>
      </c>
      <c r="AY1510" s="1">
        <v>1.0</v>
      </c>
      <c r="AZ1510" s="1">
        <v>1.0</v>
      </c>
      <c r="BA1510" s="1">
        <v>2.0</v>
      </c>
      <c r="BB1510" s="1">
        <v>1.0</v>
      </c>
      <c r="BC1510" s="1">
        <v>0.0</v>
      </c>
      <c r="BD1510" s="1">
        <v>0.13</v>
      </c>
      <c r="BE1510" s="1">
        <v>131.0</v>
      </c>
      <c r="BF1510" s="1">
        <v>49.0</v>
      </c>
      <c r="BG1510" s="1">
        <v>0.0</v>
      </c>
      <c r="BH1510" s="1">
        <v>16.0</v>
      </c>
      <c r="BI1510" s="1">
        <v>8.0</v>
      </c>
      <c r="BJ1510" s="1">
        <v>0.0</v>
      </c>
      <c r="BO1510" s="1" t="s">
        <v>5032</v>
      </c>
      <c r="BP1510" s="1">
        <v>1.068</v>
      </c>
      <c r="BU1510" s="1" t="s">
        <v>974</v>
      </c>
      <c r="BV1510" s="1">
        <v>1.1</v>
      </c>
      <c r="EQ1510" s="9" t="s">
        <v>5026</v>
      </c>
      <c r="ER1510" s="21">
        <v>46045.30069444444</v>
      </c>
    </row>
    <row r="1511">
      <c r="A1511" s="9" t="s">
        <v>5033</v>
      </c>
      <c r="B1511" s="20" t="str">
        <f>IFERROR(__xludf.DUMMYFUNCTION("REGEXREPLACE(A1511, ""^https?://[^/]+"", """")"),"/fractional-work-the-ultimate-smart-business-competitive-advantage/")</f>
        <v>/fractional-work-the-ultimate-smart-business-competitive-advantage/</v>
      </c>
      <c r="C1511" s="1" t="s">
        <v>5034</v>
      </c>
      <c r="D1511" s="1" t="s">
        <v>5035</v>
      </c>
      <c r="E1511" s="1" t="s">
        <v>5036</v>
      </c>
      <c r="F1511" s="1" t="s">
        <v>965</v>
      </c>
      <c r="G1511" s="1">
        <v>200.0</v>
      </c>
      <c r="H1511" s="1" t="s">
        <v>966</v>
      </c>
      <c r="I1511" s="1" t="s">
        <v>967</v>
      </c>
      <c r="K1511" s="1" t="s">
        <v>5037</v>
      </c>
      <c r="L1511" s="1">
        <v>91.0</v>
      </c>
      <c r="M1511" s="1">
        <v>842.0</v>
      </c>
      <c r="O1511" s="1">
        <v>0.0</v>
      </c>
      <c r="P1511" s="1">
        <v>0.0</v>
      </c>
      <c r="Q1511" s="1" t="s">
        <v>5038</v>
      </c>
      <c r="R1511" s="1">
        <v>154.0</v>
      </c>
      <c r="S1511" s="1">
        <v>962.0</v>
      </c>
      <c r="U1511" s="1">
        <v>0.0</v>
      </c>
      <c r="V1511" s="1" t="s">
        <v>5034</v>
      </c>
      <c r="W1511" s="1">
        <v>66.0</v>
      </c>
      <c r="Y1511" s="1">
        <v>0.0</v>
      </c>
      <c r="Z1511" s="1" t="s">
        <v>5035</v>
      </c>
      <c r="AA1511" s="1">
        <v>24.0</v>
      </c>
      <c r="AB1511" s="1" t="s">
        <v>5036</v>
      </c>
      <c r="AC1511" s="1">
        <v>29.0</v>
      </c>
      <c r="AD1511" s="1" t="s">
        <v>971</v>
      </c>
      <c r="AG1511" s="9" t="s">
        <v>5033</v>
      </c>
      <c r="AM1511" s="1">
        <v>200214.0</v>
      </c>
      <c r="AN1511" s="1">
        <v>35737.0</v>
      </c>
      <c r="AO1511" s="1">
        <v>35737.0</v>
      </c>
      <c r="AP1511" s="1">
        <v>13.69</v>
      </c>
      <c r="AR1511" s="1">
        <v>1265.0</v>
      </c>
      <c r="AS1511" s="1">
        <v>191.0</v>
      </c>
      <c r="AT1511" s="1">
        <v>6.623</v>
      </c>
      <c r="AU1511" s="1">
        <v>57.931</v>
      </c>
      <c r="AV1511" s="1" t="s">
        <v>972</v>
      </c>
      <c r="AW1511" s="1">
        <v>5.206</v>
      </c>
      <c r="AX1511" s="1">
        <v>3.0</v>
      </c>
      <c r="AY1511" s="1">
        <v>1.0</v>
      </c>
      <c r="AZ1511" s="1">
        <v>1.0</v>
      </c>
      <c r="BA1511" s="1">
        <v>2.0</v>
      </c>
      <c r="BB1511" s="1">
        <v>1.0</v>
      </c>
      <c r="BC1511" s="1">
        <v>0.0</v>
      </c>
      <c r="BD1511" s="1">
        <v>0.13</v>
      </c>
      <c r="BE1511" s="1">
        <v>131.0</v>
      </c>
      <c r="BF1511" s="1">
        <v>49.0</v>
      </c>
      <c r="BG1511" s="1">
        <v>0.0</v>
      </c>
      <c r="BH1511" s="1">
        <v>16.0</v>
      </c>
      <c r="BI1511" s="1">
        <v>8.0</v>
      </c>
      <c r="BJ1511" s="1">
        <v>0.0</v>
      </c>
      <c r="BO1511" s="1" t="s">
        <v>5039</v>
      </c>
      <c r="BP1511" s="1">
        <v>0.987</v>
      </c>
      <c r="BU1511" s="1" t="s">
        <v>974</v>
      </c>
      <c r="BV1511" s="1">
        <v>1.1</v>
      </c>
      <c r="EQ1511" s="9" t="s">
        <v>5033</v>
      </c>
      <c r="ER1511" s="21">
        <v>46045.30069444444</v>
      </c>
    </row>
    <row r="1512">
      <c r="A1512" s="9" t="s">
        <v>2391</v>
      </c>
      <c r="B1512" s="20" t="str">
        <f>IFERROR(__xludf.DUMMYFUNCTION("REGEXREPLACE(A1512, ""^https?://[^/]+"", """")"),"/category/sales-consulting/page/2/")</f>
        <v>/category/sales-consulting/page/2/</v>
      </c>
      <c r="C1512" s="1" t="s">
        <v>2388</v>
      </c>
      <c r="F1512" s="1" t="s">
        <v>965</v>
      </c>
      <c r="G1512" s="1">
        <v>200.0</v>
      </c>
      <c r="H1512" s="1" t="s">
        <v>966</v>
      </c>
      <c r="I1512" s="1" t="s">
        <v>967</v>
      </c>
      <c r="K1512" s="1" t="s">
        <v>5040</v>
      </c>
      <c r="L1512" s="1">
        <v>60.0</v>
      </c>
      <c r="M1512" s="1">
        <v>529.0</v>
      </c>
      <c r="O1512" s="1">
        <v>0.0</v>
      </c>
      <c r="P1512" s="1">
        <v>0.0</v>
      </c>
      <c r="Q1512" s="1" t="s">
        <v>2390</v>
      </c>
      <c r="R1512" s="1">
        <v>139.0</v>
      </c>
      <c r="S1512" s="1">
        <v>855.0</v>
      </c>
      <c r="U1512" s="1">
        <v>0.0</v>
      </c>
      <c r="V1512" s="1" t="s">
        <v>2388</v>
      </c>
      <c r="W1512" s="1">
        <v>26.0</v>
      </c>
      <c r="Y1512" s="1">
        <v>0.0</v>
      </c>
      <c r="AA1512" s="1">
        <v>0.0</v>
      </c>
      <c r="AC1512" s="1">
        <v>0.0</v>
      </c>
      <c r="AD1512" s="1" t="s">
        <v>971</v>
      </c>
      <c r="AG1512" s="9" t="s">
        <v>2391</v>
      </c>
      <c r="AH1512" s="9" t="s">
        <v>5005</v>
      </c>
      <c r="AI1512" s="9" t="s">
        <v>2387</v>
      </c>
      <c r="AM1512" s="1">
        <v>170076.0</v>
      </c>
      <c r="AN1512" s="1">
        <v>31659.0</v>
      </c>
      <c r="AO1512" s="1">
        <v>31659.0</v>
      </c>
      <c r="AP1512" s="1">
        <v>12.128</v>
      </c>
      <c r="AR1512" s="1">
        <v>645.0</v>
      </c>
      <c r="AS1512" s="1">
        <v>112.0</v>
      </c>
      <c r="AT1512" s="1">
        <v>5.759</v>
      </c>
      <c r="AU1512" s="1">
        <v>59.727</v>
      </c>
      <c r="AV1512" s="1" t="s">
        <v>972</v>
      </c>
      <c r="AW1512" s="1">
        <v>3.799</v>
      </c>
      <c r="AX1512" s="1">
        <v>3.0</v>
      </c>
      <c r="AY1512" s="1">
        <v>4.0</v>
      </c>
      <c r="AZ1512" s="1">
        <v>1.0</v>
      </c>
      <c r="BA1512" s="1">
        <v>6.0</v>
      </c>
      <c r="BB1512" s="1">
        <v>4.0</v>
      </c>
      <c r="BC1512" s="1">
        <v>0.0</v>
      </c>
      <c r="BD1512" s="1">
        <v>0.53</v>
      </c>
      <c r="BE1512" s="1">
        <v>152.0</v>
      </c>
      <c r="BF1512" s="1">
        <v>58.0</v>
      </c>
      <c r="BG1512" s="1">
        <v>0.0</v>
      </c>
      <c r="BH1512" s="1">
        <v>16.0</v>
      </c>
      <c r="BI1512" s="1">
        <v>8.0</v>
      </c>
      <c r="BJ1512" s="1">
        <v>0.0</v>
      </c>
      <c r="BO1512" s="1" t="s">
        <v>5041</v>
      </c>
      <c r="BP1512" s="1">
        <v>1.052</v>
      </c>
      <c r="BU1512" s="1" t="s">
        <v>974</v>
      </c>
      <c r="BV1512" s="1">
        <v>1.1</v>
      </c>
      <c r="EQ1512" s="9" t="s">
        <v>2391</v>
      </c>
      <c r="ER1512" s="21">
        <v>46045.30070601852</v>
      </c>
    </row>
    <row r="1513">
      <c r="A1513" s="9" t="s">
        <v>5007</v>
      </c>
      <c r="B1513" s="20" t="str">
        <f>IFERROR(__xludf.DUMMYFUNCTION("REGEXREPLACE(A1513, ""^https?://[^/]+"", """")"),"/category/sales-consulting/page/4/")</f>
        <v>/category/sales-consulting/page/4/</v>
      </c>
      <c r="C1513" s="1" t="s">
        <v>2388</v>
      </c>
      <c r="F1513" s="1" t="s">
        <v>965</v>
      </c>
      <c r="G1513" s="1">
        <v>200.0</v>
      </c>
      <c r="H1513" s="1" t="s">
        <v>966</v>
      </c>
      <c r="I1513" s="1" t="s">
        <v>967</v>
      </c>
      <c r="K1513" s="1" t="s">
        <v>5042</v>
      </c>
      <c r="L1513" s="1">
        <v>60.0</v>
      </c>
      <c r="M1513" s="1">
        <v>529.0</v>
      </c>
      <c r="O1513" s="1">
        <v>0.0</v>
      </c>
      <c r="P1513" s="1">
        <v>0.0</v>
      </c>
      <c r="Q1513" s="1" t="s">
        <v>2390</v>
      </c>
      <c r="R1513" s="1">
        <v>139.0</v>
      </c>
      <c r="S1513" s="1">
        <v>855.0</v>
      </c>
      <c r="U1513" s="1">
        <v>0.0</v>
      </c>
      <c r="V1513" s="1" t="s">
        <v>2388</v>
      </c>
      <c r="W1513" s="1">
        <v>26.0</v>
      </c>
      <c r="Y1513" s="1">
        <v>0.0</v>
      </c>
      <c r="AA1513" s="1">
        <v>0.0</v>
      </c>
      <c r="AC1513" s="1">
        <v>0.0</v>
      </c>
      <c r="AD1513" s="1" t="s">
        <v>971</v>
      </c>
      <c r="AG1513" s="9" t="s">
        <v>5007</v>
      </c>
      <c r="AH1513" s="9" t="s">
        <v>5009</v>
      </c>
      <c r="AI1513" s="9" t="s">
        <v>5005</v>
      </c>
      <c r="AM1513" s="1">
        <v>170778.0</v>
      </c>
      <c r="AN1513" s="1">
        <v>31320.0</v>
      </c>
      <c r="AO1513" s="1">
        <v>31320.0</v>
      </c>
      <c r="AP1513" s="1">
        <v>11.998</v>
      </c>
      <c r="AR1513" s="1">
        <v>655.0</v>
      </c>
      <c r="AS1513" s="1">
        <v>109.0</v>
      </c>
      <c r="AT1513" s="1">
        <v>6.009</v>
      </c>
      <c r="AU1513" s="1">
        <v>61.113</v>
      </c>
      <c r="AV1513" s="1" t="s">
        <v>990</v>
      </c>
      <c r="AW1513" s="1">
        <v>3.794</v>
      </c>
      <c r="AX1513" s="1">
        <v>3.0</v>
      </c>
      <c r="AY1513" s="1">
        <v>4.0</v>
      </c>
      <c r="AZ1513" s="1">
        <v>1.0</v>
      </c>
      <c r="BA1513" s="1">
        <v>6.0</v>
      </c>
      <c r="BB1513" s="1">
        <v>4.0</v>
      </c>
      <c r="BC1513" s="1">
        <v>0.0</v>
      </c>
      <c r="BD1513" s="1">
        <v>0.53</v>
      </c>
      <c r="BE1513" s="1">
        <v>152.0</v>
      </c>
      <c r="BF1513" s="1">
        <v>58.0</v>
      </c>
      <c r="BG1513" s="1">
        <v>0.0</v>
      </c>
      <c r="BH1513" s="1">
        <v>16.0</v>
      </c>
      <c r="BI1513" s="1">
        <v>8.0</v>
      </c>
      <c r="BJ1513" s="1">
        <v>0.0</v>
      </c>
      <c r="BO1513" s="1" t="s">
        <v>5043</v>
      </c>
      <c r="BP1513" s="1">
        <v>1.03</v>
      </c>
      <c r="BU1513" s="1" t="s">
        <v>974</v>
      </c>
      <c r="BV1513" s="1">
        <v>1.1</v>
      </c>
      <c r="EQ1513" s="9" t="s">
        <v>5007</v>
      </c>
      <c r="ER1513" s="21">
        <v>46045.30070601852</v>
      </c>
    </row>
    <row r="1514">
      <c r="A1514" s="9" t="s">
        <v>5044</v>
      </c>
      <c r="B1514" s="20" t="str">
        <f>IFERROR(__xludf.DUMMYFUNCTION("REGEXREPLACE(A1514, ""^https?://[^/]+"", """")"),"/sales-xceleration-your-partner-for-sales-success/")</f>
        <v>/sales-xceleration-your-partner-for-sales-success/</v>
      </c>
      <c r="C1514" s="1" t="s">
        <v>5045</v>
      </c>
      <c r="D1514" s="1" t="s">
        <v>3986</v>
      </c>
      <c r="F1514" s="1" t="s">
        <v>965</v>
      </c>
      <c r="G1514" s="1">
        <v>200.0</v>
      </c>
      <c r="H1514" s="1" t="s">
        <v>966</v>
      </c>
      <c r="I1514" s="1" t="s">
        <v>967</v>
      </c>
      <c r="K1514" s="1" t="s">
        <v>5046</v>
      </c>
      <c r="L1514" s="1">
        <v>74.0</v>
      </c>
      <c r="M1514" s="1">
        <v>657.0</v>
      </c>
      <c r="O1514" s="1">
        <v>0.0</v>
      </c>
      <c r="P1514" s="1">
        <v>0.0</v>
      </c>
      <c r="Q1514" s="1" t="s">
        <v>5047</v>
      </c>
      <c r="R1514" s="1">
        <v>156.0</v>
      </c>
      <c r="S1514" s="1">
        <v>971.0</v>
      </c>
      <c r="U1514" s="1">
        <v>0.0</v>
      </c>
      <c r="V1514" s="1" t="s">
        <v>5045</v>
      </c>
      <c r="W1514" s="1">
        <v>49.0</v>
      </c>
      <c r="Y1514" s="1">
        <v>0.0</v>
      </c>
      <c r="Z1514" s="1" t="s">
        <v>3986</v>
      </c>
      <c r="AA1514" s="1">
        <v>11.0</v>
      </c>
      <c r="AC1514" s="1">
        <v>0.0</v>
      </c>
      <c r="AD1514" s="1" t="s">
        <v>971</v>
      </c>
      <c r="AG1514" s="9" t="s">
        <v>5044</v>
      </c>
      <c r="AM1514" s="1">
        <v>200495.0</v>
      </c>
      <c r="AN1514" s="1">
        <v>34450.0</v>
      </c>
      <c r="AO1514" s="1">
        <v>34450.0</v>
      </c>
      <c r="AP1514" s="1">
        <v>13.197</v>
      </c>
      <c r="AR1514" s="1">
        <v>712.0</v>
      </c>
      <c r="AS1514" s="1">
        <v>115.0</v>
      </c>
      <c r="AT1514" s="1">
        <v>6.191</v>
      </c>
      <c r="AU1514" s="1">
        <v>64.383</v>
      </c>
      <c r="AV1514" s="1" t="s">
        <v>990</v>
      </c>
      <c r="AW1514" s="1">
        <v>3.36</v>
      </c>
      <c r="AX1514" s="1">
        <v>3.0</v>
      </c>
      <c r="AY1514" s="1">
        <v>1.0</v>
      </c>
      <c r="AZ1514" s="1">
        <v>1.0</v>
      </c>
      <c r="BA1514" s="1">
        <v>5.0</v>
      </c>
      <c r="BB1514" s="1">
        <v>2.0</v>
      </c>
      <c r="BC1514" s="1">
        <v>0.0</v>
      </c>
      <c r="BD1514" s="1">
        <v>0.27</v>
      </c>
      <c r="BE1514" s="1">
        <v>130.0</v>
      </c>
      <c r="BF1514" s="1">
        <v>47.0</v>
      </c>
      <c r="BG1514" s="1">
        <v>0.0</v>
      </c>
      <c r="BH1514" s="1">
        <v>16.0</v>
      </c>
      <c r="BI1514" s="1">
        <v>8.0</v>
      </c>
      <c r="BJ1514" s="1">
        <v>0.0</v>
      </c>
      <c r="BO1514" s="1" t="s">
        <v>5048</v>
      </c>
      <c r="BP1514" s="1">
        <v>1.118</v>
      </c>
      <c r="BU1514" s="1" t="s">
        <v>974</v>
      </c>
      <c r="BV1514" s="1">
        <v>1.1</v>
      </c>
      <c r="EQ1514" s="9" t="s">
        <v>5044</v>
      </c>
      <c r="ER1514" s="21">
        <v>46045.30070601852</v>
      </c>
    </row>
    <row r="1515">
      <c r="A1515" s="9" t="s">
        <v>5049</v>
      </c>
      <c r="B1515" s="20" t="str">
        <f>IFERROR(__xludf.DUMMYFUNCTION("REGEXREPLACE(A1515, ""^https?://[^/]+"", """")"),"/schedule-a-consultation/")</f>
        <v>/schedule-a-consultation/</v>
      </c>
      <c r="F1515" s="1" t="s">
        <v>965</v>
      </c>
      <c r="G1515" s="1">
        <v>301.0</v>
      </c>
      <c r="H1515" s="1" t="s">
        <v>1304</v>
      </c>
      <c r="I1515" s="1" t="s">
        <v>1214</v>
      </c>
      <c r="J1515" s="1" t="s">
        <v>1305</v>
      </c>
      <c r="L1515" s="1">
        <v>0.0</v>
      </c>
      <c r="M1515" s="1">
        <v>0.0</v>
      </c>
      <c r="O1515" s="1">
        <v>0.0</v>
      </c>
      <c r="P1515" s="1">
        <v>0.0</v>
      </c>
      <c r="R1515" s="1">
        <v>0.0</v>
      </c>
      <c r="S1515" s="1">
        <v>0.0</v>
      </c>
      <c r="U1515" s="1">
        <v>0.0</v>
      </c>
      <c r="W1515" s="1">
        <v>0.0</v>
      </c>
      <c r="Y1515" s="1">
        <v>0.0</v>
      </c>
      <c r="AA1515" s="1">
        <v>0.0</v>
      </c>
      <c r="AC1515" s="1">
        <v>0.0</v>
      </c>
      <c r="AM1515" s="1">
        <v>0.0</v>
      </c>
      <c r="AN1515" s="1">
        <v>0.0</v>
      </c>
      <c r="AO1515" s="1">
        <v>0.0</v>
      </c>
      <c r="AP1515" s="1">
        <v>0.0</v>
      </c>
      <c r="AR1515" s="1">
        <v>0.0</v>
      </c>
      <c r="AW1515" s="1">
        <v>0.0</v>
      </c>
      <c r="AX1515" s="1">
        <v>3.0</v>
      </c>
      <c r="AY1515" s="1">
        <v>1.0</v>
      </c>
      <c r="BA1515" s="1">
        <v>29.0</v>
      </c>
      <c r="BB1515" s="1">
        <v>29.0</v>
      </c>
      <c r="BC1515" s="1">
        <v>0.0</v>
      </c>
      <c r="BD1515" s="1">
        <v>3.85</v>
      </c>
      <c r="BE1515" s="1">
        <v>0.0</v>
      </c>
      <c r="BF1515" s="1">
        <v>0.0</v>
      </c>
      <c r="BG1515" s="1">
        <v>0.0</v>
      </c>
      <c r="BH1515" s="1">
        <v>0.0</v>
      </c>
      <c r="BI1515" s="1">
        <v>0.0</v>
      </c>
      <c r="BJ1515" s="1">
        <v>0.0</v>
      </c>
      <c r="BP1515" s="1">
        <v>0.675</v>
      </c>
      <c r="BR1515" s="9" t="s">
        <v>1338</v>
      </c>
      <c r="BS1515" s="1" t="s">
        <v>1307</v>
      </c>
      <c r="BV1515" s="1">
        <v>1.1</v>
      </c>
      <c r="EQ1515" s="9" t="s">
        <v>5049</v>
      </c>
      <c r="ER1515" s="21">
        <v>46045.300717592596</v>
      </c>
    </row>
    <row r="1516">
      <c r="A1516" s="9" t="s">
        <v>5050</v>
      </c>
      <c r="B1516" s="20" t="str">
        <f>IFERROR(__xludf.DUMMYFUNCTION("REGEXREPLACE(A1516, ""^https?://[^/]+"", """")"),"/wp-content/themes/salesxceleratione/assets/css/style.css?ver=1769123417")</f>
        <v>/wp-content/themes/salesxceleratione/assets/css/style.css?ver=1769123417</v>
      </c>
      <c r="F1516" s="1" t="s">
        <v>1016</v>
      </c>
      <c r="G1516" s="1">
        <v>200.0</v>
      </c>
      <c r="H1516" s="1" t="s">
        <v>966</v>
      </c>
      <c r="I1516" s="1" t="s">
        <v>967</v>
      </c>
      <c r="L1516" s="1">
        <v>0.0</v>
      </c>
      <c r="M1516" s="1">
        <v>0.0</v>
      </c>
      <c r="O1516" s="1">
        <v>0.0</v>
      </c>
      <c r="P1516" s="1">
        <v>0.0</v>
      </c>
      <c r="R1516" s="1">
        <v>0.0</v>
      </c>
      <c r="S1516" s="1">
        <v>0.0</v>
      </c>
      <c r="U1516" s="1">
        <v>0.0</v>
      </c>
      <c r="W1516" s="1">
        <v>0.0</v>
      </c>
      <c r="Y1516" s="1">
        <v>0.0</v>
      </c>
      <c r="AA1516" s="1">
        <v>0.0</v>
      </c>
      <c r="AC1516" s="1">
        <v>0.0</v>
      </c>
      <c r="AM1516" s="1">
        <v>17704.0</v>
      </c>
      <c r="AN1516" s="1">
        <v>17704.0</v>
      </c>
      <c r="AO1516" s="1">
        <v>17704.0</v>
      </c>
      <c r="AP1516" s="1">
        <v>6.782</v>
      </c>
      <c r="AR1516" s="1">
        <v>0.0</v>
      </c>
      <c r="AW1516" s="1">
        <v>0.0</v>
      </c>
      <c r="AX1516" s="1">
        <v>3.0</v>
      </c>
      <c r="AY1516" s="1">
        <v>5.0</v>
      </c>
      <c r="BA1516" s="1">
        <v>0.0</v>
      </c>
      <c r="BB1516" s="1">
        <v>0.0</v>
      </c>
      <c r="BC1516" s="1">
        <v>0.0</v>
      </c>
      <c r="BD1516" s="1">
        <v>0.0</v>
      </c>
      <c r="BE1516" s="1">
        <v>0.0</v>
      </c>
      <c r="BF1516" s="1">
        <v>0.0</v>
      </c>
      <c r="BG1516" s="1">
        <v>0.0</v>
      </c>
      <c r="BH1516" s="1">
        <v>0.0</v>
      </c>
      <c r="BI1516" s="1">
        <v>0.0</v>
      </c>
      <c r="BJ1516" s="1">
        <v>0.0</v>
      </c>
      <c r="BP1516" s="1">
        <v>0.272</v>
      </c>
      <c r="BQ1516" s="1" t="s">
        <v>5051</v>
      </c>
      <c r="BV1516" s="1">
        <v>1.1</v>
      </c>
      <c r="EQ1516" s="9" t="s">
        <v>5050</v>
      </c>
      <c r="ER1516" s="21">
        <v>46045.300729166665</v>
      </c>
    </row>
    <row r="1517">
      <c r="A1517" s="9" t="s">
        <v>5052</v>
      </c>
      <c r="B1517" s="20" t="str">
        <f>IFERROR(__xludf.DUMMYFUNCTION("REGEXREPLACE(A1517, ""^https?://[^/]+"", """")"),"/the-power-of-serving-versus-selling/")</f>
        <v>/the-power-of-serving-versus-selling/</v>
      </c>
      <c r="C1517" s="1" t="s">
        <v>5053</v>
      </c>
      <c r="D1517" s="1" t="s">
        <v>5054</v>
      </c>
      <c r="E1517" s="1" t="s">
        <v>5055</v>
      </c>
      <c r="F1517" s="1" t="s">
        <v>965</v>
      </c>
      <c r="G1517" s="1">
        <v>200.0</v>
      </c>
      <c r="H1517" s="1" t="s">
        <v>966</v>
      </c>
      <c r="I1517" s="1" t="s">
        <v>967</v>
      </c>
      <c r="K1517" s="1" t="s">
        <v>5056</v>
      </c>
      <c r="L1517" s="1">
        <v>60.0</v>
      </c>
      <c r="M1517" s="1">
        <v>538.0</v>
      </c>
      <c r="O1517" s="1">
        <v>0.0</v>
      </c>
      <c r="P1517" s="1">
        <v>0.0</v>
      </c>
      <c r="Q1517" s="1" t="s">
        <v>5057</v>
      </c>
      <c r="R1517" s="1">
        <v>153.0</v>
      </c>
      <c r="S1517" s="1">
        <v>920.0</v>
      </c>
      <c r="U1517" s="1">
        <v>0.0</v>
      </c>
      <c r="V1517" s="1" t="s">
        <v>5053</v>
      </c>
      <c r="W1517" s="1">
        <v>35.0</v>
      </c>
      <c r="Y1517" s="1">
        <v>0.0</v>
      </c>
      <c r="Z1517" s="1" t="s">
        <v>5054</v>
      </c>
      <c r="AA1517" s="1">
        <v>24.0</v>
      </c>
      <c r="AB1517" s="1" t="s">
        <v>5055</v>
      </c>
      <c r="AC1517" s="1">
        <v>20.0</v>
      </c>
      <c r="AD1517" s="1" t="s">
        <v>971</v>
      </c>
      <c r="AG1517" s="9" t="s">
        <v>5052</v>
      </c>
      <c r="AM1517" s="1">
        <v>203147.0</v>
      </c>
      <c r="AN1517" s="1">
        <v>36661.0</v>
      </c>
      <c r="AO1517" s="1">
        <v>36661.0</v>
      </c>
      <c r="AP1517" s="1">
        <v>14.044</v>
      </c>
      <c r="AR1517" s="1">
        <v>1511.0</v>
      </c>
      <c r="AS1517" s="1">
        <v>234.0</v>
      </c>
      <c r="AT1517" s="1">
        <v>6.457</v>
      </c>
      <c r="AU1517" s="1">
        <v>68.37</v>
      </c>
      <c r="AV1517" s="1" t="s">
        <v>990</v>
      </c>
      <c r="AW1517" s="1">
        <v>5.686</v>
      </c>
      <c r="AX1517" s="1">
        <v>3.0</v>
      </c>
      <c r="AY1517" s="1">
        <v>1.0</v>
      </c>
      <c r="AZ1517" s="1">
        <v>1.0</v>
      </c>
      <c r="BA1517" s="1">
        <v>2.0</v>
      </c>
      <c r="BB1517" s="1">
        <v>1.0</v>
      </c>
      <c r="BC1517" s="1">
        <v>0.0</v>
      </c>
      <c r="BD1517" s="1">
        <v>0.13</v>
      </c>
      <c r="BE1517" s="1">
        <v>133.0</v>
      </c>
      <c r="BF1517" s="1">
        <v>50.0</v>
      </c>
      <c r="BG1517" s="1">
        <v>0.0</v>
      </c>
      <c r="BH1517" s="1">
        <v>16.0</v>
      </c>
      <c r="BI1517" s="1">
        <v>8.0</v>
      </c>
      <c r="BJ1517" s="1">
        <v>0.0</v>
      </c>
      <c r="BO1517" s="1" t="s">
        <v>5058</v>
      </c>
      <c r="BP1517" s="1">
        <v>1.246</v>
      </c>
      <c r="BU1517" s="1" t="s">
        <v>974</v>
      </c>
      <c r="BV1517" s="1">
        <v>1.1</v>
      </c>
      <c r="EQ1517" s="9" t="s">
        <v>5052</v>
      </c>
      <c r="ER1517" s="21">
        <v>46045.300717592596</v>
      </c>
    </row>
    <row r="1518">
      <c r="A1518" s="9" t="s">
        <v>5059</v>
      </c>
      <c r="B1518" s="20" t="str">
        <f>IFERROR(__xludf.DUMMYFUNCTION("REGEXREPLACE(A1518, ""^https?://[^/]+"", """")"),"/transforming-sales-for-growth/")</f>
        <v>/transforming-sales-for-growth/</v>
      </c>
      <c r="C1518" s="1" t="s">
        <v>5060</v>
      </c>
      <c r="D1518" s="1" t="s">
        <v>5061</v>
      </c>
      <c r="E1518" s="1" t="s">
        <v>5062</v>
      </c>
      <c r="F1518" s="1" t="s">
        <v>965</v>
      </c>
      <c r="G1518" s="1">
        <v>200.0</v>
      </c>
      <c r="H1518" s="1" t="s">
        <v>966</v>
      </c>
      <c r="I1518" s="1" t="s">
        <v>967</v>
      </c>
      <c r="K1518" s="1" t="s">
        <v>5063</v>
      </c>
      <c r="L1518" s="1">
        <v>54.0</v>
      </c>
      <c r="M1518" s="1">
        <v>490.0</v>
      </c>
      <c r="O1518" s="1">
        <v>0.0</v>
      </c>
      <c r="P1518" s="1">
        <v>0.0</v>
      </c>
      <c r="Q1518" s="1" t="s">
        <v>5064</v>
      </c>
      <c r="R1518" s="1">
        <v>132.0</v>
      </c>
      <c r="S1518" s="1">
        <v>849.0</v>
      </c>
      <c r="U1518" s="1">
        <v>0.0</v>
      </c>
      <c r="V1518" s="1" t="s">
        <v>5060</v>
      </c>
      <c r="W1518" s="1">
        <v>29.0</v>
      </c>
      <c r="Y1518" s="1">
        <v>0.0</v>
      </c>
      <c r="Z1518" s="1" t="s">
        <v>5061</v>
      </c>
      <c r="AA1518" s="1">
        <v>9.0</v>
      </c>
      <c r="AB1518" s="1" t="s">
        <v>5062</v>
      </c>
      <c r="AC1518" s="1">
        <v>9.0</v>
      </c>
      <c r="AD1518" s="1" t="s">
        <v>971</v>
      </c>
      <c r="AG1518" s="9" t="s">
        <v>5059</v>
      </c>
      <c r="AM1518" s="1">
        <v>197754.0</v>
      </c>
      <c r="AN1518" s="1">
        <v>34504.0</v>
      </c>
      <c r="AO1518" s="1">
        <v>34504.0</v>
      </c>
      <c r="AP1518" s="1">
        <v>13.218</v>
      </c>
      <c r="AR1518" s="1">
        <v>934.0</v>
      </c>
      <c r="AS1518" s="1">
        <v>148.0</v>
      </c>
      <c r="AT1518" s="1">
        <v>6.311</v>
      </c>
      <c r="AU1518" s="1">
        <v>54.689</v>
      </c>
      <c r="AV1518" s="1" t="s">
        <v>972</v>
      </c>
      <c r="AW1518" s="1">
        <v>4.275</v>
      </c>
      <c r="AX1518" s="1">
        <v>3.0</v>
      </c>
      <c r="AY1518" s="1">
        <v>1.0</v>
      </c>
      <c r="AZ1518" s="1">
        <v>1.0</v>
      </c>
      <c r="BA1518" s="1">
        <v>3.0</v>
      </c>
      <c r="BB1518" s="1">
        <v>2.0</v>
      </c>
      <c r="BC1518" s="1">
        <v>0.0</v>
      </c>
      <c r="BD1518" s="1">
        <v>0.27</v>
      </c>
      <c r="BE1518" s="1">
        <v>129.0</v>
      </c>
      <c r="BF1518" s="1">
        <v>47.0</v>
      </c>
      <c r="BG1518" s="1">
        <v>0.0</v>
      </c>
      <c r="BH1518" s="1">
        <v>18.0</v>
      </c>
      <c r="BI1518" s="1">
        <v>10.0</v>
      </c>
      <c r="BJ1518" s="1">
        <v>0.0</v>
      </c>
      <c r="BO1518" s="1" t="s">
        <v>5065</v>
      </c>
      <c r="BP1518" s="1">
        <v>1.152</v>
      </c>
      <c r="BU1518" s="1" t="s">
        <v>974</v>
      </c>
      <c r="BV1518" s="1">
        <v>1.1</v>
      </c>
      <c r="EQ1518" s="9" t="s">
        <v>5059</v>
      </c>
      <c r="ER1518" s="21">
        <v>46045.300717592596</v>
      </c>
    </row>
    <row r="1519">
      <c r="A1519" s="9" t="s">
        <v>5066</v>
      </c>
      <c r="B1519" s="20" t="str">
        <f>IFERROR(__xludf.DUMMYFUNCTION("REGEXREPLACE(A1519, ""^https?://[^/]+"", """")"),"/surprising-statistics-in-support-of-fractional-sales-leadership-consulting/")</f>
        <v>/surprising-statistics-in-support-of-fractional-sales-leadership-consulting/</v>
      </c>
      <c r="C1519" s="1" t="s">
        <v>5067</v>
      </c>
      <c r="D1519" s="1" t="s">
        <v>5068</v>
      </c>
      <c r="E1519" s="1" t="s">
        <v>5069</v>
      </c>
      <c r="F1519" s="1" t="s">
        <v>965</v>
      </c>
      <c r="G1519" s="1">
        <v>200.0</v>
      </c>
      <c r="H1519" s="1" t="s">
        <v>966</v>
      </c>
      <c r="I1519" s="1" t="s">
        <v>967</v>
      </c>
      <c r="K1519" s="1" t="s">
        <v>5070</v>
      </c>
      <c r="L1519" s="1">
        <v>99.0</v>
      </c>
      <c r="M1519" s="1">
        <v>865.0</v>
      </c>
      <c r="O1519" s="1">
        <v>0.0</v>
      </c>
      <c r="P1519" s="1">
        <v>0.0</v>
      </c>
      <c r="Q1519" s="1" t="s">
        <v>5071</v>
      </c>
      <c r="R1519" s="1">
        <v>154.0</v>
      </c>
      <c r="S1519" s="1">
        <v>930.0</v>
      </c>
      <c r="U1519" s="1">
        <v>0.0</v>
      </c>
      <c r="V1519" s="1" t="s">
        <v>5067</v>
      </c>
      <c r="W1519" s="1">
        <v>74.0</v>
      </c>
      <c r="Y1519" s="1">
        <v>0.0</v>
      </c>
      <c r="Z1519" s="1" t="s">
        <v>5068</v>
      </c>
      <c r="AA1519" s="1">
        <v>48.0</v>
      </c>
      <c r="AB1519" s="1" t="s">
        <v>5069</v>
      </c>
      <c r="AC1519" s="1">
        <v>44.0</v>
      </c>
      <c r="AD1519" s="1" t="s">
        <v>971</v>
      </c>
      <c r="AG1519" s="9" t="s">
        <v>5066</v>
      </c>
      <c r="AM1519" s="1">
        <v>205078.0</v>
      </c>
      <c r="AN1519" s="1">
        <v>37318.0</v>
      </c>
      <c r="AO1519" s="1">
        <v>37318.0</v>
      </c>
      <c r="AP1519" s="1">
        <v>14.296</v>
      </c>
      <c r="AR1519" s="1">
        <v>1916.0</v>
      </c>
      <c r="AS1519" s="1">
        <v>284.0</v>
      </c>
      <c r="AT1519" s="1">
        <v>6.746</v>
      </c>
      <c r="AU1519" s="1">
        <v>61.916</v>
      </c>
      <c r="AV1519" s="1" t="s">
        <v>990</v>
      </c>
      <c r="AW1519" s="1">
        <v>7.02</v>
      </c>
      <c r="AX1519" s="1">
        <v>3.0</v>
      </c>
      <c r="AY1519" s="1">
        <v>1.0</v>
      </c>
      <c r="AZ1519" s="1">
        <v>1.0</v>
      </c>
      <c r="BA1519" s="1">
        <v>2.0</v>
      </c>
      <c r="BB1519" s="1">
        <v>1.0</v>
      </c>
      <c r="BC1519" s="1">
        <v>0.0</v>
      </c>
      <c r="BD1519" s="1">
        <v>0.13</v>
      </c>
      <c r="BE1519" s="1">
        <v>134.0</v>
      </c>
      <c r="BF1519" s="1">
        <v>49.0</v>
      </c>
      <c r="BG1519" s="1">
        <v>0.0</v>
      </c>
      <c r="BH1519" s="1">
        <v>16.0</v>
      </c>
      <c r="BI1519" s="1">
        <v>8.0</v>
      </c>
      <c r="BJ1519" s="1">
        <v>0.0</v>
      </c>
      <c r="BO1519" s="1" t="s">
        <v>5072</v>
      </c>
      <c r="BP1519" s="1">
        <v>1.105</v>
      </c>
      <c r="BU1519" s="1" t="s">
        <v>974</v>
      </c>
      <c r="BV1519" s="1">
        <v>1.1</v>
      </c>
      <c r="EQ1519" s="9" t="s">
        <v>5066</v>
      </c>
      <c r="ER1519" s="21">
        <v>46045.300717592596</v>
      </c>
    </row>
    <row r="1520">
      <c r="A1520" s="9" t="s">
        <v>5073</v>
      </c>
      <c r="B1520" s="20" t="str">
        <f>IFERROR(__xludf.DUMMYFUNCTION("REGEXREPLACE(A1520, ""^https?://[^/]+"", """")"),"/wp-content/uploads/2023/07/Advisor-Class-Press-Release.jpg")</f>
        <v>/wp-content/uploads/2023/07/Advisor-Class-Press-Release.jpg</v>
      </c>
      <c r="F1520" s="1" t="s">
        <v>1004</v>
      </c>
      <c r="G1520" s="1">
        <v>200.0</v>
      </c>
      <c r="H1520" s="1" t="s">
        <v>966</v>
      </c>
      <c r="I1520" s="1" t="s">
        <v>967</v>
      </c>
      <c r="L1520" s="1">
        <v>0.0</v>
      </c>
      <c r="M1520" s="1">
        <v>0.0</v>
      </c>
      <c r="O1520" s="1">
        <v>0.0</v>
      </c>
      <c r="P1520" s="1">
        <v>0.0</v>
      </c>
      <c r="R1520" s="1">
        <v>0.0</v>
      </c>
      <c r="S1520" s="1">
        <v>0.0</v>
      </c>
      <c r="U1520" s="1">
        <v>0.0</v>
      </c>
      <c r="W1520" s="1">
        <v>0.0</v>
      </c>
      <c r="Y1520" s="1">
        <v>0.0</v>
      </c>
      <c r="AA1520" s="1">
        <v>0.0</v>
      </c>
      <c r="AC1520" s="1">
        <v>0.0</v>
      </c>
      <c r="AM1520" s="1">
        <v>338213.0</v>
      </c>
      <c r="AN1520" s="1">
        <v>338213.0</v>
      </c>
      <c r="AO1520" s="1">
        <v>338213.0</v>
      </c>
      <c r="AP1520" s="1">
        <v>129.563</v>
      </c>
      <c r="AR1520" s="1">
        <v>0.0</v>
      </c>
      <c r="AW1520" s="1">
        <v>0.0</v>
      </c>
      <c r="AX1520" s="1">
        <v>3.0</v>
      </c>
      <c r="AY1520" s="1">
        <v>4.0</v>
      </c>
      <c r="BA1520" s="1">
        <v>0.0</v>
      </c>
      <c r="BB1520" s="1">
        <v>0.0</v>
      </c>
      <c r="BC1520" s="1">
        <v>0.0</v>
      </c>
      <c r="BD1520" s="1">
        <v>0.0</v>
      </c>
      <c r="BE1520" s="1">
        <v>0.0</v>
      </c>
      <c r="BF1520" s="1">
        <v>0.0</v>
      </c>
      <c r="BG1520" s="1">
        <v>0.0</v>
      </c>
      <c r="BH1520" s="1">
        <v>0.0</v>
      </c>
      <c r="BI1520" s="1">
        <v>0.0</v>
      </c>
      <c r="BJ1520" s="1">
        <v>0.0</v>
      </c>
      <c r="BP1520" s="1">
        <v>0.271</v>
      </c>
      <c r="BQ1520" s="1" t="s">
        <v>5074</v>
      </c>
      <c r="BV1520" s="1">
        <v>1.1</v>
      </c>
      <c r="EQ1520" s="9" t="s">
        <v>5073</v>
      </c>
      <c r="ER1520" s="21">
        <v>46045.300729166665</v>
      </c>
    </row>
    <row r="1521">
      <c r="A1521" s="9" t="s">
        <v>5075</v>
      </c>
      <c r="B1521" s="20" t="str">
        <f>IFERROR(__xludf.DUMMYFUNCTION("REGEXREPLACE(A1521, ""^https?://[^/]+"", """")"),"/wp-content/uploads/2017/03/MicahelWillsPost.jpg")</f>
        <v>/wp-content/uploads/2017/03/MicahelWillsPost.jpg</v>
      </c>
      <c r="F1521" s="1" t="s">
        <v>1004</v>
      </c>
      <c r="G1521" s="1">
        <v>200.0</v>
      </c>
      <c r="H1521" s="1" t="s">
        <v>966</v>
      </c>
      <c r="I1521" s="1" t="s">
        <v>967</v>
      </c>
      <c r="L1521" s="1">
        <v>0.0</v>
      </c>
      <c r="M1521" s="1">
        <v>0.0</v>
      </c>
      <c r="O1521" s="1">
        <v>0.0</v>
      </c>
      <c r="P1521" s="1">
        <v>0.0</v>
      </c>
      <c r="R1521" s="1">
        <v>0.0</v>
      </c>
      <c r="S1521" s="1">
        <v>0.0</v>
      </c>
      <c r="U1521" s="1">
        <v>0.0</v>
      </c>
      <c r="W1521" s="1">
        <v>0.0</v>
      </c>
      <c r="Y1521" s="1">
        <v>0.0</v>
      </c>
      <c r="AA1521" s="1">
        <v>0.0</v>
      </c>
      <c r="AC1521" s="1">
        <v>0.0</v>
      </c>
      <c r="AM1521" s="1">
        <v>32803.0</v>
      </c>
      <c r="AN1521" s="1">
        <v>32803.0</v>
      </c>
      <c r="AO1521" s="1">
        <v>32803.0</v>
      </c>
      <c r="AP1521" s="1">
        <v>12.566</v>
      </c>
      <c r="AR1521" s="1">
        <v>0.0</v>
      </c>
      <c r="AW1521" s="1">
        <v>0.0</v>
      </c>
      <c r="AX1521" s="1">
        <v>3.0</v>
      </c>
      <c r="AY1521" s="1">
        <v>4.0</v>
      </c>
      <c r="BA1521" s="1">
        <v>0.0</v>
      </c>
      <c r="BB1521" s="1">
        <v>0.0</v>
      </c>
      <c r="BC1521" s="1">
        <v>0.0</v>
      </c>
      <c r="BD1521" s="1">
        <v>0.0</v>
      </c>
      <c r="BE1521" s="1">
        <v>0.0</v>
      </c>
      <c r="BF1521" s="1">
        <v>0.0</v>
      </c>
      <c r="BG1521" s="1">
        <v>0.0</v>
      </c>
      <c r="BH1521" s="1">
        <v>0.0</v>
      </c>
      <c r="BI1521" s="1">
        <v>0.0</v>
      </c>
      <c r="BJ1521" s="1">
        <v>0.0</v>
      </c>
      <c r="BP1521" s="1">
        <v>0.262</v>
      </c>
      <c r="BQ1521" s="1" t="s">
        <v>5076</v>
      </c>
      <c r="BV1521" s="1">
        <v>1.1</v>
      </c>
      <c r="EQ1521" s="9" t="s">
        <v>5075</v>
      </c>
      <c r="ER1521" s="21">
        <v>46045.300729166665</v>
      </c>
    </row>
    <row r="1522">
      <c r="A1522" s="9" t="s">
        <v>5077</v>
      </c>
      <c r="B1522" s="20" t="str">
        <f>IFERROR(__xludf.DUMMYFUNCTION("REGEXREPLACE(A1522, ""^https?://[^/]+"", """")"),"/find-an-advisor/")</f>
        <v>/find-an-advisor/</v>
      </c>
      <c r="F1522" s="1" t="s">
        <v>965</v>
      </c>
      <c r="G1522" s="1">
        <v>301.0</v>
      </c>
      <c r="H1522" s="1" t="s">
        <v>1304</v>
      </c>
      <c r="I1522" s="1" t="s">
        <v>1214</v>
      </c>
      <c r="J1522" s="1" t="s">
        <v>1305</v>
      </c>
      <c r="L1522" s="1">
        <v>0.0</v>
      </c>
      <c r="M1522" s="1">
        <v>0.0</v>
      </c>
      <c r="O1522" s="1">
        <v>0.0</v>
      </c>
      <c r="P1522" s="1">
        <v>0.0</v>
      </c>
      <c r="R1522" s="1">
        <v>0.0</v>
      </c>
      <c r="S1522" s="1">
        <v>0.0</v>
      </c>
      <c r="U1522" s="1">
        <v>0.0</v>
      </c>
      <c r="W1522" s="1">
        <v>0.0</v>
      </c>
      <c r="Y1522" s="1">
        <v>0.0</v>
      </c>
      <c r="AA1522" s="1">
        <v>0.0</v>
      </c>
      <c r="AC1522" s="1">
        <v>0.0</v>
      </c>
      <c r="AM1522" s="1">
        <v>0.0</v>
      </c>
      <c r="AN1522" s="1">
        <v>0.0</v>
      </c>
      <c r="AO1522" s="1">
        <v>0.0</v>
      </c>
      <c r="AP1522" s="1">
        <v>0.0</v>
      </c>
      <c r="AR1522" s="1">
        <v>0.0</v>
      </c>
      <c r="AW1522" s="1">
        <v>0.0</v>
      </c>
      <c r="AX1522" s="1">
        <v>3.0</v>
      </c>
      <c r="AY1522" s="1">
        <v>1.0</v>
      </c>
      <c r="BA1522" s="1">
        <v>16.0</v>
      </c>
      <c r="BB1522" s="1">
        <v>16.0</v>
      </c>
      <c r="BC1522" s="1">
        <v>0.0</v>
      </c>
      <c r="BD1522" s="1">
        <v>2.12</v>
      </c>
      <c r="BE1522" s="1">
        <v>0.0</v>
      </c>
      <c r="BF1522" s="1">
        <v>0.0</v>
      </c>
      <c r="BG1522" s="1">
        <v>0.0</v>
      </c>
      <c r="BH1522" s="1">
        <v>0.0</v>
      </c>
      <c r="BI1522" s="1">
        <v>0.0</v>
      </c>
      <c r="BJ1522" s="1">
        <v>0.0</v>
      </c>
      <c r="BP1522" s="1">
        <v>0.986</v>
      </c>
      <c r="BR1522" s="9" t="s">
        <v>1459</v>
      </c>
      <c r="BS1522" s="1" t="s">
        <v>1307</v>
      </c>
      <c r="BV1522" s="1">
        <v>1.1</v>
      </c>
      <c r="EQ1522" s="9" t="s">
        <v>5077</v>
      </c>
      <c r="ER1522" s="21">
        <v>46045.300729166665</v>
      </c>
    </row>
    <row r="1523">
      <c r="A1523" s="9" t="s">
        <v>5078</v>
      </c>
      <c r="B1523" s="20" t="str">
        <f>IFERROR(__xludf.DUMMYFUNCTION("REGEXREPLACE(A1523, ""^https?://[^/]+"", """")"),"/post-author/michael-wills/")</f>
        <v>/post-author/michael-wills/</v>
      </c>
      <c r="F1523" s="1" t="s">
        <v>965</v>
      </c>
      <c r="G1523" s="1">
        <v>301.0</v>
      </c>
      <c r="H1523" s="1" t="s">
        <v>1304</v>
      </c>
      <c r="I1523" s="1" t="s">
        <v>1214</v>
      </c>
      <c r="J1523" s="1" t="s">
        <v>1305</v>
      </c>
      <c r="L1523" s="1">
        <v>0.0</v>
      </c>
      <c r="M1523" s="1">
        <v>0.0</v>
      </c>
      <c r="O1523" s="1">
        <v>0.0</v>
      </c>
      <c r="P1523" s="1">
        <v>0.0</v>
      </c>
      <c r="R1523" s="1">
        <v>0.0</v>
      </c>
      <c r="S1523" s="1">
        <v>0.0</v>
      </c>
      <c r="U1523" s="1">
        <v>0.0</v>
      </c>
      <c r="W1523" s="1">
        <v>0.0</v>
      </c>
      <c r="Y1523" s="1">
        <v>0.0</v>
      </c>
      <c r="AA1523" s="1">
        <v>0.0</v>
      </c>
      <c r="AC1523" s="1">
        <v>0.0</v>
      </c>
      <c r="AM1523" s="1">
        <v>0.0</v>
      </c>
      <c r="AN1523" s="1">
        <v>0.0</v>
      </c>
      <c r="AO1523" s="1">
        <v>0.0</v>
      </c>
      <c r="AP1523" s="1">
        <v>0.0</v>
      </c>
      <c r="AR1523" s="1">
        <v>0.0</v>
      </c>
      <c r="AW1523" s="1">
        <v>0.0</v>
      </c>
      <c r="AX1523" s="1">
        <v>3.0</v>
      </c>
      <c r="AY1523" s="1">
        <v>2.0</v>
      </c>
      <c r="BA1523" s="1">
        <v>1.0</v>
      </c>
      <c r="BB1523" s="1">
        <v>1.0</v>
      </c>
      <c r="BC1523" s="1">
        <v>0.0</v>
      </c>
      <c r="BD1523" s="1">
        <v>0.13</v>
      </c>
      <c r="BE1523" s="1">
        <v>0.0</v>
      </c>
      <c r="BF1523" s="1">
        <v>0.0</v>
      </c>
      <c r="BG1523" s="1">
        <v>0.0</v>
      </c>
      <c r="BH1523" s="1">
        <v>0.0</v>
      </c>
      <c r="BI1523" s="1">
        <v>0.0</v>
      </c>
      <c r="BJ1523" s="1">
        <v>0.0</v>
      </c>
      <c r="BP1523" s="1">
        <v>0.631</v>
      </c>
      <c r="BR1523" s="9" t="s">
        <v>5079</v>
      </c>
      <c r="BS1523" s="1" t="s">
        <v>1307</v>
      </c>
      <c r="BV1523" s="1">
        <v>1.1</v>
      </c>
      <c r="EQ1523" s="9" t="s">
        <v>5078</v>
      </c>
      <c r="ER1523" s="21">
        <v>46045.300729166665</v>
      </c>
    </row>
    <row r="1524">
      <c r="A1524" s="9" t="s">
        <v>5080</v>
      </c>
      <c r="B1524" s="20" t="str">
        <f>IFERROR(__xludf.DUMMYFUNCTION("REGEXREPLACE(A1524, ""^https?://[^/]+"", """")"),"/what-we-do/genesis-sales-plan/")</f>
        <v>/what-we-do/genesis-sales-plan/</v>
      </c>
      <c r="F1524" s="1" t="s">
        <v>965</v>
      </c>
      <c r="G1524" s="1">
        <v>404.0</v>
      </c>
      <c r="H1524" s="1" t="s">
        <v>2067</v>
      </c>
      <c r="I1524" s="1" t="s">
        <v>1214</v>
      </c>
      <c r="J1524" s="1" t="s">
        <v>2068</v>
      </c>
      <c r="L1524" s="1">
        <v>0.0</v>
      </c>
      <c r="M1524" s="1">
        <v>0.0</v>
      </c>
      <c r="O1524" s="1">
        <v>0.0</v>
      </c>
      <c r="P1524" s="1">
        <v>0.0</v>
      </c>
      <c r="R1524" s="1">
        <v>0.0</v>
      </c>
      <c r="S1524" s="1">
        <v>0.0</v>
      </c>
      <c r="U1524" s="1">
        <v>0.0</v>
      </c>
      <c r="W1524" s="1">
        <v>0.0</v>
      </c>
      <c r="Y1524" s="1">
        <v>0.0</v>
      </c>
      <c r="AA1524" s="1">
        <v>0.0</v>
      </c>
      <c r="AC1524" s="1">
        <v>0.0</v>
      </c>
      <c r="AM1524" s="1">
        <v>0.0</v>
      </c>
      <c r="AN1524" s="1">
        <v>0.0</v>
      </c>
      <c r="AO1524" s="1">
        <v>0.0</v>
      </c>
      <c r="AP1524" s="1">
        <v>0.0</v>
      </c>
      <c r="AR1524" s="1">
        <v>0.0</v>
      </c>
      <c r="AW1524" s="1">
        <v>0.0</v>
      </c>
      <c r="AX1524" s="1">
        <v>3.0</v>
      </c>
      <c r="AY1524" s="1">
        <v>2.0</v>
      </c>
      <c r="AZ1524" s="1">
        <v>1.0</v>
      </c>
      <c r="BA1524" s="1">
        <v>3.0</v>
      </c>
      <c r="BB1524" s="1">
        <v>3.0</v>
      </c>
      <c r="BC1524" s="1">
        <v>0.0</v>
      </c>
      <c r="BD1524" s="1">
        <v>0.4</v>
      </c>
      <c r="BE1524" s="1">
        <v>0.0</v>
      </c>
      <c r="BF1524" s="1">
        <v>0.0</v>
      </c>
      <c r="BG1524" s="1">
        <v>0.0</v>
      </c>
      <c r="BH1524" s="1">
        <v>0.0</v>
      </c>
      <c r="BI1524" s="1">
        <v>0.0</v>
      </c>
      <c r="BJ1524" s="1">
        <v>0.0</v>
      </c>
      <c r="BP1524" s="1">
        <v>0.915</v>
      </c>
      <c r="BV1524" s="1">
        <v>1.1</v>
      </c>
      <c r="EQ1524" s="9" t="s">
        <v>5080</v>
      </c>
      <c r="ER1524" s="21">
        <v>46045.300729166665</v>
      </c>
    </row>
    <row r="1525">
      <c r="A1525" s="9" t="s">
        <v>5079</v>
      </c>
      <c r="B1525" s="20" t="str">
        <f>IFERROR(__xludf.DUMMYFUNCTION("REGEXREPLACE(A1525, ""^https?://[^/]+"", """")"),"/advisors/michael-wills/")</f>
        <v>/advisors/michael-wills/</v>
      </c>
      <c r="C1525" s="1" t="s">
        <v>5081</v>
      </c>
      <c r="F1525" s="1" t="s">
        <v>965</v>
      </c>
      <c r="G1525" s="1">
        <v>200.0</v>
      </c>
      <c r="H1525" s="1" t="s">
        <v>966</v>
      </c>
      <c r="I1525" s="1" t="s">
        <v>967</v>
      </c>
      <c r="K1525" s="1" t="s">
        <v>5082</v>
      </c>
      <c r="L1525" s="1">
        <v>38.0</v>
      </c>
      <c r="M1525" s="1">
        <v>334.0</v>
      </c>
      <c r="O1525" s="1">
        <v>0.0</v>
      </c>
      <c r="P1525" s="1">
        <v>0.0</v>
      </c>
      <c r="Q1525" s="1" t="s">
        <v>5083</v>
      </c>
      <c r="R1525" s="1">
        <v>167.0</v>
      </c>
      <c r="S1525" s="1">
        <v>1046.0</v>
      </c>
      <c r="U1525" s="1">
        <v>0.0</v>
      </c>
      <c r="V1525" s="1" t="s">
        <v>5081</v>
      </c>
      <c r="W1525" s="1">
        <v>18.0</v>
      </c>
      <c r="Y1525" s="1">
        <v>0.0</v>
      </c>
      <c r="AA1525" s="1">
        <v>0.0</v>
      </c>
      <c r="AC1525" s="1">
        <v>0.0</v>
      </c>
      <c r="AD1525" s="1" t="s">
        <v>971</v>
      </c>
      <c r="AG1525" s="9" t="s">
        <v>5079</v>
      </c>
      <c r="AM1525" s="1">
        <v>149321.0</v>
      </c>
      <c r="AN1525" s="1">
        <v>29199.0</v>
      </c>
      <c r="AO1525" s="1">
        <v>29199.0</v>
      </c>
      <c r="AP1525" s="1">
        <v>11.186</v>
      </c>
      <c r="AR1525" s="1">
        <v>621.0</v>
      </c>
      <c r="AS1525" s="1">
        <v>103.0</v>
      </c>
      <c r="AT1525" s="1">
        <v>6.029</v>
      </c>
      <c r="AU1525" s="1">
        <v>60.669</v>
      </c>
      <c r="AV1525" s="1" t="s">
        <v>990</v>
      </c>
      <c r="AW1525" s="1">
        <v>4.196</v>
      </c>
      <c r="AX1525" s="1">
        <v>3.0</v>
      </c>
      <c r="AY1525" s="1">
        <v>2.0</v>
      </c>
      <c r="AZ1525" s="1">
        <v>1.0</v>
      </c>
      <c r="BA1525" s="1">
        <v>5.0</v>
      </c>
      <c r="BB1525" s="1">
        <v>5.0</v>
      </c>
      <c r="BC1525" s="1">
        <v>0.0</v>
      </c>
      <c r="BD1525" s="1">
        <v>0.66</v>
      </c>
      <c r="BE1525" s="1">
        <v>122.0</v>
      </c>
      <c r="BF1525" s="1">
        <v>42.0</v>
      </c>
      <c r="BG1525" s="1">
        <v>0.0</v>
      </c>
      <c r="BH1525" s="1">
        <v>17.0</v>
      </c>
      <c r="BI1525" s="1">
        <v>9.0</v>
      </c>
      <c r="BJ1525" s="1">
        <v>0.0</v>
      </c>
      <c r="BO1525" s="1" t="s">
        <v>5084</v>
      </c>
      <c r="BP1525" s="1">
        <v>0.953</v>
      </c>
      <c r="BU1525" s="1" t="s">
        <v>974</v>
      </c>
      <c r="BV1525" s="1">
        <v>1.1</v>
      </c>
      <c r="EQ1525" s="9" t="s">
        <v>5079</v>
      </c>
      <c r="ER1525" s="21">
        <v>46045.300729166665</v>
      </c>
    </row>
    <row r="1526">
      <c r="A1526" s="9" t="s">
        <v>5085</v>
      </c>
      <c r="B1526" s="20" t="str">
        <f>IFERROR(__xludf.DUMMYFUNCTION("REGEXREPLACE(A1526, ""^https?://[^/]+"", """")"),"/what-we-do/genesis-plus/")</f>
        <v>/what-we-do/genesis-plus/</v>
      </c>
      <c r="F1526" s="1" t="s">
        <v>965</v>
      </c>
      <c r="G1526" s="1">
        <v>404.0</v>
      </c>
      <c r="H1526" s="1" t="s">
        <v>2067</v>
      </c>
      <c r="I1526" s="1" t="s">
        <v>1214</v>
      </c>
      <c r="J1526" s="1" t="s">
        <v>2068</v>
      </c>
      <c r="L1526" s="1">
        <v>0.0</v>
      </c>
      <c r="M1526" s="1">
        <v>0.0</v>
      </c>
      <c r="O1526" s="1">
        <v>0.0</v>
      </c>
      <c r="P1526" s="1">
        <v>0.0</v>
      </c>
      <c r="R1526" s="1">
        <v>0.0</v>
      </c>
      <c r="S1526" s="1">
        <v>0.0</v>
      </c>
      <c r="U1526" s="1">
        <v>0.0</v>
      </c>
      <c r="W1526" s="1">
        <v>0.0</v>
      </c>
      <c r="Y1526" s="1">
        <v>0.0</v>
      </c>
      <c r="AA1526" s="1">
        <v>0.0</v>
      </c>
      <c r="AC1526" s="1">
        <v>0.0</v>
      </c>
      <c r="AM1526" s="1">
        <v>0.0</v>
      </c>
      <c r="AN1526" s="1">
        <v>0.0</v>
      </c>
      <c r="AO1526" s="1">
        <v>0.0</v>
      </c>
      <c r="AP1526" s="1">
        <v>0.0</v>
      </c>
      <c r="AR1526" s="1">
        <v>0.0</v>
      </c>
      <c r="AW1526" s="1">
        <v>0.0</v>
      </c>
      <c r="AX1526" s="1">
        <v>3.0</v>
      </c>
      <c r="AY1526" s="1">
        <v>2.0</v>
      </c>
      <c r="AZ1526" s="1">
        <v>1.0</v>
      </c>
      <c r="BA1526" s="1">
        <v>3.0</v>
      </c>
      <c r="BB1526" s="1">
        <v>2.0</v>
      </c>
      <c r="BC1526" s="1">
        <v>0.0</v>
      </c>
      <c r="BD1526" s="1">
        <v>0.27</v>
      </c>
      <c r="BE1526" s="1">
        <v>0.0</v>
      </c>
      <c r="BF1526" s="1">
        <v>0.0</v>
      </c>
      <c r="BG1526" s="1">
        <v>0.0</v>
      </c>
      <c r="BH1526" s="1">
        <v>0.0</v>
      </c>
      <c r="BI1526" s="1">
        <v>0.0</v>
      </c>
      <c r="BJ1526" s="1">
        <v>0.0</v>
      </c>
      <c r="BP1526" s="1">
        <v>0.924</v>
      </c>
      <c r="BV1526" s="1">
        <v>1.1</v>
      </c>
      <c r="EQ1526" s="9" t="s">
        <v>5085</v>
      </c>
      <c r="ER1526" s="21">
        <v>46045.30074074074</v>
      </c>
    </row>
    <row r="1527">
      <c r="A1527" s="9" t="s">
        <v>5086</v>
      </c>
      <c r="B1527" s="20" t="str">
        <f>IFERROR(__xludf.DUMMYFUNCTION("REGEXREPLACE(A1527, ""^https?://[^/]+"", """")"),"/advisors/joe-jackson/")</f>
        <v>/advisors/joe-jackson/</v>
      </c>
      <c r="C1527" s="1" t="s">
        <v>5087</v>
      </c>
      <c r="F1527" s="1" t="s">
        <v>965</v>
      </c>
      <c r="G1527" s="1">
        <v>200.0</v>
      </c>
      <c r="H1527" s="1" t="s">
        <v>966</v>
      </c>
      <c r="I1527" s="1" t="s">
        <v>967</v>
      </c>
      <c r="K1527" s="1" t="s">
        <v>5088</v>
      </c>
      <c r="L1527" s="1">
        <v>36.0</v>
      </c>
      <c r="M1527" s="1">
        <v>328.0</v>
      </c>
      <c r="O1527" s="1">
        <v>0.0</v>
      </c>
      <c r="P1527" s="1">
        <v>0.0</v>
      </c>
      <c r="Q1527" s="1" t="s">
        <v>5089</v>
      </c>
      <c r="R1527" s="1">
        <v>160.0</v>
      </c>
      <c r="S1527" s="1">
        <v>1007.0</v>
      </c>
      <c r="U1527" s="1">
        <v>0.0</v>
      </c>
      <c r="V1527" s="1" t="s">
        <v>5087</v>
      </c>
      <c r="W1527" s="1">
        <v>16.0</v>
      </c>
      <c r="Y1527" s="1">
        <v>0.0</v>
      </c>
      <c r="AA1527" s="1">
        <v>0.0</v>
      </c>
      <c r="AC1527" s="1">
        <v>0.0</v>
      </c>
      <c r="AD1527" s="1" t="s">
        <v>971</v>
      </c>
      <c r="AG1527" s="9" t="s">
        <v>5086</v>
      </c>
      <c r="AM1527" s="1">
        <v>149367.0</v>
      </c>
      <c r="AN1527" s="1">
        <v>29239.0</v>
      </c>
      <c r="AO1527" s="1">
        <v>29239.0</v>
      </c>
      <c r="AP1527" s="1">
        <v>11.201</v>
      </c>
      <c r="AR1527" s="1">
        <v>626.0</v>
      </c>
      <c r="AS1527" s="1">
        <v>104.0</v>
      </c>
      <c r="AT1527" s="1">
        <v>6.019</v>
      </c>
      <c r="AU1527" s="1">
        <v>58.149</v>
      </c>
      <c r="AV1527" s="1" t="s">
        <v>972</v>
      </c>
      <c r="AW1527" s="1">
        <v>4.235</v>
      </c>
      <c r="AX1527" s="1">
        <v>3.0</v>
      </c>
      <c r="AY1527" s="1">
        <v>2.0</v>
      </c>
      <c r="AZ1527" s="1">
        <v>1.0</v>
      </c>
      <c r="BA1527" s="1">
        <v>1.0</v>
      </c>
      <c r="BB1527" s="1">
        <v>1.0</v>
      </c>
      <c r="BC1527" s="1">
        <v>0.0</v>
      </c>
      <c r="BD1527" s="1">
        <v>0.13</v>
      </c>
      <c r="BE1527" s="1">
        <v>123.0</v>
      </c>
      <c r="BF1527" s="1">
        <v>42.0</v>
      </c>
      <c r="BG1527" s="1">
        <v>0.0</v>
      </c>
      <c r="BH1527" s="1">
        <v>17.0</v>
      </c>
      <c r="BI1527" s="1">
        <v>9.0</v>
      </c>
      <c r="BJ1527" s="1">
        <v>0.0</v>
      </c>
      <c r="BO1527" s="1" t="s">
        <v>5090</v>
      </c>
      <c r="BP1527" s="1">
        <v>0.933</v>
      </c>
      <c r="BU1527" s="1" t="s">
        <v>974</v>
      </c>
      <c r="BV1527" s="1">
        <v>1.1</v>
      </c>
      <c r="EQ1527" s="9" t="s">
        <v>5086</v>
      </c>
      <c r="ER1527" s="21">
        <v>46045.30074074074</v>
      </c>
    </row>
    <row r="1528">
      <c r="A1528" s="9" t="s">
        <v>5091</v>
      </c>
      <c r="B1528" s="20" t="str">
        <f>IFERROR(__xludf.DUMMYFUNCTION("REGEXREPLACE(A1528, ""^https?://[^/]+"", """")"),"/advisors/john-lee-jr/")</f>
        <v>/advisors/john-lee-jr/</v>
      </c>
      <c r="F1528" s="1" t="s">
        <v>965</v>
      </c>
      <c r="G1528" s="1">
        <v>301.0</v>
      </c>
      <c r="H1528" s="1" t="s">
        <v>1304</v>
      </c>
      <c r="I1528" s="1" t="s">
        <v>1214</v>
      </c>
      <c r="J1528" s="1" t="s">
        <v>1305</v>
      </c>
      <c r="L1528" s="1">
        <v>0.0</v>
      </c>
      <c r="M1528" s="1">
        <v>0.0</v>
      </c>
      <c r="O1528" s="1">
        <v>0.0</v>
      </c>
      <c r="P1528" s="1">
        <v>0.0</v>
      </c>
      <c r="R1528" s="1">
        <v>0.0</v>
      </c>
      <c r="S1528" s="1">
        <v>0.0</v>
      </c>
      <c r="U1528" s="1">
        <v>0.0</v>
      </c>
      <c r="W1528" s="1">
        <v>0.0</v>
      </c>
      <c r="Y1528" s="1">
        <v>0.0</v>
      </c>
      <c r="AA1528" s="1">
        <v>0.0</v>
      </c>
      <c r="AC1528" s="1">
        <v>0.0</v>
      </c>
      <c r="AM1528" s="1">
        <v>0.0</v>
      </c>
      <c r="AN1528" s="1">
        <v>0.0</v>
      </c>
      <c r="AO1528" s="1">
        <v>0.0</v>
      </c>
      <c r="AP1528" s="1">
        <v>0.0</v>
      </c>
      <c r="AR1528" s="1">
        <v>0.0</v>
      </c>
      <c r="AW1528" s="1">
        <v>0.0</v>
      </c>
      <c r="AX1528" s="1">
        <v>3.0</v>
      </c>
      <c r="AY1528" s="1">
        <v>2.0</v>
      </c>
      <c r="BA1528" s="1">
        <v>2.0</v>
      </c>
      <c r="BB1528" s="1">
        <v>2.0</v>
      </c>
      <c r="BC1528" s="1">
        <v>0.0</v>
      </c>
      <c r="BD1528" s="1">
        <v>0.27</v>
      </c>
      <c r="BE1528" s="1">
        <v>0.0</v>
      </c>
      <c r="BF1528" s="1">
        <v>0.0</v>
      </c>
      <c r="BG1528" s="1">
        <v>0.0</v>
      </c>
      <c r="BH1528" s="1">
        <v>0.0</v>
      </c>
      <c r="BI1528" s="1">
        <v>0.0</v>
      </c>
      <c r="BJ1528" s="1">
        <v>0.0</v>
      </c>
      <c r="BP1528" s="1">
        <v>0.547</v>
      </c>
      <c r="BR1528" s="9" t="s">
        <v>5092</v>
      </c>
      <c r="BS1528" s="1" t="s">
        <v>1307</v>
      </c>
      <c r="BV1528" s="1">
        <v>1.1</v>
      </c>
      <c r="EQ1528" s="9" t="s">
        <v>5091</v>
      </c>
      <c r="ER1528" s="21">
        <v>46045.30075231481</v>
      </c>
    </row>
    <row r="1529">
      <c r="A1529" s="9" t="s">
        <v>5093</v>
      </c>
      <c r="B1529" s="20" t="str">
        <f>IFERROR(__xludf.DUMMYFUNCTION("REGEXREPLACE(A1529, ""^https?://[^/]+"", """")"),"/wp-content/uploads/2018/01/blogblog.jpg")</f>
        <v>/wp-content/uploads/2018/01/blogblog.jpg</v>
      </c>
      <c r="F1529" s="1" t="s">
        <v>1004</v>
      </c>
      <c r="G1529" s="1">
        <v>200.0</v>
      </c>
      <c r="H1529" s="1" t="s">
        <v>966</v>
      </c>
      <c r="I1529" s="1" t="s">
        <v>967</v>
      </c>
      <c r="L1529" s="1">
        <v>0.0</v>
      </c>
      <c r="M1529" s="1">
        <v>0.0</v>
      </c>
      <c r="O1529" s="1">
        <v>0.0</v>
      </c>
      <c r="P1529" s="1">
        <v>0.0</v>
      </c>
      <c r="R1529" s="1">
        <v>0.0</v>
      </c>
      <c r="S1529" s="1">
        <v>0.0</v>
      </c>
      <c r="U1529" s="1">
        <v>0.0</v>
      </c>
      <c r="W1529" s="1">
        <v>0.0</v>
      </c>
      <c r="Y1529" s="1">
        <v>0.0</v>
      </c>
      <c r="AA1529" s="1">
        <v>0.0</v>
      </c>
      <c r="AC1529" s="1">
        <v>0.0</v>
      </c>
      <c r="AM1529" s="1">
        <v>98186.0</v>
      </c>
      <c r="AN1529" s="1">
        <v>98186.0</v>
      </c>
      <c r="AO1529" s="1">
        <v>98186.0</v>
      </c>
      <c r="AP1529" s="1">
        <v>37.613</v>
      </c>
      <c r="AR1529" s="1">
        <v>0.0</v>
      </c>
      <c r="AW1529" s="1">
        <v>0.0</v>
      </c>
      <c r="AX1529" s="1">
        <v>3.0</v>
      </c>
      <c r="AY1529" s="1">
        <v>4.0</v>
      </c>
      <c r="BA1529" s="1">
        <v>0.0</v>
      </c>
      <c r="BB1529" s="1">
        <v>0.0</v>
      </c>
      <c r="BC1529" s="1">
        <v>0.0</v>
      </c>
      <c r="BD1529" s="1">
        <v>0.0</v>
      </c>
      <c r="BE1529" s="1">
        <v>0.0</v>
      </c>
      <c r="BF1529" s="1">
        <v>0.0</v>
      </c>
      <c r="BG1529" s="1">
        <v>0.0</v>
      </c>
      <c r="BH1529" s="1">
        <v>0.0</v>
      </c>
      <c r="BI1529" s="1">
        <v>0.0</v>
      </c>
      <c r="BJ1529" s="1">
        <v>0.0</v>
      </c>
      <c r="BP1529" s="1">
        <v>0.27</v>
      </c>
      <c r="BQ1529" s="1" t="s">
        <v>5094</v>
      </c>
      <c r="BV1529" s="1">
        <v>1.1</v>
      </c>
      <c r="EQ1529" s="9" t="s">
        <v>5093</v>
      </c>
      <c r="ER1529" s="21">
        <v>46045.30075231481</v>
      </c>
    </row>
    <row r="1530">
      <c r="A1530" s="9" t="s">
        <v>5095</v>
      </c>
      <c r="B1530" s="20" t="str">
        <f>IFERROR(__xludf.DUMMYFUNCTION("REGEXREPLACE(A1530, ""^https?://[^/]+"", """")"),"/find-an-advisor/")</f>
        <v>/find-an-advisor/</v>
      </c>
      <c r="F1530" s="1" t="s">
        <v>965</v>
      </c>
      <c r="G1530" s="1">
        <v>301.0</v>
      </c>
      <c r="H1530" s="1" t="s">
        <v>1304</v>
      </c>
      <c r="I1530" s="1" t="s">
        <v>1214</v>
      </c>
      <c r="J1530" s="1" t="s">
        <v>1305</v>
      </c>
      <c r="L1530" s="1">
        <v>0.0</v>
      </c>
      <c r="M1530" s="1">
        <v>0.0</v>
      </c>
      <c r="O1530" s="1">
        <v>0.0</v>
      </c>
      <c r="P1530" s="1">
        <v>0.0</v>
      </c>
      <c r="R1530" s="1">
        <v>0.0</v>
      </c>
      <c r="S1530" s="1">
        <v>0.0</v>
      </c>
      <c r="U1530" s="1">
        <v>0.0</v>
      </c>
      <c r="W1530" s="1">
        <v>0.0</v>
      </c>
      <c r="Y1530" s="1">
        <v>0.0</v>
      </c>
      <c r="AA1530" s="1">
        <v>0.0</v>
      </c>
      <c r="AC1530" s="1">
        <v>0.0</v>
      </c>
      <c r="AM1530" s="1">
        <v>0.0</v>
      </c>
      <c r="AN1530" s="1">
        <v>0.0</v>
      </c>
      <c r="AO1530" s="1">
        <v>0.0</v>
      </c>
      <c r="AP1530" s="1">
        <v>0.0</v>
      </c>
      <c r="AR1530" s="1">
        <v>0.0</v>
      </c>
      <c r="AW1530" s="1">
        <v>0.0</v>
      </c>
      <c r="AX1530" s="1">
        <v>3.0</v>
      </c>
      <c r="AY1530" s="1">
        <v>1.0</v>
      </c>
      <c r="BA1530" s="1">
        <v>80.0</v>
      </c>
      <c r="BB1530" s="1">
        <v>79.0</v>
      </c>
      <c r="BC1530" s="1">
        <v>0.0</v>
      </c>
      <c r="BD1530" s="1">
        <v>10.48</v>
      </c>
      <c r="BE1530" s="1">
        <v>0.0</v>
      </c>
      <c r="BF1530" s="1">
        <v>0.0</v>
      </c>
      <c r="BG1530" s="1">
        <v>0.0</v>
      </c>
      <c r="BH1530" s="1">
        <v>0.0</v>
      </c>
      <c r="BI1530" s="1">
        <v>0.0</v>
      </c>
      <c r="BJ1530" s="1">
        <v>0.0</v>
      </c>
      <c r="BP1530" s="1">
        <v>0.967</v>
      </c>
      <c r="BR1530" s="9" t="s">
        <v>1459</v>
      </c>
      <c r="BS1530" s="1" t="s">
        <v>1307</v>
      </c>
      <c r="BV1530" s="1">
        <v>1.1</v>
      </c>
      <c r="EQ1530" s="9" t="s">
        <v>5095</v>
      </c>
      <c r="ER1530" s="21">
        <v>46045.30075231481</v>
      </c>
    </row>
    <row r="1531">
      <c r="A1531" s="9" t="s">
        <v>5096</v>
      </c>
      <c r="B1531" s="20" t="str">
        <f>IFERROR(__xludf.DUMMYFUNCTION("REGEXREPLACE(A1531, ""^https?://[^/]+"", """")"),"/advisors/susan-tourville/")</f>
        <v>/advisors/susan-tourville/</v>
      </c>
      <c r="C1531" s="1" t="s">
        <v>5097</v>
      </c>
      <c r="F1531" s="1" t="s">
        <v>965</v>
      </c>
      <c r="G1531" s="1">
        <v>200.0</v>
      </c>
      <c r="H1531" s="1" t="s">
        <v>966</v>
      </c>
      <c r="I1531" s="1" t="s">
        <v>967</v>
      </c>
      <c r="K1531" s="1" t="s">
        <v>5098</v>
      </c>
      <c r="L1531" s="1">
        <v>40.0</v>
      </c>
      <c r="M1531" s="1">
        <v>353.0</v>
      </c>
      <c r="O1531" s="1">
        <v>0.0</v>
      </c>
      <c r="P1531" s="1">
        <v>0.0</v>
      </c>
      <c r="Q1531" s="1" t="s">
        <v>5099</v>
      </c>
      <c r="R1531" s="1">
        <v>179.0</v>
      </c>
      <c r="S1531" s="1">
        <v>1134.0</v>
      </c>
      <c r="U1531" s="1">
        <v>0.0</v>
      </c>
      <c r="V1531" s="1" t="s">
        <v>5097</v>
      </c>
      <c r="W1531" s="1">
        <v>20.0</v>
      </c>
      <c r="Y1531" s="1">
        <v>0.0</v>
      </c>
      <c r="AA1531" s="1">
        <v>0.0</v>
      </c>
      <c r="AC1531" s="1">
        <v>0.0</v>
      </c>
      <c r="AD1531" s="1" t="s">
        <v>971</v>
      </c>
      <c r="AG1531" s="9" t="s">
        <v>5096</v>
      </c>
      <c r="AM1531" s="1">
        <v>149534.0</v>
      </c>
      <c r="AN1531" s="1">
        <v>29296.0</v>
      </c>
      <c r="AO1531" s="1">
        <v>29296.0</v>
      </c>
      <c r="AP1531" s="1">
        <v>11.223</v>
      </c>
      <c r="AR1531" s="1">
        <v>630.0</v>
      </c>
      <c r="AS1531" s="1">
        <v>104.0</v>
      </c>
      <c r="AT1531" s="1">
        <v>6.058</v>
      </c>
      <c r="AU1531" s="1">
        <v>57.001</v>
      </c>
      <c r="AV1531" s="1" t="s">
        <v>972</v>
      </c>
      <c r="AW1531" s="1">
        <v>4.249</v>
      </c>
      <c r="AX1531" s="1">
        <v>3.0</v>
      </c>
      <c r="AY1531" s="1">
        <v>2.0</v>
      </c>
      <c r="AZ1531" s="1">
        <v>1.0</v>
      </c>
      <c r="BA1531" s="1">
        <v>3.0</v>
      </c>
      <c r="BB1531" s="1">
        <v>3.0</v>
      </c>
      <c r="BC1531" s="1">
        <v>0.0</v>
      </c>
      <c r="BD1531" s="1">
        <v>0.4</v>
      </c>
      <c r="BE1531" s="1">
        <v>123.0</v>
      </c>
      <c r="BF1531" s="1">
        <v>42.0</v>
      </c>
      <c r="BG1531" s="1">
        <v>0.0</v>
      </c>
      <c r="BH1531" s="1">
        <v>17.0</v>
      </c>
      <c r="BI1531" s="1">
        <v>9.0</v>
      </c>
      <c r="BJ1531" s="1">
        <v>0.0</v>
      </c>
      <c r="BO1531" s="1" t="s">
        <v>5100</v>
      </c>
      <c r="BP1531" s="1">
        <v>0.942</v>
      </c>
      <c r="BU1531" s="1" t="s">
        <v>974</v>
      </c>
      <c r="BV1531" s="1">
        <v>1.1</v>
      </c>
      <c r="EQ1531" s="9" t="s">
        <v>5096</v>
      </c>
      <c r="ER1531" s="21">
        <v>46045.30074074074</v>
      </c>
    </row>
    <row r="1532">
      <c r="A1532" s="9" t="s">
        <v>5101</v>
      </c>
      <c r="B1532" s="20" t="str">
        <f>IFERROR(__xludf.DUMMYFUNCTION("REGEXREPLACE(A1532, ""^https?://[^/]+"", """")"),"/wp-content/uploads/2025/06/SX-Fractional-Sales-Leaders_June-2025.jpg")</f>
        <v>/wp-content/uploads/2025/06/SX-Fractional-Sales-Leaders_June-2025.jpg</v>
      </c>
      <c r="F1532" s="1" t="s">
        <v>1004</v>
      </c>
      <c r="G1532" s="1">
        <v>200.0</v>
      </c>
      <c r="H1532" s="1" t="s">
        <v>966</v>
      </c>
      <c r="I1532" s="1" t="s">
        <v>967</v>
      </c>
      <c r="L1532" s="1">
        <v>0.0</v>
      </c>
      <c r="M1532" s="1">
        <v>0.0</v>
      </c>
      <c r="O1532" s="1">
        <v>0.0</v>
      </c>
      <c r="P1532" s="1">
        <v>0.0</v>
      </c>
      <c r="R1532" s="1">
        <v>0.0</v>
      </c>
      <c r="S1532" s="1">
        <v>0.0</v>
      </c>
      <c r="U1532" s="1">
        <v>0.0</v>
      </c>
      <c r="W1532" s="1">
        <v>0.0</v>
      </c>
      <c r="Y1532" s="1">
        <v>0.0</v>
      </c>
      <c r="AA1532" s="1">
        <v>0.0</v>
      </c>
      <c r="AC1532" s="1">
        <v>0.0</v>
      </c>
      <c r="AM1532" s="1">
        <v>424438.0</v>
      </c>
      <c r="AN1532" s="1">
        <v>424438.0</v>
      </c>
      <c r="AO1532" s="1">
        <v>424438.0</v>
      </c>
      <c r="AP1532" s="1">
        <v>162.594</v>
      </c>
      <c r="AR1532" s="1">
        <v>0.0</v>
      </c>
      <c r="AW1532" s="1">
        <v>0.0</v>
      </c>
      <c r="AX1532" s="1">
        <v>3.0</v>
      </c>
      <c r="AY1532" s="1">
        <v>4.0</v>
      </c>
      <c r="BA1532" s="1">
        <v>0.0</v>
      </c>
      <c r="BB1532" s="1">
        <v>0.0</v>
      </c>
      <c r="BC1532" s="1">
        <v>0.0</v>
      </c>
      <c r="BD1532" s="1">
        <v>0.0</v>
      </c>
      <c r="BE1532" s="1">
        <v>0.0</v>
      </c>
      <c r="BF1532" s="1">
        <v>0.0</v>
      </c>
      <c r="BG1532" s="1">
        <v>0.0</v>
      </c>
      <c r="BH1532" s="1">
        <v>0.0</v>
      </c>
      <c r="BI1532" s="1">
        <v>0.0</v>
      </c>
      <c r="BJ1532" s="1">
        <v>0.0</v>
      </c>
      <c r="BP1532" s="1">
        <v>0.267</v>
      </c>
      <c r="BQ1532" s="1" t="s">
        <v>5102</v>
      </c>
      <c r="BV1532" s="1">
        <v>1.1</v>
      </c>
      <c r="EQ1532" s="9" t="s">
        <v>5101</v>
      </c>
      <c r="ER1532" s="21">
        <v>46045.30075231481</v>
      </c>
    </row>
    <row r="1533">
      <c r="A1533" s="9" t="s">
        <v>5103</v>
      </c>
      <c r="B1533" s="20" t="str">
        <f>IFERROR(__xludf.DUMMYFUNCTION("REGEXREPLACE(A1533, ""^https?://[^/]+"", """")"),"/wp-content/themes/salesxceleratione/assets/css/style.css?ver=1769123418")</f>
        <v>/wp-content/themes/salesxceleratione/assets/css/style.css?ver=1769123418</v>
      </c>
      <c r="F1533" s="1" t="s">
        <v>1016</v>
      </c>
      <c r="G1533" s="1">
        <v>200.0</v>
      </c>
      <c r="H1533" s="1" t="s">
        <v>966</v>
      </c>
      <c r="I1533" s="1" t="s">
        <v>967</v>
      </c>
      <c r="L1533" s="1">
        <v>0.0</v>
      </c>
      <c r="M1533" s="1">
        <v>0.0</v>
      </c>
      <c r="O1533" s="1">
        <v>0.0</v>
      </c>
      <c r="P1533" s="1">
        <v>0.0</v>
      </c>
      <c r="R1533" s="1">
        <v>0.0</v>
      </c>
      <c r="S1533" s="1">
        <v>0.0</v>
      </c>
      <c r="U1533" s="1">
        <v>0.0</v>
      </c>
      <c r="W1533" s="1">
        <v>0.0</v>
      </c>
      <c r="Y1533" s="1">
        <v>0.0</v>
      </c>
      <c r="AA1533" s="1">
        <v>0.0</v>
      </c>
      <c r="AC1533" s="1">
        <v>0.0</v>
      </c>
      <c r="AM1533" s="1">
        <v>17704.0</v>
      </c>
      <c r="AN1533" s="1">
        <v>17704.0</v>
      </c>
      <c r="AO1533" s="1">
        <v>17704.0</v>
      </c>
      <c r="AP1533" s="1">
        <v>6.782</v>
      </c>
      <c r="AR1533" s="1">
        <v>0.0</v>
      </c>
      <c r="AW1533" s="1">
        <v>0.0</v>
      </c>
      <c r="AX1533" s="1">
        <v>3.0</v>
      </c>
      <c r="AY1533" s="1">
        <v>5.0</v>
      </c>
      <c r="BA1533" s="1">
        <v>0.0</v>
      </c>
      <c r="BB1533" s="1">
        <v>0.0</v>
      </c>
      <c r="BC1533" s="1">
        <v>0.0</v>
      </c>
      <c r="BD1533" s="1">
        <v>0.0</v>
      </c>
      <c r="BE1533" s="1">
        <v>0.0</v>
      </c>
      <c r="BF1533" s="1">
        <v>0.0</v>
      </c>
      <c r="BG1533" s="1">
        <v>0.0</v>
      </c>
      <c r="BH1533" s="1">
        <v>0.0</v>
      </c>
      <c r="BI1533" s="1">
        <v>0.0</v>
      </c>
      <c r="BJ1533" s="1">
        <v>0.0</v>
      </c>
      <c r="BP1533" s="1">
        <v>0.28</v>
      </c>
      <c r="BQ1533" s="1" t="s">
        <v>5104</v>
      </c>
      <c r="BV1533" s="1">
        <v>1.1</v>
      </c>
      <c r="EQ1533" s="9" t="s">
        <v>5103</v>
      </c>
      <c r="ER1533" s="21">
        <v>46045.30075231481</v>
      </c>
    </row>
    <row r="1534">
      <c r="A1534" s="9" t="s">
        <v>5105</v>
      </c>
      <c r="B1534" s="20" t="str">
        <f>IFERROR(__xludf.DUMMYFUNCTION("REGEXREPLACE(A1534, ""^https?://[^/]+"", """")"),"/wp-content/uploads/2022/08/Inc.-5000-Color-Medallion-Logo.png")</f>
        <v>/wp-content/uploads/2022/08/Inc.-5000-Color-Medallion-Logo.png</v>
      </c>
      <c r="F1534" s="1" t="s">
        <v>1047</v>
      </c>
      <c r="G1534" s="1">
        <v>200.0</v>
      </c>
      <c r="H1534" s="1" t="s">
        <v>966</v>
      </c>
      <c r="I1534" s="1" t="s">
        <v>967</v>
      </c>
      <c r="L1534" s="1">
        <v>0.0</v>
      </c>
      <c r="M1534" s="1">
        <v>0.0</v>
      </c>
      <c r="O1534" s="1">
        <v>0.0</v>
      </c>
      <c r="P1534" s="1">
        <v>0.0</v>
      </c>
      <c r="R1534" s="1">
        <v>0.0</v>
      </c>
      <c r="S1534" s="1">
        <v>0.0</v>
      </c>
      <c r="U1534" s="1">
        <v>0.0</v>
      </c>
      <c r="W1534" s="1">
        <v>0.0</v>
      </c>
      <c r="Y1534" s="1">
        <v>0.0</v>
      </c>
      <c r="AA1534" s="1">
        <v>0.0</v>
      </c>
      <c r="AC1534" s="1">
        <v>0.0</v>
      </c>
      <c r="AM1534" s="1">
        <v>65980.0</v>
      </c>
      <c r="AN1534" s="1">
        <v>65980.0</v>
      </c>
      <c r="AO1534" s="1">
        <v>65980.0</v>
      </c>
      <c r="AP1534" s="1">
        <v>25.276</v>
      </c>
      <c r="AR1534" s="1">
        <v>0.0</v>
      </c>
      <c r="AW1534" s="1">
        <v>0.0</v>
      </c>
      <c r="AX1534" s="1">
        <v>3.0</v>
      </c>
      <c r="AY1534" s="1">
        <v>4.0</v>
      </c>
      <c r="BA1534" s="1">
        <v>0.0</v>
      </c>
      <c r="BB1534" s="1">
        <v>0.0</v>
      </c>
      <c r="BC1534" s="1">
        <v>0.0</v>
      </c>
      <c r="BD1534" s="1">
        <v>0.0</v>
      </c>
      <c r="BE1534" s="1">
        <v>0.0</v>
      </c>
      <c r="BF1534" s="1">
        <v>0.0</v>
      </c>
      <c r="BG1534" s="1">
        <v>0.0</v>
      </c>
      <c r="BH1534" s="1">
        <v>0.0</v>
      </c>
      <c r="BI1534" s="1">
        <v>0.0</v>
      </c>
      <c r="BJ1534" s="1">
        <v>0.0</v>
      </c>
      <c r="BP1534" s="1">
        <v>0.281</v>
      </c>
      <c r="BQ1534" s="1" t="s">
        <v>5106</v>
      </c>
      <c r="BV1534" s="1">
        <v>1.1</v>
      </c>
      <c r="EQ1534" s="9" t="s">
        <v>5105</v>
      </c>
      <c r="ER1534" s="21">
        <v>46045.30076388889</v>
      </c>
    </row>
    <row r="1535">
      <c r="A1535" s="9" t="s">
        <v>5107</v>
      </c>
      <c r="B1535" s="20" t="str">
        <f>IFERROR(__xludf.DUMMYFUNCTION("REGEXREPLACE(A1535, ""^https?://[^/]+"", """")"),"/wp-content/uploads/2023/09/OMG-x-SX.png")</f>
        <v>/wp-content/uploads/2023/09/OMG-x-SX.png</v>
      </c>
      <c r="F1535" s="1" t="s">
        <v>1047</v>
      </c>
      <c r="G1535" s="1">
        <v>200.0</v>
      </c>
      <c r="H1535" s="1" t="s">
        <v>966</v>
      </c>
      <c r="I1535" s="1" t="s">
        <v>967</v>
      </c>
      <c r="L1535" s="1">
        <v>0.0</v>
      </c>
      <c r="M1535" s="1">
        <v>0.0</v>
      </c>
      <c r="O1535" s="1">
        <v>0.0</v>
      </c>
      <c r="P1535" s="1">
        <v>0.0</v>
      </c>
      <c r="R1535" s="1">
        <v>0.0</v>
      </c>
      <c r="S1535" s="1">
        <v>0.0</v>
      </c>
      <c r="U1535" s="1">
        <v>0.0</v>
      </c>
      <c r="W1535" s="1">
        <v>0.0</v>
      </c>
      <c r="Y1535" s="1">
        <v>0.0</v>
      </c>
      <c r="AA1535" s="1">
        <v>0.0</v>
      </c>
      <c r="AC1535" s="1">
        <v>0.0</v>
      </c>
      <c r="AM1535" s="1">
        <v>129113.0</v>
      </c>
      <c r="AN1535" s="1">
        <v>129113.0</v>
      </c>
      <c r="AO1535" s="1">
        <v>129113.0</v>
      </c>
      <c r="AP1535" s="1">
        <v>49.461</v>
      </c>
      <c r="AR1535" s="1">
        <v>0.0</v>
      </c>
      <c r="AW1535" s="1">
        <v>0.0</v>
      </c>
      <c r="AX1535" s="1">
        <v>3.0</v>
      </c>
      <c r="AY1535" s="1">
        <v>4.0</v>
      </c>
      <c r="BA1535" s="1">
        <v>0.0</v>
      </c>
      <c r="BB1535" s="1">
        <v>0.0</v>
      </c>
      <c r="BC1535" s="1">
        <v>0.0</v>
      </c>
      <c r="BD1535" s="1">
        <v>0.0</v>
      </c>
      <c r="BE1535" s="1">
        <v>0.0</v>
      </c>
      <c r="BF1535" s="1">
        <v>0.0</v>
      </c>
      <c r="BG1535" s="1">
        <v>0.0</v>
      </c>
      <c r="BH1535" s="1">
        <v>0.0</v>
      </c>
      <c r="BI1535" s="1">
        <v>0.0</v>
      </c>
      <c r="BJ1535" s="1">
        <v>0.0</v>
      </c>
      <c r="BP1535" s="1">
        <v>0.279</v>
      </c>
      <c r="BQ1535" s="1" t="s">
        <v>5108</v>
      </c>
      <c r="BV1535" s="1">
        <v>1.1</v>
      </c>
      <c r="EQ1535" s="9" t="s">
        <v>5107</v>
      </c>
      <c r="ER1535" s="21">
        <v>46045.30076388889</v>
      </c>
    </row>
    <row r="1536">
      <c r="A1536" s="9" t="s">
        <v>5109</v>
      </c>
      <c r="B1536" s="20" t="str">
        <f>IFERROR(__xludf.DUMMYFUNCTION("REGEXREPLACE(A1536, ""^https?://[^/]+"", """")"),"/wp-content/uploads/2024/08/sx-knai.webp")</f>
        <v>/wp-content/uploads/2024/08/sx-knai.webp</v>
      </c>
      <c r="F1536" s="1" t="s">
        <v>1575</v>
      </c>
      <c r="G1536" s="1">
        <v>200.0</v>
      </c>
      <c r="H1536" s="1" t="s">
        <v>966</v>
      </c>
      <c r="I1536" s="1" t="s">
        <v>967</v>
      </c>
      <c r="L1536" s="1">
        <v>0.0</v>
      </c>
      <c r="M1536" s="1">
        <v>0.0</v>
      </c>
      <c r="O1536" s="1">
        <v>0.0</v>
      </c>
      <c r="P1536" s="1">
        <v>0.0</v>
      </c>
      <c r="R1536" s="1">
        <v>0.0</v>
      </c>
      <c r="S1536" s="1">
        <v>0.0</v>
      </c>
      <c r="U1536" s="1">
        <v>0.0</v>
      </c>
      <c r="W1536" s="1">
        <v>0.0</v>
      </c>
      <c r="Y1536" s="1">
        <v>0.0</v>
      </c>
      <c r="AA1536" s="1">
        <v>0.0</v>
      </c>
      <c r="AC1536" s="1">
        <v>0.0</v>
      </c>
      <c r="AM1536" s="1">
        <v>146836.0</v>
      </c>
      <c r="AN1536" s="1">
        <v>146836.0</v>
      </c>
      <c r="AO1536" s="1">
        <v>146836.0</v>
      </c>
      <c r="AP1536" s="1">
        <v>56.25</v>
      </c>
      <c r="AR1536" s="1">
        <v>0.0</v>
      </c>
      <c r="AW1536" s="1">
        <v>0.0</v>
      </c>
      <c r="AX1536" s="1">
        <v>3.0</v>
      </c>
      <c r="AY1536" s="1">
        <v>4.0</v>
      </c>
      <c r="BA1536" s="1">
        <v>0.0</v>
      </c>
      <c r="BB1536" s="1">
        <v>0.0</v>
      </c>
      <c r="BC1536" s="1">
        <v>0.0</v>
      </c>
      <c r="BD1536" s="1">
        <v>0.0</v>
      </c>
      <c r="BE1536" s="1">
        <v>0.0</v>
      </c>
      <c r="BF1536" s="1">
        <v>0.0</v>
      </c>
      <c r="BG1536" s="1">
        <v>0.0</v>
      </c>
      <c r="BH1536" s="1">
        <v>0.0</v>
      </c>
      <c r="BI1536" s="1">
        <v>0.0</v>
      </c>
      <c r="BJ1536" s="1">
        <v>0.0</v>
      </c>
      <c r="BP1536" s="1">
        <v>0.262</v>
      </c>
      <c r="BQ1536" s="1" t="s">
        <v>5110</v>
      </c>
      <c r="BV1536" s="1">
        <v>1.1</v>
      </c>
      <c r="EQ1536" s="9" t="s">
        <v>5109</v>
      </c>
      <c r="ER1536" s="21">
        <v>46045.30076388889</v>
      </c>
    </row>
    <row r="1537">
      <c r="A1537" s="9" t="s">
        <v>5111</v>
      </c>
      <c r="B1537" s="20" t="str">
        <f>IFERROR(__xludf.DUMMYFUNCTION("REGEXREPLACE(A1537, ""^https?://[^/]+"", """")"),"/wp-content/uploads/2020/08/Inc5000_Medallion_Color-1.png")</f>
        <v>/wp-content/uploads/2020/08/Inc5000_Medallion_Color-1.png</v>
      </c>
      <c r="F1537" s="1" t="s">
        <v>1047</v>
      </c>
      <c r="G1537" s="1">
        <v>200.0</v>
      </c>
      <c r="H1537" s="1" t="s">
        <v>966</v>
      </c>
      <c r="I1537" s="1" t="s">
        <v>967</v>
      </c>
      <c r="L1537" s="1">
        <v>0.0</v>
      </c>
      <c r="M1537" s="1">
        <v>0.0</v>
      </c>
      <c r="O1537" s="1">
        <v>0.0</v>
      </c>
      <c r="P1537" s="1">
        <v>0.0</v>
      </c>
      <c r="R1537" s="1">
        <v>0.0</v>
      </c>
      <c r="S1537" s="1">
        <v>0.0</v>
      </c>
      <c r="U1537" s="1">
        <v>0.0</v>
      </c>
      <c r="W1537" s="1">
        <v>0.0</v>
      </c>
      <c r="Y1537" s="1">
        <v>0.0</v>
      </c>
      <c r="AA1537" s="1">
        <v>0.0</v>
      </c>
      <c r="AC1537" s="1">
        <v>0.0</v>
      </c>
      <c r="AM1537" s="1">
        <v>51447.0</v>
      </c>
      <c r="AN1537" s="1">
        <v>51447.0</v>
      </c>
      <c r="AO1537" s="1">
        <v>51447.0</v>
      </c>
      <c r="AP1537" s="1">
        <v>19.708</v>
      </c>
      <c r="AR1537" s="1">
        <v>0.0</v>
      </c>
      <c r="AW1537" s="1">
        <v>0.0</v>
      </c>
      <c r="AX1537" s="1">
        <v>3.0</v>
      </c>
      <c r="AY1537" s="1">
        <v>4.0</v>
      </c>
      <c r="BA1537" s="1">
        <v>0.0</v>
      </c>
      <c r="BB1537" s="1">
        <v>0.0</v>
      </c>
      <c r="BC1537" s="1">
        <v>0.0</v>
      </c>
      <c r="BD1537" s="1">
        <v>0.0</v>
      </c>
      <c r="BE1537" s="1">
        <v>0.0</v>
      </c>
      <c r="BF1537" s="1">
        <v>0.0</v>
      </c>
      <c r="BG1537" s="1">
        <v>0.0</v>
      </c>
      <c r="BH1537" s="1">
        <v>0.0</v>
      </c>
      <c r="BI1537" s="1">
        <v>0.0</v>
      </c>
      <c r="BJ1537" s="1">
        <v>0.0</v>
      </c>
      <c r="BP1537" s="1">
        <v>0.278</v>
      </c>
      <c r="BQ1537" s="1" t="s">
        <v>5112</v>
      </c>
      <c r="BV1537" s="1">
        <v>1.1</v>
      </c>
      <c r="EQ1537" s="9" t="s">
        <v>5111</v>
      </c>
      <c r="ER1537" s="21">
        <v>46045.300775462965</v>
      </c>
    </row>
    <row r="1538">
      <c r="A1538" s="9" t="s">
        <v>5113</v>
      </c>
      <c r="B1538" s="20" t="str">
        <f>IFERROR(__xludf.DUMMYFUNCTION("REGEXREPLACE(A1538, ""^https?://[^/]+"", """")"),"/wp-content/uploads/2016/06/Sales-Xceleration-Agility_Logo-Study-02.jpg")</f>
        <v>/wp-content/uploads/2016/06/Sales-Xceleration-Agility_Logo-Study-02.jpg</v>
      </c>
      <c r="F1538" s="1" t="s">
        <v>1004</v>
      </c>
      <c r="G1538" s="1">
        <v>200.0</v>
      </c>
      <c r="H1538" s="1" t="s">
        <v>966</v>
      </c>
      <c r="I1538" s="1" t="s">
        <v>967</v>
      </c>
      <c r="L1538" s="1">
        <v>0.0</v>
      </c>
      <c r="M1538" s="1">
        <v>0.0</v>
      </c>
      <c r="O1538" s="1">
        <v>0.0</v>
      </c>
      <c r="P1538" s="1">
        <v>0.0</v>
      </c>
      <c r="R1538" s="1">
        <v>0.0</v>
      </c>
      <c r="S1538" s="1">
        <v>0.0</v>
      </c>
      <c r="U1538" s="1">
        <v>0.0</v>
      </c>
      <c r="W1538" s="1">
        <v>0.0</v>
      </c>
      <c r="Y1538" s="1">
        <v>0.0</v>
      </c>
      <c r="AA1538" s="1">
        <v>0.0</v>
      </c>
      <c r="AC1538" s="1">
        <v>0.0</v>
      </c>
      <c r="AM1538" s="1">
        <v>71322.0</v>
      </c>
      <c r="AN1538" s="1">
        <v>71322.0</v>
      </c>
      <c r="AO1538" s="1">
        <v>71322.0</v>
      </c>
      <c r="AP1538" s="1">
        <v>27.322</v>
      </c>
      <c r="AR1538" s="1">
        <v>0.0</v>
      </c>
      <c r="AW1538" s="1">
        <v>0.0</v>
      </c>
      <c r="AX1538" s="1">
        <v>3.0</v>
      </c>
      <c r="AY1538" s="1">
        <v>4.0</v>
      </c>
      <c r="BA1538" s="1">
        <v>0.0</v>
      </c>
      <c r="BB1538" s="1">
        <v>0.0</v>
      </c>
      <c r="BC1538" s="1">
        <v>0.0</v>
      </c>
      <c r="BD1538" s="1">
        <v>0.0</v>
      </c>
      <c r="BE1538" s="1">
        <v>0.0</v>
      </c>
      <c r="BF1538" s="1">
        <v>0.0</v>
      </c>
      <c r="BG1538" s="1">
        <v>0.0</v>
      </c>
      <c r="BH1538" s="1">
        <v>0.0</v>
      </c>
      <c r="BI1538" s="1">
        <v>0.0</v>
      </c>
      <c r="BJ1538" s="1">
        <v>0.0</v>
      </c>
      <c r="BP1538" s="1">
        <v>0.27</v>
      </c>
      <c r="BQ1538" s="1" t="s">
        <v>5114</v>
      </c>
      <c r="BV1538" s="1">
        <v>1.1</v>
      </c>
      <c r="EQ1538" s="9" t="s">
        <v>5113</v>
      </c>
      <c r="ER1538" s="21">
        <v>46045.300775462965</v>
      </c>
    </row>
    <row r="1539">
      <c r="A1539" s="9" t="s">
        <v>5115</v>
      </c>
      <c r="B1539" s="20" t="str">
        <f>IFERROR(__xludf.DUMMYFUNCTION("REGEXREPLACE(A1539, ""^https?://[^/]+"", """")"),"/business-growth-during-covid-were-proof-it-can-be-done/")</f>
        <v>/business-growth-during-covid-were-proof-it-can-be-done/</v>
      </c>
      <c r="C1539" s="1" t="s">
        <v>5116</v>
      </c>
      <c r="D1539" s="1" t="s">
        <v>5117</v>
      </c>
      <c r="E1539" s="1" t="s">
        <v>5118</v>
      </c>
      <c r="F1539" s="1" t="s">
        <v>965</v>
      </c>
      <c r="G1539" s="1">
        <v>200.0</v>
      </c>
      <c r="H1539" s="1" t="s">
        <v>966</v>
      </c>
      <c r="I1539" s="1" t="s">
        <v>967</v>
      </c>
      <c r="K1539" s="1" t="s">
        <v>5119</v>
      </c>
      <c r="L1539" s="1">
        <v>82.0</v>
      </c>
      <c r="M1539" s="1">
        <v>751.0</v>
      </c>
      <c r="O1539" s="1">
        <v>0.0</v>
      </c>
      <c r="P1539" s="1">
        <v>0.0</v>
      </c>
      <c r="Q1539" s="1" t="s">
        <v>5120</v>
      </c>
      <c r="R1539" s="1">
        <v>156.0</v>
      </c>
      <c r="S1539" s="1">
        <v>965.0</v>
      </c>
      <c r="U1539" s="1">
        <v>0.0</v>
      </c>
      <c r="V1539" s="1" t="s">
        <v>5116</v>
      </c>
      <c r="W1539" s="1">
        <v>57.0</v>
      </c>
      <c r="Y1539" s="1">
        <v>0.0</v>
      </c>
      <c r="Z1539" s="1" t="s">
        <v>5117</v>
      </c>
      <c r="AA1539" s="1">
        <v>51.0</v>
      </c>
      <c r="AB1539" s="1" t="s">
        <v>5118</v>
      </c>
      <c r="AC1539" s="1">
        <v>70.0</v>
      </c>
      <c r="AD1539" s="1" t="s">
        <v>971</v>
      </c>
      <c r="AG1539" s="9" t="s">
        <v>5115</v>
      </c>
      <c r="AM1539" s="1">
        <v>203621.0</v>
      </c>
      <c r="AN1539" s="1">
        <v>36060.0</v>
      </c>
      <c r="AO1539" s="1">
        <v>36060.0</v>
      </c>
      <c r="AP1539" s="1">
        <v>13.814</v>
      </c>
      <c r="AR1539" s="1">
        <v>1211.0</v>
      </c>
      <c r="AS1539" s="1">
        <v>188.0</v>
      </c>
      <c r="AT1539" s="1">
        <v>6.441</v>
      </c>
      <c r="AU1539" s="1">
        <v>62.953</v>
      </c>
      <c r="AV1539" s="1" t="s">
        <v>990</v>
      </c>
      <c r="AW1539" s="1">
        <v>4.884</v>
      </c>
      <c r="AX1539" s="1">
        <v>3.0</v>
      </c>
      <c r="AY1539" s="1">
        <v>1.0</v>
      </c>
      <c r="AZ1539" s="1">
        <v>1.0</v>
      </c>
      <c r="BA1539" s="1">
        <v>6.0</v>
      </c>
      <c r="BB1539" s="1">
        <v>6.0</v>
      </c>
      <c r="BC1539" s="1">
        <v>0.0</v>
      </c>
      <c r="BD1539" s="1">
        <v>0.8</v>
      </c>
      <c r="BE1539" s="1">
        <v>132.0</v>
      </c>
      <c r="BF1539" s="1">
        <v>50.0</v>
      </c>
      <c r="BG1539" s="1">
        <v>0.0</v>
      </c>
      <c r="BH1539" s="1">
        <v>16.0</v>
      </c>
      <c r="BI1539" s="1">
        <v>8.0</v>
      </c>
      <c r="BJ1539" s="1">
        <v>0.0</v>
      </c>
      <c r="BO1539" s="1" t="s">
        <v>5121</v>
      </c>
      <c r="BP1539" s="1">
        <v>1.026</v>
      </c>
      <c r="BU1539" s="1" t="s">
        <v>974</v>
      </c>
      <c r="BV1539" s="1">
        <v>1.1</v>
      </c>
      <c r="EQ1539" s="9" t="s">
        <v>5115</v>
      </c>
      <c r="ER1539" s="21">
        <v>46045.300775462965</v>
      </c>
    </row>
    <row r="1540">
      <c r="A1540" s="9" t="s">
        <v>5122</v>
      </c>
      <c r="B1540" s="20" t="str">
        <f>IFERROR(__xludf.DUMMYFUNCTION("REGEXREPLACE(A1540, ""^https?://[^/]+"", """")"),"/contact-us/contact-info/")</f>
        <v>/contact-us/contact-info/</v>
      </c>
      <c r="F1540" s="1" t="s">
        <v>965</v>
      </c>
      <c r="G1540" s="1">
        <v>301.0</v>
      </c>
      <c r="H1540" s="1" t="s">
        <v>1304</v>
      </c>
      <c r="I1540" s="1" t="s">
        <v>1214</v>
      </c>
      <c r="J1540" s="1" t="s">
        <v>1305</v>
      </c>
      <c r="L1540" s="1">
        <v>0.0</v>
      </c>
      <c r="M1540" s="1">
        <v>0.0</v>
      </c>
      <c r="O1540" s="1">
        <v>0.0</v>
      </c>
      <c r="P1540" s="1">
        <v>0.0</v>
      </c>
      <c r="R1540" s="1">
        <v>0.0</v>
      </c>
      <c r="S1540" s="1">
        <v>0.0</v>
      </c>
      <c r="U1540" s="1">
        <v>0.0</v>
      </c>
      <c r="W1540" s="1">
        <v>0.0</v>
      </c>
      <c r="Y1540" s="1">
        <v>0.0</v>
      </c>
      <c r="AA1540" s="1">
        <v>0.0</v>
      </c>
      <c r="AC1540" s="1">
        <v>0.0</v>
      </c>
      <c r="AM1540" s="1">
        <v>0.0</v>
      </c>
      <c r="AN1540" s="1">
        <v>0.0</v>
      </c>
      <c r="AO1540" s="1">
        <v>0.0</v>
      </c>
      <c r="AP1540" s="1">
        <v>0.0</v>
      </c>
      <c r="AR1540" s="1">
        <v>0.0</v>
      </c>
      <c r="AW1540" s="1">
        <v>0.0</v>
      </c>
      <c r="AX1540" s="1">
        <v>3.0</v>
      </c>
      <c r="AY1540" s="1">
        <v>2.0</v>
      </c>
      <c r="BA1540" s="1">
        <v>29.0</v>
      </c>
      <c r="BB1540" s="1">
        <v>29.0</v>
      </c>
      <c r="BC1540" s="1">
        <v>0.0</v>
      </c>
      <c r="BD1540" s="1">
        <v>3.85</v>
      </c>
      <c r="BE1540" s="1">
        <v>0.0</v>
      </c>
      <c r="BF1540" s="1">
        <v>0.0</v>
      </c>
      <c r="BG1540" s="1">
        <v>0.0</v>
      </c>
      <c r="BH1540" s="1">
        <v>0.0</v>
      </c>
      <c r="BI1540" s="1">
        <v>0.0</v>
      </c>
      <c r="BJ1540" s="1">
        <v>0.0</v>
      </c>
      <c r="BP1540" s="1">
        <v>0.541</v>
      </c>
      <c r="BR1540" s="9" t="s">
        <v>1338</v>
      </c>
      <c r="BS1540" s="1" t="s">
        <v>1307</v>
      </c>
      <c r="BV1540" s="1">
        <v>1.1</v>
      </c>
      <c r="EQ1540" s="9" t="s">
        <v>5122</v>
      </c>
      <c r="ER1540" s="21">
        <v>46045.300775462965</v>
      </c>
    </row>
    <row r="1541">
      <c r="A1541" s="9" t="s">
        <v>5123</v>
      </c>
      <c r="B1541" s="20" t="str">
        <f>IFERROR(__xludf.DUMMYFUNCTION("REGEXREPLACE(A1541, ""^https?://[^/]+"", """")"),"/wp-content/uploads/2017/09/newsnews.jpg")</f>
        <v>/wp-content/uploads/2017/09/newsnews.jpg</v>
      </c>
      <c r="F1541" s="1" t="s">
        <v>1004</v>
      </c>
      <c r="G1541" s="1">
        <v>200.0</v>
      </c>
      <c r="H1541" s="1" t="s">
        <v>966</v>
      </c>
      <c r="I1541" s="1" t="s">
        <v>967</v>
      </c>
      <c r="L1541" s="1">
        <v>0.0</v>
      </c>
      <c r="M1541" s="1">
        <v>0.0</v>
      </c>
      <c r="O1541" s="1">
        <v>0.0</v>
      </c>
      <c r="P1541" s="1">
        <v>0.0</v>
      </c>
      <c r="R1541" s="1">
        <v>0.0</v>
      </c>
      <c r="S1541" s="1">
        <v>0.0</v>
      </c>
      <c r="U1541" s="1">
        <v>0.0</v>
      </c>
      <c r="W1541" s="1">
        <v>0.0</v>
      </c>
      <c r="Y1541" s="1">
        <v>0.0</v>
      </c>
      <c r="AA1541" s="1">
        <v>0.0</v>
      </c>
      <c r="AC1541" s="1">
        <v>0.0</v>
      </c>
      <c r="AM1541" s="1">
        <v>52505.0</v>
      </c>
      <c r="AN1541" s="1">
        <v>52505.0</v>
      </c>
      <c r="AO1541" s="1">
        <v>52505.0</v>
      </c>
      <c r="AP1541" s="1">
        <v>20.114</v>
      </c>
      <c r="AR1541" s="1">
        <v>0.0</v>
      </c>
      <c r="AW1541" s="1">
        <v>0.0</v>
      </c>
      <c r="AX1541" s="1">
        <v>3.0</v>
      </c>
      <c r="AY1541" s="1">
        <v>4.0</v>
      </c>
      <c r="BA1541" s="1">
        <v>0.0</v>
      </c>
      <c r="BB1541" s="1">
        <v>0.0</v>
      </c>
      <c r="BC1541" s="1">
        <v>0.0</v>
      </c>
      <c r="BD1541" s="1">
        <v>0.0</v>
      </c>
      <c r="BE1541" s="1">
        <v>0.0</v>
      </c>
      <c r="BF1541" s="1">
        <v>0.0</v>
      </c>
      <c r="BG1541" s="1">
        <v>0.0</v>
      </c>
      <c r="BH1541" s="1">
        <v>0.0</v>
      </c>
      <c r="BI1541" s="1">
        <v>0.0</v>
      </c>
      <c r="BJ1541" s="1">
        <v>0.0</v>
      </c>
      <c r="BP1541" s="1">
        <v>0.268</v>
      </c>
      <c r="BQ1541" s="1" t="s">
        <v>5124</v>
      </c>
      <c r="BV1541" s="1">
        <v>1.1</v>
      </c>
      <c r="EQ1541" s="9" t="s">
        <v>5123</v>
      </c>
      <c r="ER1541" s="21">
        <v>46045.300787037035</v>
      </c>
    </row>
    <row r="1542">
      <c r="A1542" s="9" t="s">
        <v>5125</v>
      </c>
      <c r="B1542" s="20" t="str">
        <f>IFERROR(__xludf.DUMMYFUNCTION("REGEXREPLACE(A1542, ""^https?://[^/]+"", """")"),"/wp-content/themes/salesxceleratione/assets/css/style.css?ver=1769123419")</f>
        <v>/wp-content/themes/salesxceleratione/assets/css/style.css?ver=1769123419</v>
      </c>
      <c r="F1542" s="1" t="s">
        <v>1016</v>
      </c>
      <c r="G1542" s="1">
        <v>200.0</v>
      </c>
      <c r="H1542" s="1" t="s">
        <v>966</v>
      </c>
      <c r="I1542" s="1" t="s">
        <v>967</v>
      </c>
      <c r="L1542" s="1">
        <v>0.0</v>
      </c>
      <c r="M1542" s="1">
        <v>0.0</v>
      </c>
      <c r="O1542" s="1">
        <v>0.0</v>
      </c>
      <c r="P1542" s="1">
        <v>0.0</v>
      </c>
      <c r="R1542" s="1">
        <v>0.0</v>
      </c>
      <c r="S1542" s="1">
        <v>0.0</v>
      </c>
      <c r="U1542" s="1">
        <v>0.0</v>
      </c>
      <c r="W1542" s="1">
        <v>0.0</v>
      </c>
      <c r="Y1542" s="1">
        <v>0.0</v>
      </c>
      <c r="AA1542" s="1">
        <v>0.0</v>
      </c>
      <c r="AC1542" s="1">
        <v>0.0</v>
      </c>
      <c r="AM1542" s="1">
        <v>17704.0</v>
      </c>
      <c r="AN1542" s="1">
        <v>17704.0</v>
      </c>
      <c r="AO1542" s="1">
        <v>17704.0</v>
      </c>
      <c r="AP1542" s="1">
        <v>6.782</v>
      </c>
      <c r="AR1542" s="1">
        <v>0.0</v>
      </c>
      <c r="AW1542" s="1">
        <v>0.0</v>
      </c>
      <c r="AX1542" s="1">
        <v>3.0</v>
      </c>
      <c r="AY1542" s="1">
        <v>5.0</v>
      </c>
      <c r="BA1542" s="1">
        <v>0.0</v>
      </c>
      <c r="BB1542" s="1">
        <v>0.0</v>
      </c>
      <c r="BC1542" s="1">
        <v>0.0</v>
      </c>
      <c r="BD1542" s="1">
        <v>0.0</v>
      </c>
      <c r="BE1542" s="1">
        <v>0.0</v>
      </c>
      <c r="BF1542" s="1">
        <v>0.0</v>
      </c>
      <c r="BG1542" s="1">
        <v>0.0</v>
      </c>
      <c r="BH1542" s="1">
        <v>0.0</v>
      </c>
      <c r="BI1542" s="1">
        <v>0.0</v>
      </c>
      <c r="BJ1542" s="1">
        <v>0.0</v>
      </c>
      <c r="BP1542" s="1">
        <v>0.268</v>
      </c>
      <c r="BQ1542" s="1" t="s">
        <v>5126</v>
      </c>
      <c r="BV1542" s="1">
        <v>1.1</v>
      </c>
      <c r="EQ1542" s="9" t="s">
        <v>5125</v>
      </c>
      <c r="ER1542" s="21">
        <v>46045.300787037035</v>
      </c>
    </row>
    <row r="1543">
      <c r="A1543" s="9" t="s">
        <v>5127</v>
      </c>
      <c r="B1543" s="20" t="str">
        <f>IFERROR(__xludf.DUMMYFUNCTION("REGEXREPLACE(A1543, ""^https?://[^/]+"", """")"),"/wp-content/uploads/2019/10/October_Class_Photo-scaled-1.jpg")</f>
        <v>/wp-content/uploads/2019/10/October_Class_Photo-scaled-1.jpg</v>
      </c>
      <c r="F1543" s="1" t="s">
        <v>1004</v>
      </c>
      <c r="G1543" s="1">
        <v>200.0</v>
      </c>
      <c r="H1543" s="1" t="s">
        <v>966</v>
      </c>
      <c r="I1543" s="1" t="s">
        <v>967</v>
      </c>
      <c r="L1543" s="1">
        <v>0.0</v>
      </c>
      <c r="M1543" s="1">
        <v>0.0</v>
      </c>
      <c r="O1543" s="1">
        <v>0.0</v>
      </c>
      <c r="P1543" s="1">
        <v>0.0</v>
      </c>
      <c r="R1543" s="1">
        <v>0.0</v>
      </c>
      <c r="S1543" s="1">
        <v>0.0</v>
      </c>
      <c r="U1543" s="1">
        <v>0.0</v>
      </c>
      <c r="W1543" s="1">
        <v>0.0</v>
      </c>
      <c r="Y1543" s="1">
        <v>0.0</v>
      </c>
      <c r="AA1543" s="1">
        <v>0.0</v>
      </c>
      <c r="AC1543" s="1">
        <v>0.0</v>
      </c>
      <c r="AM1543" s="1">
        <v>331864.0</v>
      </c>
      <c r="AN1543" s="1">
        <v>331864.0</v>
      </c>
      <c r="AO1543" s="1">
        <v>331864.0</v>
      </c>
      <c r="AP1543" s="1">
        <v>127.131</v>
      </c>
      <c r="AR1543" s="1">
        <v>0.0</v>
      </c>
      <c r="AW1543" s="1">
        <v>0.0</v>
      </c>
      <c r="AX1543" s="1">
        <v>3.0</v>
      </c>
      <c r="AY1543" s="1">
        <v>4.0</v>
      </c>
      <c r="BA1543" s="1">
        <v>0.0</v>
      </c>
      <c r="BB1543" s="1">
        <v>0.0</v>
      </c>
      <c r="BC1543" s="1">
        <v>0.0</v>
      </c>
      <c r="BD1543" s="1">
        <v>0.0</v>
      </c>
      <c r="BE1543" s="1">
        <v>0.0</v>
      </c>
      <c r="BF1543" s="1">
        <v>0.0</v>
      </c>
      <c r="BG1543" s="1">
        <v>0.0</v>
      </c>
      <c r="BH1543" s="1">
        <v>0.0</v>
      </c>
      <c r="BI1543" s="1">
        <v>0.0</v>
      </c>
      <c r="BJ1543" s="1">
        <v>0.0</v>
      </c>
      <c r="BP1543" s="1">
        <v>0.279</v>
      </c>
      <c r="BQ1543" s="1" t="s">
        <v>5128</v>
      </c>
      <c r="BV1543" s="1">
        <v>1.1</v>
      </c>
      <c r="EQ1543" s="9" t="s">
        <v>5127</v>
      </c>
      <c r="ER1543" s="21">
        <v>46045.30079861111</v>
      </c>
    </row>
    <row r="1544">
      <c r="A1544" s="9" t="s">
        <v>5129</v>
      </c>
      <c r="B1544" s="20" t="str">
        <f>IFERROR(__xludf.DUMMYFUNCTION("REGEXREPLACE(A1544, ""^https?://[^/]+"", """")"),"/wp-content/themes/salesxceleratione/assets/css/style.css?ver=1769123420")</f>
        <v>/wp-content/themes/salesxceleratione/assets/css/style.css?ver=1769123420</v>
      </c>
      <c r="F1544" s="1" t="s">
        <v>1016</v>
      </c>
      <c r="G1544" s="1">
        <v>200.0</v>
      </c>
      <c r="H1544" s="1" t="s">
        <v>966</v>
      </c>
      <c r="I1544" s="1" t="s">
        <v>967</v>
      </c>
      <c r="L1544" s="1">
        <v>0.0</v>
      </c>
      <c r="M1544" s="1">
        <v>0.0</v>
      </c>
      <c r="O1544" s="1">
        <v>0.0</v>
      </c>
      <c r="P1544" s="1">
        <v>0.0</v>
      </c>
      <c r="R1544" s="1">
        <v>0.0</v>
      </c>
      <c r="S1544" s="1">
        <v>0.0</v>
      </c>
      <c r="U1544" s="1">
        <v>0.0</v>
      </c>
      <c r="W1544" s="1">
        <v>0.0</v>
      </c>
      <c r="Y1544" s="1">
        <v>0.0</v>
      </c>
      <c r="AA1544" s="1">
        <v>0.0</v>
      </c>
      <c r="AC1544" s="1">
        <v>0.0</v>
      </c>
      <c r="AM1544" s="1">
        <v>17704.0</v>
      </c>
      <c r="AN1544" s="1">
        <v>17704.0</v>
      </c>
      <c r="AO1544" s="1">
        <v>17704.0</v>
      </c>
      <c r="AP1544" s="1">
        <v>6.782</v>
      </c>
      <c r="AR1544" s="1">
        <v>0.0</v>
      </c>
      <c r="AW1544" s="1">
        <v>0.0</v>
      </c>
      <c r="AX1544" s="1">
        <v>3.0</v>
      </c>
      <c r="AY1544" s="1">
        <v>5.0</v>
      </c>
      <c r="BA1544" s="1">
        <v>0.0</v>
      </c>
      <c r="BB1544" s="1">
        <v>0.0</v>
      </c>
      <c r="BC1544" s="1">
        <v>0.0</v>
      </c>
      <c r="BD1544" s="1">
        <v>0.0</v>
      </c>
      <c r="BE1544" s="1">
        <v>0.0</v>
      </c>
      <c r="BF1544" s="1">
        <v>0.0</v>
      </c>
      <c r="BG1544" s="1">
        <v>0.0</v>
      </c>
      <c r="BH1544" s="1">
        <v>0.0</v>
      </c>
      <c r="BI1544" s="1">
        <v>0.0</v>
      </c>
      <c r="BJ1544" s="1">
        <v>0.0</v>
      </c>
      <c r="BP1544" s="1">
        <v>0.282</v>
      </c>
      <c r="BQ1544" s="1" t="s">
        <v>5130</v>
      </c>
      <c r="BV1544" s="1">
        <v>1.1</v>
      </c>
      <c r="EQ1544" s="9" t="s">
        <v>5129</v>
      </c>
      <c r="ER1544" s="21">
        <v>46045.30079861111</v>
      </c>
    </row>
    <row r="1545">
      <c r="A1545" s="9" t="s">
        <v>5131</v>
      </c>
      <c r="B1545" s="20" t="str">
        <f>IFERROR(__xludf.DUMMYFUNCTION("REGEXREPLACE(A1545, ""^https?://[^/]+"", """")"),"/")</f>
        <v>/</v>
      </c>
      <c r="G1545" s="1">
        <v>301.0</v>
      </c>
      <c r="H1545" s="1" t="s">
        <v>1304</v>
      </c>
      <c r="I1545" s="1" t="s">
        <v>1214</v>
      </c>
      <c r="J1545" s="1" t="s">
        <v>1305</v>
      </c>
      <c r="L1545" s="1">
        <v>0.0</v>
      </c>
      <c r="M1545" s="1">
        <v>0.0</v>
      </c>
      <c r="O1545" s="1">
        <v>0.0</v>
      </c>
      <c r="P1545" s="1">
        <v>0.0</v>
      </c>
      <c r="R1545" s="1">
        <v>0.0</v>
      </c>
      <c r="S1545" s="1">
        <v>0.0</v>
      </c>
      <c r="U1545" s="1">
        <v>0.0</v>
      </c>
      <c r="W1545" s="1">
        <v>0.0</v>
      </c>
      <c r="Y1545" s="1">
        <v>0.0</v>
      </c>
      <c r="AA1545" s="1">
        <v>0.0</v>
      </c>
      <c r="AC1545" s="1">
        <v>0.0</v>
      </c>
      <c r="AM1545" s="1">
        <v>0.0</v>
      </c>
      <c r="AN1545" s="1">
        <v>0.0</v>
      </c>
      <c r="AO1545" s="1">
        <v>0.0</v>
      </c>
      <c r="AP1545" s="1">
        <v>0.0</v>
      </c>
      <c r="AR1545" s="1">
        <v>0.0</v>
      </c>
      <c r="AW1545" s="1">
        <v>0.0</v>
      </c>
      <c r="AX1545" s="1">
        <v>3.0</v>
      </c>
      <c r="AY1545" s="1">
        <v>0.0</v>
      </c>
      <c r="BA1545" s="1">
        <v>1.0</v>
      </c>
      <c r="BB1545" s="1">
        <v>1.0</v>
      </c>
      <c r="BC1545" s="1">
        <v>0.0</v>
      </c>
      <c r="BD1545" s="1">
        <v>0.13</v>
      </c>
      <c r="BE1545" s="1">
        <v>0.0</v>
      </c>
      <c r="BF1545" s="1">
        <v>0.0</v>
      </c>
      <c r="BG1545" s="1">
        <v>0.0</v>
      </c>
      <c r="BH1545" s="1">
        <v>0.0</v>
      </c>
      <c r="BI1545" s="1">
        <v>0.0</v>
      </c>
      <c r="BJ1545" s="1">
        <v>0.0</v>
      </c>
      <c r="BP1545" s="1">
        <v>0.01</v>
      </c>
      <c r="BR1545" s="9" t="s">
        <v>4952</v>
      </c>
      <c r="BS1545" s="1" t="s">
        <v>1307</v>
      </c>
      <c r="BV1545" s="1">
        <v>1.1</v>
      </c>
      <c r="EQ1545" s="9" t="s">
        <v>5131</v>
      </c>
      <c r="ER1545" s="21">
        <v>46045.30079861111</v>
      </c>
    </row>
    <row r="1546">
      <c r="A1546" s="9" t="s">
        <v>5132</v>
      </c>
      <c r="B1546" s="20" t="str">
        <f>IFERROR(__xludf.DUMMYFUNCTION("REGEXREPLACE(A1546, ""^https?://[^/]+"", """")"),"/wp-content/uploads/2025/05/Expansion-1.jpg")</f>
        <v>/wp-content/uploads/2025/05/Expansion-1.jpg</v>
      </c>
      <c r="F1546" s="1" t="s">
        <v>1004</v>
      </c>
      <c r="G1546" s="1">
        <v>200.0</v>
      </c>
      <c r="H1546" s="1" t="s">
        <v>966</v>
      </c>
      <c r="I1546" s="1" t="s">
        <v>967</v>
      </c>
      <c r="L1546" s="1">
        <v>0.0</v>
      </c>
      <c r="M1546" s="1">
        <v>0.0</v>
      </c>
      <c r="O1546" s="1">
        <v>0.0</v>
      </c>
      <c r="P1546" s="1">
        <v>0.0</v>
      </c>
      <c r="R1546" s="1">
        <v>0.0</v>
      </c>
      <c r="S1546" s="1">
        <v>0.0</v>
      </c>
      <c r="U1546" s="1">
        <v>0.0</v>
      </c>
      <c r="W1546" s="1">
        <v>0.0</v>
      </c>
      <c r="Y1546" s="1">
        <v>0.0</v>
      </c>
      <c r="AA1546" s="1">
        <v>0.0</v>
      </c>
      <c r="AC1546" s="1">
        <v>0.0</v>
      </c>
      <c r="AM1546" s="1">
        <v>56192.0</v>
      </c>
      <c r="AN1546" s="1">
        <v>56192.0</v>
      </c>
      <c r="AO1546" s="1">
        <v>56192.0</v>
      </c>
      <c r="AP1546" s="1">
        <v>21.526</v>
      </c>
      <c r="AR1546" s="1">
        <v>0.0</v>
      </c>
      <c r="AW1546" s="1">
        <v>0.0</v>
      </c>
      <c r="AX1546" s="1">
        <v>3.0</v>
      </c>
      <c r="AY1546" s="1">
        <v>4.0</v>
      </c>
      <c r="BA1546" s="1">
        <v>0.0</v>
      </c>
      <c r="BB1546" s="1">
        <v>0.0</v>
      </c>
      <c r="BC1546" s="1">
        <v>0.0</v>
      </c>
      <c r="BD1546" s="1">
        <v>0.0</v>
      </c>
      <c r="BE1546" s="1">
        <v>0.0</v>
      </c>
      <c r="BF1546" s="1">
        <v>0.0</v>
      </c>
      <c r="BG1546" s="1">
        <v>0.0</v>
      </c>
      <c r="BH1546" s="1">
        <v>0.0</v>
      </c>
      <c r="BI1546" s="1">
        <v>0.0</v>
      </c>
      <c r="BJ1546" s="1">
        <v>0.0</v>
      </c>
      <c r="BP1546" s="1">
        <v>0.273</v>
      </c>
      <c r="BQ1546" s="1" t="s">
        <v>5133</v>
      </c>
      <c r="BV1546" s="1">
        <v>1.1</v>
      </c>
      <c r="EQ1546" s="9" t="s">
        <v>5132</v>
      </c>
      <c r="ER1546" s="21">
        <v>46045.30079861111</v>
      </c>
    </row>
    <row r="1547">
      <c r="A1547" s="9" t="s">
        <v>5134</v>
      </c>
      <c r="B1547" s="20" t="str">
        <f>IFERROR(__xludf.DUMMYFUNCTION("REGEXREPLACE(A1547, ""^https?://[^/]+"", """")"),"/wp-content/uploads/2016/10/Liftfund1.jpg")</f>
        <v>/wp-content/uploads/2016/10/Liftfund1.jpg</v>
      </c>
      <c r="F1547" s="1" t="s">
        <v>1004</v>
      </c>
      <c r="G1547" s="1">
        <v>200.0</v>
      </c>
      <c r="H1547" s="1" t="s">
        <v>966</v>
      </c>
      <c r="I1547" s="1" t="s">
        <v>967</v>
      </c>
      <c r="L1547" s="1">
        <v>0.0</v>
      </c>
      <c r="M1547" s="1">
        <v>0.0</v>
      </c>
      <c r="O1547" s="1">
        <v>0.0</v>
      </c>
      <c r="P1547" s="1">
        <v>0.0</v>
      </c>
      <c r="R1547" s="1">
        <v>0.0</v>
      </c>
      <c r="S1547" s="1">
        <v>0.0</v>
      </c>
      <c r="U1547" s="1">
        <v>0.0</v>
      </c>
      <c r="W1547" s="1">
        <v>0.0</v>
      </c>
      <c r="Y1547" s="1">
        <v>0.0</v>
      </c>
      <c r="AA1547" s="1">
        <v>0.0</v>
      </c>
      <c r="AC1547" s="1">
        <v>0.0</v>
      </c>
      <c r="AM1547" s="1">
        <v>48443.0</v>
      </c>
      <c r="AN1547" s="1">
        <v>48443.0</v>
      </c>
      <c r="AO1547" s="1">
        <v>48443.0</v>
      </c>
      <c r="AP1547" s="1">
        <v>18.558</v>
      </c>
      <c r="AR1547" s="1">
        <v>0.0</v>
      </c>
      <c r="AW1547" s="1">
        <v>0.0</v>
      </c>
      <c r="AX1547" s="1">
        <v>3.0</v>
      </c>
      <c r="AY1547" s="1">
        <v>4.0</v>
      </c>
      <c r="BA1547" s="1">
        <v>0.0</v>
      </c>
      <c r="BB1547" s="1">
        <v>0.0</v>
      </c>
      <c r="BC1547" s="1">
        <v>0.0</v>
      </c>
      <c r="BD1547" s="1">
        <v>0.0</v>
      </c>
      <c r="BE1547" s="1">
        <v>0.0</v>
      </c>
      <c r="BF1547" s="1">
        <v>0.0</v>
      </c>
      <c r="BG1547" s="1">
        <v>0.0</v>
      </c>
      <c r="BH1547" s="1">
        <v>0.0</v>
      </c>
      <c r="BI1547" s="1">
        <v>0.0</v>
      </c>
      <c r="BJ1547" s="1">
        <v>0.0</v>
      </c>
      <c r="BP1547" s="1">
        <v>0.282</v>
      </c>
      <c r="BQ1547" s="1" t="s">
        <v>5135</v>
      </c>
      <c r="BV1547" s="1">
        <v>1.1</v>
      </c>
      <c r="EQ1547" s="9" t="s">
        <v>5134</v>
      </c>
      <c r="ER1547" s="21">
        <v>46045.30079861111</v>
      </c>
    </row>
    <row r="1548">
      <c r="A1548" s="9" t="s">
        <v>5136</v>
      </c>
      <c r="B1548" s="20" t="str">
        <f>IFERROR(__xludf.DUMMYFUNCTION("REGEXREPLACE(A1548, ""^https?://[^/]+"", """")"),"/author/loft/")</f>
        <v>/author/loft/</v>
      </c>
      <c r="C1548" s="1" t="s">
        <v>5137</v>
      </c>
      <c r="F1548" s="1" t="s">
        <v>965</v>
      </c>
      <c r="G1548" s="1">
        <v>200.0</v>
      </c>
      <c r="H1548" s="1" t="s">
        <v>966</v>
      </c>
      <c r="I1548" s="1" t="s">
        <v>967</v>
      </c>
      <c r="K1548" s="1" t="s">
        <v>5138</v>
      </c>
      <c r="L1548" s="1">
        <v>39.0</v>
      </c>
      <c r="M1548" s="1">
        <v>354.0</v>
      </c>
      <c r="O1548" s="1">
        <v>0.0</v>
      </c>
      <c r="P1548" s="1">
        <v>0.0</v>
      </c>
      <c r="R1548" s="1">
        <v>0.0</v>
      </c>
      <c r="S1548" s="1">
        <v>0.0</v>
      </c>
      <c r="U1548" s="1">
        <v>0.0</v>
      </c>
      <c r="V1548" s="1" t="s">
        <v>5137</v>
      </c>
      <c r="W1548" s="1">
        <v>10.0</v>
      </c>
      <c r="Y1548" s="1">
        <v>0.0</v>
      </c>
      <c r="AA1548" s="1">
        <v>0.0</v>
      </c>
      <c r="AC1548" s="1">
        <v>0.0</v>
      </c>
      <c r="AD1548" s="1" t="s">
        <v>971</v>
      </c>
      <c r="AG1548" s="9" t="s">
        <v>5136</v>
      </c>
      <c r="AM1548" s="1">
        <v>155782.0</v>
      </c>
      <c r="AN1548" s="1">
        <v>29789.0</v>
      </c>
      <c r="AO1548" s="1">
        <v>29789.0</v>
      </c>
      <c r="AP1548" s="1">
        <v>11.412</v>
      </c>
      <c r="AR1548" s="1">
        <v>581.0</v>
      </c>
      <c r="AS1548" s="1">
        <v>104.0</v>
      </c>
      <c r="AT1548" s="1">
        <v>5.587</v>
      </c>
      <c r="AU1548" s="1">
        <v>61.524</v>
      </c>
      <c r="AV1548" s="1" t="s">
        <v>990</v>
      </c>
      <c r="AW1548" s="1">
        <v>3.838</v>
      </c>
      <c r="AX1548" s="1">
        <v>3.0</v>
      </c>
      <c r="AY1548" s="1">
        <v>2.0</v>
      </c>
      <c r="AZ1548" s="1">
        <v>1.0</v>
      </c>
      <c r="BA1548" s="1">
        <v>21.0</v>
      </c>
      <c r="BB1548" s="1">
        <v>7.0</v>
      </c>
      <c r="BC1548" s="1">
        <v>0.0</v>
      </c>
      <c r="BD1548" s="1">
        <v>0.93</v>
      </c>
      <c r="BE1548" s="1">
        <v>134.0</v>
      </c>
      <c r="BF1548" s="1">
        <v>46.0</v>
      </c>
      <c r="BG1548" s="1">
        <v>0.0</v>
      </c>
      <c r="BH1548" s="1">
        <v>16.0</v>
      </c>
      <c r="BI1548" s="1">
        <v>8.0</v>
      </c>
      <c r="BJ1548" s="1">
        <v>0.0</v>
      </c>
      <c r="BO1548" s="1" t="s">
        <v>5139</v>
      </c>
      <c r="BP1548" s="1">
        <v>1.063</v>
      </c>
      <c r="BU1548" s="1" t="s">
        <v>974</v>
      </c>
      <c r="BV1548" s="1">
        <v>1.1</v>
      </c>
      <c r="EQ1548" s="9" t="s">
        <v>5136</v>
      </c>
      <c r="ER1548" s="21">
        <v>46045.300787037035</v>
      </c>
    </row>
    <row r="1549">
      <c r="A1549" s="9" t="s">
        <v>5140</v>
      </c>
      <c r="B1549" s="20" t="str">
        <f>IFERROR(__xludf.DUMMYFUNCTION("REGEXREPLACE(A1549, ""^https?://[^/]+"", """")"),"/wp-content/uploads/2016/10/Liftfund3-1.jpg")</f>
        <v>/wp-content/uploads/2016/10/Liftfund3-1.jpg</v>
      </c>
      <c r="F1549" s="1" t="s">
        <v>1004</v>
      </c>
      <c r="G1549" s="1">
        <v>200.0</v>
      </c>
      <c r="H1549" s="1" t="s">
        <v>966</v>
      </c>
      <c r="I1549" s="1" t="s">
        <v>967</v>
      </c>
      <c r="L1549" s="1">
        <v>0.0</v>
      </c>
      <c r="M1549" s="1">
        <v>0.0</v>
      </c>
      <c r="O1549" s="1">
        <v>0.0</v>
      </c>
      <c r="P1549" s="1">
        <v>0.0</v>
      </c>
      <c r="R1549" s="1">
        <v>0.0</v>
      </c>
      <c r="S1549" s="1">
        <v>0.0</v>
      </c>
      <c r="U1549" s="1">
        <v>0.0</v>
      </c>
      <c r="W1549" s="1">
        <v>0.0</v>
      </c>
      <c r="Y1549" s="1">
        <v>0.0</v>
      </c>
      <c r="AA1549" s="1">
        <v>0.0</v>
      </c>
      <c r="AC1549" s="1">
        <v>0.0</v>
      </c>
      <c r="AM1549" s="1">
        <v>82830.0</v>
      </c>
      <c r="AN1549" s="1">
        <v>82830.0</v>
      </c>
      <c r="AO1549" s="1">
        <v>82830.0</v>
      </c>
      <c r="AP1549" s="1">
        <v>31.731</v>
      </c>
      <c r="AR1549" s="1">
        <v>0.0</v>
      </c>
      <c r="AW1549" s="1">
        <v>0.0</v>
      </c>
      <c r="AX1549" s="1">
        <v>3.0</v>
      </c>
      <c r="AY1549" s="1">
        <v>4.0</v>
      </c>
      <c r="BA1549" s="1">
        <v>0.0</v>
      </c>
      <c r="BB1549" s="1">
        <v>0.0</v>
      </c>
      <c r="BC1549" s="1">
        <v>0.0</v>
      </c>
      <c r="BD1549" s="1">
        <v>0.0</v>
      </c>
      <c r="BE1549" s="1">
        <v>0.0</v>
      </c>
      <c r="BF1549" s="1">
        <v>0.0</v>
      </c>
      <c r="BG1549" s="1">
        <v>0.0</v>
      </c>
      <c r="BH1549" s="1">
        <v>0.0</v>
      </c>
      <c r="BI1549" s="1">
        <v>0.0</v>
      </c>
      <c r="BJ1549" s="1">
        <v>0.0</v>
      </c>
      <c r="BP1549" s="1">
        <v>0.274</v>
      </c>
      <c r="BQ1549" s="1" t="s">
        <v>5141</v>
      </c>
      <c r="BV1549" s="1">
        <v>1.1</v>
      </c>
      <c r="EQ1549" s="9" t="s">
        <v>5140</v>
      </c>
      <c r="ER1549" s="21">
        <v>46045.30081018519</v>
      </c>
    </row>
    <row r="1550">
      <c r="A1550" s="9" t="s">
        <v>5142</v>
      </c>
      <c r="B1550" s="20" t="str">
        <f>IFERROR(__xludf.DUMMYFUNCTION("REGEXREPLACE(A1550, ""^https?://[^/]+"", """")"),"/wp-content/uploads/2018/01/Genesis-Plus-featured.png")</f>
        <v>/wp-content/uploads/2018/01/Genesis-Plus-featured.png</v>
      </c>
      <c r="F1550" s="1" t="s">
        <v>1047</v>
      </c>
      <c r="G1550" s="1">
        <v>200.0</v>
      </c>
      <c r="H1550" s="1" t="s">
        <v>966</v>
      </c>
      <c r="I1550" s="1" t="s">
        <v>967</v>
      </c>
      <c r="L1550" s="1">
        <v>0.0</v>
      </c>
      <c r="M1550" s="1">
        <v>0.0</v>
      </c>
      <c r="O1550" s="1">
        <v>0.0</v>
      </c>
      <c r="P1550" s="1">
        <v>0.0</v>
      </c>
      <c r="R1550" s="1">
        <v>0.0</v>
      </c>
      <c r="S1550" s="1">
        <v>0.0</v>
      </c>
      <c r="U1550" s="1">
        <v>0.0</v>
      </c>
      <c r="W1550" s="1">
        <v>0.0</v>
      </c>
      <c r="Y1550" s="1">
        <v>0.0</v>
      </c>
      <c r="AA1550" s="1">
        <v>0.0</v>
      </c>
      <c r="AC1550" s="1">
        <v>0.0</v>
      </c>
      <c r="AM1550" s="1">
        <v>3633.0</v>
      </c>
      <c r="AN1550" s="1">
        <v>3633.0</v>
      </c>
      <c r="AO1550" s="1">
        <v>3633.0</v>
      </c>
      <c r="AP1550" s="1">
        <v>1.392</v>
      </c>
      <c r="AR1550" s="1">
        <v>0.0</v>
      </c>
      <c r="AW1550" s="1">
        <v>0.0</v>
      </c>
      <c r="AX1550" s="1">
        <v>3.0</v>
      </c>
      <c r="AY1550" s="1">
        <v>4.0</v>
      </c>
      <c r="BA1550" s="1">
        <v>0.0</v>
      </c>
      <c r="BB1550" s="1">
        <v>0.0</v>
      </c>
      <c r="BC1550" s="1">
        <v>0.0</v>
      </c>
      <c r="BD1550" s="1">
        <v>0.0</v>
      </c>
      <c r="BE1550" s="1">
        <v>0.0</v>
      </c>
      <c r="BF1550" s="1">
        <v>0.0</v>
      </c>
      <c r="BG1550" s="1">
        <v>0.0</v>
      </c>
      <c r="BH1550" s="1">
        <v>0.0</v>
      </c>
      <c r="BI1550" s="1">
        <v>0.0</v>
      </c>
      <c r="BJ1550" s="1">
        <v>0.0</v>
      </c>
      <c r="BP1550" s="1">
        <v>0.28</v>
      </c>
      <c r="BQ1550" s="1" t="s">
        <v>5143</v>
      </c>
      <c r="BV1550" s="1">
        <v>1.1</v>
      </c>
      <c r="EQ1550" s="9" t="s">
        <v>5142</v>
      </c>
      <c r="ER1550" s="21">
        <v>46045.30081018519</v>
      </c>
    </row>
    <row r="1551">
      <c r="A1551" s="9" t="s">
        <v>5144</v>
      </c>
      <c r="B1551" s="20" t="str">
        <f>IFERROR(__xludf.DUMMYFUNCTION("REGEXREPLACE(A1551, ""^https?://[^/]+"", """")"),"/who-we-are/advisors/")</f>
        <v>/who-we-are/advisors/</v>
      </c>
      <c r="F1551" s="1" t="s">
        <v>965</v>
      </c>
      <c r="G1551" s="1">
        <v>301.0</v>
      </c>
      <c r="H1551" s="1" t="s">
        <v>1304</v>
      </c>
      <c r="I1551" s="1" t="s">
        <v>1214</v>
      </c>
      <c r="J1551" s="1" t="s">
        <v>1305</v>
      </c>
      <c r="L1551" s="1">
        <v>0.0</v>
      </c>
      <c r="M1551" s="1">
        <v>0.0</v>
      </c>
      <c r="O1551" s="1">
        <v>0.0</v>
      </c>
      <c r="P1551" s="1">
        <v>0.0</v>
      </c>
      <c r="R1551" s="1">
        <v>0.0</v>
      </c>
      <c r="S1551" s="1">
        <v>0.0</v>
      </c>
      <c r="U1551" s="1">
        <v>0.0</v>
      </c>
      <c r="W1551" s="1">
        <v>0.0</v>
      </c>
      <c r="Y1551" s="1">
        <v>0.0</v>
      </c>
      <c r="AA1551" s="1">
        <v>0.0</v>
      </c>
      <c r="AC1551" s="1">
        <v>0.0</v>
      </c>
      <c r="AM1551" s="1">
        <v>0.0</v>
      </c>
      <c r="AN1551" s="1">
        <v>0.0</v>
      </c>
      <c r="AO1551" s="1">
        <v>0.0</v>
      </c>
      <c r="AP1551" s="1">
        <v>0.0</v>
      </c>
      <c r="AR1551" s="1">
        <v>0.0</v>
      </c>
      <c r="AW1551" s="1">
        <v>0.0</v>
      </c>
      <c r="AX1551" s="1">
        <v>3.0</v>
      </c>
      <c r="AY1551" s="1">
        <v>2.0</v>
      </c>
      <c r="BA1551" s="1">
        <v>27.0</v>
      </c>
      <c r="BB1551" s="1">
        <v>27.0</v>
      </c>
      <c r="BC1551" s="1">
        <v>0.0</v>
      </c>
      <c r="BD1551" s="1">
        <v>3.58</v>
      </c>
      <c r="BE1551" s="1">
        <v>0.0</v>
      </c>
      <c r="BF1551" s="1">
        <v>0.0</v>
      </c>
      <c r="BG1551" s="1">
        <v>0.0</v>
      </c>
      <c r="BH1551" s="1">
        <v>0.0</v>
      </c>
      <c r="BI1551" s="1">
        <v>0.0</v>
      </c>
      <c r="BJ1551" s="1">
        <v>0.0</v>
      </c>
      <c r="BP1551" s="1">
        <v>0.558</v>
      </c>
      <c r="BR1551" s="9" t="s">
        <v>1171</v>
      </c>
      <c r="BS1551" s="1" t="s">
        <v>1307</v>
      </c>
      <c r="BV1551" s="1">
        <v>1.1</v>
      </c>
      <c r="EQ1551" s="9" t="s">
        <v>5144</v>
      </c>
      <c r="ER1551" s="21">
        <v>46045.30081018519</v>
      </c>
    </row>
    <row r="1552">
      <c r="A1552" s="9" t="s">
        <v>5145</v>
      </c>
      <c r="B1552" s="20" t="str">
        <f>IFERROR(__xludf.DUMMYFUNCTION("REGEXREPLACE(A1552, ""^https?://[^/]+"", """")"),"/wp-content/uploads/2021/11/FIREFLY_LOGO_JPEG.jpg")</f>
        <v>/wp-content/uploads/2021/11/FIREFLY_LOGO_JPEG.jpg</v>
      </c>
      <c r="F1552" s="1" t="s">
        <v>1004</v>
      </c>
      <c r="G1552" s="1">
        <v>200.0</v>
      </c>
      <c r="H1552" s="1" t="s">
        <v>966</v>
      </c>
      <c r="I1552" s="1" t="s">
        <v>967</v>
      </c>
      <c r="L1552" s="1">
        <v>0.0</v>
      </c>
      <c r="M1552" s="1">
        <v>0.0</v>
      </c>
      <c r="O1552" s="1">
        <v>0.0</v>
      </c>
      <c r="P1552" s="1">
        <v>0.0</v>
      </c>
      <c r="R1552" s="1">
        <v>0.0</v>
      </c>
      <c r="S1552" s="1">
        <v>0.0</v>
      </c>
      <c r="U1552" s="1">
        <v>0.0</v>
      </c>
      <c r="W1552" s="1">
        <v>0.0</v>
      </c>
      <c r="Y1552" s="1">
        <v>0.0</v>
      </c>
      <c r="AA1552" s="1">
        <v>0.0</v>
      </c>
      <c r="AC1552" s="1">
        <v>0.0</v>
      </c>
      <c r="AM1552" s="1">
        <v>95466.0</v>
      </c>
      <c r="AN1552" s="1">
        <v>95466.0</v>
      </c>
      <c r="AO1552" s="1">
        <v>95466.0</v>
      </c>
      <c r="AP1552" s="1">
        <v>36.571</v>
      </c>
      <c r="AR1552" s="1">
        <v>0.0</v>
      </c>
      <c r="AW1552" s="1">
        <v>0.0</v>
      </c>
      <c r="AX1552" s="1">
        <v>3.0</v>
      </c>
      <c r="AY1552" s="1">
        <v>4.0</v>
      </c>
      <c r="BA1552" s="1">
        <v>0.0</v>
      </c>
      <c r="BB1552" s="1">
        <v>0.0</v>
      </c>
      <c r="BC1552" s="1">
        <v>0.0</v>
      </c>
      <c r="BD1552" s="1">
        <v>0.0</v>
      </c>
      <c r="BE1552" s="1">
        <v>0.0</v>
      </c>
      <c r="BF1552" s="1">
        <v>0.0</v>
      </c>
      <c r="BG1552" s="1">
        <v>0.0</v>
      </c>
      <c r="BH1552" s="1">
        <v>0.0</v>
      </c>
      <c r="BI1552" s="1">
        <v>0.0</v>
      </c>
      <c r="BJ1552" s="1">
        <v>0.0</v>
      </c>
      <c r="BP1552" s="1">
        <v>0.266</v>
      </c>
      <c r="BQ1552" s="1" t="s">
        <v>5146</v>
      </c>
      <c r="BV1552" s="1">
        <v>1.1</v>
      </c>
      <c r="EQ1552" s="9" t="s">
        <v>5145</v>
      </c>
      <c r="ER1552" s="21">
        <v>46045.30081018519</v>
      </c>
    </row>
    <row r="1553">
      <c r="A1553" s="9" t="s">
        <v>5147</v>
      </c>
      <c r="B1553" s="20" t="str">
        <f>IFERROR(__xludf.DUMMYFUNCTION("REGEXREPLACE(A1553, ""^https?://[^/]+"", """")"),"/advisors/kevin-shaughnessy/")</f>
        <v>/advisors/kevin-shaughnessy/</v>
      </c>
      <c r="C1553" s="1" t="s">
        <v>5148</v>
      </c>
      <c r="F1553" s="1" t="s">
        <v>965</v>
      </c>
      <c r="G1553" s="1">
        <v>200.0</v>
      </c>
      <c r="H1553" s="1" t="s">
        <v>966</v>
      </c>
      <c r="I1553" s="1" t="s">
        <v>967</v>
      </c>
      <c r="K1553" s="1" t="s">
        <v>5149</v>
      </c>
      <c r="L1553" s="1">
        <v>42.0</v>
      </c>
      <c r="M1553" s="1">
        <v>389.0</v>
      </c>
      <c r="O1553" s="1">
        <v>0.0</v>
      </c>
      <c r="P1553" s="1">
        <v>0.0</v>
      </c>
      <c r="Q1553" s="1" t="s">
        <v>5150</v>
      </c>
      <c r="R1553" s="1">
        <v>159.0</v>
      </c>
      <c r="S1553" s="1">
        <v>969.0</v>
      </c>
      <c r="U1553" s="1">
        <v>0.0</v>
      </c>
      <c r="V1553" s="1" t="s">
        <v>5148</v>
      </c>
      <c r="W1553" s="1">
        <v>22.0</v>
      </c>
      <c r="Y1553" s="1">
        <v>0.0</v>
      </c>
      <c r="AA1553" s="1">
        <v>0.0</v>
      </c>
      <c r="AC1553" s="1">
        <v>0.0</v>
      </c>
      <c r="AD1553" s="1" t="s">
        <v>971</v>
      </c>
      <c r="AG1553" s="9" t="s">
        <v>5147</v>
      </c>
      <c r="AM1553" s="1">
        <v>149464.0</v>
      </c>
      <c r="AN1553" s="1">
        <v>29242.0</v>
      </c>
      <c r="AO1553" s="1">
        <v>29242.0</v>
      </c>
      <c r="AP1553" s="1">
        <v>11.202</v>
      </c>
      <c r="AR1553" s="1">
        <v>635.0</v>
      </c>
      <c r="AS1553" s="1">
        <v>106.0</v>
      </c>
      <c r="AT1553" s="1">
        <v>5.991</v>
      </c>
      <c r="AU1553" s="1">
        <v>62.597</v>
      </c>
      <c r="AV1553" s="1" t="s">
        <v>990</v>
      </c>
      <c r="AW1553" s="1">
        <v>4.215</v>
      </c>
      <c r="AX1553" s="1">
        <v>3.0</v>
      </c>
      <c r="AY1553" s="1">
        <v>2.0</v>
      </c>
      <c r="AZ1553" s="1">
        <v>1.0</v>
      </c>
      <c r="BA1553" s="1">
        <v>3.0</v>
      </c>
      <c r="BB1553" s="1">
        <v>3.0</v>
      </c>
      <c r="BC1553" s="1">
        <v>0.0</v>
      </c>
      <c r="BD1553" s="1">
        <v>0.4</v>
      </c>
      <c r="BE1553" s="1">
        <v>123.0</v>
      </c>
      <c r="BF1553" s="1">
        <v>42.0</v>
      </c>
      <c r="BG1553" s="1">
        <v>0.0</v>
      </c>
      <c r="BH1553" s="1">
        <v>17.0</v>
      </c>
      <c r="BI1553" s="1">
        <v>9.0</v>
      </c>
      <c r="BJ1553" s="1">
        <v>0.0</v>
      </c>
      <c r="BO1553" s="1" t="s">
        <v>5151</v>
      </c>
      <c r="BP1553" s="1">
        <v>0.979</v>
      </c>
      <c r="BU1553" s="1" t="s">
        <v>974</v>
      </c>
      <c r="BV1553" s="1">
        <v>1.1</v>
      </c>
      <c r="EQ1553" s="9" t="s">
        <v>5147</v>
      </c>
      <c r="ER1553" s="21">
        <v>46045.30081018519</v>
      </c>
    </row>
    <row r="1554">
      <c r="A1554" s="9" t="s">
        <v>5152</v>
      </c>
      <c r="B1554" s="20" t="str">
        <f>IFERROR(__xludf.DUMMYFUNCTION("REGEXREPLACE(A1554, ""^https?://[^/]+"", """")"),"/wp-content/themes/salesxceleratione/assets/css/style.css?ver=1769123421")</f>
        <v>/wp-content/themes/salesxceleratione/assets/css/style.css?ver=1769123421</v>
      </c>
      <c r="F1554" s="1" t="s">
        <v>1016</v>
      </c>
      <c r="G1554" s="1">
        <v>200.0</v>
      </c>
      <c r="H1554" s="1" t="s">
        <v>966</v>
      </c>
      <c r="I1554" s="1" t="s">
        <v>967</v>
      </c>
      <c r="L1554" s="1">
        <v>0.0</v>
      </c>
      <c r="M1554" s="1">
        <v>0.0</v>
      </c>
      <c r="O1554" s="1">
        <v>0.0</v>
      </c>
      <c r="P1554" s="1">
        <v>0.0</v>
      </c>
      <c r="R1554" s="1">
        <v>0.0</v>
      </c>
      <c r="S1554" s="1">
        <v>0.0</v>
      </c>
      <c r="U1554" s="1">
        <v>0.0</v>
      </c>
      <c r="W1554" s="1">
        <v>0.0</v>
      </c>
      <c r="Y1554" s="1">
        <v>0.0</v>
      </c>
      <c r="AA1554" s="1">
        <v>0.0</v>
      </c>
      <c r="AC1554" s="1">
        <v>0.0</v>
      </c>
      <c r="AM1554" s="1">
        <v>17704.0</v>
      </c>
      <c r="AN1554" s="1">
        <v>17704.0</v>
      </c>
      <c r="AO1554" s="1">
        <v>17704.0</v>
      </c>
      <c r="AP1554" s="1">
        <v>6.782</v>
      </c>
      <c r="AR1554" s="1">
        <v>0.0</v>
      </c>
      <c r="AW1554" s="1">
        <v>0.0</v>
      </c>
      <c r="AX1554" s="1">
        <v>3.0</v>
      </c>
      <c r="AY1554" s="1">
        <v>5.0</v>
      </c>
      <c r="BA1554" s="1">
        <v>0.0</v>
      </c>
      <c r="BB1554" s="1">
        <v>0.0</v>
      </c>
      <c r="BC1554" s="1">
        <v>0.0</v>
      </c>
      <c r="BD1554" s="1">
        <v>0.0</v>
      </c>
      <c r="BE1554" s="1">
        <v>0.0</v>
      </c>
      <c r="BF1554" s="1">
        <v>0.0</v>
      </c>
      <c r="BG1554" s="1">
        <v>0.0</v>
      </c>
      <c r="BH1554" s="1">
        <v>0.0</v>
      </c>
      <c r="BI1554" s="1">
        <v>0.0</v>
      </c>
      <c r="BJ1554" s="1">
        <v>0.0</v>
      </c>
      <c r="BP1554" s="1">
        <v>0.285</v>
      </c>
      <c r="BQ1554" s="1" t="s">
        <v>5153</v>
      </c>
      <c r="BV1554" s="1">
        <v>1.1</v>
      </c>
      <c r="EQ1554" s="9" t="s">
        <v>5152</v>
      </c>
      <c r="ER1554" s="21">
        <v>46045.30082175926</v>
      </c>
    </row>
    <row r="1555">
      <c r="A1555" s="9" t="s">
        <v>5154</v>
      </c>
      <c r="B1555" s="20" t="str">
        <f>IFERROR(__xludf.DUMMYFUNCTION("REGEXREPLACE(A1555, ""^https?://[^/]+"", """")"),"/wp-content/uploads/2019/06/June-2019-Sales-Xceleration-New-Consultants-1-scaled.jpg")</f>
        <v>/wp-content/uploads/2019/06/June-2019-Sales-Xceleration-New-Consultants-1-scaled.jpg</v>
      </c>
      <c r="F1555" s="1" t="s">
        <v>1004</v>
      </c>
      <c r="G1555" s="1">
        <v>200.0</v>
      </c>
      <c r="H1555" s="1" t="s">
        <v>966</v>
      </c>
      <c r="I1555" s="1" t="s">
        <v>967</v>
      </c>
      <c r="L1555" s="1">
        <v>0.0</v>
      </c>
      <c r="M1555" s="1">
        <v>0.0</v>
      </c>
      <c r="O1555" s="1">
        <v>0.0</v>
      </c>
      <c r="P1555" s="1">
        <v>0.0</v>
      </c>
      <c r="R1555" s="1">
        <v>0.0</v>
      </c>
      <c r="S1555" s="1">
        <v>0.0</v>
      </c>
      <c r="U1555" s="1">
        <v>0.0</v>
      </c>
      <c r="W1555" s="1">
        <v>0.0</v>
      </c>
      <c r="Y1555" s="1">
        <v>0.0</v>
      </c>
      <c r="AA1555" s="1">
        <v>0.0</v>
      </c>
      <c r="AC1555" s="1">
        <v>0.0</v>
      </c>
      <c r="AM1555" s="1">
        <v>391589.0</v>
      </c>
      <c r="AN1555" s="1">
        <v>391589.0</v>
      </c>
      <c r="AO1555" s="1">
        <v>391589.0</v>
      </c>
      <c r="AP1555" s="1">
        <v>150.01</v>
      </c>
      <c r="AR1555" s="1">
        <v>0.0</v>
      </c>
      <c r="AW1555" s="1">
        <v>0.0</v>
      </c>
      <c r="AX1555" s="1">
        <v>3.0</v>
      </c>
      <c r="AY1555" s="1">
        <v>4.0</v>
      </c>
      <c r="BA1555" s="1">
        <v>0.0</v>
      </c>
      <c r="BB1555" s="1">
        <v>0.0</v>
      </c>
      <c r="BC1555" s="1">
        <v>0.0</v>
      </c>
      <c r="BD1555" s="1">
        <v>0.0</v>
      </c>
      <c r="BE1555" s="1">
        <v>0.0</v>
      </c>
      <c r="BF1555" s="1">
        <v>0.0</v>
      </c>
      <c r="BG1555" s="1">
        <v>0.0</v>
      </c>
      <c r="BH1555" s="1">
        <v>0.0</v>
      </c>
      <c r="BI1555" s="1">
        <v>0.0</v>
      </c>
      <c r="BJ1555" s="1">
        <v>0.0</v>
      </c>
      <c r="BP1555" s="1">
        <v>0.26</v>
      </c>
      <c r="BQ1555" s="1" t="s">
        <v>5155</v>
      </c>
      <c r="BV1555" s="1">
        <v>1.1</v>
      </c>
      <c r="EQ1555" s="9" t="s">
        <v>5154</v>
      </c>
      <c r="ER1555" s="21">
        <v>46045.30082175926</v>
      </c>
    </row>
    <row r="1556">
      <c r="A1556" s="9" t="s">
        <v>5156</v>
      </c>
      <c r="B1556" s="20" t="str">
        <f>IFERROR(__xludf.DUMMYFUNCTION("REGEXREPLACE(A1556, ""^https?://[^/]+"", """")"),"/wp-content/uploads/2023/02/December-Class-Photo.jpg")</f>
        <v>/wp-content/uploads/2023/02/December-Class-Photo.jpg</v>
      </c>
      <c r="F1556" s="1" t="s">
        <v>1004</v>
      </c>
      <c r="G1556" s="1">
        <v>200.0</v>
      </c>
      <c r="H1556" s="1" t="s">
        <v>966</v>
      </c>
      <c r="I1556" s="1" t="s">
        <v>967</v>
      </c>
      <c r="L1556" s="1">
        <v>0.0</v>
      </c>
      <c r="M1556" s="1">
        <v>0.0</v>
      </c>
      <c r="O1556" s="1">
        <v>0.0</v>
      </c>
      <c r="P1556" s="1">
        <v>0.0</v>
      </c>
      <c r="R1556" s="1">
        <v>0.0</v>
      </c>
      <c r="S1556" s="1">
        <v>0.0</v>
      </c>
      <c r="U1556" s="1">
        <v>0.0</v>
      </c>
      <c r="W1556" s="1">
        <v>0.0</v>
      </c>
      <c r="Y1556" s="1">
        <v>0.0</v>
      </c>
      <c r="AA1556" s="1">
        <v>0.0</v>
      </c>
      <c r="AC1556" s="1">
        <v>0.0</v>
      </c>
      <c r="AM1556" s="1">
        <v>451402.0</v>
      </c>
      <c r="AN1556" s="1">
        <v>451402.0</v>
      </c>
      <c r="AO1556" s="1">
        <v>451402.0</v>
      </c>
      <c r="AP1556" s="1">
        <v>172.924</v>
      </c>
      <c r="AR1556" s="1">
        <v>0.0</v>
      </c>
      <c r="AW1556" s="1">
        <v>0.0</v>
      </c>
      <c r="AX1556" s="1">
        <v>3.0</v>
      </c>
      <c r="AY1556" s="1">
        <v>4.0</v>
      </c>
      <c r="BA1556" s="1">
        <v>0.0</v>
      </c>
      <c r="BB1556" s="1">
        <v>0.0</v>
      </c>
      <c r="BC1556" s="1">
        <v>0.0</v>
      </c>
      <c r="BD1556" s="1">
        <v>0.0</v>
      </c>
      <c r="BE1556" s="1">
        <v>0.0</v>
      </c>
      <c r="BF1556" s="1">
        <v>0.0</v>
      </c>
      <c r="BG1556" s="1">
        <v>0.0</v>
      </c>
      <c r="BH1556" s="1">
        <v>0.0</v>
      </c>
      <c r="BI1556" s="1">
        <v>0.0</v>
      </c>
      <c r="BJ1556" s="1">
        <v>0.0</v>
      </c>
      <c r="BP1556" s="1">
        <v>0.264</v>
      </c>
      <c r="BQ1556" s="1" t="s">
        <v>5157</v>
      </c>
      <c r="BV1556" s="1">
        <v>1.1</v>
      </c>
      <c r="EQ1556" s="9" t="s">
        <v>5156</v>
      </c>
      <c r="ER1556" s="21">
        <v>46045.30082175926</v>
      </c>
    </row>
    <row r="1557">
      <c r="A1557" s="9" t="s">
        <v>5158</v>
      </c>
      <c r="B1557" s="20" t="str">
        <f>IFERROR(__xludf.DUMMYFUNCTION("REGEXREPLACE(A1557, ""^https?://[^/]+"", """")"),"/advisors/glenn-nixon/")</f>
        <v>/advisors/glenn-nixon/</v>
      </c>
      <c r="C1557" s="1" t="s">
        <v>5159</v>
      </c>
      <c r="F1557" s="1" t="s">
        <v>965</v>
      </c>
      <c r="G1557" s="1">
        <v>200.0</v>
      </c>
      <c r="H1557" s="1" t="s">
        <v>966</v>
      </c>
      <c r="I1557" s="1" t="s">
        <v>967</v>
      </c>
      <c r="K1557" s="1" t="s">
        <v>5160</v>
      </c>
      <c r="L1557" s="1">
        <v>36.0</v>
      </c>
      <c r="M1557" s="1">
        <v>324.0</v>
      </c>
      <c r="O1557" s="1">
        <v>0.0</v>
      </c>
      <c r="P1557" s="1">
        <v>0.0</v>
      </c>
      <c r="Q1557" s="1" t="s">
        <v>5161</v>
      </c>
      <c r="R1557" s="1">
        <v>170.0</v>
      </c>
      <c r="S1557" s="1">
        <v>1055.0</v>
      </c>
      <c r="U1557" s="1">
        <v>0.0</v>
      </c>
      <c r="V1557" s="1" t="s">
        <v>5159</v>
      </c>
      <c r="W1557" s="1">
        <v>16.0</v>
      </c>
      <c r="Y1557" s="1">
        <v>0.0</v>
      </c>
      <c r="AA1557" s="1">
        <v>0.0</v>
      </c>
      <c r="AC1557" s="1">
        <v>0.0</v>
      </c>
      <c r="AD1557" s="1" t="s">
        <v>971</v>
      </c>
      <c r="AG1557" s="9" t="s">
        <v>5158</v>
      </c>
      <c r="AM1557" s="1">
        <v>149715.0</v>
      </c>
      <c r="AN1557" s="1">
        <v>29367.0</v>
      </c>
      <c r="AO1557" s="1">
        <v>29367.0</v>
      </c>
      <c r="AP1557" s="1">
        <v>11.25</v>
      </c>
      <c r="AR1557" s="1">
        <v>636.0</v>
      </c>
      <c r="AS1557" s="1">
        <v>105.0</v>
      </c>
      <c r="AT1557" s="1">
        <v>6.057</v>
      </c>
      <c r="AU1557" s="1">
        <v>56.628</v>
      </c>
      <c r="AV1557" s="1" t="s">
        <v>972</v>
      </c>
      <c r="AW1557" s="1">
        <v>4.287</v>
      </c>
      <c r="AX1557" s="1">
        <v>3.0</v>
      </c>
      <c r="AY1557" s="1">
        <v>2.0</v>
      </c>
      <c r="AZ1557" s="1">
        <v>1.0</v>
      </c>
      <c r="BA1557" s="1">
        <v>1.0</v>
      </c>
      <c r="BB1557" s="1">
        <v>1.0</v>
      </c>
      <c r="BC1557" s="1">
        <v>0.0</v>
      </c>
      <c r="BD1557" s="1">
        <v>0.13</v>
      </c>
      <c r="BE1557" s="1">
        <v>123.0</v>
      </c>
      <c r="BF1557" s="1">
        <v>42.0</v>
      </c>
      <c r="BG1557" s="1">
        <v>0.0</v>
      </c>
      <c r="BH1557" s="1">
        <v>17.0</v>
      </c>
      <c r="BI1557" s="1">
        <v>9.0</v>
      </c>
      <c r="BJ1557" s="1">
        <v>0.0</v>
      </c>
      <c r="BO1557" s="1" t="s">
        <v>5162</v>
      </c>
      <c r="BP1557" s="1">
        <v>0.93</v>
      </c>
      <c r="BU1557" s="1" t="s">
        <v>974</v>
      </c>
      <c r="BV1557" s="1">
        <v>1.1</v>
      </c>
      <c r="EQ1557" s="9" t="s">
        <v>5158</v>
      </c>
      <c r="ER1557" s="21">
        <v>46045.30082175926</v>
      </c>
    </row>
    <row r="1558">
      <c r="A1558" s="9" t="s">
        <v>5163</v>
      </c>
      <c r="B1558" s="20" t="str">
        <f>IFERROR(__xludf.DUMMYFUNCTION("REGEXREPLACE(A1558, ""^https?://[^/]+"", """")"),"/advisors/tony-watson/")</f>
        <v>/advisors/tony-watson/</v>
      </c>
      <c r="C1558" s="1" t="s">
        <v>5164</v>
      </c>
      <c r="F1558" s="1" t="s">
        <v>965</v>
      </c>
      <c r="G1558" s="1">
        <v>200.0</v>
      </c>
      <c r="H1558" s="1" t="s">
        <v>966</v>
      </c>
      <c r="I1558" s="1" t="s">
        <v>967</v>
      </c>
      <c r="K1558" s="1" t="s">
        <v>5165</v>
      </c>
      <c r="L1558" s="1">
        <v>36.0</v>
      </c>
      <c r="M1558" s="1">
        <v>332.0</v>
      </c>
      <c r="O1558" s="1">
        <v>0.0</v>
      </c>
      <c r="P1558" s="1">
        <v>0.0</v>
      </c>
      <c r="Q1558" s="1" t="s">
        <v>5166</v>
      </c>
      <c r="R1558" s="1">
        <v>147.0</v>
      </c>
      <c r="S1558" s="1">
        <v>937.0</v>
      </c>
      <c r="U1558" s="1">
        <v>0.0</v>
      </c>
      <c r="V1558" s="1" t="s">
        <v>5164</v>
      </c>
      <c r="W1558" s="1">
        <v>16.0</v>
      </c>
      <c r="Y1558" s="1">
        <v>0.0</v>
      </c>
      <c r="AA1558" s="1">
        <v>0.0</v>
      </c>
      <c r="AC1558" s="1">
        <v>0.0</v>
      </c>
      <c r="AD1558" s="1" t="s">
        <v>971</v>
      </c>
      <c r="AG1558" s="9" t="s">
        <v>5163</v>
      </c>
      <c r="AM1558" s="1">
        <v>149721.0</v>
      </c>
      <c r="AN1558" s="1">
        <v>29418.0</v>
      </c>
      <c r="AO1558" s="1">
        <v>29418.0</v>
      </c>
      <c r="AP1558" s="1">
        <v>11.269</v>
      </c>
      <c r="AR1558" s="1">
        <v>694.0</v>
      </c>
      <c r="AS1558" s="1">
        <v>113.0</v>
      </c>
      <c r="AT1558" s="1">
        <v>6.142</v>
      </c>
      <c r="AU1558" s="1">
        <v>54.928</v>
      </c>
      <c r="AV1558" s="1" t="s">
        <v>972</v>
      </c>
      <c r="AW1558" s="1">
        <v>4.543</v>
      </c>
      <c r="AX1558" s="1">
        <v>3.0</v>
      </c>
      <c r="AY1558" s="1">
        <v>2.0</v>
      </c>
      <c r="AZ1558" s="1">
        <v>1.0</v>
      </c>
      <c r="BA1558" s="1">
        <v>1.0</v>
      </c>
      <c r="BB1558" s="1">
        <v>1.0</v>
      </c>
      <c r="BC1558" s="1">
        <v>0.0</v>
      </c>
      <c r="BD1558" s="1">
        <v>0.13</v>
      </c>
      <c r="BE1558" s="1">
        <v>122.0</v>
      </c>
      <c r="BF1558" s="1">
        <v>42.0</v>
      </c>
      <c r="BG1558" s="1">
        <v>0.0</v>
      </c>
      <c r="BH1558" s="1">
        <v>17.0</v>
      </c>
      <c r="BI1558" s="1">
        <v>9.0</v>
      </c>
      <c r="BJ1558" s="1">
        <v>0.0</v>
      </c>
      <c r="BO1558" s="1" t="s">
        <v>5167</v>
      </c>
      <c r="BP1558" s="1">
        <v>0.938</v>
      </c>
      <c r="BU1558" s="1" t="s">
        <v>974</v>
      </c>
      <c r="BV1558" s="1">
        <v>1.1</v>
      </c>
      <c r="EQ1558" s="9" t="s">
        <v>5163</v>
      </c>
      <c r="ER1558" s="21">
        <v>46045.30082175926</v>
      </c>
    </row>
    <row r="1559">
      <c r="A1559" s="9" t="s">
        <v>5168</v>
      </c>
      <c r="B1559" s="20" t="str">
        <f>IFERROR(__xludf.DUMMYFUNCTION("REGEXREPLACE(A1559, ""^https?://[^/]+"", """")"),"/wp-content/uploads/2022/06/june.jpg")</f>
        <v>/wp-content/uploads/2022/06/june.jpg</v>
      </c>
      <c r="F1559" s="1" t="s">
        <v>1004</v>
      </c>
      <c r="G1559" s="1">
        <v>200.0</v>
      </c>
      <c r="H1559" s="1" t="s">
        <v>966</v>
      </c>
      <c r="I1559" s="1" t="s">
        <v>967</v>
      </c>
      <c r="L1559" s="1">
        <v>0.0</v>
      </c>
      <c r="M1559" s="1">
        <v>0.0</v>
      </c>
      <c r="O1559" s="1">
        <v>0.0</v>
      </c>
      <c r="P1559" s="1">
        <v>0.0</v>
      </c>
      <c r="R1559" s="1">
        <v>0.0</v>
      </c>
      <c r="S1559" s="1">
        <v>0.0</v>
      </c>
      <c r="U1559" s="1">
        <v>0.0</v>
      </c>
      <c r="W1559" s="1">
        <v>0.0</v>
      </c>
      <c r="Y1559" s="1">
        <v>0.0</v>
      </c>
      <c r="AA1559" s="1">
        <v>0.0</v>
      </c>
      <c r="AC1559" s="1">
        <v>0.0</v>
      </c>
      <c r="AM1559" s="1">
        <v>503590.0</v>
      </c>
      <c r="AN1559" s="1">
        <v>503590.0</v>
      </c>
      <c r="AO1559" s="1">
        <v>503590.0</v>
      </c>
      <c r="AP1559" s="1">
        <v>192.916</v>
      </c>
      <c r="AR1559" s="1">
        <v>0.0</v>
      </c>
      <c r="AW1559" s="1">
        <v>0.0</v>
      </c>
      <c r="AX1559" s="1">
        <v>3.0</v>
      </c>
      <c r="AY1559" s="1">
        <v>4.0</v>
      </c>
      <c r="BA1559" s="1">
        <v>0.0</v>
      </c>
      <c r="BB1559" s="1">
        <v>0.0</v>
      </c>
      <c r="BC1559" s="1">
        <v>0.0</v>
      </c>
      <c r="BD1559" s="1">
        <v>0.0</v>
      </c>
      <c r="BE1559" s="1">
        <v>0.0</v>
      </c>
      <c r="BF1559" s="1">
        <v>0.0</v>
      </c>
      <c r="BG1559" s="1">
        <v>0.0</v>
      </c>
      <c r="BH1559" s="1">
        <v>0.0</v>
      </c>
      <c r="BI1559" s="1">
        <v>0.0</v>
      </c>
      <c r="BJ1559" s="1">
        <v>0.0</v>
      </c>
      <c r="BP1559" s="1">
        <v>0.258</v>
      </c>
      <c r="BQ1559" s="1" t="s">
        <v>5169</v>
      </c>
      <c r="BV1559" s="1">
        <v>1.1</v>
      </c>
      <c r="EQ1559" s="9" t="s">
        <v>5168</v>
      </c>
      <c r="ER1559" s="21">
        <v>46045.300833333335</v>
      </c>
    </row>
    <row r="1560">
      <c r="A1560" s="9" t="s">
        <v>5170</v>
      </c>
      <c r="B1560" s="20" t="str">
        <f>IFERROR(__xludf.DUMMYFUNCTION("REGEXREPLACE(A1560, ""^https?://[^/]+"", """")"),"/wp-content/themes/salesxceleratione/assets/css/style.css?ver=1769123422")</f>
        <v>/wp-content/themes/salesxceleratione/assets/css/style.css?ver=1769123422</v>
      </c>
      <c r="F1560" s="1" t="s">
        <v>1016</v>
      </c>
      <c r="G1560" s="1">
        <v>200.0</v>
      </c>
      <c r="H1560" s="1" t="s">
        <v>966</v>
      </c>
      <c r="I1560" s="1" t="s">
        <v>967</v>
      </c>
      <c r="L1560" s="1">
        <v>0.0</v>
      </c>
      <c r="M1560" s="1">
        <v>0.0</v>
      </c>
      <c r="O1560" s="1">
        <v>0.0</v>
      </c>
      <c r="P1560" s="1">
        <v>0.0</v>
      </c>
      <c r="R1560" s="1">
        <v>0.0</v>
      </c>
      <c r="S1560" s="1">
        <v>0.0</v>
      </c>
      <c r="U1560" s="1">
        <v>0.0</v>
      </c>
      <c r="W1560" s="1">
        <v>0.0</v>
      </c>
      <c r="Y1560" s="1">
        <v>0.0</v>
      </c>
      <c r="AA1560" s="1">
        <v>0.0</v>
      </c>
      <c r="AC1560" s="1">
        <v>0.0</v>
      </c>
      <c r="AM1560" s="1">
        <v>17704.0</v>
      </c>
      <c r="AN1560" s="1">
        <v>17704.0</v>
      </c>
      <c r="AO1560" s="1">
        <v>17704.0</v>
      </c>
      <c r="AP1560" s="1">
        <v>6.782</v>
      </c>
      <c r="AR1560" s="1">
        <v>0.0</v>
      </c>
      <c r="AW1560" s="1">
        <v>0.0</v>
      </c>
      <c r="AX1560" s="1">
        <v>3.0</v>
      </c>
      <c r="AY1560" s="1">
        <v>5.0</v>
      </c>
      <c r="BA1560" s="1">
        <v>0.0</v>
      </c>
      <c r="BB1560" s="1">
        <v>0.0</v>
      </c>
      <c r="BC1560" s="1">
        <v>0.0</v>
      </c>
      <c r="BD1560" s="1">
        <v>0.0</v>
      </c>
      <c r="BE1560" s="1">
        <v>0.0</v>
      </c>
      <c r="BF1560" s="1">
        <v>0.0</v>
      </c>
      <c r="BG1560" s="1">
        <v>0.0</v>
      </c>
      <c r="BH1560" s="1">
        <v>0.0</v>
      </c>
      <c r="BI1560" s="1">
        <v>0.0</v>
      </c>
      <c r="BJ1560" s="1">
        <v>0.0</v>
      </c>
      <c r="BP1560" s="1">
        <v>0.305</v>
      </c>
      <c r="BQ1560" s="1" t="s">
        <v>5171</v>
      </c>
      <c r="BV1560" s="1">
        <v>1.1</v>
      </c>
      <c r="EQ1560" s="9" t="s">
        <v>5170</v>
      </c>
      <c r="ER1560" s="21">
        <v>46045.300833333335</v>
      </c>
    </row>
    <row r="1561">
      <c r="A1561" s="9" t="s">
        <v>5172</v>
      </c>
      <c r="B1561" s="20" t="str">
        <f>IFERROR(__xludf.DUMMYFUNCTION("REGEXREPLACE(A1561, ""^https?://[^/]+"", """")"),"/wp-content/uploads/2023/05/RAIN-SX-graphic.jpg")</f>
        <v>/wp-content/uploads/2023/05/RAIN-SX-graphic.jpg</v>
      </c>
      <c r="F1561" s="1" t="s">
        <v>1004</v>
      </c>
      <c r="G1561" s="1">
        <v>200.0</v>
      </c>
      <c r="H1561" s="1" t="s">
        <v>966</v>
      </c>
      <c r="I1561" s="1" t="s">
        <v>967</v>
      </c>
      <c r="L1561" s="1">
        <v>0.0</v>
      </c>
      <c r="M1561" s="1">
        <v>0.0</v>
      </c>
      <c r="O1561" s="1">
        <v>0.0</v>
      </c>
      <c r="P1561" s="1">
        <v>0.0</v>
      </c>
      <c r="R1561" s="1">
        <v>0.0</v>
      </c>
      <c r="S1561" s="1">
        <v>0.0</v>
      </c>
      <c r="U1561" s="1">
        <v>0.0</v>
      </c>
      <c r="W1561" s="1">
        <v>0.0</v>
      </c>
      <c r="Y1561" s="1">
        <v>0.0</v>
      </c>
      <c r="AA1561" s="1">
        <v>0.0</v>
      </c>
      <c r="AC1561" s="1">
        <v>0.0</v>
      </c>
      <c r="AM1561" s="1">
        <v>92012.0</v>
      </c>
      <c r="AN1561" s="1">
        <v>92012.0</v>
      </c>
      <c r="AO1561" s="1">
        <v>92012.0</v>
      </c>
      <c r="AP1561" s="1">
        <v>35.248</v>
      </c>
      <c r="AR1561" s="1">
        <v>0.0</v>
      </c>
      <c r="AW1561" s="1">
        <v>0.0</v>
      </c>
      <c r="AX1561" s="1">
        <v>3.0</v>
      </c>
      <c r="AY1561" s="1">
        <v>4.0</v>
      </c>
      <c r="BA1561" s="1">
        <v>0.0</v>
      </c>
      <c r="BB1561" s="1">
        <v>0.0</v>
      </c>
      <c r="BC1561" s="1">
        <v>0.0</v>
      </c>
      <c r="BD1561" s="1">
        <v>0.0</v>
      </c>
      <c r="BE1561" s="1">
        <v>0.0</v>
      </c>
      <c r="BF1561" s="1">
        <v>0.0</v>
      </c>
      <c r="BG1561" s="1">
        <v>0.0</v>
      </c>
      <c r="BH1561" s="1">
        <v>0.0</v>
      </c>
      <c r="BI1561" s="1">
        <v>0.0</v>
      </c>
      <c r="BJ1561" s="1">
        <v>0.0</v>
      </c>
      <c r="BP1561" s="1">
        <v>0.341</v>
      </c>
      <c r="BQ1561" s="1" t="s">
        <v>5173</v>
      </c>
      <c r="BV1561" s="1">
        <v>1.1</v>
      </c>
      <c r="EQ1561" s="9" t="s">
        <v>5172</v>
      </c>
      <c r="ER1561" s="21">
        <v>46045.300833333335</v>
      </c>
    </row>
    <row r="1562">
      <c r="A1562" s="9" t="s">
        <v>5174</v>
      </c>
      <c r="B1562" s="20" t="str">
        <f>IFERROR(__xludf.DUMMYFUNCTION("REGEXREPLACE(A1562, ""^https?://[^/]+"", """")"),"/advisors/angela-rakis/")</f>
        <v>/advisors/angela-rakis/</v>
      </c>
      <c r="C1562" s="1" t="s">
        <v>5175</v>
      </c>
      <c r="F1562" s="1" t="s">
        <v>965</v>
      </c>
      <c r="G1562" s="1">
        <v>200.0</v>
      </c>
      <c r="H1562" s="1" t="s">
        <v>966</v>
      </c>
      <c r="I1562" s="1" t="s">
        <v>967</v>
      </c>
      <c r="K1562" s="1" t="s">
        <v>5176</v>
      </c>
      <c r="L1562" s="1">
        <v>32.0</v>
      </c>
      <c r="M1562" s="1">
        <v>286.0</v>
      </c>
      <c r="O1562" s="1">
        <v>0.0</v>
      </c>
      <c r="P1562" s="1">
        <v>0.0</v>
      </c>
      <c r="Q1562" s="1" t="s">
        <v>5177</v>
      </c>
      <c r="R1562" s="1">
        <v>154.0</v>
      </c>
      <c r="S1562" s="1">
        <v>955.0</v>
      </c>
      <c r="U1562" s="1">
        <v>0.0</v>
      </c>
      <c r="V1562" s="1" t="s">
        <v>5175</v>
      </c>
      <c r="W1562" s="1">
        <v>12.0</v>
      </c>
      <c r="Y1562" s="1">
        <v>0.0</v>
      </c>
      <c r="AA1562" s="1">
        <v>0.0</v>
      </c>
      <c r="AC1562" s="1">
        <v>0.0</v>
      </c>
      <c r="AD1562" s="1" t="s">
        <v>971</v>
      </c>
      <c r="AG1562" s="9" t="s">
        <v>5174</v>
      </c>
      <c r="AM1562" s="1">
        <v>149510.0</v>
      </c>
      <c r="AN1562" s="1">
        <v>29257.0</v>
      </c>
      <c r="AO1562" s="1">
        <v>29257.0</v>
      </c>
      <c r="AP1562" s="1">
        <v>11.208</v>
      </c>
      <c r="AR1562" s="1">
        <v>647.0</v>
      </c>
      <c r="AS1562" s="1">
        <v>108.0</v>
      </c>
      <c r="AT1562" s="1">
        <v>5.991</v>
      </c>
      <c r="AU1562" s="1">
        <v>58.752</v>
      </c>
      <c r="AV1562" s="1" t="s">
        <v>972</v>
      </c>
      <c r="AW1562" s="1">
        <v>4.314</v>
      </c>
      <c r="AX1562" s="1">
        <v>3.0</v>
      </c>
      <c r="AY1562" s="1">
        <v>2.0</v>
      </c>
      <c r="AZ1562" s="1">
        <v>1.0</v>
      </c>
      <c r="BA1562" s="1">
        <v>1.0</v>
      </c>
      <c r="BB1562" s="1">
        <v>1.0</v>
      </c>
      <c r="BC1562" s="1">
        <v>0.0</v>
      </c>
      <c r="BD1562" s="1">
        <v>0.13</v>
      </c>
      <c r="BE1562" s="1">
        <v>123.0</v>
      </c>
      <c r="BF1562" s="1">
        <v>42.0</v>
      </c>
      <c r="BG1562" s="1">
        <v>0.0</v>
      </c>
      <c r="BH1562" s="1">
        <v>17.0</v>
      </c>
      <c r="BI1562" s="1">
        <v>9.0</v>
      </c>
      <c r="BJ1562" s="1">
        <v>0.0</v>
      </c>
      <c r="BO1562" s="1" t="s">
        <v>5178</v>
      </c>
      <c r="BP1562" s="1">
        <v>0.976</v>
      </c>
      <c r="BU1562" s="1" t="s">
        <v>974</v>
      </c>
      <c r="BV1562" s="1">
        <v>1.1</v>
      </c>
      <c r="EQ1562" s="9" t="s">
        <v>5174</v>
      </c>
      <c r="ER1562" s="21">
        <v>46045.30082175926</v>
      </c>
    </row>
    <row r="1563">
      <c r="A1563" s="9" t="s">
        <v>5179</v>
      </c>
      <c r="B1563" s="20" t="str">
        <f>IFERROR(__xludf.DUMMYFUNCTION("REGEXREPLACE(A1563, ""^https?://[^/]+"", """")"),"/advisors/patrick-odonnell/")</f>
        <v>/advisors/patrick-odonnell/</v>
      </c>
      <c r="C1563" s="1" t="s">
        <v>5180</v>
      </c>
      <c r="F1563" s="1" t="s">
        <v>965</v>
      </c>
      <c r="G1563" s="1">
        <v>200.0</v>
      </c>
      <c r="H1563" s="1" t="s">
        <v>966</v>
      </c>
      <c r="I1563" s="1" t="s">
        <v>967</v>
      </c>
      <c r="K1563" s="1" t="s">
        <v>5181</v>
      </c>
      <c r="L1563" s="1">
        <v>42.0</v>
      </c>
      <c r="M1563" s="1">
        <v>368.0</v>
      </c>
      <c r="O1563" s="1">
        <v>0.0</v>
      </c>
      <c r="P1563" s="1">
        <v>0.0</v>
      </c>
      <c r="Q1563" s="1" t="s">
        <v>5182</v>
      </c>
      <c r="R1563" s="1">
        <v>165.0</v>
      </c>
      <c r="S1563" s="1">
        <v>1018.0</v>
      </c>
      <c r="U1563" s="1">
        <v>0.0</v>
      </c>
      <c r="V1563" s="1" t="s">
        <v>5180</v>
      </c>
      <c r="W1563" s="1">
        <v>22.0</v>
      </c>
      <c r="Y1563" s="1">
        <v>0.0</v>
      </c>
      <c r="AA1563" s="1">
        <v>0.0</v>
      </c>
      <c r="AC1563" s="1">
        <v>0.0</v>
      </c>
      <c r="AD1563" s="1" t="s">
        <v>971</v>
      </c>
      <c r="AG1563" s="9" t="s">
        <v>5179</v>
      </c>
      <c r="AM1563" s="1">
        <v>149736.0</v>
      </c>
      <c r="AN1563" s="1">
        <v>29348.0</v>
      </c>
      <c r="AO1563" s="1">
        <v>29348.0</v>
      </c>
      <c r="AP1563" s="1">
        <v>11.243</v>
      </c>
      <c r="AR1563" s="1">
        <v>634.0</v>
      </c>
      <c r="AS1563" s="1">
        <v>105.0</v>
      </c>
      <c r="AT1563" s="1">
        <v>6.038</v>
      </c>
      <c r="AU1563" s="1">
        <v>55.926</v>
      </c>
      <c r="AV1563" s="1" t="s">
        <v>972</v>
      </c>
      <c r="AW1563" s="1">
        <v>4.301</v>
      </c>
      <c r="AX1563" s="1">
        <v>3.0</v>
      </c>
      <c r="AY1563" s="1">
        <v>2.0</v>
      </c>
      <c r="AZ1563" s="1">
        <v>1.0</v>
      </c>
      <c r="BA1563" s="1">
        <v>1.0</v>
      </c>
      <c r="BB1563" s="1">
        <v>1.0</v>
      </c>
      <c r="BC1563" s="1">
        <v>0.0</v>
      </c>
      <c r="BD1563" s="1">
        <v>0.13</v>
      </c>
      <c r="BE1563" s="1">
        <v>122.0</v>
      </c>
      <c r="BF1563" s="1">
        <v>42.0</v>
      </c>
      <c r="BG1563" s="1">
        <v>0.0</v>
      </c>
      <c r="BH1563" s="1">
        <v>17.0</v>
      </c>
      <c r="BI1563" s="1">
        <v>9.0</v>
      </c>
      <c r="BJ1563" s="1">
        <v>0.0</v>
      </c>
      <c r="BO1563" s="1" t="s">
        <v>5183</v>
      </c>
      <c r="BP1563" s="1">
        <v>0.996</v>
      </c>
      <c r="BU1563" s="1" t="s">
        <v>974</v>
      </c>
      <c r="BV1563" s="1">
        <v>1.1</v>
      </c>
      <c r="EQ1563" s="9" t="s">
        <v>5179</v>
      </c>
      <c r="ER1563" s="21">
        <v>46045.300833333335</v>
      </c>
    </row>
    <row r="1564">
      <c r="A1564" s="9" t="s">
        <v>5184</v>
      </c>
      <c r="B1564" s="20" t="str">
        <f>IFERROR(__xludf.DUMMYFUNCTION("REGEXREPLACE(A1564, ""^https?://[^/]+"", """")"),"/advisors/enrico-parodi/")</f>
        <v>/advisors/enrico-parodi/</v>
      </c>
      <c r="C1564" s="1" t="s">
        <v>5185</v>
      </c>
      <c r="F1564" s="1" t="s">
        <v>965</v>
      </c>
      <c r="G1564" s="1">
        <v>200.0</v>
      </c>
      <c r="H1564" s="1" t="s">
        <v>966</v>
      </c>
      <c r="I1564" s="1" t="s">
        <v>967</v>
      </c>
      <c r="K1564" s="1" t="s">
        <v>5186</v>
      </c>
      <c r="L1564" s="1">
        <v>38.0</v>
      </c>
      <c r="M1564" s="1">
        <v>334.0</v>
      </c>
      <c r="O1564" s="1">
        <v>0.0</v>
      </c>
      <c r="P1564" s="1">
        <v>0.0</v>
      </c>
      <c r="Q1564" s="1" t="s">
        <v>5187</v>
      </c>
      <c r="R1564" s="1">
        <v>163.0</v>
      </c>
      <c r="S1564" s="1">
        <v>1023.0</v>
      </c>
      <c r="U1564" s="1">
        <v>0.0</v>
      </c>
      <c r="V1564" s="1" t="s">
        <v>5185</v>
      </c>
      <c r="W1564" s="1">
        <v>18.0</v>
      </c>
      <c r="Y1564" s="1">
        <v>0.0</v>
      </c>
      <c r="AA1564" s="1">
        <v>0.0</v>
      </c>
      <c r="AC1564" s="1">
        <v>0.0</v>
      </c>
      <c r="AD1564" s="1" t="s">
        <v>971</v>
      </c>
      <c r="AG1564" s="9" t="s">
        <v>5184</v>
      </c>
      <c r="AM1564" s="1">
        <v>151129.0</v>
      </c>
      <c r="AN1564" s="1">
        <v>29881.0</v>
      </c>
      <c r="AO1564" s="1">
        <v>29881.0</v>
      </c>
      <c r="AP1564" s="1">
        <v>11.447</v>
      </c>
      <c r="AR1564" s="1">
        <v>750.0</v>
      </c>
      <c r="AS1564" s="1">
        <v>120.0</v>
      </c>
      <c r="AT1564" s="1">
        <v>6.25</v>
      </c>
      <c r="AU1564" s="1">
        <v>58.476</v>
      </c>
      <c r="AV1564" s="1" t="s">
        <v>972</v>
      </c>
      <c r="AW1564" s="1">
        <v>4.695</v>
      </c>
      <c r="AX1564" s="1">
        <v>3.0</v>
      </c>
      <c r="AY1564" s="1">
        <v>2.0</v>
      </c>
      <c r="AZ1564" s="1">
        <v>1.0</v>
      </c>
      <c r="BA1564" s="1">
        <v>1.0</v>
      </c>
      <c r="BB1564" s="1">
        <v>1.0</v>
      </c>
      <c r="BC1564" s="1">
        <v>0.0</v>
      </c>
      <c r="BD1564" s="1">
        <v>0.13</v>
      </c>
      <c r="BE1564" s="1">
        <v>122.0</v>
      </c>
      <c r="BF1564" s="1">
        <v>42.0</v>
      </c>
      <c r="BG1564" s="1">
        <v>0.0</v>
      </c>
      <c r="BH1564" s="1">
        <v>17.0</v>
      </c>
      <c r="BI1564" s="1">
        <v>9.0</v>
      </c>
      <c r="BJ1564" s="1">
        <v>0.0</v>
      </c>
      <c r="BO1564" s="1" t="s">
        <v>5188</v>
      </c>
      <c r="BP1564" s="1">
        <v>1.003</v>
      </c>
      <c r="BU1564" s="1" t="s">
        <v>974</v>
      </c>
      <c r="BV1564" s="1">
        <v>1.1</v>
      </c>
      <c r="EQ1564" s="9" t="s">
        <v>5184</v>
      </c>
      <c r="ER1564" s="21">
        <v>46045.300833333335</v>
      </c>
    </row>
    <row r="1565">
      <c r="A1565" s="9" t="s">
        <v>5189</v>
      </c>
      <c r="B1565" s="20" t="str">
        <f>IFERROR(__xludf.DUMMYFUNCTION("REGEXREPLACE(A1565, ""^https?://[^/]+"", """")"),"/advisors/daniel-steyn/")</f>
        <v>/advisors/daniel-steyn/</v>
      </c>
      <c r="C1565" s="1" t="s">
        <v>5190</v>
      </c>
      <c r="F1565" s="1" t="s">
        <v>965</v>
      </c>
      <c r="G1565" s="1">
        <v>200.0</v>
      </c>
      <c r="H1565" s="1" t="s">
        <v>966</v>
      </c>
      <c r="I1565" s="1" t="s">
        <v>967</v>
      </c>
      <c r="K1565" s="1" t="s">
        <v>5191</v>
      </c>
      <c r="L1565" s="1">
        <v>32.0</v>
      </c>
      <c r="M1565" s="1">
        <v>282.0</v>
      </c>
      <c r="O1565" s="1">
        <v>0.0</v>
      </c>
      <c r="P1565" s="1">
        <v>0.0</v>
      </c>
      <c r="Q1565" s="1" t="s">
        <v>5192</v>
      </c>
      <c r="R1565" s="1">
        <v>146.0</v>
      </c>
      <c r="S1565" s="1">
        <v>900.0</v>
      </c>
      <c r="U1565" s="1">
        <v>0.0</v>
      </c>
      <c r="V1565" s="1" t="s">
        <v>5190</v>
      </c>
      <c r="W1565" s="1">
        <v>12.0</v>
      </c>
      <c r="Y1565" s="1">
        <v>0.0</v>
      </c>
      <c r="AA1565" s="1">
        <v>0.0</v>
      </c>
      <c r="AC1565" s="1">
        <v>0.0</v>
      </c>
      <c r="AD1565" s="1" t="s">
        <v>971</v>
      </c>
      <c r="AG1565" s="9" t="s">
        <v>5189</v>
      </c>
      <c r="AM1565" s="1">
        <v>150585.0</v>
      </c>
      <c r="AN1565" s="1">
        <v>29543.0</v>
      </c>
      <c r="AO1565" s="1">
        <v>29543.0</v>
      </c>
      <c r="AP1565" s="1">
        <v>11.317</v>
      </c>
      <c r="AR1565" s="1">
        <v>625.0</v>
      </c>
      <c r="AS1565" s="1">
        <v>104.0</v>
      </c>
      <c r="AT1565" s="1">
        <v>6.01</v>
      </c>
      <c r="AU1565" s="1">
        <v>56.848</v>
      </c>
      <c r="AV1565" s="1" t="s">
        <v>972</v>
      </c>
      <c r="AW1565" s="1">
        <v>4.226</v>
      </c>
      <c r="AX1565" s="1">
        <v>3.0</v>
      </c>
      <c r="AY1565" s="1">
        <v>2.0</v>
      </c>
      <c r="AZ1565" s="1">
        <v>1.0</v>
      </c>
      <c r="BA1565" s="1">
        <v>1.0</v>
      </c>
      <c r="BB1565" s="1">
        <v>1.0</v>
      </c>
      <c r="BC1565" s="1">
        <v>0.0</v>
      </c>
      <c r="BD1565" s="1">
        <v>0.13</v>
      </c>
      <c r="BE1565" s="1">
        <v>123.0</v>
      </c>
      <c r="BF1565" s="1">
        <v>42.0</v>
      </c>
      <c r="BG1565" s="1">
        <v>0.0</v>
      </c>
      <c r="BH1565" s="1">
        <v>17.0</v>
      </c>
      <c r="BI1565" s="1">
        <v>9.0</v>
      </c>
      <c r="BJ1565" s="1">
        <v>0.0</v>
      </c>
      <c r="BO1565" s="1" t="s">
        <v>5193</v>
      </c>
      <c r="BP1565" s="1">
        <v>1.156</v>
      </c>
      <c r="BU1565" s="1" t="s">
        <v>974</v>
      </c>
      <c r="BV1565" s="1">
        <v>1.1</v>
      </c>
      <c r="EQ1565" s="9" t="s">
        <v>5189</v>
      </c>
      <c r="ER1565" s="21">
        <v>46045.300833333335</v>
      </c>
    </row>
    <row r="1566">
      <c r="A1566" s="9" t="s">
        <v>5194</v>
      </c>
      <c r="B1566" s="20" t="str">
        <f>IFERROR(__xludf.DUMMYFUNCTION("REGEXREPLACE(A1566, ""^https?://[^/]+"", """")"),"/advisors/tom-morgan/")</f>
        <v>/advisors/tom-morgan/</v>
      </c>
      <c r="C1566" s="1" t="s">
        <v>5195</v>
      </c>
      <c r="F1566" s="1" t="s">
        <v>965</v>
      </c>
      <c r="G1566" s="1">
        <v>200.0</v>
      </c>
      <c r="H1566" s="1" t="s">
        <v>966</v>
      </c>
      <c r="I1566" s="1" t="s">
        <v>967</v>
      </c>
      <c r="K1566" s="1" t="s">
        <v>5196</v>
      </c>
      <c r="L1566" s="1">
        <v>35.0</v>
      </c>
      <c r="M1566" s="1">
        <v>330.0</v>
      </c>
      <c r="O1566" s="1">
        <v>0.0</v>
      </c>
      <c r="P1566" s="1">
        <v>0.0</v>
      </c>
      <c r="Q1566" s="1" t="s">
        <v>5197</v>
      </c>
      <c r="R1566" s="1">
        <v>131.0</v>
      </c>
      <c r="S1566" s="1">
        <v>859.0</v>
      </c>
      <c r="U1566" s="1">
        <v>0.0</v>
      </c>
      <c r="V1566" s="1" t="s">
        <v>5195</v>
      </c>
      <c r="W1566" s="1">
        <v>15.0</v>
      </c>
      <c r="Y1566" s="1">
        <v>0.0</v>
      </c>
      <c r="AA1566" s="1">
        <v>0.0</v>
      </c>
      <c r="AC1566" s="1">
        <v>0.0</v>
      </c>
      <c r="AD1566" s="1" t="s">
        <v>971</v>
      </c>
      <c r="AG1566" s="9" t="s">
        <v>5194</v>
      </c>
      <c r="AM1566" s="1">
        <v>149148.0</v>
      </c>
      <c r="AN1566" s="1">
        <v>28917.0</v>
      </c>
      <c r="AO1566" s="1">
        <v>28917.0</v>
      </c>
      <c r="AP1566" s="1">
        <v>11.078</v>
      </c>
      <c r="AR1566" s="1">
        <v>712.0</v>
      </c>
      <c r="AS1566" s="1">
        <v>114.0</v>
      </c>
      <c r="AT1566" s="1">
        <v>6.246</v>
      </c>
      <c r="AU1566" s="1">
        <v>58.862</v>
      </c>
      <c r="AV1566" s="1" t="s">
        <v>972</v>
      </c>
      <c r="AW1566" s="1">
        <v>4.611</v>
      </c>
      <c r="AX1566" s="1">
        <v>3.0</v>
      </c>
      <c r="AY1566" s="1">
        <v>2.0</v>
      </c>
      <c r="AZ1566" s="1">
        <v>1.0</v>
      </c>
      <c r="BA1566" s="1">
        <v>1.0</v>
      </c>
      <c r="BB1566" s="1">
        <v>1.0</v>
      </c>
      <c r="BC1566" s="1">
        <v>0.0</v>
      </c>
      <c r="BD1566" s="1">
        <v>0.13</v>
      </c>
      <c r="BE1566" s="1">
        <v>123.0</v>
      </c>
      <c r="BF1566" s="1">
        <v>42.0</v>
      </c>
      <c r="BG1566" s="1">
        <v>0.0</v>
      </c>
      <c r="BH1566" s="1">
        <v>17.0</v>
      </c>
      <c r="BI1566" s="1">
        <v>9.0</v>
      </c>
      <c r="BJ1566" s="1">
        <v>0.0</v>
      </c>
      <c r="BO1566" s="1" t="s">
        <v>5198</v>
      </c>
      <c r="BP1566" s="1">
        <v>0.978</v>
      </c>
      <c r="BU1566" s="1" t="s">
        <v>974</v>
      </c>
      <c r="BV1566" s="1">
        <v>1.1</v>
      </c>
      <c r="EQ1566" s="9" t="s">
        <v>5194</v>
      </c>
      <c r="ER1566" s="21">
        <v>46045.300844907404</v>
      </c>
    </row>
    <row r="1567">
      <c r="A1567" s="9" t="s">
        <v>5199</v>
      </c>
      <c r="B1567" s="20" t="str">
        <f>IFERROR(__xludf.DUMMYFUNCTION("REGEXREPLACE(A1567, ""^https?://[^/]+"", """")"),"/wp-content/uploads/2021/11/p-2-how-interim-executives-can-be-a-surprising-benefit-to-your-company-300x169.jpeg")</f>
        <v>/wp-content/uploads/2021/11/p-2-how-interim-executives-can-be-a-surprising-benefit-to-your-company-300x169.jpeg</v>
      </c>
      <c r="F1567" s="1" t="s">
        <v>1004</v>
      </c>
      <c r="G1567" s="1">
        <v>200.0</v>
      </c>
      <c r="H1567" s="1" t="s">
        <v>966</v>
      </c>
      <c r="I1567" s="1" t="s">
        <v>967</v>
      </c>
      <c r="L1567" s="1">
        <v>0.0</v>
      </c>
      <c r="M1567" s="1">
        <v>0.0</v>
      </c>
      <c r="O1567" s="1">
        <v>0.0</v>
      </c>
      <c r="P1567" s="1">
        <v>0.0</v>
      </c>
      <c r="R1567" s="1">
        <v>0.0</v>
      </c>
      <c r="S1567" s="1">
        <v>0.0</v>
      </c>
      <c r="U1567" s="1">
        <v>0.0</v>
      </c>
      <c r="W1567" s="1">
        <v>0.0</v>
      </c>
      <c r="Y1567" s="1">
        <v>0.0</v>
      </c>
      <c r="AA1567" s="1">
        <v>0.0</v>
      </c>
      <c r="AC1567" s="1">
        <v>0.0</v>
      </c>
      <c r="AM1567" s="1">
        <v>8747.0</v>
      </c>
      <c r="AN1567" s="1">
        <v>8747.0</v>
      </c>
      <c r="AO1567" s="1">
        <v>8747.0</v>
      </c>
      <c r="AP1567" s="1">
        <v>3.351</v>
      </c>
      <c r="AR1567" s="1">
        <v>0.0</v>
      </c>
      <c r="AW1567" s="1">
        <v>0.0</v>
      </c>
      <c r="AX1567" s="1">
        <v>4.0</v>
      </c>
      <c r="AY1567" s="1">
        <v>4.0</v>
      </c>
      <c r="BA1567" s="1">
        <v>0.0</v>
      </c>
      <c r="BB1567" s="1">
        <v>0.0</v>
      </c>
      <c r="BC1567" s="1">
        <v>0.0</v>
      </c>
      <c r="BD1567" s="1">
        <v>0.0</v>
      </c>
      <c r="BE1567" s="1">
        <v>0.0</v>
      </c>
      <c r="BF1567" s="1">
        <v>0.0</v>
      </c>
      <c r="BG1567" s="1">
        <v>0.0</v>
      </c>
      <c r="BH1567" s="1">
        <v>0.0</v>
      </c>
      <c r="BI1567" s="1">
        <v>0.0</v>
      </c>
      <c r="BJ1567" s="1">
        <v>0.0</v>
      </c>
      <c r="BP1567" s="1">
        <v>0.264</v>
      </c>
      <c r="BQ1567" s="1" t="s">
        <v>5200</v>
      </c>
      <c r="BV1567" s="1">
        <v>1.1</v>
      </c>
      <c r="EQ1567" s="9" t="s">
        <v>5199</v>
      </c>
      <c r="ER1567" s="21">
        <v>46045.30085648148</v>
      </c>
    </row>
    <row r="1568">
      <c r="A1568" s="9" t="s">
        <v>5201</v>
      </c>
      <c r="B1568" s="20" t="str">
        <f>IFERROR(__xludf.DUMMYFUNCTION("REGEXREPLACE(A1568, ""^https?://[^/]+"", """")"),"/wp-content/uploads/2018/08/2018-08-Training-Class-Steyn-Morgan-ODonnell-Applewhite-Wallace-Mitchell-Parodi-Mahony-scaled-1.jpg")</f>
        <v>/wp-content/uploads/2018/08/2018-08-Training-Class-Steyn-Morgan-ODonnell-Applewhite-Wallace-Mitchell-Parodi-Mahony-scaled-1.jpg</v>
      </c>
      <c r="F1568" s="1" t="s">
        <v>1004</v>
      </c>
      <c r="G1568" s="1">
        <v>200.0</v>
      </c>
      <c r="H1568" s="1" t="s">
        <v>966</v>
      </c>
      <c r="I1568" s="1" t="s">
        <v>967</v>
      </c>
      <c r="L1568" s="1">
        <v>0.0</v>
      </c>
      <c r="M1568" s="1">
        <v>0.0</v>
      </c>
      <c r="O1568" s="1">
        <v>0.0</v>
      </c>
      <c r="P1568" s="1">
        <v>0.0</v>
      </c>
      <c r="R1568" s="1">
        <v>0.0</v>
      </c>
      <c r="S1568" s="1">
        <v>0.0</v>
      </c>
      <c r="U1568" s="1">
        <v>0.0</v>
      </c>
      <c r="W1568" s="1">
        <v>0.0</v>
      </c>
      <c r="Y1568" s="1">
        <v>0.0</v>
      </c>
      <c r="AA1568" s="1">
        <v>0.0</v>
      </c>
      <c r="AC1568" s="1">
        <v>0.0</v>
      </c>
      <c r="AM1568" s="1">
        <v>354602.0</v>
      </c>
      <c r="AN1568" s="1">
        <v>354602.0</v>
      </c>
      <c r="AO1568" s="1">
        <v>354602.0</v>
      </c>
      <c r="AP1568" s="1">
        <v>135.841</v>
      </c>
      <c r="AR1568" s="1">
        <v>0.0</v>
      </c>
      <c r="AW1568" s="1">
        <v>0.0</v>
      </c>
      <c r="AX1568" s="1">
        <v>3.0</v>
      </c>
      <c r="AY1568" s="1">
        <v>4.0</v>
      </c>
      <c r="BA1568" s="1">
        <v>0.0</v>
      </c>
      <c r="BB1568" s="1">
        <v>0.0</v>
      </c>
      <c r="BC1568" s="1">
        <v>0.0</v>
      </c>
      <c r="BD1568" s="1">
        <v>0.0</v>
      </c>
      <c r="BE1568" s="1">
        <v>0.0</v>
      </c>
      <c r="BF1568" s="1">
        <v>0.0</v>
      </c>
      <c r="BG1568" s="1">
        <v>0.0</v>
      </c>
      <c r="BH1568" s="1">
        <v>0.0</v>
      </c>
      <c r="BI1568" s="1">
        <v>0.0</v>
      </c>
      <c r="BJ1568" s="1">
        <v>0.0</v>
      </c>
      <c r="BP1568" s="1">
        <v>0.277</v>
      </c>
      <c r="BQ1568" s="1" t="s">
        <v>5202</v>
      </c>
      <c r="BV1568" s="1">
        <v>1.1</v>
      </c>
      <c r="EQ1568" s="9" t="s">
        <v>5201</v>
      </c>
      <c r="ER1568" s="21">
        <v>46045.30085648148</v>
      </c>
    </row>
    <row r="1569">
      <c r="A1569" s="9" t="s">
        <v>5203</v>
      </c>
      <c r="B1569" s="20" t="str">
        <f>IFERROR(__xludf.DUMMYFUNCTION("REGEXREPLACE(A1569, ""^https?://[^/]+"", """")"),"/wp-content/uploads/2021/12/Outsourcing-300x200.jpg")</f>
        <v>/wp-content/uploads/2021/12/Outsourcing-300x200.jpg</v>
      </c>
      <c r="F1569" s="1" t="s">
        <v>1004</v>
      </c>
      <c r="G1569" s="1">
        <v>200.0</v>
      </c>
      <c r="H1569" s="1" t="s">
        <v>966</v>
      </c>
      <c r="I1569" s="1" t="s">
        <v>967</v>
      </c>
      <c r="L1569" s="1">
        <v>0.0</v>
      </c>
      <c r="M1569" s="1">
        <v>0.0</v>
      </c>
      <c r="O1569" s="1">
        <v>0.0</v>
      </c>
      <c r="P1569" s="1">
        <v>0.0</v>
      </c>
      <c r="R1569" s="1">
        <v>0.0</v>
      </c>
      <c r="S1569" s="1">
        <v>0.0</v>
      </c>
      <c r="U1569" s="1">
        <v>0.0</v>
      </c>
      <c r="W1569" s="1">
        <v>0.0</v>
      </c>
      <c r="Y1569" s="1">
        <v>0.0</v>
      </c>
      <c r="AA1569" s="1">
        <v>0.0</v>
      </c>
      <c r="AC1569" s="1">
        <v>0.0</v>
      </c>
      <c r="AM1569" s="1">
        <v>16014.0</v>
      </c>
      <c r="AN1569" s="1">
        <v>16014.0</v>
      </c>
      <c r="AO1569" s="1">
        <v>16014.0</v>
      </c>
      <c r="AP1569" s="1">
        <v>6.135</v>
      </c>
      <c r="AR1569" s="1">
        <v>0.0</v>
      </c>
      <c r="AW1569" s="1">
        <v>0.0</v>
      </c>
      <c r="AX1569" s="1">
        <v>4.0</v>
      </c>
      <c r="AY1569" s="1">
        <v>4.0</v>
      </c>
      <c r="BA1569" s="1">
        <v>0.0</v>
      </c>
      <c r="BB1569" s="1">
        <v>0.0</v>
      </c>
      <c r="BC1569" s="1">
        <v>0.0</v>
      </c>
      <c r="BD1569" s="1">
        <v>0.0</v>
      </c>
      <c r="BE1569" s="1">
        <v>0.0</v>
      </c>
      <c r="BF1569" s="1">
        <v>0.0</v>
      </c>
      <c r="BG1569" s="1">
        <v>0.0</v>
      </c>
      <c r="BH1569" s="1">
        <v>0.0</v>
      </c>
      <c r="BI1569" s="1">
        <v>0.0</v>
      </c>
      <c r="BJ1569" s="1">
        <v>0.0</v>
      </c>
      <c r="BP1569" s="1">
        <v>0.28</v>
      </c>
      <c r="BQ1569" s="1" t="s">
        <v>5204</v>
      </c>
      <c r="BV1569" s="1">
        <v>1.1</v>
      </c>
      <c r="EQ1569" s="9" t="s">
        <v>5203</v>
      </c>
      <c r="ER1569" s="21">
        <v>46045.30085648148</v>
      </c>
    </row>
    <row r="1570">
      <c r="A1570" s="9" t="s">
        <v>5205</v>
      </c>
      <c r="B1570" s="20" t="str">
        <f>IFERROR(__xludf.DUMMYFUNCTION("REGEXREPLACE(A1570, ""^https?://[^/]+"", """")"),"/wp-content/uploads/2022/03/Successful-Business-Woman-300x300.jpg")</f>
        <v>/wp-content/uploads/2022/03/Successful-Business-Woman-300x300.jpg</v>
      </c>
      <c r="F1570" s="1" t="s">
        <v>1004</v>
      </c>
      <c r="G1570" s="1">
        <v>200.0</v>
      </c>
      <c r="H1570" s="1" t="s">
        <v>966</v>
      </c>
      <c r="I1570" s="1" t="s">
        <v>967</v>
      </c>
      <c r="L1570" s="1">
        <v>0.0</v>
      </c>
      <c r="M1570" s="1">
        <v>0.0</v>
      </c>
      <c r="O1570" s="1">
        <v>0.0</v>
      </c>
      <c r="P1570" s="1">
        <v>0.0</v>
      </c>
      <c r="R1570" s="1">
        <v>0.0</v>
      </c>
      <c r="S1570" s="1">
        <v>0.0</v>
      </c>
      <c r="U1570" s="1">
        <v>0.0</v>
      </c>
      <c r="W1570" s="1">
        <v>0.0</v>
      </c>
      <c r="Y1570" s="1">
        <v>0.0</v>
      </c>
      <c r="AA1570" s="1">
        <v>0.0</v>
      </c>
      <c r="AC1570" s="1">
        <v>0.0</v>
      </c>
      <c r="AM1570" s="1">
        <v>12895.0</v>
      </c>
      <c r="AN1570" s="1">
        <v>12895.0</v>
      </c>
      <c r="AO1570" s="1">
        <v>12895.0</v>
      </c>
      <c r="AP1570" s="1">
        <v>4.94</v>
      </c>
      <c r="AR1570" s="1">
        <v>0.0</v>
      </c>
      <c r="AW1570" s="1">
        <v>0.0</v>
      </c>
      <c r="AX1570" s="1">
        <v>4.0</v>
      </c>
      <c r="AY1570" s="1">
        <v>4.0</v>
      </c>
      <c r="BA1570" s="1">
        <v>0.0</v>
      </c>
      <c r="BB1570" s="1">
        <v>0.0</v>
      </c>
      <c r="BC1570" s="1">
        <v>0.0</v>
      </c>
      <c r="BD1570" s="1">
        <v>0.0</v>
      </c>
      <c r="BE1570" s="1">
        <v>0.0</v>
      </c>
      <c r="BF1570" s="1">
        <v>0.0</v>
      </c>
      <c r="BG1570" s="1">
        <v>0.0</v>
      </c>
      <c r="BH1570" s="1">
        <v>0.0</v>
      </c>
      <c r="BI1570" s="1">
        <v>0.0</v>
      </c>
      <c r="BJ1570" s="1">
        <v>0.0</v>
      </c>
      <c r="BP1570" s="1">
        <v>0.281</v>
      </c>
      <c r="BQ1570" s="1" t="s">
        <v>5206</v>
      </c>
      <c r="BV1570" s="1">
        <v>1.1</v>
      </c>
      <c r="EQ1570" s="9" t="s">
        <v>5205</v>
      </c>
      <c r="ER1570" s="21">
        <v>46045.30085648148</v>
      </c>
    </row>
    <row r="1571">
      <c r="A1571" s="9" t="s">
        <v>5207</v>
      </c>
      <c r="B1571" s="20" t="str">
        <f>IFERROR(__xludf.DUMMYFUNCTION("REGEXREPLACE(A1571, ""^https?://[^/]+"", """")"),"/wp-content/uploads/2022/01/Hand-Holding-Lighbulb-300x200.jpg")</f>
        <v>/wp-content/uploads/2022/01/Hand-Holding-Lighbulb-300x200.jpg</v>
      </c>
      <c r="F1571" s="1" t="s">
        <v>1004</v>
      </c>
      <c r="G1571" s="1">
        <v>200.0</v>
      </c>
      <c r="H1571" s="1" t="s">
        <v>966</v>
      </c>
      <c r="I1571" s="1" t="s">
        <v>967</v>
      </c>
      <c r="L1571" s="1">
        <v>0.0</v>
      </c>
      <c r="M1571" s="1">
        <v>0.0</v>
      </c>
      <c r="O1571" s="1">
        <v>0.0</v>
      </c>
      <c r="P1571" s="1">
        <v>0.0</v>
      </c>
      <c r="R1571" s="1">
        <v>0.0</v>
      </c>
      <c r="S1571" s="1">
        <v>0.0</v>
      </c>
      <c r="U1571" s="1">
        <v>0.0</v>
      </c>
      <c r="W1571" s="1">
        <v>0.0</v>
      </c>
      <c r="Y1571" s="1">
        <v>0.0</v>
      </c>
      <c r="AA1571" s="1">
        <v>0.0</v>
      </c>
      <c r="AC1571" s="1">
        <v>0.0</v>
      </c>
      <c r="AM1571" s="1">
        <v>10351.0</v>
      </c>
      <c r="AN1571" s="1">
        <v>10351.0</v>
      </c>
      <c r="AO1571" s="1">
        <v>10351.0</v>
      </c>
      <c r="AP1571" s="1">
        <v>3.965</v>
      </c>
      <c r="AR1571" s="1">
        <v>0.0</v>
      </c>
      <c r="AW1571" s="1">
        <v>0.0</v>
      </c>
      <c r="AX1571" s="1">
        <v>4.0</v>
      </c>
      <c r="AY1571" s="1">
        <v>4.0</v>
      </c>
      <c r="BA1571" s="1">
        <v>0.0</v>
      </c>
      <c r="BB1571" s="1">
        <v>0.0</v>
      </c>
      <c r="BC1571" s="1">
        <v>0.0</v>
      </c>
      <c r="BD1571" s="1">
        <v>0.0</v>
      </c>
      <c r="BE1571" s="1">
        <v>0.0</v>
      </c>
      <c r="BF1571" s="1">
        <v>0.0</v>
      </c>
      <c r="BG1571" s="1">
        <v>0.0</v>
      </c>
      <c r="BH1571" s="1">
        <v>0.0</v>
      </c>
      <c r="BI1571" s="1">
        <v>0.0</v>
      </c>
      <c r="BJ1571" s="1">
        <v>0.0</v>
      </c>
      <c r="BP1571" s="1">
        <v>0.269</v>
      </c>
      <c r="BQ1571" s="1" t="s">
        <v>5208</v>
      </c>
      <c r="BV1571" s="1">
        <v>1.1</v>
      </c>
      <c r="EQ1571" s="9" t="s">
        <v>5207</v>
      </c>
      <c r="ER1571" s="21">
        <v>46045.30085648148</v>
      </c>
    </row>
    <row r="1572">
      <c r="A1572" s="9" t="s">
        <v>5209</v>
      </c>
      <c r="B1572" s="20" t="str">
        <f>IFERROR(__xludf.DUMMYFUNCTION("REGEXREPLACE(A1572, ""^https?://[^/]+"", """")"),"/wp-content/themes/salesxceleratione/assets/css/style.css?ver=1769123580")</f>
        <v>/wp-content/themes/salesxceleratione/assets/css/style.css?ver=1769123580</v>
      </c>
      <c r="F1572" s="1" t="s">
        <v>1016</v>
      </c>
      <c r="G1572" s="1">
        <v>200.0</v>
      </c>
      <c r="H1572" s="1" t="s">
        <v>966</v>
      </c>
      <c r="I1572" s="1" t="s">
        <v>967</v>
      </c>
      <c r="L1572" s="1">
        <v>0.0</v>
      </c>
      <c r="M1572" s="1">
        <v>0.0</v>
      </c>
      <c r="O1572" s="1">
        <v>0.0</v>
      </c>
      <c r="P1572" s="1">
        <v>0.0</v>
      </c>
      <c r="R1572" s="1">
        <v>0.0</v>
      </c>
      <c r="S1572" s="1">
        <v>0.0</v>
      </c>
      <c r="U1572" s="1">
        <v>0.0</v>
      </c>
      <c r="W1572" s="1">
        <v>0.0</v>
      </c>
      <c r="Y1572" s="1">
        <v>0.0</v>
      </c>
      <c r="AA1572" s="1">
        <v>0.0</v>
      </c>
      <c r="AC1572" s="1">
        <v>0.0</v>
      </c>
      <c r="AM1572" s="1">
        <v>17704.0</v>
      </c>
      <c r="AN1572" s="1">
        <v>17704.0</v>
      </c>
      <c r="AO1572" s="1">
        <v>17704.0</v>
      </c>
      <c r="AP1572" s="1">
        <v>6.782</v>
      </c>
      <c r="AR1572" s="1">
        <v>0.0</v>
      </c>
      <c r="AW1572" s="1">
        <v>0.0</v>
      </c>
      <c r="AX1572" s="1">
        <v>4.0</v>
      </c>
      <c r="AY1572" s="1">
        <v>5.0</v>
      </c>
      <c r="BA1572" s="1">
        <v>0.0</v>
      </c>
      <c r="BB1572" s="1">
        <v>0.0</v>
      </c>
      <c r="BC1572" s="1">
        <v>0.0</v>
      </c>
      <c r="BD1572" s="1">
        <v>0.0</v>
      </c>
      <c r="BE1572" s="1">
        <v>0.0</v>
      </c>
      <c r="BF1572" s="1">
        <v>0.0</v>
      </c>
      <c r="BG1572" s="1">
        <v>0.0</v>
      </c>
      <c r="BH1572" s="1">
        <v>0.0</v>
      </c>
      <c r="BI1572" s="1">
        <v>0.0</v>
      </c>
      <c r="BJ1572" s="1">
        <v>0.0</v>
      </c>
      <c r="BP1572" s="1">
        <v>0.271</v>
      </c>
      <c r="BQ1572" s="1" t="s">
        <v>5210</v>
      </c>
      <c r="BV1572" s="1">
        <v>1.1</v>
      </c>
      <c r="EQ1572" s="9" t="s">
        <v>5209</v>
      </c>
      <c r="ER1572" s="21">
        <v>46045.30085648148</v>
      </c>
    </row>
    <row r="1573">
      <c r="A1573" s="9" t="s">
        <v>5211</v>
      </c>
      <c r="B1573" s="20" t="str">
        <f>IFERROR(__xludf.DUMMYFUNCTION("REGEXREPLACE(A1573, ""^https?://[^/]+"", """")"),"/wp-content/uploads/2022/02/It-is-my-passion-300x300.jpg")</f>
        <v>/wp-content/uploads/2022/02/It-is-my-passion-300x300.jpg</v>
      </c>
      <c r="F1573" s="1" t="s">
        <v>1004</v>
      </c>
      <c r="G1573" s="1">
        <v>200.0</v>
      </c>
      <c r="H1573" s="1" t="s">
        <v>966</v>
      </c>
      <c r="I1573" s="1" t="s">
        <v>967</v>
      </c>
      <c r="L1573" s="1">
        <v>0.0</v>
      </c>
      <c r="M1573" s="1">
        <v>0.0</v>
      </c>
      <c r="O1573" s="1">
        <v>0.0</v>
      </c>
      <c r="P1573" s="1">
        <v>0.0</v>
      </c>
      <c r="R1573" s="1">
        <v>0.0</v>
      </c>
      <c r="S1573" s="1">
        <v>0.0</v>
      </c>
      <c r="U1573" s="1">
        <v>0.0</v>
      </c>
      <c r="W1573" s="1">
        <v>0.0</v>
      </c>
      <c r="Y1573" s="1">
        <v>0.0</v>
      </c>
      <c r="AA1573" s="1">
        <v>0.0</v>
      </c>
      <c r="AC1573" s="1">
        <v>0.0</v>
      </c>
      <c r="AM1573" s="1">
        <v>16953.0</v>
      </c>
      <c r="AN1573" s="1">
        <v>16953.0</v>
      </c>
      <c r="AO1573" s="1">
        <v>16953.0</v>
      </c>
      <c r="AP1573" s="1">
        <v>6.494</v>
      </c>
      <c r="AR1573" s="1">
        <v>0.0</v>
      </c>
      <c r="AW1573" s="1">
        <v>0.0</v>
      </c>
      <c r="AX1573" s="1">
        <v>4.0</v>
      </c>
      <c r="AY1573" s="1">
        <v>4.0</v>
      </c>
      <c r="BA1573" s="1">
        <v>0.0</v>
      </c>
      <c r="BB1573" s="1">
        <v>0.0</v>
      </c>
      <c r="BC1573" s="1">
        <v>0.0</v>
      </c>
      <c r="BD1573" s="1">
        <v>0.0</v>
      </c>
      <c r="BE1573" s="1">
        <v>0.0</v>
      </c>
      <c r="BF1573" s="1">
        <v>0.0</v>
      </c>
      <c r="BG1573" s="1">
        <v>0.0</v>
      </c>
      <c r="BH1573" s="1">
        <v>0.0</v>
      </c>
      <c r="BI1573" s="1">
        <v>0.0</v>
      </c>
      <c r="BJ1573" s="1">
        <v>0.0</v>
      </c>
      <c r="BP1573" s="1">
        <v>0.271</v>
      </c>
      <c r="BQ1573" s="1" t="s">
        <v>5212</v>
      </c>
      <c r="BV1573" s="1">
        <v>1.1</v>
      </c>
      <c r="EQ1573" s="9" t="s">
        <v>5211</v>
      </c>
      <c r="ER1573" s="21">
        <v>46045.30085648148</v>
      </c>
    </row>
    <row r="1574">
      <c r="A1574" s="9" t="s">
        <v>5213</v>
      </c>
      <c r="B1574" s="20" t="str">
        <f>IFERROR(__xludf.DUMMYFUNCTION("REGEXREPLACE(A1574, ""^https?://[^/]+"", """")"),"/wp-content/uploads/2022/01/businesswoman-superhero-shadow-symbol-300x186.jpg")</f>
        <v>/wp-content/uploads/2022/01/businesswoman-superhero-shadow-symbol-300x186.jpg</v>
      </c>
      <c r="F1574" s="1" t="s">
        <v>1004</v>
      </c>
      <c r="G1574" s="1">
        <v>200.0</v>
      </c>
      <c r="H1574" s="1" t="s">
        <v>966</v>
      </c>
      <c r="I1574" s="1" t="s">
        <v>967</v>
      </c>
      <c r="L1574" s="1">
        <v>0.0</v>
      </c>
      <c r="M1574" s="1">
        <v>0.0</v>
      </c>
      <c r="O1574" s="1">
        <v>0.0</v>
      </c>
      <c r="P1574" s="1">
        <v>0.0</v>
      </c>
      <c r="R1574" s="1">
        <v>0.0</v>
      </c>
      <c r="S1574" s="1">
        <v>0.0</v>
      </c>
      <c r="U1574" s="1">
        <v>0.0</v>
      </c>
      <c r="W1574" s="1">
        <v>0.0</v>
      </c>
      <c r="Y1574" s="1">
        <v>0.0</v>
      </c>
      <c r="AA1574" s="1">
        <v>0.0</v>
      </c>
      <c r="AC1574" s="1">
        <v>0.0</v>
      </c>
      <c r="AM1574" s="1">
        <v>3933.0</v>
      </c>
      <c r="AN1574" s="1">
        <v>3933.0</v>
      </c>
      <c r="AO1574" s="1">
        <v>3933.0</v>
      </c>
      <c r="AP1574" s="1">
        <v>1.507</v>
      </c>
      <c r="AR1574" s="1">
        <v>0.0</v>
      </c>
      <c r="AW1574" s="1">
        <v>0.0</v>
      </c>
      <c r="AX1574" s="1">
        <v>4.0</v>
      </c>
      <c r="AY1574" s="1">
        <v>4.0</v>
      </c>
      <c r="BA1574" s="1">
        <v>0.0</v>
      </c>
      <c r="BB1574" s="1">
        <v>0.0</v>
      </c>
      <c r="BC1574" s="1">
        <v>0.0</v>
      </c>
      <c r="BD1574" s="1">
        <v>0.0</v>
      </c>
      <c r="BE1574" s="1">
        <v>0.0</v>
      </c>
      <c r="BF1574" s="1">
        <v>0.0</v>
      </c>
      <c r="BG1574" s="1">
        <v>0.0</v>
      </c>
      <c r="BH1574" s="1">
        <v>0.0</v>
      </c>
      <c r="BI1574" s="1">
        <v>0.0</v>
      </c>
      <c r="BJ1574" s="1">
        <v>0.0</v>
      </c>
      <c r="BP1574" s="1">
        <v>0.271</v>
      </c>
      <c r="BQ1574" s="1" t="s">
        <v>5214</v>
      </c>
      <c r="BV1574" s="1">
        <v>1.1</v>
      </c>
      <c r="EQ1574" s="9" t="s">
        <v>5213</v>
      </c>
      <c r="ER1574" s="21">
        <v>46045.30086805556</v>
      </c>
    </row>
    <row r="1575">
      <c r="A1575" s="9" t="s">
        <v>5215</v>
      </c>
      <c r="B1575" s="20" t="str">
        <f>IFERROR(__xludf.DUMMYFUNCTION("REGEXREPLACE(A1575, ""^https?://[^/]+"", """")"),"/when-one-door-closes-another-opens-and-leads-to-opportunity-if-you-let-it/")</f>
        <v>/when-one-door-closes-another-opens-and-leads-to-opportunity-if-you-let-it/</v>
      </c>
      <c r="C1575" s="1" t="s">
        <v>5216</v>
      </c>
      <c r="D1575" s="1" t="s">
        <v>5217</v>
      </c>
      <c r="E1575" s="1" t="s">
        <v>5218</v>
      </c>
      <c r="F1575" s="1" t="s">
        <v>965</v>
      </c>
      <c r="G1575" s="1">
        <v>200.0</v>
      </c>
      <c r="H1575" s="1" t="s">
        <v>966</v>
      </c>
      <c r="I1575" s="1" t="s">
        <v>967</v>
      </c>
      <c r="K1575" s="1" t="s">
        <v>5219</v>
      </c>
      <c r="L1575" s="1">
        <v>101.0</v>
      </c>
      <c r="M1575" s="1">
        <v>911.0</v>
      </c>
      <c r="O1575" s="1">
        <v>0.0</v>
      </c>
      <c r="P1575" s="1">
        <v>0.0</v>
      </c>
      <c r="Q1575" s="1" t="s">
        <v>5220</v>
      </c>
      <c r="R1575" s="1">
        <v>160.0</v>
      </c>
      <c r="S1575" s="1">
        <v>977.0</v>
      </c>
      <c r="U1575" s="1">
        <v>0.0</v>
      </c>
      <c r="V1575" s="1" t="s">
        <v>5216</v>
      </c>
      <c r="W1575" s="1">
        <v>76.0</v>
      </c>
      <c r="Y1575" s="1">
        <v>0.0</v>
      </c>
      <c r="Z1575" s="1" t="s">
        <v>5217</v>
      </c>
      <c r="AA1575" s="1">
        <v>21.0</v>
      </c>
      <c r="AB1575" s="1" t="s">
        <v>5218</v>
      </c>
      <c r="AC1575" s="1">
        <v>18.0</v>
      </c>
      <c r="AD1575" s="1" t="s">
        <v>971</v>
      </c>
      <c r="AG1575" s="9" t="s">
        <v>5215</v>
      </c>
      <c r="AM1575" s="1">
        <v>202767.0</v>
      </c>
      <c r="AN1575" s="1">
        <v>36356.0</v>
      </c>
      <c r="AO1575" s="1">
        <v>36356.0</v>
      </c>
      <c r="AP1575" s="1">
        <v>13.927</v>
      </c>
      <c r="AR1575" s="1">
        <v>1442.0</v>
      </c>
      <c r="AS1575" s="1">
        <v>208.0</v>
      </c>
      <c r="AT1575" s="1">
        <v>6.933</v>
      </c>
      <c r="AU1575" s="1">
        <v>66.386</v>
      </c>
      <c r="AV1575" s="1" t="s">
        <v>990</v>
      </c>
      <c r="AW1575" s="1">
        <v>5.478</v>
      </c>
      <c r="AX1575" s="1">
        <v>4.0</v>
      </c>
      <c r="AY1575" s="1">
        <v>1.0</v>
      </c>
      <c r="AZ1575" s="1">
        <v>1.0</v>
      </c>
      <c r="BA1575" s="1">
        <v>2.0</v>
      </c>
      <c r="BB1575" s="1">
        <v>1.0</v>
      </c>
      <c r="BC1575" s="1">
        <v>0.0</v>
      </c>
      <c r="BD1575" s="1">
        <v>0.13</v>
      </c>
      <c r="BE1575" s="1">
        <v>134.0</v>
      </c>
      <c r="BF1575" s="1">
        <v>48.0</v>
      </c>
      <c r="BG1575" s="1">
        <v>0.0</v>
      </c>
      <c r="BH1575" s="1">
        <v>16.0</v>
      </c>
      <c r="BI1575" s="1">
        <v>8.0</v>
      </c>
      <c r="BJ1575" s="1">
        <v>0.0</v>
      </c>
      <c r="BO1575" s="1" t="s">
        <v>5221</v>
      </c>
      <c r="BP1575" s="1">
        <v>1.02</v>
      </c>
      <c r="BU1575" s="1" t="s">
        <v>974</v>
      </c>
      <c r="BV1575" s="1">
        <v>1.1</v>
      </c>
      <c r="EQ1575" s="9" t="s">
        <v>5215</v>
      </c>
      <c r="ER1575" s="21">
        <v>46045.30085648148</v>
      </c>
    </row>
    <row r="1576">
      <c r="A1576" s="9" t="s">
        <v>5222</v>
      </c>
      <c r="B1576" s="20" t="str">
        <f>IFERROR(__xludf.DUMMYFUNCTION("REGEXREPLACE(A1576, ""^https?://[^/]+"", """")"),"/wp-content/uploads/2021/12/Business-man-and-woman-ready-to-walk-through-large-door-300x200.jpg")</f>
        <v>/wp-content/uploads/2021/12/Business-man-and-woman-ready-to-walk-through-large-door-300x200.jpg</v>
      </c>
      <c r="F1576" s="1" t="s">
        <v>1004</v>
      </c>
      <c r="G1576" s="1">
        <v>200.0</v>
      </c>
      <c r="H1576" s="1" t="s">
        <v>966</v>
      </c>
      <c r="I1576" s="1" t="s">
        <v>967</v>
      </c>
      <c r="L1576" s="1">
        <v>0.0</v>
      </c>
      <c r="M1576" s="1">
        <v>0.0</v>
      </c>
      <c r="O1576" s="1">
        <v>0.0</v>
      </c>
      <c r="P1576" s="1">
        <v>0.0</v>
      </c>
      <c r="R1576" s="1">
        <v>0.0</v>
      </c>
      <c r="S1576" s="1">
        <v>0.0</v>
      </c>
      <c r="U1576" s="1">
        <v>0.0</v>
      </c>
      <c r="W1576" s="1">
        <v>0.0</v>
      </c>
      <c r="Y1576" s="1">
        <v>0.0</v>
      </c>
      <c r="AA1576" s="1">
        <v>0.0</v>
      </c>
      <c r="AC1576" s="1">
        <v>0.0</v>
      </c>
      <c r="AM1576" s="1">
        <v>6439.0</v>
      </c>
      <c r="AN1576" s="1">
        <v>6439.0</v>
      </c>
      <c r="AO1576" s="1">
        <v>6439.0</v>
      </c>
      <c r="AP1576" s="1">
        <v>2.467</v>
      </c>
      <c r="AR1576" s="1">
        <v>0.0</v>
      </c>
      <c r="AW1576" s="1">
        <v>0.0</v>
      </c>
      <c r="AX1576" s="1">
        <v>4.0</v>
      </c>
      <c r="AY1576" s="1">
        <v>4.0</v>
      </c>
      <c r="BA1576" s="1">
        <v>0.0</v>
      </c>
      <c r="BB1576" s="1">
        <v>0.0</v>
      </c>
      <c r="BC1576" s="1">
        <v>0.0</v>
      </c>
      <c r="BD1576" s="1">
        <v>0.0</v>
      </c>
      <c r="BE1576" s="1">
        <v>0.0</v>
      </c>
      <c r="BF1576" s="1">
        <v>0.0</v>
      </c>
      <c r="BG1576" s="1">
        <v>0.0</v>
      </c>
      <c r="BH1576" s="1">
        <v>0.0</v>
      </c>
      <c r="BI1576" s="1">
        <v>0.0</v>
      </c>
      <c r="BJ1576" s="1">
        <v>0.0</v>
      </c>
      <c r="BP1576" s="1">
        <v>0.263</v>
      </c>
      <c r="BQ1576" s="1" t="s">
        <v>5223</v>
      </c>
      <c r="BV1576" s="1">
        <v>1.1</v>
      </c>
      <c r="EQ1576" s="9" t="s">
        <v>5222</v>
      </c>
      <c r="ER1576" s="21">
        <v>46045.30086805556</v>
      </c>
    </row>
    <row r="1577">
      <c r="A1577" s="9" t="s">
        <v>5224</v>
      </c>
      <c r="B1577" s="20" t="str">
        <f>IFERROR(__xludf.DUMMYFUNCTION("REGEXREPLACE(A1577, ""^https?://[^/]+"", """")"),"/how-fractional-sales-consultants-deliver-success-through-sales-outsourcing/")</f>
        <v>/how-fractional-sales-consultants-deliver-success-through-sales-outsourcing/</v>
      </c>
      <c r="C1577" s="1" t="s">
        <v>5225</v>
      </c>
      <c r="D1577" s="1" t="s">
        <v>5226</v>
      </c>
      <c r="E1577" s="1" t="s">
        <v>5227</v>
      </c>
      <c r="F1577" s="1" t="s">
        <v>965</v>
      </c>
      <c r="G1577" s="1">
        <v>200.0</v>
      </c>
      <c r="H1577" s="1" t="s">
        <v>966</v>
      </c>
      <c r="I1577" s="1" t="s">
        <v>967</v>
      </c>
      <c r="K1577" s="1" t="s">
        <v>5228</v>
      </c>
      <c r="L1577" s="1">
        <v>56.0</v>
      </c>
      <c r="M1577" s="1">
        <v>546.0</v>
      </c>
      <c r="O1577" s="1">
        <v>0.0</v>
      </c>
      <c r="P1577" s="1">
        <v>0.0</v>
      </c>
      <c r="Q1577" s="1" t="s">
        <v>5229</v>
      </c>
      <c r="R1577" s="1">
        <v>147.0</v>
      </c>
      <c r="S1577" s="1">
        <v>959.0</v>
      </c>
      <c r="U1577" s="1">
        <v>0.0</v>
      </c>
      <c r="V1577" s="1" t="s">
        <v>5225</v>
      </c>
      <c r="W1577" s="1">
        <v>74.0</v>
      </c>
      <c r="Y1577" s="1">
        <v>0.0</v>
      </c>
      <c r="Z1577" s="1" t="s">
        <v>5226</v>
      </c>
      <c r="AA1577" s="1">
        <v>39.0</v>
      </c>
      <c r="AB1577" s="1" t="s">
        <v>5227</v>
      </c>
      <c r="AC1577" s="1">
        <v>31.0</v>
      </c>
      <c r="AD1577" s="1" t="s">
        <v>971</v>
      </c>
      <c r="AG1577" s="9" t="s">
        <v>5224</v>
      </c>
      <c r="AM1577" s="1">
        <v>202218.0</v>
      </c>
      <c r="AN1577" s="1">
        <v>36637.0</v>
      </c>
      <c r="AO1577" s="1">
        <v>36637.0</v>
      </c>
      <c r="AP1577" s="1">
        <v>14.035</v>
      </c>
      <c r="AR1577" s="1">
        <v>1571.0</v>
      </c>
      <c r="AS1577" s="1">
        <v>235.0</v>
      </c>
      <c r="AT1577" s="1">
        <v>6.685</v>
      </c>
      <c r="AU1577" s="1">
        <v>50.775</v>
      </c>
      <c r="AV1577" s="1" t="s">
        <v>972</v>
      </c>
      <c r="AW1577" s="1">
        <v>6.288</v>
      </c>
      <c r="AX1577" s="1">
        <v>4.0</v>
      </c>
      <c r="AY1577" s="1">
        <v>1.0</v>
      </c>
      <c r="AZ1577" s="1">
        <v>1.0</v>
      </c>
      <c r="BA1577" s="1">
        <v>2.0</v>
      </c>
      <c r="BB1577" s="1">
        <v>1.0</v>
      </c>
      <c r="BC1577" s="1">
        <v>0.0</v>
      </c>
      <c r="BD1577" s="1">
        <v>0.13</v>
      </c>
      <c r="BE1577" s="1">
        <v>133.0</v>
      </c>
      <c r="BF1577" s="1">
        <v>50.0</v>
      </c>
      <c r="BG1577" s="1">
        <v>0.0</v>
      </c>
      <c r="BH1577" s="1">
        <v>19.0</v>
      </c>
      <c r="BI1577" s="1">
        <v>11.0</v>
      </c>
      <c r="BJ1577" s="1">
        <v>0.0</v>
      </c>
      <c r="BO1577" s="1" t="s">
        <v>5230</v>
      </c>
      <c r="BP1577" s="1">
        <v>0.994</v>
      </c>
      <c r="BU1577" s="1" t="s">
        <v>974</v>
      </c>
      <c r="BV1577" s="1">
        <v>1.1</v>
      </c>
      <c r="EQ1577" s="9" t="s">
        <v>5224</v>
      </c>
      <c r="ER1577" s="21">
        <v>46045.30085648148</v>
      </c>
    </row>
    <row r="1578">
      <c r="A1578" s="9" t="s">
        <v>5231</v>
      </c>
      <c r="B1578" s="20" t="str">
        <f>IFERROR(__xludf.DUMMYFUNCTION("REGEXREPLACE(A1578, ""^https?://[^/]+"", """")"),"/how-wake-up-calls-and-alarming-events-can-reveal-new-career-paths/")</f>
        <v>/how-wake-up-calls-and-alarming-events-can-reveal-new-career-paths/</v>
      </c>
      <c r="C1578" s="1" t="s">
        <v>5232</v>
      </c>
      <c r="D1578" s="1" t="s">
        <v>5233</v>
      </c>
      <c r="E1578" s="1" t="s">
        <v>5234</v>
      </c>
      <c r="F1578" s="1" t="s">
        <v>965</v>
      </c>
      <c r="G1578" s="1">
        <v>200.0</v>
      </c>
      <c r="H1578" s="1" t="s">
        <v>966</v>
      </c>
      <c r="I1578" s="1" t="s">
        <v>967</v>
      </c>
      <c r="K1578" s="1" t="s">
        <v>5235</v>
      </c>
      <c r="L1578" s="1">
        <v>90.0</v>
      </c>
      <c r="M1578" s="1">
        <v>848.0</v>
      </c>
      <c r="O1578" s="1">
        <v>0.0</v>
      </c>
      <c r="P1578" s="1">
        <v>0.0</v>
      </c>
      <c r="Q1578" s="1" t="s">
        <v>5236</v>
      </c>
      <c r="R1578" s="1">
        <v>154.0</v>
      </c>
      <c r="S1578" s="1">
        <v>945.0</v>
      </c>
      <c r="U1578" s="1">
        <v>0.0</v>
      </c>
      <c r="V1578" s="1" t="s">
        <v>5232</v>
      </c>
      <c r="W1578" s="1">
        <v>65.0</v>
      </c>
      <c r="Y1578" s="1">
        <v>0.0</v>
      </c>
      <c r="Z1578" s="1" t="s">
        <v>5233</v>
      </c>
      <c r="AA1578" s="1">
        <v>18.0</v>
      </c>
      <c r="AB1578" s="1" t="s">
        <v>5234</v>
      </c>
      <c r="AC1578" s="1">
        <v>22.0</v>
      </c>
      <c r="AD1578" s="1" t="s">
        <v>971</v>
      </c>
      <c r="AG1578" s="9" t="s">
        <v>5231</v>
      </c>
      <c r="AM1578" s="1">
        <v>202403.0</v>
      </c>
      <c r="AN1578" s="1">
        <v>35967.0</v>
      </c>
      <c r="AO1578" s="1">
        <v>35967.0</v>
      </c>
      <c r="AP1578" s="1">
        <v>13.778</v>
      </c>
      <c r="AR1578" s="1">
        <v>1252.0</v>
      </c>
      <c r="AS1578" s="1">
        <v>189.0</v>
      </c>
      <c r="AT1578" s="1">
        <v>6.624</v>
      </c>
      <c r="AU1578" s="1">
        <v>66.86</v>
      </c>
      <c r="AV1578" s="1" t="s">
        <v>990</v>
      </c>
      <c r="AW1578" s="1">
        <v>4.932</v>
      </c>
      <c r="AX1578" s="1">
        <v>4.0</v>
      </c>
      <c r="AY1578" s="1">
        <v>1.0</v>
      </c>
      <c r="AZ1578" s="1">
        <v>1.0</v>
      </c>
      <c r="BA1578" s="1">
        <v>2.0</v>
      </c>
      <c r="BB1578" s="1">
        <v>1.0</v>
      </c>
      <c r="BC1578" s="1">
        <v>0.0</v>
      </c>
      <c r="BD1578" s="1">
        <v>0.13</v>
      </c>
      <c r="BE1578" s="1">
        <v>132.0</v>
      </c>
      <c r="BF1578" s="1">
        <v>50.0</v>
      </c>
      <c r="BG1578" s="1">
        <v>0.0</v>
      </c>
      <c r="BH1578" s="1">
        <v>16.0</v>
      </c>
      <c r="BI1578" s="1">
        <v>8.0</v>
      </c>
      <c r="BJ1578" s="1">
        <v>0.0</v>
      </c>
      <c r="BO1578" s="1" t="s">
        <v>5237</v>
      </c>
      <c r="BP1578" s="1">
        <v>0.984</v>
      </c>
      <c r="BU1578" s="1" t="s">
        <v>974</v>
      </c>
      <c r="BV1578" s="1">
        <v>1.1</v>
      </c>
      <c r="EQ1578" s="9" t="s">
        <v>5231</v>
      </c>
      <c r="ER1578" s="21">
        <v>46045.30085648148</v>
      </c>
    </row>
    <row r="1579">
      <c r="A1579" s="9" t="s">
        <v>5238</v>
      </c>
      <c r="B1579" s="20" t="str">
        <f>IFERROR(__xludf.DUMMYFUNCTION("REGEXREPLACE(A1579, ""^https?://[^/]+"", """")"),"/wp-content/uploads/2021/11/Business-Woman-Contemplating-New-Career-Path-300x200.jpeg")</f>
        <v>/wp-content/uploads/2021/11/Business-Woman-Contemplating-New-Career-Path-300x200.jpeg</v>
      </c>
      <c r="F1579" s="1" t="s">
        <v>1004</v>
      </c>
      <c r="G1579" s="1">
        <v>200.0</v>
      </c>
      <c r="H1579" s="1" t="s">
        <v>966</v>
      </c>
      <c r="I1579" s="1" t="s">
        <v>967</v>
      </c>
      <c r="L1579" s="1">
        <v>0.0</v>
      </c>
      <c r="M1579" s="1">
        <v>0.0</v>
      </c>
      <c r="O1579" s="1">
        <v>0.0</v>
      </c>
      <c r="P1579" s="1">
        <v>0.0</v>
      </c>
      <c r="R1579" s="1">
        <v>0.0</v>
      </c>
      <c r="S1579" s="1">
        <v>0.0</v>
      </c>
      <c r="U1579" s="1">
        <v>0.0</v>
      </c>
      <c r="W1579" s="1">
        <v>0.0</v>
      </c>
      <c r="Y1579" s="1">
        <v>0.0</v>
      </c>
      <c r="AA1579" s="1">
        <v>0.0</v>
      </c>
      <c r="AC1579" s="1">
        <v>0.0</v>
      </c>
      <c r="AM1579" s="1">
        <v>15334.0</v>
      </c>
      <c r="AN1579" s="1">
        <v>15334.0</v>
      </c>
      <c r="AO1579" s="1">
        <v>15334.0</v>
      </c>
      <c r="AP1579" s="1">
        <v>5.874</v>
      </c>
      <c r="AR1579" s="1">
        <v>0.0</v>
      </c>
      <c r="AW1579" s="1">
        <v>0.0</v>
      </c>
      <c r="AX1579" s="1">
        <v>4.0</v>
      </c>
      <c r="AY1579" s="1">
        <v>4.0</v>
      </c>
      <c r="BA1579" s="1">
        <v>0.0</v>
      </c>
      <c r="BB1579" s="1">
        <v>0.0</v>
      </c>
      <c r="BC1579" s="1">
        <v>0.0</v>
      </c>
      <c r="BD1579" s="1">
        <v>0.0</v>
      </c>
      <c r="BE1579" s="1">
        <v>0.0</v>
      </c>
      <c r="BF1579" s="1">
        <v>0.0</v>
      </c>
      <c r="BG1579" s="1">
        <v>0.0</v>
      </c>
      <c r="BH1579" s="1">
        <v>0.0</v>
      </c>
      <c r="BI1579" s="1">
        <v>0.0</v>
      </c>
      <c r="BJ1579" s="1">
        <v>0.0</v>
      </c>
      <c r="BP1579" s="1">
        <v>0.273</v>
      </c>
      <c r="BQ1579" s="1" t="s">
        <v>5239</v>
      </c>
      <c r="BV1579" s="1">
        <v>1.1</v>
      </c>
      <c r="EQ1579" s="9" t="s">
        <v>5238</v>
      </c>
      <c r="ER1579" s="21">
        <v>46045.30086805556</v>
      </c>
    </row>
    <row r="1580">
      <c r="A1580" s="9" t="s">
        <v>5240</v>
      </c>
      <c r="B1580" s="20" t="str">
        <f>IFERROR(__xludf.DUMMYFUNCTION("REGEXREPLACE(A1580, ""^https?://[^/]+"", """")"),"/how-interim-executives-can-be-a-surprising-benefit-to-your-company/")</f>
        <v>/how-interim-executives-can-be-a-surprising-benefit-to-your-company/</v>
      </c>
      <c r="C1580" s="1" t="s">
        <v>5241</v>
      </c>
      <c r="F1580" s="1" t="s">
        <v>965</v>
      </c>
      <c r="G1580" s="1">
        <v>200.0</v>
      </c>
      <c r="H1580" s="1" t="s">
        <v>966</v>
      </c>
      <c r="I1580" s="1" t="s">
        <v>967</v>
      </c>
      <c r="K1580" s="1" t="s">
        <v>5242</v>
      </c>
      <c r="L1580" s="1">
        <v>106.0</v>
      </c>
      <c r="M1580" s="1">
        <v>968.0</v>
      </c>
      <c r="O1580" s="1">
        <v>0.0</v>
      </c>
      <c r="P1580" s="1">
        <v>0.0</v>
      </c>
      <c r="Q1580" s="1" t="s">
        <v>5243</v>
      </c>
      <c r="R1580" s="1">
        <v>151.0</v>
      </c>
      <c r="S1580" s="1">
        <v>934.0</v>
      </c>
      <c r="U1580" s="1">
        <v>0.0</v>
      </c>
      <c r="V1580" s="1" t="s">
        <v>5241</v>
      </c>
      <c r="W1580" s="1">
        <v>81.0</v>
      </c>
      <c r="Y1580" s="1">
        <v>0.0</v>
      </c>
      <c r="AA1580" s="1">
        <v>0.0</v>
      </c>
      <c r="AC1580" s="1">
        <v>0.0</v>
      </c>
      <c r="AD1580" s="1" t="s">
        <v>971</v>
      </c>
      <c r="AG1580" s="9" t="s">
        <v>5240</v>
      </c>
      <c r="AM1580" s="1">
        <v>200080.0</v>
      </c>
      <c r="AN1580" s="1">
        <v>34231.0</v>
      </c>
      <c r="AO1580" s="1">
        <v>34231.0</v>
      </c>
      <c r="AP1580" s="1">
        <v>13.113</v>
      </c>
      <c r="AR1580" s="1">
        <v>706.0</v>
      </c>
      <c r="AS1580" s="1">
        <v>116.0</v>
      </c>
      <c r="AT1580" s="1">
        <v>6.086</v>
      </c>
      <c r="AU1580" s="1">
        <v>60.097</v>
      </c>
      <c r="AV1580" s="1" t="s">
        <v>990</v>
      </c>
      <c r="AW1580" s="1">
        <v>3.383</v>
      </c>
      <c r="AX1580" s="1">
        <v>4.0</v>
      </c>
      <c r="AY1580" s="1">
        <v>1.0</v>
      </c>
      <c r="AZ1580" s="1">
        <v>1.0</v>
      </c>
      <c r="BA1580" s="1">
        <v>2.0</v>
      </c>
      <c r="BB1580" s="1">
        <v>1.0</v>
      </c>
      <c r="BC1580" s="1">
        <v>0.0</v>
      </c>
      <c r="BD1580" s="1">
        <v>0.13</v>
      </c>
      <c r="BE1580" s="1">
        <v>130.0</v>
      </c>
      <c r="BF1580" s="1">
        <v>47.0</v>
      </c>
      <c r="BG1580" s="1">
        <v>0.0</v>
      </c>
      <c r="BH1580" s="1">
        <v>17.0</v>
      </c>
      <c r="BI1580" s="1">
        <v>9.0</v>
      </c>
      <c r="BJ1580" s="1">
        <v>0.0</v>
      </c>
      <c r="BO1580" s="1" t="s">
        <v>5244</v>
      </c>
      <c r="BP1580" s="1">
        <v>0.979</v>
      </c>
      <c r="BU1580" s="1" t="s">
        <v>974</v>
      </c>
      <c r="BV1580" s="1">
        <v>1.1</v>
      </c>
      <c r="EQ1580" s="9" t="s">
        <v>5240</v>
      </c>
      <c r="ER1580" s="21">
        <v>46045.30085648148</v>
      </c>
    </row>
    <row r="1581">
      <c r="A1581" s="9" t="s">
        <v>5245</v>
      </c>
      <c r="B1581" s="20" t="str">
        <f>IFERROR(__xludf.DUMMYFUNCTION("REGEXREPLACE(A1581, ""^https?://[^/]+"", """")"),"/wp-content/uploads/2021/01/shutterstock_633351611-scaled-1-300x200.jpg")</f>
        <v>/wp-content/uploads/2021/01/shutterstock_633351611-scaled-1-300x200.jpg</v>
      </c>
      <c r="F1581" s="1" t="s">
        <v>1004</v>
      </c>
      <c r="G1581" s="1">
        <v>200.0</v>
      </c>
      <c r="H1581" s="1" t="s">
        <v>966</v>
      </c>
      <c r="I1581" s="1" t="s">
        <v>967</v>
      </c>
      <c r="L1581" s="1">
        <v>0.0</v>
      </c>
      <c r="M1581" s="1">
        <v>0.0</v>
      </c>
      <c r="O1581" s="1">
        <v>0.0</v>
      </c>
      <c r="P1581" s="1">
        <v>0.0</v>
      </c>
      <c r="R1581" s="1">
        <v>0.0</v>
      </c>
      <c r="S1581" s="1">
        <v>0.0</v>
      </c>
      <c r="U1581" s="1">
        <v>0.0</v>
      </c>
      <c r="W1581" s="1">
        <v>0.0</v>
      </c>
      <c r="Y1581" s="1">
        <v>0.0</v>
      </c>
      <c r="AA1581" s="1">
        <v>0.0</v>
      </c>
      <c r="AC1581" s="1">
        <v>0.0</v>
      </c>
      <c r="AM1581" s="1">
        <v>14187.0</v>
      </c>
      <c r="AN1581" s="1">
        <v>14187.0</v>
      </c>
      <c r="AO1581" s="1">
        <v>14187.0</v>
      </c>
      <c r="AP1581" s="1">
        <v>5.435</v>
      </c>
      <c r="AR1581" s="1">
        <v>0.0</v>
      </c>
      <c r="AW1581" s="1">
        <v>0.0</v>
      </c>
      <c r="AX1581" s="1">
        <v>4.0</v>
      </c>
      <c r="AY1581" s="1">
        <v>4.0</v>
      </c>
      <c r="BA1581" s="1">
        <v>0.0</v>
      </c>
      <c r="BB1581" s="1">
        <v>0.0</v>
      </c>
      <c r="BC1581" s="1">
        <v>0.0</v>
      </c>
      <c r="BD1581" s="1">
        <v>0.0</v>
      </c>
      <c r="BE1581" s="1">
        <v>0.0</v>
      </c>
      <c r="BF1581" s="1">
        <v>0.0</v>
      </c>
      <c r="BG1581" s="1">
        <v>0.0</v>
      </c>
      <c r="BH1581" s="1">
        <v>0.0</v>
      </c>
      <c r="BI1581" s="1">
        <v>0.0</v>
      </c>
      <c r="BJ1581" s="1">
        <v>0.0</v>
      </c>
      <c r="BP1581" s="1">
        <v>0.287</v>
      </c>
      <c r="BQ1581" s="1" t="s">
        <v>5246</v>
      </c>
      <c r="BV1581" s="1">
        <v>1.1</v>
      </c>
      <c r="EQ1581" s="9" t="s">
        <v>5245</v>
      </c>
      <c r="ER1581" s="21">
        <v>46045.30087962963</v>
      </c>
    </row>
    <row r="1582">
      <c r="A1582" s="9" t="s">
        <v>5247</v>
      </c>
      <c r="B1582" s="20" t="str">
        <f>IFERROR(__xludf.DUMMYFUNCTION("REGEXREPLACE(A1582, ""^https?://[^/]+"", """")"),"/wp-content/uploads/2023/07/Businesswoman-in-thought.jpg")</f>
        <v>/wp-content/uploads/2023/07/Businesswoman-in-thought.jpg</v>
      </c>
      <c r="F1582" s="1" t="s">
        <v>1004</v>
      </c>
      <c r="G1582" s="1">
        <v>200.0</v>
      </c>
      <c r="H1582" s="1" t="s">
        <v>966</v>
      </c>
      <c r="I1582" s="1" t="s">
        <v>967</v>
      </c>
      <c r="L1582" s="1">
        <v>0.0</v>
      </c>
      <c r="M1582" s="1">
        <v>0.0</v>
      </c>
      <c r="O1582" s="1">
        <v>0.0</v>
      </c>
      <c r="P1582" s="1">
        <v>0.0</v>
      </c>
      <c r="R1582" s="1">
        <v>0.0</v>
      </c>
      <c r="S1582" s="1">
        <v>0.0</v>
      </c>
      <c r="U1582" s="1">
        <v>0.0</v>
      </c>
      <c r="W1582" s="1">
        <v>0.0</v>
      </c>
      <c r="Y1582" s="1">
        <v>0.0</v>
      </c>
      <c r="AA1582" s="1">
        <v>0.0</v>
      </c>
      <c r="AC1582" s="1">
        <v>0.0</v>
      </c>
      <c r="AM1582" s="1">
        <v>289056.0</v>
      </c>
      <c r="AN1582" s="1">
        <v>289056.0</v>
      </c>
      <c r="AO1582" s="1">
        <v>289056.0</v>
      </c>
      <c r="AP1582" s="1">
        <v>110.732</v>
      </c>
      <c r="AR1582" s="1">
        <v>0.0</v>
      </c>
      <c r="AW1582" s="1">
        <v>0.0</v>
      </c>
      <c r="AX1582" s="1">
        <v>4.0</v>
      </c>
      <c r="AY1582" s="1">
        <v>4.0</v>
      </c>
      <c r="BA1582" s="1">
        <v>0.0</v>
      </c>
      <c r="BB1582" s="1">
        <v>0.0</v>
      </c>
      <c r="BC1582" s="1">
        <v>0.0</v>
      </c>
      <c r="BD1582" s="1">
        <v>0.0</v>
      </c>
      <c r="BE1582" s="1">
        <v>0.0</v>
      </c>
      <c r="BF1582" s="1">
        <v>0.0</v>
      </c>
      <c r="BG1582" s="1">
        <v>0.0</v>
      </c>
      <c r="BH1582" s="1">
        <v>0.0</v>
      </c>
      <c r="BI1582" s="1">
        <v>0.0</v>
      </c>
      <c r="BJ1582" s="1">
        <v>0.0</v>
      </c>
      <c r="BP1582" s="1">
        <v>0.275</v>
      </c>
      <c r="BQ1582" s="1" t="s">
        <v>5248</v>
      </c>
      <c r="BV1582" s="1">
        <v>1.1</v>
      </c>
      <c r="EQ1582" s="9" t="s">
        <v>5247</v>
      </c>
      <c r="ER1582" s="21">
        <v>46045.30087962963</v>
      </c>
    </row>
    <row r="1583">
      <c r="A1583" s="9" t="s">
        <v>5249</v>
      </c>
      <c r="B1583" s="20" t="str">
        <f>IFERROR(__xludf.DUMMYFUNCTION("REGEXREPLACE(A1583, ""^https?://[^/]+"", """")"),"/wp-content/uploads/2023/02/finding-your-professional-purpose.jpg")</f>
        <v>/wp-content/uploads/2023/02/finding-your-professional-purpose.jpg</v>
      </c>
      <c r="F1583" s="1" t="s">
        <v>1004</v>
      </c>
      <c r="G1583" s="1">
        <v>200.0</v>
      </c>
      <c r="H1583" s="1" t="s">
        <v>966</v>
      </c>
      <c r="I1583" s="1" t="s">
        <v>967</v>
      </c>
      <c r="L1583" s="1">
        <v>0.0</v>
      </c>
      <c r="M1583" s="1">
        <v>0.0</v>
      </c>
      <c r="O1583" s="1">
        <v>0.0</v>
      </c>
      <c r="P1583" s="1">
        <v>0.0</v>
      </c>
      <c r="R1583" s="1">
        <v>0.0</v>
      </c>
      <c r="S1583" s="1">
        <v>0.0</v>
      </c>
      <c r="U1583" s="1">
        <v>0.0</v>
      </c>
      <c r="W1583" s="1">
        <v>0.0</v>
      </c>
      <c r="Y1583" s="1">
        <v>0.0</v>
      </c>
      <c r="AA1583" s="1">
        <v>0.0</v>
      </c>
      <c r="AC1583" s="1">
        <v>0.0</v>
      </c>
      <c r="AM1583" s="1">
        <v>207456.0</v>
      </c>
      <c r="AN1583" s="1">
        <v>207456.0</v>
      </c>
      <c r="AO1583" s="1">
        <v>207456.0</v>
      </c>
      <c r="AP1583" s="1">
        <v>79.472</v>
      </c>
      <c r="AR1583" s="1">
        <v>0.0</v>
      </c>
      <c r="AW1583" s="1">
        <v>0.0</v>
      </c>
      <c r="AX1583" s="1">
        <v>4.0</v>
      </c>
      <c r="AY1583" s="1">
        <v>4.0</v>
      </c>
      <c r="BA1583" s="1">
        <v>0.0</v>
      </c>
      <c r="BB1583" s="1">
        <v>0.0</v>
      </c>
      <c r="BC1583" s="1">
        <v>0.0</v>
      </c>
      <c r="BD1583" s="1">
        <v>0.0</v>
      </c>
      <c r="BE1583" s="1">
        <v>0.0</v>
      </c>
      <c r="BF1583" s="1">
        <v>0.0</v>
      </c>
      <c r="BG1583" s="1">
        <v>0.0</v>
      </c>
      <c r="BH1583" s="1">
        <v>0.0</v>
      </c>
      <c r="BI1583" s="1">
        <v>0.0</v>
      </c>
      <c r="BJ1583" s="1">
        <v>0.0</v>
      </c>
      <c r="BP1583" s="1">
        <v>0.284</v>
      </c>
      <c r="BQ1583" s="1" t="s">
        <v>5250</v>
      </c>
      <c r="BV1583" s="1">
        <v>1.1</v>
      </c>
      <c r="EQ1583" s="9" t="s">
        <v>5249</v>
      </c>
      <c r="ER1583" s="21">
        <v>46045.30087962963</v>
      </c>
    </row>
    <row r="1584">
      <c r="A1584" s="9" t="s">
        <v>5251</v>
      </c>
      <c r="B1584" s="20" t="str">
        <f>IFERROR(__xludf.DUMMYFUNCTION("REGEXREPLACE(A1584, ""^https?://[^/]+"", """")"),"/whats-your-superpower-and-how-are-you-using-it-to-help-others/")</f>
        <v>/whats-your-superpower-and-how-are-you-using-it-to-help-others/</v>
      </c>
      <c r="C1584" s="1" t="s">
        <v>5252</v>
      </c>
      <c r="D1584" s="1" t="s">
        <v>5253</v>
      </c>
      <c r="E1584" s="1" t="s">
        <v>5254</v>
      </c>
      <c r="F1584" s="1" t="s">
        <v>965</v>
      </c>
      <c r="G1584" s="1">
        <v>200.0</v>
      </c>
      <c r="H1584" s="1" t="s">
        <v>966</v>
      </c>
      <c r="I1584" s="1" t="s">
        <v>967</v>
      </c>
      <c r="K1584" s="1" t="s">
        <v>5255</v>
      </c>
      <c r="L1584" s="1">
        <v>91.0</v>
      </c>
      <c r="M1584" s="1">
        <v>832.0</v>
      </c>
      <c r="O1584" s="1">
        <v>0.0</v>
      </c>
      <c r="P1584" s="1">
        <v>0.0</v>
      </c>
      <c r="Q1584" s="1" t="s">
        <v>5256</v>
      </c>
      <c r="R1584" s="1">
        <v>111.0</v>
      </c>
      <c r="S1584" s="1">
        <v>677.0</v>
      </c>
      <c r="U1584" s="1">
        <v>0.0</v>
      </c>
      <c r="V1584" s="1" t="s">
        <v>5252</v>
      </c>
      <c r="W1584" s="1">
        <v>66.0</v>
      </c>
      <c r="Y1584" s="1">
        <v>0.0</v>
      </c>
      <c r="Z1584" s="1" t="s">
        <v>5253</v>
      </c>
      <c r="AA1584" s="1">
        <v>12.0</v>
      </c>
      <c r="AB1584" s="1" t="s">
        <v>5254</v>
      </c>
      <c r="AC1584" s="1">
        <v>8.0</v>
      </c>
      <c r="AD1584" s="1" t="s">
        <v>971</v>
      </c>
      <c r="AG1584" s="9" t="s">
        <v>5251</v>
      </c>
      <c r="AM1584" s="1">
        <v>201890.0</v>
      </c>
      <c r="AN1584" s="1">
        <v>36013.0</v>
      </c>
      <c r="AO1584" s="1">
        <v>36013.0</v>
      </c>
      <c r="AP1584" s="1">
        <v>13.796</v>
      </c>
      <c r="AR1584" s="1">
        <v>1362.0</v>
      </c>
      <c r="AS1584" s="1">
        <v>209.0</v>
      </c>
      <c r="AT1584" s="1">
        <v>6.517</v>
      </c>
      <c r="AU1584" s="1">
        <v>62.637</v>
      </c>
      <c r="AV1584" s="1" t="s">
        <v>990</v>
      </c>
      <c r="AW1584" s="1">
        <v>5.355</v>
      </c>
      <c r="AX1584" s="1">
        <v>4.0</v>
      </c>
      <c r="AY1584" s="1">
        <v>1.0</v>
      </c>
      <c r="AZ1584" s="1">
        <v>1.0</v>
      </c>
      <c r="BA1584" s="1">
        <v>5.0</v>
      </c>
      <c r="BB1584" s="1">
        <v>2.0</v>
      </c>
      <c r="BC1584" s="1">
        <v>0.0</v>
      </c>
      <c r="BD1584" s="1">
        <v>0.27</v>
      </c>
      <c r="BE1584" s="1">
        <v>136.0</v>
      </c>
      <c r="BF1584" s="1">
        <v>48.0</v>
      </c>
      <c r="BG1584" s="1">
        <v>0.0</v>
      </c>
      <c r="BH1584" s="1">
        <v>16.0</v>
      </c>
      <c r="BI1584" s="1">
        <v>8.0</v>
      </c>
      <c r="BJ1584" s="1">
        <v>0.0</v>
      </c>
      <c r="BO1584" s="1" t="s">
        <v>5257</v>
      </c>
      <c r="BP1584" s="1">
        <v>0.989</v>
      </c>
      <c r="BU1584" s="1" t="s">
        <v>974</v>
      </c>
      <c r="BV1584" s="1">
        <v>1.1</v>
      </c>
      <c r="EQ1584" s="9" t="s">
        <v>5251</v>
      </c>
      <c r="ER1584" s="21">
        <v>46045.30086805556</v>
      </c>
    </row>
    <row r="1585">
      <c r="A1585" s="9" t="s">
        <v>5258</v>
      </c>
      <c r="B1585" s="20" t="str">
        <f>IFERROR(__xludf.DUMMYFUNCTION("REGEXREPLACE(A1585, ""^https?://[^/]+"", """")"),"/whats-your-next-sales-leadership-dream-job/")</f>
        <v>/whats-your-next-sales-leadership-dream-job/</v>
      </c>
      <c r="C1585" s="1" t="s">
        <v>5259</v>
      </c>
      <c r="D1585" s="1" t="s">
        <v>5260</v>
      </c>
      <c r="E1585" s="1" t="s">
        <v>5261</v>
      </c>
      <c r="F1585" s="1" t="s">
        <v>965</v>
      </c>
      <c r="G1585" s="1">
        <v>200.0</v>
      </c>
      <c r="H1585" s="1" t="s">
        <v>966</v>
      </c>
      <c r="I1585" s="1" t="s">
        <v>967</v>
      </c>
      <c r="K1585" s="1" t="s">
        <v>5262</v>
      </c>
      <c r="L1585" s="1">
        <v>69.0</v>
      </c>
      <c r="M1585" s="1">
        <v>647.0</v>
      </c>
      <c r="O1585" s="1">
        <v>0.0</v>
      </c>
      <c r="P1585" s="1">
        <v>0.0</v>
      </c>
      <c r="Q1585" s="1" t="s">
        <v>5263</v>
      </c>
      <c r="R1585" s="1">
        <v>158.0</v>
      </c>
      <c r="S1585" s="1">
        <v>939.0</v>
      </c>
      <c r="U1585" s="1">
        <v>0.0</v>
      </c>
      <c r="V1585" s="1" t="s">
        <v>5259</v>
      </c>
      <c r="W1585" s="1">
        <v>44.0</v>
      </c>
      <c r="Y1585" s="1">
        <v>0.0</v>
      </c>
      <c r="Z1585" s="1" t="s">
        <v>5260</v>
      </c>
      <c r="AA1585" s="1">
        <v>17.0</v>
      </c>
      <c r="AB1585" s="1" t="s">
        <v>5261</v>
      </c>
      <c r="AC1585" s="1">
        <v>30.0</v>
      </c>
      <c r="AD1585" s="1" t="s">
        <v>971</v>
      </c>
      <c r="AG1585" s="9" t="s">
        <v>5258</v>
      </c>
      <c r="AM1585" s="1">
        <v>201772.0</v>
      </c>
      <c r="AN1585" s="1">
        <v>36476.0</v>
      </c>
      <c r="AO1585" s="1">
        <v>36476.0</v>
      </c>
      <c r="AP1585" s="1">
        <v>13.973</v>
      </c>
      <c r="AR1585" s="1">
        <v>1475.0</v>
      </c>
      <c r="AS1585" s="1">
        <v>217.0</v>
      </c>
      <c r="AT1585" s="1">
        <v>6.797</v>
      </c>
      <c r="AU1585" s="1">
        <v>68.132</v>
      </c>
      <c r="AV1585" s="1" t="s">
        <v>990</v>
      </c>
      <c r="AW1585" s="1">
        <v>5.603</v>
      </c>
      <c r="AX1585" s="1">
        <v>4.0</v>
      </c>
      <c r="AY1585" s="1">
        <v>1.0</v>
      </c>
      <c r="AZ1585" s="1">
        <v>1.0</v>
      </c>
      <c r="BA1585" s="1">
        <v>5.0</v>
      </c>
      <c r="BB1585" s="1">
        <v>2.0</v>
      </c>
      <c r="BC1585" s="1">
        <v>0.0</v>
      </c>
      <c r="BD1585" s="1">
        <v>0.27</v>
      </c>
      <c r="BE1585" s="1">
        <v>133.0</v>
      </c>
      <c r="BF1585" s="1">
        <v>48.0</v>
      </c>
      <c r="BG1585" s="1">
        <v>0.0</v>
      </c>
      <c r="BH1585" s="1">
        <v>16.0</v>
      </c>
      <c r="BI1585" s="1">
        <v>8.0</v>
      </c>
      <c r="BJ1585" s="1">
        <v>0.0</v>
      </c>
      <c r="BO1585" s="1" t="s">
        <v>5264</v>
      </c>
      <c r="BP1585" s="1">
        <v>0.995</v>
      </c>
      <c r="BU1585" s="1" t="s">
        <v>974</v>
      </c>
      <c r="BV1585" s="1">
        <v>1.1</v>
      </c>
      <c r="EQ1585" s="9" t="s">
        <v>5258</v>
      </c>
      <c r="ER1585" s="21">
        <v>46045.30086805556</v>
      </c>
    </row>
    <row r="1586">
      <c r="A1586" s="9" t="s">
        <v>5265</v>
      </c>
      <c r="B1586" s="20" t="str">
        <f>IFERROR(__xludf.DUMMYFUNCTION("REGEXREPLACE(A1586, ""^https?://[^/]+"", """")"),"/true-success-is-yours-for-the-making/")</f>
        <v>/true-success-is-yours-for-the-making/</v>
      </c>
      <c r="C1586" s="1" t="s">
        <v>5266</v>
      </c>
      <c r="D1586" s="1" t="s">
        <v>5267</v>
      </c>
      <c r="E1586" s="1" t="s">
        <v>5268</v>
      </c>
      <c r="F1586" s="1" t="s">
        <v>965</v>
      </c>
      <c r="G1586" s="1">
        <v>200.0</v>
      </c>
      <c r="H1586" s="1" t="s">
        <v>966</v>
      </c>
      <c r="I1586" s="1" t="s">
        <v>967</v>
      </c>
      <c r="K1586" s="1" t="s">
        <v>5269</v>
      </c>
      <c r="L1586" s="1">
        <v>61.0</v>
      </c>
      <c r="M1586" s="1">
        <v>545.0</v>
      </c>
      <c r="O1586" s="1">
        <v>0.0</v>
      </c>
      <c r="P1586" s="1">
        <v>0.0</v>
      </c>
      <c r="Q1586" s="1" t="s">
        <v>5270</v>
      </c>
      <c r="R1586" s="1">
        <v>258.0</v>
      </c>
      <c r="S1586" s="1">
        <v>1655.0</v>
      </c>
      <c r="U1586" s="1">
        <v>0.0</v>
      </c>
      <c r="V1586" s="1" t="s">
        <v>5266</v>
      </c>
      <c r="W1586" s="1">
        <v>36.0</v>
      </c>
      <c r="Y1586" s="1">
        <v>0.0</v>
      </c>
      <c r="Z1586" s="1" t="s">
        <v>5267</v>
      </c>
      <c r="AA1586" s="1">
        <v>56.0</v>
      </c>
      <c r="AB1586" s="1" t="s">
        <v>5268</v>
      </c>
      <c r="AC1586" s="1">
        <v>60.0</v>
      </c>
      <c r="AD1586" s="1" t="s">
        <v>971</v>
      </c>
      <c r="AG1586" s="9" t="s">
        <v>5265</v>
      </c>
      <c r="AM1586" s="1">
        <v>198926.0</v>
      </c>
      <c r="AN1586" s="1">
        <v>35545.0</v>
      </c>
      <c r="AO1586" s="1">
        <v>35545.0</v>
      </c>
      <c r="AP1586" s="1">
        <v>13.617</v>
      </c>
      <c r="AR1586" s="1">
        <v>1238.0</v>
      </c>
      <c r="AS1586" s="1">
        <v>188.0</v>
      </c>
      <c r="AT1586" s="1">
        <v>6.585</v>
      </c>
      <c r="AU1586" s="1">
        <v>69.424</v>
      </c>
      <c r="AV1586" s="1" t="s">
        <v>990</v>
      </c>
      <c r="AW1586" s="1">
        <v>4.949</v>
      </c>
      <c r="AX1586" s="1">
        <v>4.0</v>
      </c>
      <c r="AY1586" s="1">
        <v>1.0</v>
      </c>
      <c r="AZ1586" s="1">
        <v>1.0</v>
      </c>
      <c r="BA1586" s="1">
        <v>5.0</v>
      </c>
      <c r="BB1586" s="1">
        <v>2.0</v>
      </c>
      <c r="BC1586" s="1">
        <v>0.0</v>
      </c>
      <c r="BD1586" s="1">
        <v>0.27</v>
      </c>
      <c r="BE1586" s="1">
        <v>132.0</v>
      </c>
      <c r="BF1586" s="1">
        <v>49.0</v>
      </c>
      <c r="BG1586" s="1">
        <v>0.0</v>
      </c>
      <c r="BH1586" s="1">
        <v>16.0</v>
      </c>
      <c r="BI1586" s="1">
        <v>8.0</v>
      </c>
      <c r="BJ1586" s="1">
        <v>0.0</v>
      </c>
      <c r="BO1586" s="1" t="s">
        <v>5271</v>
      </c>
      <c r="BP1586" s="1">
        <v>1.009</v>
      </c>
      <c r="BU1586" s="1" t="s">
        <v>974</v>
      </c>
      <c r="BV1586" s="1">
        <v>1.1</v>
      </c>
      <c r="EQ1586" s="9" t="s">
        <v>5265</v>
      </c>
      <c r="ER1586" s="21">
        <v>46045.30086805556</v>
      </c>
    </row>
    <row r="1587">
      <c r="A1587" s="9" t="s">
        <v>5272</v>
      </c>
      <c r="B1587" s="20" t="str">
        <f>IFERROR(__xludf.DUMMYFUNCTION("REGEXREPLACE(A1587, ""^https?://[^/]+"", """")"),"/wp-content/themes/salesxceleratione/assets/css/style.css?ver=1769123581")</f>
        <v>/wp-content/themes/salesxceleratione/assets/css/style.css?ver=1769123581</v>
      </c>
      <c r="F1587" s="1" t="s">
        <v>1016</v>
      </c>
      <c r="G1587" s="1">
        <v>200.0</v>
      </c>
      <c r="H1587" s="1" t="s">
        <v>966</v>
      </c>
      <c r="I1587" s="1" t="s">
        <v>967</v>
      </c>
      <c r="L1587" s="1">
        <v>0.0</v>
      </c>
      <c r="M1587" s="1">
        <v>0.0</v>
      </c>
      <c r="O1587" s="1">
        <v>0.0</v>
      </c>
      <c r="P1587" s="1">
        <v>0.0</v>
      </c>
      <c r="R1587" s="1">
        <v>0.0</v>
      </c>
      <c r="S1587" s="1">
        <v>0.0</v>
      </c>
      <c r="U1587" s="1">
        <v>0.0</v>
      </c>
      <c r="W1587" s="1">
        <v>0.0</v>
      </c>
      <c r="Y1587" s="1">
        <v>0.0</v>
      </c>
      <c r="AA1587" s="1">
        <v>0.0</v>
      </c>
      <c r="AC1587" s="1">
        <v>0.0</v>
      </c>
      <c r="AM1587" s="1">
        <v>17704.0</v>
      </c>
      <c r="AN1587" s="1">
        <v>17704.0</v>
      </c>
      <c r="AO1587" s="1">
        <v>17704.0</v>
      </c>
      <c r="AP1587" s="1">
        <v>6.782</v>
      </c>
      <c r="AR1587" s="1">
        <v>0.0</v>
      </c>
      <c r="AW1587" s="1">
        <v>0.0</v>
      </c>
      <c r="AX1587" s="1">
        <v>4.0</v>
      </c>
      <c r="AY1587" s="1">
        <v>5.0</v>
      </c>
      <c r="BA1587" s="1">
        <v>0.0</v>
      </c>
      <c r="BB1587" s="1">
        <v>0.0</v>
      </c>
      <c r="BC1587" s="1">
        <v>0.0</v>
      </c>
      <c r="BD1587" s="1">
        <v>0.0</v>
      </c>
      <c r="BE1587" s="1">
        <v>0.0</v>
      </c>
      <c r="BF1587" s="1">
        <v>0.0</v>
      </c>
      <c r="BG1587" s="1">
        <v>0.0</v>
      </c>
      <c r="BH1587" s="1">
        <v>0.0</v>
      </c>
      <c r="BI1587" s="1">
        <v>0.0</v>
      </c>
      <c r="BJ1587" s="1">
        <v>0.0</v>
      </c>
      <c r="BP1587" s="1">
        <v>0.276</v>
      </c>
      <c r="BQ1587" s="1" t="s">
        <v>5273</v>
      </c>
      <c r="BV1587" s="1">
        <v>1.1</v>
      </c>
      <c r="EQ1587" s="9" t="s">
        <v>5272</v>
      </c>
      <c r="ER1587" s="21">
        <v>46045.300891203704</v>
      </c>
    </row>
    <row r="1588">
      <c r="A1588" s="9" t="s">
        <v>5274</v>
      </c>
      <c r="B1588" s="20" t="str">
        <f>IFERROR(__xludf.DUMMYFUNCTION("REGEXREPLACE(A1588, ""^https?://[^/]+"", """")"),"/wp-content/uploads/2023/11/Fractional-Work.jpg")</f>
        <v>/wp-content/uploads/2023/11/Fractional-Work.jpg</v>
      </c>
      <c r="F1588" s="1" t="s">
        <v>1004</v>
      </c>
      <c r="G1588" s="1">
        <v>200.0</v>
      </c>
      <c r="H1588" s="1" t="s">
        <v>966</v>
      </c>
      <c r="I1588" s="1" t="s">
        <v>967</v>
      </c>
      <c r="L1588" s="1">
        <v>0.0</v>
      </c>
      <c r="M1588" s="1">
        <v>0.0</v>
      </c>
      <c r="O1588" s="1">
        <v>0.0</v>
      </c>
      <c r="P1588" s="1">
        <v>0.0</v>
      </c>
      <c r="R1588" s="1">
        <v>0.0</v>
      </c>
      <c r="S1588" s="1">
        <v>0.0</v>
      </c>
      <c r="U1588" s="1">
        <v>0.0</v>
      </c>
      <c r="W1588" s="1">
        <v>0.0</v>
      </c>
      <c r="Y1588" s="1">
        <v>0.0</v>
      </c>
      <c r="AA1588" s="1">
        <v>0.0</v>
      </c>
      <c r="AC1588" s="1">
        <v>0.0</v>
      </c>
      <c r="AM1588" s="1">
        <v>201090.0</v>
      </c>
      <c r="AN1588" s="1">
        <v>201090.0</v>
      </c>
      <c r="AO1588" s="1">
        <v>201090.0</v>
      </c>
      <c r="AP1588" s="1">
        <v>77.034</v>
      </c>
      <c r="AR1588" s="1">
        <v>0.0</v>
      </c>
      <c r="AW1588" s="1">
        <v>0.0</v>
      </c>
      <c r="AX1588" s="1">
        <v>4.0</v>
      </c>
      <c r="AY1588" s="1">
        <v>4.0</v>
      </c>
      <c r="BA1588" s="1">
        <v>0.0</v>
      </c>
      <c r="BB1588" s="1">
        <v>0.0</v>
      </c>
      <c r="BC1588" s="1">
        <v>0.0</v>
      </c>
      <c r="BD1588" s="1">
        <v>0.0</v>
      </c>
      <c r="BE1588" s="1">
        <v>0.0</v>
      </c>
      <c r="BF1588" s="1">
        <v>0.0</v>
      </c>
      <c r="BG1588" s="1">
        <v>0.0</v>
      </c>
      <c r="BH1588" s="1">
        <v>0.0</v>
      </c>
      <c r="BI1588" s="1">
        <v>0.0</v>
      </c>
      <c r="BJ1588" s="1">
        <v>0.0</v>
      </c>
      <c r="BP1588" s="1">
        <v>0.267</v>
      </c>
      <c r="BQ1588" s="1" t="s">
        <v>5275</v>
      </c>
      <c r="BV1588" s="1">
        <v>1.1</v>
      </c>
      <c r="EQ1588" s="9" t="s">
        <v>5274</v>
      </c>
      <c r="ER1588" s="21">
        <v>46045.300891203704</v>
      </c>
    </row>
    <row r="1589">
      <c r="A1589" s="9" t="s">
        <v>5276</v>
      </c>
      <c r="B1589" s="20" t="str">
        <f>IFERROR(__xludf.DUMMYFUNCTION("REGEXREPLACE(A1589, ""^https?://[^/]+"", """")"),"/wp-content/uploads/2022/03/Corporate-Travel-300x300.jpg")</f>
        <v>/wp-content/uploads/2022/03/Corporate-Travel-300x300.jpg</v>
      </c>
      <c r="F1589" s="1" t="s">
        <v>1004</v>
      </c>
      <c r="G1589" s="1">
        <v>200.0</v>
      </c>
      <c r="H1589" s="1" t="s">
        <v>966</v>
      </c>
      <c r="I1589" s="1" t="s">
        <v>967</v>
      </c>
      <c r="L1589" s="1">
        <v>0.0</v>
      </c>
      <c r="M1589" s="1">
        <v>0.0</v>
      </c>
      <c r="O1589" s="1">
        <v>0.0</v>
      </c>
      <c r="P1589" s="1">
        <v>0.0</v>
      </c>
      <c r="R1589" s="1">
        <v>0.0</v>
      </c>
      <c r="S1589" s="1">
        <v>0.0</v>
      </c>
      <c r="U1589" s="1">
        <v>0.0</v>
      </c>
      <c r="W1589" s="1">
        <v>0.0</v>
      </c>
      <c r="Y1589" s="1">
        <v>0.0</v>
      </c>
      <c r="AA1589" s="1">
        <v>0.0</v>
      </c>
      <c r="AC1589" s="1">
        <v>0.0</v>
      </c>
      <c r="AM1589" s="1">
        <v>22393.0</v>
      </c>
      <c r="AN1589" s="1">
        <v>22393.0</v>
      </c>
      <c r="AO1589" s="1">
        <v>22393.0</v>
      </c>
      <c r="AP1589" s="1">
        <v>8.578</v>
      </c>
      <c r="AR1589" s="1">
        <v>0.0</v>
      </c>
      <c r="AW1589" s="1">
        <v>0.0</v>
      </c>
      <c r="AX1589" s="1">
        <v>4.0</v>
      </c>
      <c r="AY1589" s="1">
        <v>4.0</v>
      </c>
      <c r="BA1589" s="1">
        <v>0.0</v>
      </c>
      <c r="BB1589" s="1">
        <v>0.0</v>
      </c>
      <c r="BC1589" s="1">
        <v>0.0</v>
      </c>
      <c r="BD1589" s="1">
        <v>0.0</v>
      </c>
      <c r="BE1589" s="1">
        <v>0.0</v>
      </c>
      <c r="BF1589" s="1">
        <v>0.0</v>
      </c>
      <c r="BG1589" s="1">
        <v>0.0</v>
      </c>
      <c r="BH1589" s="1">
        <v>0.0</v>
      </c>
      <c r="BI1589" s="1">
        <v>0.0</v>
      </c>
      <c r="BJ1589" s="1">
        <v>0.0</v>
      </c>
      <c r="BP1589" s="1">
        <v>0.27</v>
      </c>
      <c r="BQ1589" s="1" t="s">
        <v>4885</v>
      </c>
      <c r="BV1589" s="1">
        <v>1.1</v>
      </c>
      <c r="EQ1589" s="9" t="s">
        <v>5276</v>
      </c>
      <c r="ER1589" s="21">
        <v>46045.300891203704</v>
      </c>
    </row>
    <row r="1590">
      <c r="A1590" s="9" t="s">
        <v>5277</v>
      </c>
      <c r="B1590" s="20" t="str">
        <f>IFERROR(__xludf.DUMMYFUNCTION("REGEXREPLACE(A1590, ""^https?://[^/]+"", """")"),"/why-outsourcing-leadership-roles-is-the-best-business-decision-you-can-make/")</f>
        <v>/why-outsourcing-leadership-roles-is-the-best-business-decision-you-can-make/</v>
      </c>
      <c r="C1590" s="1" t="s">
        <v>5278</v>
      </c>
      <c r="D1590" s="1" t="s">
        <v>5279</v>
      </c>
      <c r="E1590" s="1" t="s">
        <v>5280</v>
      </c>
      <c r="F1590" s="1" t="s">
        <v>965</v>
      </c>
      <c r="G1590" s="1">
        <v>200.0</v>
      </c>
      <c r="H1590" s="1" t="s">
        <v>966</v>
      </c>
      <c r="I1590" s="1" t="s">
        <v>967</v>
      </c>
      <c r="K1590" s="1" t="s">
        <v>5281</v>
      </c>
      <c r="L1590" s="1">
        <v>100.0</v>
      </c>
      <c r="M1590" s="1">
        <v>922.0</v>
      </c>
      <c r="O1590" s="1">
        <v>0.0</v>
      </c>
      <c r="P1590" s="1">
        <v>0.0</v>
      </c>
      <c r="Q1590" s="1" t="s">
        <v>5282</v>
      </c>
      <c r="R1590" s="1">
        <v>153.0</v>
      </c>
      <c r="S1590" s="1">
        <v>932.0</v>
      </c>
      <c r="U1590" s="1">
        <v>0.0</v>
      </c>
      <c r="V1590" s="1" t="s">
        <v>5278</v>
      </c>
      <c r="W1590" s="1">
        <v>75.0</v>
      </c>
      <c r="Y1590" s="1">
        <v>0.0</v>
      </c>
      <c r="Z1590" s="1" t="s">
        <v>5279</v>
      </c>
      <c r="AA1590" s="1">
        <v>36.0</v>
      </c>
      <c r="AB1590" s="1" t="s">
        <v>5280</v>
      </c>
      <c r="AC1590" s="1">
        <v>48.0</v>
      </c>
      <c r="AD1590" s="1" t="s">
        <v>971</v>
      </c>
      <c r="AG1590" s="9" t="s">
        <v>5277</v>
      </c>
      <c r="AM1590" s="1">
        <v>211166.0</v>
      </c>
      <c r="AN1590" s="1">
        <v>39423.0</v>
      </c>
      <c r="AO1590" s="1">
        <v>39423.0</v>
      </c>
      <c r="AP1590" s="1">
        <v>15.102</v>
      </c>
      <c r="AR1590" s="1">
        <v>2634.0</v>
      </c>
      <c r="AS1590" s="1">
        <v>357.0</v>
      </c>
      <c r="AT1590" s="1">
        <v>7.378</v>
      </c>
      <c r="AU1590" s="1">
        <v>61.237</v>
      </c>
      <c r="AV1590" s="1" t="s">
        <v>990</v>
      </c>
      <c r="AW1590" s="1">
        <v>8.975</v>
      </c>
      <c r="AX1590" s="1">
        <v>4.0</v>
      </c>
      <c r="AY1590" s="1">
        <v>1.0</v>
      </c>
      <c r="AZ1590" s="1">
        <v>1.0</v>
      </c>
      <c r="BA1590" s="1">
        <v>3.0</v>
      </c>
      <c r="BB1590" s="1">
        <v>2.0</v>
      </c>
      <c r="BC1590" s="1">
        <v>0.0</v>
      </c>
      <c r="BD1590" s="1">
        <v>0.27</v>
      </c>
      <c r="BE1590" s="1">
        <v>131.0</v>
      </c>
      <c r="BF1590" s="1">
        <v>49.0</v>
      </c>
      <c r="BG1590" s="1">
        <v>0.0</v>
      </c>
      <c r="BH1590" s="1">
        <v>16.0</v>
      </c>
      <c r="BI1590" s="1">
        <v>8.0</v>
      </c>
      <c r="BJ1590" s="1">
        <v>0.0</v>
      </c>
      <c r="BO1590" s="1" t="s">
        <v>5283</v>
      </c>
      <c r="BP1590" s="1">
        <v>1.019</v>
      </c>
      <c r="BU1590" s="1" t="s">
        <v>974</v>
      </c>
      <c r="BV1590" s="1">
        <v>1.1</v>
      </c>
      <c r="EQ1590" s="9" t="s">
        <v>5277</v>
      </c>
      <c r="ER1590" s="21">
        <v>46045.30087962963</v>
      </c>
    </row>
    <row r="1591">
      <c r="A1591" s="9" t="s">
        <v>5284</v>
      </c>
      <c r="B1591" s="20" t="str">
        <f>IFERROR(__xludf.DUMMYFUNCTION("REGEXREPLACE(A1591, ""^https?://[^/]+"", """")"),"/wp-content/uploads/2022/10/shutterstock_2025930416-300x200.jpg")</f>
        <v>/wp-content/uploads/2022/10/shutterstock_2025930416-300x200.jpg</v>
      </c>
      <c r="F1591" s="1" t="s">
        <v>1004</v>
      </c>
      <c r="G1591" s="1">
        <v>200.0</v>
      </c>
      <c r="H1591" s="1" t="s">
        <v>966</v>
      </c>
      <c r="I1591" s="1" t="s">
        <v>967</v>
      </c>
      <c r="L1591" s="1">
        <v>0.0</v>
      </c>
      <c r="M1591" s="1">
        <v>0.0</v>
      </c>
      <c r="O1591" s="1">
        <v>0.0</v>
      </c>
      <c r="P1591" s="1">
        <v>0.0</v>
      </c>
      <c r="R1591" s="1">
        <v>0.0</v>
      </c>
      <c r="S1591" s="1">
        <v>0.0</v>
      </c>
      <c r="U1591" s="1">
        <v>0.0</v>
      </c>
      <c r="W1591" s="1">
        <v>0.0</v>
      </c>
      <c r="Y1591" s="1">
        <v>0.0</v>
      </c>
      <c r="AA1591" s="1">
        <v>0.0</v>
      </c>
      <c r="AC1591" s="1">
        <v>0.0</v>
      </c>
      <c r="AM1591" s="1">
        <v>16592.0</v>
      </c>
      <c r="AN1591" s="1">
        <v>16592.0</v>
      </c>
      <c r="AO1591" s="1">
        <v>16592.0</v>
      </c>
      <c r="AP1591" s="1">
        <v>6.356</v>
      </c>
      <c r="AR1591" s="1">
        <v>0.0</v>
      </c>
      <c r="AW1591" s="1">
        <v>0.0</v>
      </c>
      <c r="AX1591" s="1">
        <v>4.0</v>
      </c>
      <c r="AY1591" s="1">
        <v>4.0</v>
      </c>
      <c r="BA1591" s="1">
        <v>0.0</v>
      </c>
      <c r="BB1591" s="1">
        <v>0.0</v>
      </c>
      <c r="BC1591" s="1">
        <v>0.0</v>
      </c>
      <c r="BD1591" s="1">
        <v>0.0</v>
      </c>
      <c r="BE1591" s="1">
        <v>0.0</v>
      </c>
      <c r="BF1591" s="1">
        <v>0.0</v>
      </c>
      <c r="BG1591" s="1">
        <v>0.0</v>
      </c>
      <c r="BH1591" s="1">
        <v>0.0</v>
      </c>
      <c r="BI1591" s="1">
        <v>0.0</v>
      </c>
      <c r="BJ1591" s="1">
        <v>0.0</v>
      </c>
      <c r="BP1591" s="1">
        <v>0.265</v>
      </c>
      <c r="BQ1591" s="1" t="s">
        <v>5285</v>
      </c>
      <c r="BV1591" s="1">
        <v>1.1</v>
      </c>
      <c r="EQ1591" s="9" t="s">
        <v>5284</v>
      </c>
      <c r="ER1591" s="21">
        <v>46045.300891203704</v>
      </c>
    </row>
    <row r="1592">
      <c r="A1592" s="9" t="s">
        <v>5286</v>
      </c>
      <c r="B1592" s="20" t="str">
        <f>IFERROR(__xludf.DUMMYFUNCTION("REGEXREPLACE(A1592, ""^https?://[^/]+"", """")"),"/wp-content/uploads/2022/09/Inflation-Gauge-300x192.jpg")</f>
        <v>/wp-content/uploads/2022/09/Inflation-Gauge-300x192.jpg</v>
      </c>
      <c r="F1592" s="1" t="s">
        <v>1004</v>
      </c>
      <c r="G1592" s="1">
        <v>200.0</v>
      </c>
      <c r="H1592" s="1" t="s">
        <v>966</v>
      </c>
      <c r="I1592" s="1" t="s">
        <v>967</v>
      </c>
      <c r="L1592" s="1">
        <v>0.0</v>
      </c>
      <c r="M1592" s="1">
        <v>0.0</v>
      </c>
      <c r="O1592" s="1">
        <v>0.0</v>
      </c>
      <c r="P1592" s="1">
        <v>0.0</v>
      </c>
      <c r="R1592" s="1">
        <v>0.0</v>
      </c>
      <c r="S1592" s="1">
        <v>0.0</v>
      </c>
      <c r="U1592" s="1">
        <v>0.0</v>
      </c>
      <c r="W1592" s="1">
        <v>0.0</v>
      </c>
      <c r="Y1592" s="1">
        <v>0.0</v>
      </c>
      <c r="AA1592" s="1">
        <v>0.0</v>
      </c>
      <c r="AC1592" s="1">
        <v>0.0</v>
      </c>
      <c r="AM1592" s="1">
        <v>5271.0</v>
      </c>
      <c r="AN1592" s="1">
        <v>5271.0</v>
      </c>
      <c r="AO1592" s="1">
        <v>5271.0</v>
      </c>
      <c r="AP1592" s="1">
        <v>2.019</v>
      </c>
      <c r="AR1592" s="1">
        <v>0.0</v>
      </c>
      <c r="AW1592" s="1">
        <v>0.0</v>
      </c>
      <c r="AX1592" s="1">
        <v>4.0</v>
      </c>
      <c r="AY1592" s="1">
        <v>4.0</v>
      </c>
      <c r="BA1592" s="1">
        <v>0.0</v>
      </c>
      <c r="BB1592" s="1">
        <v>0.0</v>
      </c>
      <c r="BC1592" s="1">
        <v>0.0</v>
      </c>
      <c r="BD1592" s="1">
        <v>0.0</v>
      </c>
      <c r="BE1592" s="1">
        <v>0.0</v>
      </c>
      <c r="BF1592" s="1">
        <v>0.0</v>
      </c>
      <c r="BG1592" s="1">
        <v>0.0</v>
      </c>
      <c r="BH1592" s="1">
        <v>0.0</v>
      </c>
      <c r="BI1592" s="1">
        <v>0.0</v>
      </c>
      <c r="BJ1592" s="1">
        <v>0.0</v>
      </c>
      <c r="BP1592" s="1">
        <v>0.265</v>
      </c>
      <c r="BQ1592" s="1" t="s">
        <v>5287</v>
      </c>
      <c r="BV1592" s="1">
        <v>1.1</v>
      </c>
      <c r="EQ1592" s="9" t="s">
        <v>5286</v>
      </c>
      <c r="ER1592" s="21">
        <v>46045.300891203704</v>
      </c>
    </row>
    <row r="1593">
      <c r="A1593" s="9" t="s">
        <v>5288</v>
      </c>
      <c r="B1593" s="20" t="str">
        <f>IFERROR(__xludf.DUMMYFUNCTION("REGEXREPLACE(A1593, ""^https?://[^/]+"", """")"),"/wp-content/uploads/2022/05/Business-Lifeline-300x300.jpg")</f>
        <v>/wp-content/uploads/2022/05/Business-Lifeline-300x300.jpg</v>
      </c>
      <c r="F1593" s="1" t="s">
        <v>1004</v>
      </c>
      <c r="G1593" s="1">
        <v>200.0</v>
      </c>
      <c r="H1593" s="1" t="s">
        <v>966</v>
      </c>
      <c r="I1593" s="1" t="s">
        <v>967</v>
      </c>
      <c r="L1593" s="1">
        <v>0.0</v>
      </c>
      <c r="M1593" s="1">
        <v>0.0</v>
      </c>
      <c r="O1593" s="1">
        <v>0.0</v>
      </c>
      <c r="P1593" s="1">
        <v>0.0</v>
      </c>
      <c r="R1593" s="1">
        <v>0.0</v>
      </c>
      <c r="S1593" s="1">
        <v>0.0</v>
      </c>
      <c r="U1593" s="1">
        <v>0.0</v>
      </c>
      <c r="W1593" s="1">
        <v>0.0</v>
      </c>
      <c r="Y1593" s="1">
        <v>0.0</v>
      </c>
      <c r="AA1593" s="1">
        <v>0.0</v>
      </c>
      <c r="AC1593" s="1">
        <v>0.0</v>
      </c>
      <c r="AM1593" s="1">
        <v>19880.0</v>
      </c>
      <c r="AN1593" s="1">
        <v>19880.0</v>
      </c>
      <c r="AO1593" s="1">
        <v>19880.0</v>
      </c>
      <c r="AP1593" s="1">
        <v>7.616</v>
      </c>
      <c r="AR1593" s="1">
        <v>0.0</v>
      </c>
      <c r="AW1593" s="1">
        <v>0.0</v>
      </c>
      <c r="AX1593" s="1">
        <v>4.0</v>
      </c>
      <c r="AY1593" s="1">
        <v>4.0</v>
      </c>
      <c r="BA1593" s="1">
        <v>0.0</v>
      </c>
      <c r="BB1593" s="1">
        <v>0.0</v>
      </c>
      <c r="BC1593" s="1">
        <v>0.0</v>
      </c>
      <c r="BD1593" s="1">
        <v>0.0</v>
      </c>
      <c r="BE1593" s="1">
        <v>0.0</v>
      </c>
      <c r="BF1593" s="1">
        <v>0.0</v>
      </c>
      <c r="BG1593" s="1">
        <v>0.0</v>
      </c>
      <c r="BH1593" s="1">
        <v>0.0</v>
      </c>
      <c r="BI1593" s="1">
        <v>0.0</v>
      </c>
      <c r="BJ1593" s="1">
        <v>0.0</v>
      </c>
      <c r="BP1593" s="1">
        <v>0.267</v>
      </c>
      <c r="BQ1593" s="1" t="s">
        <v>5289</v>
      </c>
      <c r="BV1593" s="1">
        <v>1.1</v>
      </c>
      <c r="EQ1593" s="9" t="s">
        <v>5288</v>
      </c>
      <c r="ER1593" s="21">
        <v>46045.300891203704</v>
      </c>
    </row>
    <row r="1594">
      <c r="A1594" s="9" t="s">
        <v>5290</v>
      </c>
      <c r="B1594" s="20" t="str">
        <f>IFERROR(__xludf.DUMMYFUNCTION("REGEXREPLACE(A1594, ""^https?://[^/]+"", """")"),"/how-successfully-are-you-managing-your-work-life-balance/")</f>
        <v>/how-successfully-are-you-managing-your-work-life-balance/</v>
      </c>
      <c r="C1594" s="1" t="s">
        <v>5291</v>
      </c>
      <c r="D1594" s="1" t="s">
        <v>5292</v>
      </c>
      <c r="E1594" s="1" t="s">
        <v>5293</v>
      </c>
      <c r="F1594" s="1" t="s">
        <v>965</v>
      </c>
      <c r="G1594" s="1">
        <v>200.0</v>
      </c>
      <c r="H1594" s="1" t="s">
        <v>966</v>
      </c>
      <c r="I1594" s="1" t="s">
        <v>967</v>
      </c>
      <c r="K1594" s="1" t="s">
        <v>5294</v>
      </c>
      <c r="L1594" s="1">
        <v>58.0</v>
      </c>
      <c r="M1594" s="1">
        <v>552.0</v>
      </c>
      <c r="O1594" s="1">
        <v>0.0</v>
      </c>
      <c r="P1594" s="1">
        <v>0.0</v>
      </c>
      <c r="Q1594" s="1" t="s">
        <v>5295</v>
      </c>
      <c r="R1594" s="1">
        <v>150.0</v>
      </c>
      <c r="S1594" s="1">
        <v>930.0</v>
      </c>
      <c r="U1594" s="1">
        <v>0.0</v>
      </c>
      <c r="V1594" s="1" t="s">
        <v>5291</v>
      </c>
      <c r="W1594" s="1">
        <v>57.0</v>
      </c>
      <c r="Y1594" s="1">
        <v>0.0</v>
      </c>
      <c r="Z1594" s="1" t="s">
        <v>5292</v>
      </c>
      <c r="AA1594" s="1">
        <v>32.0</v>
      </c>
      <c r="AB1594" s="1" t="s">
        <v>5293</v>
      </c>
      <c r="AC1594" s="1">
        <v>19.0</v>
      </c>
      <c r="AD1594" s="1" t="s">
        <v>971</v>
      </c>
      <c r="AG1594" s="9" t="s">
        <v>5290</v>
      </c>
      <c r="AM1594" s="1">
        <v>201419.0</v>
      </c>
      <c r="AN1594" s="1">
        <v>35788.0</v>
      </c>
      <c r="AO1594" s="1">
        <v>35788.0</v>
      </c>
      <c r="AP1594" s="1">
        <v>13.71</v>
      </c>
      <c r="AR1594" s="1">
        <v>1252.0</v>
      </c>
      <c r="AS1594" s="1">
        <v>186.0</v>
      </c>
      <c r="AT1594" s="1">
        <v>6.731</v>
      </c>
      <c r="AU1594" s="1">
        <v>66.143</v>
      </c>
      <c r="AV1594" s="1" t="s">
        <v>990</v>
      </c>
      <c r="AW1594" s="1">
        <v>4.964</v>
      </c>
      <c r="AX1594" s="1">
        <v>4.0</v>
      </c>
      <c r="AY1594" s="1">
        <v>1.0</v>
      </c>
      <c r="AZ1594" s="1">
        <v>1.0</v>
      </c>
      <c r="BA1594" s="1">
        <v>2.0</v>
      </c>
      <c r="BB1594" s="1">
        <v>1.0</v>
      </c>
      <c r="BC1594" s="1">
        <v>0.0</v>
      </c>
      <c r="BD1594" s="1">
        <v>0.13</v>
      </c>
      <c r="BE1594" s="1">
        <v>131.0</v>
      </c>
      <c r="BF1594" s="1">
        <v>48.0</v>
      </c>
      <c r="BG1594" s="1">
        <v>0.0</v>
      </c>
      <c r="BH1594" s="1">
        <v>16.0</v>
      </c>
      <c r="BI1594" s="1">
        <v>8.0</v>
      </c>
      <c r="BJ1594" s="1">
        <v>0.0</v>
      </c>
      <c r="BO1594" s="1" t="s">
        <v>5296</v>
      </c>
      <c r="BP1594" s="1">
        <v>1.027</v>
      </c>
      <c r="BU1594" s="1" t="s">
        <v>974</v>
      </c>
      <c r="BV1594" s="1">
        <v>1.1</v>
      </c>
      <c r="EQ1594" s="9" t="s">
        <v>5290</v>
      </c>
      <c r="ER1594" s="21">
        <v>46045.300891203704</v>
      </c>
    </row>
    <row r="1595">
      <c r="A1595" s="9" t="s">
        <v>5297</v>
      </c>
      <c r="B1595" s="20" t="str">
        <f>IFERROR(__xludf.DUMMYFUNCTION("REGEXREPLACE(A1595, ""^https?://[^/]+"", """")"),"/independence-way-finding-the-freedom-to-fulfill-your-purpose/")</f>
        <v>/independence-way-finding-the-freedom-to-fulfill-your-purpose/</v>
      </c>
      <c r="C1595" s="1" t="s">
        <v>5298</v>
      </c>
      <c r="D1595" s="1" t="s">
        <v>5299</v>
      </c>
      <c r="E1595" s="1" t="s">
        <v>5300</v>
      </c>
      <c r="F1595" s="1" t="s">
        <v>965</v>
      </c>
      <c r="G1595" s="1">
        <v>200.0</v>
      </c>
      <c r="H1595" s="1" t="s">
        <v>966</v>
      </c>
      <c r="I1595" s="1" t="s">
        <v>967</v>
      </c>
      <c r="K1595" s="1" t="s">
        <v>5301</v>
      </c>
      <c r="L1595" s="1">
        <v>86.0</v>
      </c>
      <c r="M1595" s="1">
        <v>779.0</v>
      </c>
      <c r="O1595" s="1">
        <v>0.0</v>
      </c>
      <c r="P1595" s="1">
        <v>0.0</v>
      </c>
      <c r="Q1595" s="1" t="s">
        <v>5302</v>
      </c>
      <c r="R1595" s="1">
        <v>112.0</v>
      </c>
      <c r="S1595" s="1">
        <v>688.0</v>
      </c>
      <c r="U1595" s="1">
        <v>0.0</v>
      </c>
      <c r="V1595" s="1" t="s">
        <v>5298</v>
      </c>
      <c r="W1595" s="1">
        <v>61.0</v>
      </c>
      <c r="Y1595" s="1">
        <v>0.0</v>
      </c>
      <c r="Z1595" s="1" t="s">
        <v>5299</v>
      </c>
      <c r="AA1595" s="1">
        <v>43.0</v>
      </c>
      <c r="AB1595" s="1" t="s">
        <v>5300</v>
      </c>
      <c r="AC1595" s="1">
        <v>18.0</v>
      </c>
      <c r="AD1595" s="1" t="s">
        <v>971</v>
      </c>
      <c r="AG1595" s="9" t="s">
        <v>5297</v>
      </c>
      <c r="AM1595" s="1">
        <v>201124.0</v>
      </c>
      <c r="AN1595" s="1">
        <v>35793.0</v>
      </c>
      <c r="AO1595" s="1">
        <v>35793.0</v>
      </c>
      <c r="AP1595" s="1">
        <v>13.712</v>
      </c>
      <c r="AR1595" s="1">
        <v>1223.0</v>
      </c>
      <c r="AS1595" s="1">
        <v>186.0</v>
      </c>
      <c r="AT1595" s="1">
        <v>6.575</v>
      </c>
      <c r="AU1595" s="1">
        <v>59.461</v>
      </c>
      <c r="AV1595" s="1" t="s">
        <v>972</v>
      </c>
      <c r="AW1595" s="1">
        <v>5.002</v>
      </c>
      <c r="AX1595" s="1">
        <v>4.0</v>
      </c>
      <c r="AY1595" s="1">
        <v>1.0</v>
      </c>
      <c r="AZ1595" s="1">
        <v>1.0</v>
      </c>
      <c r="BA1595" s="1">
        <v>5.0</v>
      </c>
      <c r="BB1595" s="1">
        <v>2.0</v>
      </c>
      <c r="BC1595" s="1">
        <v>0.0</v>
      </c>
      <c r="BD1595" s="1">
        <v>0.27</v>
      </c>
      <c r="BE1595" s="1">
        <v>132.0</v>
      </c>
      <c r="BF1595" s="1">
        <v>49.0</v>
      </c>
      <c r="BG1595" s="1">
        <v>0.0</v>
      </c>
      <c r="BH1595" s="1">
        <v>16.0</v>
      </c>
      <c r="BI1595" s="1">
        <v>8.0</v>
      </c>
      <c r="BJ1595" s="1">
        <v>0.0</v>
      </c>
      <c r="BO1595" s="1" t="s">
        <v>5303</v>
      </c>
      <c r="BP1595" s="1">
        <v>1.045</v>
      </c>
      <c r="BU1595" s="1" t="s">
        <v>974</v>
      </c>
      <c r="BV1595" s="1">
        <v>1.1</v>
      </c>
      <c r="EQ1595" s="9" t="s">
        <v>5297</v>
      </c>
      <c r="ER1595" s="21">
        <v>46045.300891203704</v>
      </c>
    </row>
    <row r="1596">
      <c r="A1596" s="9" t="s">
        <v>5304</v>
      </c>
      <c r="B1596" s="20" t="str">
        <f>IFERROR(__xludf.DUMMYFUNCTION("REGEXREPLACE(A1596, ""^https?://[^/]+"", """")"),"/the-great-reinvention-and-rediscovering-a-better-work-life-balance/")</f>
        <v>/the-great-reinvention-and-rediscovering-a-better-work-life-balance/</v>
      </c>
      <c r="C1596" s="1" t="s">
        <v>5305</v>
      </c>
      <c r="D1596" s="1" t="s">
        <v>5306</v>
      </c>
      <c r="E1596" s="1" t="s">
        <v>5307</v>
      </c>
      <c r="F1596" s="1" t="s">
        <v>965</v>
      </c>
      <c r="G1596" s="1">
        <v>200.0</v>
      </c>
      <c r="H1596" s="1" t="s">
        <v>966</v>
      </c>
      <c r="I1596" s="1" t="s">
        <v>967</v>
      </c>
      <c r="K1596" s="1" t="s">
        <v>5308</v>
      </c>
      <c r="L1596" s="1">
        <v>93.0</v>
      </c>
      <c r="M1596" s="1">
        <v>839.0</v>
      </c>
      <c r="O1596" s="1">
        <v>0.0</v>
      </c>
      <c r="P1596" s="1">
        <v>0.0</v>
      </c>
      <c r="Q1596" s="1" t="s">
        <v>5309</v>
      </c>
      <c r="R1596" s="1">
        <v>110.0</v>
      </c>
      <c r="S1596" s="1">
        <v>671.0</v>
      </c>
      <c r="U1596" s="1">
        <v>0.0</v>
      </c>
      <c r="V1596" s="1" t="s">
        <v>5305</v>
      </c>
      <c r="W1596" s="1">
        <v>68.0</v>
      </c>
      <c r="Y1596" s="1">
        <v>0.0</v>
      </c>
      <c r="Z1596" s="1" t="s">
        <v>5306</v>
      </c>
      <c r="AA1596" s="1">
        <v>11.0</v>
      </c>
      <c r="AB1596" s="1" t="s">
        <v>5307</v>
      </c>
      <c r="AC1596" s="1">
        <v>21.0</v>
      </c>
      <c r="AD1596" s="1" t="s">
        <v>971</v>
      </c>
      <c r="AG1596" s="9" t="s">
        <v>5304</v>
      </c>
      <c r="AM1596" s="1">
        <v>201157.0</v>
      </c>
      <c r="AN1596" s="1">
        <v>35925.0</v>
      </c>
      <c r="AO1596" s="1">
        <v>35925.0</v>
      </c>
      <c r="AP1596" s="1">
        <v>13.762</v>
      </c>
      <c r="AR1596" s="1">
        <v>1338.0</v>
      </c>
      <c r="AS1596" s="1">
        <v>195.0</v>
      </c>
      <c r="AT1596" s="1">
        <v>6.862</v>
      </c>
      <c r="AU1596" s="1">
        <v>68.797</v>
      </c>
      <c r="AV1596" s="1" t="s">
        <v>990</v>
      </c>
      <c r="AW1596" s="1">
        <v>5.205</v>
      </c>
      <c r="AX1596" s="1">
        <v>4.0</v>
      </c>
      <c r="AY1596" s="1">
        <v>1.0</v>
      </c>
      <c r="AZ1596" s="1">
        <v>1.0</v>
      </c>
      <c r="BA1596" s="1">
        <v>5.0</v>
      </c>
      <c r="BB1596" s="1">
        <v>2.0</v>
      </c>
      <c r="BC1596" s="1">
        <v>0.0</v>
      </c>
      <c r="BD1596" s="1">
        <v>0.27</v>
      </c>
      <c r="BE1596" s="1">
        <v>131.0</v>
      </c>
      <c r="BF1596" s="1">
        <v>49.0</v>
      </c>
      <c r="BG1596" s="1">
        <v>0.0</v>
      </c>
      <c r="BH1596" s="1">
        <v>16.0</v>
      </c>
      <c r="BI1596" s="1">
        <v>8.0</v>
      </c>
      <c r="BJ1596" s="1">
        <v>0.0</v>
      </c>
      <c r="BO1596" s="1" t="s">
        <v>5310</v>
      </c>
      <c r="BP1596" s="1">
        <v>1.053</v>
      </c>
      <c r="BU1596" s="1" t="s">
        <v>974</v>
      </c>
      <c r="BV1596" s="1">
        <v>1.1</v>
      </c>
      <c r="EQ1596" s="9" t="s">
        <v>5304</v>
      </c>
      <c r="ER1596" s="21">
        <v>46045.300891203704</v>
      </c>
    </row>
    <row r="1597">
      <c r="A1597" s="9" t="s">
        <v>5311</v>
      </c>
      <c r="B1597" s="20" t="str">
        <f>IFERROR(__xludf.DUMMYFUNCTION("REGEXREPLACE(A1597, ""^https?://[^/]+"", """")"),"/wp-content/uploads/2022/06/Balance-300x200.jpg")</f>
        <v>/wp-content/uploads/2022/06/Balance-300x200.jpg</v>
      </c>
      <c r="F1597" s="1" t="s">
        <v>1004</v>
      </c>
      <c r="G1597" s="1">
        <v>200.0</v>
      </c>
      <c r="H1597" s="1" t="s">
        <v>966</v>
      </c>
      <c r="I1597" s="1" t="s">
        <v>967</v>
      </c>
      <c r="L1597" s="1">
        <v>0.0</v>
      </c>
      <c r="M1597" s="1">
        <v>0.0</v>
      </c>
      <c r="O1597" s="1">
        <v>0.0</v>
      </c>
      <c r="P1597" s="1">
        <v>0.0</v>
      </c>
      <c r="R1597" s="1">
        <v>0.0</v>
      </c>
      <c r="S1597" s="1">
        <v>0.0</v>
      </c>
      <c r="U1597" s="1">
        <v>0.0</v>
      </c>
      <c r="W1597" s="1">
        <v>0.0</v>
      </c>
      <c r="Y1597" s="1">
        <v>0.0</v>
      </c>
      <c r="AA1597" s="1">
        <v>0.0</v>
      </c>
      <c r="AC1597" s="1">
        <v>0.0</v>
      </c>
      <c r="AM1597" s="1">
        <v>20701.0</v>
      </c>
      <c r="AN1597" s="1">
        <v>20701.0</v>
      </c>
      <c r="AO1597" s="1">
        <v>20701.0</v>
      </c>
      <c r="AP1597" s="1">
        <v>7.93</v>
      </c>
      <c r="AR1597" s="1">
        <v>0.0</v>
      </c>
      <c r="AW1597" s="1">
        <v>0.0</v>
      </c>
      <c r="AX1597" s="1">
        <v>4.0</v>
      </c>
      <c r="AY1597" s="1">
        <v>4.0</v>
      </c>
      <c r="BA1597" s="1">
        <v>0.0</v>
      </c>
      <c r="BB1597" s="1">
        <v>0.0</v>
      </c>
      <c r="BC1597" s="1">
        <v>0.0</v>
      </c>
      <c r="BD1597" s="1">
        <v>0.0</v>
      </c>
      <c r="BE1597" s="1">
        <v>0.0</v>
      </c>
      <c r="BF1597" s="1">
        <v>0.0</v>
      </c>
      <c r="BG1597" s="1">
        <v>0.0</v>
      </c>
      <c r="BH1597" s="1">
        <v>0.0</v>
      </c>
      <c r="BI1597" s="1">
        <v>0.0</v>
      </c>
      <c r="BJ1597" s="1">
        <v>0.0</v>
      </c>
      <c r="BP1597" s="1">
        <v>0.268</v>
      </c>
      <c r="BQ1597" s="1" t="s">
        <v>5312</v>
      </c>
      <c r="BV1597" s="1">
        <v>1.1</v>
      </c>
      <c r="EQ1597" s="9" t="s">
        <v>5311</v>
      </c>
      <c r="ER1597" s="21">
        <v>46045.30090277778</v>
      </c>
    </row>
    <row r="1598">
      <c r="A1598" s="9" t="s">
        <v>5313</v>
      </c>
      <c r="B1598" s="20" t="str">
        <f>IFERROR(__xludf.DUMMYFUNCTION("REGEXREPLACE(A1598, ""^https?://[^/]+"", """")"),"/time-to-turn-over-a-new-leaf-here-are-signs-you-should-watch-for/")</f>
        <v>/time-to-turn-over-a-new-leaf-here-are-signs-you-should-watch-for/</v>
      </c>
      <c r="C1598" s="1" t="s">
        <v>5314</v>
      </c>
      <c r="D1598" s="1" t="s">
        <v>5315</v>
      </c>
      <c r="E1598" s="1" t="s">
        <v>5316</v>
      </c>
      <c r="F1598" s="1" t="s">
        <v>965</v>
      </c>
      <c r="G1598" s="1">
        <v>200.0</v>
      </c>
      <c r="H1598" s="1" t="s">
        <v>966</v>
      </c>
      <c r="I1598" s="1" t="s">
        <v>967</v>
      </c>
      <c r="K1598" s="1" t="s">
        <v>5317</v>
      </c>
      <c r="L1598" s="1">
        <v>90.0</v>
      </c>
      <c r="M1598" s="1">
        <v>831.0</v>
      </c>
      <c r="O1598" s="1">
        <v>0.0</v>
      </c>
      <c r="P1598" s="1">
        <v>0.0</v>
      </c>
      <c r="Q1598" s="1" t="s">
        <v>5318</v>
      </c>
      <c r="R1598" s="1">
        <v>129.0</v>
      </c>
      <c r="S1598" s="1">
        <v>812.0</v>
      </c>
      <c r="U1598" s="1">
        <v>0.0</v>
      </c>
      <c r="V1598" s="1" t="s">
        <v>5314</v>
      </c>
      <c r="W1598" s="1">
        <v>65.0</v>
      </c>
      <c r="Y1598" s="1">
        <v>0.0</v>
      </c>
      <c r="Z1598" s="1" t="s">
        <v>5315</v>
      </c>
      <c r="AA1598" s="1">
        <v>26.0</v>
      </c>
      <c r="AB1598" s="1" t="s">
        <v>5316</v>
      </c>
      <c r="AC1598" s="1">
        <v>45.0</v>
      </c>
      <c r="AD1598" s="1" t="s">
        <v>971</v>
      </c>
      <c r="AG1598" s="9" t="s">
        <v>5313</v>
      </c>
      <c r="AM1598" s="1">
        <v>201434.0</v>
      </c>
      <c r="AN1598" s="1">
        <v>36163.0</v>
      </c>
      <c r="AO1598" s="1">
        <v>36163.0</v>
      </c>
      <c r="AP1598" s="1">
        <v>13.853</v>
      </c>
      <c r="AR1598" s="1">
        <v>1370.0</v>
      </c>
      <c r="AS1598" s="1">
        <v>196.0</v>
      </c>
      <c r="AT1598" s="1">
        <v>6.99</v>
      </c>
      <c r="AU1598" s="1">
        <v>69.876</v>
      </c>
      <c r="AV1598" s="1" t="s">
        <v>990</v>
      </c>
      <c r="AW1598" s="1">
        <v>5.231</v>
      </c>
      <c r="AX1598" s="1">
        <v>4.0</v>
      </c>
      <c r="AY1598" s="1">
        <v>1.0</v>
      </c>
      <c r="AZ1598" s="1">
        <v>1.0</v>
      </c>
      <c r="BA1598" s="1">
        <v>2.0</v>
      </c>
      <c r="BB1598" s="1">
        <v>1.0</v>
      </c>
      <c r="BC1598" s="1">
        <v>0.0</v>
      </c>
      <c r="BD1598" s="1">
        <v>0.13</v>
      </c>
      <c r="BE1598" s="1">
        <v>134.0</v>
      </c>
      <c r="BF1598" s="1">
        <v>49.0</v>
      </c>
      <c r="BG1598" s="1">
        <v>0.0</v>
      </c>
      <c r="BH1598" s="1">
        <v>16.0</v>
      </c>
      <c r="BI1598" s="1">
        <v>8.0</v>
      </c>
      <c r="BJ1598" s="1">
        <v>0.0</v>
      </c>
      <c r="BO1598" s="1" t="s">
        <v>5319</v>
      </c>
      <c r="BP1598" s="1">
        <v>1.01</v>
      </c>
      <c r="BU1598" s="1" t="s">
        <v>974</v>
      </c>
      <c r="BV1598" s="1">
        <v>1.1</v>
      </c>
      <c r="EQ1598" s="9" t="s">
        <v>5313</v>
      </c>
      <c r="ER1598" s="21">
        <v>46045.300891203704</v>
      </c>
    </row>
    <row r="1599">
      <c r="A1599" s="9" t="s">
        <v>5320</v>
      </c>
      <c r="B1599" s="20" t="str">
        <f>IFERROR(__xludf.DUMMYFUNCTION("REGEXREPLACE(A1599, ""^https?://[^/]+"", """")"),"/wp-content/uploads/2022/09/Remote-Work-Life-Balance-300x200.jpg")</f>
        <v>/wp-content/uploads/2022/09/Remote-Work-Life-Balance-300x200.jpg</v>
      </c>
      <c r="F1599" s="1" t="s">
        <v>1004</v>
      </c>
      <c r="G1599" s="1">
        <v>200.0</v>
      </c>
      <c r="H1599" s="1" t="s">
        <v>966</v>
      </c>
      <c r="I1599" s="1" t="s">
        <v>967</v>
      </c>
      <c r="L1599" s="1">
        <v>0.0</v>
      </c>
      <c r="M1599" s="1">
        <v>0.0</v>
      </c>
      <c r="O1599" s="1">
        <v>0.0</v>
      </c>
      <c r="P1599" s="1">
        <v>0.0</v>
      </c>
      <c r="R1599" s="1">
        <v>0.0</v>
      </c>
      <c r="S1599" s="1">
        <v>0.0</v>
      </c>
      <c r="U1599" s="1">
        <v>0.0</v>
      </c>
      <c r="W1599" s="1">
        <v>0.0</v>
      </c>
      <c r="Y1599" s="1">
        <v>0.0</v>
      </c>
      <c r="AA1599" s="1">
        <v>0.0</v>
      </c>
      <c r="AC1599" s="1">
        <v>0.0</v>
      </c>
      <c r="AM1599" s="1">
        <v>15982.0</v>
      </c>
      <c r="AN1599" s="1">
        <v>15982.0</v>
      </c>
      <c r="AO1599" s="1">
        <v>15982.0</v>
      </c>
      <c r="AP1599" s="1">
        <v>6.122</v>
      </c>
      <c r="AR1599" s="1">
        <v>0.0</v>
      </c>
      <c r="AW1599" s="1">
        <v>0.0</v>
      </c>
      <c r="AX1599" s="1">
        <v>4.0</v>
      </c>
      <c r="AY1599" s="1">
        <v>4.0</v>
      </c>
      <c r="BA1599" s="1">
        <v>0.0</v>
      </c>
      <c r="BB1599" s="1">
        <v>0.0</v>
      </c>
      <c r="BC1599" s="1">
        <v>0.0</v>
      </c>
      <c r="BD1599" s="1">
        <v>0.0</v>
      </c>
      <c r="BE1599" s="1">
        <v>0.0</v>
      </c>
      <c r="BF1599" s="1">
        <v>0.0</v>
      </c>
      <c r="BG1599" s="1">
        <v>0.0</v>
      </c>
      <c r="BH1599" s="1">
        <v>0.0</v>
      </c>
      <c r="BI1599" s="1">
        <v>0.0</v>
      </c>
      <c r="BJ1599" s="1">
        <v>0.0</v>
      </c>
      <c r="BP1599" s="1">
        <v>0.272</v>
      </c>
      <c r="BQ1599" s="1" t="s">
        <v>5321</v>
      </c>
      <c r="BV1599" s="1">
        <v>1.1</v>
      </c>
      <c r="EQ1599" s="9" t="s">
        <v>5320</v>
      </c>
      <c r="ER1599" s="21">
        <v>46045.30090277778</v>
      </c>
    </row>
    <row r="1600">
      <c r="A1600" s="9" t="s">
        <v>5322</v>
      </c>
      <c r="B1600" s="20" t="str">
        <f>IFERROR(__xludf.DUMMYFUNCTION("REGEXREPLACE(A1600, ""^https?://[^/]+"", """")"),"/wp-content/uploads/2022/11/Outsourced-sales-leader-meeting-with-CEO-300x200.jpg")</f>
        <v>/wp-content/uploads/2022/11/Outsourced-sales-leader-meeting-with-CEO-300x200.jpg</v>
      </c>
      <c r="F1600" s="1" t="s">
        <v>1004</v>
      </c>
      <c r="G1600" s="1">
        <v>200.0</v>
      </c>
      <c r="H1600" s="1" t="s">
        <v>966</v>
      </c>
      <c r="I1600" s="1" t="s">
        <v>967</v>
      </c>
      <c r="L1600" s="1">
        <v>0.0</v>
      </c>
      <c r="M1600" s="1">
        <v>0.0</v>
      </c>
      <c r="O1600" s="1">
        <v>0.0</v>
      </c>
      <c r="P1600" s="1">
        <v>0.0</v>
      </c>
      <c r="R1600" s="1">
        <v>0.0</v>
      </c>
      <c r="S1600" s="1">
        <v>0.0</v>
      </c>
      <c r="U1600" s="1">
        <v>0.0</v>
      </c>
      <c r="W1600" s="1">
        <v>0.0</v>
      </c>
      <c r="Y1600" s="1">
        <v>0.0</v>
      </c>
      <c r="AA1600" s="1">
        <v>0.0</v>
      </c>
      <c r="AC1600" s="1">
        <v>0.0</v>
      </c>
      <c r="AM1600" s="1">
        <v>12934.0</v>
      </c>
      <c r="AN1600" s="1">
        <v>12934.0</v>
      </c>
      <c r="AO1600" s="1">
        <v>12934.0</v>
      </c>
      <c r="AP1600" s="1">
        <v>4.955</v>
      </c>
      <c r="AR1600" s="1">
        <v>0.0</v>
      </c>
      <c r="AW1600" s="1">
        <v>0.0</v>
      </c>
      <c r="AX1600" s="1">
        <v>4.0</v>
      </c>
      <c r="AY1600" s="1">
        <v>4.0</v>
      </c>
      <c r="BA1600" s="1">
        <v>0.0</v>
      </c>
      <c r="BB1600" s="1">
        <v>0.0</v>
      </c>
      <c r="BC1600" s="1">
        <v>0.0</v>
      </c>
      <c r="BD1600" s="1">
        <v>0.0</v>
      </c>
      <c r="BE1600" s="1">
        <v>0.0</v>
      </c>
      <c r="BF1600" s="1">
        <v>0.0</v>
      </c>
      <c r="BG1600" s="1">
        <v>0.0</v>
      </c>
      <c r="BH1600" s="1">
        <v>0.0</v>
      </c>
      <c r="BI1600" s="1">
        <v>0.0</v>
      </c>
      <c r="BJ1600" s="1">
        <v>0.0</v>
      </c>
      <c r="BP1600" s="1">
        <v>0.282</v>
      </c>
      <c r="BQ1600" s="1" t="s">
        <v>5323</v>
      </c>
      <c r="BV1600" s="1">
        <v>1.1</v>
      </c>
      <c r="EQ1600" s="9" t="s">
        <v>5322</v>
      </c>
      <c r="ER1600" s="21">
        <v>46045.30090277778</v>
      </c>
    </row>
    <row r="1601">
      <c r="A1601" s="9" t="s">
        <v>5324</v>
      </c>
      <c r="B1601" s="20" t="str">
        <f>IFERROR(__xludf.DUMMYFUNCTION("REGEXREPLACE(A1601, ""^https?://[^/]+"", """")"),"/wp-content/uploads/2022/10/Sales-Department-Organizational-Structure-Meeting-300x200.jpg")</f>
        <v>/wp-content/uploads/2022/10/Sales-Department-Organizational-Structure-Meeting-300x200.jpg</v>
      </c>
      <c r="F1601" s="1" t="s">
        <v>1004</v>
      </c>
      <c r="G1601" s="1">
        <v>200.0</v>
      </c>
      <c r="H1601" s="1" t="s">
        <v>966</v>
      </c>
      <c r="I1601" s="1" t="s">
        <v>967</v>
      </c>
      <c r="L1601" s="1">
        <v>0.0</v>
      </c>
      <c r="M1601" s="1">
        <v>0.0</v>
      </c>
      <c r="O1601" s="1">
        <v>0.0</v>
      </c>
      <c r="P1601" s="1">
        <v>0.0</v>
      </c>
      <c r="R1601" s="1">
        <v>0.0</v>
      </c>
      <c r="S1601" s="1">
        <v>0.0</v>
      </c>
      <c r="U1601" s="1">
        <v>0.0</v>
      </c>
      <c r="W1601" s="1">
        <v>0.0</v>
      </c>
      <c r="Y1601" s="1">
        <v>0.0</v>
      </c>
      <c r="AA1601" s="1">
        <v>0.0</v>
      </c>
      <c r="AC1601" s="1">
        <v>0.0</v>
      </c>
      <c r="AM1601" s="1">
        <v>16503.0</v>
      </c>
      <c r="AN1601" s="1">
        <v>16503.0</v>
      </c>
      <c r="AO1601" s="1">
        <v>16503.0</v>
      </c>
      <c r="AP1601" s="1">
        <v>6.322</v>
      </c>
      <c r="AR1601" s="1">
        <v>0.0</v>
      </c>
      <c r="AW1601" s="1">
        <v>0.0</v>
      </c>
      <c r="AX1601" s="1">
        <v>4.0</v>
      </c>
      <c r="AY1601" s="1">
        <v>4.0</v>
      </c>
      <c r="BA1601" s="1">
        <v>0.0</v>
      </c>
      <c r="BB1601" s="1">
        <v>0.0</v>
      </c>
      <c r="BC1601" s="1">
        <v>0.0</v>
      </c>
      <c r="BD1601" s="1">
        <v>0.0</v>
      </c>
      <c r="BE1601" s="1">
        <v>0.0</v>
      </c>
      <c r="BF1601" s="1">
        <v>0.0</v>
      </c>
      <c r="BG1601" s="1">
        <v>0.0</v>
      </c>
      <c r="BH1601" s="1">
        <v>0.0</v>
      </c>
      <c r="BI1601" s="1">
        <v>0.0</v>
      </c>
      <c r="BJ1601" s="1">
        <v>0.0</v>
      </c>
      <c r="BP1601" s="1">
        <v>0.284</v>
      </c>
      <c r="BQ1601" s="1" t="s">
        <v>5325</v>
      </c>
      <c r="BV1601" s="1">
        <v>1.1</v>
      </c>
      <c r="EQ1601" s="9" t="s">
        <v>5324</v>
      </c>
      <c r="ER1601" s="21">
        <v>46045.30090277778</v>
      </c>
    </row>
    <row r="1602">
      <c r="A1602" s="9" t="s">
        <v>5326</v>
      </c>
      <c r="B1602" s="20" t="str">
        <f>IFERROR(__xludf.DUMMYFUNCTION("REGEXREPLACE(A1602, ""^https?://[^/]+"", """")"),"/wp-content/uploads/2022/10/shutterstock_641424211-300x200.jpg")</f>
        <v>/wp-content/uploads/2022/10/shutterstock_641424211-300x200.jpg</v>
      </c>
      <c r="F1602" s="1" t="s">
        <v>1004</v>
      </c>
      <c r="G1602" s="1">
        <v>200.0</v>
      </c>
      <c r="H1602" s="1" t="s">
        <v>966</v>
      </c>
      <c r="I1602" s="1" t="s">
        <v>967</v>
      </c>
      <c r="L1602" s="1">
        <v>0.0</v>
      </c>
      <c r="M1602" s="1">
        <v>0.0</v>
      </c>
      <c r="O1602" s="1">
        <v>0.0</v>
      </c>
      <c r="P1602" s="1">
        <v>0.0</v>
      </c>
      <c r="R1602" s="1">
        <v>0.0</v>
      </c>
      <c r="S1602" s="1">
        <v>0.0</v>
      </c>
      <c r="U1602" s="1">
        <v>0.0</v>
      </c>
      <c r="W1602" s="1">
        <v>0.0</v>
      </c>
      <c r="Y1602" s="1">
        <v>0.0</v>
      </c>
      <c r="AA1602" s="1">
        <v>0.0</v>
      </c>
      <c r="AC1602" s="1">
        <v>0.0</v>
      </c>
      <c r="AM1602" s="1">
        <v>13659.0</v>
      </c>
      <c r="AN1602" s="1">
        <v>13659.0</v>
      </c>
      <c r="AO1602" s="1">
        <v>13659.0</v>
      </c>
      <c r="AP1602" s="1">
        <v>5.233</v>
      </c>
      <c r="AR1602" s="1">
        <v>0.0</v>
      </c>
      <c r="AW1602" s="1">
        <v>0.0</v>
      </c>
      <c r="AX1602" s="1">
        <v>4.0</v>
      </c>
      <c r="AY1602" s="1">
        <v>4.0</v>
      </c>
      <c r="BA1602" s="1">
        <v>0.0</v>
      </c>
      <c r="BB1602" s="1">
        <v>0.0</v>
      </c>
      <c r="BC1602" s="1">
        <v>0.0</v>
      </c>
      <c r="BD1602" s="1">
        <v>0.0</v>
      </c>
      <c r="BE1602" s="1">
        <v>0.0</v>
      </c>
      <c r="BF1602" s="1">
        <v>0.0</v>
      </c>
      <c r="BG1602" s="1">
        <v>0.0</v>
      </c>
      <c r="BH1602" s="1">
        <v>0.0</v>
      </c>
      <c r="BI1602" s="1">
        <v>0.0</v>
      </c>
      <c r="BJ1602" s="1">
        <v>0.0</v>
      </c>
      <c r="BP1602" s="1">
        <v>0.268</v>
      </c>
      <c r="BQ1602" s="1" t="s">
        <v>5327</v>
      </c>
      <c r="BV1602" s="1">
        <v>1.1</v>
      </c>
      <c r="EQ1602" s="9" t="s">
        <v>5326</v>
      </c>
      <c r="ER1602" s="21">
        <v>46045.30090277778</v>
      </c>
    </row>
    <row r="1603">
      <c r="A1603" s="9" t="s">
        <v>5328</v>
      </c>
      <c r="B1603" s="20" t="str">
        <f>IFERROR(__xludf.DUMMYFUNCTION("REGEXREPLACE(A1603, ""^https?://[^/]+"", """")"),"/wp-content/uploads/2022/06/Door-to-Future-300x255.jpg")</f>
        <v>/wp-content/uploads/2022/06/Door-to-Future-300x255.jpg</v>
      </c>
      <c r="F1603" s="1" t="s">
        <v>1004</v>
      </c>
      <c r="G1603" s="1">
        <v>200.0</v>
      </c>
      <c r="H1603" s="1" t="s">
        <v>966</v>
      </c>
      <c r="I1603" s="1" t="s">
        <v>967</v>
      </c>
      <c r="L1603" s="1">
        <v>0.0</v>
      </c>
      <c r="M1603" s="1">
        <v>0.0</v>
      </c>
      <c r="O1603" s="1">
        <v>0.0</v>
      </c>
      <c r="P1603" s="1">
        <v>0.0</v>
      </c>
      <c r="R1603" s="1">
        <v>0.0</v>
      </c>
      <c r="S1603" s="1">
        <v>0.0</v>
      </c>
      <c r="U1603" s="1">
        <v>0.0</v>
      </c>
      <c r="W1603" s="1">
        <v>0.0</v>
      </c>
      <c r="Y1603" s="1">
        <v>0.0</v>
      </c>
      <c r="AA1603" s="1">
        <v>0.0</v>
      </c>
      <c r="AC1603" s="1">
        <v>0.0</v>
      </c>
      <c r="AM1603" s="1">
        <v>8932.0</v>
      </c>
      <c r="AN1603" s="1">
        <v>8932.0</v>
      </c>
      <c r="AO1603" s="1">
        <v>8932.0</v>
      </c>
      <c r="AP1603" s="1">
        <v>3.422</v>
      </c>
      <c r="AR1603" s="1">
        <v>0.0</v>
      </c>
      <c r="AW1603" s="1">
        <v>0.0</v>
      </c>
      <c r="AX1603" s="1">
        <v>4.0</v>
      </c>
      <c r="AY1603" s="1">
        <v>4.0</v>
      </c>
      <c r="BA1603" s="1">
        <v>0.0</v>
      </c>
      <c r="BB1603" s="1">
        <v>0.0</v>
      </c>
      <c r="BC1603" s="1">
        <v>0.0</v>
      </c>
      <c r="BD1603" s="1">
        <v>0.0</v>
      </c>
      <c r="BE1603" s="1">
        <v>0.0</v>
      </c>
      <c r="BF1603" s="1">
        <v>0.0</v>
      </c>
      <c r="BG1603" s="1">
        <v>0.0</v>
      </c>
      <c r="BH1603" s="1">
        <v>0.0</v>
      </c>
      <c r="BI1603" s="1">
        <v>0.0</v>
      </c>
      <c r="BJ1603" s="1">
        <v>0.0</v>
      </c>
      <c r="BP1603" s="1">
        <v>0.272</v>
      </c>
      <c r="BQ1603" s="1" t="s">
        <v>5329</v>
      </c>
      <c r="BV1603" s="1">
        <v>1.1</v>
      </c>
      <c r="EQ1603" s="9" t="s">
        <v>5328</v>
      </c>
      <c r="ER1603" s="21">
        <v>46045.30091435185</v>
      </c>
    </row>
    <row r="1604">
      <c r="A1604" s="9" t="s">
        <v>5330</v>
      </c>
      <c r="B1604" s="20" t="str">
        <f>IFERROR(__xludf.DUMMYFUNCTION("REGEXREPLACE(A1604, ""^https?://[^/]+"", """")"),"/wp-content/uploads/2022/07/Entrepreneurial-Freedom-300x200.jpg")</f>
        <v>/wp-content/uploads/2022/07/Entrepreneurial-Freedom-300x200.jpg</v>
      </c>
      <c r="F1604" s="1" t="s">
        <v>1004</v>
      </c>
      <c r="G1604" s="1">
        <v>200.0</v>
      </c>
      <c r="H1604" s="1" t="s">
        <v>966</v>
      </c>
      <c r="I1604" s="1" t="s">
        <v>967</v>
      </c>
      <c r="L1604" s="1">
        <v>0.0</v>
      </c>
      <c r="M1604" s="1">
        <v>0.0</v>
      </c>
      <c r="O1604" s="1">
        <v>0.0</v>
      </c>
      <c r="P1604" s="1">
        <v>0.0</v>
      </c>
      <c r="R1604" s="1">
        <v>0.0</v>
      </c>
      <c r="S1604" s="1">
        <v>0.0</v>
      </c>
      <c r="U1604" s="1">
        <v>0.0</v>
      </c>
      <c r="W1604" s="1">
        <v>0.0</v>
      </c>
      <c r="Y1604" s="1">
        <v>0.0</v>
      </c>
      <c r="AA1604" s="1">
        <v>0.0</v>
      </c>
      <c r="AC1604" s="1">
        <v>0.0</v>
      </c>
      <c r="AM1604" s="1">
        <v>11828.0</v>
      </c>
      <c r="AN1604" s="1">
        <v>11828.0</v>
      </c>
      <c r="AO1604" s="1">
        <v>11828.0</v>
      </c>
      <c r="AP1604" s="1">
        <v>4.531</v>
      </c>
      <c r="AR1604" s="1">
        <v>0.0</v>
      </c>
      <c r="AW1604" s="1">
        <v>0.0</v>
      </c>
      <c r="AX1604" s="1">
        <v>4.0</v>
      </c>
      <c r="AY1604" s="1">
        <v>4.0</v>
      </c>
      <c r="BA1604" s="1">
        <v>0.0</v>
      </c>
      <c r="BB1604" s="1">
        <v>0.0</v>
      </c>
      <c r="BC1604" s="1">
        <v>0.0</v>
      </c>
      <c r="BD1604" s="1">
        <v>0.0</v>
      </c>
      <c r="BE1604" s="1">
        <v>0.0</v>
      </c>
      <c r="BF1604" s="1">
        <v>0.0</v>
      </c>
      <c r="BG1604" s="1">
        <v>0.0</v>
      </c>
      <c r="BH1604" s="1">
        <v>0.0</v>
      </c>
      <c r="BI1604" s="1">
        <v>0.0</v>
      </c>
      <c r="BJ1604" s="1">
        <v>0.0</v>
      </c>
      <c r="BP1604" s="1">
        <v>0.297</v>
      </c>
      <c r="BQ1604" s="1" t="s">
        <v>5331</v>
      </c>
      <c r="BV1604" s="1">
        <v>1.1</v>
      </c>
      <c r="EQ1604" s="9" t="s">
        <v>5330</v>
      </c>
      <c r="ER1604" s="21">
        <v>46045.30091435185</v>
      </c>
    </row>
    <row r="1605">
      <c r="A1605" s="9" t="s">
        <v>5332</v>
      </c>
      <c r="B1605" s="20" t="str">
        <f>IFERROR(__xludf.DUMMYFUNCTION("REGEXREPLACE(A1605, ""^https?://[^/]+"", """")"),"/top-advantages-and-disadvantages-of-outsourcing-your-sales-function/")</f>
        <v>/top-advantages-and-disadvantages-of-outsourcing-your-sales-function/</v>
      </c>
      <c r="C1605" s="1" t="s">
        <v>5333</v>
      </c>
      <c r="D1605" s="1" t="s">
        <v>5334</v>
      </c>
      <c r="E1605" s="1" t="s">
        <v>5335</v>
      </c>
      <c r="F1605" s="1" t="s">
        <v>965</v>
      </c>
      <c r="G1605" s="1">
        <v>200.0</v>
      </c>
      <c r="H1605" s="1" t="s">
        <v>966</v>
      </c>
      <c r="I1605" s="1" t="s">
        <v>967</v>
      </c>
      <c r="K1605" s="1" t="s">
        <v>5336</v>
      </c>
      <c r="L1605" s="1">
        <v>94.0</v>
      </c>
      <c r="M1605" s="1">
        <v>867.0</v>
      </c>
      <c r="O1605" s="1">
        <v>0.0</v>
      </c>
      <c r="P1605" s="1">
        <v>0.0</v>
      </c>
      <c r="Q1605" s="1" t="s">
        <v>5337</v>
      </c>
      <c r="R1605" s="1">
        <v>130.0</v>
      </c>
      <c r="S1605" s="1">
        <v>805.0</v>
      </c>
      <c r="U1605" s="1">
        <v>0.0</v>
      </c>
      <c r="V1605" s="1" t="s">
        <v>5333</v>
      </c>
      <c r="W1605" s="1">
        <v>69.0</v>
      </c>
      <c r="Y1605" s="1">
        <v>0.0</v>
      </c>
      <c r="Z1605" s="1" t="s">
        <v>5334</v>
      </c>
      <c r="AA1605" s="1">
        <v>45.0</v>
      </c>
      <c r="AB1605" s="1" t="s">
        <v>5335</v>
      </c>
      <c r="AC1605" s="1">
        <v>49.0</v>
      </c>
      <c r="AD1605" s="1" t="s">
        <v>971</v>
      </c>
      <c r="AG1605" s="9" t="s">
        <v>5332</v>
      </c>
      <c r="AM1605" s="1">
        <v>202599.0</v>
      </c>
      <c r="AN1605" s="1">
        <v>36238.0</v>
      </c>
      <c r="AO1605" s="1">
        <v>36238.0</v>
      </c>
      <c r="AP1605" s="1">
        <v>13.882</v>
      </c>
      <c r="AR1605" s="1">
        <v>1280.0</v>
      </c>
      <c r="AS1605" s="1">
        <v>188.0</v>
      </c>
      <c r="AT1605" s="1">
        <v>6.809</v>
      </c>
      <c r="AU1605" s="1">
        <v>54.452</v>
      </c>
      <c r="AV1605" s="1" t="s">
        <v>972</v>
      </c>
      <c r="AW1605" s="1">
        <v>5.263</v>
      </c>
      <c r="AX1605" s="1">
        <v>4.0</v>
      </c>
      <c r="AY1605" s="1">
        <v>1.0</v>
      </c>
      <c r="AZ1605" s="1">
        <v>1.0</v>
      </c>
      <c r="BA1605" s="1">
        <v>2.0</v>
      </c>
      <c r="BB1605" s="1">
        <v>1.0</v>
      </c>
      <c r="BC1605" s="1">
        <v>0.0</v>
      </c>
      <c r="BD1605" s="1">
        <v>0.13</v>
      </c>
      <c r="BE1605" s="1">
        <v>133.0</v>
      </c>
      <c r="BF1605" s="1">
        <v>48.0</v>
      </c>
      <c r="BG1605" s="1">
        <v>0.0</v>
      </c>
      <c r="BH1605" s="1">
        <v>17.0</v>
      </c>
      <c r="BI1605" s="1">
        <v>9.0</v>
      </c>
      <c r="BJ1605" s="1">
        <v>0.0</v>
      </c>
      <c r="BO1605" s="1" t="s">
        <v>5338</v>
      </c>
      <c r="BP1605" s="1">
        <v>0.983</v>
      </c>
      <c r="BU1605" s="1" t="s">
        <v>974</v>
      </c>
      <c r="BV1605" s="1">
        <v>1.1</v>
      </c>
      <c r="EQ1605" s="9" t="s">
        <v>5332</v>
      </c>
      <c r="ER1605" s="21">
        <v>46045.30090277778</v>
      </c>
    </row>
    <row r="1606">
      <c r="A1606" s="9" t="s">
        <v>5339</v>
      </c>
      <c r="B1606" s="20" t="str">
        <f>IFERROR(__xludf.DUMMYFUNCTION("REGEXREPLACE(A1606, ""^https?://[^/]+"", """")"),"/wp-content/uploads/2022/09/How-Can-Businesses-Prepare-for-Inflation-300x200.jpg")</f>
        <v>/wp-content/uploads/2022/09/How-Can-Businesses-Prepare-for-Inflation-300x200.jpg</v>
      </c>
      <c r="F1606" s="1" t="s">
        <v>1004</v>
      </c>
      <c r="G1606" s="1">
        <v>200.0</v>
      </c>
      <c r="H1606" s="1" t="s">
        <v>966</v>
      </c>
      <c r="I1606" s="1" t="s">
        <v>967</v>
      </c>
      <c r="L1606" s="1">
        <v>0.0</v>
      </c>
      <c r="M1606" s="1">
        <v>0.0</v>
      </c>
      <c r="O1606" s="1">
        <v>0.0</v>
      </c>
      <c r="P1606" s="1">
        <v>0.0</v>
      </c>
      <c r="R1606" s="1">
        <v>0.0</v>
      </c>
      <c r="S1606" s="1">
        <v>0.0</v>
      </c>
      <c r="U1606" s="1">
        <v>0.0</v>
      </c>
      <c r="W1606" s="1">
        <v>0.0</v>
      </c>
      <c r="Y1606" s="1">
        <v>0.0</v>
      </c>
      <c r="AA1606" s="1">
        <v>0.0</v>
      </c>
      <c r="AC1606" s="1">
        <v>0.0</v>
      </c>
      <c r="AM1606" s="1">
        <v>10505.0</v>
      </c>
      <c r="AN1606" s="1">
        <v>10505.0</v>
      </c>
      <c r="AO1606" s="1">
        <v>10505.0</v>
      </c>
      <c r="AP1606" s="1">
        <v>4.024</v>
      </c>
      <c r="AR1606" s="1">
        <v>0.0</v>
      </c>
      <c r="AW1606" s="1">
        <v>0.0</v>
      </c>
      <c r="AX1606" s="1">
        <v>4.0</v>
      </c>
      <c r="AY1606" s="1">
        <v>4.0</v>
      </c>
      <c r="BA1606" s="1">
        <v>0.0</v>
      </c>
      <c r="BB1606" s="1">
        <v>0.0</v>
      </c>
      <c r="BC1606" s="1">
        <v>0.0</v>
      </c>
      <c r="BD1606" s="1">
        <v>0.0</v>
      </c>
      <c r="BE1606" s="1">
        <v>0.0</v>
      </c>
      <c r="BF1606" s="1">
        <v>0.0</v>
      </c>
      <c r="BG1606" s="1">
        <v>0.0</v>
      </c>
      <c r="BH1606" s="1">
        <v>0.0</v>
      </c>
      <c r="BI1606" s="1">
        <v>0.0</v>
      </c>
      <c r="BJ1606" s="1">
        <v>0.0</v>
      </c>
      <c r="BP1606" s="1">
        <v>0.27</v>
      </c>
      <c r="BQ1606" s="1" t="s">
        <v>5340</v>
      </c>
      <c r="BV1606" s="1">
        <v>1.1</v>
      </c>
      <c r="EQ1606" s="9" t="s">
        <v>5339</v>
      </c>
      <c r="ER1606" s="21">
        <v>46045.30091435185</v>
      </c>
    </row>
    <row r="1607">
      <c r="A1607" s="9" t="s">
        <v>5341</v>
      </c>
      <c r="B1607" s="20" t="str">
        <f>IFERROR(__xludf.DUMMYFUNCTION("REGEXREPLACE(A1607, ""^https?://[^/]+"", """")"),"/in-focus-the-rewards-of-taking-a-career-risk/")</f>
        <v>/in-focus-the-rewards-of-taking-a-career-risk/</v>
      </c>
      <c r="C1607" s="1" t="s">
        <v>5342</v>
      </c>
      <c r="D1607" s="1" t="s">
        <v>5343</v>
      </c>
      <c r="E1607" s="1" t="s">
        <v>5344</v>
      </c>
      <c r="F1607" s="1" t="s">
        <v>965</v>
      </c>
      <c r="G1607" s="1">
        <v>200.0</v>
      </c>
      <c r="H1607" s="1" t="s">
        <v>966</v>
      </c>
      <c r="I1607" s="1" t="s">
        <v>967</v>
      </c>
      <c r="K1607" s="1" t="s">
        <v>5345</v>
      </c>
      <c r="L1607" s="1">
        <v>72.0</v>
      </c>
      <c r="M1607" s="1">
        <v>640.0</v>
      </c>
      <c r="O1607" s="1">
        <v>0.0</v>
      </c>
      <c r="P1607" s="1">
        <v>0.0</v>
      </c>
      <c r="Q1607" s="1" t="s">
        <v>5346</v>
      </c>
      <c r="R1607" s="1">
        <v>149.0</v>
      </c>
      <c r="S1607" s="1">
        <v>916.0</v>
      </c>
      <c r="U1607" s="1">
        <v>0.0</v>
      </c>
      <c r="V1607" s="1" t="s">
        <v>5342</v>
      </c>
      <c r="W1607" s="1">
        <v>47.0</v>
      </c>
      <c r="Y1607" s="1">
        <v>0.0</v>
      </c>
      <c r="Z1607" s="1" t="s">
        <v>5343</v>
      </c>
      <c r="AA1607" s="1">
        <v>53.0</v>
      </c>
      <c r="AB1607" s="1" t="s">
        <v>5344</v>
      </c>
      <c r="AC1607" s="1">
        <v>70.0</v>
      </c>
      <c r="AD1607" s="1" t="s">
        <v>971</v>
      </c>
      <c r="AG1607" s="9" t="s">
        <v>5341</v>
      </c>
      <c r="AM1607" s="1">
        <v>202863.0</v>
      </c>
      <c r="AN1607" s="1">
        <v>36986.0</v>
      </c>
      <c r="AO1607" s="1">
        <v>36986.0</v>
      </c>
      <c r="AP1607" s="1">
        <v>14.169</v>
      </c>
      <c r="AR1607" s="1">
        <v>1585.0</v>
      </c>
      <c r="AS1607" s="1">
        <v>237.0</v>
      </c>
      <c r="AT1607" s="1">
        <v>6.688</v>
      </c>
      <c r="AU1607" s="1">
        <v>68.797</v>
      </c>
      <c r="AV1607" s="1" t="s">
        <v>990</v>
      </c>
      <c r="AW1607" s="1">
        <v>5.885</v>
      </c>
      <c r="AX1607" s="1">
        <v>4.0</v>
      </c>
      <c r="AY1607" s="1">
        <v>1.0</v>
      </c>
      <c r="AZ1607" s="1">
        <v>1.0</v>
      </c>
      <c r="BA1607" s="1">
        <v>2.0</v>
      </c>
      <c r="BB1607" s="1">
        <v>1.0</v>
      </c>
      <c r="BC1607" s="1">
        <v>0.0</v>
      </c>
      <c r="BD1607" s="1">
        <v>0.13</v>
      </c>
      <c r="BE1607" s="1">
        <v>133.0</v>
      </c>
      <c r="BF1607" s="1">
        <v>49.0</v>
      </c>
      <c r="BG1607" s="1">
        <v>0.0</v>
      </c>
      <c r="BH1607" s="1">
        <v>16.0</v>
      </c>
      <c r="BI1607" s="1">
        <v>8.0</v>
      </c>
      <c r="BJ1607" s="1">
        <v>0.0</v>
      </c>
      <c r="BO1607" s="1" t="s">
        <v>5347</v>
      </c>
      <c r="BP1607" s="1">
        <v>1.127</v>
      </c>
      <c r="BU1607" s="1" t="s">
        <v>974</v>
      </c>
      <c r="BV1607" s="1">
        <v>1.1</v>
      </c>
      <c r="EQ1607" s="9" t="s">
        <v>5341</v>
      </c>
      <c r="ER1607" s="21">
        <v>46045.30091435185</v>
      </c>
    </row>
    <row r="1608">
      <c r="A1608" s="9" t="s">
        <v>5348</v>
      </c>
      <c r="B1608" s="20" t="str">
        <f>IFERROR(__xludf.DUMMYFUNCTION("REGEXREPLACE(A1608, ""^https?://[^/]+"", """")"),"/that-knocking-you-hear-its-an-opportunity-to-fulfill-your-potential/")</f>
        <v>/that-knocking-you-hear-its-an-opportunity-to-fulfill-your-potential/</v>
      </c>
      <c r="C1608" s="1" t="s">
        <v>5349</v>
      </c>
      <c r="D1608" s="1" t="s">
        <v>5350</v>
      </c>
      <c r="E1608" s="1" t="s">
        <v>5351</v>
      </c>
      <c r="F1608" s="1" t="s">
        <v>965</v>
      </c>
      <c r="G1608" s="1">
        <v>200.0</v>
      </c>
      <c r="H1608" s="1" t="s">
        <v>966</v>
      </c>
      <c r="I1608" s="1" t="s">
        <v>967</v>
      </c>
      <c r="K1608" s="1" t="s">
        <v>5352</v>
      </c>
      <c r="L1608" s="1">
        <v>94.0</v>
      </c>
      <c r="M1608" s="1">
        <v>815.0</v>
      </c>
      <c r="O1608" s="1">
        <v>0.0</v>
      </c>
      <c r="P1608" s="1">
        <v>0.0</v>
      </c>
      <c r="Q1608" s="1" t="s">
        <v>5353</v>
      </c>
      <c r="R1608" s="1">
        <v>76.0</v>
      </c>
      <c r="S1608" s="1">
        <v>477.0</v>
      </c>
      <c r="U1608" s="1">
        <v>0.0</v>
      </c>
      <c r="V1608" s="1" t="s">
        <v>5349</v>
      </c>
      <c r="W1608" s="1">
        <v>69.0</v>
      </c>
      <c r="Y1608" s="1">
        <v>0.0</v>
      </c>
      <c r="Z1608" s="1" t="s">
        <v>5350</v>
      </c>
      <c r="AA1608" s="1">
        <v>18.0</v>
      </c>
      <c r="AB1608" s="1" t="s">
        <v>5351</v>
      </c>
      <c r="AC1608" s="1">
        <v>13.0</v>
      </c>
      <c r="AD1608" s="1" t="s">
        <v>971</v>
      </c>
      <c r="AG1608" s="9" t="s">
        <v>5348</v>
      </c>
      <c r="AM1608" s="1">
        <v>200965.0</v>
      </c>
      <c r="AN1608" s="1">
        <v>35909.0</v>
      </c>
      <c r="AO1608" s="1">
        <v>35909.0</v>
      </c>
      <c r="AP1608" s="1">
        <v>13.756</v>
      </c>
      <c r="AR1608" s="1">
        <v>1259.0</v>
      </c>
      <c r="AS1608" s="1">
        <v>206.0</v>
      </c>
      <c r="AT1608" s="1">
        <v>6.112</v>
      </c>
      <c r="AU1608" s="1">
        <v>65.231</v>
      </c>
      <c r="AV1608" s="1" t="s">
        <v>990</v>
      </c>
      <c r="AW1608" s="1">
        <v>5.049</v>
      </c>
      <c r="AX1608" s="1">
        <v>4.0</v>
      </c>
      <c r="AY1608" s="1">
        <v>1.0</v>
      </c>
      <c r="AZ1608" s="1">
        <v>1.0</v>
      </c>
      <c r="BA1608" s="1">
        <v>5.0</v>
      </c>
      <c r="BB1608" s="1">
        <v>2.0</v>
      </c>
      <c r="BC1608" s="1">
        <v>0.0</v>
      </c>
      <c r="BD1608" s="1">
        <v>0.27</v>
      </c>
      <c r="BE1608" s="1">
        <v>131.0</v>
      </c>
      <c r="BF1608" s="1">
        <v>49.0</v>
      </c>
      <c r="BG1608" s="1">
        <v>0.0</v>
      </c>
      <c r="BH1608" s="1">
        <v>16.0</v>
      </c>
      <c r="BI1608" s="1">
        <v>8.0</v>
      </c>
      <c r="BJ1608" s="1">
        <v>0.0</v>
      </c>
      <c r="BO1608" s="1" t="s">
        <v>5354</v>
      </c>
      <c r="BP1608" s="1">
        <v>1.13</v>
      </c>
      <c r="BU1608" s="1" t="s">
        <v>974</v>
      </c>
      <c r="BV1608" s="1">
        <v>1.1</v>
      </c>
      <c r="EQ1608" s="9" t="s">
        <v>5348</v>
      </c>
      <c r="ER1608" s="21">
        <v>46045.30091435185</v>
      </c>
    </row>
    <row r="1609">
      <c r="A1609" s="9" t="s">
        <v>5355</v>
      </c>
      <c r="B1609" s="20" t="str">
        <f>IFERROR(__xludf.DUMMYFUNCTION("REGEXREPLACE(A1609, ""^https?://[^/]+"", """")"),"/creating-and-maintaining-a-successful-sales-organization/")</f>
        <v>/creating-and-maintaining-a-successful-sales-organization/</v>
      </c>
      <c r="C1609" s="1" t="s">
        <v>5356</v>
      </c>
      <c r="D1609" s="1" t="s">
        <v>5357</v>
      </c>
      <c r="E1609" s="1" t="s">
        <v>5358</v>
      </c>
      <c r="F1609" s="1" t="s">
        <v>965</v>
      </c>
      <c r="G1609" s="1">
        <v>200.0</v>
      </c>
      <c r="H1609" s="1" t="s">
        <v>966</v>
      </c>
      <c r="I1609" s="1" t="s">
        <v>967</v>
      </c>
      <c r="K1609" s="1" t="s">
        <v>5359</v>
      </c>
      <c r="L1609" s="1">
        <v>81.0</v>
      </c>
      <c r="M1609" s="1">
        <v>730.0</v>
      </c>
      <c r="O1609" s="1">
        <v>0.0</v>
      </c>
      <c r="P1609" s="1">
        <v>0.0</v>
      </c>
      <c r="Q1609" s="1" t="s">
        <v>5360</v>
      </c>
      <c r="R1609" s="1">
        <v>148.0</v>
      </c>
      <c r="S1609" s="1">
        <v>937.0</v>
      </c>
      <c r="U1609" s="1">
        <v>0.0</v>
      </c>
      <c r="V1609" s="1" t="s">
        <v>5356</v>
      </c>
      <c r="W1609" s="1">
        <v>56.0</v>
      </c>
      <c r="Y1609" s="1">
        <v>0.0</v>
      </c>
      <c r="Z1609" s="1" t="s">
        <v>5357</v>
      </c>
      <c r="AA1609" s="1">
        <v>66.0</v>
      </c>
      <c r="AB1609" s="1" t="s">
        <v>5358</v>
      </c>
      <c r="AC1609" s="1">
        <v>70.0</v>
      </c>
      <c r="AD1609" s="1" t="s">
        <v>971</v>
      </c>
      <c r="AG1609" s="9" t="s">
        <v>5355</v>
      </c>
      <c r="AM1609" s="1">
        <v>207320.0</v>
      </c>
      <c r="AN1609" s="1">
        <v>36601.0</v>
      </c>
      <c r="AO1609" s="1">
        <v>36601.0</v>
      </c>
      <c r="AP1609" s="1">
        <v>14.021</v>
      </c>
      <c r="AR1609" s="1">
        <v>1275.0</v>
      </c>
      <c r="AS1609" s="1">
        <v>194.0</v>
      </c>
      <c r="AT1609" s="1">
        <v>6.572</v>
      </c>
      <c r="AU1609" s="1">
        <v>54.387</v>
      </c>
      <c r="AV1609" s="1" t="s">
        <v>972</v>
      </c>
      <c r="AW1609" s="1">
        <v>5.155</v>
      </c>
      <c r="AX1609" s="1">
        <v>4.0</v>
      </c>
      <c r="AY1609" s="1">
        <v>1.0</v>
      </c>
      <c r="AZ1609" s="1">
        <v>1.0</v>
      </c>
      <c r="BA1609" s="1">
        <v>3.0</v>
      </c>
      <c r="BB1609" s="1">
        <v>2.0</v>
      </c>
      <c r="BC1609" s="1">
        <v>0.0</v>
      </c>
      <c r="BD1609" s="1">
        <v>0.27</v>
      </c>
      <c r="BE1609" s="1">
        <v>132.0</v>
      </c>
      <c r="BF1609" s="1">
        <v>49.0</v>
      </c>
      <c r="BG1609" s="1">
        <v>0.0</v>
      </c>
      <c r="BH1609" s="1">
        <v>16.0</v>
      </c>
      <c r="BI1609" s="1">
        <v>8.0</v>
      </c>
      <c r="BJ1609" s="1">
        <v>0.0</v>
      </c>
      <c r="BO1609" s="1" t="s">
        <v>5361</v>
      </c>
      <c r="BP1609" s="1">
        <v>1.068</v>
      </c>
      <c r="BU1609" s="1" t="s">
        <v>974</v>
      </c>
      <c r="BV1609" s="1">
        <v>1.1</v>
      </c>
      <c r="EQ1609" s="9" t="s">
        <v>5355</v>
      </c>
      <c r="ER1609" s="21">
        <v>46045.30091435185</v>
      </c>
    </row>
    <row r="1610">
      <c r="A1610" s="9" t="s">
        <v>5362</v>
      </c>
      <c r="B1610" s="20" t="str">
        <f>IFERROR(__xludf.DUMMYFUNCTION("REGEXREPLACE(A1610, ""^https?://[^/]+"", """")"),"/inflation-how-to-prepare-and-protect-your-business/")</f>
        <v>/inflation-how-to-prepare-and-protect-your-business/</v>
      </c>
      <c r="C1610" s="1" t="s">
        <v>5363</v>
      </c>
      <c r="D1610" s="1" t="s">
        <v>5364</v>
      </c>
      <c r="E1610" s="1" t="s">
        <v>5365</v>
      </c>
      <c r="F1610" s="1" t="s">
        <v>965</v>
      </c>
      <c r="G1610" s="1">
        <v>200.0</v>
      </c>
      <c r="H1610" s="1" t="s">
        <v>966</v>
      </c>
      <c r="I1610" s="1" t="s">
        <v>967</v>
      </c>
      <c r="K1610" s="1" t="s">
        <v>5366</v>
      </c>
      <c r="L1610" s="1">
        <v>76.0</v>
      </c>
      <c r="M1610" s="1">
        <v>683.0</v>
      </c>
      <c r="O1610" s="1">
        <v>0.0</v>
      </c>
      <c r="P1610" s="1">
        <v>0.0</v>
      </c>
      <c r="Q1610" s="1" t="s">
        <v>5367</v>
      </c>
      <c r="R1610" s="1">
        <v>150.0</v>
      </c>
      <c r="S1610" s="1">
        <v>934.0</v>
      </c>
      <c r="U1610" s="1">
        <v>0.0</v>
      </c>
      <c r="V1610" s="1" t="s">
        <v>5363</v>
      </c>
      <c r="W1610" s="1">
        <v>51.0</v>
      </c>
      <c r="Y1610" s="1">
        <v>0.0</v>
      </c>
      <c r="Z1610" s="1" t="s">
        <v>5364</v>
      </c>
      <c r="AA1610" s="1">
        <v>25.0</v>
      </c>
      <c r="AB1610" s="1" t="s">
        <v>5365</v>
      </c>
      <c r="AC1610" s="1">
        <v>37.0</v>
      </c>
      <c r="AD1610" s="1" t="s">
        <v>971</v>
      </c>
      <c r="AG1610" s="9" t="s">
        <v>5362</v>
      </c>
      <c r="AM1610" s="1">
        <v>205208.0</v>
      </c>
      <c r="AN1610" s="1">
        <v>36135.0</v>
      </c>
      <c r="AO1610" s="1">
        <v>36135.0</v>
      </c>
      <c r="AP1610" s="1">
        <v>13.843</v>
      </c>
      <c r="AR1610" s="1">
        <v>1434.0</v>
      </c>
      <c r="AS1610" s="1">
        <v>226.0</v>
      </c>
      <c r="AT1610" s="1">
        <v>6.345</v>
      </c>
      <c r="AU1610" s="1">
        <v>55.088</v>
      </c>
      <c r="AV1610" s="1" t="s">
        <v>972</v>
      </c>
      <c r="AW1610" s="1">
        <v>5.612</v>
      </c>
      <c r="AX1610" s="1">
        <v>4.0</v>
      </c>
      <c r="AY1610" s="1">
        <v>1.0</v>
      </c>
      <c r="AZ1610" s="1">
        <v>1.0</v>
      </c>
      <c r="BA1610" s="1">
        <v>2.0</v>
      </c>
      <c r="BB1610" s="1">
        <v>1.0</v>
      </c>
      <c r="BC1610" s="1">
        <v>0.0</v>
      </c>
      <c r="BD1610" s="1">
        <v>0.13</v>
      </c>
      <c r="BE1610" s="1">
        <v>133.0</v>
      </c>
      <c r="BF1610" s="1">
        <v>49.0</v>
      </c>
      <c r="BG1610" s="1">
        <v>0.0</v>
      </c>
      <c r="BH1610" s="1">
        <v>17.0</v>
      </c>
      <c r="BI1610" s="1">
        <v>9.0</v>
      </c>
      <c r="BJ1610" s="1">
        <v>0.0</v>
      </c>
      <c r="BO1610" s="1" t="s">
        <v>5368</v>
      </c>
      <c r="BP1610" s="1">
        <v>1.065</v>
      </c>
      <c r="BU1610" s="1" t="s">
        <v>974</v>
      </c>
      <c r="BV1610" s="1">
        <v>1.1</v>
      </c>
      <c r="EQ1610" s="9" t="s">
        <v>5362</v>
      </c>
      <c r="ER1610" s="21">
        <v>46045.30091435185</v>
      </c>
    </row>
    <row r="1611">
      <c r="A1611" s="9" t="s">
        <v>5369</v>
      </c>
      <c r="B1611" s="20" t="str">
        <f>IFERROR(__xludf.DUMMYFUNCTION("REGEXREPLACE(A1611, ""^https?://[^/]+"", """")"),"/wp-content/uploads/2023/04/Business-Ninjas-WriteForMe-178-SalesXceleration.jpg")</f>
        <v>/wp-content/uploads/2023/04/Business-Ninjas-WriteForMe-178-SalesXceleration.jpg</v>
      </c>
      <c r="F1611" s="1" t="s">
        <v>1004</v>
      </c>
      <c r="G1611" s="1">
        <v>200.0</v>
      </c>
      <c r="H1611" s="1" t="s">
        <v>966</v>
      </c>
      <c r="I1611" s="1" t="s">
        <v>967</v>
      </c>
      <c r="L1611" s="1">
        <v>0.0</v>
      </c>
      <c r="M1611" s="1">
        <v>0.0</v>
      </c>
      <c r="O1611" s="1">
        <v>0.0</v>
      </c>
      <c r="P1611" s="1">
        <v>0.0</v>
      </c>
      <c r="R1611" s="1">
        <v>0.0</v>
      </c>
      <c r="S1611" s="1">
        <v>0.0</v>
      </c>
      <c r="U1611" s="1">
        <v>0.0</v>
      </c>
      <c r="W1611" s="1">
        <v>0.0</v>
      </c>
      <c r="Y1611" s="1">
        <v>0.0</v>
      </c>
      <c r="AA1611" s="1">
        <v>0.0</v>
      </c>
      <c r="AC1611" s="1">
        <v>0.0</v>
      </c>
      <c r="AM1611" s="1">
        <v>283555.0</v>
      </c>
      <c r="AN1611" s="1">
        <v>283555.0</v>
      </c>
      <c r="AO1611" s="1">
        <v>283555.0</v>
      </c>
      <c r="AP1611" s="1">
        <v>108.625</v>
      </c>
      <c r="AR1611" s="1">
        <v>0.0</v>
      </c>
      <c r="AW1611" s="1">
        <v>0.0</v>
      </c>
      <c r="AX1611" s="1">
        <v>4.0</v>
      </c>
      <c r="AY1611" s="1">
        <v>4.0</v>
      </c>
      <c r="BA1611" s="1">
        <v>0.0</v>
      </c>
      <c r="BB1611" s="1">
        <v>0.0</v>
      </c>
      <c r="BC1611" s="1">
        <v>0.0</v>
      </c>
      <c r="BD1611" s="1">
        <v>0.0</v>
      </c>
      <c r="BE1611" s="1">
        <v>0.0</v>
      </c>
      <c r="BF1611" s="1">
        <v>0.0</v>
      </c>
      <c r="BG1611" s="1">
        <v>0.0</v>
      </c>
      <c r="BH1611" s="1">
        <v>0.0</v>
      </c>
      <c r="BI1611" s="1">
        <v>0.0</v>
      </c>
      <c r="BJ1611" s="1">
        <v>0.0</v>
      </c>
      <c r="BP1611" s="1">
        <v>0.273</v>
      </c>
      <c r="BQ1611" s="1" t="s">
        <v>5370</v>
      </c>
      <c r="BV1611" s="1">
        <v>1.1</v>
      </c>
      <c r="EQ1611" s="9" t="s">
        <v>5369</v>
      </c>
      <c r="ER1611" s="21">
        <v>46045.30092592593</v>
      </c>
    </row>
    <row r="1612">
      <c r="A1612" s="9" t="s">
        <v>5371</v>
      </c>
      <c r="B1612" s="20" t="str">
        <f>IFERROR(__xludf.DUMMYFUNCTION("REGEXREPLACE(A1612, ""^https?://[^/]+"", """")"),"/wp-content/uploads/2020/07/Investor-Meeting-scaled-1-2048x2048.jpg")</f>
        <v>/wp-content/uploads/2020/07/Investor-Meeting-scaled-1-2048x2048.jpg</v>
      </c>
      <c r="F1612" s="1" t="s">
        <v>1004</v>
      </c>
      <c r="G1612" s="1">
        <v>200.0</v>
      </c>
      <c r="H1612" s="1" t="s">
        <v>966</v>
      </c>
      <c r="I1612" s="1" t="s">
        <v>967</v>
      </c>
      <c r="L1612" s="1">
        <v>0.0</v>
      </c>
      <c r="M1612" s="1">
        <v>0.0</v>
      </c>
      <c r="O1612" s="1">
        <v>0.0</v>
      </c>
      <c r="P1612" s="1">
        <v>0.0</v>
      </c>
      <c r="R1612" s="1">
        <v>0.0</v>
      </c>
      <c r="S1612" s="1">
        <v>0.0</v>
      </c>
      <c r="U1612" s="1">
        <v>0.0</v>
      </c>
      <c r="W1612" s="1">
        <v>0.0</v>
      </c>
      <c r="Y1612" s="1">
        <v>0.0</v>
      </c>
      <c r="AA1612" s="1">
        <v>0.0</v>
      </c>
      <c r="AC1612" s="1">
        <v>0.0</v>
      </c>
      <c r="AM1612" s="1">
        <v>349581.0</v>
      </c>
      <c r="AN1612" s="1">
        <v>349581.0</v>
      </c>
      <c r="AO1612" s="1">
        <v>349581.0</v>
      </c>
      <c r="AP1612" s="1">
        <v>133.918</v>
      </c>
      <c r="AR1612" s="1">
        <v>0.0</v>
      </c>
      <c r="AW1612" s="1">
        <v>0.0</v>
      </c>
      <c r="AX1612" s="1">
        <v>4.0</v>
      </c>
      <c r="AY1612" s="1">
        <v>4.0</v>
      </c>
      <c r="BA1612" s="1">
        <v>0.0</v>
      </c>
      <c r="BB1612" s="1">
        <v>0.0</v>
      </c>
      <c r="BC1612" s="1">
        <v>0.0</v>
      </c>
      <c r="BD1612" s="1">
        <v>0.0</v>
      </c>
      <c r="BE1612" s="1">
        <v>0.0</v>
      </c>
      <c r="BF1612" s="1">
        <v>0.0</v>
      </c>
      <c r="BG1612" s="1">
        <v>0.0</v>
      </c>
      <c r="BH1612" s="1">
        <v>0.0</v>
      </c>
      <c r="BI1612" s="1">
        <v>0.0</v>
      </c>
      <c r="BJ1612" s="1">
        <v>0.0</v>
      </c>
      <c r="BP1612" s="1">
        <v>0.28</v>
      </c>
      <c r="BQ1612" s="1" t="s">
        <v>5372</v>
      </c>
      <c r="BV1612" s="1">
        <v>1.1</v>
      </c>
      <c r="EQ1612" s="9" t="s">
        <v>5371</v>
      </c>
      <c r="ER1612" s="21">
        <v>46045.30092592593</v>
      </c>
    </row>
    <row r="1613">
      <c r="A1613" s="9" t="s">
        <v>5373</v>
      </c>
      <c r="B1613" s="20" t="str">
        <f>IFERROR(__xludf.DUMMYFUNCTION("REGEXREPLACE(A1613, ""^https?://[^/]+"", """")"),"/seven-essential-do-this-not-that-tips-to-network-smarter-not-harder/")</f>
        <v>/seven-essential-do-this-not-that-tips-to-network-smarter-not-harder/</v>
      </c>
      <c r="C1613" s="1" t="s">
        <v>5374</v>
      </c>
      <c r="F1613" s="1" t="s">
        <v>965</v>
      </c>
      <c r="G1613" s="1">
        <v>200.0</v>
      </c>
      <c r="H1613" s="1" t="s">
        <v>966</v>
      </c>
      <c r="I1613" s="1" t="s">
        <v>967</v>
      </c>
      <c r="K1613" s="1" t="s">
        <v>5375</v>
      </c>
      <c r="L1613" s="1">
        <v>105.0</v>
      </c>
      <c r="M1613" s="1">
        <v>931.0</v>
      </c>
      <c r="O1613" s="1">
        <v>0.0</v>
      </c>
      <c r="P1613" s="1">
        <v>0.0</v>
      </c>
      <c r="Q1613" s="1" t="s">
        <v>5376</v>
      </c>
      <c r="R1613" s="1">
        <v>87.0</v>
      </c>
      <c r="S1613" s="1">
        <v>537.0</v>
      </c>
      <c r="U1613" s="1">
        <v>0.0</v>
      </c>
      <c r="V1613" s="1" t="s">
        <v>5374</v>
      </c>
      <c r="W1613" s="1">
        <v>80.0</v>
      </c>
      <c r="Y1613" s="1">
        <v>0.0</v>
      </c>
      <c r="AA1613" s="1">
        <v>0.0</v>
      </c>
      <c r="AC1613" s="1">
        <v>0.0</v>
      </c>
      <c r="AD1613" s="1" t="s">
        <v>971</v>
      </c>
      <c r="AG1613" s="9" t="s">
        <v>5373</v>
      </c>
      <c r="AM1613" s="1">
        <v>201858.0</v>
      </c>
      <c r="AN1613" s="1">
        <v>36553.0</v>
      </c>
      <c r="AO1613" s="1">
        <v>36553.0</v>
      </c>
      <c r="AP1613" s="1">
        <v>14.003</v>
      </c>
      <c r="AR1613" s="1">
        <v>1427.0</v>
      </c>
      <c r="AS1613" s="1">
        <v>236.0</v>
      </c>
      <c r="AT1613" s="1">
        <v>6.047</v>
      </c>
      <c r="AU1613" s="1">
        <v>66.95</v>
      </c>
      <c r="AV1613" s="1" t="s">
        <v>990</v>
      </c>
      <c r="AW1613" s="1">
        <v>5.539</v>
      </c>
      <c r="AX1613" s="1">
        <v>4.0</v>
      </c>
      <c r="AY1613" s="1">
        <v>1.0</v>
      </c>
      <c r="AZ1613" s="1">
        <v>1.0</v>
      </c>
      <c r="BA1613" s="1">
        <v>10.0</v>
      </c>
      <c r="BB1613" s="1">
        <v>10.0</v>
      </c>
      <c r="BC1613" s="1">
        <v>0.0</v>
      </c>
      <c r="BD1613" s="1">
        <v>1.33</v>
      </c>
      <c r="BE1613" s="1">
        <v>129.0</v>
      </c>
      <c r="BF1613" s="1">
        <v>47.0</v>
      </c>
      <c r="BG1613" s="1">
        <v>0.0</v>
      </c>
      <c r="BH1613" s="1">
        <v>16.0</v>
      </c>
      <c r="BI1613" s="1">
        <v>8.0</v>
      </c>
      <c r="BJ1613" s="1">
        <v>0.0</v>
      </c>
      <c r="BO1613" s="1" t="s">
        <v>5377</v>
      </c>
      <c r="BP1613" s="1">
        <v>0.995</v>
      </c>
      <c r="BU1613" s="1" t="s">
        <v>974</v>
      </c>
      <c r="BV1613" s="1">
        <v>1.1</v>
      </c>
      <c r="EQ1613" s="9" t="s">
        <v>5373</v>
      </c>
      <c r="ER1613" s="21">
        <v>46045.30091435185</v>
      </c>
    </row>
    <row r="1614">
      <c r="A1614" s="9" t="s">
        <v>5378</v>
      </c>
      <c r="B1614" s="20" t="str">
        <f>IFERROR(__xludf.DUMMYFUNCTION("REGEXREPLACE(A1614, ""^https?://[^/]+"", """")"),"/wp-content/uploads/2020/05/https___specials-images.forbesimg.com_dam_imageserve_1166085433_960x0-2048x2048.jpg")</f>
        <v>/wp-content/uploads/2020/05/https___specials-images.forbesimg.com_dam_imageserve_1166085433_960x0-2048x2048.jpg</v>
      </c>
      <c r="F1614" s="1" t="s">
        <v>1004</v>
      </c>
      <c r="G1614" s="1">
        <v>200.0</v>
      </c>
      <c r="H1614" s="1" t="s">
        <v>966</v>
      </c>
      <c r="I1614" s="1" t="s">
        <v>967</v>
      </c>
      <c r="L1614" s="1">
        <v>0.0</v>
      </c>
      <c r="M1614" s="1">
        <v>0.0</v>
      </c>
      <c r="O1614" s="1">
        <v>0.0</v>
      </c>
      <c r="P1614" s="1">
        <v>0.0</v>
      </c>
      <c r="R1614" s="1">
        <v>0.0</v>
      </c>
      <c r="S1614" s="1">
        <v>0.0</v>
      </c>
      <c r="U1614" s="1">
        <v>0.0</v>
      </c>
      <c r="W1614" s="1">
        <v>0.0</v>
      </c>
      <c r="Y1614" s="1">
        <v>0.0</v>
      </c>
      <c r="AA1614" s="1">
        <v>0.0</v>
      </c>
      <c r="AC1614" s="1">
        <v>0.0</v>
      </c>
      <c r="AM1614" s="1">
        <v>292272.0</v>
      </c>
      <c r="AN1614" s="1">
        <v>292272.0</v>
      </c>
      <c r="AO1614" s="1">
        <v>292272.0</v>
      </c>
      <c r="AP1614" s="1">
        <v>111.964</v>
      </c>
      <c r="AR1614" s="1">
        <v>0.0</v>
      </c>
      <c r="AW1614" s="1">
        <v>0.0</v>
      </c>
      <c r="AX1614" s="1">
        <v>4.0</v>
      </c>
      <c r="AY1614" s="1">
        <v>4.0</v>
      </c>
      <c r="BA1614" s="1">
        <v>0.0</v>
      </c>
      <c r="BB1614" s="1">
        <v>0.0</v>
      </c>
      <c r="BC1614" s="1">
        <v>0.0</v>
      </c>
      <c r="BD1614" s="1">
        <v>0.0</v>
      </c>
      <c r="BE1614" s="1">
        <v>0.0</v>
      </c>
      <c r="BF1614" s="1">
        <v>0.0</v>
      </c>
      <c r="BG1614" s="1">
        <v>0.0</v>
      </c>
      <c r="BH1614" s="1">
        <v>0.0</v>
      </c>
      <c r="BI1614" s="1">
        <v>0.0</v>
      </c>
      <c r="BJ1614" s="1">
        <v>0.0</v>
      </c>
      <c r="BP1614" s="1">
        <v>0.264</v>
      </c>
      <c r="BQ1614" s="1" t="s">
        <v>5379</v>
      </c>
      <c r="BV1614" s="1">
        <v>1.1</v>
      </c>
      <c r="EQ1614" s="9" t="s">
        <v>5378</v>
      </c>
      <c r="ER1614" s="21">
        <v>46045.30092592593</v>
      </c>
    </row>
    <row r="1615">
      <c r="A1615" s="9" t="s">
        <v>5380</v>
      </c>
      <c r="B1615" s="20" t="str">
        <f>IFERROR(__xludf.DUMMYFUNCTION("REGEXREPLACE(A1615, ""^https?://[^/]+"", """")"),"/wp-content/uploads/2023/10/The-Power-of-Serving-Versus-Selling.jpg")</f>
        <v>/wp-content/uploads/2023/10/The-Power-of-Serving-Versus-Selling.jpg</v>
      </c>
      <c r="F1615" s="1" t="s">
        <v>1004</v>
      </c>
      <c r="G1615" s="1">
        <v>200.0</v>
      </c>
      <c r="H1615" s="1" t="s">
        <v>966</v>
      </c>
      <c r="I1615" s="1" t="s">
        <v>967</v>
      </c>
      <c r="L1615" s="1">
        <v>0.0</v>
      </c>
      <c r="M1615" s="1">
        <v>0.0</v>
      </c>
      <c r="O1615" s="1">
        <v>0.0</v>
      </c>
      <c r="P1615" s="1">
        <v>0.0</v>
      </c>
      <c r="R1615" s="1">
        <v>0.0</v>
      </c>
      <c r="S1615" s="1">
        <v>0.0</v>
      </c>
      <c r="U1615" s="1">
        <v>0.0</v>
      </c>
      <c r="W1615" s="1">
        <v>0.0</v>
      </c>
      <c r="Y1615" s="1">
        <v>0.0</v>
      </c>
      <c r="AA1615" s="1">
        <v>0.0</v>
      </c>
      <c r="AC1615" s="1">
        <v>0.0</v>
      </c>
      <c r="AM1615" s="1">
        <v>213750.0</v>
      </c>
      <c r="AN1615" s="1">
        <v>213750.0</v>
      </c>
      <c r="AO1615" s="1">
        <v>213750.0</v>
      </c>
      <c r="AP1615" s="1">
        <v>81.884</v>
      </c>
      <c r="AR1615" s="1">
        <v>0.0</v>
      </c>
      <c r="AW1615" s="1">
        <v>0.0</v>
      </c>
      <c r="AX1615" s="1">
        <v>4.0</v>
      </c>
      <c r="AY1615" s="1">
        <v>4.0</v>
      </c>
      <c r="BA1615" s="1">
        <v>0.0</v>
      </c>
      <c r="BB1615" s="1">
        <v>0.0</v>
      </c>
      <c r="BC1615" s="1">
        <v>0.0</v>
      </c>
      <c r="BD1615" s="1">
        <v>0.0</v>
      </c>
      <c r="BE1615" s="1">
        <v>0.0</v>
      </c>
      <c r="BF1615" s="1">
        <v>0.0</v>
      </c>
      <c r="BG1615" s="1">
        <v>0.0</v>
      </c>
      <c r="BH1615" s="1">
        <v>0.0</v>
      </c>
      <c r="BI1615" s="1">
        <v>0.0</v>
      </c>
      <c r="BJ1615" s="1">
        <v>0.0</v>
      </c>
      <c r="BP1615" s="1">
        <v>0.268</v>
      </c>
      <c r="BQ1615" s="1" t="s">
        <v>5381</v>
      </c>
      <c r="BV1615" s="1">
        <v>1.1</v>
      </c>
      <c r="EQ1615" s="9" t="s">
        <v>5380</v>
      </c>
      <c r="ER1615" s="21">
        <v>46045.30092592593</v>
      </c>
    </row>
    <row r="1616">
      <c r="A1616" s="9" t="s">
        <v>5382</v>
      </c>
      <c r="B1616" s="20" t="str">
        <f>IFERROR(__xludf.DUMMYFUNCTION("REGEXREPLACE(A1616, ""^https?://[^/]+"", """")"),"/wp-content/themes/salesxceleratione/assets/css/style.css?ver=1769123582")</f>
        <v>/wp-content/themes/salesxceleratione/assets/css/style.css?ver=1769123582</v>
      </c>
      <c r="F1616" s="1" t="s">
        <v>1016</v>
      </c>
      <c r="G1616" s="1">
        <v>200.0</v>
      </c>
      <c r="H1616" s="1" t="s">
        <v>966</v>
      </c>
      <c r="I1616" s="1" t="s">
        <v>967</v>
      </c>
      <c r="L1616" s="1">
        <v>0.0</v>
      </c>
      <c r="M1616" s="1">
        <v>0.0</v>
      </c>
      <c r="O1616" s="1">
        <v>0.0</v>
      </c>
      <c r="P1616" s="1">
        <v>0.0</v>
      </c>
      <c r="R1616" s="1">
        <v>0.0</v>
      </c>
      <c r="S1616" s="1">
        <v>0.0</v>
      </c>
      <c r="U1616" s="1">
        <v>0.0</v>
      </c>
      <c r="W1616" s="1">
        <v>0.0</v>
      </c>
      <c r="Y1616" s="1">
        <v>0.0</v>
      </c>
      <c r="AA1616" s="1">
        <v>0.0</v>
      </c>
      <c r="AC1616" s="1">
        <v>0.0</v>
      </c>
      <c r="AM1616" s="1">
        <v>17704.0</v>
      </c>
      <c r="AN1616" s="1">
        <v>17704.0</v>
      </c>
      <c r="AO1616" s="1">
        <v>17704.0</v>
      </c>
      <c r="AP1616" s="1">
        <v>6.782</v>
      </c>
      <c r="AR1616" s="1">
        <v>0.0</v>
      </c>
      <c r="AW1616" s="1">
        <v>0.0</v>
      </c>
      <c r="AX1616" s="1">
        <v>4.0</v>
      </c>
      <c r="AY1616" s="1">
        <v>5.0</v>
      </c>
      <c r="BA1616" s="1">
        <v>0.0</v>
      </c>
      <c r="BB1616" s="1">
        <v>0.0</v>
      </c>
      <c r="BC1616" s="1">
        <v>0.0</v>
      </c>
      <c r="BD1616" s="1">
        <v>0.0</v>
      </c>
      <c r="BE1616" s="1">
        <v>0.0</v>
      </c>
      <c r="BF1616" s="1">
        <v>0.0</v>
      </c>
      <c r="BG1616" s="1">
        <v>0.0</v>
      </c>
      <c r="BH1616" s="1">
        <v>0.0</v>
      </c>
      <c r="BI1616" s="1">
        <v>0.0</v>
      </c>
      <c r="BJ1616" s="1">
        <v>0.0</v>
      </c>
      <c r="BP1616" s="1">
        <v>0.292</v>
      </c>
      <c r="BQ1616" s="1" t="s">
        <v>5383</v>
      </c>
      <c r="BV1616" s="1">
        <v>1.1</v>
      </c>
      <c r="EQ1616" s="9" t="s">
        <v>5382</v>
      </c>
      <c r="ER1616" s="21">
        <v>46045.30092592593</v>
      </c>
    </row>
    <row r="1617">
      <c r="A1617" s="9" t="s">
        <v>5384</v>
      </c>
      <c r="B1617" s="20" t="str">
        <f>IFERROR(__xludf.DUMMYFUNCTION("REGEXREPLACE(A1617, ""^https?://[^/]+"", """")"),"/wp-content/uploads/2023/03/Fractional-Sales-Leader.jpg")</f>
        <v>/wp-content/uploads/2023/03/Fractional-Sales-Leader.jpg</v>
      </c>
      <c r="F1617" s="1" t="s">
        <v>1004</v>
      </c>
      <c r="G1617" s="1">
        <v>200.0</v>
      </c>
      <c r="H1617" s="1" t="s">
        <v>966</v>
      </c>
      <c r="I1617" s="1" t="s">
        <v>967</v>
      </c>
      <c r="L1617" s="1">
        <v>0.0</v>
      </c>
      <c r="M1617" s="1">
        <v>0.0</v>
      </c>
      <c r="O1617" s="1">
        <v>0.0</v>
      </c>
      <c r="P1617" s="1">
        <v>0.0</v>
      </c>
      <c r="R1617" s="1">
        <v>0.0</v>
      </c>
      <c r="S1617" s="1">
        <v>0.0</v>
      </c>
      <c r="U1617" s="1">
        <v>0.0</v>
      </c>
      <c r="W1617" s="1">
        <v>0.0</v>
      </c>
      <c r="Y1617" s="1">
        <v>0.0</v>
      </c>
      <c r="AA1617" s="1">
        <v>0.0</v>
      </c>
      <c r="AC1617" s="1">
        <v>0.0</v>
      </c>
      <c r="AM1617" s="1">
        <v>241542.0</v>
      </c>
      <c r="AN1617" s="1">
        <v>241542.0</v>
      </c>
      <c r="AO1617" s="1">
        <v>241542.0</v>
      </c>
      <c r="AP1617" s="1">
        <v>92.53</v>
      </c>
      <c r="AR1617" s="1">
        <v>0.0</v>
      </c>
      <c r="AW1617" s="1">
        <v>0.0</v>
      </c>
      <c r="AX1617" s="1">
        <v>4.0</v>
      </c>
      <c r="AY1617" s="1">
        <v>4.0</v>
      </c>
      <c r="BA1617" s="1">
        <v>0.0</v>
      </c>
      <c r="BB1617" s="1">
        <v>0.0</v>
      </c>
      <c r="BC1617" s="1">
        <v>0.0</v>
      </c>
      <c r="BD1617" s="1">
        <v>0.0</v>
      </c>
      <c r="BE1617" s="1">
        <v>0.0</v>
      </c>
      <c r="BF1617" s="1">
        <v>0.0</v>
      </c>
      <c r="BG1617" s="1">
        <v>0.0</v>
      </c>
      <c r="BH1617" s="1">
        <v>0.0</v>
      </c>
      <c r="BI1617" s="1">
        <v>0.0</v>
      </c>
      <c r="BJ1617" s="1">
        <v>0.0</v>
      </c>
      <c r="BP1617" s="1">
        <v>0.264</v>
      </c>
      <c r="BQ1617" s="1" t="s">
        <v>5385</v>
      </c>
      <c r="BV1617" s="1">
        <v>1.1</v>
      </c>
      <c r="EQ1617" s="9" t="s">
        <v>5384</v>
      </c>
      <c r="ER1617" s="21">
        <v>46045.3009375</v>
      </c>
    </row>
    <row r="1618">
      <c r="A1618" s="9" t="s">
        <v>5386</v>
      </c>
      <c r="B1618" s="20" t="str">
        <f>IFERROR(__xludf.DUMMYFUNCTION("REGEXREPLACE(A1618, ""^https?://[^/]+"", """")"),"/wp-content/themes/salesxceleratione/assets/css/style.css?ver=1769123584")</f>
        <v>/wp-content/themes/salesxceleratione/assets/css/style.css?ver=1769123584</v>
      </c>
      <c r="F1618" s="1" t="s">
        <v>1016</v>
      </c>
      <c r="G1618" s="1">
        <v>200.0</v>
      </c>
      <c r="H1618" s="1" t="s">
        <v>966</v>
      </c>
      <c r="I1618" s="1" t="s">
        <v>967</v>
      </c>
      <c r="L1618" s="1">
        <v>0.0</v>
      </c>
      <c r="M1618" s="1">
        <v>0.0</v>
      </c>
      <c r="O1618" s="1">
        <v>0.0</v>
      </c>
      <c r="P1618" s="1">
        <v>0.0</v>
      </c>
      <c r="R1618" s="1">
        <v>0.0</v>
      </c>
      <c r="S1618" s="1">
        <v>0.0</v>
      </c>
      <c r="U1618" s="1">
        <v>0.0</v>
      </c>
      <c r="W1618" s="1">
        <v>0.0</v>
      </c>
      <c r="Y1618" s="1">
        <v>0.0</v>
      </c>
      <c r="AA1618" s="1">
        <v>0.0</v>
      </c>
      <c r="AC1618" s="1">
        <v>0.0</v>
      </c>
      <c r="AM1618" s="1">
        <v>17704.0</v>
      </c>
      <c r="AN1618" s="1">
        <v>17704.0</v>
      </c>
      <c r="AO1618" s="1">
        <v>17704.0</v>
      </c>
      <c r="AP1618" s="1">
        <v>6.782</v>
      </c>
      <c r="AR1618" s="1">
        <v>0.0</v>
      </c>
      <c r="AW1618" s="1">
        <v>0.0</v>
      </c>
      <c r="AX1618" s="1">
        <v>4.0</v>
      </c>
      <c r="AY1618" s="1">
        <v>5.0</v>
      </c>
      <c r="BA1618" s="1">
        <v>0.0</v>
      </c>
      <c r="BB1618" s="1">
        <v>0.0</v>
      </c>
      <c r="BC1618" s="1">
        <v>0.0</v>
      </c>
      <c r="BD1618" s="1">
        <v>0.0</v>
      </c>
      <c r="BE1618" s="1">
        <v>0.0</v>
      </c>
      <c r="BF1618" s="1">
        <v>0.0</v>
      </c>
      <c r="BG1618" s="1">
        <v>0.0</v>
      </c>
      <c r="BH1618" s="1">
        <v>0.0</v>
      </c>
      <c r="BI1618" s="1">
        <v>0.0</v>
      </c>
      <c r="BJ1618" s="1">
        <v>0.0</v>
      </c>
      <c r="BP1618" s="1">
        <v>0.271</v>
      </c>
      <c r="BQ1618" s="1" t="s">
        <v>5383</v>
      </c>
      <c r="BV1618" s="1">
        <v>1.1</v>
      </c>
      <c r="EQ1618" s="9" t="s">
        <v>5386</v>
      </c>
      <c r="ER1618" s="21">
        <v>46045.3009375</v>
      </c>
    </row>
    <row r="1619">
      <c r="A1619" s="9" t="s">
        <v>5387</v>
      </c>
      <c r="B1619" s="20" t="str">
        <f>IFERROR(__xludf.DUMMYFUNCTION("REGEXREPLACE(A1619, ""^https?://[^/]+"", """")"),"/wp-content/themes/salesxceleratione/assets/css/style.css?ver=1769123585")</f>
        <v>/wp-content/themes/salesxceleratione/assets/css/style.css?ver=1769123585</v>
      </c>
      <c r="F1619" s="1" t="s">
        <v>1016</v>
      </c>
      <c r="G1619" s="1">
        <v>200.0</v>
      </c>
      <c r="H1619" s="1" t="s">
        <v>966</v>
      </c>
      <c r="I1619" s="1" t="s">
        <v>967</v>
      </c>
      <c r="L1619" s="1">
        <v>0.0</v>
      </c>
      <c r="M1619" s="1">
        <v>0.0</v>
      </c>
      <c r="O1619" s="1">
        <v>0.0</v>
      </c>
      <c r="P1619" s="1">
        <v>0.0</v>
      </c>
      <c r="R1619" s="1">
        <v>0.0</v>
      </c>
      <c r="S1619" s="1">
        <v>0.0</v>
      </c>
      <c r="U1619" s="1">
        <v>0.0</v>
      </c>
      <c r="W1619" s="1">
        <v>0.0</v>
      </c>
      <c r="Y1619" s="1">
        <v>0.0</v>
      </c>
      <c r="AA1619" s="1">
        <v>0.0</v>
      </c>
      <c r="AC1619" s="1">
        <v>0.0</v>
      </c>
      <c r="AM1619" s="1">
        <v>17704.0</v>
      </c>
      <c r="AN1619" s="1">
        <v>17704.0</v>
      </c>
      <c r="AO1619" s="1">
        <v>17704.0</v>
      </c>
      <c r="AP1619" s="1">
        <v>6.782</v>
      </c>
      <c r="AR1619" s="1">
        <v>0.0</v>
      </c>
      <c r="AW1619" s="1">
        <v>0.0</v>
      </c>
      <c r="AX1619" s="1">
        <v>4.0</v>
      </c>
      <c r="AY1619" s="1">
        <v>5.0</v>
      </c>
      <c r="BA1619" s="1">
        <v>0.0</v>
      </c>
      <c r="BB1619" s="1">
        <v>0.0</v>
      </c>
      <c r="BC1619" s="1">
        <v>0.0</v>
      </c>
      <c r="BD1619" s="1">
        <v>0.0</v>
      </c>
      <c r="BE1619" s="1">
        <v>0.0</v>
      </c>
      <c r="BF1619" s="1">
        <v>0.0</v>
      </c>
      <c r="BG1619" s="1">
        <v>0.0</v>
      </c>
      <c r="BH1619" s="1">
        <v>0.0</v>
      </c>
      <c r="BI1619" s="1">
        <v>0.0</v>
      </c>
      <c r="BJ1619" s="1">
        <v>0.0</v>
      </c>
      <c r="BP1619" s="1">
        <v>0.255</v>
      </c>
      <c r="BQ1619" s="1" t="s">
        <v>5383</v>
      </c>
      <c r="BV1619" s="1">
        <v>1.1</v>
      </c>
      <c r="EQ1619" s="9" t="s">
        <v>5387</v>
      </c>
      <c r="ER1619" s="21">
        <v>46045.3009375</v>
      </c>
    </row>
    <row r="1620">
      <c r="A1620" s="9" t="s">
        <v>5388</v>
      </c>
      <c r="B1620" s="20" t="str">
        <f>IFERROR(__xludf.DUMMYFUNCTION("REGEXREPLACE(A1620, ""^https?://[^/]+"", """")"),"/wp-content/uploads/2015/03/End-of-year-sales-xceleration-2048x2048.png")</f>
        <v>/wp-content/uploads/2015/03/End-of-year-sales-xceleration-2048x2048.png</v>
      </c>
      <c r="F1620" s="1" t="s">
        <v>1047</v>
      </c>
      <c r="G1620" s="1">
        <v>200.0</v>
      </c>
      <c r="H1620" s="1" t="s">
        <v>966</v>
      </c>
      <c r="I1620" s="1" t="s">
        <v>967</v>
      </c>
      <c r="L1620" s="1">
        <v>0.0</v>
      </c>
      <c r="M1620" s="1">
        <v>0.0</v>
      </c>
      <c r="O1620" s="1">
        <v>0.0</v>
      </c>
      <c r="P1620" s="1">
        <v>0.0</v>
      </c>
      <c r="R1620" s="1">
        <v>0.0</v>
      </c>
      <c r="S1620" s="1">
        <v>0.0</v>
      </c>
      <c r="U1620" s="1">
        <v>0.0</v>
      </c>
      <c r="W1620" s="1">
        <v>0.0</v>
      </c>
      <c r="Y1620" s="1">
        <v>0.0</v>
      </c>
      <c r="AA1620" s="1">
        <v>0.0</v>
      </c>
      <c r="AC1620" s="1">
        <v>0.0</v>
      </c>
      <c r="AM1620" s="1">
        <v>1024346.0</v>
      </c>
      <c r="AN1620" s="1">
        <v>1024346.0</v>
      </c>
      <c r="AO1620" s="1">
        <v>1024346.0</v>
      </c>
      <c r="AP1620" s="1">
        <v>392.407</v>
      </c>
      <c r="AR1620" s="1">
        <v>0.0</v>
      </c>
      <c r="AW1620" s="1">
        <v>0.0</v>
      </c>
      <c r="AX1620" s="1">
        <v>4.0</v>
      </c>
      <c r="AY1620" s="1">
        <v>4.0</v>
      </c>
      <c r="BA1620" s="1">
        <v>0.0</v>
      </c>
      <c r="BB1620" s="1">
        <v>0.0</v>
      </c>
      <c r="BC1620" s="1">
        <v>0.0</v>
      </c>
      <c r="BD1620" s="1">
        <v>0.0</v>
      </c>
      <c r="BE1620" s="1">
        <v>0.0</v>
      </c>
      <c r="BF1620" s="1">
        <v>0.0</v>
      </c>
      <c r="BG1620" s="1">
        <v>0.0</v>
      </c>
      <c r="BH1620" s="1">
        <v>0.0</v>
      </c>
      <c r="BI1620" s="1">
        <v>0.0</v>
      </c>
      <c r="BJ1620" s="1">
        <v>0.0</v>
      </c>
      <c r="BP1620" s="1">
        <v>0.262</v>
      </c>
      <c r="BQ1620" s="1" t="s">
        <v>5389</v>
      </c>
      <c r="BV1620" s="1">
        <v>1.1</v>
      </c>
      <c r="EQ1620" s="9" t="s">
        <v>5388</v>
      </c>
      <c r="ER1620" s="21">
        <v>46045.3009375</v>
      </c>
    </row>
    <row r="1621">
      <c r="A1621" s="9" t="s">
        <v>5390</v>
      </c>
      <c r="B1621" s="20" t="str">
        <f>IFERROR(__xludf.DUMMYFUNCTION("REGEXREPLACE(A1621, ""^https?://[^/]+"", """")"),"/wp-content/themes/salesxceleratione/assets/css/style.css?ver=1769123587")</f>
        <v>/wp-content/themes/salesxceleratione/assets/css/style.css?ver=1769123587</v>
      </c>
      <c r="F1621" s="1" t="s">
        <v>1016</v>
      </c>
      <c r="G1621" s="1">
        <v>200.0</v>
      </c>
      <c r="H1621" s="1" t="s">
        <v>966</v>
      </c>
      <c r="I1621" s="1" t="s">
        <v>967</v>
      </c>
      <c r="L1621" s="1">
        <v>0.0</v>
      </c>
      <c r="M1621" s="1">
        <v>0.0</v>
      </c>
      <c r="O1621" s="1">
        <v>0.0</v>
      </c>
      <c r="P1621" s="1">
        <v>0.0</v>
      </c>
      <c r="R1621" s="1">
        <v>0.0</v>
      </c>
      <c r="S1621" s="1">
        <v>0.0</v>
      </c>
      <c r="U1621" s="1">
        <v>0.0</v>
      </c>
      <c r="W1621" s="1">
        <v>0.0</v>
      </c>
      <c r="Y1621" s="1">
        <v>0.0</v>
      </c>
      <c r="AA1621" s="1">
        <v>0.0</v>
      </c>
      <c r="AC1621" s="1">
        <v>0.0</v>
      </c>
      <c r="AM1621" s="1">
        <v>17704.0</v>
      </c>
      <c r="AN1621" s="1">
        <v>17704.0</v>
      </c>
      <c r="AO1621" s="1">
        <v>17704.0</v>
      </c>
      <c r="AP1621" s="1">
        <v>6.782</v>
      </c>
      <c r="AR1621" s="1">
        <v>0.0</v>
      </c>
      <c r="AW1621" s="1">
        <v>0.0</v>
      </c>
      <c r="AX1621" s="1">
        <v>4.0</v>
      </c>
      <c r="AY1621" s="1">
        <v>5.0</v>
      </c>
      <c r="BA1621" s="1">
        <v>0.0</v>
      </c>
      <c r="BB1621" s="1">
        <v>0.0</v>
      </c>
      <c r="BC1621" s="1">
        <v>0.0</v>
      </c>
      <c r="BD1621" s="1">
        <v>0.0</v>
      </c>
      <c r="BE1621" s="1">
        <v>0.0</v>
      </c>
      <c r="BF1621" s="1">
        <v>0.0</v>
      </c>
      <c r="BG1621" s="1">
        <v>0.0</v>
      </c>
      <c r="BH1621" s="1">
        <v>0.0</v>
      </c>
      <c r="BI1621" s="1">
        <v>0.0</v>
      </c>
      <c r="BJ1621" s="1">
        <v>0.0</v>
      </c>
      <c r="BP1621" s="1">
        <v>0.294</v>
      </c>
      <c r="BQ1621" s="1" t="s">
        <v>5391</v>
      </c>
      <c r="BV1621" s="1">
        <v>1.1</v>
      </c>
      <c r="EQ1621" s="9" t="s">
        <v>5390</v>
      </c>
      <c r="ER1621" s="21">
        <v>46045.3009375</v>
      </c>
    </row>
    <row r="1622">
      <c r="A1622" s="9" t="s">
        <v>5392</v>
      </c>
      <c r="B1622" s="20" t="str">
        <f>IFERROR(__xludf.DUMMYFUNCTION("REGEXREPLACE(A1622, ""^https?://[^/]+"", """")"),"/wp-content/uploads/2015/03/SIlence-Sales-xceleration-2048x2048.png")</f>
        <v>/wp-content/uploads/2015/03/SIlence-Sales-xceleration-2048x2048.png</v>
      </c>
      <c r="F1622" s="1" t="s">
        <v>1047</v>
      </c>
      <c r="G1622" s="1">
        <v>200.0</v>
      </c>
      <c r="H1622" s="1" t="s">
        <v>966</v>
      </c>
      <c r="I1622" s="1" t="s">
        <v>967</v>
      </c>
      <c r="L1622" s="1">
        <v>0.0</v>
      </c>
      <c r="M1622" s="1">
        <v>0.0</v>
      </c>
      <c r="O1622" s="1">
        <v>0.0</v>
      </c>
      <c r="P1622" s="1">
        <v>0.0</v>
      </c>
      <c r="R1622" s="1">
        <v>0.0</v>
      </c>
      <c r="S1622" s="1">
        <v>0.0</v>
      </c>
      <c r="U1622" s="1">
        <v>0.0</v>
      </c>
      <c r="W1622" s="1">
        <v>0.0</v>
      </c>
      <c r="Y1622" s="1">
        <v>0.0</v>
      </c>
      <c r="AA1622" s="1">
        <v>0.0</v>
      </c>
      <c r="AC1622" s="1">
        <v>0.0</v>
      </c>
      <c r="AM1622" s="1">
        <v>778919.0</v>
      </c>
      <c r="AN1622" s="1">
        <v>778919.0</v>
      </c>
      <c r="AO1622" s="1">
        <v>778919.0</v>
      </c>
      <c r="AP1622" s="1">
        <v>298.389</v>
      </c>
      <c r="AR1622" s="1">
        <v>0.0</v>
      </c>
      <c r="AW1622" s="1">
        <v>0.0</v>
      </c>
      <c r="AX1622" s="1">
        <v>4.0</v>
      </c>
      <c r="AY1622" s="1">
        <v>4.0</v>
      </c>
      <c r="BA1622" s="1">
        <v>0.0</v>
      </c>
      <c r="BB1622" s="1">
        <v>0.0</v>
      </c>
      <c r="BC1622" s="1">
        <v>0.0</v>
      </c>
      <c r="BD1622" s="1">
        <v>0.0</v>
      </c>
      <c r="BE1622" s="1">
        <v>0.0</v>
      </c>
      <c r="BF1622" s="1">
        <v>0.0</v>
      </c>
      <c r="BG1622" s="1">
        <v>0.0</v>
      </c>
      <c r="BH1622" s="1">
        <v>0.0</v>
      </c>
      <c r="BI1622" s="1">
        <v>0.0</v>
      </c>
      <c r="BJ1622" s="1">
        <v>0.0</v>
      </c>
      <c r="BP1622" s="1">
        <v>0.277</v>
      </c>
      <c r="BQ1622" s="1" t="s">
        <v>5393</v>
      </c>
      <c r="BV1622" s="1">
        <v>1.1</v>
      </c>
      <c r="EQ1622" s="9" t="s">
        <v>5392</v>
      </c>
      <c r="ER1622" s="21">
        <v>46045.3009375</v>
      </c>
    </row>
    <row r="1623">
      <c r="A1623" s="9" t="s">
        <v>5394</v>
      </c>
      <c r="B1623" s="20" t="str">
        <f>IFERROR(__xludf.DUMMYFUNCTION("REGEXREPLACE(A1623, ""^https?://[^/]+"", """")"),"/wp-content/uploads/2021/11/Hands-Holding-Plant-Growing-Arrow-scaled.jpeg")</f>
        <v>/wp-content/uploads/2021/11/Hands-Holding-Plant-Growing-Arrow-scaled.jpeg</v>
      </c>
      <c r="F1623" s="1" t="s">
        <v>1004</v>
      </c>
      <c r="G1623" s="1">
        <v>200.0</v>
      </c>
      <c r="H1623" s="1" t="s">
        <v>966</v>
      </c>
      <c r="I1623" s="1" t="s">
        <v>967</v>
      </c>
      <c r="L1623" s="1">
        <v>0.0</v>
      </c>
      <c r="M1623" s="1">
        <v>0.0</v>
      </c>
      <c r="O1623" s="1">
        <v>0.0</v>
      </c>
      <c r="P1623" s="1">
        <v>0.0</v>
      </c>
      <c r="R1623" s="1">
        <v>0.0</v>
      </c>
      <c r="S1623" s="1">
        <v>0.0</v>
      </c>
      <c r="U1623" s="1">
        <v>0.0</v>
      </c>
      <c r="W1623" s="1">
        <v>0.0</v>
      </c>
      <c r="Y1623" s="1">
        <v>0.0</v>
      </c>
      <c r="AA1623" s="1">
        <v>0.0</v>
      </c>
      <c r="AC1623" s="1">
        <v>0.0</v>
      </c>
      <c r="AM1623" s="1">
        <v>150735.0</v>
      </c>
      <c r="AN1623" s="1">
        <v>150735.0</v>
      </c>
      <c r="AO1623" s="1">
        <v>150735.0</v>
      </c>
      <c r="AP1623" s="1">
        <v>57.744</v>
      </c>
      <c r="AR1623" s="1">
        <v>0.0</v>
      </c>
      <c r="AW1623" s="1">
        <v>0.0</v>
      </c>
      <c r="AX1623" s="1">
        <v>4.0</v>
      </c>
      <c r="AY1623" s="1">
        <v>4.0</v>
      </c>
      <c r="BA1623" s="1">
        <v>0.0</v>
      </c>
      <c r="BB1623" s="1">
        <v>0.0</v>
      </c>
      <c r="BC1623" s="1">
        <v>0.0</v>
      </c>
      <c r="BD1623" s="1">
        <v>0.0</v>
      </c>
      <c r="BE1623" s="1">
        <v>0.0</v>
      </c>
      <c r="BF1623" s="1">
        <v>0.0</v>
      </c>
      <c r="BG1623" s="1">
        <v>0.0</v>
      </c>
      <c r="BH1623" s="1">
        <v>0.0</v>
      </c>
      <c r="BI1623" s="1">
        <v>0.0</v>
      </c>
      <c r="BJ1623" s="1">
        <v>0.0</v>
      </c>
      <c r="BP1623" s="1">
        <v>0.274</v>
      </c>
      <c r="BQ1623" s="1" t="s">
        <v>5395</v>
      </c>
      <c r="BV1623" s="1">
        <v>1.1</v>
      </c>
      <c r="EQ1623" s="9" t="s">
        <v>5394</v>
      </c>
      <c r="ER1623" s="21">
        <v>46045.3009375</v>
      </c>
    </row>
    <row r="1624">
      <c r="A1624" s="9" t="s">
        <v>5396</v>
      </c>
      <c r="B1624" s="20" t="str">
        <f>IFERROR(__xludf.DUMMYFUNCTION("REGEXREPLACE(A1624, ""^https?://[^/]+"", """")"),"/wp-content/themes/salesxceleratione/assets/css/style.css?ver=1769123589")</f>
        <v>/wp-content/themes/salesxceleratione/assets/css/style.css?ver=1769123589</v>
      </c>
      <c r="F1624" s="1" t="s">
        <v>1016</v>
      </c>
      <c r="G1624" s="1">
        <v>200.0</v>
      </c>
      <c r="H1624" s="1" t="s">
        <v>966</v>
      </c>
      <c r="I1624" s="1" t="s">
        <v>967</v>
      </c>
      <c r="L1624" s="1">
        <v>0.0</v>
      </c>
      <c r="M1624" s="1">
        <v>0.0</v>
      </c>
      <c r="O1624" s="1">
        <v>0.0</v>
      </c>
      <c r="P1624" s="1">
        <v>0.0</v>
      </c>
      <c r="R1624" s="1">
        <v>0.0</v>
      </c>
      <c r="S1624" s="1">
        <v>0.0</v>
      </c>
      <c r="U1624" s="1">
        <v>0.0</v>
      </c>
      <c r="W1624" s="1">
        <v>0.0</v>
      </c>
      <c r="Y1624" s="1">
        <v>0.0</v>
      </c>
      <c r="AA1624" s="1">
        <v>0.0</v>
      </c>
      <c r="AC1624" s="1">
        <v>0.0</v>
      </c>
      <c r="AM1624" s="1">
        <v>17704.0</v>
      </c>
      <c r="AN1624" s="1">
        <v>17704.0</v>
      </c>
      <c r="AO1624" s="1">
        <v>17704.0</v>
      </c>
      <c r="AP1624" s="1">
        <v>6.782</v>
      </c>
      <c r="AR1624" s="1">
        <v>0.0</v>
      </c>
      <c r="AW1624" s="1">
        <v>0.0</v>
      </c>
      <c r="AX1624" s="1">
        <v>4.0</v>
      </c>
      <c r="AY1624" s="1">
        <v>5.0</v>
      </c>
      <c r="BA1624" s="1">
        <v>0.0</v>
      </c>
      <c r="BB1624" s="1">
        <v>0.0</v>
      </c>
      <c r="BC1624" s="1">
        <v>0.0</v>
      </c>
      <c r="BD1624" s="1">
        <v>0.0</v>
      </c>
      <c r="BE1624" s="1">
        <v>0.0</v>
      </c>
      <c r="BF1624" s="1">
        <v>0.0</v>
      </c>
      <c r="BG1624" s="1">
        <v>0.0</v>
      </c>
      <c r="BH1624" s="1">
        <v>0.0</v>
      </c>
      <c r="BI1624" s="1">
        <v>0.0</v>
      </c>
      <c r="BJ1624" s="1">
        <v>0.0</v>
      </c>
      <c r="BP1624" s="1">
        <v>0.274</v>
      </c>
      <c r="BQ1624" s="1" t="s">
        <v>5130</v>
      </c>
      <c r="BV1624" s="1">
        <v>1.1</v>
      </c>
      <c r="EQ1624" s="9" t="s">
        <v>5396</v>
      </c>
      <c r="ER1624" s="21">
        <v>46045.3009375</v>
      </c>
    </row>
    <row r="1625">
      <c r="A1625" s="9" t="s">
        <v>5092</v>
      </c>
      <c r="B1625" s="20" t="str">
        <f>IFERROR(__xludf.DUMMYFUNCTION("REGEXREPLACE(A1625, ""^https?://[^/]+"", """")"),"/advisors/john-lee/")</f>
        <v>/advisors/john-lee/</v>
      </c>
      <c r="C1625" s="1" t="s">
        <v>5397</v>
      </c>
      <c r="F1625" s="1" t="s">
        <v>965</v>
      </c>
      <c r="G1625" s="1">
        <v>200.0</v>
      </c>
      <c r="H1625" s="1" t="s">
        <v>966</v>
      </c>
      <c r="I1625" s="1" t="s">
        <v>967</v>
      </c>
      <c r="K1625" s="1" t="s">
        <v>5398</v>
      </c>
      <c r="L1625" s="1">
        <v>33.0</v>
      </c>
      <c r="M1625" s="1">
        <v>298.0</v>
      </c>
      <c r="O1625" s="1">
        <v>0.0</v>
      </c>
      <c r="P1625" s="1">
        <v>0.0</v>
      </c>
      <c r="Q1625" s="1" t="s">
        <v>5399</v>
      </c>
      <c r="R1625" s="1">
        <v>154.0</v>
      </c>
      <c r="S1625" s="1">
        <v>946.0</v>
      </c>
      <c r="U1625" s="1">
        <v>0.0</v>
      </c>
      <c r="V1625" s="1" t="s">
        <v>5397</v>
      </c>
      <c r="W1625" s="1">
        <v>13.0</v>
      </c>
      <c r="Y1625" s="1">
        <v>0.0</v>
      </c>
      <c r="AA1625" s="1">
        <v>0.0</v>
      </c>
      <c r="AC1625" s="1">
        <v>0.0</v>
      </c>
      <c r="AD1625" s="1" t="s">
        <v>971</v>
      </c>
      <c r="AG1625" s="9" t="s">
        <v>5092</v>
      </c>
      <c r="AM1625" s="1">
        <v>150220.0</v>
      </c>
      <c r="AN1625" s="1">
        <v>29430.0</v>
      </c>
      <c r="AO1625" s="1">
        <v>29430.0</v>
      </c>
      <c r="AP1625" s="1">
        <v>11.274</v>
      </c>
      <c r="AR1625" s="1">
        <v>612.0</v>
      </c>
      <c r="AS1625" s="1">
        <v>101.0</v>
      </c>
      <c r="AT1625" s="1">
        <v>6.059</v>
      </c>
      <c r="AU1625" s="1">
        <v>61.758</v>
      </c>
      <c r="AV1625" s="1" t="s">
        <v>990</v>
      </c>
      <c r="AW1625" s="1">
        <v>4.098</v>
      </c>
      <c r="AX1625" s="1">
        <v>4.0</v>
      </c>
      <c r="AY1625" s="1">
        <v>2.0</v>
      </c>
      <c r="AZ1625" s="1">
        <v>1.0</v>
      </c>
      <c r="BA1625" s="1">
        <v>0.0</v>
      </c>
      <c r="BB1625" s="1">
        <v>0.0</v>
      </c>
      <c r="BC1625" s="1">
        <v>0.0</v>
      </c>
      <c r="BD1625" s="1">
        <v>0.0</v>
      </c>
      <c r="BE1625" s="1">
        <v>123.0</v>
      </c>
      <c r="BF1625" s="1">
        <v>42.0</v>
      </c>
      <c r="BG1625" s="1">
        <v>0.0</v>
      </c>
      <c r="BH1625" s="1">
        <v>17.0</v>
      </c>
      <c r="BI1625" s="1">
        <v>9.0</v>
      </c>
      <c r="BJ1625" s="1">
        <v>0.0</v>
      </c>
      <c r="BO1625" s="1" t="s">
        <v>5400</v>
      </c>
      <c r="BP1625" s="1">
        <v>0.95</v>
      </c>
      <c r="BU1625" s="1" t="s">
        <v>974</v>
      </c>
      <c r="BV1625" s="1">
        <v>1.1</v>
      </c>
      <c r="EQ1625" s="9" t="s">
        <v>5092</v>
      </c>
      <c r="ER1625" s="21">
        <v>46045.3009375</v>
      </c>
    </row>
    <row r="1626">
      <c r="A1626" s="9" t="s">
        <v>5401</v>
      </c>
      <c r="B1626" s="20" t="str">
        <f>IFERROR(__xludf.DUMMYFUNCTION("REGEXREPLACE(A1626, ""^https?://[^/]+"", """")"),"/wp-content/uploads/2019/10/food-thumb-768x437.jpg")</f>
        <v>/wp-content/uploads/2019/10/food-thumb-768x437.jpg</v>
      </c>
      <c r="F1626" s="1" t="s">
        <v>1004</v>
      </c>
      <c r="G1626" s="1">
        <v>200.0</v>
      </c>
      <c r="H1626" s="1" t="s">
        <v>966</v>
      </c>
      <c r="I1626" s="1" t="s">
        <v>967</v>
      </c>
      <c r="L1626" s="1">
        <v>0.0</v>
      </c>
      <c r="M1626" s="1">
        <v>0.0</v>
      </c>
      <c r="O1626" s="1">
        <v>0.0</v>
      </c>
      <c r="P1626" s="1">
        <v>0.0</v>
      </c>
      <c r="R1626" s="1">
        <v>0.0</v>
      </c>
      <c r="S1626" s="1">
        <v>0.0</v>
      </c>
      <c r="U1626" s="1">
        <v>0.0</v>
      </c>
      <c r="W1626" s="1">
        <v>0.0</v>
      </c>
      <c r="Y1626" s="1">
        <v>0.0</v>
      </c>
      <c r="AA1626" s="1">
        <v>0.0</v>
      </c>
      <c r="AC1626" s="1">
        <v>0.0</v>
      </c>
      <c r="AM1626" s="1">
        <v>84759.0</v>
      </c>
      <c r="AN1626" s="1">
        <v>84759.0</v>
      </c>
      <c r="AO1626" s="1">
        <v>84759.0</v>
      </c>
      <c r="AP1626" s="1">
        <v>32.47</v>
      </c>
      <c r="AR1626" s="1">
        <v>0.0</v>
      </c>
      <c r="AW1626" s="1">
        <v>0.0</v>
      </c>
      <c r="AX1626" s="1">
        <v>4.0</v>
      </c>
      <c r="AY1626" s="1">
        <v>4.0</v>
      </c>
      <c r="BA1626" s="1">
        <v>0.0</v>
      </c>
      <c r="BB1626" s="1">
        <v>0.0</v>
      </c>
      <c r="BC1626" s="1">
        <v>0.0</v>
      </c>
      <c r="BD1626" s="1">
        <v>0.0</v>
      </c>
      <c r="BE1626" s="1">
        <v>0.0</v>
      </c>
      <c r="BF1626" s="1">
        <v>0.0</v>
      </c>
      <c r="BG1626" s="1">
        <v>0.0</v>
      </c>
      <c r="BH1626" s="1">
        <v>0.0</v>
      </c>
      <c r="BI1626" s="1">
        <v>0.0</v>
      </c>
      <c r="BJ1626" s="1">
        <v>0.0</v>
      </c>
      <c r="BP1626" s="1">
        <v>0.281</v>
      </c>
      <c r="BQ1626" s="1" t="s">
        <v>5402</v>
      </c>
      <c r="BV1626" s="1">
        <v>1.1</v>
      </c>
      <c r="EQ1626" s="9" t="s">
        <v>5401</v>
      </c>
      <c r="ER1626" s="21">
        <v>46045.30094907407</v>
      </c>
    </row>
    <row r="1627">
      <c r="A1627" s="9" t="s">
        <v>5403</v>
      </c>
      <c r="B1627" s="20" t="str">
        <f>IFERROR(__xludf.DUMMYFUNCTION("REGEXREPLACE(A1627, ""^https?://[^/]+"", """")"),"/wp-content/uploads/2020/01/manu_thumbnail-768x441.jpg")</f>
        <v>/wp-content/uploads/2020/01/manu_thumbnail-768x441.jpg</v>
      </c>
      <c r="F1627" s="1" t="s">
        <v>1004</v>
      </c>
      <c r="G1627" s="1">
        <v>200.0</v>
      </c>
      <c r="H1627" s="1" t="s">
        <v>966</v>
      </c>
      <c r="I1627" s="1" t="s">
        <v>967</v>
      </c>
      <c r="L1627" s="1">
        <v>0.0</v>
      </c>
      <c r="M1627" s="1">
        <v>0.0</v>
      </c>
      <c r="O1627" s="1">
        <v>0.0</v>
      </c>
      <c r="P1627" s="1">
        <v>0.0</v>
      </c>
      <c r="R1627" s="1">
        <v>0.0</v>
      </c>
      <c r="S1627" s="1">
        <v>0.0</v>
      </c>
      <c r="U1627" s="1">
        <v>0.0</v>
      </c>
      <c r="W1627" s="1">
        <v>0.0</v>
      </c>
      <c r="Y1627" s="1">
        <v>0.0</v>
      </c>
      <c r="AA1627" s="1">
        <v>0.0</v>
      </c>
      <c r="AC1627" s="1">
        <v>0.0</v>
      </c>
      <c r="AM1627" s="1">
        <v>68842.0</v>
      </c>
      <c r="AN1627" s="1">
        <v>68842.0</v>
      </c>
      <c r="AO1627" s="1">
        <v>68842.0</v>
      </c>
      <c r="AP1627" s="1">
        <v>26.372</v>
      </c>
      <c r="AR1627" s="1">
        <v>0.0</v>
      </c>
      <c r="AW1627" s="1">
        <v>0.0</v>
      </c>
      <c r="AX1627" s="1">
        <v>4.0</v>
      </c>
      <c r="AY1627" s="1">
        <v>4.0</v>
      </c>
      <c r="BA1627" s="1">
        <v>0.0</v>
      </c>
      <c r="BB1627" s="1">
        <v>0.0</v>
      </c>
      <c r="BC1627" s="1">
        <v>0.0</v>
      </c>
      <c r="BD1627" s="1">
        <v>0.0</v>
      </c>
      <c r="BE1627" s="1">
        <v>0.0</v>
      </c>
      <c r="BF1627" s="1">
        <v>0.0</v>
      </c>
      <c r="BG1627" s="1">
        <v>0.0</v>
      </c>
      <c r="BH1627" s="1">
        <v>0.0</v>
      </c>
      <c r="BI1627" s="1">
        <v>0.0</v>
      </c>
      <c r="BJ1627" s="1">
        <v>0.0</v>
      </c>
      <c r="BP1627" s="1">
        <v>0.257</v>
      </c>
      <c r="BQ1627" s="1" t="s">
        <v>5404</v>
      </c>
      <c r="BV1627" s="1">
        <v>1.1</v>
      </c>
      <c r="EQ1627" s="9" t="s">
        <v>5403</v>
      </c>
      <c r="ER1627" s="21">
        <v>46045.30094907407</v>
      </c>
    </row>
    <row r="1628">
      <c r="A1628" s="9" t="s">
        <v>5405</v>
      </c>
      <c r="B1628" s="20" t="str">
        <f>IFERROR(__xludf.DUMMYFUNCTION("REGEXREPLACE(A1628, ""^https?://[^/]+"", """")"),"/planning-end-of-the-year-mistakes/")</f>
        <v>/planning-end-of-the-year-mistakes/</v>
      </c>
      <c r="C1628" s="1" t="s">
        <v>5406</v>
      </c>
      <c r="F1628" s="1" t="s">
        <v>965</v>
      </c>
      <c r="G1628" s="1">
        <v>200.0</v>
      </c>
      <c r="H1628" s="1" t="s">
        <v>966</v>
      </c>
      <c r="I1628" s="1" t="s">
        <v>967</v>
      </c>
      <c r="K1628" s="1" t="s">
        <v>5407</v>
      </c>
      <c r="L1628" s="1">
        <v>96.0</v>
      </c>
      <c r="M1628" s="1">
        <v>855.0</v>
      </c>
      <c r="O1628" s="1">
        <v>0.0</v>
      </c>
      <c r="P1628" s="1">
        <v>0.0</v>
      </c>
      <c r="Q1628" s="1" t="s">
        <v>5408</v>
      </c>
      <c r="R1628" s="1">
        <v>90.0</v>
      </c>
      <c r="S1628" s="1">
        <v>553.0</v>
      </c>
      <c r="U1628" s="1">
        <v>0.0</v>
      </c>
      <c r="V1628" s="1" t="s">
        <v>5406</v>
      </c>
      <c r="W1628" s="1">
        <v>71.0</v>
      </c>
      <c r="Y1628" s="1">
        <v>0.0</v>
      </c>
      <c r="AA1628" s="1">
        <v>0.0</v>
      </c>
      <c r="AC1628" s="1">
        <v>0.0</v>
      </c>
      <c r="AD1628" s="1" t="s">
        <v>971</v>
      </c>
      <c r="AG1628" s="9" t="s">
        <v>5405</v>
      </c>
      <c r="AM1628" s="1">
        <v>200518.0</v>
      </c>
      <c r="AN1628" s="1">
        <v>35566.0</v>
      </c>
      <c r="AO1628" s="1">
        <v>35566.0</v>
      </c>
      <c r="AP1628" s="1">
        <v>13.625</v>
      </c>
      <c r="AR1628" s="1">
        <v>1257.0</v>
      </c>
      <c r="AS1628" s="1">
        <v>179.0</v>
      </c>
      <c r="AT1628" s="1">
        <v>7.022</v>
      </c>
      <c r="AU1628" s="1">
        <v>71.495</v>
      </c>
      <c r="AV1628" s="1" t="s">
        <v>1264</v>
      </c>
      <c r="AW1628" s="1">
        <v>4.899</v>
      </c>
      <c r="AX1628" s="1">
        <v>4.0</v>
      </c>
      <c r="AY1628" s="1">
        <v>1.0</v>
      </c>
      <c r="AZ1628" s="1">
        <v>1.0</v>
      </c>
      <c r="BA1628" s="1">
        <v>14.0</v>
      </c>
      <c r="BB1628" s="1">
        <v>14.0</v>
      </c>
      <c r="BC1628" s="1">
        <v>0.0</v>
      </c>
      <c r="BD1628" s="1">
        <v>1.86</v>
      </c>
      <c r="BE1628" s="1">
        <v>130.0</v>
      </c>
      <c r="BF1628" s="1">
        <v>48.0</v>
      </c>
      <c r="BG1628" s="1">
        <v>0.0</v>
      </c>
      <c r="BH1628" s="1">
        <v>16.0</v>
      </c>
      <c r="BI1628" s="1">
        <v>8.0</v>
      </c>
      <c r="BJ1628" s="1">
        <v>0.0</v>
      </c>
      <c r="BO1628" s="1" t="s">
        <v>5409</v>
      </c>
      <c r="BP1628" s="1">
        <v>0.982</v>
      </c>
      <c r="BU1628" s="1" t="s">
        <v>974</v>
      </c>
      <c r="BV1628" s="1">
        <v>1.1</v>
      </c>
      <c r="EQ1628" s="9" t="s">
        <v>5405</v>
      </c>
      <c r="ER1628" s="21">
        <v>46045.3009375</v>
      </c>
    </row>
    <row r="1629">
      <c r="A1629" s="9" t="s">
        <v>5410</v>
      </c>
      <c r="B1629" s="20" t="str">
        <f>IFERROR(__xludf.DUMMYFUNCTION("REGEXREPLACE(A1629, ""^https?://[^/]+"", """")"),"/wp-content/uploads/2019/03/manufacturing-case-study1-768x439.jpg")</f>
        <v>/wp-content/uploads/2019/03/manufacturing-case-study1-768x439.jpg</v>
      </c>
      <c r="F1629" s="1" t="s">
        <v>1004</v>
      </c>
      <c r="G1629" s="1">
        <v>200.0</v>
      </c>
      <c r="H1629" s="1" t="s">
        <v>966</v>
      </c>
      <c r="I1629" s="1" t="s">
        <v>967</v>
      </c>
      <c r="L1629" s="1">
        <v>0.0</v>
      </c>
      <c r="M1629" s="1">
        <v>0.0</v>
      </c>
      <c r="O1629" s="1">
        <v>0.0</v>
      </c>
      <c r="P1629" s="1">
        <v>0.0</v>
      </c>
      <c r="R1629" s="1">
        <v>0.0</v>
      </c>
      <c r="S1629" s="1">
        <v>0.0</v>
      </c>
      <c r="U1629" s="1">
        <v>0.0</v>
      </c>
      <c r="W1629" s="1">
        <v>0.0</v>
      </c>
      <c r="Y1629" s="1">
        <v>0.0</v>
      </c>
      <c r="AA1629" s="1">
        <v>0.0</v>
      </c>
      <c r="AC1629" s="1">
        <v>0.0</v>
      </c>
      <c r="AM1629" s="1">
        <v>52201.0</v>
      </c>
      <c r="AN1629" s="1">
        <v>52201.0</v>
      </c>
      <c r="AO1629" s="1">
        <v>52201.0</v>
      </c>
      <c r="AP1629" s="1">
        <v>19.997</v>
      </c>
      <c r="AR1629" s="1">
        <v>0.0</v>
      </c>
      <c r="AW1629" s="1">
        <v>0.0</v>
      </c>
      <c r="AX1629" s="1">
        <v>4.0</v>
      </c>
      <c r="AY1629" s="1">
        <v>4.0</v>
      </c>
      <c r="BA1629" s="1">
        <v>0.0</v>
      </c>
      <c r="BB1629" s="1">
        <v>0.0</v>
      </c>
      <c r="BC1629" s="1">
        <v>0.0</v>
      </c>
      <c r="BD1629" s="1">
        <v>0.0</v>
      </c>
      <c r="BE1629" s="1">
        <v>0.0</v>
      </c>
      <c r="BF1629" s="1">
        <v>0.0</v>
      </c>
      <c r="BG1629" s="1">
        <v>0.0</v>
      </c>
      <c r="BH1629" s="1">
        <v>0.0</v>
      </c>
      <c r="BI1629" s="1">
        <v>0.0</v>
      </c>
      <c r="BJ1629" s="1">
        <v>0.0</v>
      </c>
      <c r="BP1629" s="1">
        <v>0.255</v>
      </c>
      <c r="BQ1629" s="1" t="s">
        <v>5411</v>
      </c>
      <c r="BV1629" s="1">
        <v>1.1</v>
      </c>
      <c r="EQ1629" s="9" t="s">
        <v>5410</v>
      </c>
      <c r="ER1629" s="21">
        <v>46045.30094907407</v>
      </c>
    </row>
    <row r="1630">
      <c r="A1630" s="9" t="s">
        <v>5412</v>
      </c>
      <c r="B1630" s="20" t="str">
        <f>IFERROR(__xludf.DUMMYFUNCTION("REGEXREPLACE(A1630, ""^https?://[^/]+"", """")"),"/wp-content/uploads/2019/11/healthcare-thumb-1-768x434.jpg")</f>
        <v>/wp-content/uploads/2019/11/healthcare-thumb-1-768x434.jpg</v>
      </c>
      <c r="F1630" s="1" t="s">
        <v>1004</v>
      </c>
      <c r="G1630" s="1">
        <v>200.0</v>
      </c>
      <c r="H1630" s="1" t="s">
        <v>966</v>
      </c>
      <c r="I1630" s="1" t="s">
        <v>967</v>
      </c>
      <c r="L1630" s="1">
        <v>0.0</v>
      </c>
      <c r="M1630" s="1">
        <v>0.0</v>
      </c>
      <c r="O1630" s="1">
        <v>0.0</v>
      </c>
      <c r="P1630" s="1">
        <v>0.0</v>
      </c>
      <c r="R1630" s="1">
        <v>0.0</v>
      </c>
      <c r="S1630" s="1">
        <v>0.0</v>
      </c>
      <c r="U1630" s="1">
        <v>0.0</v>
      </c>
      <c r="W1630" s="1">
        <v>0.0</v>
      </c>
      <c r="Y1630" s="1">
        <v>0.0</v>
      </c>
      <c r="AA1630" s="1">
        <v>0.0</v>
      </c>
      <c r="AC1630" s="1">
        <v>0.0</v>
      </c>
      <c r="AM1630" s="1">
        <v>44607.0</v>
      </c>
      <c r="AN1630" s="1">
        <v>44607.0</v>
      </c>
      <c r="AO1630" s="1">
        <v>44607.0</v>
      </c>
      <c r="AP1630" s="1">
        <v>17.088</v>
      </c>
      <c r="AR1630" s="1">
        <v>0.0</v>
      </c>
      <c r="AW1630" s="1">
        <v>0.0</v>
      </c>
      <c r="AX1630" s="1">
        <v>4.0</v>
      </c>
      <c r="AY1630" s="1">
        <v>4.0</v>
      </c>
      <c r="BA1630" s="1">
        <v>0.0</v>
      </c>
      <c r="BB1630" s="1">
        <v>0.0</v>
      </c>
      <c r="BC1630" s="1">
        <v>0.0</v>
      </c>
      <c r="BD1630" s="1">
        <v>0.0</v>
      </c>
      <c r="BE1630" s="1">
        <v>0.0</v>
      </c>
      <c r="BF1630" s="1">
        <v>0.0</v>
      </c>
      <c r="BG1630" s="1">
        <v>0.0</v>
      </c>
      <c r="BH1630" s="1">
        <v>0.0</v>
      </c>
      <c r="BI1630" s="1">
        <v>0.0</v>
      </c>
      <c r="BJ1630" s="1">
        <v>0.0</v>
      </c>
      <c r="BP1630" s="1">
        <v>0.271</v>
      </c>
      <c r="BQ1630" s="1" t="s">
        <v>5413</v>
      </c>
      <c r="BV1630" s="1">
        <v>1.1</v>
      </c>
      <c r="EQ1630" s="9" t="s">
        <v>5412</v>
      </c>
      <c r="ER1630" s="21">
        <v>46045.30094907407</v>
      </c>
    </row>
    <row r="1631">
      <c r="A1631" s="9" t="s">
        <v>5414</v>
      </c>
      <c r="B1631" s="20" t="str">
        <f>IFERROR(__xludf.DUMMYFUNCTION("REGEXREPLACE(A1631, ""^https?://[^/]+"", """")"),"/wp-content/themes/salesxceleratione/assets/css/style.css?ver=1769123590")</f>
        <v>/wp-content/themes/salesxceleratione/assets/css/style.css?ver=1769123590</v>
      </c>
      <c r="F1631" s="1" t="s">
        <v>1016</v>
      </c>
      <c r="G1631" s="1">
        <v>200.0</v>
      </c>
      <c r="H1631" s="1" t="s">
        <v>966</v>
      </c>
      <c r="I1631" s="1" t="s">
        <v>967</v>
      </c>
      <c r="L1631" s="1">
        <v>0.0</v>
      </c>
      <c r="M1631" s="1">
        <v>0.0</v>
      </c>
      <c r="O1631" s="1">
        <v>0.0</v>
      </c>
      <c r="P1631" s="1">
        <v>0.0</v>
      </c>
      <c r="R1631" s="1">
        <v>0.0</v>
      </c>
      <c r="S1631" s="1">
        <v>0.0</v>
      </c>
      <c r="U1631" s="1">
        <v>0.0</v>
      </c>
      <c r="W1631" s="1">
        <v>0.0</v>
      </c>
      <c r="Y1631" s="1">
        <v>0.0</v>
      </c>
      <c r="AA1631" s="1">
        <v>0.0</v>
      </c>
      <c r="AC1631" s="1">
        <v>0.0</v>
      </c>
      <c r="AM1631" s="1">
        <v>17704.0</v>
      </c>
      <c r="AN1631" s="1">
        <v>17704.0</v>
      </c>
      <c r="AO1631" s="1">
        <v>17704.0</v>
      </c>
      <c r="AP1631" s="1">
        <v>6.782</v>
      </c>
      <c r="AR1631" s="1">
        <v>0.0</v>
      </c>
      <c r="AW1631" s="1">
        <v>0.0</v>
      </c>
      <c r="AX1631" s="1">
        <v>4.0</v>
      </c>
      <c r="AY1631" s="1">
        <v>5.0</v>
      </c>
      <c r="BA1631" s="1">
        <v>0.0</v>
      </c>
      <c r="BB1631" s="1">
        <v>0.0</v>
      </c>
      <c r="BC1631" s="1">
        <v>0.0</v>
      </c>
      <c r="BD1631" s="1">
        <v>0.0</v>
      </c>
      <c r="BE1631" s="1">
        <v>0.0</v>
      </c>
      <c r="BF1631" s="1">
        <v>0.0</v>
      </c>
      <c r="BG1631" s="1">
        <v>0.0</v>
      </c>
      <c r="BH1631" s="1">
        <v>0.0</v>
      </c>
      <c r="BI1631" s="1">
        <v>0.0</v>
      </c>
      <c r="BJ1631" s="1">
        <v>0.0</v>
      </c>
      <c r="BP1631" s="1">
        <v>0.267</v>
      </c>
      <c r="BQ1631" s="1" t="s">
        <v>5415</v>
      </c>
      <c r="BV1631" s="1">
        <v>1.1</v>
      </c>
      <c r="EQ1631" s="9" t="s">
        <v>5414</v>
      </c>
      <c r="ER1631" s="21">
        <v>46045.30094907407</v>
      </c>
    </row>
    <row r="1632">
      <c r="A1632" s="9" t="s">
        <v>5416</v>
      </c>
      <c r="B1632" s="20" t="str">
        <f>IFERROR(__xludf.DUMMYFUNCTION("REGEXREPLACE(A1632, ""^https?://[^/]+"", """")"),"/wp-content/themes/salesxceleratione/assets/css/style.css?ver=1769123591")</f>
        <v>/wp-content/themes/salesxceleratione/assets/css/style.css?ver=1769123591</v>
      </c>
      <c r="F1632" s="1" t="s">
        <v>1016</v>
      </c>
      <c r="G1632" s="1">
        <v>200.0</v>
      </c>
      <c r="H1632" s="1" t="s">
        <v>966</v>
      </c>
      <c r="I1632" s="1" t="s">
        <v>967</v>
      </c>
      <c r="L1632" s="1">
        <v>0.0</v>
      </c>
      <c r="M1632" s="1">
        <v>0.0</v>
      </c>
      <c r="O1632" s="1">
        <v>0.0</v>
      </c>
      <c r="P1632" s="1">
        <v>0.0</v>
      </c>
      <c r="R1632" s="1">
        <v>0.0</v>
      </c>
      <c r="S1632" s="1">
        <v>0.0</v>
      </c>
      <c r="U1632" s="1">
        <v>0.0</v>
      </c>
      <c r="W1632" s="1">
        <v>0.0</v>
      </c>
      <c r="Y1632" s="1">
        <v>0.0</v>
      </c>
      <c r="AA1632" s="1">
        <v>0.0</v>
      </c>
      <c r="AC1632" s="1">
        <v>0.0</v>
      </c>
      <c r="AM1632" s="1">
        <v>17704.0</v>
      </c>
      <c r="AN1632" s="1">
        <v>17704.0</v>
      </c>
      <c r="AO1632" s="1">
        <v>17704.0</v>
      </c>
      <c r="AP1632" s="1">
        <v>6.782</v>
      </c>
      <c r="AR1632" s="1">
        <v>0.0</v>
      </c>
      <c r="AW1632" s="1">
        <v>0.0</v>
      </c>
      <c r="AX1632" s="1">
        <v>4.0</v>
      </c>
      <c r="AY1632" s="1">
        <v>5.0</v>
      </c>
      <c r="BA1632" s="1">
        <v>0.0</v>
      </c>
      <c r="BB1632" s="1">
        <v>0.0</v>
      </c>
      <c r="BC1632" s="1">
        <v>0.0</v>
      </c>
      <c r="BD1632" s="1">
        <v>0.0</v>
      </c>
      <c r="BE1632" s="1">
        <v>0.0</v>
      </c>
      <c r="BF1632" s="1">
        <v>0.0</v>
      </c>
      <c r="BG1632" s="1">
        <v>0.0</v>
      </c>
      <c r="BH1632" s="1">
        <v>0.0</v>
      </c>
      <c r="BI1632" s="1">
        <v>0.0</v>
      </c>
      <c r="BJ1632" s="1">
        <v>0.0</v>
      </c>
      <c r="BP1632" s="1">
        <v>0.279</v>
      </c>
      <c r="BQ1632" s="1" t="s">
        <v>5417</v>
      </c>
      <c r="BV1632" s="1">
        <v>1.1</v>
      </c>
      <c r="EQ1632" s="9" t="s">
        <v>5416</v>
      </c>
      <c r="ER1632" s="21">
        <v>46045.30094907407</v>
      </c>
    </row>
    <row r="1633">
      <c r="A1633" s="9" t="s">
        <v>5418</v>
      </c>
      <c r="B1633" s="20" t="str">
        <f>IFERROR(__xludf.DUMMYFUNCTION("REGEXREPLACE(A1633, ""^https?://[^/]+"", """")"),"/how-silence-can-help-you-sell-more/")</f>
        <v>/how-silence-can-help-you-sell-more/</v>
      </c>
      <c r="C1633" s="1" t="s">
        <v>5419</v>
      </c>
      <c r="F1633" s="1" t="s">
        <v>965</v>
      </c>
      <c r="G1633" s="1">
        <v>200.0</v>
      </c>
      <c r="H1633" s="1" t="s">
        <v>966</v>
      </c>
      <c r="I1633" s="1" t="s">
        <v>967</v>
      </c>
      <c r="K1633" s="1" t="s">
        <v>5420</v>
      </c>
      <c r="L1633" s="1">
        <v>59.0</v>
      </c>
      <c r="M1633" s="1">
        <v>539.0</v>
      </c>
      <c r="O1633" s="1">
        <v>0.0</v>
      </c>
      <c r="P1633" s="1">
        <v>0.0</v>
      </c>
      <c r="Q1633" s="1" t="s">
        <v>5421</v>
      </c>
      <c r="R1633" s="1">
        <v>151.0</v>
      </c>
      <c r="S1633" s="1">
        <v>912.0</v>
      </c>
      <c r="U1633" s="1">
        <v>0.0</v>
      </c>
      <c r="V1633" s="1" t="s">
        <v>5419</v>
      </c>
      <c r="W1633" s="1">
        <v>34.0</v>
      </c>
      <c r="Y1633" s="1">
        <v>0.0</v>
      </c>
      <c r="AA1633" s="1">
        <v>0.0</v>
      </c>
      <c r="AC1633" s="1">
        <v>0.0</v>
      </c>
      <c r="AD1633" s="1" t="s">
        <v>971</v>
      </c>
      <c r="AG1633" s="9" t="s">
        <v>5418</v>
      </c>
      <c r="AM1633" s="1">
        <v>202992.0</v>
      </c>
      <c r="AN1633" s="1">
        <v>36241.0</v>
      </c>
      <c r="AO1633" s="1">
        <v>36241.0</v>
      </c>
      <c r="AP1633" s="1">
        <v>13.883</v>
      </c>
      <c r="AR1633" s="1">
        <v>1441.0</v>
      </c>
      <c r="AS1633" s="1">
        <v>224.0</v>
      </c>
      <c r="AT1633" s="1">
        <v>6.433</v>
      </c>
      <c r="AU1633" s="1">
        <v>72.965</v>
      </c>
      <c r="AV1633" s="1" t="s">
        <v>1264</v>
      </c>
      <c r="AW1633" s="1">
        <v>5.408</v>
      </c>
      <c r="AX1633" s="1">
        <v>4.0</v>
      </c>
      <c r="AY1633" s="1">
        <v>1.0</v>
      </c>
      <c r="AZ1633" s="1">
        <v>1.0</v>
      </c>
      <c r="BA1633" s="1">
        <v>12.0</v>
      </c>
      <c r="BB1633" s="1">
        <v>12.0</v>
      </c>
      <c r="BC1633" s="1">
        <v>0.0</v>
      </c>
      <c r="BD1633" s="1">
        <v>1.59</v>
      </c>
      <c r="BE1633" s="1">
        <v>131.0</v>
      </c>
      <c r="BF1633" s="1">
        <v>48.0</v>
      </c>
      <c r="BG1633" s="1">
        <v>0.0</v>
      </c>
      <c r="BH1633" s="1">
        <v>16.0</v>
      </c>
      <c r="BI1633" s="1">
        <v>8.0</v>
      </c>
      <c r="BJ1633" s="1">
        <v>0.0</v>
      </c>
      <c r="BO1633" s="1" t="s">
        <v>5422</v>
      </c>
      <c r="BP1633" s="1">
        <v>0.983</v>
      </c>
      <c r="BU1633" s="1" t="s">
        <v>974</v>
      </c>
      <c r="BV1633" s="1">
        <v>1.1</v>
      </c>
      <c r="EQ1633" s="9" t="s">
        <v>5418</v>
      </c>
      <c r="ER1633" s="21">
        <v>46045.3009375</v>
      </c>
    </row>
    <row r="1634">
      <c r="A1634" s="9" t="s">
        <v>5423</v>
      </c>
      <c r="B1634" s="20" t="str">
        <f>IFERROR(__xludf.DUMMYFUNCTION("REGEXREPLACE(A1634, ""^https?://[^/]+"", """")"),"/wp-content/themes/salesxceleratione/assets/css/style.css?ver=1769123592")</f>
        <v>/wp-content/themes/salesxceleratione/assets/css/style.css?ver=1769123592</v>
      </c>
      <c r="F1634" s="1" t="s">
        <v>1016</v>
      </c>
      <c r="G1634" s="1">
        <v>200.0</v>
      </c>
      <c r="H1634" s="1" t="s">
        <v>966</v>
      </c>
      <c r="I1634" s="1" t="s">
        <v>967</v>
      </c>
      <c r="L1634" s="1">
        <v>0.0</v>
      </c>
      <c r="M1634" s="1">
        <v>0.0</v>
      </c>
      <c r="O1634" s="1">
        <v>0.0</v>
      </c>
      <c r="P1634" s="1">
        <v>0.0</v>
      </c>
      <c r="R1634" s="1">
        <v>0.0</v>
      </c>
      <c r="S1634" s="1">
        <v>0.0</v>
      </c>
      <c r="U1634" s="1">
        <v>0.0</v>
      </c>
      <c r="W1634" s="1">
        <v>0.0</v>
      </c>
      <c r="Y1634" s="1">
        <v>0.0</v>
      </c>
      <c r="AA1634" s="1">
        <v>0.0</v>
      </c>
      <c r="AC1634" s="1">
        <v>0.0</v>
      </c>
      <c r="AM1634" s="1">
        <v>17704.0</v>
      </c>
      <c r="AN1634" s="1">
        <v>17704.0</v>
      </c>
      <c r="AO1634" s="1">
        <v>17704.0</v>
      </c>
      <c r="AP1634" s="1">
        <v>6.782</v>
      </c>
      <c r="AR1634" s="1">
        <v>0.0</v>
      </c>
      <c r="AW1634" s="1">
        <v>0.0</v>
      </c>
      <c r="AX1634" s="1">
        <v>4.0</v>
      </c>
      <c r="AY1634" s="1">
        <v>5.0</v>
      </c>
      <c r="BA1634" s="1">
        <v>0.0</v>
      </c>
      <c r="BB1634" s="1">
        <v>0.0</v>
      </c>
      <c r="BC1634" s="1">
        <v>0.0</v>
      </c>
      <c r="BD1634" s="1">
        <v>0.0</v>
      </c>
      <c r="BE1634" s="1">
        <v>0.0</v>
      </c>
      <c r="BF1634" s="1">
        <v>0.0</v>
      </c>
      <c r="BG1634" s="1">
        <v>0.0</v>
      </c>
      <c r="BH1634" s="1">
        <v>0.0</v>
      </c>
      <c r="BI1634" s="1">
        <v>0.0</v>
      </c>
      <c r="BJ1634" s="1">
        <v>0.0</v>
      </c>
      <c r="BP1634" s="1">
        <v>0.274</v>
      </c>
      <c r="BQ1634" s="1" t="s">
        <v>5417</v>
      </c>
      <c r="BV1634" s="1">
        <v>1.1</v>
      </c>
      <c r="EQ1634" s="9" t="s">
        <v>5423</v>
      </c>
      <c r="ER1634" s="21">
        <v>46045.30094907407</v>
      </c>
    </row>
    <row r="1635">
      <c r="A1635" s="9" t="s">
        <v>5424</v>
      </c>
      <c r="B1635" s="20" t="str">
        <f>IFERROR(__xludf.DUMMYFUNCTION("REGEXREPLACE(A1635, ""^https?://[^/]+"", """")"),"/wp-content/themes/salesxceleratione/assets/css/style.css?ver=1769123593")</f>
        <v>/wp-content/themes/salesxceleratione/assets/css/style.css?ver=1769123593</v>
      </c>
      <c r="F1635" s="1" t="s">
        <v>1016</v>
      </c>
      <c r="G1635" s="1">
        <v>200.0</v>
      </c>
      <c r="H1635" s="1" t="s">
        <v>966</v>
      </c>
      <c r="I1635" s="1" t="s">
        <v>967</v>
      </c>
      <c r="L1635" s="1">
        <v>0.0</v>
      </c>
      <c r="M1635" s="1">
        <v>0.0</v>
      </c>
      <c r="O1635" s="1">
        <v>0.0</v>
      </c>
      <c r="P1635" s="1">
        <v>0.0</v>
      </c>
      <c r="R1635" s="1">
        <v>0.0</v>
      </c>
      <c r="S1635" s="1">
        <v>0.0</v>
      </c>
      <c r="U1635" s="1">
        <v>0.0</v>
      </c>
      <c r="W1635" s="1">
        <v>0.0</v>
      </c>
      <c r="Y1635" s="1">
        <v>0.0</v>
      </c>
      <c r="AA1635" s="1">
        <v>0.0</v>
      </c>
      <c r="AC1635" s="1">
        <v>0.0</v>
      </c>
      <c r="AM1635" s="1">
        <v>17704.0</v>
      </c>
      <c r="AN1635" s="1">
        <v>17704.0</v>
      </c>
      <c r="AO1635" s="1">
        <v>17704.0</v>
      </c>
      <c r="AP1635" s="1">
        <v>6.782</v>
      </c>
      <c r="AR1635" s="1">
        <v>0.0</v>
      </c>
      <c r="AW1635" s="1">
        <v>0.0</v>
      </c>
      <c r="AX1635" s="1">
        <v>4.0</v>
      </c>
      <c r="AY1635" s="1">
        <v>5.0</v>
      </c>
      <c r="BA1635" s="1">
        <v>0.0</v>
      </c>
      <c r="BB1635" s="1">
        <v>0.0</v>
      </c>
      <c r="BC1635" s="1">
        <v>0.0</v>
      </c>
      <c r="BD1635" s="1">
        <v>0.0</v>
      </c>
      <c r="BE1635" s="1">
        <v>0.0</v>
      </c>
      <c r="BF1635" s="1">
        <v>0.0</v>
      </c>
      <c r="BG1635" s="1">
        <v>0.0</v>
      </c>
      <c r="BH1635" s="1">
        <v>0.0</v>
      </c>
      <c r="BI1635" s="1">
        <v>0.0</v>
      </c>
      <c r="BJ1635" s="1">
        <v>0.0</v>
      </c>
      <c r="BP1635" s="1">
        <v>0.272</v>
      </c>
      <c r="BQ1635" s="1" t="s">
        <v>5417</v>
      </c>
      <c r="BV1635" s="1">
        <v>1.1</v>
      </c>
      <c r="EQ1635" s="9" t="s">
        <v>5424</v>
      </c>
      <c r="ER1635" s="21">
        <v>46045.30094907407</v>
      </c>
    </row>
    <row r="1636">
      <c r="A1636" s="9" t="s">
        <v>5425</v>
      </c>
      <c r="B1636" s="20" t="str">
        <f>IFERROR(__xludf.DUMMYFUNCTION("REGEXREPLACE(A1636, ""^https?://[^/]+"", """")"),"/wp-content/uploads/2015/03/Prescribe-2048x2048.png")</f>
        <v>/wp-content/uploads/2015/03/Prescribe-2048x2048.png</v>
      </c>
      <c r="F1636" s="1" t="s">
        <v>1047</v>
      </c>
      <c r="G1636" s="1">
        <v>200.0</v>
      </c>
      <c r="H1636" s="1" t="s">
        <v>966</v>
      </c>
      <c r="I1636" s="1" t="s">
        <v>967</v>
      </c>
      <c r="L1636" s="1">
        <v>0.0</v>
      </c>
      <c r="M1636" s="1">
        <v>0.0</v>
      </c>
      <c r="O1636" s="1">
        <v>0.0</v>
      </c>
      <c r="P1636" s="1">
        <v>0.0</v>
      </c>
      <c r="R1636" s="1">
        <v>0.0</v>
      </c>
      <c r="S1636" s="1">
        <v>0.0</v>
      </c>
      <c r="U1636" s="1">
        <v>0.0</v>
      </c>
      <c r="W1636" s="1">
        <v>0.0</v>
      </c>
      <c r="Y1636" s="1">
        <v>0.0</v>
      </c>
      <c r="AA1636" s="1">
        <v>0.0</v>
      </c>
      <c r="AC1636" s="1">
        <v>0.0</v>
      </c>
      <c r="AM1636" s="1">
        <v>1172673.0</v>
      </c>
      <c r="AN1636" s="1">
        <v>1172673.0</v>
      </c>
      <c r="AO1636" s="1">
        <v>1172673.0</v>
      </c>
      <c r="AP1636" s="1">
        <v>449.229</v>
      </c>
      <c r="AR1636" s="1">
        <v>0.0</v>
      </c>
      <c r="AW1636" s="1">
        <v>0.0</v>
      </c>
      <c r="AX1636" s="1">
        <v>4.0</v>
      </c>
      <c r="AY1636" s="1">
        <v>4.0</v>
      </c>
      <c r="BA1636" s="1">
        <v>0.0</v>
      </c>
      <c r="BB1636" s="1">
        <v>0.0</v>
      </c>
      <c r="BC1636" s="1">
        <v>0.0</v>
      </c>
      <c r="BD1636" s="1">
        <v>0.0</v>
      </c>
      <c r="BE1636" s="1">
        <v>0.0</v>
      </c>
      <c r="BF1636" s="1">
        <v>0.0</v>
      </c>
      <c r="BG1636" s="1">
        <v>0.0</v>
      </c>
      <c r="BH1636" s="1">
        <v>0.0</v>
      </c>
      <c r="BI1636" s="1">
        <v>0.0</v>
      </c>
      <c r="BJ1636" s="1">
        <v>0.0</v>
      </c>
      <c r="BP1636" s="1">
        <v>0.264</v>
      </c>
      <c r="BQ1636" s="1" t="s">
        <v>5426</v>
      </c>
      <c r="BV1636" s="1">
        <v>1.1</v>
      </c>
      <c r="EQ1636" s="9" t="s">
        <v>5425</v>
      </c>
      <c r="ER1636" s="21">
        <v>46045.30094907407</v>
      </c>
    </row>
    <row r="1637">
      <c r="A1637" s="9" t="s">
        <v>5427</v>
      </c>
      <c r="B1637" s="20" t="str">
        <f>IFERROR(__xludf.DUMMYFUNCTION("REGEXREPLACE(A1637, ""^https?://[^/]+"", """")"),"/wp-content/uploads/2015/01/CRM-Resized-for-Web-2048x2048.jpg")</f>
        <v>/wp-content/uploads/2015/01/CRM-Resized-for-Web-2048x2048.jpg</v>
      </c>
      <c r="F1637" s="1" t="s">
        <v>1004</v>
      </c>
      <c r="G1637" s="1">
        <v>200.0</v>
      </c>
      <c r="H1637" s="1" t="s">
        <v>966</v>
      </c>
      <c r="I1637" s="1" t="s">
        <v>967</v>
      </c>
      <c r="L1637" s="1">
        <v>0.0</v>
      </c>
      <c r="M1637" s="1">
        <v>0.0</v>
      </c>
      <c r="O1637" s="1">
        <v>0.0</v>
      </c>
      <c r="P1637" s="1">
        <v>0.0</v>
      </c>
      <c r="R1637" s="1">
        <v>0.0</v>
      </c>
      <c r="S1637" s="1">
        <v>0.0</v>
      </c>
      <c r="U1637" s="1">
        <v>0.0</v>
      </c>
      <c r="W1637" s="1">
        <v>0.0</v>
      </c>
      <c r="Y1637" s="1">
        <v>0.0</v>
      </c>
      <c r="AA1637" s="1">
        <v>0.0</v>
      </c>
      <c r="AC1637" s="1">
        <v>0.0</v>
      </c>
      <c r="AM1637" s="1">
        <v>308952.0</v>
      </c>
      <c r="AN1637" s="1">
        <v>308952.0</v>
      </c>
      <c r="AO1637" s="1">
        <v>308952.0</v>
      </c>
      <c r="AP1637" s="1">
        <v>118.354</v>
      </c>
      <c r="AR1637" s="1">
        <v>0.0</v>
      </c>
      <c r="AW1637" s="1">
        <v>0.0</v>
      </c>
      <c r="AX1637" s="1">
        <v>4.0</v>
      </c>
      <c r="AY1637" s="1">
        <v>4.0</v>
      </c>
      <c r="BA1637" s="1">
        <v>0.0</v>
      </c>
      <c r="BB1637" s="1">
        <v>0.0</v>
      </c>
      <c r="BC1637" s="1">
        <v>0.0</v>
      </c>
      <c r="BD1637" s="1">
        <v>0.0</v>
      </c>
      <c r="BE1637" s="1">
        <v>0.0</v>
      </c>
      <c r="BF1637" s="1">
        <v>0.0</v>
      </c>
      <c r="BG1637" s="1">
        <v>0.0</v>
      </c>
      <c r="BH1637" s="1">
        <v>0.0</v>
      </c>
      <c r="BI1637" s="1">
        <v>0.0</v>
      </c>
      <c r="BJ1637" s="1">
        <v>0.0</v>
      </c>
      <c r="BP1637" s="1">
        <v>0.312</v>
      </c>
      <c r="BQ1637" s="1" t="s">
        <v>5428</v>
      </c>
      <c r="BV1637" s="1">
        <v>1.1</v>
      </c>
      <c r="EQ1637" s="9" t="s">
        <v>5427</v>
      </c>
      <c r="ER1637" s="21">
        <v>46045.30094907407</v>
      </c>
    </row>
    <row r="1638">
      <c r="A1638" s="9" t="s">
        <v>5429</v>
      </c>
      <c r="B1638" s="20" t="str">
        <f>IFERROR(__xludf.DUMMYFUNCTION("REGEXREPLACE(A1638, ""^https?://[^/]+"", """")"),"/wp-content/uploads/2014/12/That-was-then.jpg")</f>
        <v>/wp-content/uploads/2014/12/That-was-then.jpg</v>
      </c>
      <c r="F1638" s="1" t="s">
        <v>1004</v>
      </c>
      <c r="G1638" s="1">
        <v>200.0</v>
      </c>
      <c r="H1638" s="1" t="s">
        <v>966</v>
      </c>
      <c r="I1638" s="1" t="s">
        <v>967</v>
      </c>
      <c r="L1638" s="1">
        <v>0.0</v>
      </c>
      <c r="M1638" s="1">
        <v>0.0</v>
      </c>
      <c r="O1638" s="1">
        <v>0.0</v>
      </c>
      <c r="P1638" s="1">
        <v>0.0</v>
      </c>
      <c r="R1638" s="1">
        <v>0.0</v>
      </c>
      <c r="S1638" s="1">
        <v>0.0</v>
      </c>
      <c r="U1638" s="1">
        <v>0.0</v>
      </c>
      <c r="W1638" s="1">
        <v>0.0</v>
      </c>
      <c r="Y1638" s="1">
        <v>0.0</v>
      </c>
      <c r="AA1638" s="1">
        <v>0.0</v>
      </c>
      <c r="AC1638" s="1">
        <v>0.0</v>
      </c>
      <c r="AM1638" s="1">
        <v>10678.0</v>
      </c>
      <c r="AN1638" s="1">
        <v>10678.0</v>
      </c>
      <c r="AO1638" s="1">
        <v>10678.0</v>
      </c>
      <c r="AP1638" s="1">
        <v>4.091</v>
      </c>
      <c r="AR1638" s="1">
        <v>0.0</v>
      </c>
      <c r="AW1638" s="1">
        <v>0.0</v>
      </c>
      <c r="AX1638" s="1">
        <v>4.0</v>
      </c>
      <c r="AY1638" s="1">
        <v>4.0</v>
      </c>
      <c r="BA1638" s="1">
        <v>0.0</v>
      </c>
      <c r="BB1638" s="1">
        <v>0.0</v>
      </c>
      <c r="BC1638" s="1">
        <v>0.0</v>
      </c>
      <c r="BD1638" s="1">
        <v>0.0</v>
      </c>
      <c r="BE1638" s="1">
        <v>0.0</v>
      </c>
      <c r="BF1638" s="1">
        <v>0.0</v>
      </c>
      <c r="BG1638" s="1">
        <v>0.0</v>
      </c>
      <c r="BH1638" s="1">
        <v>0.0</v>
      </c>
      <c r="BI1638" s="1">
        <v>0.0</v>
      </c>
      <c r="BJ1638" s="1">
        <v>0.0</v>
      </c>
      <c r="BP1638" s="1">
        <v>0.296</v>
      </c>
      <c r="BQ1638" s="1" t="s">
        <v>5430</v>
      </c>
      <c r="BV1638" s="1">
        <v>1.1</v>
      </c>
      <c r="EQ1638" s="9" t="s">
        <v>5429</v>
      </c>
      <c r="ER1638" s="21">
        <v>46045.30094907407</v>
      </c>
    </row>
    <row r="1639">
      <c r="A1639" s="9" t="s">
        <v>5431</v>
      </c>
      <c r="B1639" s="20" t="str">
        <f>IFERROR(__xludf.DUMMYFUNCTION("REGEXREPLACE(A1639, ""^https?://[^/]+"", """")"),"/wp-content/uploads/2015/05/Teamwork.jpg")</f>
        <v>/wp-content/uploads/2015/05/Teamwork.jpg</v>
      </c>
      <c r="F1639" s="1" t="s">
        <v>1004</v>
      </c>
      <c r="G1639" s="1">
        <v>200.0</v>
      </c>
      <c r="H1639" s="1" t="s">
        <v>966</v>
      </c>
      <c r="I1639" s="1" t="s">
        <v>967</v>
      </c>
      <c r="L1639" s="1">
        <v>0.0</v>
      </c>
      <c r="M1639" s="1">
        <v>0.0</v>
      </c>
      <c r="O1639" s="1">
        <v>0.0</v>
      </c>
      <c r="P1639" s="1">
        <v>0.0</v>
      </c>
      <c r="R1639" s="1">
        <v>0.0</v>
      </c>
      <c r="S1639" s="1">
        <v>0.0</v>
      </c>
      <c r="U1639" s="1">
        <v>0.0</v>
      </c>
      <c r="W1639" s="1">
        <v>0.0</v>
      </c>
      <c r="Y1639" s="1">
        <v>0.0</v>
      </c>
      <c r="AA1639" s="1">
        <v>0.0</v>
      </c>
      <c r="AC1639" s="1">
        <v>0.0</v>
      </c>
      <c r="AM1639" s="1">
        <v>423092.0</v>
      </c>
      <c r="AN1639" s="1">
        <v>423092.0</v>
      </c>
      <c r="AO1639" s="1">
        <v>423092.0</v>
      </c>
      <c r="AP1639" s="1">
        <v>162.079</v>
      </c>
      <c r="AR1639" s="1">
        <v>0.0</v>
      </c>
      <c r="AW1639" s="1">
        <v>0.0</v>
      </c>
      <c r="AX1639" s="1">
        <v>4.0</v>
      </c>
      <c r="AY1639" s="1">
        <v>4.0</v>
      </c>
      <c r="BA1639" s="1">
        <v>0.0</v>
      </c>
      <c r="BB1639" s="1">
        <v>0.0</v>
      </c>
      <c r="BC1639" s="1">
        <v>0.0</v>
      </c>
      <c r="BD1639" s="1">
        <v>0.0</v>
      </c>
      <c r="BE1639" s="1">
        <v>0.0</v>
      </c>
      <c r="BF1639" s="1">
        <v>0.0</v>
      </c>
      <c r="BG1639" s="1">
        <v>0.0</v>
      </c>
      <c r="BH1639" s="1">
        <v>0.0</v>
      </c>
      <c r="BI1639" s="1">
        <v>0.0</v>
      </c>
      <c r="BJ1639" s="1">
        <v>0.0</v>
      </c>
      <c r="BP1639" s="1">
        <v>0.286</v>
      </c>
      <c r="BQ1639" s="1" t="s">
        <v>5432</v>
      </c>
      <c r="BV1639" s="1">
        <v>1.1</v>
      </c>
      <c r="EQ1639" s="9" t="s">
        <v>5431</v>
      </c>
      <c r="ER1639" s="21">
        <v>46045.30096064815</v>
      </c>
    </row>
    <row r="1640">
      <c r="A1640" s="9" t="s">
        <v>5433</v>
      </c>
      <c r="B1640" s="20" t="str">
        <f>IFERROR(__xludf.DUMMYFUNCTION("REGEXREPLACE(A1640, ""^https?://[^/]+"", """")"),"/wp-content/themes/salesxceleratione/assets/css/style.css?ver=1769123508")</f>
        <v>/wp-content/themes/salesxceleratione/assets/css/style.css?ver=1769123508</v>
      </c>
      <c r="F1640" s="1" t="s">
        <v>1016</v>
      </c>
      <c r="G1640" s="1">
        <v>200.0</v>
      </c>
      <c r="H1640" s="1" t="s">
        <v>966</v>
      </c>
      <c r="I1640" s="1" t="s">
        <v>967</v>
      </c>
      <c r="L1640" s="1">
        <v>0.0</v>
      </c>
      <c r="M1640" s="1">
        <v>0.0</v>
      </c>
      <c r="O1640" s="1">
        <v>0.0</v>
      </c>
      <c r="P1640" s="1">
        <v>0.0</v>
      </c>
      <c r="R1640" s="1">
        <v>0.0</v>
      </c>
      <c r="S1640" s="1">
        <v>0.0</v>
      </c>
      <c r="U1640" s="1">
        <v>0.0</v>
      </c>
      <c r="W1640" s="1">
        <v>0.0</v>
      </c>
      <c r="Y1640" s="1">
        <v>0.0</v>
      </c>
      <c r="AA1640" s="1">
        <v>0.0</v>
      </c>
      <c r="AC1640" s="1">
        <v>0.0</v>
      </c>
      <c r="AM1640" s="1">
        <v>17704.0</v>
      </c>
      <c r="AN1640" s="1">
        <v>17704.0</v>
      </c>
      <c r="AO1640" s="1">
        <v>17704.0</v>
      </c>
      <c r="AP1640" s="1">
        <v>6.782</v>
      </c>
      <c r="AR1640" s="1">
        <v>0.0</v>
      </c>
      <c r="AW1640" s="1">
        <v>0.0</v>
      </c>
      <c r="AX1640" s="1">
        <v>4.0</v>
      </c>
      <c r="AY1640" s="1">
        <v>5.0</v>
      </c>
      <c r="BA1640" s="1">
        <v>0.0</v>
      </c>
      <c r="BB1640" s="1">
        <v>0.0</v>
      </c>
      <c r="BC1640" s="1">
        <v>0.0</v>
      </c>
      <c r="BD1640" s="1">
        <v>0.0</v>
      </c>
      <c r="BE1640" s="1">
        <v>0.0</v>
      </c>
      <c r="BF1640" s="1">
        <v>0.0</v>
      </c>
      <c r="BG1640" s="1">
        <v>0.0</v>
      </c>
      <c r="BH1640" s="1">
        <v>0.0</v>
      </c>
      <c r="BI1640" s="1">
        <v>0.0</v>
      </c>
      <c r="BJ1640" s="1">
        <v>0.0</v>
      </c>
      <c r="BP1640" s="1">
        <v>0.28</v>
      </c>
      <c r="BQ1640" s="1" t="s">
        <v>5434</v>
      </c>
      <c r="BV1640" s="1">
        <v>1.1</v>
      </c>
      <c r="EQ1640" s="9" t="s">
        <v>5433</v>
      </c>
      <c r="ER1640" s="21">
        <v>46045.30096064815</v>
      </c>
    </row>
    <row r="1641">
      <c r="A1641" s="9" t="s">
        <v>5435</v>
      </c>
      <c r="B1641" s="20" t="str">
        <f>IFERROR(__xludf.DUMMYFUNCTION("REGEXREPLACE(A1641, ""^https?://[^/]+"", """")"),"/wp-content/uploads/2013/11/small-businesses-sales-forecast.jpg")</f>
        <v>/wp-content/uploads/2013/11/small-businesses-sales-forecast.jpg</v>
      </c>
      <c r="F1641" s="1" t="s">
        <v>1004</v>
      </c>
      <c r="G1641" s="1">
        <v>200.0</v>
      </c>
      <c r="H1641" s="1" t="s">
        <v>966</v>
      </c>
      <c r="I1641" s="1" t="s">
        <v>967</v>
      </c>
      <c r="L1641" s="1">
        <v>0.0</v>
      </c>
      <c r="M1641" s="1">
        <v>0.0</v>
      </c>
      <c r="O1641" s="1">
        <v>0.0</v>
      </c>
      <c r="P1641" s="1">
        <v>0.0</v>
      </c>
      <c r="R1641" s="1">
        <v>0.0</v>
      </c>
      <c r="S1641" s="1">
        <v>0.0</v>
      </c>
      <c r="U1641" s="1">
        <v>0.0</v>
      </c>
      <c r="W1641" s="1">
        <v>0.0</v>
      </c>
      <c r="Y1641" s="1">
        <v>0.0</v>
      </c>
      <c r="AA1641" s="1">
        <v>0.0</v>
      </c>
      <c r="AC1641" s="1">
        <v>0.0</v>
      </c>
      <c r="AM1641" s="1">
        <v>117471.0</v>
      </c>
      <c r="AN1641" s="1">
        <v>117471.0</v>
      </c>
      <c r="AO1641" s="1">
        <v>117471.0</v>
      </c>
      <c r="AP1641" s="1">
        <v>45.001</v>
      </c>
      <c r="AR1641" s="1">
        <v>0.0</v>
      </c>
      <c r="AW1641" s="1">
        <v>0.0</v>
      </c>
      <c r="AX1641" s="1">
        <v>4.0</v>
      </c>
      <c r="AY1641" s="1">
        <v>4.0</v>
      </c>
      <c r="BA1641" s="1">
        <v>0.0</v>
      </c>
      <c r="BB1641" s="1">
        <v>0.0</v>
      </c>
      <c r="BC1641" s="1">
        <v>0.0</v>
      </c>
      <c r="BD1641" s="1">
        <v>0.0</v>
      </c>
      <c r="BE1641" s="1">
        <v>0.0</v>
      </c>
      <c r="BF1641" s="1">
        <v>0.0</v>
      </c>
      <c r="BG1641" s="1">
        <v>0.0</v>
      </c>
      <c r="BH1641" s="1">
        <v>0.0</v>
      </c>
      <c r="BI1641" s="1">
        <v>0.0</v>
      </c>
      <c r="BJ1641" s="1">
        <v>0.0</v>
      </c>
      <c r="BP1641" s="1">
        <v>0.274</v>
      </c>
      <c r="BQ1641" s="1" t="s">
        <v>5436</v>
      </c>
      <c r="BV1641" s="1">
        <v>1.1</v>
      </c>
      <c r="EQ1641" s="9" t="s">
        <v>5435</v>
      </c>
      <c r="ER1641" s="21">
        <v>46045.30096064815</v>
      </c>
    </row>
    <row r="1642">
      <c r="A1642" s="9" t="s">
        <v>5437</v>
      </c>
      <c r="B1642" s="20" t="str">
        <f>IFERROR(__xludf.DUMMYFUNCTION("REGEXREPLACE(A1642, ""^https?://[^/]+"", """")"),"/kiss-ideas-crms-goodbye/")</f>
        <v>/kiss-ideas-crms-goodbye/</v>
      </c>
      <c r="C1642" s="1" t="s">
        <v>5438</v>
      </c>
      <c r="F1642" s="1" t="s">
        <v>965</v>
      </c>
      <c r="G1642" s="1">
        <v>200.0</v>
      </c>
      <c r="H1642" s="1" t="s">
        <v>966</v>
      </c>
      <c r="I1642" s="1" t="s">
        <v>967</v>
      </c>
      <c r="K1642" s="1" t="s">
        <v>5439</v>
      </c>
      <c r="L1642" s="1">
        <v>59.0</v>
      </c>
      <c r="M1642" s="1">
        <v>554.0</v>
      </c>
      <c r="O1642" s="1">
        <v>0.0</v>
      </c>
      <c r="P1642" s="1">
        <v>0.0</v>
      </c>
      <c r="Q1642" s="1" t="s">
        <v>5440</v>
      </c>
      <c r="R1642" s="1">
        <v>153.0</v>
      </c>
      <c r="S1642" s="1">
        <v>946.0</v>
      </c>
      <c r="U1642" s="1">
        <v>0.0</v>
      </c>
      <c r="V1642" s="1" t="s">
        <v>5438</v>
      </c>
      <c r="W1642" s="1">
        <v>34.0</v>
      </c>
      <c r="Y1642" s="1">
        <v>0.0</v>
      </c>
      <c r="AA1642" s="1">
        <v>0.0</v>
      </c>
      <c r="AC1642" s="1">
        <v>0.0</v>
      </c>
      <c r="AD1642" s="1" t="s">
        <v>971</v>
      </c>
      <c r="AG1642" s="9" t="s">
        <v>5437</v>
      </c>
      <c r="AM1642" s="1">
        <v>200901.0</v>
      </c>
      <c r="AN1642" s="1">
        <v>36258.0</v>
      </c>
      <c r="AO1642" s="1">
        <v>36258.0</v>
      </c>
      <c r="AP1642" s="1">
        <v>13.89</v>
      </c>
      <c r="AR1642" s="1">
        <v>1478.0</v>
      </c>
      <c r="AS1642" s="1">
        <v>230.0</v>
      </c>
      <c r="AT1642" s="1">
        <v>6.426</v>
      </c>
      <c r="AU1642" s="1">
        <v>64.197</v>
      </c>
      <c r="AV1642" s="1" t="s">
        <v>990</v>
      </c>
      <c r="AW1642" s="1">
        <v>5.722</v>
      </c>
      <c r="AX1642" s="1">
        <v>4.0</v>
      </c>
      <c r="AY1642" s="1">
        <v>1.0</v>
      </c>
      <c r="AZ1642" s="1">
        <v>1.0</v>
      </c>
      <c r="BA1642" s="1">
        <v>10.0</v>
      </c>
      <c r="BB1642" s="1">
        <v>10.0</v>
      </c>
      <c r="BC1642" s="1">
        <v>0.0</v>
      </c>
      <c r="BD1642" s="1">
        <v>1.33</v>
      </c>
      <c r="BE1642" s="1">
        <v>132.0</v>
      </c>
      <c r="BF1642" s="1">
        <v>48.0</v>
      </c>
      <c r="BG1642" s="1">
        <v>0.0</v>
      </c>
      <c r="BH1642" s="1">
        <v>17.0</v>
      </c>
      <c r="BI1642" s="1">
        <v>9.0</v>
      </c>
      <c r="BJ1642" s="1">
        <v>0.0</v>
      </c>
      <c r="BO1642" s="1" t="s">
        <v>5441</v>
      </c>
      <c r="BP1642" s="1">
        <v>0.967</v>
      </c>
      <c r="BU1642" s="1" t="s">
        <v>974</v>
      </c>
      <c r="BV1642" s="1">
        <v>1.1</v>
      </c>
      <c r="EQ1642" s="9" t="s">
        <v>5437</v>
      </c>
      <c r="ER1642" s="21">
        <v>46045.30094907407</v>
      </c>
    </row>
    <row r="1643">
      <c r="A1643" s="9" t="s">
        <v>5442</v>
      </c>
      <c r="B1643" s="20" t="str">
        <f>IFERROR(__xludf.DUMMYFUNCTION("REGEXREPLACE(A1643, ""^https?://[^/]+"", """")"),"/wp-content/uploads/2015/05/Feet-on-Scales-RS-225-High-2048x2048.jpg")</f>
        <v>/wp-content/uploads/2015/05/Feet-on-Scales-RS-225-High-2048x2048.jpg</v>
      </c>
      <c r="F1643" s="1" t="s">
        <v>1004</v>
      </c>
      <c r="G1643" s="1">
        <v>200.0</v>
      </c>
      <c r="H1643" s="1" t="s">
        <v>966</v>
      </c>
      <c r="I1643" s="1" t="s">
        <v>967</v>
      </c>
      <c r="L1643" s="1">
        <v>0.0</v>
      </c>
      <c r="M1643" s="1">
        <v>0.0</v>
      </c>
      <c r="O1643" s="1">
        <v>0.0</v>
      </c>
      <c r="P1643" s="1">
        <v>0.0</v>
      </c>
      <c r="R1643" s="1">
        <v>0.0</v>
      </c>
      <c r="S1643" s="1">
        <v>0.0</v>
      </c>
      <c r="U1643" s="1">
        <v>0.0</v>
      </c>
      <c r="W1643" s="1">
        <v>0.0</v>
      </c>
      <c r="Y1643" s="1">
        <v>0.0</v>
      </c>
      <c r="AA1643" s="1">
        <v>0.0</v>
      </c>
      <c r="AC1643" s="1">
        <v>0.0</v>
      </c>
      <c r="AM1643" s="1">
        <v>268061.0</v>
      </c>
      <c r="AN1643" s="1">
        <v>268061.0</v>
      </c>
      <c r="AO1643" s="1">
        <v>268061.0</v>
      </c>
      <c r="AP1643" s="1">
        <v>102.689</v>
      </c>
      <c r="AR1643" s="1">
        <v>0.0</v>
      </c>
      <c r="AW1643" s="1">
        <v>0.0</v>
      </c>
      <c r="AX1643" s="1">
        <v>4.0</v>
      </c>
      <c r="AY1643" s="1">
        <v>4.0</v>
      </c>
      <c r="BA1643" s="1">
        <v>0.0</v>
      </c>
      <c r="BB1643" s="1">
        <v>0.0</v>
      </c>
      <c r="BC1643" s="1">
        <v>0.0</v>
      </c>
      <c r="BD1643" s="1">
        <v>0.0</v>
      </c>
      <c r="BE1643" s="1">
        <v>0.0</v>
      </c>
      <c r="BF1643" s="1">
        <v>0.0</v>
      </c>
      <c r="BG1643" s="1">
        <v>0.0</v>
      </c>
      <c r="BH1643" s="1">
        <v>0.0</v>
      </c>
      <c r="BI1643" s="1">
        <v>0.0</v>
      </c>
      <c r="BJ1643" s="1">
        <v>0.0</v>
      </c>
      <c r="BP1643" s="1">
        <v>0.274</v>
      </c>
      <c r="BQ1643" s="1" t="s">
        <v>5443</v>
      </c>
      <c r="BV1643" s="1">
        <v>1.1</v>
      </c>
      <c r="EQ1643" s="9" t="s">
        <v>5442</v>
      </c>
      <c r="ER1643" s="21">
        <v>46045.30096064815</v>
      </c>
    </row>
    <row r="1644">
      <c r="A1644" s="9" t="s">
        <v>5444</v>
      </c>
      <c r="B1644" s="20" t="str">
        <f>IFERROR(__xludf.DUMMYFUNCTION("REGEXREPLACE(A1644, ""^https?://[^/]+"", """")"),"/managing-your-business-the-butler-way/")</f>
        <v>/managing-your-business-the-butler-way/</v>
      </c>
      <c r="C1644" s="1" t="s">
        <v>5445</v>
      </c>
      <c r="F1644" s="1" t="s">
        <v>965</v>
      </c>
      <c r="G1644" s="1">
        <v>200.0</v>
      </c>
      <c r="H1644" s="1" t="s">
        <v>966</v>
      </c>
      <c r="I1644" s="1" t="s">
        <v>967</v>
      </c>
      <c r="K1644" s="1" t="s">
        <v>5446</v>
      </c>
      <c r="L1644" s="1">
        <v>70.0</v>
      </c>
      <c r="M1644" s="1">
        <v>616.0</v>
      </c>
      <c r="O1644" s="1">
        <v>0.0</v>
      </c>
      <c r="P1644" s="1">
        <v>0.0</v>
      </c>
      <c r="Q1644" s="1" t="s">
        <v>5447</v>
      </c>
      <c r="R1644" s="1">
        <v>152.0</v>
      </c>
      <c r="S1644" s="1">
        <v>951.0</v>
      </c>
      <c r="U1644" s="1">
        <v>0.0</v>
      </c>
      <c r="V1644" s="1" t="s">
        <v>5445</v>
      </c>
      <c r="W1644" s="1">
        <v>45.0</v>
      </c>
      <c r="Y1644" s="1">
        <v>0.0</v>
      </c>
      <c r="AA1644" s="1">
        <v>0.0</v>
      </c>
      <c r="AC1644" s="1">
        <v>0.0</v>
      </c>
      <c r="AD1644" s="1" t="s">
        <v>971</v>
      </c>
      <c r="AG1644" s="9" t="s">
        <v>5444</v>
      </c>
      <c r="AM1644" s="1">
        <v>198556.0</v>
      </c>
      <c r="AN1644" s="1">
        <v>35030.0</v>
      </c>
      <c r="AO1644" s="1">
        <v>35030.0</v>
      </c>
      <c r="AP1644" s="1">
        <v>13.419</v>
      </c>
      <c r="AR1644" s="1">
        <v>1048.0</v>
      </c>
      <c r="AS1644" s="1">
        <v>164.0</v>
      </c>
      <c r="AT1644" s="1">
        <v>6.39</v>
      </c>
      <c r="AU1644" s="1">
        <v>69.978</v>
      </c>
      <c r="AV1644" s="1" t="s">
        <v>990</v>
      </c>
      <c r="AW1644" s="1">
        <v>4.412</v>
      </c>
      <c r="AX1644" s="1">
        <v>4.0</v>
      </c>
      <c r="AY1644" s="1">
        <v>1.0</v>
      </c>
      <c r="AZ1644" s="1">
        <v>1.0</v>
      </c>
      <c r="BA1644" s="1">
        <v>2.0</v>
      </c>
      <c r="BB1644" s="1">
        <v>2.0</v>
      </c>
      <c r="BC1644" s="1">
        <v>0.0</v>
      </c>
      <c r="BD1644" s="1">
        <v>0.27</v>
      </c>
      <c r="BE1644" s="1">
        <v>131.0</v>
      </c>
      <c r="BF1644" s="1">
        <v>49.0</v>
      </c>
      <c r="BG1644" s="1">
        <v>0.0</v>
      </c>
      <c r="BH1644" s="1">
        <v>16.0</v>
      </c>
      <c r="BI1644" s="1">
        <v>8.0</v>
      </c>
      <c r="BJ1644" s="1">
        <v>0.0</v>
      </c>
      <c r="BO1644" s="1" t="s">
        <v>5448</v>
      </c>
      <c r="BP1644" s="1">
        <v>0.991</v>
      </c>
      <c r="BU1644" s="1" t="s">
        <v>974</v>
      </c>
      <c r="BV1644" s="1">
        <v>1.1</v>
      </c>
      <c r="EQ1644" s="9" t="s">
        <v>5444</v>
      </c>
      <c r="ER1644" s="21">
        <v>46045.30094907407</v>
      </c>
    </row>
    <row r="1645">
      <c r="A1645" s="9" t="s">
        <v>5449</v>
      </c>
      <c r="B1645" s="20" t="str">
        <f>IFERROR(__xludf.DUMMYFUNCTION("REGEXREPLACE(A1645, ""^https?://[^/]+"", """")"),"/wp-content/uploads/2014/11/20151.png")</f>
        <v>/wp-content/uploads/2014/11/20151.png</v>
      </c>
      <c r="F1645" s="1" t="s">
        <v>1047</v>
      </c>
      <c r="G1645" s="1">
        <v>200.0</v>
      </c>
      <c r="H1645" s="1" t="s">
        <v>966</v>
      </c>
      <c r="I1645" s="1" t="s">
        <v>967</v>
      </c>
      <c r="L1645" s="1">
        <v>0.0</v>
      </c>
      <c r="M1645" s="1">
        <v>0.0</v>
      </c>
      <c r="O1645" s="1">
        <v>0.0</v>
      </c>
      <c r="P1645" s="1">
        <v>0.0</v>
      </c>
      <c r="R1645" s="1">
        <v>0.0</v>
      </c>
      <c r="S1645" s="1">
        <v>0.0</v>
      </c>
      <c r="U1645" s="1">
        <v>0.0</v>
      </c>
      <c r="W1645" s="1">
        <v>0.0</v>
      </c>
      <c r="Y1645" s="1">
        <v>0.0</v>
      </c>
      <c r="AA1645" s="1">
        <v>0.0</v>
      </c>
      <c r="AC1645" s="1">
        <v>0.0</v>
      </c>
      <c r="AM1645" s="1">
        <v>90638.0</v>
      </c>
      <c r="AN1645" s="1">
        <v>90638.0</v>
      </c>
      <c r="AO1645" s="1">
        <v>90638.0</v>
      </c>
      <c r="AP1645" s="1">
        <v>34.722</v>
      </c>
      <c r="AR1645" s="1">
        <v>0.0</v>
      </c>
      <c r="AW1645" s="1">
        <v>0.0</v>
      </c>
      <c r="AX1645" s="1">
        <v>4.0</v>
      </c>
      <c r="AY1645" s="1">
        <v>4.0</v>
      </c>
      <c r="BA1645" s="1">
        <v>0.0</v>
      </c>
      <c r="BB1645" s="1">
        <v>0.0</v>
      </c>
      <c r="BC1645" s="1">
        <v>0.0</v>
      </c>
      <c r="BD1645" s="1">
        <v>0.0</v>
      </c>
      <c r="BE1645" s="1">
        <v>0.0</v>
      </c>
      <c r="BF1645" s="1">
        <v>0.0</v>
      </c>
      <c r="BG1645" s="1">
        <v>0.0</v>
      </c>
      <c r="BH1645" s="1">
        <v>0.0</v>
      </c>
      <c r="BI1645" s="1">
        <v>0.0</v>
      </c>
      <c r="BJ1645" s="1">
        <v>0.0</v>
      </c>
      <c r="BP1645" s="1">
        <v>0.275</v>
      </c>
      <c r="BQ1645" s="1" t="s">
        <v>5450</v>
      </c>
      <c r="BV1645" s="1">
        <v>1.1</v>
      </c>
      <c r="EQ1645" s="9" t="s">
        <v>5449</v>
      </c>
      <c r="ER1645" s="21">
        <v>46045.30096064815</v>
      </c>
    </row>
    <row r="1646">
      <c r="A1646" s="9" t="s">
        <v>5451</v>
      </c>
      <c r="B1646" s="20" t="str">
        <f>IFERROR(__xludf.DUMMYFUNCTION("REGEXREPLACE(A1646, ""^https?://[^/]+"", """")"),"/wp-content/uploads/2019/05/fac7f86c-764e-11e9-86e2-f2d3a332a382-1-2048x2048.jpg")</f>
        <v>/wp-content/uploads/2019/05/fac7f86c-764e-11e9-86e2-f2d3a332a382-1-2048x2048.jpg</v>
      </c>
      <c r="F1646" s="1" t="s">
        <v>1004</v>
      </c>
      <c r="G1646" s="1">
        <v>200.0</v>
      </c>
      <c r="H1646" s="1" t="s">
        <v>966</v>
      </c>
      <c r="I1646" s="1" t="s">
        <v>967</v>
      </c>
      <c r="L1646" s="1">
        <v>0.0</v>
      </c>
      <c r="M1646" s="1">
        <v>0.0</v>
      </c>
      <c r="O1646" s="1">
        <v>0.0</v>
      </c>
      <c r="P1646" s="1">
        <v>0.0</v>
      </c>
      <c r="R1646" s="1">
        <v>0.0</v>
      </c>
      <c r="S1646" s="1">
        <v>0.0</v>
      </c>
      <c r="U1646" s="1">
        <v>0.0</v>
      </c>
      <c r="W1646" s="1">
        <v>0.0</v>
      </c>
      <c r="Y1646" s="1">
        <v>0.0</v>
      </c>
      <c r="AA1646" s="1">
        <v>0.0</v>
      </c>
      <c r="AC1646" s="1">
        <v>0.0</v>
      </c>
      <c r="AM1646" s="1">
        <v>204776.0</v>
      </c>
      <c r="AN1646" s="1">
        <v>204776.0</v>
      </c>
      <c r="AO1646" s="1">
        <v>204776.0</v>
      </c>
      <c r="AP1646" s="1">
        <v>78.446</v>
      </c>
      <c r="AR1646" s="1">
        <v>0.0</v>
      </c>
      <c r="AW1646" s="1">
        <v>0.0</v>
      </c>
      <c r="AX1646" s="1">
        <v>4.0</v>
      </c>
      <c r="AY1646" s="1">
        <v>4.0</v>
      </c>
      <c r="BA1646" s="1">
        <v>0.0</v>
      </c>
      <c r="BB1646" s="1">
        <v>0.0</v>
      </c>
      <c r="BC1646" s="1">
        <v>0.0</v>
      </c>
      <c r="BD1646" s="1">
        <v>0.0</v>
      </c>
      <c r="BE1646" s="1">
        <v>0.0</v>
      </c>
      <c r="BF1646" s="1">
        <v>0.0</v>
      </c>
      <c r="BG1646" s="1">
        <v>0.0</v>
      </c>
      <c r="BH1646" s="1">
        <v>0.0</v>
      </c>
      <c r="BI1646" s="1">
        <v>0.0</v>
      </c>
      <c r="BJ1646" s="1">
        <v>0.0</v>
      </c>
      <c r="BP1646" s="1">
        <v>0.273</v>
      </c>
      <c r="BQ1646" s="1" t="s">
        <v>5452</v>
      </c>
      <c r="BV1646" s="1">
        <v>1.1</v>
      </c>
      <c r="EQ1646" s="9" t="s">
        <v>5451</v>
      </c>
      <c r="ER1646" s="21">
        <v>46045.30097222222</v>
      </c>
    </row>
    <row r="1647">
      <c r="A1647" s="9" t="s">
        <v>5453</v>
      </c>
      <c r="B1647" s="20" t="str">
        <f>IFERROR(__xludf.DUMMYFUNCTION("REGEXREPLACE(A1647, ""^https?://[^/]+"", """")"),"/dont-prescribe-a-sales-solution-before-you-diagnose-the-problem/")</f>
        <v>/dont-prescribe-a-sales-solution-before-you-diagnose-the-problem/</v>
      </c>
      <c r="C1647" s="1" t="s">
        <v>5454</v>
      </c>
      <c r="F1647" s="1" t="s">
        <v>965</v>
      </c>
      <c r="G1647" s="1">
        <v>200.0</v>
      </c>
      <c r="H1647" s="1" t="s">
        <v>966</v>
      </c>
      <c r="I1647" s="1" t="s">
        <v>967</v>
      </c>
      <c r="K1647" s="1" t="s">
        <v>5455</v>
      </c>
      <c r="L1647" s="1">
        <v>89.0</v>
      </c>
      <c r="M1647" s="1">
        <v>805.0</v>
      </c>
      <c r="O1647" s="1">
        <v>0.0</v>
      </c>
      <c r="P1647" s="1">
        <v>0.0</v>
      </c>
      <c r="Q1647" s="1" t="s">
        <v>5456</v>
      </c>
      <c r="R1647" s="1">
        <v>141.0</v>
      </c>
      <c r="S1647" s="1">
        <v>835.0</v>
      </c>
      <c r="U1647" s="1">
        <v>0.0</v>
      </c>
      <c r="V1647" s="1" t="s">
        <v>5454</v>
      </c>
      <c r="W1647" s="1">
        <v>64.0</v>
      </c>
      <c r="Y1647" s="1">
        <v>0.0</v>
      </c>
      <c r="AA1647" s="1">
        <v>0.0</v>
      </c>
      <c r="AC1647" s="1">
        <v>0.0</v>
      </c>
      <c r="AD1647" s="1" t="s">
        <v>971</v>
      </c>
      <c r="AG1647" s="9" t="s">
        <v>5453</v>
      </c>
      <c r="AM1647" s="1">
        <v>199478.0</v>
      </c>
      <c r="AN1647" s="1">
        <v>35223.0</v>
      </c>
      <c r="AO1647" s="1">
        <v>35223.0</v>
      </c>
      <c r="AP1647" s="1">
        <v>13.493</v>
      </c>
      <c r="AR1647" s="1">
        <v>1151.0</v>
      </c>
      <c r="AS1647" s="1">
        <v>176.0</v>
      </c>
      <c r="AT1647" s="1">
        <v>6.54</v>
      </c>
      <c r="AU1647" s="1">
        <v>70.32</v>
      </c>
      <c r="AV1647" s="1" t="s">
        <v>1264</v>
      </c>
      <c r="AW1647" s="1">
        <v>4.663</v>
      </c>
      <c r="AX1647" s="1">
        <v>4.0</v>
      </c>
      <c r="AY1647" s="1">
        <v>1.0</v>
      </c>
      <c r="AZ1647" s="1">
        <v>1.0</v>
      </c>
      <c r="BA1647" s="1">
        <v>24.0</v>
      </c>
      <c r="BB1647" s="1">
        <v>24.0</v>
      </c>
      <c r="BC1647" s="1">
        <v>0.0</v>
      </c>
      <c r="BD1647" s="1">
        <v>3.18</v>
      </c>
      <c r="BE1647" s="1">
        <v>130.0</v>
      </c>
      <c r="BF1647" s="1">
        <v>48.0</v>
      </c>
      <c r="BG1647" s="1">
        <v>0.0</v>
      </c>
      <c r="BH1647" s="1">
        <v>17.0</v>
      </c>
      <c r="BI1647" s="1">
        <v>9.0</v>
      </c>
      <c r="BJ1647" s="1">
        <v>0.0</v>
      </c>
      <c r="BO1647" s="1" t="s">
        <v>5457</v>
      </c>
      <c r="BP1647" s="1">
        <v>1.048</v>
      </c>
      <c r="BU1647" s="1" t="s">
        <v>974</v>
      </c>
      <c r="BV1647" s="1">
        <v>1.1</v>
      </c>
      <c r="EQ1647" s="9" t="s">
        <v>5453</v>
      </c>
      <c r="ER1647" s="21">
        <v>46045.30096064815</v>
      </c>
    </row>
    <row r="1648">
      <c r="A1648" s="9" t="s">
        <v>5458</v>
      </c>
      <c r="B1648" s="20" t="str">
        <f>IFERROR(__xludf.DUMMYFUNCTION("REGEXREPLACE(A1648, ""^https?://[^/]+"", """")"),"/wp-content/themes/salesxceleratione/assets/css/style.css?ver=1769123509")</f>
        <v>/wp-content/themes/salesxceleratione/assets/css/style.css?ver=1769123509</v>
      </c>
      <c r="F1648" s="1" t="s">
        <v>1016</v>
      </c>
      <c r="G1648" s="1">
        <v>200.0</v>
      </c>
      <c r="H1648" s="1" t="s">
        <v>966</v>
      </c>
      <c r="I1648" s="1" t="s">
        <v>967</v>
      </c>
      <c r="L1648" s="1">
        <v>0.0</v>
      </c>
      <c r="M1648" s="1">
        <v>0.0</v>
      </c>
      <c r="O1648" s="1">
        <v>0.0</v>
      </c>
      <c r="P1648" s="1">
        <v>0.0</v>
      </c>
      <c r="R1648" s="1">
        <v>0.0</v>
      </c>
      <c r="S1648" s="1">
        <v>0.0</v>
      </c>
      <c r="U1648" s="1">
        <v>0.0</v>
      </c>
      <c r="W1648" s="1">
        <v>0.0</v>
      </c>
      <c r="Y1648" s="1">
        <v>0.0</v>
      </c>
      <c r="AA1648" s="1">
        <v>0.0</v>
      </c>
      <c r="AC1648" s="1">
        <v>0.0</v>
      </c>
      <c r="AM1648" s="1">
        <v>17704.0</v>
      </c>
      <c r="AN1648" s="1">
        <v>17704.0</v>
      </c>
      <c r="AO1648" s="1">
        <v>17704.0</v>
      </c>
      <c r="AP1648" s="1">
        <v>6.782</v>
      </c>
      <c r="AR1648" s="1">
        <v>0.0</v>
      </c>
      <c r="AW1648" s="1">
        <v>0.0</v>
      </c>
      <c r="AX1648" s="1">
        <v>4.0</v>
      </c>
      <c r="AY1648" s="1">
        <v>5.0</v>
      </c>
      <c r="BA1648" s="1">
        <v>0.0</v>
      </c>
      <c r="BB1648" s="1">
        <v>0.0</v>
      </c>
      <c r="BC1648" s="1">
        <v>0.0</v>
      </c>
      <c r="BD1648" s="1">
        <v>0.0</v>
      </c>
      <c r="BE1648" s="1">
        <v>0.0</v>
      </c>
      <c r="BF1648" s="1">
        <v>0.0</v>
      </c>
      <c r="BG1648" s="1">
        <v>0.0</v>
      </c>
      <c r="BH1648" s="1">
        <v>0.0</v>
      </c>
      <c r="BI1648" s="1">
        <v>0.0</v>
      </c>
      <c r="BJ1648" s="1">
        <v>0.0</v>
      </c>
      <c r="BP1648" s="1">
        <v>0.261</v>
      </c>
      <c r="BQ1648" s="1" t="s">
        <v>3699</v>
      </c>
      <c r="BV1648" s="1">
        <v>1.1</v>
      </c>
      <c r="EQ1648" s="9" t="s">
        <v>5458</v>
      </c>
      <c r="ER1648" s="21">
        <v>46045.30097222222</v>
      </c>
    </row>
    <row r="1649">
      <c r="A1649" s="9" t="s">
        <v>5459</v>
      </c>
      <c r="B1649" s="20" t="str">
        <f>IFERROR(__xludf.DUMMYFUNCTION("REGEXREPLACE(A1649, ""^https?://[^/]+"", """")"),"/dont-be-surprised-by-success-plan-for-growth-and-manage-it/")</f>
        <v>/dont-be-surprised-by-success-plan-for-growth-and-manage-it/</v>
      </c>
      <c r="C1649" s="1" t="s">
        <v>5460</v>
      </c>
      <c r="F1649" s="1" t="s">
        <v>965</v>
      </c>
      <c r="G1649" s="1">
        <v>200.0</v>
      </c>
      <c r="H1649" s="1" t="s">
        <v>966</v>
      </c>
      <c r="I1649" s="1" t="s">
        <v>967</v>
      </c>
      <c r="K1649" s="1" t="s">
        <v>5461</v>
      </c>
      <c r="L1649" s="1">
        <v>72.0</v>
      </c>
      <c r="M1649" s="1">
        <v>637.0</v>
      </c>
      <c r="O1649" s="1">
        <v>0.0</v>
      </c>
      <c r="P1649" s="1">
        <v>0.0</v>
      </c>
      <c r="Q1649" s="1" t="s">
        <v>5462</v>
      </c>
      <c r="R1649" s="1">
        <v>155.0</v>
      </c>
      <c r="S1649" s="1">
        <v>965.0</v>
      </c>
      <c r="U1649" s="1">
        <v>0.0</v>
      </c>
      <c r="V1649" s="1" t="s">
        <v>5460</v>
      </c>
      <c r="W1649" s="1">
        <v>64.0</v>
      </c>
      <c r="Y1649" s="1">
        <v>0.0</v>
      </c>
      <c r="AA1649" s="1">
        <v>0.0</v>
      </c>
      <c r="AC1649" s="1">
        <v>0.0</v>
      </c>
      <c r="AD1649" s="1" t="s">
        <v>971</v>
      </c>
      <c r="AG1649" s="9" t="s">
        <v>5459</v>
      </c>
      <c r="AM1649" s="1">
        <v>201863.0</v>
      </c>
      <c r="AN1649" s="1">
        <v>36495.0</v>
      </c>
      <c r="AO1649" s="1">
        <v>36495.0</v>
      </c>
      <c r="AP1649" s="1">
        <v>13.981</v>
      </c>
      <c r="AR1649" s="1">
        <v>1620.0</v>
      </c>
      <c r="AS1649" s="1">
        <v>243.0</v>
      </c>
      <c r="AT1649" s="1">
        <v>6.667</v>
      </c>
      <c r="AU1649" s="1">
        <v>71.184</v>
      </c>
      <c r="AV1649" s="1" t="s">
        <v>1264</v>
      </c>
      <c r="AW1649" s="1">
        <v>5.968</v>
      </c>
      <c r="AX1649" s="1">
        <v>4.0</v>
      </c>
      <c r="AY1649" s="1">
        <v>1.0</v>
      </c>
      <c r="AZ1649" s="1">
        <v>1.0</v>
      </c>
      <c r="BA1649" s="1">
        <v>2.0</v>
      </c>
      <c r="BB1649" s="1">
        <v>2.0</v>
      </c>
      <c r="BC1649" s="1">
        <v>0.0</v>
      </c>
      <c r="BD1649" s="1">
        <v>0.27</v>
      </c>
      <c r="BE1649" s="1">
        <v>130.0</v>
      </c>
      <c r="BF1649" s="1">
        <v>48.0</v>
      </c>
      <c r="BG1649" s="1">
        <v>0.0</v>
      </c>
      <c r="BH1649" s="1">
        <v>16.0</v>
      </c>
      <c r="BI1649" s="1">
        <v>8.0</v>
      </c>
      <c r="BJ1649" s="1">
        <v>0.0</v>
      </c>
      <c r="BO1649" s="1" t="s">
        <v>5463</v>
      </c>
      <c r="BP1649" s="1">
        <v>0.999</v>
      </c>
      <c r="BU1649" s="1" t="s">
        <v>974</v>
      </c>
      <c r="BV1649" s="1">
        <v>1.1</v>
      </c>
      <c r="EQ1649" s="9" t="s">
        <v>5459</v>
      </c>
      <c r="ER1649" s="21">
        <v>46045.30096064815</v>
      </c>
    </row>
    <row r="1650">
      <c r="A1650" s="9" t="s">
        <v>5464</v>
      </c>
      <c r="B1650" s="20" t="str">
        <f>IFERROR(__xludf.DUMMYFUNCTION("REGEXREPLACE(A1650, ""^https?://[^/]+"", """")"),"/wp-content/uploads/2015/04/Jenga-RS-72-dpi-560-w-2048x2048.jpg")</f>
        <v>/wp-content/uploads/2015/04/Jenga-RS-72-dpi-560-w-2048x2048.jpg</v>
      </c>
      <c r="F1650" s="1" t="s">
        <v>1004</v>
      </c>
      <c r="G1650" s="1">
        <v>200.0</v>
      </c>
      <c r="H1650" s="1" t="s">
        <v>966</v>
      </c>
      <c r="I1650" s="1" t="s">
        <v>967</v>
      </c>
      <c r="L1650" s="1">
        <v>0.0</v>
      </c>
      <c r="M1650" s="1">
        <v>0.0</v>
      </c>
      <c r="O1650" s="1">
        <v>0.0</v>
      </c>
      <c r="P1650" s="1">
        <v>0.0</v>
      </c>
      <c r="R1650" s="1">
        <v>0.0</v>
      </c>
      <c r="S1650" s="1">
        <v>0.0</v>
      </c>
      <c r="U1650" s="1">
        <v>0.0</v>
      </c>
      <c r="W1650" s="1">
        <v>0.0</v>
      </c>
      <c r="Y1650" s="1">
        <v>0.0</v>
      </c>
      <c r="AA1650" s="1">
        <v>0.0</v>
      </c>
      <c r="AC1650" s="1">
        <v>0.0</v>
      </c>
      <c r="AM1650" s="1">
        <v>205796.0</v>
      </c>
      <c r="AN1650" s="1">
        <v>205796.0</v>
      </c>
      <c r="AO1650" s="1">
        <v>205796.0</v>
      </c>
      <c r="AP1650" s="1">
        <v>78.837</v>
      </c>
      <c r="AR1650" s="1">
        <v>0.0</v>
      </c>
      <c r="AW1650" s="1">
        <v>0.0</v>
      </c>
      <c r="AX1650" s="1">
        <v>4.0</v>
      </c>
      <c r="AY1650" s="1">
        <v>4.0</v>
      </c>
      <c r="BA1650" s="1">
        <v>0.0</v>
      </c>
      <c r="BB1650" s="1">
        <v>0.0</v>
      </c>
      <c r="BC1650" s="1">
        <v>0.0</v>
      </c>
      <c r="BD1650" s="1">
        <v>0.0</v>
      </c>
      <c r="BE1650" s="1">
        <v>0.0</v>
      </c>
      <c r="BF1650" s="1">
        <v>0.0</v>
      </c>
      <c r="BG1650" s="1">
        <v>0.0</v>
      </c>
      <c r="BH1650" s="1">
        <v>0.0</v>
      </c>
      <c r="BI1650" s="1">
        <v>0.0</v>
      </c>
      <c r="BJ1650" s="1">
        <v>0.0</v>
      </c>
      <c r="BP1650" s="1">
        <v>0.279</v>
      </c>
      <c r="BQ1650" s="1" t="s">
        <v>5465</v>
      </c>
      <c r="BV1650" s="1">
        <v>1.1</v>
      </c>
      <c r="EQ1650" s="9" t="s">
        <v>5464</v>
      </c>
      <c r="ER1650" s="21">
        <v>46045.30097222222</v>
      </c>
    </row>
    <row r="1651">
      <c r="A1651" s="9" t="s">
        <v>5466</v>
      </c>
      <c r="B1651" s="20" t="str">
        <f>IFERROR(__xludf.DUMMYFUNCTION("REGEXREPLACE(A1651, ""^https?://[^/]+"", """")"),"/wp-content/uploads/2015/04/onboarding-2048x2048.png")</f>
        <v>/wp-content/uploads/2015/04/onboarding-2048x2048.png</v>
      </c>
      <c r="F1651" s="1" t="s">
        <v>1047</v>
      </c>
      <c r="G1651" s="1">
        <v>200.0</v>
      </c>
      <c r="H1651" s="1" t="s">
        <v>966</v>
      </c>
      <c r="I1651" s="1" t="s">
        <v>967</v>
      </c>
      <c r="L1651" s="1">
        <v>0.0</v>
      </c>
      <c r="M1651" s="1">
        <v>0.0</v>
      </c>
      <c r="O1651" s="1">
        <v>0.0</v>
      </c>
      <c r="P1651" s="1">
        <v>0.0</v>
      </c>
      <c r="R1651" s="1">
        <v>0.0</v>
      </c>
      <c r="S1651" s="1">
        <v>0.0</v>
      </c>
      <c r="U1651" s="1">
        <v>0.0</v>
      </c>
      <c r="W1651" s="1">
        <v>0.0</v>
      </c>
      <c r="Y1651" s="1">
        <v>0.0</v>
      </c>
      <c r="AA1651" s="1">
        <v>0.0</v>
      </c>
      <c r="AC1651" s="1">
        <v>0.0</v>
      </c>
      <c r="AM1651" s="1">
        <v>1733263.0</v>
      </c>
      <c r="AN1651" s="1">
        <v>1733263.0</v>
      </c>
      <c r="AO1651" s="1">
        <v>1733263.0</v>
      </c>
      <c r="AP1651" s="1">
        <v>663.98</v>
      </c>
      <c r="AR1651" s="1">
        <v>0.0</v>
      </c>
      <c r="AW1651" s="1">
        <v>0.0</v>
      </c>
      <c r="AX1651" s="1">
        <v>4.0</v>
      </c>
      <c r="AY1651" s="1">
        <v>4.0</v>
      </c>
      <c r="BA1651" s="1">
        <v>0.0</v>
      </c>
      <c r="BB1651" s="1">
        <v>0.0</v>
      </c>
      <c r="BC1651" s="1">
        <v>0.0</v>
      </c>
      <c r="BD1651" s="1">
        <v>0.0</v>
      </c>
      <c r="BE1651" s="1">
        <v>0.0</v>
      </c>
      <c r="BF1651" s="1">
        <v>0.0</v>
      </c>
      <c r="BG1651" s="1">
        <v>0.0</v>
      </c>
      <c r="BH1651" s="1">
        <v>0.0</v>
      </c>
      <c r="BI1651" s="1">
        <v>0.0</v>
      </c>
      <c r="BJ1651" s="1">
        <v>0.0</v>
      </c>
      <c r="BP1651" s="1">
        <v>0.272</v>
      </c>
      <c r="BQ1651" s="1" t="s">
        <v>5467</v>
      </c>
      <c r="BV1651" s="1">
        <v>1.1</v>
      </c>
      <c r="EQ1651" s="9" t="s">
        <v>5466</v>
      </c>
      <c r="ER1651" s="21">
        <v>46045.30097222222</v>
      </c>
    </row>
    <row r="1652">
      <c r="A1652" s="9" t="s">
        <v>5468</v>
      </c>
      <c r="B1652" s="20" t="str">
        <f>IFERROR(__xludf.DUMMYFUNCTION("REGEXREPLACE(A1652, ""^https?://[^/]+"", """")"),"/wp-content/uploads/2015/01/yah5-2048x2048.jpg")</f>
        <v>/wp-content/uploads/2015/01/yah5-2048x2048.jpg</v>
      </c>
      <c r="F1652" s="1" t="s">
        <v>1004</v>
      </c>
      <c r="G1652" s="1">
        <v>200.0</v>
      </c>
      <c r="H1652" s="1" t="s">
        <v>966</v>
      </c>
      <c r="I1652" s="1" t="s">
        <v>967</v>
      </c>
      <c r="L1652" s="1">
        <v>0.0</v>
      </c>
      <c r="M1652" s="1">
        <v>0.0</v>
      </c>
      <c r="O1652" s="1">
        <v>0.0</v>
      </c>
      <c r="P1652" s="1">
        <v>0.0</v>
      </c>
      <c r="R1652" s="1">
        <v>0.0</v>
      </c>
      <c r="S1652" s="1">
        <v>0.0</v>
      </c>
      <c r="U1652" s="1">
        <v>0.0</v>
      </c>
      <c r="W1652" s="1">
        <v>0.0</v>
      </c>
      <c r="Y1652" s="1">
        <v>0.0</v>
      </c>
      <c r="AA1652" s="1">
        <v>0.0</v>
      </c>
      <c r="AC1652" s="1">
        <v>0.0</v>
      </c>
      <c r="AM1652" s="1">
        <v>150656.0</v>
      </c>
      <c r="AN1652" s="1">
        <v>150656.0</v>
      </c>
      <c r="AO1652" s="1">
        <v>150656.0</v>
      </c>
      <c r="AP1652" s="1">
        <v>57.713</v>
      </c>
      <c r="AR1652" s="1">
        <v>0.0</v>
      </c>
      <c r="AW1652" s="1">
        <v>0.0</v>
      </c>
      <c r="AX1652" s="1">
        <v>4.0</v>
      </c>
      <c r="AY1652" s="1">
        <v>4.0</v>
      </c>
      <c r="BA1652" s="1">
        <v>0.0</v>
      </c>
      <c r="BB1652" s="1">
        <v>0.0</v>
      </c>
      <c r="BC1652" s="1">
        <v>0.0</v>
      </c>
      <c r="BD1652" s="1">
        <v>0.0</v>
      </c>
      <c r="BE1652" s="1">
        <v>0.0</v>
      </c>
      <c r="BF1652" s="1">
        <v>0.0</v>
      </c>
      <c r="BG1652" s="1">
        <v>0.0</v>
      </c>
      <c r="BH1652" s="1">
        <v>0.0</v>
      </c>
      <c r="BI1652" s="1">
        <v>0.0</v>
      </c>
      <c r="BJ1652" s="1">
        <v>0.0</v>
      </c>
      <c r="BP1652" s="1">
        <v>0.282</v>
      </c>
      <c r="BQ1652" s="1" t="s">
        <v>5469</v>
      </c>
      <c r="BV1652" s="1">
        <v>1.1</v>
      </c>
      <c r="EQ1652" s="9" t="s">
        <v>5468</v>
      </c>
      <c r="ER1652" s="21">
        <v>46045.30097222222</v>
      </c>
    </row>
    <row r="1653">
      <c r="A1653" s="9" t="s">
        <v>5470</v>
      </c>
      <c r="B1653" s="20" t="str">
        <f>IFERROR(__xludf.DUMMYFUNCTION("REGEXREPLACE(A1653, ""^https?://[^/]+"", """")"),"/how-leaders-create-sales-action-plans-to-improve-the-bottom-line/")</f>
        <v>/how-leaders-create-sales-action-plans-to-improve-the-bottom-line/</v>
      </c>
      <c r="C1653" s="1" t="s">
        <v>5471</v>
      </c>
      <c r="F1653" s="1" t="s">
        <v>965</v>
      </c>
      <c r="G1653" s="1">
        <v>200.0</v>
      </c>
      <c r="H1653" s="1" t="s">
        <v>966</v>
      </c>
      <c r="I1653" s="1" t="s">
        <v>967</v>
      </c>
      <c r="K1653" s="1" t="s">
        <v>5472</v>
      </c>
      <c r="L1653" s="1">
        <v>89.0</v>
      </c>
      <c r="M1653" s="1">
        <v>817.0</v>
      </c>
      <c r="O1653" s="1">
        <v>0.0</v>
      </c>
      <c r="P1653" s="1">
        <v>0.0</v>
      </c>
      <c r="Q1653" s="1" t="s">
        <v>5473</v>
      </c>
      <c r="R1653" s="1">
        <v>170.0</v>
      </c>
      <c r="S1653" s="1">
        <v>1031.0</v>
      </c>
      <c r="U1653" s="1">
        <v>0.0</v>
      </c>
      <c r="V1653" s="1" t="s">
        <v>5471</v>
      </c>
      <c r="W1653" s="1">
        <v>64.0</v>
      </c>
      <c r="Y1653" s="1">
        <v>0.0</v>
      </c>
      <c r="AA1653" s="1">
        <v>0.0</v>
      </c>
      <c r="AC1653" s="1">
        <v>0.0</v>
      </c>
      <c r="AD1653" s="1" t="s">
        <v>971</v>
      </c>
      <c r="AG1653" s="9" t="s">
        <v>5470</v>
      </c>
      <c r="AM1653" s="1">
        <v>203161.0</v>
      </c>
      <c r="AN1653" s="1">
        <v>36769.0</v>
      </c>
      <c r="AO1653" s="1">
        <v>36769.0</v>
      </c>
      <c r="AP1653" s="1">
        <v>14.086</v>
      </c>
      <c r="AR1653" s="1">
        <v>1499.0</v>
      </c>
      <c r="AS1653" s="1">
        <v>224.0</v>
      </c>
      <c r="AT1653" s="1">
        <v>6.692</v>
      </c>
      <c r="AU1653" s="1">
        <v>70.293</v>
      </c>
      <c r="AV1653" s="1" t="s">
        <v>1264</v>
      </c>
      <c r="AW1653" s="1">
        <v>5.605</v>
      </c>
      <c r="AX1653" s="1">
        <v>4.0</v>
      </c>
      <c r="AY1653" s="1">
        <v>1.0</v>
      </c>
      <c r="AZ1653" s="1">
        <v>1.0</v>
      </c>
      <c r="BA1653" s="1">
        <v>9.0</v>
      </c>
      <c r="BB1653" s="1">
        <v>9.0</v>
      </c>
      <c r="BC1653" s="1">
        <v>0.0</v>
      </c>
      <c r="BD1653" s="1">
        <v>1.19</v>
      </c>
      <c r="BE1653" s="1">
        <v>135.0</v>
      </c>
      <c r="BF1653" s="1">
        <v>53.0</v>
      </c>
      <c r="BG1653" s="1">
        <v>0.0</v>
      </c>
      <c r="BH1653" s="1">
        <v>16.0</v>
      </c>
      <c r="BI1653" s="1">
        <v>8.0</v>
      </c>
      <c r="BJ1653" s="1">
        <v>0.0</v>
      </c>
      <c r="BO1653" s="1" t="s">
        <v>5474</v>
      </c>
      <c r="BP1653" s="1">
        <v>1.029</v>
      </c>
      <c r="BU1653" s="1" t="s">
        <v>974</v>
      </c>
      <c r="BV1653" s="1">
        <v>1.1</v>
      </c>
      <c r="EQ1653" s="9" t="s">
        <v>5470</v>
      </c>
      <c r="ER1653" s="21">
        <v>46045.30097222222</v>
      </c>
    </row>
    <row r="1654">
      <c r="A1654" s="9" t="s">
        <v>5475</v>
      </c>
      <c r="B1654" s="20" t="str">
        <f>IFERROR(__xludf.DUMMYFUNCTION("REGEXREPLACE(A1654, ""^https?://[^/]+"", """")"),"/wp-content/themes/salesxceleratione/assets/css/style.css?ver=1769123510")</f>
        <v>/wp-content/themes/salesxceleratione/assets/css/style.css?ver=1769123510</v>
      </c>
      <c r="F1654" s="1" t="s">
        <v>1016</v>
      </c>
      <c r="G1654" s="1">
        <v>200.0</v>
      </c>
      <c r="H1654" s="1" t="s">
        <v>966</v>
      </c>
      <c r="I1654" s="1" t="s">
        <v>967</v>
      </c>
      <c r="L1654" s="1">
        <v>0.0</v>
      </c>
      <c r="M1654" s="1">
        <v>0.0</v>
      </c>
      <c r="O1654" s="1">
        <v>0.0</v>
      </c>
      <c r="P1654" s="1">
        <v>0.0</v>
      </c>
      <c r="R1654" s="1">
        <v>0.0</v>
      </c>
      <c r="S1654" s="1">
        <v>0.0</v>
      </c>
      <c r="U1654" s="1">
        <v>0.0</v>
      </c>
      <c r="W1654" s="1">
        <v>0.0</v>
      </c>
      <c r="Y1654" s="1">
        <v>0.0</v>
      </c>
      <c r="AA1654" s="1">
        <v>0.0</v>
      </c>
      <c r="AC1654" s="1">
        <v>0.0</v>
      </c>
      <c r="AM1654" s="1">
        <v>17704.0</v>
      </c>
      <c r="AN1654" s="1">
        <v>17704.0</v>
      </c>
      <c r="AO1654" s="1">
        <v>17704.0</v>
      </c>
      <c r="AP1654" s="1">
        <v>6.782</v>
      </c>
      <c r="AR1654" s="1">
        <v>0.0</v>
      </c>
      <c r="AW1654" s="1">
        <v>0.0</v>
      </c>
      <c r="AX1654" s="1">
        <v>4.0</v>
      </c>
      <c r="AY1654" s="1">
        <v>5.0</v>
      </c>
      <c r="BA1654" s="1">
        <v>0.0</v>
      </c>
      <c r="BB1654" s="1">
        <v>0.0</v>
      </c>
      <c r="BC1654" s="1">
        <v>0.0</v>
      </c>
      <c r="BD1654" s="1">
        <v>0.0</v>
      </c>
      <c r="BE1654" s="1">
        <v>0.0</v>
      </c>
      <c r="BF1654" s="1">
        <v>0.0</v>
      </c>
      <c r="BG1654" s="1">
        <v>0.0</v>
      </c>
      <c r="BH1654" s="1">
        <v>0.0</v>
      </c>
      <c r="BI1654" s="1">
        <v>0.0</v>
      </c>
      <c r="BJ1654" s="1">
        <v>0.0</v>
      </c>
      <c r="BP1654" s="1">
        <v>0.274</v>
      </c>
      <c r="BQ1654" s="1" t="s">
        <v>5476</v>
      </c>
      <c r="BV1654" s="1">
        <v>1.1</v>
      </c>
      <c r="EQ1654" s="9" t="s">
        <v>5475</v>
      </c>
      <c r="ER1654" s="21">
        <v>46045.300983796296</v>
      </c>
    </row>
    <row r="1655">
      <c r="A1655" s="9" t="s">
        <v>5477</v>
      </c>
      <c r="B1655" s="20" t="str">
        <f>IFERROR(__xludf.DUMMYFUNCTION("REGEXREPLACE(A1655, ""^https?://[^/]+"", """")"),"/is-it-time-to-put-your-pipeline-on-a-diet/")</f>
        <v>/is-it-time-to-put-your-pipeline-on-a-diet/</v>
      </c>
      <c r="C1655" s="1" t="s">
        <v>5478</v>
      </c>
      <c r="F1655" s="1" t="s">
        <v>965</v>
      </c>
      <c r="G1655" s="1">
        <v>200.0</v>
      </c>
      <c r="H1655" s="1" t="s">
        <v>966</v>
      </c>
      <c r="I1655" s="1" t="s">
        <v>967</v>
      </c>
      <c r="K1655" s="1" t="s">
        <v>5479</v>
      </c>
      <c r="L1655" s="1">
        <v>67.0</v>
      </c>
      <c r="M1655" s="1">
        <v>573.0</v>
      </c>
      <c r="O1655" s="1">
        <v>0.0</v>
      </c>
      <c r="P1655" s="1">
        <v>0.0</v>
      </c>
      <c r="Q1655" s="1" t="s">
        <v>5480</v>
      </c>
      <c r="R1655" s="1">
        <v>152.0</v>
      </c>
      <c r="S1655" s="1">
        <v>887.0</v>
      </c>
      <c r="U1655" s="1">
        <v>0.0</v>
      </c>
      <c r="V1655" s="1" t="s">
        <v>5478</v>
      </c>
      <c r="W1655" s="1">
        <v>42.0</v>
      </c>
      <c r="Y1655" s="1">
        <v>0.0</v>
      </c>
      <c r="AA1655" s="1">
        <v>0.0</v>
      </c>
      <c r="AC1655" s="1">
        <v>0.0</v>
      </c>
      <c r="AD1655" s="1" t="s">
        <v>971</v>
      </c>
      <c r="AG1655" s="9" t="s">
        <v>5477</v>
      </c>
      <c r="AM1655" s="1">
        <v>203201.0</v>
      </c>
      <c r="AN1655" s="1">
        <v>36945.0</v>
      </c>
      <c r="AO1655" s="1">
        <v>36945.0</v>
      </c>
      <c r="AP1655" s="1">
        <v>14.153</v>
      </c>
      <c r="AR1655" s="1">
        <v>1622.0</v>
      </c>
      <c r="AS1655" s="1">
        <v>234.0</v>
      </c>
      <c r="AT1655" s="1">
        <v>6.932</v>
      </c>
      <c r="AU1655" s="1">
        <v>66.745</v>
      </c>
      <c r="AV1655" s="1" t="s">
        <v>990</v>
      </c>
      <c r="AW1655" s="1">
        <v>6.031</v>
      </c>
      <c r="AX1655" s="1">
        <v>4.0</v>
      </c>
      <c r="AY1655" s="1">
        <v>1.0</v>
      </c>
      <c r="AZ1655" s="1">
        <v>1.0</v>
      </c>
      <c r="BA1655" s="1">
        <v>6.0</v>
      </c>
      <c r="BB1655" s="1">
        <v>6.0</v>
      </c>
      <c r="BC1655" s="1">
        <v>0.0</v>
      </c>
      <c r="BD1655" s="1">
        <v>0.8</v>
      </c>
      <c r="BE1655" s="1">
        <v>135.0</v>
      </c>
      <c r="BF1655" s="1">
        <v>51.0</v>
      </c>
      <c r="BG1655" s="1">
        <v>0.0</v>
      </c>
      <c r="BH1655" s="1">
        <v>16.0</v>
      </c>
      <c r="BI1655" s="1">
        <v>8.0</v>
      </c>
      <c r="BJ1655" s="1">
        <v>0.0</v>
      </c>
      <c r="BO1655" s="1" t="s">
        <v>5481</v>
      </c>
      <c r="BP1655" s="1">
        <v>1.024</v>
      </c>
      <c r="BU1655" s="1" t="s">
        <v>974</v>
      </c>
      <c r="BV1655" s="1">
        <v>1.1</v>
      </c>
      <c r="EQ1655" s="9" t="s">
        <v>5477</v>
      </c>
      <c r="ER1655" s="21">
        <v>46045.30097222222</v>
      </c>
    </row>
    <row r="1656">
      <c r="A1656" s="9" t="s">
        <v>5482</v>
      </c>
      <c r="B1656" s="20" t="str">
        <f>IFERROR(__xludf.DUMMYFUNCTION("REGEXREPLACE(A1656, ""^https?://[^/]+"", """")"),"/wp-content/uploads/2015/04/managers-selling-2048x2048.png")</f>
        <v>/wp-content/uploads/2015/04/managers-selling-2048x2048.png</v>
      </c>
      <c r="F1656" s="1" t="s">
        <v>1047</v>
      </c>
      <c r="G1656" s="1">
        <v>200.0</v>
      </c>
      <c r="H1656" s="1" t="s">
        <v>966</v>
      </c>
      <c r="I1656" s="1" t="s">
        <v>967</v>
      </c>
      <c r="L1656" s="1">
        <v>0.0</v>
      </c>
      <c r="M1656" s="1">
        <v>0.0</v>
      </c>
      <c r="O1656" s="1">
        <v>0.0</v>
      </c>
      <c r="P1656" s="1">
        <v>0.0</v>
      </c>
      <c r="R1656" s="1">
        <v>0.0</v>
      </c>
      <c r="S1656" s="1">
        <v>0.0</v>
      </c>
      <c r="U1656" s="1">
        <v>0.0</v>
      </c>
      <c r="W1656" s="1">
        <v>0.0</v>
      </c>
      <c r="Y1656" s="1">
        <v>0.0</v>
      </c>
      <c r="AA1656" s="1">
        <v>0.0</v>
      </c>
      <c r="AC1656" s="1">
        <v>0.0</v>
      </c>
      <c r="AM1656" s="1">
        <v>1666534.0</v>
      </c>
      <c r="AN1656" s="1">
        <v>1666534.0</v>
      </c>
      <c r="AO1656" s="1">
        <v>1666534.0</v>
      </c>
      <c r="AP1656" s="1">
        <v>638.418</v>
      </c>
      <c r="AR1656" s="1">
        <v>0.0</v>
      </c>
      <c r="AW1656" s="1">
        <v>0.0</v>
      </c>
      <c r="AX1656" s="1">
        <v>4.0</v>
      </c>
      <c r="AY1656" s="1">
        <v>4.0</v>
      </c>
      <c r="BA1656" s="1">
        <v>0.0</v>
      </c>
      <c r="BB1656" s="1">
        <v>0.0</v>
      </c>
      <c r="BC1656" s="1">
        <v>0.0</v>
      </c>
      <c r="BD1656" s="1">
        <v>0.0</v>
      </c>
      <c r="BE1656" s="1">
        <v>0.0</v>
      </c>
      <c r="BF1656" s="1">
        <v>0.0</v>
      </c>
      <c r="BG1656" s="1">
        <v>0.0</v>
      </c>
      <c r="BH1656" s="1">
        <v>0.0</v>
      </c>
      <c r="BI1656" s="1">
        <v>0.0</v>
      </c>
      <c r="BJ1656" s="1">
        <v>0.0</v>
      </c>
      <c r="BP1656" s="1">
        <v>0.27</v>
      </c>
      <c r="BQ1656" s="1" t="s">
        <v>5483</v>
      </c>
      <c r="BV1656" s="1">
        <v>1.1</v>
      </c>
      <c r="EQ1656" s="9" t="s">
        <v>5482</v>
      </c>
      <c r="ER1656" s="21">
        <v>46045.300983796296</v>
      </c>
    </row>
    <row r="1657">
      <c r="A1657" s="9" t="s">
        <v>5484</v>
      </c>
      <c r="B1657" s="20" t="str">
        <f>IFERROR(__xludf.DUMMYFUNCTION("REGEXREPLACE(A1657, ""^https?://[^/]+"", """")"),"/wp-content/uploads/2014/02/onboarding.jpg")</f>
        <v>/wp-content/uploads/2014/02/onboarding.jpg</v>
      </c>
      <c r="F1657" s="1" t="s">
        <v>1004</v>
      </c>
      <c r="G1657" s="1">
        <v>200.0</v>
      </c>
      <c r="H1657" s="1" t="s">
        <v>966</v>
      </c>
      <c r="I1657" s="1" t="s">
        <v>967</v>
      </c>
      <c r="L1657" s="1">
        <v>0.0</v>
      </c>
      <c r="M1657" s="1">
        <v>0.0</v>
      </c>
      <c r="O1657" s="1">
        <v>0.0</v>
      </c>
      <c r="P1657" s="1">
        <v>0.0</v>
      </c>
      <c r="R1657" s="1">
        <v>0.0</v>
      </c>
      <c r="S1657" s="1">
        <v>0.0</v>
      </c>
      <c r="U1657" s="1">
        <v>0.0</v>
      </c>
      <c r="W1657" s="1">
        <v>0.0</v>
      </c>
      <c r="Y1657" s="1">
        <v>0.0</v>
      </c>
      <c r="AA1657" s="1">
        <v>0.0</v>
      </c>
      <c r="AC1657" s="1">
        <v>0.0</v>
      </c>
      <c r="AM1657" s="1">
        <v>98154.0</v>
      </c>
      <c r="AN1657" s="1">
        <v>98154.0</v>
      </c>
      <c r="AO1657" s="1">
        <v>98154.0</v>
      </c>
      <c r="AP1657" s="1">
        <v>37.601</v>
      </c>
      <c r="AR1657" s="1">
        <v>0.0</v>
      </c>
      <c r="AW1657" s="1">
        <v>0.0</v>
      </c>
      <c r="AX1657" s="1">
        <v>4.0</v>
      </c>
      <c r="AY1657" s="1">
        <v>4.0</v>
      </c>
      <c r="BA1657" s="1">
        <v>0.0</v>
      </c>
      <c r="BB1657" s="1">
        <v>0.0</v>
      </c>
      <c r="BC1657" s="1">
        <v>0.0</v>
      </c>
      <c r="BD1657" s="1">
        <v>0.0</v>
      </c>
      <c r="BE1657" s="1">
        <v>0.0</v>
      </c>
      <c r="BF1657" s="1">
        <v>0.0</v>
      </c>
      <c r="BG1657" s="1">
        <v>0.0</v>
      </c>
      <c r="BH1657" s="1">
        <v>0.0</v>
      </c>
      <c r="BI1657" s="1">
        <v>0.0</v>
      </c>
      <c r="BJ1657" s="1">
        <v>0.0</v>
      </c>
      <c r="BP1657" s="1">
        <v>0.26</v>
      </c>
      <c r="BQ1657" s="1" t="s">
        <v>5485</v>
      </c>
      <c r="BV1657" s="1">
        <v>1.1</v>
      </c>
      <c r="EQ1657" s="9" t="s">
        <v>5484</v>
      </c>
      <c r="ER1657" s="21">
        <v>46045.300983796296</v>
      </c>
    </row>
    <row r="1658">
      <c r="A1658" s="9" t="s">
        <v>5486</v>
      </c>
      <c r="B1658" s="20" t="str">
        <f>IFERROR(__xludf.DUMMYFUNCTION("REGEXREPLACE(A1658, ""^https?://[^/]+"", """")"),"/wp-content/uploads/2015/03/hire-salespeople-keep-them-sales-xcleration-2048x2048.png")</f>
        <v>/wp-content/uploads/2015/03/hire-salespeople-keep-them-sales-xcleration-2048x2048.png</v>
      </c>
      <c r="F1658" s="1" t="s">
        <v>1047</v>
      </c>
      <c r="G1658" s="1">
        <v>200.0</v>
      </c>
      <c r="H1658" s="1" t="s">
        <v>966</v>
      </c>
      <c r="I1658" s="1" t="s">
        <v>967</v>
      </c>
      <c r="L1658" s="1">
        <v>0.0</v>
      </c>
      <c r="M1658" s="1">
        <v>0.0</v>
      </c>
      <c r="O1658" s="1">
        <v>0.0</v>
      </c>
      <c r="P1658" s="1">
        <v>0.0</v>
      </c>
      <c r="R1658" s="1">
        <v>0.0</v>
      </c>
      <c r="S1658" s="1">
        <v>0.0</v>
      </c>
      <c r="U1658" s="1">
        <v>0.0</v>
      </c>
      <c r="W1658" s="1">
        <v>0.0</v>
      </c>
      <c r="Y1658" s="1">
        <v>0.0</v>
      </c>
      <c r="AA1658" s="1">
        <v>0.0</v>
      </c>
      <c r="AC1658" s="1">
        <v>0.0</v>
      </c>
      <c r="AM1658" s="1">
        <v>1505308.0</v>
      </c>
      <c r="AN1658" s="1">
        <v>1505308.0</v>
      </c>
      <c r="AO1658" s="1">
        <v>1505308.0</v>
      </c>
      <c r="AP1658" s="1">
        <v>576.655</v>
      </c>
      <c r="AR1658" s="1">
        <v>0.0</v>
      </c>
      <c r="AW1658" s="1">
        <v>0.0</v>
      </c>
      <c r="AX1658" s="1">
        <v>4.0</v>
      </c>
      <c r="AY1658" s="1">
        <v>4.0</v>
      </c>
      <c r="BA1658" s="1">
        <v>0.0</v>
      </c>
      <c r="BB1658" s="1">
        <v>0.0</v>
      </c>
      <c r="BC1658" s="1">
        <v>0.0</v>
      </c>
      <c r="BD1658" s="1">
        <v>0.0</v>
      </c>
      <c r="BE1658" s="1">
        <v>0.0</v>
      </c>
      <c r="BF1658" s="1">
        <v>0.0</v>
      </c>
      <c r="BG1658" s="1">
        <v>0.0</v>
      </c>
      <c r="BH1658" s="1">
        <v>0.0</v>
      </c>
      <c r="BI1658" s="1">
        <v>0.0</v>
      </c>
      <c r="BJ1658" s="1">
        <v>0.0</v>
      </c>
      <c r="BP1658" s="1">
        <v>0.258</v>
      </c>
      <c r="BQ1658" s="1" t="s">
        <v>5487</v>
      </c>
      <c r="BV1658" s="1">
        <v>1.1</v>
      </c>
      <c r="EQ1658" s="9" t="s">
        <v>5486</v>
      </c>
      <c r="ER1658" s="21">
        <v>46045.300983796296</v>
      </c>
    </row>
    <row r="1659">
      <c r="A1659" s="9" t="s">
        <v>5488</v>
      </c>
      <c r="B1659" s="20" t="str">
        <f>IFERROR(__xludf.DUMMYFUNCTION("REGEXREPLACE(A1659, ""^https?://[^/]+"", """")"),"/hire-great-salespeople-retain-them/")</f>
        <v>/hire-great-salespeople-retain-them/</v>
      </c>
      <c r="C1659" s="1" t="s">
        <v>5489</v>
      </c>
      <c r="F1659" s="1" t="s">
        <v>965</v>
      </c>
      <c r="G1659" s="1">
        <v>200.0</v>
      </c>
      <c r="H1659" s="1" t="s">
        <v>966</v>
      </c>
      <c r="I1659" s="1" t="s">
        <v>967</v>
      </c>
      <c r="K1659" s="1" t="s">
        <v>5490</v>
      </c>
      <c r="L1659" s="1">
        <v>71.0</v>
      </c>
      <c r="M1659" s="1">
        <v>647.0</v>
      </c>
      <c r="O1659" s="1">
        <v>0.0</v>
      </c>
      <c r="P1659" s="1">
        <v>0.0</v>
      </c>
      <c r="Q1659" s="1" t="s">
        <v>5491</v>
      </c>
      <c r="R1659" s="1">
        <v>124.0</v>
      </c>
      <c r="S1659" s="1">
        <v>765.0</v>
      </c>
      <c r="U1659" s="1">
        <v>0.0</v>
      </c>
      <c r="V1659" s="1" t="s">
        <v>5489</v>
      </c>
      <c r="W1659" s="1">
        <v>46.0</v>
      </c>
      <c r="Y1659" s="1">
        <v>0.0</v>
      </c>
      <c r="AA1659" s="1">
        <v>0.0</v>
      </c>
      <c r="AC1659" s="1">
        <v>0.0</v>
      </c>
      <c r="AD1659" s="1" t="s">
        <v>971</v>
      </c>
      <c r="AG1659" s="9" t="s">
        <v>5488</v>
      </c>
      <c r="AM1659" s="1">
        <v>200247.0</v>
      </c>
      <c r="AN1659" s="1">
        <v>35823.0</v>
      </c>
      <c r="AO1659" s="1">
        <v>35823.0</v>
      </c>
      <c r="AP1659" s="1">
        <v>13.723</v>
      </c>
      <c r="AR1659" s="1">
        <v>1389.0</v>
      </c>
      <c r="AS1659" s="1">
        <v>208.0</v>
      </c>
      <c r="AT1659" s="1">
        <v>6.678</v>
      </c>
      <c r="AU1659" s="1">
        <v>65.635</v>
      </c>
      <c r="AV1659" s="1" t="s">
        <v>990</v>
      </c>
      <c r="AW1659" s="1">
        <v>5.437</v>
      </c>
      <c r="AX1659" s="1">
        <v>4.0</v>
      </c>
      <c r="AY1659" s="1">
        <v>1.0</v>
      </c>
      <c r="AZ1659" s="1">
        <v>1.0</v>
      </c>
      <c r="BA1659" s="1">
        <v>35.0</v>
      </c>
      <c r="BB1659" s="1">
        <v>35.0</v>
      </c>
      <c r="BC1659" s="1">
        <v>0.0</v>
      </c>
      <c r="BD1659" s="1">
        <v>4.64</v>
      </c>
      <c r="BE1659" s="1">
        <v>130.0</v>
      </c>
      <c r="BF1659" s="1">
        <v>48.0</v>
      </c>
      <c r="BG1659" s="1">
        <v>0.0</v>
      </c>
      <c r="BH1659" s="1">
        <v>16.0</v>
      </c>
      <c r="BI1659" s="1">
        <v>8.0</v>
      </c>
      <c r="BJ1659" s="1">
        <v>0.0</v>
      </c>
      <c r="BO1659" s="1" t="s">
        <v>5492</v>
      </c>
      <c r="BP1659" s="1">
        <v>0.992</v>
      </c>
      <c r="BU1659" s="1" t="s">
        <v>974</v>
      </c>
      <c r="BV1659" s="1">
        <v>1.1</v>
      </c>
      <c r="EQ1659" s="9" t="s">
        <v>5488</v>
      </c>
      <c r="ER1659" s="21">
        <v>46045.30097222222</v>
      </c>
    </row>
    <row r="1660">
      <c r="A1660" s="9" t="s">
        <v>5493</v>
      </c>
      <c r="B1660" s="20" t="str">
        <f>IFERROR(__xludf.DUMMYFUNCTION("REGEXREPLACE(A1660, ""^https?://[^/]+"", """")"),"/wp-content/uploads/2014/11/one-two-punch-2048x2048.png")</f>
        <v>/wp-content/uploads/2014/11/one-two-punch-2048x2048.png</v>
      </c>
      <c r="F1660" s="1" t="s">
        <v>1047</v>
      </c>
      <c r="G1660" s="1">
        <v>200.0</v>
      </c>
      <c r="H1660" s="1" t="s">
        <v>966</v>
      </c>
      <c r="I1660" s="1" t="s">
        <v>967</v>
      </c>
      <c r="L1660" s="1">
        <v>0.0</v>
      </c>
      <c r="M1660" s="1">
        <v>0.0</v>
      </c>
      <c r="O1660" s="1">
        <v>0.0</v>
      </c>
      <c r="P1660" s="1">
        <v>0.0</v>
      </c>
      <c r="R1660" s="1">
        <v>0.0</v>
      </c>
      <c r="S1660" s="1">
        <v>0.0</v>
      </c>
      <c r="U1660" s="1">
        <v>0.0</v>
      </c>
      <c r="W1660" s="1">
        <v>0.0</v>
      </c>
      <c r="Y1660" s="1">
        <v>0.0</v>
      </c>
      <c r="AA1660" s="1">
        <v>0.0</v>
      </c>
      <c r="AC1660" s="1">
        <v>0.0</v>
      </c>
      <c r="AM1660" s="1">
        <v>1633640.0</v>
      </c>
      <c r="AN1660" s="1">
        <v>1633640.0</v>
      </c>
      <c r="AO1660" s="1">
        <v>1633640.0</v>
      </c>
      <c r="AP1660" s="1">
        <v>625.816</v>
      </c>
      <c r="AR1660" s="1">
        <v>0.0</v>
      </c>
      <c r="AW1660" s="1">
        <v>0.0</v>
      </c>
      <c r="AX1660" s="1">
        <v>4.0</v>
      </c>
      <c r="AY1660" s="1">
        <v>4.0</v>
      </c>
      <c r="BA1660" s="1">
        <v>0.0</v>
      </c>
      <c r="BB1660" s="1">
        <v>0.0</v>
      </c>
      <c r="BC1660" s="1">
        <v>0.0</v>
      </c>
      <c r="BD1660" s="1">
        <v>0.0</v>
      </c>
      <c r="BE1660" s="1">
        <v>0.0</v>
      </c>
      <c r="BF1660" s="1">
        <v>0.0</v>
      </c>
      <c r="BG1660" s="1">
        <v>0.0</v>
      </c>
      <c r="BH1660" s="1">
        <v>0.0</v>
      </c>
      <c r="BI1660" s="1">
        <v>0.0</v>
      </c>
      <c r="BJ1660" s="1">
        <v>0.0</v>
      </c>
      <c r="BP1660" s="1">
        <v>0.269</v>
      </c>
      <c r="BQ1660" s="1" t="s">
        <v>5494</v>
      </c>
      <c r="BV1660" s="1">
        <v>1.1</v>
      </c>
      <c r="EQ1660" s="9" t="s">
        <v>5493</v>
      </c>
      <c r="ER1660" s="21">
        <v>46045.30099537037</v>
      </c>
    </row>
    <row r="1661">
      <c r="A1661" s="9" t="s">
        <v>5495</v>
      </c>
      <c r="B1661" s="20" t="str">
        <f>IFERROR(__xludf.DUMMYFUNCTION("REGEXREPLACE(A1661, ""^https?://[^/]+"", """")"),"/is-your-sales-manager-still-selling-big-mistake-heres-why/")</f>
        <v>/is-your-sales-manager-still-selling-big-mistake-heres-why/</v>
      </c>
      <c r="C1661" s="1" t="s">
        <v>5496</v>
      </c>
      <c r="F1661" s="1" t="s">
        <v>965</v>
      </c>
      <c r="G1661" s="1">
        <v>200.0</v>
      </c>
      <c r="H1661" s="1" t="s">
        <v>966</v>
      </c>
      <c r="I1661" s="1" t="s">
        <v>967</v>
      </c>
      <c r="K1661" s="1" t="s">
        <v>5497</v>
      </c>
      <c r="L1661" s="1">
        <v>86.0</v>
      </c>
      <c r="M1661" s="1">
        <v>751.0</v>
      </c>
      <c r="O1661" s="1">
        <v>0.0</v>
      </c>
      <c r="P1661" s="1">
        <v>0.0</v>
      </c>
      <c r="Q1661" s="1" t="s">
        <v>5498</v>
      </c>
      <c r="R1661" s="1">
        <v>150.0</v>
      </c>
      <c r="S1661" s="1">
        <v>916.0</v>
      </c>
      <c r="U1661" s="1">
        <v>0.0</v>
      </c>
      <c r="V1661" s="1" t="s">
        <v>5496</v>
      </c>
      <c r="W1661" s="1">
        <v>61.0</v>
      </c>
      <c r="Y1661" s="1">
        <v>0.0</v>
      </c>
      <c r="AA1661" s="1">
        <v>0.0</v>
      </c>
      <c r="AC1661" s="1">
        <v>0.0</v>
      </c>
      <c r="AD1661" s="1" t="s">
        <v>971</v>
      </c>
      <c r="AG1661" s="9" t="s">
        <v>5495</v>
      </c>
      <c r="AM1661" s="1">
        <v>201097.0</v>
      </c>
      <c r="AN1661" s="1">
        <v>35767.0</v>
      </c>
      <c r="AO1661" s="1">
        <v>35767.0</v>
      </c>
      <c r="AP1661" s="1">
        <v>13.702</v>
      </c>
      <c r="AR1661" s="1">
        <v>1292.0</v>
      </c>
      <c r="AS1661" s="1">
        <v>191.0</v>
      </c>
      <c r="AT1661" s="1">
        <v>6.764</v>
      </c>
      <c r="AU1661" s="1">
        <v>64.098</v>
      </c>
      <c r="AV1661" s="1" t="s">
        <v>990</v>
      </c>
      <c r="AW1661" s="1">
        <v>5.064</v>
      </c>
      <c r="AX1661" s="1">
        <v>4.0</v>
      </c>
      <c r="AY1661" s="1">
        <v>1.0</v>
      </c>
      <c r="AZ1661" s="1">
        <v>1.0</v>
      </c>
      <c r="BA1661" s="1">
        <v>35.0</v>
      </c>
      <c r="BB1661" s="1">
        <v>35.0</v>
      </c>
      <c r="BC1661" s="1">
        <v>0.0</v>
      </c>
      <c r="BD1661" s="1">
        <v>4.64</v>
      </c>
      <c r="BE1661" s="1">
        <v>132.0</v>
      </c>
      <c r="BF1661" s="1">
        <v>50.0</v>
      </c>
      <c r="BG1661" s="1">
        <v>0.0</v>
      </c>
      <c r="BH1661" s="1">
        <v>16.0</v>
      </c>
      <c r="BI1661" s="1">
        <v>8.0</v>
      </c>
      <c r="BJ1661" s="1">
        <v>0.0</v>
      </c>
      <c r="BO1661" s="1" t="s">
        <v>5499</v>
      </c>
      <c r="BP1661" s="1">
        <v>1.012</v>
      </c>
      <c r="BU1661" s="1" t="s">
        <v>974</v>
      </c>
      <c r="BV1661" s="1">
        <v>1.1</v>
      </c>
      <c r="EQ1661" s="9" t="s">
        <v>5495</v>
      </c>
      <c r="ER1661" s="21">
        <v>46045.300983796296</v>
      </c>
    </row>
    <row r="1662">
      <c r="A1662" s="9" t="s">
        <v>5500</v>
      </c>
      <c r="B1662" s="20" t="str">
        <f>IFERROR(__xludf.DUMMYFUNCTION("REGEXREPLACE(A1662, ""^https?://[^/]+"", """")"),"/wp-content/uploads/2015/12/Sales-Call-Featured--2048x2048.jpeg")</f>
        <v>/wp-content/uploads/2015/12/Sales-Call-Featured--2048x2048.jpeg</v>
      </c>
      <c r="F1662" s="1" t="s">
        <v>1004</v>
      </c>
      <c r="G1662" s="1">
        <v>200.0</v>
      </c>
      <c r="H1662" s="1" t="s">
        <v>966</v>
      </c>
      <c r="I1662" s="1" t="s">
        <v>967</v>
      </c>
      <c r="L1662" s="1">
        <v>0.0</v>
      </c>
      <c r="M1662" s="1">
        <v>0.0</v>
      </c>
      <c r="O1662" s="1">
        <v>0.0</v>
      </c>
      <c r="P1662" s="1">
        <v>0.0</v>
      </c>
      <c r="R1662" s="1">
        <v>0.0</v>
      </c>
      <c r="S1662" s="1">
        <v>0.0</v>
      </c>
      <c r="U1662" s="1">
        <v>0.0</v>
      </c>
      <c r="W1662" s="1">
        <v>0.0</v>
      </c>
      <c r="Y1662" s="1">
        <v>0.0</v>
      </c>
      <c r="AA1662" s="1">
        <v>0.0</v>
      </c>
      <c r="AC1662" s="1">
        <v>0.0</v>
      </c>
      <c r="AM1662" s="1">
        <v>214975.0</v>
      </c>
      <c r="AN1662" s="1">
        <v>214975.0</v>
      </c>
      <c r="AO1662" s="1">
        <v>214975.0</v>
      </c>
      <c r="AP1662" s="1">
        <v>82.353</v>
      </c>
      <c r="AR1662" s="1">
        <v>0.0</v>
      </c>
      <c r="AW1662" s="1">
        <v>0.0</v>
      </c>
      <c r="AX1662" s="1">
        <v>4.0</v>
      </c>
      <c r="AY1662" s="1">
        <v>4.0</v>
      </c>
      <c r="BA1662" s="1">
        <v>0.0</v>
      </c>
      <c r="BB1662" s="1">
        <v>0.0</v>
      </c>
      <c r="BC1662" s="1">
        <v>0.0</v>
      </c>
      <c r="BD1662" s="1">
        <v>0.0</v>
      </c>
      <c r="BE1662" s="1">
        <v>0.0</v>
      </c>
      <c r="BF1662" s="1">
        <v>0.0</v>
      </c>
      <c r="BG1662" s="1">
        <v>0.0</v>
      </c>
      <c r="BH1662" s="1">
        <v>0.0</v>
      </c>
      <c r="BI1662" s="1">
        <v>0.0</v>
      </c>
      <c r="BJ1662" s="1">
        <v>0.0</v>
      </c>
      <c r="BP1662" s="1">
        <v>0.275</v>
      </c>
      <c r="BQ1662" s="1" t="s">
        <v>5501</v>
      </c>
      <c r="BV1662" s="1">
        <v>1.1</v>
      </c>
      <c r="EQ1662" s="9" t="s">
        <v>5500</v>
      </c>
      <c r="ER1662" s="21">
        <v>46045.30099537037</v>
      </c>
    </row>
    <row r="1663">
      <c r="A1663" s="9" t="s">
        <v>5502</v>
      </c>
      <c r="B1663" s="20" t="str">
        <f>IFERROR(__xludf.DUMMYFUNCTION("REGEXREPLACE(A1663, ""^https?://[^/]+"", """")"),"/how-to-use-onboarding-to-boost-sales-success/")</f>
        <v>/how-to-use-onboarding-to-boost-sales-success/</v>
      </c>
      <c r="C1663" s="1" t="s">
        <v>5503</v>
      </c>
      <c r="F1663" s="1" t="s">
        <v>965</v>
      </c>
      <c r="G1663" s="1">
        <v>200.0</v>
      </c>
      <c r="H1663" s="1" t="s">
        <v>966</v>
      </c>
      <c r="I1663" s="1" t="s">
        <v>967</v>
      </c>
      <c r="K1663" s="1" t="s">
        <v>5504</v>
      </c>
      <c r="L1663" s="1">
        <v>71.0</v>
      </c>
      <c r="M1663" s="1">
        <v>651.0</v>
      </c>
      <c r="O1663" s="1">
        <v>0.0</v>
      </c>
      <c r="P1663" s="1">
        <v>0.0</v>
      </c>
      <c r="Q1663" s="1" t="s">
        <v>5505</v>
      </c>
      <c r="R1663" s="1">
        <v>149.0</v>
      </c>
      <c r="S1663" s="1">
        <v>931.0</v>
      </c>
      <c r="U1663" s="1">
        <v>0.0</v>
      </c>
      <c r="V1663" s="1" t="s">
        <v>5503</v>
      </c>
      <c r="W1663" s="1">
        <v>46.0</v>
      </c>
      <c r="Y1663" s="1">
        <v>0.0</v>
      </c>
      <c r="AA1663" s="1">
        <v>0.0</v>
      </c>
      <c r="AC1663" s="1">
        <v>0.0</v>
      </c>
      <c r="AD1663" s="1" t="s">
        <v>971</v>
      </c>
      <c r="AG1663" s="9" t="s">
        <v>5502</v>
      </c>
      <c r="AM1663" s="1">
        <v>200827.0</v>
      </c>
      <c r="AN1663" s="1">
        <v>36249.0</v>
      </c>
      <c r="AO1663" s="1">
        <v>36249.0</v>
      </c>
      <c r="AP1663" s="1">
        <v>13.886</v>
      </c>
      <c r="AR1663" s="1">
        <v>1464.0</v>
      </c>
      <c r="AS1663" s="1">
        <v>225.0</v>
      </c>
      <c r="AT1663" s="1">
        <v>6.507</v>
      </c>
      <c r="AU1663" s="1">
        <v>62.698</v>
      </c>
      <c r="AV1663" s="1" t="s">
        <v>990</v>
      </c>
      <c r="AW1663" s="1">
        <v>5.711</v>
      </c>
      <c r="AX1663" s="1">
        <v>4.0</v>
      </c>
      <c r="AY1663" s="1">
        <v>1.0</v>
      </c>
      <c r="AZ1663" s="1">
        <v>1.0</v>
      </c>
      <c r="BA1663" s="1">
        <v>1.0</v>
      </c>
      <c r="BB1663" s="1">
        <v>1.0</v>
      </c>
      <c r="BC1663" s="1">
        <v>0.0</v>
      </c>
      <c r="BD1663" s="1">
        <v>0.13</v>
      </c>
      <c r="BE1663" s="1">
        <v>132.0</v>
      </c>
      <c r="BF1663" s="1">
        <v>50.0</v>
      </c>
      <c r="BG1663" s="1">
        <v>0.0</v>
      </c>
      <c r="BH1663" s="1">
        <v>16.0</v>
      </c>
      <c r="BI1663" s="1">
        <v>8.0</v>
      </c>
      <c r="BJ1663" s="1">
        <v>0.0</v>
      </c>
      <c r="BO1663" s="1" t="s">
        <v>5506</v>
      </c>
      <c r="BP1663" s="1">
        <v>1.034</v>
      </c>
      <c r="BU1663" s="1" t="s">
        <v>974</v>
      </c>
      <c r="BV1663" s="1">
        <v>1.1</v>
      </c>
      <c r="EQ1663" s="9" t="s">
        <v>5502</v>
      </c>
      <c r="ER1663" s="21">
        <v>46045.300983796296</v>
      </c>
    </row>
    <row r="1664">
      <c r="A1664" s="9" t="s">
        <v>5507</v>
      </c>
      <c r="B1664" s="20" t="str">
        <f>IFERROR(__xludf.DUMMYFUNCTION("REGEXREPLACE(A1664, ""^https?://[^/]+"", """")"),"/wp-content/themes/salesxceleratione/assets/css/style.css?ver=1769123511")</f>
        <v>/wp-content/themes/salesxceleratione/assets/css/style.css?ver=1769123511</v>
      </c>
      <c r="F1664" s="1" t="s">
        <v>1016</v>
      </c>
      <c r="G1664" s="1">
        <v>200.0</v>
      </c>
      <c r="H1664" s="1" t="s">
        <v>966</v>
      </c>
      <c r="I1664" s="1" t="s">
        <v>967</v>
      </c>
      <c r="L1664" s="1">
        <v>0.0</v>
      </c>
      <c r="M1664" s="1">
        <v>0.0</v>
      </c>
      <c r="O1664" s="1">
        <v>0.0</v>
      </c>
      <c r="P1664" s="1">
        <v>0.0</v>
      </c>
      <c r="R1664" s="1">
        <v>0.0</v>
      </c>
      <c r="S1664" s="1">
        <v>0.0</v>
      </c>
      <c r="U1664" s="1">
        <v>0.0</v>
      </c>
      <c r="W1664" s="1">
        <v>0.0</v>
      </c>
      <c r="Y1664" s="1">
        <v>0.0</v>
      </c>
      <c r="AA1664" s="1">
        <v>0.0</v>
      </c>
      <c r="AC1664" s="1">
        <v>0.0</v>
      </c>
      <c r="AM1664" s="1">
        <v>17704.0</v>
      </c>
      <c r="AN1664" s="1">
        <v>17704.0</v>
      </c>
      <c r="AO1664" s="1">
        <v>17704.0</v>
      </c>
      <c r="AP1664" s="1">
        <v>6.782</v>
      </c>
      <c r="AR1664" s="1">
        <v>0.0</v>
      </c>
      <c r="AW1664" s="1">
        <v>0.0</v>
      </c>
      <c r="AX1664" s="1">
        <v>4.0</v>
      </c>
      <c r="AY1664" s="1">
        <v>5.0</v>
      </c>
      <c r="BA1664" s="1">
        <v>0.0</v>
      </c>
      <c r="BB1664" s="1">
        <v>0.0</v>
      </c>
      <c r="BC1664" s="1">
        <v>0.0</v>
      </c>
      <c r="BD1664" s="1">
        <v>0.0</v>
      </c>
      <c r="BE1664" s="1">
        <v>0.0</v>
      </c>
      <c r="BF1664" s="1">
        <v>0.0</v>
      </c>
      <c r="BG1664" s="1">
        <v>0.0</v>
      </c>
      <c r="BH1664" s="1">
        <v>0.0</v>
      </c>
      <c r="BI1664" s="1">
        <v>0.0</v>
      </c>
      <c r="BJ1664" s="1">
        <v>0.0</v>
      </c>
      <c r="BP1664" s="1">
        <v>0.27</v>
      </c>
      <c r="BQ1664" s="1" t="s">
        <v>5508</v>
      </c>
      <c r="BV1664" s="1">
        <v>1.1</v>
      </c>
      <c r="EQ1664" s="9" t="s">
        <v>5507</v>
      </c>
      <c r="ER1664" s="21">
        <v>46045.30099537037</v>
      </c>
    </row>
    <row r="1665">
      <c r="A1665" s="9" t="s">
        <v>5509</v>
      </c>
      <c r="B1665" s="20" t="str">
        <f>IFERROR(__xludf.DUMMYFUNCTION("REGEXREPLACE(A1665, ""^https?://[^/]+"", """")"),"/wp-content/uploads/2014/05/Consulting-Ease-Into-Retirement.jpg")</f>
        <v>/wp-content/uploads/2014/05/Consulting-Ease-Into-Retirement.jpg</v>
      </c>
      <c r="F1665" s="1" t="s">
        <v>1004</v>
      </c>
      <c r="G1665" s="1">
        <v>200.0</v>
      </c>
      <c r="H1665" s="1" t="s">
        <v>966</v>
      </c>
      <c r="I1665" s="1" t="s">
        <v>967</v>
      </c>
      <c r="L1665" s="1">
        <v>0.0</v>
      </c>
      <c r="M1665" s="1">
        <v>0.0</v>
      </c>
      <c r="O1665" s="1">
        <v>0.0</v>
      </c>
      <c r="P1665" s="1">
        <v>0.0</v>
      </c>
      <c r="R1665" s="1">
        <v>0.0</v>
      </c>
      <c r="S1665" s="1">
        <v>0.0</v>
      </c>
      <c r="U1665" s="1">
        <v>0.0</v>
      </c>
      <c r="W1665" s="1">
        <v>0.0</v>
      </c>
      <c r="Y1665" s="1">
        <v>0.0</v>
      </c>
      <c r="AA1665" s="1">
        <v>0.0</v>
      </c>
      <c r="AC1665" s="1">
        <v>0.0</v>
      </c>
      <c r="AM1665" s="1">
        <v>142257.0</v>
      </c>
      <c r="AN1665" s="1">
        <v>142257.0</v>
      </c>
      <c r="AO1665" s="1">
        <v>142257.0</v>
      </c>
      <c r="AP1665" s="1">
        <v>54.496</v>
      </c>
      <c r="AR1665" s="1">
        <v>0.0</v>
      </c>
      <c r="AW1665" s="1">
        <v>0.0</v>
      </c>
      <c r="AX1665" s="1">
        <v>4.0</v>
      </c>
      <c r="AY1665" s="1">
        <v>4.0</v>
      </c>
      <c r="BA1665" s="1">
        <v>0.0</v>
      </c>
      <c r="BB1665" s="1">
        <v>0.0</v>
      </c>
      <c r="BC1665" s="1">
        <v>0.0</v>
      </c>
      <c r="BD1665" s="1">
        <v>0.0</v>
      </c>
      <c r="BE1665" s="1">
        <v>0.0</v>
      </c>
      <c r="BF1665" s="1">
        <v>0.0</v>
      </c>
      <c r="BG1665" s="1">
        <v>0.0</v>
      </c>
      <c r="BH1665" s="1">
        <v>0.0</v>
      </c>
      <c r="BI1665" s="1">
        <v>0.0</v>
      </c>
      <c r="BJ1665" s="1">
        <v>0.0</v>
      </c>
      <c r="BP1665" s="1">
        <v>0.275</v>
      </c>
      <c r="BQ1665" s="1" t="s">
        <v>5510</v>
      </c>
      <c r="BV1665" s="1">
        <v>1.1</v>
      </c>
      <c r="EQ1665" s="9" t="s">
        <v>5509</v>
      </c>
      <c r="ER1665" s="21">
        <v>46045.30099537037</v>
      </c>
    </row>
    <row r="1666">
      <c r="A1666" s="9" t="s">
        <v>5511</v>
      </c>
      <c r="B1666" s="20" t="str">
        <f>IFERROR(__xludf.DUMMYFUNCTION("REGEXREPLACE(A1666, ""^https?://[^/]+"", """")"),"/dos-donts-making-right-sales-job-offer-right-candidate/")</f>
        <v>/dos-donts-making-right-sales-job-offer-right-candidate/</v>
      </c>
      <c r="C1666" s="1" t="s">
        <v>5512</v>
      </c>
      <c r="F1666" s="1" t="s">
        <v>965</v>
      </c>
      <c r="G1666" s="1">
        <v>200.0</v>
      </c>
      <c r="H1666" s="1" t="s">
        <v>966</v>
      </c>
      <c r="I1666" s="1" t="s">
        <v>967</v>
      </c>
      <c r="K1666" s="1" t="s">
        <v>5513</v>
      </c>
      <c r="L1666" s="1">
        <v>99.0</v>
      </c>
      <c r="M1666" s="1">
        <v>879.0</v>
      </c>
      <c r="O1666" s="1">
        <v>0.0</v>
      </c>
      <c r="P1666" s="1">
        <v>0.0</v>
      </c>
      <c r="Q1666" s="1" t="s">
        <v>5514</v>
      </c>
      <c r="R1666" s="1">
        <v>133.0</v>
      </c>
      <c r="S1666" s="1">
        <v>802.0</v>
      </c>
      <c r="U1666" s="1">
        <v>0.0</v>
      </c>
      <c r="V1666" s="1" t="s">
        <v>5512</v>
      </c>
      <c r="W1666" s="1">
        <v>74.0</v>
      </c>
      <c r="Y1666" s="1">
        <v>0.0</v>
      </c>
      <c r="AA1666" s="1">
        <v>0.0</v>
      </c>
      <c r="AC1666" s="1">
        <v>0.0</v>
      </c>
      <c r="AD1666" s="1" t="s">
        <v>971</v>
      </c>
      <c r="AG1666" s="9" t="s">
        <v>5511</v>
      </c>
      <c r="AM1666" s="1">
        <v>202855.0</v>
      </c>
      <c r="AN1666" s="1">
        <v>36451.0</v>
      </c>
      <c r="AO1666" s="1">
        <v>36451.0</v>
      </c>
      <c r="AP1666" s="1">
        <v>13.964</v>
      </c>
      <c r="AR1666" s="1">
        <v>1620.0</v>
      </c>
      <c r="AS1666" s="1">
        <v>224.0</v>
      </c>
      <c r="AT1666" s="1">
        <v>7.232</v>
      </c>
      <c r="AU1666" s="1">
        <v>69.513</v>
      </c>
      <c r="AV1666" s="1" t="s">
        <v>990</v>
      </c>
      <c r="AW1666" s="1">
        <v>5.981</v>
      </c>
      <c r="AX1666" s="1">
        <v>4.0</v>
      </c>
      <c r="AY1666" s="1">
        <v>1.0</v>
      </c>
      <c r="AZ1666" s="1">
        <v>1.0</v>
      </c>
      <c r="BA1666" s="1">
        <v>46.0</v>
      </c>
      <c r="BB1666" s="1">
        <v>46.0</v>
      </c>
      <c r="BC1666" s="1">
        <v>0.0</v>
      </c>
      <c r="BD1666" s="1">
        <v>6.1</v>
      </c>
      <c r="BE1666" s="1">
        <v>130.0</v>
      </c>
      <c r="BF1666" s="1">
        <v>48.0</v>
      </c>
      <c r="BG1666" s="1">
        <v>0.0</v>
      </c>
      <c r="BH1666" s="1">
        <v>16.0</v>
      </c>
      <c r="BI1666" s="1">
        <v>8.0</v>
      </c>
      <c r="BJ1666" s="1">
        <v>0.0</v>
      </c>
      <c r="BO1666" s="1" t="s">
        <v>5515</v>
      </c>
      <c r="BP1666" s="1">
        <v>1.041</v>
      </c>
      <c r="BU1666" s="1" t="s">
        <v>974</v>
      </c>
      <c r="BV1666" s="1">
        <v>1.1</v>
      </c>
      <c r="EQ1666" s="9" t="s">
        <v>5511</v>
      </c>
      <c r="ER1666" s="21">
        <v>46045.300983796296</v>
      </c>
    </row>
    <row r="1667">
      <c r="A1667" s="9" t="s">
        <v>5516</v>
      </c>
      <c r="B1667" s="20" t="str">
        <f>IFERROR(__xludf.DUMMYFUNCTION("REGEXREPLACE(A1667, ""^https?://[^/]+"", """")"),"/how-to-unstick-a-stalled-deal-even-if-it-means-no-deal-at-all/")</f>
        <v>/how-to-unstick-a-stalled-deal-even-if-it-means-no-deal-at-all/</v>
      </c>
      <c r="C1667" s="1" t="s">
        <v>5517</v>
      </c>
      <c r="F1667" s="1" t="s">
        <v>965</v>
      </c>
      <c r="G1667" s="1">
        <v>200.0</v>
      </c>
      <c r="H1667" s="1" t="s">
        <v>966</v>
      </c>
      <c r="I1667" s="1" t="s">
        <v>967</v>
      </c>
      <c r="K1667" s="1" t="s">
        <v>5518</v>
      </c>
      <c r="L1667" s="1">
        <v>75.0</v>
      </c>
      <c r="M1667" s="1">
        <v>656.0</v>
      </c>
      <c r="O1667" s="1">
        <v>0.0</v>
      </c>
      <c r="P1667" s="1">
        <v>0.0</v>
      </c>
      <c r="Q1667" s="1" t="s">
        <v>5519</v>
      </c>
      <c r="R1667" s="1">
        <v>132.0</v>
      </c>
      <c r="S1667" s="1">
        <v>791.0</v>
      </c>
      <c r="U1667" s="1">
        <v>0.0</v>
      </c>
      <c r="V1667" s="1" t="s">
        <v>5517</v>
      </c>
      <c r="W1667" s="1">
        <v>63.0</v>
      </c>
      <c r="Y1667" s="1">
        <v>0.0</v>
      </c>
      <c r="AA1667" s="1">
        <v>0.0</v>
      </c>
      <c r="AC1667" s="1">
        <v>0.0</v>
      </c>
      <c r="AD1667" s="1" t="s">
        <v>971</v>
      </c>
      <c r="AG1667" s="9" t="s">
        <v>5516</v>
      </c>
      <c r="AM1667" s="1">
        <v>200110.0</v>
      </c>
      <c r="AN1667" s="1">
        <v>36008.0</v>
      </c>
      <c r="AO1667" s="1">
        <v>36008.0</v>
      </c>
      <c r="AP1667" s="1">
        <v>13.794</v>
      </c>
      <c r="AR1667" s="1">
        <v>1461.0</v>
      </c>
      <c r="AS1667" s="1">
        <v>245.0</v>
      </c>
      <c r="AT1667" s="1">
        <v>5.963</v>
      </c>
      <c r="AU1667" s="1">
        <v>68.642</v>
      </c>
      <c r="AV1667" s="1" t="s">
        <v>990</v>
      </c>
      <c r="AW1667" s="1">
        <v>5.641</v>
      </c>
      <c r="AX1667" s="1">
        <v>4.0</v>
      </c>
      <c r="AY1667" s="1">
        <v>1.0</v>
      </c>
      <c r="AZ1667" s="1">
        <v>1.0</v>
      </c>
      <c r="BA1667" s="1">
        <v>34.0</v>
      </c>
      <c r="BB1667" s="1">
        <v>34.0</v>
      </c>
      <c r="BC1667" s="1">
        <v>0.0</v>
      </c>
      <c r="BD1667" s="1">
        <v>4.51</v>
      </c>
      <c r="BE1667" s="1">
        <v>130.0</v>
      </c>
      <c r="BF1667" s="1">
        <v>48.0</v>
      </c>
      <c r="BG1667" s="1">
        <v>0.0</v>
      </c>
      <c r="BH1667" s="1">
        <v>16.0</v>
      </c>
      <c r="BI1667" s="1">
        <v>8.0</v>
      </c>
      <c r="BJ1667" s="1">
        <v>0.0</v>
      </c>
      <c r="BO1667" s="1" t="s">
        <v>5520</v>
      </c>
      <c r="BP1667" s="1">
        <v>1.006</v>
      </c>
      <c r="BU1667" s="1" t="s">
        <v>974</v>
      </c>
      <c r="BV1667" s="1">
        <v>1.1</v>
      </c>
      <c r="EQ1667" s="9" t="s">
        <v>5516</v>
      </c>
      <c r="ER1667" s="21">
        <v>46045.300983796296</v>
      </c>
    </row>
    <row r="1668">
      <c r="A1668" s="9" t="s">
        <v>5521</v>
      </c>
      <c r="B1668" s="20" t="str">
        <f>IFERROR(__xludf.DUMMYFUNCTION("REGEXREPLACE(A1668, ""^https?://[^/]+"", """")"),"/wp-content/uploads/2015/03/Unstick-a-stalled-deal-2048x2048.png")</f>
        <v>/wp-content/uploads/2015/03/Unstick-a-stalled-deal-2048x2048.png</v>
      </c>
      <c r="F1668" s="1" t="s">
        <v>1047</v>
      </c>
      <c r="G1668" s="1">
        <v>200.0</v>
      </c>
      <c r="H1668" s="1" t="s">
        <v>966</v>
      </c>
      <c r="I1668" s="1" t="s">
        <v>967</v>
      </c>
      <c r="L1668" s="1">
        <v>0.0</v>
      </c>
      <c r="M1668" s="1">
        <v>0.0</v>
      </c>
      <c r="O1668" s="1">
        <v>0.0</v>
      </c>
      <c r="P1668" s="1">
        <v>0.0</v>
      </c>
      <c r="R1668" s="1">
        <v>0.0</v>
      </c>
      <c r="S1668" s="1">
        <v>0.0</v>
      </c>
      <c r="U1668" s="1">
        <v>0.0</v>
      </c>
      <c r="W1668" s="1">
        <v>0.0</v>
      </c>
      <c r="Y1668" s="1">
        <v>0.0</v>
      </c>
      <c r="AA1668" s="1">
        <v>0.0</v>
      </c>
      <c r="AC1668" s="1">
        <v>0.0</v>
      </c>
      <c r="AM1668" s="1">
        <v>1046823.0</v>
      </c>
      <c r="AN1668" s="1">
        <v>1046823.0</v>
      </c>
      <c r="AO1668" s="1">
        <v>1046823.0</v>
      </c>
      <c r="AP1668" s="1">
        <v>401.018</v>
      </c>
      <c r="AR1668" s="1">
        <v>0.0</v>
      </c>
      <c r="AW1668" s="1">
        <v>0.0</v>
      </c>
      <c r="AX1668" s="1">
        <v>4.0</v>
      </c>
      <c r="AY1668" s="1">
        <v>4.0</v>
      </c>
      <c r="BA1668" s="1">
        <v>0.0</v>
      </c>
      <c r="BB1668" s="1">
        <v>0.0</v>
      </c>
      <c r="BC1668" s="1">
        <v>0.0</v>
      </c>
      <c r="BD1668" s="1">
        <v>0.0</v>
      </c>
      <c r="BE1668" s="1">
        <v>0.0</v>
      </c>
      <c r="BF1668" s="1">
        <v>0.0</v>
      </c>
      <c r="BG1668" s="1">
        <v>0.0</v>
      </c>
      <c r="BH1668" s="1">
        <v>0.0</v>
      </c>
      <c r="BI1668" s="1">
        <v>0.0</v>
      </c>
      <c r="BJ1668" s="1">
        <v>0.0</v>
      </c>
      <c r="BP1668" s="1">
        <v>0.288</v>
      </c>
      <c r="BQ1668" s="1" t="s">
        <v>5522</v>
      </c>
      <c r="BV1668" s="1">
        <v>1.1</v>
      </c>
      <c r="EQ1668" s="9" t="s">
        <v>5521</v>
      </c>
      <c r="ER1668" s="21">
        <v>46045.30100694444</v>
      </c>
    </row>
    <row r="1669">
      <c r="A1669" s="9" t="s">
        <v>5523</v>
      </c>
      <c r="B1669" s="20" t="str">
        <f>IFERROR(__xludf.DUMMYFUNCTION("REGEXREPLACE(A1669, ""^https?://[^/]+"", """")"),"/wp-content/uploads/2015/12/Sales-Networking-2048x2048.jpg")</f>
        <v>/wp-content/uploads/2015/12/Sales-Networking-2048x2048.jpg</v>
      </c>
      <c r="F1669" s="1" t="s">
        <v>1004</v>
      </c>
      <c r="G1669" s="1">
        <v>200.0</v>
      </c>
      <c r="H1669" s="1" t="s">
        <v>966</v>
      </c>
      <c r="I1669" s="1" t="s">
        <v>967</v>
      </c>
      <c r="L1669" s="1">
        <v>0.0</v>
      </c>
      <c r="M1669" s="1">
        <v>0.0</v>
      </c>
      <c r="O1669" s="1">
        <v>0.0</v>
      </c>
      <c r="P1669" s="1">
        <v>0.0</v>
      </c>
      <c r="R1669" s="1">
        <v>0.0</v>
      </c>
      <c r="S1669" s="1">
        <v>0.0</v>
      </c>
      <c r="U1669" s="1">
        <v>0.0</v>
      </c>
      <c r="W1669" s="1">
        <v>0.0</v>
      </c>
      <c r="Y1669" s="1">
        <v>0.0</v>
      </c>
      <c r="AA1669" s="1">
        <v>0.0</v>
      </c>
      <c r="AC1669" s="1">
        <v>0.0</v>
      </c>
      <c r="AM1669" s="1">
        <v>57728.0</v>
      </c>
      <c r="AN1669" s="1">
        <v>57728.0</v>
      </c>
      <c r="AO1669" s="1">
        <v>57728.0</v>
      </c>
      <c r="AP1669" s="1">
        <v>22.114</v>
      </c>
      <c r="AR1669" s="1">
        <v>0.0</v>
      </c>
      <c r="AW1669" s="1">
        <v>0.0</v>
      </c>
      <c r="AX1669" s="1">
        <v>4.0</v>
      </c>
      <c r="AY1669" s="1">
        <v>4.0</v>
      </c>
      <c r="BA1669" s="1">
        <v>0.0</v>
      </c>
      <c r="BB1669" s="1">
        <v>0.0</v>
      </c>
      <c r="BC1669" s="1">
        <v>0.0</v>
      </c>
      <c r="BD1669" s="1">
        <v>0.0</v>
      </c>
      <c r="BE1669" s="1">
        <v>0.0</v>
      </c>
      <c r="BF1669" s="1">
        <v>0.0</v>
      </c>
      <c r="BG1669" s="1">
        <v>0.0</v>
      </c>
      <c r="BH1669" s="1">
        <v>0.0</v>
      </c>
      <c r="BI1669" s="1">
        <v>0.0</v>
      </c>
      <c r="BJ1669" s="1">
        <v>0.0</v>
      </c>
      <c r="BP1669" s="1">
        <v>0.266</v>
      </c>
      <c r="BQ1669" s="1" t="s">
        <v>5524</v>
      </c>
      <c r="BV1669" s="1">
        <v>1.1</v>
      </c>
      <c r="EQ1669" s="9" t="s">
        <v>5523</v>
      </c>
      <c r="ER1669" s="21">
        <v>46045.30100694444</v>
      </c>
    </row>
    <row r="1670">
      <c r="A1670" s="9" t="s">
        <v>5525</v>
      </c>
      <c r="B1670" s="20" t="str">
        <f>IFERROR(__xludf.DUMMYFUNCTION("REGEXREPLACE(A1670, ""^https?://[^/]+"", """")"),"/one-two-punch-consulting-success-strategic-partnerships-plus-word-mouth/")</f>
        <v>/one-two-punch-consulting-success-strategic-partnerships-plus-word-mouth/</v>
      </c>
      <c r="C1670" s="1" t="s">
        <v>5526</v>
      </c>
      <c r="F1670" s="1" t="s">
        <v>965</v>
      </c>
      <c r="G1670" s="1">
        <v>200.0</v>
      </c>
      <c r="H1670" s="1" t="s">
        <v>966</v>
      </c>
      <c r="I1670" s="1" t="s">
        <v>967</v>
      </c>
      <c r="K1670" s="1" t="s">
        <v>5527</v>
      </c>
      <c r="L1670" s="1">
        <v>43.0</v>
      </c>
      <c r="M1670" s="1">
        <v>401.0</v>
      </c>
      <c r="O1670" s="1">
        <v>0.0</v>
      </c>
      <c r="P1670" s="1">
        <v>0.0</v>
      </c>
      <c r="Q1670" s="1" t="s">
        <v>5528</v>
      </c>
      <c r="R1670" s="1">
        <v>156.0</v>
      </c>
      <c r="S1670" s="1">
        <v>938.0</v>
      </c>
      <c r="U1670" s="1">
        <v>0.0</v>
      </c>
      <c r="V1670" s="1" t="s">
        <v>5526</v>
      </c>
      <c r="W1670" s="1">
        <v>83.0</v>
      </c>
      <c r="Y1670" s="1">
        <v>0.0</v>
      </c>
      <c r="AA1670" s="1">
        <v>0.0</v>
      </c>
      <c r="AC1670" s="1">
        <v>0.0</v>
      </c>
      <c r="AD1670" s="1" t="s">
        <v>971</v>
      </c>
      <c r="AG1670" s="9" t="s">
        <v>5525</v>
      </c>
      <c r="AM1670" s="1">
        <v>200003.0</v>
      </c>
      <c r="AN1670" s="1">
        <v>35822.0</v>
      </c>
      <c r="AO1670" s="1">
        <v>35822.0</v>
      </c>
      <c r="AP1670" s="1">
        <v>13.723</v>
      </c>
      <c r="AR1670" s="1">
        <v>1318.0</v>
      </c>
      <c r="AS1670" s="1">
        <v>194.0</v>
      </c>
      <c r="AT1670" s="1">
        <v>6.794</v>
      </c>
      <c r="AU1670" s="1">
        <v>62.127</v>
      </c>
      <c r="AV1670" s="1" t="s">
        <v>990</v>
      </c>
      <c r="AW1670" s="1">
        <v>5.344</v>
      </c>
      <c r="AX1670" s="1">
        <v>4.0</v>
      </c>
      <c r="AY1670" s="1">
        <v>1.0</v>
      </c>
      <c r="AZ1670" s="1">
        <v>1.0</v>
      </c>
      <c r="BA1670" s="1">
        <v>80.0</v>
      </c>
      <c r="BB1670" s="1">
        <v>80.0</v>
      </c>
      <c r="BC1670" s="1">
        <v>0.0</v>
      </c>
      <c r="BD1670" s="1">
        <v>10.61</v>
      </c>
      <c r="BE1670" s="1">
        <v>130.0</v>
      </c>
      <c r="BF1670" s="1">
        <v>47.0</v>
      </c>
      <c r="BG1670" s="1">
        <v>0.0</v>
      </c>
      <c r="BH1670" s="1">
        <v>16.0</v>
      </c>
      <c r="BI1670" s="1">
        <v>8.0</v>
      </c>
      <c r="BJ1670" s="1">
        <v>0.0</v>
      </c>
      <c r="BO1670" s="1" t="s">
        <v>5529</v>
      </c>
      <c r="BP1670" s="1">
        <v>0.99</v>
      </c>
      <c r="BU1670" s="1" t="s">
        <v>974</v>
      </c>
      <c r="BV1670" s="1">
        <v>1.1</v>
      </c>
      <c r="EQ1670" s="9" t="s">
        <v>5525</v>
      </c>
      <c r="ER1670" s="21">
        <v>46045.30099537037</v>
      </c>
    </row>
    <row r="1671">
      <c r="A1671" s="9" t="s">
        <v>5530</v>
      </c>
      <c r="B1671" s="20" t="str">
        <f>IFERROR(__xludf.DUMMYFUNCTION("REGEXREPLACE(A1671, ""^https?://[^/]+"", """")"),"/wp-content/uploads/2014/01/Job-candidate-search.jpg")</f>
        <v>/wp-content/uploads/2014/01/Job-candidate-search.jpg</v>
      </c>
      <c r="F1671" s="1" t="s">
        <v>1004</v>
      </c>
      <c r="G1671" s="1">
        <v>200.0</v>
      </c>
      <c r="H1671" s="1" t="s">
        <v>966</v>
      </c>
      <c r="I1671" s="1" t="s">
        <v>967</v>
      </c>
      <c r="L1671" s="1">
        <v>0.0</v>
      </c>
      <c r="M1671" s="1">
        <v>0.0</v>
      </c>
      <c r="O1671" s="1">
        <v>0.0</v>
      </c>
      <c r="P1671" s="1">
        <v>0.0</v>
      </c>
      <c r="R1671" s="1">
        <v>0.0</v>
      </c>
      <c r="S1671" s="1">
        <v>0.0</v>
      </c>
      <c r="U1671" s="1">
        <v>0.0</v>
      </c>
      <c r="W1671" s="1">
        <v>0.0</v>
      </c>
      <c r="Y1671" s="1">
        <v>0.0</v>
      </c>
      <c r="AA1671" s="1">
        <v>0.0</v>
      </c>
      <c r="AC1671" s="1">
        <v>0.0</v>
      </c>
      <c r="AM1671" s="1">
        <v>159314.0</v>
      </c>
      <c r="AN1671" s="1">
        <v>159314.0</v>
      </c>
      <c r="AO1671" s="1">
        <v>159314.0</v>
      </c>
      <c r="AP1671" s="1">
        <v>61.03</v>
      </c>
      <c r="AR1671" s="1">
        <v>0.0</v>
      </c>
      <c r="AW1671" s="1">
        <v>0.0</v>
      </c>
      <c r="AX1671" s="1">
        <v>4.0</v>
      </c>
      <c r="AY1671" s="1">
        <v>4.0</v>
      </c>
      <c r="BA1671" s="1">
        <v>0.0</v>
      </c>
      <c r="BB1671" s="1">
        <v>0.0</v>
      </c>
      <c r="BC1671" s="1">
        <v>0.0</v>
      </c>
      <c r="BD1671" s="1">
        <v>0.0</v>
      </c>
      <c r="BE1671" s="1">
        <v>0.0</v>
      </c>
      <c r="BF1671" s="1">
        <v>0.0</v>
      </c>
      <c r="BG1671" s="1">
        <v>0.0</v>
      </c>
      <c r="BH1671" s="1">
        <v>0.0</v>
      </c>
      <c r="BI1671" s="1">
        <v>0.0</v>
      </c>
      <c r="BJ1671" s="1">
        <v>0.0</v>
      </c>
      <c r="BP1671" s="1">
        <v>0.29</v>
      </c>
      <c r="BQ1671" s="1" t="s">
        <v>5531</v>
      </c>
      <c r="BV1671" s="1">
        <v>1.1</v>
      </c>
      <c r="EQ1671" s="9" t="s">
        <v>5530</v>
      </c>
      <c r="ER1671" s="21">
        <v>46045.30100694444</v>
      </c>
    </row>
    <row r="1672">
      <c r="A1672" s="9" t="s">
        <v>5532</v>
      </c>
      <c r="B1672" s="20" t="str">
        <f>IFERROR(__xludf.DUMMYFUNCTION("REGEXREPLACE(A1672, ""^https?://[^/]+"", """")"),"/wp-content/uploads/2014/01/Write-better-advertisements.jpg")</f>
        <v>/wp-content/uploads/2014/01/Write-better-advertisements.jpg</v>
      </c>
      <c r="F1672" s="1" t="s">
        <v>1004</v>
      </c>
      <c r="G1672" s="1">
        <v>200.0</v>
      </c>
      <c r="H1672" s="1" t="s">
        <v>966</v>
      </c>
      <c r="I1672" s="1" t="s">
        <v>967</v>
      </c>
      <c r="L1672" s="1">
        <v>0.0</v>
      </c>
      <c r="M1672" s="1">
        <v>0.0</v>
      </c>
      <c r="O1672" s="1">
        <v>0.0</v>
      </c>
      <c r="P1672" s="1">
        <v>0.0</v>
      </c>
      <c r="R1672" s="1">
        <v>0.0</v>
      </c>
      <c r="S1672" s="1">
        <v>0.0</v>
      </c>
      <c r="U1672" s="1">
        <v>0.0</v>
      </c>
      <c r="W1672" s="1">
        <v>0.0</v>
      </c>
      <c r="Y1672" s="1">
        <v>0.0</v>
      </c>
      <c r="AA1672" s="1">
        <v>0.0</v>
      </c>
      <c r="AC1672" s="1">
        <v>0.0</v>
      </c>
      <c r="AM1672" s="1">
        <v>88860.0</v>
      </c>
      <c r="AN1672" s="1">
        <v>88860.0</v>
      </c>
      <c r="AO1672" s="1">
        <v>88860.0</v>
      </c>
      <c r="AP1672" s="1">
        <v>34.041</v>
      </c>
      <c r="AR1672" s="1">
        <v>0.0</v>
      </c>
      <c r="AW1672" s="1">
        <v>0.0</v>
      </c>
      <c r="AX1672" s="1">
        <v>4.0</v>
      </c>
      <c r="AY1672" s="1">
        <v>4.0</v>
      </c>
      <c r="BA1672" s="1">
        <v>0.0</v>
      </c>
      <c r="BB1672" s="1">
        <v>0.0</v>
      </c>
      <c r="BC1672" s="1">
        <v>0.0</v>
      </c>
      <c r="BD1672" s="1">
        <v>0.0</v>
      </c>
      <c r="BE1672" s="1">
        <v>0.0</v>
      </c>
      <c r="BF1672" s="1">
        <v>0.0</v>
      </c>
      <c r="BG1672" s="1">
        <v>0.0</v>
      </c>
      <c r="BH1672" s="1">
        <v>0.0</v>
      </c>
      <c r="BI1672" s="1">
        <v>0.0</v>
      </c>
      <c r="BJ1672" s="1">
        <v>0.0</v>
      </c>
      <c r="BP1672" s="1">
        <v>0.28</v>
      </c>
      <c r="BQ1672" s="1" t="s">
        <v>5533</v>
      </c>
      <c r="BV1672" s="1">
        <v>1.1</v>
      </c>
      <c r="EQ1672" s="9" t="s">
        <v>5532</v>
      </c>
      <c r="ER1672" s="21">
        <v>46045.30100694444</v>
      </c>
    </row>
    <row r="1673">
      <c r="A1673" s="9" t="s">
        <v>5534</v>
      </c>
      <c r="B1673" s="20" t="str">
        <f>IFERROR(__xludf.DUMMYFUNCTION("REGEXREPLACE(A1673, ""^https?://[^/]+"", """")"),"/in-case-they-ask-and-they-will/")</f>
        <v>/in-case-they-ask-and-they-will/</v>
      </c>
      <c r="C1673" s="1" t="s">
        <v>5535</v>
      </c>
      <c r="F1673" s="1" t="s">
        <v>965</v>
      </c>
      <c r="G1673" s="1">
        <v>200.0</v>
      </c>
      <c r="H1673" s="1" t="s">
        <v>966</v>
      </c>
      <c r="I1673" s="1" t="s">
        <v>967</v>
      </c>
      <c r="K1673" s="1" t="s">
        <v>5536</v>
      </c>
      <c r="L1673" s="1">
        <v>57.0</v>
      </c>
      <c r="M1673" s="1">
        <v>504.0</v>
      </c>
      <c r="O1673" s="1">
        <v>0.0</v>
      </c>
      <c r="P1673" s="1">
        <v>0.0</v>
      </c>
      <c r="Q1673" s="1" t="s">
        <v>5537</v>
      </c>
      <c r="R1673" s="1">
        <v>99.0</v>
      </c>
      <c r="S1673" s="1">
        <v>598.0</v>
      </c>
      <c r="U1673" s="1">
        <v>0.0</v>
      </c>
      <c r="V1673" s="1" t="s">
        <v>5535</v>
      </c>
      <c r="W1673" s="1">
        <v>32.0</v>
      </c>
      <c r="Y1673" s="1">
        <v>0.0</v>
      </c>
      <c r="AA1673" s="1">
        <v>0.0</v>
      </c>
      <c r="AC1673" s="1">
        <v>0.0</v>
      </c>
      <c r="AD1673" s="1" t="s">
        <v>971</v>
      </c>
      <c r="AG1673" s="9" t="s">
        <v>5534</v>
      </c>
      <c r="AM1673" s="1">
        <v>197283.0</v>
      </c>
      <c r="AN1673" s="1">
        <v>34767.0</v>
      </c>
      <c r="AO1673" s="1">
        <v>34767.0</v>
      </c>
      <c r="AP1673" s="1">
        <v>13.319</v>
      </c>
      <c r="AR1673" s="1">
        <v>1045.0</v>
      </c>
      <c r="AS1673" s="1">
        <v>154.0</v>
      </c>
      <c r="AT1673" s="1">
        <v>6.786</v>
      </c>
      <c r="AU1673" s="1">
        <v>70.821</v>
      </c>
      <c r="AV1673" s="1" t="s">
        <v>1264</v>
      </c>
      <c r="AW1673" s="1">
        <v>4.382</v>
      </c>
      <c r="AX1673" s="1">
        <v>4.0</v>
      </c>
      <c r="AY1673" s="1">
        <v>1.0</v>
      </c>
      <c r="AZ1673" s="1">
        <v>1.0</v>
      </c>
      <c r="BA1673" s="1">
        <v>8.0</v>
      </c>
      <c r="BB1673" s="1">
        <v>6.0</v>
      </c>
      <c r="BC1673" s="1">
        <v>0.0</v>
      </c>
      <c r="BD1673" s="1">
        <v>0.8</v>
      </c>
      <c r="BE1673" s="1">
        <v>130.0</v>
      </c>
      <c r="BF1673" s="1">
        <v>48.0</v>
      </c>
      <c r="BG1673" s="1">
        <v>0.0</v>
      </c>
      <c r="BH1673" s="1">
        <v>16.0</v>
      </c>
      <c r="BI1673" s="1">
        <v>8.0</v>
      </c>
      <c r="BJ1673" s="1">
        <v>0.0</v>
      </c>
      <c r="BO1673" s="1" t="s">
        <v>5538</v>
      </c>
      <c r="BP1673" s="1">
        <v>1.005</v>
      </c>
      <c r="BU1673" s="1" t="s">
        <v>974</v>
      </c>
      <c r="BV1673" s="1">
        <v>1.1</v>
      </c>
      <c r="EQ1673" s="9" t="s">
        <v>5534</v>
      </c>
      <c r="ER1673" s="21">
        <v>46045.30099537037</v>
      </c>
    </row>
    <row r="1674">
      <c r="A1674" s="9" t="s">
        <v>5539</v>
      </c>
      <c r="B1674" s="20" t="str">
        <f>IFERROR(__xludf.DUMMYFUNCTION("REGEXREPLACE(A1674, ""^https?://[^/]+"", """")"),"/networking-is-worthless-netweaving-is-priceless/")</f>
        <v>/networking-is-worthless-netweaving-is-priceless/</v>
      </c>
      <c r="C1674" s="1" t="s">
        <v>5540</v>
      </c>
      <c r="F1674" s="1" t="s">
        <v>965</v>
      </c>
      <c r="G1674" s="1">
        <v>200.0</v>
      </c>
      <c r="H1674" s="1" t="s">
        <v>966</v>
      </c>
      <c r="I1674" s="1" t="s">
        <v>967</v>
      </c>
      <c r="K1674" s="1" t="s">
        <v>5541</v>
      </c>
      <c r="L1674" s="1">
        <v>73.0</v>
      </c>
      <c r="M1674" s="1">
        <v>654.0</v>
      </c>
      <c r="O1674" s="1">
        <v>0.0</v>
      </c>
      <c r="P1674" s="1">
        <v>0.0</v>
      </c>
      <c r="Q1674" s="1" t="s">
        <v>5542</v>
      </c>
      <c r="R1674" s="1">
        <v>109.0</v>
      </c>
      <c r="S1674" s="1">
        <v>666.0</v>
      </c>
      <c r="U1674" s="1">
        <v>0.0</v>
      </c>
      <c r="V1674" s="1" t="s">
        <v>5540</v>
      </c>
      <c r="W1674" s="1">
        <v>48.0</v>
      </c>
      <c r="Y1674" s="1">
        <v>0.0</v>
      </c>
      <c r="AA1674" s="1">
        <v>0.0</v>
      </c>
      <c r="AC1674" s="1">
        <v>0.0</v>
      </c>
      <c r="AD1674" s="1" t="s">
        <v>971</v>
      </c>
      <c r="AG1674" s="9" t="s">
        <v>5539</v>
      </c>
      <c r="AM1674" s="1">
        <v>197549.0</v>
      </c>
      <c r="AN1674" s="1">
        <v>34730.0</v>
      </c>
      <c r="AO1674" s="1">
        <v>34730.0</v>
      </c>
      <c r="AP1674" s="1">
        <v>13.304</v>
      </c>
      <c r="AR1674" s="1">
        <v>1009.0</v>
      </c>
      <c r="AS1674" s="1">
        <v>154.0</v>
      </c>
      <c r="AT1674" s="1">
        <v>6.552</v>
      </c>
      <c r="AU1674" s="1">
        <v>65.445</v>
      </c>
      <c r="AV1674" s="1" t="s">
        <v>990</v>
      </c>
      <c r="AW1674" s="1">
        <v>4.32</v>
      </c>
      <c r="AX1674" s="1">
        <v>4.0</v>
      </c>
      <c r="AY1674" s="1">
        <v>1.0</v>
      </c>
      <c r="AZ1674" s="1">
        <v>1.0</v>
      </c>
      <c r="BA1674" s="1">
        <v>6.0</v>
      </c>
      <c r="BB1674" s="1">
        <v>6.0</v>
      </c>
      <c r="BC1674" s="1">
        <v>0.0</v>
      </c>
      <c r="BD1674" s="1">
        <v>0.8</v>
      </c>
      <c r="BE1674" s="1">
        <v>129.0</v>
      </c>
      <c r="BF1674" s="1">
        <v>47.0</v>
      </c>
      <c r="BG1674" s="1">
        <v>0.0</v>
      </c>
      <c r="BH1674" s="1">
        <v>16.0</v>
      </c>
      <c r="BI1674" s="1">
        <v>8.0</v>
      </c>
      <c r="BJ1674" s="1">
        <v>0.0</v>
      </c>
      <c r="BO1674" s="1" t="s">
        <v>5543</v>
      </c>
      <c r="BP1674" s="1">
        <v>1.01</v>
      </c>
      <c r="BU1674" s="1" t="s">
        <v>974</v>
      </c>
      <c r="BV1674" s="1">
        <v>1.1</v>
      </c>
      <c r="EQ1674" s="9" t="s">
        <v>5539</v>
      </c>
      <c r="ER1674" s="21">
        <v>46045.30100694444</v>
      </c>
    </row>
    <row r="1675">
      <c r="A1675" s="9" t="s">
        <v>5544</v>
      </c>
      <c r="B1675" s="20" t="str">
        <f>IFERROR(__xludf.DUMMYFUNCTION("REGEXREPLACE(A1675, ""^https?://[^/]+"", """")"),"/hiring-a-salesperson-start-with-a-better-sales-job-description/")</f>
        <v>/hiring-a-salesperson-start-with-a-better-sales-job-description/</v>
      </c>
      <c r="C1675" s="1" t="s">
        <v>5545</v>
      </c>
      <c r="F1675" s="1" t="s">
        <v>965</v>
      </c>
      <c r="G1675" s="1">
        <v>200.0</v>
      </c>
      <c r="H1675" s="1" t="s">
        <v>966</v>
      </c>
      <c r="I1675" s="1" t="s">
        <v>967</v>
      </c>
      <c r="K1675" s="1" t="s">
        <v>5546</v>
      </c>
      <c r="L1675" s="1">
        <v>88.0</v>
      </c>
      <c r="M1675" s="1">
        <v>774.0</v>
      </c>
      <c r="O1675" s="1">
        <v>0.0</v>
      </c>
      <c r="P1675" s="1">
        <v>0.0</v>
      </c>
      <c r="Q1675" s="1" t="s">
        <v>5547</v>
      </c>
      <c r="R1675" s="1">
        <v>133.0</v>
      </c>
      <c r="S1675" s="1">
        <v>800.0</v>
      </c>
      <c r="U1675" s="1">
        <v>0.0</v>
      </c>
      <c r="V1675" s="1" t="s">
        <v>5545</v>
      </c>
      <c r="W1675" s="1">
        <v>63.0</v>
      </c>
      <c r="Y1675" s="1">
        <v>0.0</v>
      </c>
      <c r="AA1675" s="1">
        <v>0.0</v>
      </c>
      <c r="AC1675" s="1">
        <v>0.0</v>
      </c>
      <c r="AD1675" s="1" t="s">
        <v>971</v>
      </c>
      <c r="AG1675" s="9" t="s">
        <v>5544</v>
      </c>
      <c r="AM1675" s="1">
        <v>205926.0</v>
      </c>
      <c r="AN1675" s="1">
        <v>37208.0</v>
      </c>
      <c r="AO1675" s="1">
        <v>37208.0</v>
      </c>
      <c r="AP1675" s="1">
        <v>14.254</v>
      </c>
      <c r="AR1675" s="1">
        <v>1590.0</v>
      </c>
      <c r="AS1675" s="1">
        <v>238.0</v>
      </c>
      <c r="AT1675" s="1">
        <v>6.681</v>
      </c>
      <c r="AU1675" s="1">
        <v>60.438</v>
      </c>
      <c r="AV1675" s="1" t="s">
        <v>990</v>
      </c>
      <c r="AW1675" s="1">
        <v>5.984</v>
      </c>
      <c r="AX1675" s="1">
        <v>4.0</v>
      </c>
      <c r="AY1675" s="1">
        <v>1.0</v>
      </c>
      <c r="AZ1675" s="1">
        <v>1.0</v>
      </c>
      <c r="BA1675" s="1">
        <v>5.0</v>
      </c>
      <c r="BB1675" s="1">
        <v>3.0</v>
      </c>
      <c r="BC1675" s="1">
        <v>0.0</v>
      </c>
      <c r="BD1675" s="1">
        <v>0.4</v>
      </c>
      <c r="BE1675" s="1">
        <v>131.0</v>
      </c>
      <c r="BF1675" s="1">
        <v>48.0</v>
      </c>
      <c r="BG1675" s="1">
        <v>0.0</v>
      </c>
      <c r="BH1675" s="1">
        <v>16.0</v>
      </c>
      <c r="BI1675" s="1">
        <v>8.0</v>
      </c>
      <c r="BJ1675" s="1">
        <v>0.0</v>
      </c>
      <c r="BO1675" s="1" t="s">
        <v>5548</v>
      </c>
      <c r="BP1675" s="1">
        <v>0.997</v>
      </c>
      <c r="BU1675" s="1" t="s">
        <v>974</v>
      </c>
      <c r="BV1675" s="1">
        <v>1.1</v>
      </c>
      <c r="EQ1675" s="9" t="s">
        <v>5544</v>
      </c>
      <c r="ER1675" s="21">
        <v>46045.30100694444</v>
      </c>
    </row>
    <row r="1676">
      <c r="A1676" s="9" t="s">
        <v>5549</v>
      </c>
      <c r="B1676" s="20" t="str">
        <f>IFERROR(__xludf.DUMMYFUNCTION("REGEXREPLACE(A1676, ""^https?://[^/]+"", """")"),"/hiring-sales-reps-3-tips-for-better-faster-more-profitable-sales-hires/")</f>
        <v>/hiring-sales-reps-3-tips-for-better-faster-more-profitable-sales-hires/</v>
      </c>
      <c r="C1676" s="1" t="s">
        <v>5550</v>
      </c>
      <c r="D1676" s="1" t="s">
        <v>5551</v>
      </c>
      <c r="E1676" s="1" t="s">
        <v>5552</v>
      </c>
      <c r="F1676" s="1" t="s">
        <v>965</v>
      </c>
      <c r="G1676" s="1">
        <v>200.0</v>
      </c>
      <c r="H1676" s="1" t="s">
        <v>966</v>
      </c>
      <c r="I1676" s="1" t="s">
        <v>967</v>
      </c>
      <c r="K1676" s="1" t="s">
        <v>5553</v>
      </c>
      <c r="L1676" s="1">
        <v>114.0</v>
      </c>
      <c r="M1676" s="1">
        <v>991.0</v>
      </c>
      <c r="O1676" s="1">
        <v>0.0</v>
      </c>
      <c r="P1676" s="1">
        <v>0.0</v>
      </c>
      <c r="Q1676" s="1" t="s">
        <v>5554</v>
      </c>
      <c r="R1676" s="1">
        <v>171.0</v>
      </c>
      <c r="S1676" s="1">
        <v>1015.0</v>
      </c>
      <c r="U1676" s="1">
        <v>0.0</v>
      </c>
      <c r="V1676" s="1" t="s">
        <v>5550</v>
      </c>
      <c r="W1676" s="1">
        <v>89.0</v>
      </c>
      <c r="Y1676" s="1">
        <v>0.0</v>
      </c>
      <c r="Z1676" s="1" t="s">
        <v>5551</v>
      </c>
      <c r="AA1676" s="1">
        <v>40.0</v>
      </c>
      <c r="AB1676" s="1" t="s">
        <v>5552</v>
      </c>
      <c r="AC1676" s="1">
        <v>34.0</v>
      </c>
      <c r="AD1676" s="1" t="s">
        <v>971</v>
      </c>
      <c r="AG1676" s="9" t="s">
        <v>5549</v>
      </c>
      <c r="AM1676" s="1">
        <v>207789.0</v>
      </c>
      <c r="AN1676" s="1">
        <v>38370.0</v>
      </c>
      <c r="AO1676" s="1">
        <v>38370.0</v>
      </c>
      <c r="AP1676" s="1">
        <v>14.699</v>
      </c>
      <c r="AR1676" s="1">
        <v>1874.0</v>
      </c>
      <c r="AS1676" s="1">
        <v>267.0</v>
      </c>
      <c r="AT1676" s="1">
        <v>7.019</v>
      </c>
      <c r="AU1676" s="1">
        <v>68.883</v>
      </c>
      <c r="AV1676" s="1" t="s">
        <v>990</v>
      </c>
      <c r="AW1676" s="1">
        <v>6.605</v>
      </c>
      <c r="AX1676" s="1">
        <v>4.0</v>
      </c>
      <c r="AY1676" s="1">
        <v>1.0</v>
      </c>
      <c r="AZ1676" s="1">
        <v>1.0</v>
      </c>
      <c r="BA1676" s="1">
        <v>8.0</v>
      </c>
      <c r="BB1676" s="1">
        <v>7.0</v>
      </c>
      <c r="BC1676" s="1">
        <v>0.0</v>
      </c>
      <c r="BD1676" s="1">
        <v>0.93</v>
      </c>
      <c r="BE1676" s="1">
        <v>131.0</v>
      </c>
      <c r="BF1676" s="1">
        <v>47.0</v>
      </c>
      <c r="BG1676" s="1">
        <v>0.0</v>
      </c>
      <c r="BH1676" s="1">
        <v>31.0</v>
      </c>
      <c r="BI1676" s="1">
        <v>21.0</v>
      </c>
      <c r="BJ1676" s="1">
        <v>0.0</v>
      </c>
      <c r="BO1676" s="1" t="s">
        <v>5555</v>
      </c>
      <c r="BP1676" s="1">
        <v>1.017</v>
      </c>
      <c r="BU1676" s="1" t="s">
        <v>974</v>
      </c>
      <c r="BV1676" s="1">
        <v>1.1</v>
      </c>
      <c r="EQ1676" s="9" t="s">
        <v>5549</v>
      </c>
      <c r="ER1676" s="21">
        <v>46045.30100694444</v>
      </c>
    </row>
    <row r="1677">
      <c r="A1677" s="9" t="s">
        <v>5556</v>
      </c>
      <c r="B1677" s="20" t="str">
        <f>IFERROR(__xludf.DUMMYFUNCTION("REGEXREPLACE(A1677, ""^https?://[^/]+"", """")"),"/wp-content/uploads/2020/03/Tactics_for_Team_Dominance-1-scaled-1-2048x2048.jpg")</f>
        <v>/wp-content/uploads/2020/03/Tactics_for_Team_Dominance-1-scaled-1-2048x2048.jpg</v>
      </c>
      <c r="F1677" s="1" t="s">
        <v>1004</v>
      </c>
      <c r="G1677" s="1">
        <v>200.0</v>
      </c>
      <c r="H1677" s="1" t="s">
        <v>966</v>
      </c>
      <c r="I1677" s="1" t="s">
        <v>967</v>
      </c>
      <c r="L1677" s="1">
        <v>0.0</v>
      </c>
      <c r="M1677" s="1">
        <v>0.0</v>
      </c>
      <c r="O1677" s="1">
        <v>0.0</v>
      </c>
      <c r="P1677" s="1">
        <v>0.0</v>
      </c>
      <c r="R1677" s="1">
        <v>0.0</v>
      </c>
      <c r="S1677" s="1">
        <v>0.0</v>
      </c>
      <c r="U1677" s="1">
        <v>0.0</v>
      </c>
      <c r="W1677" s="1">
        <v>0.0</v>
      </c>
      <c r="Y1677" s="1">
        <v>0.0</v>
      </c>
      <c r="AA1677" s="1">
        <v>0.0</v>
      </c>
      <c r="AC1677" s="1">
        <v>0.0</v>
      </c>
      <c r="AM1677" s="1">
        <v>208259.0</v>
      </c>
      <c r="AN1677" s="1">
        <v>208259.0</v>
      </c>
      <c r="AO1677" s="1">
        <v>208259.0</v>
      </c>
      <c r="AP1677" s="1">
        <v>79.78</v>
      </c>
      <c r="AR1677" s="1">
        <v>0.0</v>
      </c>
      <c r="AW1677" s="1">
        <v>0.0</v>
      </c>
      <c r="AX1677" s="1">
        <v>4.0</v>
      </c>
      <c r="AY1677" s="1">
        <v>4.0</v>
      </c>
      <c r="BA1677" s="1">
        <v>0.0</v>
      </c>
      <c r="BB1677" s="1">
        <v>0.0</v>
      </c>
      <c r="BC1677" s="1">
        <v>0.0</v>
      </c>
      <c r="BD1677" s="1">
        <v>0.0</v>
      </c>
      <c r="BE1677" s="1">
        <v>0.0</v>
      </c>
      <c r="BF1677" s="1">
        <v>0.0</v>
      </c>
      <c r="BG1677" s="1">
        <v>0.0</v>
      </c>
      <c r="BH1677" s="1">
        <v>0.0</v>
      </c>
      <c r="BI1677" s="1">
        <v>0.0</v>
      </c>
      <c r="BJ1677" s="1">
        <v>0.0</v>
      </c>
      <c r="BP1677" s="1">
        <v>0.265</v>
      </c>
      <c r="BQ1677" s="1" t="s">
        <v>5557</v>
      </c>
      <c r="BV1677" s="1">
        <v>1.1</v>
      </c>
      <c r="EQ1677" s="9" t="s">
        <v>5556</v>
      </c>
      <c r="ER1677" s="21">
        <v>46045.30101851852</v>
      </c>
    </row>
    <row r="1678">
      <c r="A1678" s="9" t="s">
        <v>5558</v>
      </c>
      <c r="B1678" s="20" t="str">
        <f>IFERROR(__xludf.DUMMYFUNCTION("REGEXREPLACE(A1678, ""^https?://[^/]+"", """")"),"/how-smbs-should-address-inflation-in-5-key-steps/")</f>
        <v>/how-smbs-should-address-inflation-in-5-key-steps/</v>
      </c>
      <c r="C1678" s="1" t="s">
        <v>5559</v>
      </c>
      <c r="D1678" s="1" t="s">
        <v>5560</v>
      </c>
      <c r="E1678" s="1" t="s">
        <v>5561</v>
      </c>
      <c r="F1678" s="1" t="s">
        <v>965</v>
      </c>
      <c r="G1678" s="1">
        <v>200.0</v>
      </c>
      <c r="H1678" s="1" t="s">
        <v>966</v>
      </c>
      <c r="I1678" s="1" t="s">
        <v>967</v>
      </c>
      <c r="K1678" s="1" t="s">
        <v>5562</v>
      </c>
      <c r="L1678" s="1">
        <v>67.0</v>
      </c>
      <c r="M1678" s="1">
        <v>577.0</v>
      </c>
      <c r="O1678" s="1">
        <v>0.0</v>
      </c>
      <c r="P1678" s="1">
        <v>0.0</v>
      </c>
      <c r="Q1678" s="1" t="s">
        <v>5563</v>
      </c>
      <c r="R1678" s="1">
        <v>155.0</v>
      </c>
      <c r="S1678" s="1">
        <v>948.0</v>
      </c>
      <c r="U1678" s="1">
        <v>0.0</v>
      </c>
      <c r="V1678" s="1" t="s">
        <v>5559</v>
      </c>
      <c r="W1678" s="1">
        <v>48.0</v>
      </c>
      <c r="Y1678" s="1">
        <v>0.0</v>
      </c>
      <c r="Z1678" s="1" t="s">
        <v>5560</v>
      </c>
      <c r="AA1678" s="1">
        <v>46.0</v>
      </c>
      <c r="AB1678" s="1" t="s">
        <v>5561</v>
      </c>
      <c r="AC1678" s="1">
        <v>57.0</v>
      </c>
      <c r="AD1678" s="1" t="s">
        <v>971</v>
      </c>
      <c r="AG1678" s="9" t="s">
        <v>5558</v>
      </c>
      <c r="AM1678" s="1">
        <v>210080.0</v>
      </c>
      <c r="AN1678" s="1">
        <v>38881.0</v>
      </c>
      <c r="AO1678" s="1">
        <v>38881.0</v>
      </c>
      <c r="AP1678" s="1">
        <v>14.895</v>
      </c>
      <c r="AR1678" s="1">
        <v>2520.0</v>
      </c>
      <c r="AS1678" s="1">
        <v>350.0</v>
      </c>
      <c r="AT1678" s="1">
        <v>7.2</v>
      </c>
      <c r="AU1678" s="1">
        <v>69.169</v>
      </c>
      <c r="AV1678" s="1" t="s">
        <v>990</v>
      </c>
      <c r="AW1678" s="1">
        <v>8.393</v>
      </c>
      <c r="AX1678" s="1">
        <v>4.0</v>
      </c>
      <c r="AY1678" s="1">
        <v>1.0</v>
      </c>
      <c r="AZ1678" s="1">
        <v>1.0</v>
      </c>
      <c r="BA1678" s="1">
        <v>3.0</v>
      </c>
      <c r="BB1678" s="1">
        <v>2.0</v>
      </c>
      <c r="BC1678" s="1">
        <v>0.0</v>
      </c>
      <c r="BD1678" s="1">
        <v>0.27</v>
      </c>
      <c r="BE1678" s="1">
        <v>131.0</v>
      </c>
      <c r="BF1678" s="1">
        <v>47.0</v>
      </c>
      <c r="BG1678" s="1">
        <v>0.0</v>
      </c>
      <c r="BH1678" s="1">
        <v>26.0</v>
      </c>
      <c r="BI1678" s="1">
        <v>18.0</v>
      </c>
      <c r="BJ1678" s="1">
        <v>0.0</v>
      </c>
      <c r="BO1678" s="1" t="s">
        <v>5564</v>
      </c>
      <c r="BP1678" s="1">
        <v>1.026</v>
      </c>
      <c r="BU1678" s="1" t="s">
        <v>974</v>
      </c>
      <c r="BV1678" s="1">
        <v>1.1</v>
      </c>
      <c r="EQ1678" s="9" t="s">
        <v>5558</v>
      </c>
      <c r="ER1678" s="21">
        <v>46045.30100694444</v>
      </c>
    </row>
    <row r="1679">
      <c r="A1679" s="9" t="s">
        <v>5565</v>
      </c>
      <c r="B1679" s="20" t="str">
        <f>IFERROR(__xludf.DUMMYFUNCTION("REGEXREPLACE(A1679, ""^https?://[^/]+"", """")"),"/what-are-sales-metrics-and-which-ones-are-essential-to-improving-sales-performance/")</f>
        <v>/what-are-sales-metrics-and-which-ones-are-essential-to-improving-sales-performance/</v>
      </c>
      <c r="C1679" s="1" t="s">
        <v>5566</v>
      </c>
      <c r="F1679" s="1" t="s">
        <v>965</v>
      </c>
      <c r="G1679" s="1">
        <v>200.0</v>
      </c>
      <c r="H1679" s="1" t="s">
        <v>966</v>
      </c>
      <c r="I1679" s="1" t="s">
        <v>967</v>
      </c>
      <c r="K1679" s="1" t="s">
        <v>5567</v>
      </c>
      <c r="L1679" s="1">
        <v>117.0</v>
      </c>
      <c r="M1679" s="1">
        <v>1070.0</v>
      </c>
      <c r="O1679" s="1">
        <v>0.0</v>
      </c>
      <c r="P1679" s="1">
        <v>0.0</v>
      </c>
      <c r="Q1679" s="1" t="s">
        <v>5568</v>
      </c>
      <c r="R1679" s="1">
        <v>149.0</v>
      </c>
      <c r="S1679" s="1">
        <v>924.0</v>
      </c>
      <c r="U1679" s="1">
        <v>0.0</v>
      </c>
      <c r="V1679" s="1" t="s">
        <v>5566</v>
      </c>
      <c r="W1679" s="1">
        <v>92.0</v>
      </c>
      <c r="Y1679" s="1">
        <v>0.0</v>
      </c>
      <c r="AA1679" s="1">
        <v>0.0</v>
      </c>
      <c r="AC1679" s="1">
        <v>0.0</v>
      </c>
      <c r="AD1679" s="1" t="s">
        <v>971</v>
      </c>
      <c r="AG1679" s="9" t="s">
        <v>5565</v>
      </c>
      <c r="AM1679" s="1">
        <v>203328.0</v>
      </c>
      <c r="AN1679" s="1">
        <v>36523.0</v>
      </c>
      <c r="AO1679" s="1">
        <v>36523.0</v>
      </c>
      <c r="AP1679" s="1">
        <v>13.991</v>
      </c>
      <c r="AR1679" s="1">
        <v>1424.0</v>
      </c>
      <c r="AS1679" s="1">
        <v>214.0</v>
      </c>
      <c r="AT1679" s="1">
        <v>6.654</v>
      </c>
      <c r="AU1679" s="1">
        <v>58.685</v>
      </c>
      <c r="AV1679" s="1" t="s">
        <v>972</v>
      </c>
      <c r="AW1679" s="1">
        <v>5.595</v>
      </c>
      <c r="AX1679" s="1">
        <v>4.0</v>
      </c>
      <c r="AY1679" s="1">
        <v>1.0</v>
      </c>
      <c r="AZ1679" s="1">
        <v>1.0</v>
      </c>
      <c r="BA1679" s="1">
        <v>8.0</v>
      </c>
      <c r="BB1679" s="1">
        <v>7.0</v>
      </c>
      <c r="BC1679" s="1">
        <v>0.0</v>
      </c>
      <c r="BD1679" s="1">
        <v>0.93</v>
      </c>
      <c r="BE1679" s="1">
        <v>130.0</v>
      </c>
      <c r="BF1679" s="1">
        <v>47.0</v>
      </c>
      <c r="BG1679" s="1">
        <v>0.0</v>
      </c>
      <c r="BH1679" s="1">
        <v>16.0</v>
      </c>
      <c r="BI1679" s="1">
        <v>8.0</v>
      </c>
      <c r="BJ1679" s="1">
        <v>0.0</v>
      </c>
      <c r="BO1679" s="1" t="s">
        <v>5569</v>
      </c>
      <c r="BP1679" s="1">
        <v>0.979</v>
      </c>
      <c r="BU1679" s="1" t="s">
        <v>974</v>
      </c>
      <c r="BV1679" s="1">
        <v>1.1</v>
      </c>
      <c r="EQ1679" s="9" t="s">
        <v>5565</v>
      </c>
      <c r="ER1679" s="21">
        <v>46045.30101851852</v>
      </c>
    </row>
    <row r="1680">
      <c r="A1680" s="9" t="s">
        <v>5570</v>
      </c>
      <c r="B1680" s="20" t="str">
        <f>IFERROR(__xludf.DUMMYFUNCTION("REGEXREPLACE(A1680, ""^https?://[^/]+"", """")"),"/wp-content/themes/salesxceleratione/assets/css/style.css?ver=1769123512")</f>
        <v>/wp-content/themes/salesxceleratione/assets/css/style.css?ver=1769123512</v>
      </c>
      <c r="F1680" s="1" t="s">
        <v>1016</v>
      </c>
      <c r="G1680" s="1">
        <v>200.0</v>
      </c>
      <c r="H1680" s="1" t="s">
        <v>966</v>
      </c>
      <c r="I1680" s="1" t="s">
        <v>967</v>
      </c>
      <c r="L1680" s="1">
        <v>0.0</v>
      </c>
      <c r="M1680" s="1">
        <v>0.0</v>
      </c>
      <c r="O1680" s="1">
        <v>0.0</v>
      </c>
      <c r="P1680" s="1">
        <v>0.0</v>
      </c>
      <c r="R1680" s="1">
        <v>0.0</v>
      </c>
      <c r="S1680" s="1">
        <v>0.0</v>
      </c>
      <c r="U1680" s="1">
        <v>0.0</v>
      </c>
      <c r="W1680" s="1">
        <v>0.0</v>
      </c>
      <c r="Y1680" s="1">
        <v>0.0</v>
      </c>
      <c r="AA1680" s="1">
        <v>0.0</v>
      </c>
      <c r="AC1680" s="1">
        <v>0.0</v>
      </c>
      <c r="AM1680" s="1">
        <v>17704.0</v>
      </c>
      <c r="AN1680" s="1">
        <v>17704.0</v>
      </c>
      <c r="AO1680" s="1">
        <v>17704.0</v>
      </c>
      <c r="AP1680" s="1">
        <v>6.782</v>
      </c>
      <c r="AR1680" s="1">
        <v>0.0</v>
      </c>
      <c r="AW1680" s="1">
        <v>0.0</v>
      </c>
      <c r="AX1680" s="1">
        <v>4.0</v>
      </c>
      <c r="AY1680" s="1">
        <v>5.0</v>
      </c>
      <c r="BA1680" s="1">
        <v>0.0</v>
      </c>
      <c r="BB1680" s="1">
        <v>0.0</v>
      </c>
      <c r="BC1680" s="1">
        <v>0.0</v>
      </c>
      <c r="BD1680" s="1">
        <v>0.0</v>
      </c>
      <c r="BE1680" s="1">
        <v>0.0</v>
      </c>
      <c r="BF1680" s="1">
        <v>0.0</v>
      </c>
      <c r="BG1680" s="1">
        <v>0.0</v>
      </c>
      <c r="BH1680" s="1">
        <v>0.0</v>
      </c>
      <c r="BI1680" s="1">
        <v>0.0</v>
      </c>
      <c r="BJ1680" s="1">
        <v>0.0</v>
      </c>
      <c r="BP1680" s="1">
        <v>0.284</v>
      </c>
      <c r="BQ1680" s="1" t="s">
        <v>5571</v>
      </c>
      <c r="BV1680" s="1">
        <v>1.1</v>
      </c>
      <c r="EQ1680" s="9" t="s">
        <v>5570</v>
      </c>
      <c r="ER1680" s="21">
        <v>46045.301041666666</v>
      </c>
    </row>
    <row r="1681">
      <c r="A1681" s="9" t="s">
        <v>5572</v>
      </c>
      <c r="B1681" s="20" t="str">
        <f>IFERROR(__xludf.DUMMYFUNCTION("REGEXREPLACE(A1681, ""^https?://[^/]+"", """")"),"/wp-content/uploads/2020/02/SX-Effective_Sales_Vision_Statement-2048x2048.jpg")</f>
        <v>/wp-content/uploads/2020/02/SX-Effective_Sales_Vision_Statement-2048x2048.jpg</v>
      </c>
      <c r="F1681" s="1" t="s">
        <v>1004</v>
      </c>
      <c r="G1681" s="1">
        <v>200.0</v>
      </c>
      <c r="H1681" s="1" t="s">
        <v>966</v>
      </c>
      <c r="I1681" s="1" t="s">
        <v>967</v>
      </c>
      <c r="L1681" s="1">
        <v>0.0</v>
      </c>
      <c r="M1681" s="1">
        <v>0.0</v>
      </c>
      <c r="O1681" s="1">
        <v>0.0</v>
      </c>
      <c r="P1681" s="1">
        <v>0.0</v>
      </c>
      <c r="R1681" s="1">
        <v>0.0</v>
      </c>
      <c r="S1681" s="1">
        <v>0.0</v>
      </c>
      <c r="U1681" s="1">
        <v>0.0</v>
      </c>
      <c r="W1681" s="1">
        <v>0.0</v>
      </c>
      <c r="Y1681" s="1">
        <v>0.0</v>
      </c>
      <c r="AA1681" s="1">
        <v>0.0</v>
      </c>
      <c r="AC1681" s="1">
        <v>0.0</v>
      </c>
      <c r="AM1681" s="1">
        <v>357775.0</v>
      </c>
      <c r="AN1681" s="1">
        <v>357775.0</v>
      </c>
      <c r="AO1681" s="1">
        <v>357775.0</v>
      </c>
      <c r="AP1681" s="1">
        <v>137.057</v>
      </c>
      <c r="AR1681" s="1">
        <v>0.0</v>
      </c>
      <c r="AW1681" s="1">
        <v>0.0</v>
      </c>
      <c r="AX1681" s="1">
        <v>4.0</v>
      </c>
      <c r="AY1681" s="1">
        <v>4.0</v>
      </c>
      <c r="BA1681" s="1">
        <v>0.0</v>
      </c>
      <c r="BB1681" s="1">
        <v>0.0</v>
      </c>
      <c r="BC1681" s="1">
        <v>0.0</v>
      </c>
      <c r="BD1681" s="1">
        <v>0.0</v>
      </c>
      <c r="BE1681" s="1">
        <v>0.0</v>
      </c>
      <c r="BF1681" s="1">
        <v>0.0</v>
      </c>
      <c r="BG1681" s="1">
        <v>0.0</v>
      </c>
      <c r="BH1681" s="1">
        <v>0.0</v>
      </c>
      <c r="BI1681" s="1">
        <v>0.0</v>
      </c>
      <c r="BJ1681" s="1">
        <v>0.0</v>
      </c>
      <c r="BP1681" s="1">
        <v>1.27</v>
      </c>
      <c r="BQ1681" s="1" t="s">
        <v>5573</v>
      </c>
      <c r="BV1681" s="1">
        <v>1.1</v>
      </c>
      <c r="EQ1681" s="9" t="s">
        <v>5572</v>
      </c>
      <c r="ER1681" s="21">
        <v>46045.301030092596</v>
      </c>
    </row>
    <row r="1682">
      <c r="A1682" s="9" t="s">
        <v>5574</v>
      </c>
      <c r="B1682" s="20" t="str">
        <f>IFERROR(__xludf.DUMMYFUNCTION("REGEXREPLACE(A1682, ""^https?://[^/]+"", """")"),"/wp-content/uploads/2020/05/hiring-skilled-sales-reps-image-2048x2048.jpg")</f>
        <v>/wp-content/uploads/2020/05/hiring-skilled-sales-reps-image-2048x2048.jpg</v>
      </c>
      <c r="F1682" s="1" t="s">
        <v>1004</v>
      </c>
      <c r="G1682" s="1">
        <v>200.0</v>
      </c>
      <c r="H1682" s="1" t="s">
        <v>966</v>
      </c>
      <c r="I1682" s="1" t="s">
        <v>967</v>
      </c>
      <c r="L1682" s="1">
        <v>0.0</v>
      </c>
      <c r="M1682" s="1">
        <v>0.0</v>
      </c>
      <c r="O1682" s="1">
        <v>0.0</v>
      </c>
      <c r="P1682" s="1">
        <v>0.0</v>
      </c>
      <c r="R1682" s="1">
        <v>0.0</v>
      </c>
      <c r="S1682" s="1">
        <v>0.0</v>
      </c>
      <c r="U1682" s="1">
        <v>0.0</v>
      </c>
      <c r="W1682" s="1">
        <v>0.0</v>
      </c>
      <c r="Y1682" s="1">
        <v>0.0</v>
      </c>
      <c r="AA1682" s="1">
        <v>0.0</v>
      </c>
      <c r="AC1682" s="1">
        <v>0.0</v>
      </c>
      <c r="AM1682" s="1">
        <v>353265.0</v>
      </c>
      <c r="AN1682" s="1">
        <v>353265.0</v>
      </c>
      <c r="AO1682" s="1">
        <v>353265.0</v>
      </c>
      <c r="AP1682" s="1">
        <v>135.329</v>
      </c>
      <c r="AR1682" s="1">
        <v>0.0</v>
      </c>
      <c r="AW1682" s="1">
        <v>0.0</v>
      </c>
      <c r="AX1682" s="1">
        <v>4.0</v>
      </c>
      <c r="AY1682" s="1">
        <v>4.0</v>
      </c>
      <c r="BA1682" s="1">
        <v>0.0</v>
      </c>
      <c r="BB1682" s="1">
        <v>0.0</v>
      </c>
      <c r="BC1682" s="1">
        <v>0.0</v>
      </c>
      <c r="BD1682" s="1">
        <v>0.0</v>
      </c>
      <c r="BE1682" s="1">
        <v>0.0</v>
      </c>
      <c r="BF1682" s="1">
        <v>0.0</v>
      </c>
      <c r="BG1682" s="1">
        <v>0.0</v>
      </c>
      <c r="BH1682" s="1">
        <v>0.0</v>
      </c>
      <c r="BI1682" s="1">
        <v>0.0</v>
      </c>
      <c r="BJ1682" s="1">
        <v>0.0</v>
      </c>
      <c r="BP1682" s="1">
        <v>0.275</v>
      </c>
      <c r="BQ1682" s="1" t="s">
        <v>5575</v>
      </c>
      <c r="BV1682" s="1">
        <v>1.1</v>
      </c>
      <c r="EQ1682" s="9" t="s">
        <v>5574</v>
      </c>
      <c r="ER1682" s="21">
        <v>46045.301041666666</v>
      </c>
    </row>
    <row r="1683">
      <c r="A1683" s="9" t="s">
        <v>5576</v>
      </c>
      <c r="B1683" s="20" t="str">
        <f>IFERROR(__xludf.DUMMYFUNCTION("REGEXREPLACE(A1683, ""^https?://[^/]+"", """")"),"/wp-content/uploads/2020/03/What_are_Sales_Metrics-1-2048x2048.jpg")</f>
        <v>/wp-content/uploads/2020/03/What_are_Sales_Metrics-1-2048x2048.jpg</v>
      </c>
      <c r="F1683" s="1" t="s">
        <v>1004</v>
      </c>
      <c r="G1683" s="1">
        <v>200.0</v>
      </c>
      <c r="H1683" s="1" t="s">
        <v>966</v>
      </c>
      <c r="I1683" s="1" t="s">
        <v>967</v>
      </c>
      <c r="L1683" s="1">
        <v>0.0</v>
      </c>
      <c r="M1683" s="1">
        <v>0.0</v>
      </c>
      <c r="O1683" s="1">
        <v>0.0</v>
      </c>
      <c r="P1683" s="1">
        <v>0.0</v>
      </c>
      <c r="R1683" s="1">
        <v>0.0</v>
      </c>
      <c r="S1683" s="1">
        <v>0.0</v>
      </c>
      <c r="U1683" s="1">
        <v>0.0</v>
      </c>
      <c r="W1683" s="1">
        <v>0.0</v>
      </c>
      <c r="Y1683" s="1">
        <v>0.0</v>
      </c>
      <c r="AA1683" s="1">
        <v>0.0</v>
      </c>
      <c r="AC1683" s="1">
        <v>0.0</v>
      </c>
      <c r="AM1683" s="1">
        <v>230064.0</v>
      </c>
      <c r="AN1683" s="1">
        <v>230064.0</v>
      </c>
      <c r="AO1683" s="1">
        <v>230064.0</v>
      </c>
      <c r="AP1683" s="1">
        <v>88.133</v>
      </c>
      <c r="AR1683" s="1">
        <v>0.0</v>
      </c>
      <c r="AW1683" s="1">
        <v>0.0</v>
      </c>
      <c r="AX1683" s="1">
        <v>4.0</v>
      </c>
      <c r="AY1683" s="1">
        <v>4.0</v>
      </c>
      <c r="BA1683" s="1">
        <v>0.0</v>
      </c>
      <c r="BB1683" s="1">
        <v>0.0</v>
      </c>
      <c r="BC1683" s="1">
        <v>0.0</v>
      </c>
      <c r="BD1683" s="1">
        <v>0.0</v>
      </c>
      <c r="BE1683" s="1">
        <v>0.0</v>
      </c>
      <c r="BF1683" s="1">
        <v>0.0</v>
      </c>
      <c r="BG1683" s="1">
        <v>0.0</v>
      </c>
      <c r="BH1683" s="1">
        <v>0.0</v>
      </c>
      <c r="BI1683" s="1">
        <v>0.0</v>
      </c>
      <c r="BJ1683" s="1">
        <v>0.0</v>
      </c>
      <c r="BP1683" s="1">
        <v>0.27</v>
      </c>
      <c r="BQ1683" s="1" t="s">
        <v>5577</v>
      </c>
      <c r="BV1683" s="1">
        <v>1.1</v>
      </c>
      <c r="EQ1683" s="9" t="s">
        <v>5576</v>
      </c>
      <c r="ER1683" s="21">
        <v>46045.30105324074</v>
      </c>
    </row>
    <row r="1684">
      <c r="A1684" s="9" t="s">
        <v>5578</v>
      </c>
      <c r="B1684" s="20" t="str">
        <f>IFERROR(__xludf.DUMMYFUNCTION("REGEXREPLACE(A1684, ""^https?://[^/]+"", """")"),"/wp-content/uploads/2022/12/Recession.jpg")</f>
        <v>/wp-content/uploads/2022/12/Recession.jpg</v>
      </c>
      <c r="F1684" s="1" t="s">
        <v>1004</v>
      </c>
      <c r="G1684" s="1">
        <v>200.0</v>
      </c>
      <c r="H1684" s="1" t="s">
        <v>966</v>
      </c>
      <c r="I1684" s="1" t="s">
        <v>967</v>
      </c>
      <c r="L1684" s="1">
        <v>0.0</v>
      </c>
      <c r="M1684" s="1">
        <v>0.0</v>
      </c>
      <c r="O1684" s="1">
        <v>0.0</v>
      </c>
      <c r="P1684" s="1">
        <v>0.0</v>
      </c>
      <c r="R1684" s="1">
        <v>0.0</v>
      </c>
      <c r="S1684" s="1">
        <v>0.0</v>
      </c>
      <c r="U1684" s="1">
        <v>0.0</v>
      </c>
      <c r="W1684" s="1">
        <v>0.0</v>
      </c>
      <c r="Y1684" s="1">
        <v>0.0</v>
      </c>
      <c r="AA1684" s="1">
        <v>0.0</v>
      </c>
      <c r="AC1684" s="1">
        <v>0.0</v>
      </c>
      <c r="AM1684" s="1">
        <v>232723.0</v>
      </c>
      <c r="AN1684" s="1">
        <v>232723.0</v>
      </c>
      <c r="AO1684" s="1">
        <v>232723.0</v>
      </c>
      <c r="AP1684" s="1">
        <v>89.152</v>
      </c>
      <c r="AR1684" s="1">
        <v>0.0</v>
      </c>
      <c r="AW1684" s="1">
        <v>0.0</v>
      </c>
      <c r="AX1684" s="1">
        <v>4.0</v>
      </c>
      <c r="AY1684" s="1">
        <v>4.0</v>
      </c>
      <c r="BA1684" s="1">
        <v>0.0</v>
      </c>
      <c r="BB1684" s="1">
        <v>0.0</v>
      </c>
      <c r="BC1684" s="1">
        <v>0.0</v>
      </c>
      <c r="BD1684" s="1">
        <v>0.0</v>
      </c>
      <c r="BE1684" s="1">
        <v>0.0</v>
      </c>
      <c r="BF1684" s="1">
        <v>0.0</v>
      </c>
      <c r="BG1684" s="1">
        <v>0.0</v>
      </c>
      <c r="BH1684" s="1">
        <v>0.0</v>
      </c>
      <c r="BI1684" s="1">
        <v>0.0</v>
      </c>
      <c r="BJ1684" s="1">
        <v>0.0</v>
      </c>
      <c r="BP1684" s="1">
        <v>0.275</v>
      </c>
      <c r="BQ1684" s="1" t="s">
        <v>5579</v>
      </c>
      <c r="BV1684" s="1">
        <v>1.1</v>
      </c>
      <c r="EQ1684" s="9" t="s">
        <v>5578</v>
      </c>
      <c r="ER1684" s="21">
        <v>46045.30105324074</v>
      </c>
    </row>
    <row r="1685">
      <c r="A1685" s="9" t="s">
        <v>5580</v>
      </c>
      <c r="B1685" s="20" t="str">
        <f>IFERROR(__xludf.DUMMYFUNCTION("REGEXREPLACE(A1685, ""^https?://[^/]+"", """")"),"/tactics-to-guarantee-your-team-will-dominate-the-new-year/")</f>
        <v>/tactics-to-guarantee-your-team-will-dominate-the-new-year/</v>
      </c>
      <c r="C1685" s="1" t="s">
        <v>5581</v>
      </c>
      <c r="D1685" s="1" t="s">
        <v>5582</v>
      </c>
      <c r="F1685" s="1" t="s">
        <v>965</v>
      </c>
      <c r="G1685" s="1">
        <v>200.0</v>
      </c>
      <c r="H1685" s="1" t="s">
        <v>966</v>
      </c>
      <c r="I1685" s="1" t="s">
        <v>967</v>
      </c>
      <c r="K1685" s="1" t="s">
        <v>5583</v>
      </c>
      <c r="L1685" s="1">
        <v>115.0</v>
      </c>
      <c r="M1685" s="1">
        <v>1082.0</v>
      </c>
      <c r="O1685" s="1">
        <v>0.0</v>
      </c>
      <c r="P1685" s="1">
        <v>0.0</v>
      </c>
      <c r="Q1685" s="1" t="s">
        <v>5584</v>
      </c>
      <c r="R1685" s="1">
        <v>109.0</v>
      </c>
      <c r="S1685" s="1">
        <v>648.0</v>
      </c>
      <c r="U1685" s="1">
        <v>0.0</v>
      </c>
      <c r="V1685" s="1" t="s">
        <v>5581</v>
      </c>
      <c r="W1685" s="1">
        <v>90.0</v>
      </c>
      <c r="Y1685" s="1">
        <v>0.0</v>
      </c>
      <c r="Z1685" s="1" t="s">
        <v>5582</v>
      </c>
      <c r="AA1685" s="1">
        <v>57.0</v>
      </c>
      <c r="AC1685" s="1">
        <v>0.0</v>
      </c>
      <c r="AD1685" s="1" t="s">
        <v>971</v>
      </c>
      <c r="AG1685" s="9" t="s">
        <v>5580</v>
      </c>
      <c r="AM1685" s="1">
        <v>204913.0</v>
      </c>
      <c r="AN1685" s="1">
        <v>37037.0</v>
      </c>
      <c r="AO1685" s="1">
        <v>37037.0</v>
      </c>
      <c r="AP1685" s="1">
        <v>14.188</v>
      </c>
      <c r="AR1685" s="1">
        <v>1530.0</v>
      </c>
      <c r="AS1685" s="1">
        <v>225.0</v>
      </c>
      <c r="AT1685" s="1">
        <v>6.8</v>
      </c>
      <c r="AU1685" s="1">
        <v>66.508</v>
      </c>
      <c r="AV1685" s="1" t="s">
        <v>990</v>
      </c>
      <c r="AW1685" s="1">
        <v>5.756</v>
      </c>
      <c r="AX1685" s="1">
        <v>4.0</v>
      </c>
      <c r="AY1685" s="1">
        <v>1.0</v>
      </c>
      <c r="AZ1685" s="1">
        <v>1.0</v>
      </c>
      <c r="BA1685" s="1">
        <v>11.0</v>
      </c>
      <c r="BB1685" s="1">
        <v>10.0</v>
      </c>
      <c r="BC1685" s="1">
        <v>0.0</v>
      </c>
      <c r="BD1685" s="1">
        <v>1.33</v>
      </c>
      <c r="BE1685" s="1">
        <v>129.0</v>
      </c>
      <c r="BF1685" s="1">
        <v>47.0</v>
      </c>
      <c r="BG1685" s="1">
        <v>0.0</v>
      </c>
      <c r="BH1685" s="1">
        <v>18.0</v>
      </c>
      <c r="BI1685" s="1">
        <v>10.0</v>
      </c>
      <c r="BJ1685" s="1">
        <v>0.0</v>
      </c>
      <c r="BO1685" s="1" t="s">
        <v>5585</v>
      </c>
      <c r="BP1685" s="1">
        <v>1.023</v>
      </c>
      <c r="BU1685" s="1" t="s">
        <v>974</v>
      </c>
      <c r="BV1685" s="1">
        <v>1.1</v>
      </c>
      <c r="EQ1685" s="9" t="s">
        <v>5580</v>
      </c>
      <c r="ER1685" s="21">
        <v>46045.301041666666</v>
      </c>
    </row>
    <row r="1686">
      <c r="A1686" s="9" t="s">
        <v>5586</v>
      </c>
      <c r="B1686" s="20" t="str">
        <f>IFERROR(__xludf.DUMMYFUNCTION("REGEXREPLACE(A1686, ""^https?://[^/]+"", """")"),"/wp-content/uploads/2024/06/Lawson-Kevin-100x100.jpg")</f>
        <v>/wp-content/uploads/2024/06/Lawson-Kevin-100x100.jpg</v>
      </c>
      <c r="F1686" s="1" t="s">
        <v>1004</v>
      </c>
      <c r="G1686" s="1">
        <v>200.0</v>
      </c>
      <c r="H1686" s="1" t="s">
        <v>966</v>
      </c>
      <c r="I1686" s="1" t="s">
        <v>967</v>
      </c>
      <c r="L1686" s="1">
        <v>0.0</v>
      </c>
      <c r="M1686" s="1">
        <v>0.0</v>
      </c>
      <c r="O1686" s="1">
        <v>0.0</v>
      </c>
      <c r="P1686" s="1">
        <v>0.0</v>
      </c>
      <c r="R1686" s="1">
        <v>0.0</v>
      </c>
      <c r="S1686" s="1">
        <v>0.0</v>
      </c>
      <c r="U1686" s="1">
        <v>0.0</v>
      </c>
      <c r="W1686" s="1">
        <v>0.0</v>
      </c>
      <c r="Y1686" s="1">
        <v>0.0</v>
      </c>
      <c r="AA1686" s="1">
        <v>0.0</v>
      </c>
      <c r="AC1686" s="1">
        <v>0.0</v>
      </c>
      <c r="AM1686" s="1">
        <v>3015.0</v>
      </c>
      <c r="AN1686" s="1">
        <v>3015.0</v>
      </c>
      <c r="AO1686" s="1">
        <v>3015.0</v>
      </c>
      <c r="AP1686" s="1">
        <v>1.155</v>
      </c>
      <c r="AR1686" s="1">
        <v>0.0</v>
      </c>
      <c r="AW1686" s="1">
        <v>0.0</v>
      </c>
      <c r="AX1686" s="1">
        <v>4.0</v>
      </c>
      <c r="AY1686" s="1">
        <v>4.0</v>
      </c>
      <c r="BA1686" s="1">
        <v>0.0</v>
      </c>
      <c r="BB1686" s="1">
        <v>0.0</v>
      </c>
      <c r="BC1686" s="1">
        <v>0.0</v>
      </c>
      <c r="BD1686" s="1">
        <v>0.0</v>
      </c>
      <c r="BE1686" s="1">
        <v>0.0</v>
      </c>
      <c r="BF1686" s="1">
        <v>0.0</v>
      </c>
      <c r="BG1686" s="1">
        <v>0.0</v>
      </c>
      <c r="BH1686" s="1">
        <v>0.0</v>
      </c>
      <c r="BI1686" s="1">
        <v>0.0</v>
      </c>
      <c r="BJ1686" s="1">
        <v>0.0</v>
      </c>
      <c r="BP1686" s="1">
        <v>0.275</v>
      </c>
      <c r="BQ1686" s="1" t="s">
        <v>5587</v>
      </c>
      <c r="BV1686" s="1">
        <v>1.1</v>
      </c>
      <c r="EQ1686" s="9" t="s">
        <v>5586</v>
      </c>
      <c r="ER1686" s="21">
        <v>46045.30105324074</v>
      </c>
    </row>
    <row r="1687">
      <c r="A1687" s="9" t="s">
        <v>5588</v>
      </c>
      <c r="B1687" s="20" t="str">
        <f>IFERROR(__xludf.DUMMYFUNCTION("REGEXREPLACE(A1687, ""^https?://[^/]+"", """")"),"/sales-agility-assessment?locationid=28995327")</f>
        <v>/sales-agility-assessment?locationid=28995327</v>
      </c>
      <c r="F1687" s="1" t="s">
        <v>965</v>
      </c>
      <c r="G1687" s="1">
        <v>301.0</v>
      </c>
      <c r="H1687" s="1" t="s">
        <v>1304</v>
      </c>
      <c r="I1687" s="1" t="s">
        <v>1214</v>
      </c>
      <c r="J1687" s="1" t="s">
        <v>1305</v>
      </c>
      <c r="L1687" s="1">
        <v>0.0</v>
      </c>
      <c r="M1687" s="1">
        <v>0.0</v>
      </c>
      <c r="O1687" s="1">
        <v>0.0</v>
      </c>
      <c r="P1687" s="1">
        <v>0.0</v>
      </c>
      <c r="R1687" s="1">
        <v>0.0</v>
      </c>
      <c r="S1687" s="1">
        <v>0.0</v>
      </c>
      <c r="U1687" s="1">
        <v>0.0</v>
      </c>
      <c r="W1687" s="1">
        <v>0.0</v>
      </c>
      <c r="Y1687" s="1">
        <v>0.0</v>
      </c>
      <c r="AA1687" s="1">
        <v>0.0</v>
      </c>
      <c r="AC1687" s="1">
        <v>0.0</v>
      </c>
      <c r="AM1687" s="1">
        <v>0.0</v>
      </c>
      <c r="AN1687" s="1">
        <v>0.0</v>
      </c>
      <c r="AO1687" s="1">
        <v>0.0</v>
      </c>
      <c r="AP1687" s="1">
        <v>0.0</v>
      </c>
      <c r="AR1687" s="1">
        <v>0.0</v>
      </c>
      <c r="AW1687" s="1">
        <v>0.0</v>
      </c>
      <c r="AX1687" s="1">
        <v>4.0</v>
      </c>
      <c r="AY1687" s="1">
        <v>0.0</v>
      </c>
      <c r="BA1687" s="1">
        <v>9.0</v>
      </c>
      <c r="BB1687" s="1">
        <v>9.0</v>
      </c>
      <c r="BC1687" s="1">
        <v>0.0</v>
      </c>
      <c r="BD1687" s="1">
        <v>1.19</v>
      </c>
      <c r="BE1687" s="1">
        <v>0.0</v>
      </c>
      <c r="BF1687" s="1">
        <v>0.0</v>
      </c>
      <c r="BG1687" s="1">
        <v>0.0</v>
      </c>
      <c r="BH1687" s="1">
        <v>0.0</v>
      </c>
      <c r="BI1687" s="1">
        <v>0.0</v>
      </c>
      <c r="BJ1687" s="1">
        <v>0.0</v>
      </c>
      <c r="BP1687" s="1">
        <v>0.567</v>
      </c>
      <c r="BR1687" s="9" t="s">
        <v>5589</v>
      </c>
      <c r="BS1687" s="1" t="s">
        <v>1307</v>
      </c>
      <c r="BV1687" s="1">
        <v>1.1</v>
      </c>
      <c r="EQ1687" s="9" t="s">
        <v>5588</v>
      </c>
      <c r="ER1687" s="21">
        <v>46045.30105324074</v>
      </c>
    </row>
    <row r="1688">
      <c r="A1688" s="9" t="s">
        <v>5590</v>
      </c>
      <c r="B1688" s="20" t="str">
        <f>IFERROR(__xludf.DUMMYFUNCTION("REGEXREPLACE(A1688, ""^https?://[^/]+"", """")"),"/sales-agility-assessment?locationid=26671639")</f>
        <v>/sales-agility-assessment?locationid=26671639</v>
      </c>
      <c r="F1688" s="1" t="s">
        <v>965</v>
      </c>
      <c r="G1688" s="1">
        <v>301.0</v>
      </c>
      <c r="H1688" s="1" t="s">
        <v>1304</v>
      </c>
      <c r="I1688" s="1" t="s">
        <v>1214</v>
      </c>
      <c r="J1688" s="1" t="s">
        <v>1305</v>
      </c>
      <c r="L1688" s="1">
        <v>0.0</v>
      </c>
      <c r="M1688" s="1">
        <v>0.0</v>
      </c>
      <c r="O1688" s="1">
        <v>0.0</v>
      </c>
      <c r="P1688" s="1">
        <v>0.0</v>
      </c>
      <c r="R1688" s="1">
        <v>0.0</v>
      </c>
      <c r="S1688" s="1">
        <v>0.0</v>
      </c>
      <c r="U1688" s="1">
        <v>0.0</v>
      </c>
      <c r="W1688" s="1">
        <v>0.0</v>
      </c>
      <c r="Y1688" s="1">
        <v>0.0</v>
      </c>
      <c r="AA1688" s="1">
        <v>0.0</v>
      </c>
      <c r="AC1688" s="1">
        <v>0.0</v>
      </c>
      <c r="AM1688" s="1">
        <v>0.0</v>
      </c>
      <c r="AN1688" s="1">
        <v>0.0</v>
      </c>
      <c r="AO1688" s="1">
        <v>0.0</v>
      </c>
      <c r="AP1688" s="1">
        <v>0.0</v>
      </c>
      <c r="AR1688" s="1">
        <v>0.0</v>
      </c>
      <c r="AW1688" s="1">
        <v>0.0</v>
      </c>
      <c r="AX1688" s="1">
        <v>4.0</v>
      </c>
      <c r="AY1688" s="1">
        <v>0.0</v>
      </c>
      <c r="BA1688" s="1">
        <v>9.0</v>
      </c>
      <c r="BB1688" s="1">
        <v>9.0</v>
      </c>
      <c r="BC1688" s="1">
        <v>0.0</v>
      </c>
      <c r="BD1688" s="1">
        <v>1.19</v>
      </c>
      <c r="BE1688" s="1">
        <v>0.0</v>
      </c>
      <c r="BF1688" s="1">
        <v>0.0</v>
      </c>
      <c r="BG1688" s="1">
        <v>0.0</v>
      </c>
      <c r="BH1688" s="1">
        <v>0.0</v>
      </c>
      <c r="BI1688" s="1">
        <v>0.0</v>
      </c>
      <c r="BJ1688" s="1">
        <v>0.0</v>
      </c>
      <c r="BP1688" s="1">
        <v>0.553</v>
      </c>
      <c r="BR1688" s="9" t="s">
        <v>5591</v>
      </c>
      <c r="BS1688" s="1" t="s">
        <v>1307</v>
      </c>
      <c r="BV1688" s="1">
        <v>1.1</v>
      </c>
      <c r="EQ1688" s="9" t="s">
        <v>5590</v>
      </c>
      <c r="ER1688" s="21">
        <v>46045.30105324074</v>
      </c>
    </row>
    <row r="1689">
      <c r="A1689" s="9" t="s">
        <v>5592</v>
      </c>
      <c r="B1689" s="20" t="str">
        <f>IFERROR(__xludf.DUMMYFUNCTION("REGEXREPLACE(A1689, ""^https?://[^/]+"", """")"),"/wp-content/uploads/2022/04/OShaughnessey-Sean-275x275-1-100x100.jpg")</f>
        <v>/wp-content/uploads/2022/04/OShaughnessey-Sean-275x275-1-100x100.jpg</v>
      </c>
      <c r="F1689" s="1" t="s">
        <v>1004</v>
      </c>
      <c r="G1689" s="1">
        <v>200.0</v>
      </c>
      <c r="H1689" s="1" t="s">
        <v>966</v>
      </c>
      <c r="I1689" s="1" t="s">
        <v>967</v>
      </c>
      <c r="L1689" s="1">
        <v>0.0</v>
      </c>
      <c r="M1689" s="1">
        <v>0.0</v>
      </c>
      <c r="O1689" s="1">
        <v>0.0</v>
      </c>
      <c r="P1689" s="1">
        <v>0.0</v>
      </c>
      <c r="R1689" s="1">
        <v>0.0</v>
      </c>
      <c r="S1689" s="1">
        <v>0.0</v>
      </c>
      <c r="U1689" s="1">
        <v>0.0</v>
      </c>
      <c r="W1689" s="1">
        <v>0.0</v>
      </c>
      <c r="Y1689" s="1">
        <v>0.0</v>
      </c>
      <c r="AA1689" s="1">
        <v>0.0</v>
      </c>
      <c r="AC1689" s="1">
        <v>0.0</v>
      </c>
      <c r="AM1689" s="1">
        <v>2590.0</v>
      </c>
      <c r="AN1689" s="1">
        <v>2590.0</v>
      </c>
      <c r="AO1689" s="1">
        <v>2590.0</v>
      </c>
      <c r="AP1689" s="1">
        <v>0.992</v>
      </c>
      <c r="AR1689" s="1">
        <v>0.0</v>
      </c>
      <c r="AW1689" s="1">
        <v>0.0</v>
      </c>
      <c r="AX1689" s="1">
        <v>4.0</v>
      </c>
      <c r="AY1689" s="1">
        <v>4.0</v>
      </c>
      <c r="BA1689" s="1">
        <v>0.0</v>
      </c>
      <c r="BB1689" s="1">
        <v>0.0</v>
      </c>
      <c r="BC1689" s="1">
        <v>0.0</v>
      </c>
      <c r="BD1689" s="1">
        <v>0.0</v>
      </c>
      <c r="BE1689" s="1">
        <v>0.0</v>
      </c>
      <c r="BF1689" s="1">
        <v>0.0</v>
      </c>
      <c r="BG1689" s="1">
        <v>0.0</v>
      </c>
      <c r="BH1689" s="1">
        <v>0.0</v>
      </c>
      <c r="BI1689" s="1">
        <v>0.0</v>
      </c>
      <c r="BJ1689" s="1">
        <v>0.0</v>
      </c>
      <c r="BP1689" s="1">
        <v>0.272</v>
      </c>
      <c r="BQ1689" s="1" t="s">
        <v>5593</v>
      </c>
      <c r="BV1689" s="1">
        <v>1.1</v>
      </c>
      <c r="EQ1689" s="9" t="s">
        <v>5592</v>
      </c>
      <c r="ER1689" s="21">
        <v>46045.30106481481</v>
      </c>
    </row>
    <row r="1690">
      <c r="A1690" s="9" t="s">
        <v>5594</v>
      </c>
      <c r="B1690" s="20" t="str">
        <f>IFERROR(__xludf.DUMMYFUNCTION("REGEXREPLACE(A1690, ""^https?://[^/]+"", """")"),"/20-20-foresight-how-to-boost-sales-looking-forward/")</f>
        <v>/20-20-foresight-how-to-boost-sales-looking-forward/</v>
      </c>
      <c r="C1690" s="1" t="s">
        <v>5595</v>
      </c>
      <c r="F1690" s="1" t="s">
        <v>965</v>
      </c>
      <c r="G1690" s="1">
        <v>200.0</v>
      </c>
      <c r="H1690" s="1" t="s">
        <v>966</v>
      </c>
      <c r="I1690" s="1" t="s">
        <v>967</v>
      </c>
      <c r="K1690" s="1" t="s">
        <v>5596</v>
      </c>
      <c r="L1690" s="1">
        <v>85.0</v>
      </c>
      <c r="M1690" s="1">
        <v>769.0</v>
      </c>
      <c r="O1690" s="1">
        <v>0.0</v>
      </c>
      <c r="P1690" s="1">
        <v>0.0</v>
      </c>
      <c r="Q1690" s="1" t="s">
        <v>5597</v>
      </c>
      <c r="R1690" s="1">
        <v>112.0</v>
      </c>
      <c r="S1690" s="1">
        <v>687.0</v>
      </c>
      <c r="U1690" s="1">
        <v>0.0</v>
      </c>
      <c r="V1690" s="1" t="s">
        <v>5595</v>
      </c>
      <c r="W1690" s="1">
        <v>60.0</v>
      </c>
      <c r="Y1690" s="1">
        <v>0.0</v>
      </c>
      <c r="AA1690" s="1">
        <v>0.0</v>
      </c>
      <c r="AC1690" s="1">
        <v>0.0</v>
      </c>
      <c r="AD1690" s="1" t="s">
        <v>971</v>
      </c>
      <c r="AG1690" s="9" t="s">
        <v>5594</v>
      </c>
      <c r="AM1690" s="1">
        <v>196871.0</v>
      </c>
      <c r="AN1690" s="1">
        <v>34023.0</v>
      </c>
      <c r="AO1690" s="1">
        <v>34023.0</v>
      </c>
      <c r="AP1690" s="1">
        <v>13.034</v>
      </c>
      <c r="AR1690" s="1">
        <v>653.0</v>
      </c>
      <c r="AS1690" s="1">
        <v>114.0</v>
      </c>
      <c r="AT1690" s="1">
        <v>5.728</v>
      </c>
      <c r="AU1690" s="1">
        <v>61.489</v>
      </c>
      <c r="AV1690" s="1" t="s">
        <v>990</v>
      </c>
      <c r="AW1690" s="1">
        <v>3.273</v>
      </c>
      <c r="AX1690" s="1">
        <v>4.0</v>
      </c>
      <c r="AY1690" s="1">
        <v>1.0</v>
      </c>
      <c r="AZ1690" s="1">
        <v>1.0</v>
      </c>
      <c r="BA1690" s="1">
        <v>17.0</v>
      </c>
      <c r="BB1690" s="1">
        <v>16.0</v>
      </c>
      <c r="BC1690" s="1">
        <v>0.0</v>
      </c>
      <c r="BD1690" s="1">
        <v>2.12</v>
      </c>
      <c r="BE1690" s="1">
        <v>129.0</v>
      </c>
      <c r="BF1690" s="1">
        <v>47.0</v>
      </c>
      <c r="BG1690" s="1">
        <v>0.0</v>
      </c>
      <c r="BH1690" s="1">
        <v>17.0</v>
      </c>
      <c r="BI1690" s="1">
        <v>9.0</v>
      </c>
      <c r="BJ1690" s="1">
        <v>0.0</v>
      </c>
      <c r="BO1690" s="1" t="s">
        <v>5598</v>
      </c>
      <c r="BP1690" s="1">
        <v>0.98</v>
      </c>
      <c r="BU1690" s="1" t="s">
        <v>974</v>
      </c>
      <c r="BV1690" s="1">
        <v>1.1</v>
      </c>
      <c r="EQ1690" s="9" t="s">
        <v>5594</v>
      </c>
      <c r="ER1690" s="21">
        <v>46045.30105324074</v>
      </c>
    </row>
    <row r="1691">
      <c r="A1691" s="9" t="s">
        <v>5599</v>
      </c>
      <c r="B1691" s="20" t="str">
        <f>IFERROR(__xludf.DUMMYFUNCTION("REGEXREPLACE(A1691, ""^https?://[^/]+"", """")"),"/author/soshaughnessy/")</f>
        <v>/author/soshaughnessy/</v>
      </c>
      <c r="C1691" s="1" t="s">
        <v>5600</v>
      </c>
      <c r="F1691" s="1" t="s">
        <v>965</v>
      </c>
      <c r="G1691" s="1">
        <v>200.0</v>
      </c>
      <c r="H1691" s="1" t="s">
        <v>966</v>
      </c>
      <c r="I1691" s="1" t="s">
        <v>967</v>
      </c>
      <c r="K1691" s="1" t="s">
        <v>5601</v>
      </c>
      <c r="L1691" s="1">
        <v>48.0</v>
      </c>
      <c r="M1691" s="1">
        <v>450.0</v>
      </c>
      <c r="O1691" s="1">
        <v>0.0</v>
      </c>
      <c r="P1691" s="1">
        <v>0.0</v>
      </c>
      <c r="R1691" s="1">
        <v>0.0</v>
      </c>
      <c r="S1691" s="1">
        <v>0.0</v>
      </c>
      <c r="U1691" s="1">
        <v>0.0</v>
      </c>
      <c r="V1691" s="1" t="s">
        <v>5600</v>
      </c>
      <c r="W1691" s="1">
        <v>19.0</v>
      </c>
      <c r="Y1691" s="1">
        <v>0.0</v>
      </c>
      <c r="AA1691" s="1">
        <v>0.0</v>
      </c>
      <c r="AC1691" s="1">
        <v>0.0</v>
      </c>
      <c r="AD1691" s="1" t="s">
        <v>971</v>
      </c>
      <c r="AG1691" s="9" t="s">
        <v>5599</v>
      </c>
      <c r="AM1691" s="1">
        <v>168617.0</v>
      </c>
      <c r="AN1691" s="1">
        <v>32035.0</v>
      </c>
      <c r="AO1691" s="1">
        <v>32035.0</v>
      </c>
      <c r="AP1691" s="1">
        <v>12.272</v>
      </c>
      <c r="AR1691" s="1">
        <v>914.0</v>
      </c>
      <c r="AS1691" s="1">
        <v>161.0</v>
      </c>
      <c r="AT1691" s="1">
        <v>5.677</v>
      </c>
      <c r="AU1691" s="1">
        <v>57.419</v>
      </c>
      <c r="AV1691" s="1" t="s">
        <v>972</v>
      </c>
      <c r="AW1691" s="1">
        <v>4.892</v>
      </c>
      <c r="AX1691" s="1">
        <v>4.0</v>
      </c>
      <c r="AY1691" s="1">
        <v>2.0</v>
      </c>
      <c r="AZ1691" s="1">
        <v>1.0</v>
      </c>
      <c r="BA1691" s="1">
        <v>24.0</v>
      </c>
      <c r="BB1691" s="1">
        <v>8.0</v>
      </c>
      <c r="BC1691" s="1">
        <v>0.0</v>
      </c>
      <c r="BD1691" s="1">
        <v>1.06</v>
      </c>
      <c r="BE1691" s="1">
        <v>147.0</v>
      </c>
      <c r="BF1691" s="1">
        <v>51.0</v>
      </c>
      <c r="BG1691" s="1">
        <v>0.0</v>
      </c>
      <c r="BH1691" s="1">
        <v>16.0</v>
      </c>
      <c r="BI1691" s="1">
        <v>8.0</v>
      </c>
      <c r="BJ1691" s="1">
        <v>0.0</v>
      </c>
      <c r="BO1691" s="1" t="s">
        <v>5602</v>
      </c>
      <c r="BP1691" s="1">
        <v>1.024</v>
      </c>
      <c r="BU1691" s="1" t="s">
        <v>974</v>
      </c>
      <c r="BV1691" s="1">
        <v>1.1</v>
      </c>
      <c r="EQ1691" s="9" t="s">
        <v>5599</v>
      </c>
      <c r="ER1691" s="21">
        <v>46045.30105324074</v>
      </c>
    </row>
    <row r="1692">
      <c r="A1692" s="9" t="s">
        <v>5603</v>
      </c>
      <c r="B1692" s="20" t="str">
        <f>IFERROR(__xludf.DUMMYFUNCTION("REGEXREPLACE(A1692, ""^https?://[^/]+"", """")"),"/wp-content/uploads/2023/04/Leadership-Styles-Sales-Growth-1.jpg")</f>
        <v>/wp-content/uploads/2023/04/Leadership-Styles-Sales-Growth-1.jpg</v>
      </c>
      <c r="F1692" s="1" t="s">
        <v>1004</v>
      </c>
      <c r="G1692" s="1">
        <v>200.0</v>
      </c>
      <c r="H1692" s="1" t="s">
        <v>966</v>
      </c>
      <c r="I1692" s="1" t="s">
        <v>967</v>
      </c>
      <c r="L1692" s="1">
        <v>0.0</v>
      </c>
      <c r="M1692" s="1">
        <v>0.0</v>
      </c>
      <c r="O1692" s="1">
        <v>0.0</v>
      </c>
      <c r="P1692" s="1">
        <v>0.0</v>
      </c>
      <c r="R1692" s="1">
        <v>0.0</v>
      </c>
      <c r="S1692" s="1">
        <v>0.0</v>
      </c>
      <c r="U1692" s="1">
        <v>0.0</v>
      </c>
      <c r="W1692" s="1">
        <v>0.0</v>
      </c>
      <c r="Y1692" s="1">
        <v>0.0</v>
      </c>
      <c r="AA1692" s="1">
        <v>0.0</v>
      </c>
      <c r="AC1692" s="1">
        <v>0.0</v>
      </c>
      <c r="AM1692" s="1">
        <v>196177.0</v>
      </c>
      <c r="AN1692" s="1">
        <v>196177.0</v>
      </c>
      <c r="AO1692" s="1">
        <v>196177.0</v>
      </c>
      <c r="AP1692" s="1">
        <v>75.152</v>
      </c>
      <c r="AR1692" s="1">
        <v>0.0</v>
      </c>
      <c r="AW1692" s="1">
        <v>0.0</v>
      </c>
      <c r="AX1692" s="1">
        <v>4.0</v>
      </c>
      <c r="AY1692" s="1">
        <v>4.0</v>
      </c>
      <c r="BA1692" s="1">
        <v>0.0</v>
      </c>
      <c r="BB1692" s="1">
        <v>0.0</v>
      </c>
      <c r="BC1692" s="1">
        <v>0.0</v>
      </c>
      <c r="BD1692" s="1">
        <v>0.0</v>
      </c>
      <c r="BE1692" s="1">
        <v>0.0</v>
      </c>
      <c r="BF1692" s="1">
        <v>0.0</v>
      </c>
      <c r="BG1692" s="1">
        <v>0.0</v>
      </c>
      <c r="BH1692" s="1">
        <v>0.0</v>
      </c>
      <c r="BI1692" s="1">
        <v>0.0</v>
      </c>
      <c r="BJ1692" s="1">
        <v>0.0</v>
      </c>
      <c r="BP1692" s="1">
        <v>0.26</v>
      </c>
      <c r="BQ1692" s="1" t="s">
        <v>5604</v>
      </c>
      <c r="BV1692" s="1">
        <v>1.1</v>
      </c>
      <c r="EQ1692" s="9" t="s">
        <v>5603</v>
      </c>
      <c r="ER1692" s="21">
        <v>46045.30106481481</v>
      </c>
    </row>
    <row r="1693">
      <c r="A1693" s="9" t="s">
        <v>5605</v>
      </c>
      <c r="B1693" s="20" t="str">
        <f>IFERROR(__xludf.DUMMYFUNCTION("REGEXREPLACE(A1693, ""^https?://[^/]+"", """")"),"/wp-content/uploads/2022/05/Discount.jpg")</f>
        <v>/wp-content/uploads/2022/05/Discount.jpg</v>
      </c>
      <c r="F1693" s="1" t="s">
        <v>1004</v>
      </c>
      <c r="G1693" s="1">
        <v>200.0</v>
      </c>
      <c r="H1693" s="1" t="s">
        <v>966</v>
      </c>
      <c r="I1693" s="1" t="s">
        <v>967</v>
      </c>
      <c r="L1693" s="1">
        <v>0.0</v>
      </c>
      <c r="M1693" s="1">
        <v>0.0</v>
      </c>
      <c r="O1693" s="1">
        <v>0.0</v>
      </c>
      <c r="P1693" s="1">
        <v>0.0</v>
      </c>
      <c r="R1693" s="1">
        <v>0.0</v>
      </c>
      <c r="S1693" s="1">
        <v>0.0</v>
      </c>
      <c r="U1693" s="1">
        <v>0.0</v>
      </c>
      <c r="W1693" s="1">
        <v>0.0</v>
      </c>
      <c r="Y1693" s="1">
        <v>0.0</v>
      </c>
      <c r="AA1693" s="1">
        <v>0.0</v>
      </c>
      <c r="AC1693" s="1">
        <v>0.0</v>
      </c>
      <c r="AM1693" s="1">
        <v>1113039.0</v>
      </c>
      <c r="AN1693" s="1">
        <v>1113039.0</v>
      </c>
      <c r="AO1693" s="1">
        <v>1113039.0</v>
      </c>
      <c r="AP1693" s="1">
        <v>426.384</v>
      </c>
      <c r="AR1693" s="1">
        <v>0.0</v>
      </c>
      <c r="AW1693" s="1">
        <v>0.0</v>
      </c>
      <c r="AX1693" s="1">
        <v>4.0</v>
      </c>
      <c r="AY1693" s="1">
        <v>4.0</v>
      </c>
      <c r="BA1693" s="1">
        <v>0.0</v>
      </c>
      <c r="BB1693" s="1">
        <v>0.0</v>
      </c>
      <c r="BC1693" s="1">
        <v>0.0</v>
      </c>
      <c r="BD1693" s="1">
        <v>0.0</v>
      </c>
      <c r="BE1693" s="1">
        <v>0.0</v>
      </c>
      <c r="BF1693" s="1">
        <v>0.0</v>
      </c>
      <c r="BG1693" s="1">
        <v>0.0</v>
      </c>
      <c r="BH1693" s="1">
        <v>0.0</v>
      </c>
      <c r="BI1693" s="1">
        <v>0.0</v>
      </c>
      <c r="BJ1693" s="1">
        <v>0.0</v>
      </c>
      <c r="BP1693" s="1">
        <v>0.27</v>
      </c>
      <c r="BQ1693" s="1" t="s">
        <v>5606</v>
      </c>
      <c r="BV1693" s="1">
        <v>1.1</v>
      </c>
      <c r="EQ1693" s="9" t="s">
        <v>5605</v>
      </c>
      <c r="ER1693" s="21">
        <v>46045.30106481481</v>
      </c>
    </row>
    <row r="1694">
      <c r="A1694" s="9" t="s">
        <v>5607</v>
      </c>
      <c r="B1694" s="20" t="str">
        <f>IFERROR(__xludf.DUMMYFUNCTION("REGEXREPLACE(A1694, ""^https?://[^/]+"", """")"),"/wp-content/uploads/2022/07/Sales-Automation-2048x2048.jpg")</f>
        <v>/wp-content/uploads/2022/07/Sales-Automation-2048x2048.jpg</v>
      </c>
      <c r="F1694" s="1" t="s">
        <v>1004</v>
      </c>
      <c r="G1694" s="1">
        <v>200.0</v>
      </c>
      <c r="H1694" s="1" t="s">
        <v>966</v>
      </c>
      <c r="I1694" s="1" t="s">
        <v>967</v>
      </c>
      <c r="L1694" s="1">
        <v>0.0</v>
      </c>
      <c r="M1694" s="1">
        <v>0.0</v>
      </c>
      <c r="O1694" s="1">
        <v>0.0</v>
      </c>
      <c r="P1694" s="1">
        <v>0.0</v>
      </c>
      <c r="R1694" s="1">
        <v>0.0</v>
      </c>
      <c r="S1694" s="1">
        <v>0.0</v>
      </c>
      <c r="U1694" s="1">
        <v>0.0</v>
      </c>
      <c r="W1694" s="1">
        <v>0.0</v>
      </c>
      <c r="Y1694" s="1">
        <v>0.0</v>
      </c>
      <c r="AA1694" s="1">
        <v>0.0</v>
      </c>
      <c r="AC1694" s="1">
        <v>0.0</v>
      </c>
      <c r="AM1694" s="1">
        <v>518317.0</v>
      </c>
      <c r="AN1694" s="1">
        <v>518317.0</v>
      </c>
      <c r="AO1694" s="1">
        <v>518317.0</v>
      </c>
      <c r="AP1694" s="1">
        <v>198.557</v>
      </c>
      <c r="AR1694" s="1">
        <v>0.0</v>
      </c>
      <c r="AW1694" s="1">
        <v>0.0</v>
      </c>
      <c r="AX1694" s="1">
        <v>4.0</v>
      </c>
      <c r="AY1694" s="1">
        <v>4.0</v>
      </c>
      <c r="BA1694" s="1">
        <v>0.0</v>
      </c>
      <c r="BB1694" s="1">
        <v>0.0</v>
      </c>
      <c r="BC1694" s="1">
        <v>0.0</v>
      </c>
      <c r="BD1694" s="1">
        <v>0.0</v>
      </c>
      <c r="BE1694" s="1">
        <v>0.0</v>
      </c>
      <c r="BF1694" s="1">
        <v>0.0</v>
      </c>
      <c r="BG1694" s="1">
        <v>0.0</v>
      </c>
      <c r="BH1694" s="1">
        <v>0.0</v>
      </c>
      <c r="BI1694" s="1">
        <v>0.0</v>
      </c>
      <c r="BJ1694" s="1">
        <v>0.0</v>
      </c>
      <c r="BP1694" s="1">
        <v>0.264</v>
      </c>
      <c r="BQ1694" s="1" t="s">
        <v>5608</v>
      </c>
      <c r="BV1694" s="1">
        <v>1.1</v>
      </c>
      <c r="EQ1694" s="9" t="s">
        <v>5607</v>
      </c>
      <c r="ER1694" s="21">
        <v>46045.30106481481</v>
      </c>
    </row>
    <row r="1695">
      <c r="A1695" s="9" t="s">
        <v>5609</v>
      </c>
      <c r="B1695" s="20" t="str">
        <f>IFERROR(__xludf.DUMMYFUNCTION("REGEXREPLACE(A1695, ""^https?://[^/]+"", """")"),"/wp-content/uploads/2022/05/chart-promostrategies.jpg")</f>
        <v>/wp-content/uploads/2022/05/chart-promostrategies.jpg</v>
      </c>
      <c r="F1695" s="1" t="s">
        <v>1004</v>
      </c>
      <c r="G1695" s="1">
        <v>200.0</v>
      </c>
      <c r="H1695" s="1" t="s">
        <v>966</v>
      </c>
      <c r="I1695" s="1" t="s">
        <v>967</v>
      </c>
      <c r="L1695" s="1">
        <v>0.0</v>
      </c>
      <c r="M1695" s="1">
        <v>0.0</v>
      </c>
      <c r="O1695" s="1">
        <v>0.0</v>
      </c>
      <c r="P1695" s="1">
        <v>0.0</v>
      </c>
      <c r="R1695" s="1">
        <v>0.0</v>
      </c>
      <c r="S1695" s="1">
        <v>0.0</v>
      </c>
      <c r="U1695" s="1">
        <v>0.0</v>
      </c>
      <c r="W1695" s="1">
        <v>0.0</v>
      </c>
      <c r="Y1695" s="1">
        <v>0.0</v>
      </c>
      <c r="AA1695" s="1">
        <v>0.0</v>
      </c>
      <c r="AC1695" s="1">
        <v>0.0</v>
      </c>
      <c r="AM1695" s="1">
        <v>23430.0</v>
      </c>
      <c r="AN1695" s="1">
        <v>23430.0</v>
      </c>
      <c r="AO1695" s="1">
        <v>23430.0</v>
      </c>
      <c r="AP1695" s="1">
        <v>8.976</v>
      </c>
      <c r="AR1695" s="1">
        <v>0.0</v>
      </c>
      <c r="AW1695" s="1">
        <v>0.0</v>
      </c>
      <c r="AX1695" s="1">
        <v>4.0</v>
      </c>
      <c r="AY1695" s="1">
        <v>4.0</v>
      </c>
      <c r="BA1695" s="1">
        <v>0.0</v>
      </c>
      <c r="BB1695" s="1">
        <v>0.0</v>
      </c>
      <c r="BC1695" s="1">
        <v>0.0</v>
      </c>
      <c r="BD1695" s="1">
        <v>0.0</v>
      </c>
      <c r="BE1695" s="1">
        <v>0.0</v>
      </c>
      <c r="BF1695" s="1">
        <v>0.0</v>
      </c>
      <c r="BG1695" s="1">
        <v>0.0</v>
      </c>
      <c r="BH1695" s="1">
        <v>0.0</v>
      </c>
      <c r="BI1695" s="1">
        <v>0.0</v>
      </c>
      <c r="BJ1695" s="1">
        <v>0.0</v>
      </c>
      <c r="BP1695" s="1">
        <v>0.272</v>
      </c>
      <c r="BQ1695" s="1" t="s">
        <v>5610</v>
      </c>
      <c r="BV1695" s="1">
        <v>1.1</v>
      </c>
      <c r="EQ1695" s="9" t="s">
        <v>5609</v>
      </c>
      <c r="ER1695" s="21">
        <v>46045.30106481481</v>
      </c>
    </row>
    <row r="1696">
      <c r="A1696" s="9" t="s">
        <v>5611</v>
      </c>
      <c r="B1696" s="20" t="str">
        <f>IFERROR(__xludf.DUMMYFUNCTION("REGEXREPLACE(A1696, ""^https?://[^/]+"", """")"),"/wp-content/uploads/2022/05/chart-pricepoints.jpg")</f>
        <v>/wp-content/uploads/2022/05/chart-pricepoints.jpg</v>
      </c>
      <c r="F1696" s="1" t="s">
        <v>1004</v>
      </c>
      <c r="G1696" s="1">
        <v>200.0</v>
      </c>
      <c r="H1696" s="1" t="s">
        <v>966</v>
      </c>
      <c r="I1696" s="1" t="s">
        <v>967</v>
      </c>
      <c r="L1696" s="1">
        <v>0.0</v>
      </c>
      <c r="M1696" s="1">
        <v>0.0</v>
      </c>
      <c r="O1696" s="1">
        <v>0.0</v>
      </c>
      <c r="P1696" s="1">
        <v>0.0</v>
      </c>
      <c r="R1696" s="1">
        <v>0.0</v>
      </c>
      <c r="S1696" s="1">
        <v>0.0</v>
      </c>
      <c r="U1696" s="1">
        <v>0.0</v>
      </c>
      <c r="W1696" s="1">
        <v>0.0</v>
      </c>
      <c r="Y1696" s="1">
        <v>0.0</v>
      </c>
      <c r="AA1696" s="1">
        <v>0.0</v>
      </c>
      <c r="AC1696" s="1">
        <v>0.0</v>
      </c>
      <c r="AM1696" s="1">
        <v>13334.0</v>
      </c>
      <c r="AN1696" s="1">
        <v>13334.0</v>
      </c>
      <c r="AO1696" s="1">
        <v>13334.0</v>
      </c>
      <c r="AP1696" s="1">
        <v>5.108</v>
      </c>
      <c r="AR1696" s="1">
        <v>0.0</v>
      </c>
      <c r="AW1696" s="1">
        <v>0.0</v>
      </c>
      <c r="AX1696" s="1">
        <v>4.0</v>
      </c>
      <c r="AY1696" s="1">
        <v>4.0</v>
      </c>
      <c r="BA1696" s="1">
        <v>0.0</v>
      </c>
      <c r="BB1696" s="1">
        <v>0.0</v>
      </c>
      <c r="BC1696" s="1">
        <v>0.0</v>
      </c>
      <c r="BD1696" s="1">
        <v>0.0</v>
      </c>
      <c r="BE1696" s="1">
        <v>0.0</v>
      </c>
      <c r="BF1696" s="1">
        <v>0.0</v>
      </c>
      <c r="BG1696" s="1">
        <v>0.0</v>
      </c>
      <c r="BH1696" s="1">
        <v>0.0</v>
      </c>
      <c r="BI1696" s="1">
        <v>0.0</v>
      </c>
      <c r="BJ1696" s="1">
        <v>0.0</v>
      </c>
      <c r="BP1696" s="1">
        <v>0.277</v>
      </c>
      <c r="BQ1696" s="1" t="s">
        <v>5612</v>
      </c>
      <c r="BV1696" s="1">
        <v>1.1</v>
      </c>
      <c r="EQ1696" s="9" t="s">
        <v>5611</v>
      </c>
      <c r="ER1696" s="21">
        <v>46045.30106481481</v>
      </c>
    </row>
    <row r="1697">
      <c r="A1697" s="9" t="s">
        <v>5613</v>
      </c>
      <c r="B1697" s="20" t="str">
        <f>IFERROR(__xludf.DUMMYFUNCTION("REGEXREPLACE(A1697, ""^https?://[^/]+"", """")"),"/wp-content/uploads/2022/11/Why-Focus-on-Sales.jpg")</f>
        <v>/wp-content/uploads/2022/11/Why-Focus-on-Sales.jpg</v>
      </c>
      <c r="F1697" s="1" t="s">
        <v>1004</v>
      </c>
      <c r="G1697" s="1">
        <v>200.0</v>
      </c>
      <c r="H1697" s="1" t="s">
        <v>966</v>
      </c>
      <c r="I1697" s="1" t="s">
        <v>967</v>
      </c>
      <c r="L1697" s="1">
        <v>0.0</v>
      </c>
      <c r="M1697" s="1">
        <v>0.0</v>
      </c>
      <c r="O1697" s="1">
        <v>0.0</v>
      </c>
      <c r="P1697" s="1">
        <v>0.0</v>
      </c>
      <c r="R1697" s="1">
        <v>0.0</v>
      </c>
      <c r="S1697" s="1">
        <v>0.0</v>
      </c>
      <c r="U1697" s="1">
        <v>0.0</v>
      </c>
      <c r="W1697" s="1">
        <v>0.0</v>
      </c>
      <c r="Y1697" s="1">
        <v>0.0</v>
      </c>
      <c r="AA1697" s="1">
        <v>0.0</v>
      </c>
      <c r="AC1697" s="1">
        <v>0.0</v>
      </c>
      <c r="AM1697" s="1">
        <v>245561.0</v>
      </c>
      <c r="AN1697" s="1">
        <v>245561.0</v>
      </c>
      <c r="AO1697" s="1">
        <v>245561.0</v>
      </c>
      <c r="AP1697" s="1">
        <v>94.07</v>
      </c>
      <c r="AR1697" s="1">
        <v>0.0</v>
      </c>
      <c r="AW1697" s="1">
        <v>0.0</v>
      </c>
      <c r="AX1697" s="1">
        <v>4.0</v>
      </c>
      <c r="AY1697" s="1">
        <v>4.0</v>
      </c>
      <c r="BA1697" s="1">
        <v>0.0</v>
      </c>
      <c r="BB1697" s="1">
        <v>0.0</v>
      </c>
      <c r="BC1697" s="1">
        <v>0.0</v>
      </c>
      <c r="BD1697" s="1">
        <v>0.0</v>
      </c>
      <c r="BE1697" s="1">
        <v>0.0</v>
      </c>
      <c r="BF1697" s="1">
        <v>0.0</v>
      </c>
      <c r="BG1697" s="1">
        <v>0.0</v>
      </c>
      <c r="BH1697" s="1">
        <v>0.0</v>
      </c>
      <c r="BI1697" s="1">
        <v>0.0</v>
      </c>
      <c r="BJ1697" s="1">
        <v>0.0</v>
      </c>
      <c r="BP1697" s="1">
        <v>0.275</v>
      </c>
      <c r="BQ1697" s="1" t="s">
        <v>5614</v>
      </c>
      <c r="BV1697" s="1">
        <v>1.1</v>
      </c>
      <c r="EQ1697" s="9" t="s">
        <v>5613</v>
      </c>
      <c r="ER1697" s="21">
        <v>46045.30107638889</v>
      </c>
    </row>
    <row r="1698">
      <c r="A1698" s="9" t="s">
        <v>5615</v>
      </c>
      <c r="B1698" s="20" t="str">
        <f>IFERROR(__xludf.DUMMYFUNCTION("REGEXREPLACE(A1698, ""^https?://[^/]+"", """")"),"/wp-content/uploads/2015/03/find-right-salesperson-sales-team-2048x2048.png")</f>
        <v>/wp-content/uploads/2015/03/find-right-salesperson-sales-team-2048x2048.png</v>
      </c>
      <c r="F1698" s="1" t="s">
        <v>1047</v>
      </c>
      <c r="G1698" s="1">
        <v>200.0</v>
      </c>
      <c r="H1698" s="1" t="s">
        <v>966</v>
      </c>
      <c r="I1698" s="1" t="s">
        <v>967</v>
      </c>
      <c r="L1698" s="1">
        <v>0.0</v>
      </c>
      <c r="M1698" s="1">
        <v>0.0</v>
      </c>
      <c r="O1698" s="1">
        <v>0.0</v>
      </c>
      <c r="P1698" s="1">
        <v>0.0</v>
      </c>
      <c r="R1698" s="1">
        <v>0.0</v>
      </c>
      <c r="S1698" s="1">
        <v>0.0</v>
      </c>
      <c r="U1698" s="1">
        <v>0.0</v>
      </c>
      <c r="W1698" s="1">
        <v>0.0</v>
      </c>
      <c r="Y1698" s="1">
        <v>0.0</v>
      </c>
      <c r="AA1698" s="1">
        <v>0.0</v>
      </c>
      <c r="AC1698" s="1">
        <v>0.0</v>
      </c>
      <c r="AM1698" s="1">
        <v>1637586.0</v>
      </c>
      <c r="AN1698" s="1">
        <v>1637586.0</v>
      </c>
      <c r="AO1698" s="1">
        <v>1637586.0</v>
      </c>
      <c r="AP1698" s="1">
        <v>627.328</v>
      </c>
      <c r="AR1698" s="1">
        <v>0.0</v>
      </c>
      <c r="AW1698" s="1">
        <v>0.0</v>
      </c>
      <c r="AX1698" s="1">
        <v>4.0</v>
      </c>
      <c r="AY1698" s="1">
        <v>4.0</v>
      </c>
      <c r="BA1698" s="1">
        <v>0.0</v>
      </c>
      <c r="BB1698" s="1">
        <v>0.0</v>
      </c>
      <c r="BC1698" s="1">
        <v>0.0</v>
      </c>
      <c r="BD1698" s="1">
        <v>0.0</v>
      </c>
      <c r="BE1698" s="1">
        <v>0.0</v>
      </c>
      <c r="BF1698" s="1">
        <v>0.0</v>
      </c>
      <c r="BG1698" s="1">
        <v>0.0</v>
      </c>
      <c r="BH1698" s="1">
        <v>0.0</v>
      </c>
      <c r="BI1698" s="1">
        <v>0.0</v>
      </c>
      <c r="BJ1698" s="1">
        <v>0.0</v>
      </c>
      <c r="BP1698" s="1">
        <v>0.275</v>
      </c>
      <c r="BQ1698" s="1" t="s">
        <v>5616</v>
      </c>
      <c r="BV1698" s="1">
        <v>1.1</v>
      </c>
      <c r="EQ1698" s="9" t="s">
        <v>5615</v>
      </c>
      <c r="ER1698" s="21">
        <v>46045.30107638889</v>
      </c>
    </row>
    <row r="1699">
      <c r="A1699" s="9" t="s">
        <v>5617</v>
      </c>
      <c r="B1699" s="20" t="str">
        <f>IFERROR(__xludf.DUMMYFUNCTION("REGEXREPLACE(A1699, ""^https?://[^/]+"", """")"),"/author/klawson/")</f>
        <v>/author/klawson/</v>
      </c>
      <c r="C1699" s="1" t="s">
        <v>5618</v>
      </c>
      <c r="F1699" s="1" t="s">
        <v>965</v>
      </c>
      <c r="G1699" s="1">
        <v>200.0</v>
      </c>
      <c r="H1699" s="1" t="s">
        <v>966</v>
      </c>
      <c r="I1699" s="1" t="s">
        <v>967</v>
      </c>
      <c r="K1699" s="1" t="s">
        <v>5619</v>
      </c>
      <c r="L1699" s="1">
        <v>41.0</v>
      </c>
      <c r="M1699" s="1">
        <v>377.0</v>
      </c>
      <c r="O1699" s="1">
        <v>0.0</v>
      </c>
      <c r="P1699" s="1">
        <v>0.0</v>
      </c>
      <c r="Q1699" s="1" t="s">
        <v>5620</v>
      </c>
      <c r="R1699" s="1">
        <v>371.0</v>
      </c>
      <c r="S1699" s="1">
        <v>2235.0</v>
      </c>
      <c r="U1699" s="1">
        <v>0.0</v>
      </c>
      <c r="V1699" s="1" t="s">
        <v>5618</v>
      </c>
      <c r="W1699" s="1">
        <v>12.0</v>
      </c>
      <c r="Y1699" s="1">
        <v>0.0</v>
      </c>
      <c r="AA1699" s="1">
        <v>0.0</v>
      </c>
      <c r="AC1699" s="1">
        <v>0.0</v>
      </c>
      <c r="AD1699" s="1" t="s">
        <v>971</v>
      </c>
      <c r="AG1699" s="9" t="s">
        <v>5617</v>
      </c>
      <c r="AM1699" s="1">
        <v>169857.0</v>
      </c>
      <c r="AN1699" s="1">
        <v>32296.0</v>
      </c>
      <c r="AO1699" s="1">
        <v>32296.0</v>
      </c>
      <c r="AP1699" s="1">
        <v>12.372</v>
      </c>
      <c r="AR1699" s="1">
        <v>897.0</v>
      </c>
      <c r="AS1699" s="1">
        <v>158.0</v>
      </c>
      <c r="AT1699" s="1">
        <v>5.677</v>
      </c>
      <c r="AU1699" s="1">
        <v>57.809</v>
      </c>
      <c r="AV1699" s="1" t="s">
        <v>972</v>
      </c>
      <c r="AW1699" s="1">
        <v>4.777</v>
      </c>
      <c r="AX1699" s="1">
        <v>4.0</v>
      </c>
      <c r="AY1699" s="1">
        <v>2.0</v>
      </c>
      <c r="AZ1699" s="1">
        <v>1.0</v>
      </c>
      <c r="BA1699" s="1">
        <v>24.0</v>
      </c>
      <c r="BB1699" s="1">
        <v>8.0</v>
      </c>
      <c r="BC1699" s="1">
        <v>0.0</v>
      </c>
      <c r="BD1699" s="1">
        <v>1.06</v>
      </c>
      <c r="BE1699" s="1">
        <v>148.0</v>
      </c>
      <c r="BF1699" s="1">
        <v>52.0</v>
      </c>
      <c r="BG1699" s="1">
        <v>0.0</v>
      </c>
      <c r="BH1699" s="1">
        <v>16.0</v>
      </c>
      <c r="BI1699" s="1">
        <v>8.0</v>
      </c>
      <c r="BJ1699" s="1">
        <v>0.0</v>
      </c>
      <c r="BO1699" s="1" t="s">
        <v>5621</v>
      </c>
      <c r="BP1699" s="1">
        <v>1.047</v>
      </c>
      <c r="BU1699" s="1" t="s">
        <v>974</v>
      </c>
      <c r="BV1699" s="1">
        <v>1.1</v>
      </c>
      <c r="EQ1699" s="9" t="s">
        <v>5617</v>
      </c>
      <c r="ER1699" s="21">
        <v>46045.30106481481</v>
      </c>
    </row>
    <row r="1700">
      <c r="A1700" s="9" t="s">
        <v>5622</v>
      </c>
      <c r="B1700" s="20" t="str">
        <f>IFERROR(__xludf.DUMMYFUNCTION("REGEXREPLACE(A1700, ""^https?://[^/]+"", """")"),"/sales-agility-assessment?locationid=22577447")</f>
        <v>/sales-agility-assessment?locationid=22577447</v>
      </c>
      <c r="F1700" s="1" t="s">
        <v>965</v>
      </c>
      <c r="G1700" s="1">
        <v>301.0</v>
      </c>
      <c r="H1700" s="1" t="s">
        <v>1304</v>
      </c>
      <c r="I1700" s="1" t="s">
        <v>1214</v>
      </c>
      <c r="J1700" s="1" t="s">
        <v>1305</v>
      </c>
      <c r="L1700" s="1">
        <v>0.0</v>
      </c>
      <c r="M1700" s="1">
        <v>0.0</v>
      </c>
      <c r="O1700" s="1">
        <v>0.0</v>
      </c>
      <c r="P1700" s="1">
        <v>0.0</v>
      </c>
      <c r="R1700" s="1">
        <v>0.0</v>
      </c>
      <c r="S1700" s="1">
        <v>0.0</v>
      </c>
      <c r="U1700" s="1">
        <v>0.0</v>
      </c>
      <c r="W1700" s="1">
        <v>0.0</v>
      </c>
      <c r="Y1700" s="1">
        <v>0.0</v>
      </c>
      <c r="AA1700" s="1">
        <v>0.0</v>
      </c>
      <c r="AC1700" s="1">
        <v>0.0</v>
      </c>
      <c r="AM1700" s="1">
        <v>0.0</v>
      </c>
      <c r="AN1700" s="1">
        <v>0.0</v>
      </c>
      <c r="AO1700" s="1">
        <v>0.0</v>
      </c>
      <c r="AP1700" s="1">
        <v>0.0</v>
      </c>
      <c r="AR1700" s="1">
        <v>0.0</v>
      </c>
      <c r="AW1700" s="1">
        <v>0.0</v>
      </c>
      <c r="AX1700" s="1">
        <v>4.0</v>
      </c>
      <c r="AY1700" s="1">
        <v>0.0</v>
      </c>
      <c r="BA1700" s="1">
        <v>16.0</v>
      </c>
      <c r="BB1700" s="1">
        <v>16.0</v>
      </c>
      <c r="BC1700" s="1">
        <v>0.0</v>
      </c>
      <c r="BD1700" s="1">
        <v>2.12</v>
      </c>
      <c r="BE1700" s="1">
        <v>0.0</v>
      </c>
      <c r="BF1700" s="1">
        <v>0.0</v>
      </c>
      <c r="BG1700" s="1">
        <v>0.0</v>
      </c>
      <c r="BH1700" s="1">
        <v>0.0</v>
      </c>
      <c r="BI1700" s="1">
        <v>0.0</v>
      </c>
      <c r="BJ1700" s="1">
        <v>0.0</v>
      </c>
      <c r="BP1700" s="1">
        <v>0.595</v>
      </c>
      <c r="BR1700" s="9" t="s">
        <v>5623</v>
      </c>
      <c r="BS1700" s="1" t="s">
        <v>1307</v>
      </c>
      <c r="BV1700" s="1">
        <v>1.1</v>
      </c>
      <c r="EQ1700" s="9" t="s">
        <v>5622</v>
      </c>
      <c r="ER1700" s="21">
        <v>46045.30107638889</v>
      </c>
    </row>
    <row r="1701">
      <c r="A1701" s="9" t="s">
        <v>5624</v>
      </c>
      <c r="B1701" s="20" t="str">
        <f>IFERROR(__xludf.DUMMYFUNCTION("REGEXREPLACE(A1701, ""^https?://[^/]+"", """")"),"/wp-content/uploads/2022/04/Lee-John-100x100.jpg")</f>
        <v>/wp-content/uploads/2022/04/Lee-John-100x100.jpg</v>
      </c>
      <c r="F1701" s="1" t="s">
        <v>1004</v>
      </c>
      <c r="G1701" s="1">
        <v>200.0</v>
      </c>
      <c r="H1701" s="1" t="s">
        <v>966</v>
      </c>
      <c r="I1701" s="1" t="s">
        <v>967</v>
      </c>
      <c r="L1701" s="1">
        <v>0.0</v>
      </c>
      <c r="M1701" s="1">
        <v>0.0</v>
      </c>
      <c r="O1701" s="1">
        <v>0.0</v>
      </c>
      <c r="P1701" s="1">
        <v>0.0</v>
      </c>
      <c r="R1701" s="1">
        <v>0.0</v>
      </c>
      <c r="S1701" s="1">
        <v>0.0</v>
      </c>
      <c r="U1701" s="1">
        <v>0.0</v>
      </c>
      <c r="W1701" s="1">
        <v>0.0</v>
      </c>
      <c r="Y1701" s="1">
        <v>0.0</v>
      </c>
      <c r="AA1701" s="1">
        <v>0.0</v>
      </c>
      <c r="AC1701" s="1">
        <v>0.0</v>
      </c>
      <c r="AM1701" s="1">
        <v>2518.0</v>
      </c>
      <c r="AN1701" s="1">
        <v>2518.0</v>
      </c>
      <c r="AO1701" s="1">
        <v>2518.0</v>
      </c>
      <c r="AP1701" s="1">
        <v>0.965</v>
      </c>
      <c r="AR1701" s="1">
        <v>0.0</v>
      </c>
      <c r="AW1701" s="1">
        <v>0.0</v>
      </c>
      <c r="AX1701" s="1">
        <v>4.0</v>
      </c>
      <c r="AY1701" s="1">
        <v>4.0</v>
      </c>
      <c r="BA1701" s="1">
        <v>0.0</v>
      </c>
      <c r="BB1701" s="1">
        <v>0.0</v>
      </c>
      <c r="BC1701" s="1">
        <v>0.0</v>
      </c>
      <c r="BD1701" s="1">
        <v>0.0</v>
      </c>
      <c r="BE1701" s="1">
        <v>0.0</v>
      </c>
      <c r="BF1701" s="1">
        <v>0.0</v>
      </c>
      <c r="BG1701" s="1">
        <v>0.0</v>
      </c>
      <c r="BH1701" s="1">
        <v>0.0</v>
      </c>
      <c r="BI1701" s="1">
        <v>0.0</v>
      </c>
      <c r="BJ1701" s="1">
        <v>0.0</v>
      </c>
      <c r="BP1701" s="1">
        <v>0.271</v>
      </c>
      <c r="BQ1701" s="1" t="s">
        <v>5625</v>
      </c>
      <c r="BV1701" s="1">
        <v>1.1</v>
      </c>
      <c r="EQ1701" s="9" t="s">
        <v>5624</v>
      </c>
      <c r="ER1701" s="21">
        <v>46045.30107638889</v>
      </c>
    </row>
    <row r="1702">
      <c r="A1702" s="9" t="s">
        <v>5626</v>
      </c>
      <c r="B1702" s="20" t="str">
        <f>IFERROR(__xludf.DUMMYFUNCTION("REGEXREPLACE(A1702, ""^https?://[^/]+"", """")"),"/wp-content/uploads/2020/04/Businessman_virtually_evaluating_business_sales_processes-scaled-e1585932608979-300x200.jpg")</f>
        <v>/wp-content/uploads/2020/04/Businessman_virtually_evaluating_business_sales_processes-scaled-e1585932608979-300x200.jpg</v>
      </c>
      <c r="F1702" s="1" t="s">
        <v>1004</v>
      </c>
      <c r="G1702" s="1">
        <v>200.0</v>
      </c>
      <c r="H1702" s="1" t="s">
        <v>966</v>
      </c>
      <c r="I1702" s="1" t="s">
        <v>967</v>
      </c>
      <c r="L1702" s="1">
        <v>0.0</v>
      </c>
      <c r="M1702" s="1">
        <v>0.0</v>
      </c>
      <c r="O1702" s="1">
        <v>0.0</v>
      </c>
      <c r="P1702" s="1">
        <v>0.0</v>
      </c>
      <c r="R1702" s="1">
        <v>0.0</v>
      </c>
      <c r="S1702" s="1">
        <v>0.0</v>
      </c>
      <c r="U1702" s="1">
        <v>0.0</v>
      </c>
      <c r="W1702" s="1">
        <v>0.0</v>
      </c>
      <c r="Y1702" s="1">
        <v>0.0</v>
      </c>
      <c r="AA1702" s="1">
        <v>0.0</v>
      </c>
      <c r="AC1702" s="1">
        <v>0.0</v>
      </c>
      <c r="AM1702" s="1">
        <v>13580.0</v>
      </c>
      <c r="AN1702" s="1">
        <v>13580.0</v>
      </c>
      <c r="AO1702" s="1">
        <v>13580.0</v>
      </c>
      <c r="AP1702" s="1">
        <v>5.202</v>
      </c>
      <c r="AR1702" s="1">
        <v>0.0</v>
      </c>
      <c r="AW1702" s="1">
        <v>0.0</v>
      </c>
      <c r="AX1702" s="1">
        <v>4.0</v>
      </c>
      <c r="AY1702" s="1">
        <v>4.0</v>
      </c>
      <c r="BA1702" s="1">
        <v>0.0</v>
      </c>
      <c r="BB1702" s="1">
        <v>0.0</v>
      </c>
      <c r="BC1702" s="1">
        <v>0.0</v>
      </c>
      <c r="BD1702" s="1">
        <v>0.0</v>
      </c>
      <c r="BE1702" s="1">
        <v>0.0</v>
      </c>
      <c r="BF1702" s="1">
        <v>0.0</v>
      </c>
      <c r="BG1702" s="1">
        <v>0.0</v>
      </c>
      <c r="BH1702" s="1">
        <v>0.0</v>
      </c>
      <c r="BI1702" s="1">
        <v>0.0</v>
      </c>
      <c r="BJ1702" s="1">
        <v>0.0</v>
      </c>
      <c r="BP1702" s="1">
        <v>0.281</v>
      </c>
      <c r="BQ1702" s="1" t="s">
        <v>5627</v>
      </c>
      <c r="BV1702" s="1">
        <v>1.1</v>
      </c>
      <c r="EQ1702" s="9" t="s">
        <v>5626</v>
      </c>
      <c r="ER1702" s="21">
        <v>46045.301087962966</v>
      </c>
    </row>
    <row r="1703">
      <c r="A1703" s="9" t="s">
        <v>5628</v>
      </c>
      <c r="B1703" s="20" t="str">
        <f>IFERROR(__xludf.DUMMYFUNCTION("REGEXREPLACE(A1703, ""^https?://[^/]+"", """")"),"/wp-content/uploads/2020/04/Businessman-leading-training-session-scaled-1-300x300.jpg")</f>
        <v>/wp-content/uploads/2020/04/Businessman-leading-training-session-scaled-1-300x300.jpg</v>
      </c>
      <c r="F1703" s="1" t="s">
        <v>1004</v>
      </c>
      <c r="G1703" s="1">
        <v>200.0</v>
      </c>
      <c r="H1703" s="1" t="s">
        <v>966</v>
      </c>
      <c r="I1703" s="1" t="s">
        <v>967</v>
      </c>
      <c r="L1703" s="1">
        <v>0.0</v>
      </c>
      <c r="M1703" s="1">
        <v>0.0</v>
      </c>
      <c r="O1703" s="1">
        <v>0.0</v>
      </c>
      <c r="P1703" s="1">
        <v>0.0</v>
      </c>
      <c r="R1703" s="1">
        <v>0.0</v>
      </c>
      <c r="S1703" s="1">
        <v>0.0</v>
      </c>
      <c r="U1703" s="1">
        <v>0.0</v>
      </c>
      <c r="W1703" s="1">
        <v>0.0</v>
      </c>
      <c r="Y1703" s="1">
        <v>0.0</v>
      </c>
      <c r="AA1703" s="1">
        <v>0.0</v>
      </c>
      <c r="AC1703" s="1">
        <v>0.0</v>
      </c>
      <c r="AM1703" s="1">
        <v>22566.0</v>
      </c>
      <c r="AN1703" s="1">
        <v>22566.0</v>
      </c>
      <c r="AO1703" s="1">
        <v>22566.0</v>
      </c>
      <c r="AP1703" s="1">
        <v>8.645</v>
      </c>
      <c r="AR1703" s="1">
        <v>0.0</v>
      </c>
      <c r="AW1703" s="1">
        <v>0.0</v>
      </c>
      <c r="AX1703" s="1">
        <v>4.0</v>
      </c>
      <c r="AY1703" s="1">
        <v>4.0</v>
      </c>
      <c r="BA1703" s="1">
        <v>0.0</v>
      </c>
      <c r="BB1703" s="1">
        <v>0.0</v>
      </c>
      <c r="BC1703" s="1">
        <v>0.0</v>
      </c>
      <c r="BD1703" s="1">
        <v>0.0</v>
      </c>
      <c r="BE1703" s="1">
        <v>0.0</v>
      </c>
      <c r="BF1703" s="1">
        <v>0.0</v>
      </c>
      <c r="BG1703" s="1">
        <v>0.0</v>
      </c>
      <c r="BH1703" s="1">
        <v>0.0</v>
      </c>
      <c r="BI1703" s="1">
        <v>0.0</v>
      </c>
      <c r="BJ1703" s="1">
        <v>0.0</v>
      </c>
      <c r="BP1703" s="1">
        <v>0.266</v>
      </c>
      <c r="BQ1703" s="1" t="s">
        <v>5629</v>
      </c>
      <c r="BV1703" s="1">
        <v>1.1</v>
      </c>
      <c r="EQ1703" s="9" t="s">
        <v>5628</v>
      </c>
      <c r="ER1703" s="21">
        <v>46045.301087962966</v>
      </c>
    </row>
    <row r="1704">
      <c r="A1704" s="9" t="s">
        <v>5630</v>
      </c>
      <c r="B1704" s="20" t="str">
        <f>IFERROR(__xludf.DUMMYFUNCTION("REGEXREPLACE(A1704, ""^https?://[^/]+"", """")"),"/wp-content/uploads/2020/05/hiring-skilled-sales-reps-image-300x300.jpg")</f>
        <v>/wp-content/uploads/2020/05/hiring-skilled-sales-reps-image-300x300.jpg</v>
      </c>
      <c r="F1704" s="1" t="s">
        <v>1004</v>
      </c>
      <c r="G1704" s="1">
        <v>200.0</v>
      </c>
      <c r="H1704" s="1" t="s">
        <v>966</v>
      </c>
      <c r="I1704" s="1" t="s">
        <v>967</v>
      </c>
      <c r="L1704" s="1">
        <v>0.0</v>
      </c>
      <c r="M1704" s="1">
        <v>0.0</v>
      </c>
      <c r="O1704" s="1">
        <v>0.0</v>
      </c>
      <c r="P1704" s="1">
        <v>0.0</v>
      </c>
      <c r="R1704" s="1">
        <v>0.0</v>
      </c>
      <c r="S1704" s="1">
        <v>0.0</v>
      </c>
      <c r="U1704" s="1">
        <v>0.0</v>
      </c>
      <c r="W1704" s="1">
        <v>0.0</v>
      </c>
      <c r="Y1704" s="1">
        <v>0.0</v>
      </c>
      <c r="AA1704" s="1">
        <v>0.0</v>
      </c>
      <c r="AC1704" s="1">
        <v>0.0</v>
      </c>
      <c r="AM1704" s="1">
        <v>20463.0</v>
      </c>
      <c r="AN1704" s="1">
        <v>20463.0</v>
      </c>
      <c r="AO1704" s="1">
        <v>20463.0</v>
      </c>
      <c r="AP1704" s="1">
        <v>7.839</v>
      </c>
      <c r="AR1704" s="1">
        <v>0.0</v>
      </c>
      <c r="AW1704" s="1">
        <v>0.0</v>
      </c>
      <c r="AX1704" s="1">
        <v>4.0</v>
      </c>
      <c r="AY1704" s="1">
        <v>4.0</v>
      </c>
      <c r="BA1704" s="1">
        <v>0.0</v>
      </c>
      <c r="BB1704" s="1">
        <v>0.0</v>
      </c>
      <c r="BC1704" s="1">
        <v>0.0</v>
      </c>
      <c r="BD1704" s="1">
        <v>0.0</v>
      </c>
      <c r="BE1704" s="1">
        <v>0.0</v>
      </c>
      <c r="BF1704" s="1">
        <v>0.0</v>
      </c>
      <c r="BG1704" s="1">
        <v>0.0</v>
      </c>
      <c r="BH1704" s="1">
        <v>0.0</v>
      </c>
      <c r="BI1704" s="1">
        <v>0.0</v>
      </c>
      <c r="BJ1704" s="1">
        <v>0.0</v>
      </c>
      <c r="BP1704" s="1">
        <v>0.278</v>
      </c>
      <c r="BQ1704" s="1" t="s">
        <v>5631</v>
      </c>
      <c r="BV1704" s="1">
        <v>1.1</v>
      </c>
      <c r="EQ1704" s="9" t="s">
        <v>5630</v>
      </c>
      <c r="ER1704" s="21">
        <v>46045.301087962966</v>
      </c>
    </row>
    <row r="1705">
      <c r="A1705" s="9" t="s">
        <v>5632</v>
      </c>
      <c r="B1705" s="20" t="str">
        <f>IFERROR(__xludf.DUMMYFUNCTION("REGEXREPLACE(A1705, ""^https?://[^/]+"", """")"),"/finding-the-right-people-for-your-sales-team/")</f>
        <v>/finding-the-right-people-for-your-sales-team/</v>
      </c>
      <c r="C1705" s="1" t="s">
        <v>5633</v>
      </c>
      <c r="F1705" s="1" t="s">
        <v>965</v>
      </c>
      <c r="G1705" s="1">
        <v>200.0</v>
      </c>
      <c r="H1705" s="1" t="s">
        <v>966</v>
      </c>
      <c r="I1705" s="1" t="s">
        <v>967</v>
      </c>
      <c r="K1705" s="1" t="s">
        <v>5634</v>
      </c>
      <c r="L1705" s="1">
        <v>69.0</v>
      </c>
      <c r="M1705" s="1">
        <v>619.0</v>
      </c>
      <c r="O1705" s="1">
        <v>0.0</v>
      </c>
      <c r="P1705" s="1">
        <v>0.0</v>
      </c>
      <c r="Q1705" s="1" t="s">
        <v>5635</v>
      </c>
      <c r="R1705" s="1">
        <v>152.0</v>
      </c>
      <c r="S1705" s="1">
        <v>926.0</v>
      </c>
      <c r="U1705" s="1">
        <v>0.0</v>
      </c>
      <c r="V1705" s="1" t="s">
        <v>5633</v>
      </c>
      <c r="W1705" s="1">
        <v>44.0</v>
      </c>
      <c r="Y1705" s="1">
        <v>0.0</v>
      </c>
      <c r="AA1705" s="1">
        <v>0.0</v>
      </c>
      <c r="AC1705" s="1">
        <v>0.0</v>
      </c>
      <c r="AD1705" s="1" t="s">
        <v>971</v>
      </c>
      <c r="AG1705" s="9" t="s">
        <v>5632</v>
      </c>
      <c r="AM1705" s="1">
        <v>197919.0</v>
      </c>
      <c r="AN1705" s="1">
        <v>34687.0</v>
      </c>
      <c r="AO1705" s="1">
        <v>34687.0</v>
      </c>
      <c r="AP1705" s="1">
        <v>13.288</v>
      </c>
      <c r="AR1705" s="1">
        <v>1004.0</v>
      </c>
      <c r="AS1705" s="1">
        <v>161.0</v>
      </c>
      <c r="AT1705" s="1">
        <v>6.236</v>
      </c>
      <c r="AU1705" s="1">
        <v>72.763</v>
      </c>
      <c r="AV1705" s="1" t="s">
        <v>1264</v>
      </c>
      <c r="AW1705" s="1">
        <v>4.23</v>
      </c>
      <c r="AX1705" s="1">
        <v>4.0</v>
      </c>
      <c r="AY1705" s="1">
        <v>1.0</v>
      </c>
      <c r="AZ1705" s="1">
        <v>1.0</v>
      </c>
      <c r="BA1705" s="1">
        <v>10.0</v>
      </c>
      <c r="BB1705" s="1">
        <v>10.0</v>
      </c>
      <c r="BC1705" s="1">
        <v>0.0</v>
      </c>
      <c r="BD1705" s="1">
        <v>1.33</v>
      </c>
      <c r="BE1705" s="1">
        <v>130.0</v>
      </c>
      <c r="BF1705" s="1">
        <v>48.0</v>
      </c>
      <c r="BG1705" s="1">
        <v>0.0</v>
      </c>
      <c r="BH1705" s="1">
        <v>16.0</v>
      </c>
      <c r="BI1705" s="1">
        <v>8.0</v>
      </c>
      <c r="BJ1705" s="1">
        <v>0.0</v>
      </c>
      <c r="BO1705" s="1" t="s">
        <v>5636</v>
      </c>
      <c r="BP1705" s="1">
        <v>1.003</v>
      </c>
      <c r="BU1705" s="1" t="s">
        <v>974</v>
      </c>
      <c r="BV1705" s="1">
        <v>1.1</v>
      </c>
      <c r="EQ1705" s="9" t="s">
        <v>5632</v>
      </c>
      <c r="ER1705" s="21">
        <v>46045.30107638889</v>
      </c>
    </row>
    <row r="1706">
      <c r="A1706" s="9" t="s">
        <v>5637</v>
      </c>
      <c r="B1706" s="20" t="str">
        <f>IFERROR(__xludf.DUMMYFUNCTION("REGEXREPLACE(A1706, ""^https?://[^/]+"", """")"),"/author/johnlee/")</f>
        <v>/author/johnlee/</v>
      </c>
      <c r="C1706" s="1" t="s">
        <v>5638</v>
      </c>
      <c r="F1706" s="1" t="s">
        <v>965</v>
      </c>
      <c r="G1706" s="1">
        <v>200.0</v>
      </c>
      <c r="H1706" s="1" t="s">
        <v>966</v>
      </c>
      <c r="I1706" s="1" t="s">
        <v>967</v>
      </c>
      <c r="K1706" s="1" t="s">
        <v>5639</v>
      </c>
      <c r="L1706" s="1">
        <v>37.0</v>
      </c>
      <c r="M1706" s="1">
        <v>335.0</v>
      </c>
      <c r="O1706" s="1">
        <v>0.0</v>
      </c>
      <c r="P1706" s="1">
        <v>0.0</v>
      </c>
      <c r="R1706" s="1">
        <v>0.0</v>
      </c>
      <c r="S1706" s="1">
        <v>0.0</v>
      </c>
      <c r="U1706" s="1">
        <v>0.0</v>
      </c>
      <c r="V1706" s="1" t="s">
        <v>5638</v>
      </c>
      <c r="W1706" s="1">
        <v>8.0</v>
      </c>
      <c r="Y1706" s="1">
        <v>0.0</v>
      </c>
      <c r="AA1706" s="1">
        <v>0.0</v>
      </c>
      <c r="AC1706" s="1">
        <v>0.0</v>
      </c>
      <c r="AD1706" s="1" t="s">
        <v>971</v>
      </c>
      <c r="AG1706" s="9" t="s">
        <v>5637</v>
      </c>
      <c r="AH1706" s="9" t="s">
        <v>5640</v>
      </c>
      <c r="AM1706" s="1">
        <v>195916.0</v>
      </c>
      <c r="AN1706" s="1">
        <v>34884.0</v>
      </c>
      <c r="AO1706" s="1">
        <v>34884.0</v>
      </c>
      <c r="AP1706" s="1">
        <v>13.363</v>
      </c>
      <c r="AR1706" s="1">
        <v>1162.0</v>
      </c>
      <c r="AS1706" s="1">
        <v>201.0</v>
      </c>
      <c r="AT1706" s="1">
        <v>5.781</v>
      </c>
      <c r="AU1706" s="1">
        <v>61.836</v>
      </c>
      <c r="AV1706" s="1" t="s">
        <v>990</v>
      </c>
      <c r="AW1706" s="1">
        <v>4.895</v>
      </c>
      <c r="AX1706" s="1">
        <v>4.0</v>
      </c>
      <c r="AY1706" s="1">
        <v>2.0</v>
      </c>
      <c r="AZ1706" s="1">
        <v>1.0</v>
      </c>
      <c r="BA1706" s="1">
        <v>45.0</v>
      </c>
      <c r="BB1706" s="1">
        <v>15.0</v>
      </c>
      <c r="BC1706" s="1">
        <v>0.0</v>
      </c>
      <c r="BD1706" s="1">
        <v>1.99</v>
      </c>
      <c r="BE1706" s="1">
        <v>190.0</v>
      </c>
      <c r="BF1706" s="1">
        <v>66.0</v>
      </c>
      <c r="BG1706" s="1">
        <v>0.0</v>
      </c>
      <c r="BH1706" s="1">
        <v>16.0</v>
      </c>
      <c r="BI1706" s="1">
        <v>8.0</v>
      </c>
      <c r="BJ1706" s="1">
        <v>0.0</v>
      </c>
      <c r="BO1706" s="1" t="s">
        <v>5641</v>
      </c>
      <c r="BP1706" s="1">
        <v>1.067</v>
      </c>
      <c r="BU1706" s="1" t="s">
        <v>974</v>
      </c>
      <c r="BV1706" s="1">
        <v>1.1</v>
      </c>
      <c r="EQ1706" s="9" t="s">
        <v>5637</v>
      </c>
      <c r="ER1706" s="21">
        <v>46045.30107638889</v>
      </c>
    </row>
    <row r="1707">
      <c r="A1707" s="9" t="s">
        <v>5642</v>
      </c>
      <c r="B1707" s="20" t="str">
        <f>IFERROR(__xludf.DUMMYFUNCTION("REGEXREPLACE(A1707, ""^https?://[^/]+"", """")"),"/wp-content/uploads/2020/04/Sales-Candidate-Interview-sm-300x200.jpg")</f>
        <v>/wp-content/uploads/2020/04/Sales-Candidate-Interview-sm-300x200.jpg</v>
      </c>
      <c r="F1707" s="1" t="s">
        <v>1004</v>
      </c>
      <c r="G1707" s="1">
        <v>200.0</v>
      </c>
      <c r="H1707" s="1" t="s">
        <v>966</v>
      </c>
      <c r="I1707" s="1" t="s">
        <v>967</v>
      </c>
      <c r="L1707" s="1">
        <v>0.0</v>
      </c>
      <c r="M1707" s="1">
        <v>0.0</v>
      </c>
      <c r="O1707" s="1">
        <v>0.0</v>
      </c>
      <c r="P1707" s="1">
        <v>0.0</v>
      </c>
      <c r="R1707" s="1">
        <v>0.0</v>
      </c>
      <c r="S1707" s="1">
        <v>0.0</v>
      </c>
      <c r="U1707" s="1">
        <v>0.0</v>
      </c>
      <c r="W1707" s="1">
        <v>0.0</v>
      </c>
      <c r="Y1707" s="1">
        <v>0.0</v>
      </c>
      <c r="AA1707" s="1">
        <v>0.0</v>
      </c>
      <c r="AC1707" s="1">
        <v>0.0</v>
      </c>
      <c r="AM1707" s="1">
        <v>11565.0</v>
      </c>
      <c r="AN1707" s="1">
        <v>11565.0</v>
      </c>
      <c r="AO1707" s="1">
        <v>11565.0</v>
      </c>
      <c r="AP1707" s="1">
        <v>4.43</v>
      </c>
      <c r="AR1707" s="1">
        <v>0.0</v>
      </c>
      <c r="AW1707" s="1">
        <v>0.0</v>
      </c>
      <c r="AX1707" s="1">
        <v>4.0</v>
      </c>
      <c r="AY1707" s="1">
        <v>4.0</v>
      </c>
      <c r="BA1707" s="1">
        <v>0.0</v>
      </c>
      <c r="BB1707" s="1">
        <v>0.0</v>
      </c>
      <c r="BC1707" s="1">
        <v>0.0</v>
      </c>
      <c r="BD1707" s="1">
        <v>0.0</v>
      </c>
      <c r="BE1707" s="1">
        <v>0.0</v>
      </c>
      <c r="BF1707" s="1">
        <v>0.0</v>
      </c>
      <c r="BG1707" s="1">
        <v>0.0</v>
      </c>
      <c r="BH1707" s="1">
        <v>0.0</v>
      </c>
      <c r="BI1707" s="1">
        <v>0.0</v>
      </c>
      <c r="BJ1707" s="1">
        <v>0.0</v>
      </c>
      <c r="BP1707" s="1">
        <v>0.271</v>
      </c>
      <c r="BQ1707" s="1" t="s">
        <v>5643</v>
      </c>
      <c r="BV1707" s="1">
        <v>1.1</v>
      </c>
      <c r="EQ1707" s="9" t="s">
        <v>5642</v>
      </c>
      <c r="ER1707" s="21">
        <v>46045.301087962966</v>
      </c>
    </row>
    <row r="1708">
      <c r="A1708" s="9" t="s">
        <v>5644</v>
      </c>
      <c r="B1708" s="20" t="str">
        <f>IFERROR(__xludf.DUMMYFUNCTION("REGEXREPLACE(A1708, ""^https?://[^/]+"", """")"),"/wp-content/uploads/2020/03/Business_CEO_thinking_with_employees_in_the_background-300x300.jpg")</f>
        <v>/wp-content/uploads/2020/03/Business_CEO_thinking_with_employees_in_the_background-300x300.jpg</v>
      </c>
      <c r="F1708" s="1" t="s">
        <v>1004</v>
      </c>
      <c r="G1708" s="1">
        <v>200.0</v>
      </c>
      <c r="H1708" s="1" t="s">
        <v>966</v>
      </c>
      <c r="I1708" s="1" t="s">
        <v>967</v>
      </c>
      <c r="L1708" s="1">
        <v>0.0</v>
      </c>
      <c r="M1708" s="1">
        <v>0.0</v>
      </c>
      <c r="O1708" s="1">
        <v>0.0</v>
      </c>
      <c r="P1708" s="1">
        <v>0.0</v>
      </c>
      <c r="R1708" s="1">
        <v>0.0</v>
      </c>
      <c r="S1708" s="1">
        <v>0.0</v>
      </c>
      <c r="U1708" s="1">
        <v>0.0</v>
      </c>
      <c r="W1708" s="1">
        <v>0.0</v>
      </c>
      <c r="Y1708" s="1">
        <v>0.0</v>
      </c>
      <c r="AA1708" s="1">
        <v>0.0</v>
      </c>
      <c r="AC1708" s="1">
        <v>0.0</v>
      </c>
      <c r="AM1708" s="1">
        <v>15971.0</v>
      </c>
      <c r="AN1708" s="1">
        <v>15971.0</v>
      </c>
      <c r="AO1708" s="1">
        <v>15971.0</v>
      </c>
      <c r="AP1708" s="1">
        <v>6.118</v>
      </c>
      <c r="AR1708" s="1">
        <v>0.0</v>
      </c>
      <c r="AW1708" s="1">
        <v>0.0</v>
      </c>
      <c r="AX1708" s="1">
        <v>4.0</v>
      </c>
      <c r="AY1708" s="1">
        <v>4.0</v>
      </c>
      <c r="BA1708" s="1">
        <v>0.0</v>
      </c>
      <c r="BB1708" s="1">
        <v>0.0</v>
      </c>
      <c r="BC1708" s="1">
        <v>0.0</v>
      </c>
      <c r="BD1708" s="1">
        <v>0.0</v>
      </c>
      <c r="BE1708" s="1">
        <v>0.0</v>
      </c>
      <c r="BF1708" s="1">
        <v>0.0</v>
      </c>
      <c r="BG1708" s="1">
        <v>0.0</v>
      </c>
      <c r="BH1708" s="1">
        <v>0.0</v>
      </c>
      <c r="BI1708" s="1">
        <v>0.0</v>
      </c>
      <c r="BJ1708" s="1">
        <v>0.0</v>
      </c>
      <c r="BP1708" s="1">
        <v>0.276</v>
      </c>
      <c r="BQ1708" s="1" t="s">
        <v>5645</v>
      </c>
      <c r="BV1708" s="1">
        <v>1.1</v>
      </c>
      <c r="EQ1708" s="9" t="s">
        <v>5644</v>
      </c>
      <c r="ER1708" s="21">
        <v>46045.301087962966</v>
      </c>
    </row>
    <row r="1709">
      <c r="A1709" s="9" t="s">
        <v>5646</v>
      </c>
      <c r="B1709" s="20" t="str">
        <f>IFERROR(__xludf.DUMMYFUNCTION("REGEXREPLACE(A1709, ""^https?://[^/]+"", """")"),"/wp-content/uploads/2020/02/SX-Effective_Sales_Vision_Statement-300x300.jpg")</f>
        <v>/wp-content/uploads/2020/02/SX-Effective_Sales_Vision_Statement-300x300.jpg</v>
      </c>
      <c r="F1709" s="1" t="s">
        <v>1004</v>
      </c>
      <c r="G1709" s="1">
        <v>200.0</v>
      </c>
      <c r="H1709" s="1" t="s">
        <v>966</v>
      </c>
      <c r="I1709" s="1" t="s">
        <v>967</v>
      </c>
      <c r="L1709" s="1">
        <v>0.0</v>
      </c>
      <c r="M1709" s="1">
        <v>0.0</v>
      </c>
      <c r="O1709" s="1">
        <v>0.0</v>
      </c>
      <c r="P1709" s="1">
        <v>0.0</v>
      </c>
      <c r="R1709" s="1">
        <v>0.0</v>
      </c>
      <c r="S1709" s="1">
        <v>0.0</v>
      </c>
      <c r="U1709" s="1">
        <v>0.0</v>
      </c>
      <c r="W1709" s="1">
        <v>0.0</v>
      </c>
      <c r="Y1709" s="1">
        <v>0.0</v>
      </c>
      <c r="AA1709" s="1">
        <v>0.0</v>
      </c>
      <c r="AC1709" s="1">
        <v>0.0</v>
      </c>
      <c r="AM1709" s="1">
        <v>20968.0</v>
      </c>
      <c r="AN1709" s="1">
        <v>20968.0</v>
      </c>
      <c r="AO1709" s="1">
        <v>20968.0</v>
      </c>
      <c r="AP1709" s="1">
        <v>8.032</v>
      </c>
      <c r="AR1709" s="1">
        <v>0.0</v>
      </c>
      <c r="AW1709" s="1">
        <v>0.0</v>
      </c>
      <c r="AX1709" s="1">
        <v>4.0</v>
      </c>
      <c r="AY1709" s="1">
        <v>4.0</v>
      </c>
      <c r="BA1709" s="1">
        <v>0.0</v>
      </c>
      <c r="BB1709" s="1">
        <v>0.0</v>
      </c>
      <c r="BC1709" s="1">
        <v>0.0</v>
      </c>
      <c r="BD1709" s="1">
        <v>0.0</v>
      </c>
      <c r="BE1709" s="1">
        <v>0.0</v>
      </c>
      <c r="BF1709" s="1">
        <v>0.0</v>
      </c>
      <c r="BG1709" s="1">
        <v>0.0</v>
      </c>
      <c r="BH1709" s="1">
        <v>0.0</v>
      </c>
      <c r="BI1709" s="1">
        <v>0.0</v>
      </c>
      <c r="BJ1709" s="1">
        <v>0.0</v>
      </c>
      <c r="BP1709" s="1">
        <v>0.278</v>
      </c>
      <c r="BQ1709" s="1" t="s">
        <v>5573</v>
      </c>
      <c r="BV1709" s="1">
        <v>1.1</v>
      </c>
      <c r="EQ1709" s="9" t="s">
        <v>5646</v>
      </c>
      <c r="ER1709" s="21">
        <v>46045.301087962966</v>
      </c>
    </row>
    <row r="1710">
      <c r="A1710" s="9" t="s">
        <v>5647</v>
      </c>
      <c r="B1710" s="20" t="str">
        <f>IFERROR(__xludf.DUMMYFUNCTION("REGEXREPLACE(A1710, ""^https?://[^/]+"", """")"),"/wp-content/uploads/2020/06/Millenials-Getting-Together-with-Friends-scaled-1-300x200.jpg")</f>
        <v>/wp-content/uploads/2020/06/Millenials-Getting-Together-with-Friends-scaled-1-300x200.jpg</v>
      </c>
      <c r="F1710" s="1" t="s">
        <v>1004</v>
      </c>
      <c r="G1710" s="1">
        <v>200.0</v>
      </c>
      <c r="H1710" s="1" t="s">
        <v>966</v>
      </c>
      <c r="I1710" s="1" t="s">
        <v>967</v>
      </c>
      <c r="L1710" s="1">
        <v>0.0</v>
      </c>
      <c r="M1710" s="1">
        <v>0.0</v>
      </c>
      <c r="O1710" s="1">
        <v>0.0</v>
      </c>
      <c r="P1710" s="1">
        <v>0.0</v>
      </c>
      <c r="R1710" s="1">
        <v>0.0</v>
      </c>
      <c r="S1710" s="1">
        <v>0.0</v>
      </c>
      <c r="U1710" s="1">
        <v>0.0</v>
      </c>
      <c r="W1710" s="1">
        <v>0.0</v>
      </c>
      <c r="Y1710" s="1">
        <v>0.0</v>
      </c>
      <c r="AA1710" s="1">
        <v>0.0</v>
      </c>
      <c r="AC1710" s="1">
        <v>0.0</v>
      </c>
      <c r="AM1710" s="1">
        <v>13365.0</v>
      </c>
      <c r="AN1710" s="1">
        <v>13365.0</v>
      </c>
      <c r="AO1710" s="1">
        <v>13365.0</v>
      </c>
      <c r="AP1710" s="1">
        <v>5.12</v>
      </c>
      <c r="AR1710" s="1">
        <v>0.0</v>
      </c>
      <c r="AW1710" s="1">
        <v>0.0</v>
      </c>
      <c r="AX1710" s="1">
        <v>4.0</v>
      </c>
      <c r="AY1710" s="1">
        <v>4.0</v>
      </c>
      <c r="BA1710" s="1">
        <v>0.0</v>
      </c>
      <c r="BB1710" s="1">
        <v>0.0</v>
      </c>
      <c r="BC1710" s="1">
        <v>0.0</v>
      </c>
      <c r="BD1710" s="1">
        <v>0.0</v>
      </c>
      <c r="BE1710" s="1">
        <v>0.0</v>
      </c>
      <c r="BF1710" s="1">
        <v>0.0</v>
      </c>
      <c r="BG1710" s="1">
        <v>0.0</v>
      </c>
      <c r="BH1710" s="1">
        <v>0.0</v>
      </c>
      <c r="BI1710" s="1">
        <v>0.0</v>
      </c>
      <c r="BJ1710" s="1">
        <v>0.0</v>
      </c>
      <c r="BP1710" s="1">
        <v>0.271</v>
      </c>
      <c r="BQ1710" s="1" t="s">
        <v>5648</v>
      </c>
      <c r="BV1710" s="1">
        <v>1.1</v>
      </c>
      <c r="EQ1710" s="9" t="s">
        <v>5647</v>
      </c>
      <c r="ER1710" s="21">
        <v>46045.301087962966</v>
      </c>
    </row>
    <row r="1711">
      <c r="A1711" s="9" t="s">
        <v>5649</v>
      </c>
      <c r="B1711" s="20" t="str">
        <f>IFERROR(__xludf.DUMMYFUNCTION("REGEXREPLACE(A1711, ""^https?://[^/]+"", """")"),"/tune-up-your-sales-engine-in-a-market-slowdown/")</f>
        <v>/tune-up-your-sales-engine-in-a-market-slowdown/</v>
      </c>
      <c r="C1711" s="1" t="s">
        <v>5650</v>
      </c>
      <c r="F1711" s="1" t="s">
        <v>965</v>
      </c>
      <c r="G1711" s="1">
        <v>200.0</v>
      </c>
      <c r="H1711" s="1" t="s">
        <v>966</v>
      </c>
      <c r="I1711" s="1" t="s">
        <v>967</v>
      </c>
      <c r="K1711" s="1" t="s">
        <v>5651</v>
      </c>
      <c r="L1711" s="1">
        <v>71.0</v>
      </c>
      <c r="M1711" s="1">
        <v>655.0</v>
      </c>
      <c r="O1711" s="1">
        <v>0.0</v>
      </c>
      <c r="P1711" s="1">
        <v>0.0</v>
      </c>
      <c r="Q1711" s="1" t="s">
        <v>5652</v>
      </c>
      <c r="R1711" s="1">
        <v>157.0</v>
      </c>
      <c r="S1711" s="1">
        <v>992.0</v>
      </c>
      <c r="U1711" s="1">
        <v>0.0</v>
      </c>
      <c r="V1711" s="1" t="s">
        <v>5650</v>
      </c>
      <c r="W1711" s="1">
        <v>46.0</v>
      </c>
      <c r="Y1711" s="1">
        <v>0.0</v>
      </c>
      <c r="AA1711" s="1">
        <v>0.0</v>
      </c>
      <c r="AC1711" s="1">
        <v>0.0</v>
      </c>
      <c r="AD1711" s="1" t="s">
        <v>971</v>
      </c>
      <c r="AG1711" s="9" t="s">
        <v>5649</v>
      </c>
      <c r="AM1711" s="1">
        <v>206331.0</v>
      </c>
      <c r="AN1711" s="1">
        <v>36711.0</v>
      </c>
      <c r="AO1711" s="1">
        <v>36711.0</v>
      </c>
      <c r="AP1711" s="1">
        <v>14.063</v>
      </c>
      <c r="AR1711" s="1">
        <v>1381.0</v>
      </c>
      <c r="AS1711" s="1">
        <v>198.0</v>
      </c>
      <c r="AT1711" s="1">
        <v>6.975</v>
      </c>
      <c r="AU1711" s="1">
        <v>61.982</v>
      </c>
      <c r="AV1711" s="1" t="s">
        <v>990</v>
      </c>
      <c r="AW1711" s="1">
        <v>5.283</v>
      </c>
      <c r="AX1711" s="1">
        <v>4.0</v>
      </c>
      <c r="AY1711" s="1">
        <v>1.0</v>
      </c>
      <c r="AZ1711" s="1">
        <v>1.0</v>
      </c>
      <c r="BA1711" s="1">
        <v>5.0</v>
      </c>
      <c r="BB1711" s="1">
        <v>2.0</v>
      </c>
      <c r="BC1711" s="1">
        <v>0.0</v>
      </c>
      <c r="BD1711" s="1">
        <v>0.27</v>
      </c>
      <c r="BE1711" s="1">
        <v>130.0</v>
      </c>
      <c r="BF1711" s="1">
        <v>48.0</v>
      </c>
      <c r="BG1711" s="1">
        <v>0.0</v>
      </c>
      <c r="BH1711" s="1">
        <v>16.0</v>
      </c>
      <c r="BI1711" s="1">
        <v>8.0</v>
      </c>
      <c r="BJ1711" s="1">
        <v>0.0</v>
      </c>
      <c r="BO1711" s="1" t="s">
        <v>5653</v>
      </c>
      <c r="BP1711" s="1">
        <v>0.987</v>
      </c>
      <c r="BU1711" s="1" t="s">
        <v>974</v>
      </c>
      <c r="BV1711" s="1">
        <v>1.1</v>
      </c>
      <c r="EQ1711" s="9" t="s">
        <v>5649</v>
      </c>
      <c r="ER1711" s="21">
        <v>46045.301087962966</v>
      </c>
    </row>
    <row r="1712">
      <c r="A1712" s="9" t="s">
        <v>5654</v>
      </c>
      <c r="B1712" s="20" t="str">
        <f>IFERROR(__xludf.DUMMYFUNCTION("REGEXREPLACE(A1712, ""^https?://[^/]+"", """")"),"/5-sales-compensation-plan-mistakes-that-damage-morale-and-ruin-revenue/")</f>
        <v>/5-sales-compensation-plan-mistakes-that-damage-morale-and-ruin-revenue/</v>
      </c>
      <c r="C1712" s="1" t="s">
        <v>5655</v>
      </c>
      <c r="F1712" s="1" t="s">
        <v>965</v>
      </c>
      <c r="G1712" s="1">
        <v>200.0</v>
      </c>
      <c r="H1712" s="1" t="s">
        <v>966</v>
      </c>
      <c r="I1712" s="1" t="s">
        <v>967</v>
      </c>
      <c r="K1712" s="1" t="s">
        <v>5656</v>
      </c>
      <c r="L1712" s="1">
        <v>99.0</v>
      </c>
      <c r="M1712" s="1">
        <v>939.0</v>
      </c>
      <c r="O1712" s="1">
        <v>0.0</v>
      </c>
      <c r="P1712" s="1">
        <v>0.0</v>
      </c>
      <c r="Q1712" s="1" t="s">
        <v>5657</v>
      </c>
      <c r="R1712" s="1">
        <v>138.0</v>
      </c>
      <c r="S1712" s="1">
        <v>900.0</v>
      </c>
      <c r="U1712" s="1">
        <v>0.0</v>
      </c>
      <c r="V1712" s="1" t="s">
        <v>5655</v>
      </c>
      <c r="W1712" s="1">
        <v>73.0</v>
      </c>
      <c r="Y1712" s="1">
        <v>0.0</v>
      </c>
      <c r="AA1712" s="1">
        <v>0.0</v>
      </c>
      <c r="AC1712" s="1">
        <v>0.0</v>
      </c>
      <c r="AD1712" s="1" t="s">
        <v>971</v>
      </c>
      <c r="AG1712" s="9" t="s">
        <v>5654</v>
      </c>
      <c r="AM1712" s="1">
        <v>206543.0</v>
      </c>
      <c r="AN1712" s="1">
        <v>37495.0</v>
      </c>
      <c r="AO1712" s="1">
        <v>37495.0</v>
      </c>
      <c r="AP1712" s="1">
        <v>14.364</v>
      </c>
      <c r="AR1712" s="1">
        <v>1727.0</v>
      </c>
      <c r="AS1712" s="1">
        <v>262.0</v>
      </c>
      <c r="AT1712" s="1">
        <v>6.592</v>
      </c>
      <c r="AU1712" s="1">
        <v>53.87</v>
      </c>
      <c r="AV1712" s="1" t="s">
        <v>972</v>
      </c>
      <c r="AW1712" s="1">
        <v>6.532</v>
      </c>
      <c r="AX1712" s="1">
        <v>4.0</v>
      </c>
      <c r="AY1712" s="1">
        <v>1.0</v>
      </c>
      <c r="AZ1712" s="1">
        <v>1.0</v>
      </c>
      <c r="BA1712" s="1">
        <v>20.0</v>
      </c>
      <c r="BB1712" s="1">
        <v>13.0</v>
      </c>
      <c r="BC1712" s="1">
        <v>0.0</v>
      </c>
      <c r="BD1712" s="1">
        <v>1.72</v>
      </c>
      <c r="BE1712" s="1">
        <v>134.0</v>
      </c>
      <c r="BF1712" s="1">
        <v>50.0</v>
      </c>
      <c r="BG1712" s="1">
        <v>0.0</v>
      </c>
      <c r="BH1712" s="1">
        <v>16.0</v>
      </c>
      <c r="BI1712" s="1">
        <v>8.0</v>
      </c>
      <c r="BJ1712" s="1">
        <v>0.0</v>
      </c>
      <c r="BO1712" s="1" t="s">
        <v>5658</v>
      </c>
      <c r="BP1712" s="1">
        <v>0.978</v>
      </c>
      <c r="BU1712" s="1" t="s">
        <v>974</v>
      </c>
      <c r="BV1712" s="1">
        <v>1.1</v>
      </c>
      <c r="EQ1712" s="9" t="s">
        <v>5654</v>
      </c>
      <c r="ER1712" s="21">
        <v>46045.301087962966</v>
      </c>
    </row>
    <row r="1713">
      <c r="A1713" s="9" t="s">
        <v>5659</v>
      </c>
      <c r="B1713" s="20" t="str">
        <f>IFERROR(__xludf.DUMMYFUNCTION("REGEXREPLACE(A1713, ""^https?://[^/]+"", """")"),"/sales-tips-and-strategies-for-business-facing-seasonal-fluctuations/")</f>
        <v>/sales-tips-and-strategies-for-business-facing-seasonal-fluctuations/</v>
      </c>
      <c r="C1713" s="1" t="s">
        <v>5660</v>
      </c>
      <c r="D1713" s="1" t="s">
        <v>5661</v>
      </c>
      <c r="E1713" s="1" t="s">
        <v>5662</v>
      </c>
      <c r="F1713" s="1" t="s">
        <v>965</v>
      </c>
      <c r="G1713" s="1">
        <v>200.0</v>
      </c>
      <c r="H1713" s="1" t="s">
        <v>966</v>
      </c>
      <c r="I1713" s="1" t="s">
        <v>967</v>
      </c>
      <c r="K1713" s="1" t="s">
        <v>5663</v>
      </c>
      <c r="L1713" s="1">
        <v>107.0</v>
      </c>
      <c r="M1713" s="1">
        <v>963.0</v>
      </c>
      <c r="O1713" s="1">
        <v>0.0</v>
      </c>
      <c r="P1713" s="1">
        <v>0.0</v>
      </c>
      <c r="Q1713" s="1" t="s">
        <v>5664</v>
      </c>
      <c r="R1713" s="1">
        <v>112.0</v>
      </c>
      <c r="S1713" s="1">
        <v>689.0</v>
      </c>
      <c r="U1713" s="1">
        <v>0.0</v>
      </c>
      <c r="V1713" s="1" t="s">
        <v>5660</v>
      </c>
      <c r="W1713" s="1">
        <v>82.0</v>
      </c>
      <c r="Y1713" s="1">
        <v>0.0</v>
      </c>
      <c r="Z1713" s="1" t="s">
        <v>5661</v>
      </c>
      <c r="AA1713" s="1">
        <v>97.0</v>
      </c>
      <c r="AB1713" s="1" t="s">
        <v>5662</v>
      </c>
      <c r="AC1713" s="1">
        <v>63.0</v>
      </c>
      <c r="AD1713" s="1" t="s">
        <v>971</v>
      </c>
      <c r="AG1713" s="9" t="s">
        <v>5659</v>
      </c>
      <c r="AM1713" s="1">
        <v>207195.0</v>
      </c>
      <c r="AN1713" s="1">
        <v>37993.0</v>
      </c>
      <c r="AO1713" s="1">
        <v>37993.0</v>
      </c>
      <c r="AP1713" s="1">
        <v>14.554</v>
      </c>
      <c r="AR1713" s="1">
        <v>1794.0</v>
      </c>
      <c r="AS1713" s="1">
        <v>254.0</v>
      </c>
      <c r="AT1713" s="1">
        <v>7.063</v>
      </c>
      <c r="AU1713" s="1">
        <v>58.242</v>
      </c>
      <c r="AV1713" s="1" t="s">
        <v>972</v>
      </c>
      <c r="AW1713" s="1">
        <v>6.62</v>
      </c>
      <c r="AX1713" s="1">
        <v>4.0</v>
      </c>
      <c r="AY1713" s="1">
        <v>1.0</v>
      </c>
      <c r="AZ1713" s="1">
        <v>1.0</v>
      </c>
      <c r="BA1713" s="1">
        <v>2.0</v>
      </c>
      <c r="BB1713" s="1">
        <v>1.0</v>
      </c>
      <c r="BC1713" s="1">
        <v>0.0</v>
      </c>
      <c r="BD1713" s="1">
        <v>0.13</v>
      </c>
      <c r="BE1713" s="1">
        <v>132.0</v>
      </c>
      <c r="BF1713" s="1">
        <v>48.0</v>
      </c>
      <c r="BG1713" s="1">
        <v>0.0</v>
      </c>
      <c r="BH1713" s="1">
        <v>17.0</v>
      </c>
      <c r="BI1713" s="1">
        <v>9.0</v>
      </c>
      <c r="BJ1713" s="1">
        <v>0.0</v>
      </c>
      <c r="BO1713" s="1" t="s">
        <v>5665</v>
      </c>
      <c r="BP1713" s="1">
        <v>0.992</v>
      </c>
      <c r="BU1713" s="1" t="s">
        <v>974</v>
      </c>
      <c r="BV1713" s="1">
        <v>1.1</v>
      </c>
      <c r="EQ1713" s="9" t="s">
        <v>5659</v>
      </c>
      <c r="ER1713" s="21">
        <v>46045.301087962966</v>
      </c>
    </row>
    <row r="1714">
      <c r="A1714" s="9" t="s">
        <v>5666</v>
      </c>
      <c r="B1714" s="20" t="str">
        <f>IFERROR(__xludf.DUMMYFUNCTION("REGEXREPLACE(A1714, ""^https?://[^/]+"", """")"),"/improving-sales-success-starts-with-your-sales-executive-hiring-process/")</f>
        <v>/improving-sales-success-starts-with-your-sales-executive-hiring-process/</v>
      </c>
      <c r="C1714" s="1" t="s">
        <v>5667</v>
      </c>
      <c r="F1714" s="1" t="s">
        <v>965</v>
      </c>
      <c r="G1714" s="1">
        <v>200.0</v>
      </c>
      <c r="H1714" s="1" t="s">
        <v>966</v>
      </c>
      <c r="I1714" s="1" t="s">
        <v>967</v>
      </c>
      <c r="K1714" s="1" t="s">
        <v>5668</v>
      </c>
      <c r="L1714" s="1">
        <v>96.0</v>
      </c>
      <c r="M1714" s="1">
        <v>865.0</v>
      </c>
      <c r="O1714" s="1">
        <v>0.0</v>
      </c>
      <c r="P1714" s="1">
        <v>0.0</v>
      </c>
      <c r="Q1714" s="1" t="s">
        <v>5669</v>
      </c>
      <c r="R1714" s="1">
        <v>141.0</v>
      </c>
      <c r="S1714" s="1">
        <v>878.0</v>
      </c>
      <c r="U1714" s="1">
        <v>0.0</v>
      </c>
      <c r="V1714" s="1" t="s">
        <v>5667</v>
      </c>
      <c r="W1714" s="1">
        <v>71.0</v>
      </c>
      <c r="Y1714" s="1">
        <v>0.0</v>
      </c>
      <c r="AA1714" s="1">
        <v>0.0</v>
      </c>
      <c r="AC1714" s="1">
        <v>0.0</v>
      </c>
      <c r="AD1714" s="1" t="s">
        <v>971</v>
      </c>
      <c r="AG1714" s="9" t="s">
        <v>5666</v>
      </c>
      <c r="AM1714" s="1">
        <v>204228.0</v>
      </c>
      <c r="AN1714" s="1">
        <v>37220.0</v>
      </c>
      <c r="AO1714" s="1">
        <v>37220.0</v>
      </c>
      <c r="AP1714" s="1">
        <v>14.258</v>
      </c>
      <c r="AR1714" s="1">
        <v>1687.0</v>
      </c>
      <c r="AS1714" s="1">
        <v>237.0</v>
      </c>
      <c r="AT1714" s="1">
        <v>7.118</v>
      </c>
      <c r="AU1714" s="1">
        <v>63.909</v>
      </c>
      <c r="AV1714" s="1" t="s">
        <v>990</v>
      </c>
      <c r="AW1714" s="1">
        <v>6.229</v>
      </c>
      <c r="AX1714" s="1">
        <v>4.0</v>
      </c>
      <c r="AY1714" s="1">
        <v>1.0</v>
      </c>
      <c r="AZ1714" s="1">
        <v>1.0</v>
      </c>
      <c r="BA1714" s="1">
        <v>5.0</v>
      </c>
      <c r="BB1714" s="1">
        <v>2.0</v>
      </c>
      <c r="BC1714" s="1">
        <v>0.0</v>
      </c>
      <c r="BD1714" s="1">
        <v>0.27</v>
      </c>
      <c r="BE1714" s="1">
        <v>131.0</v>
      </c>
      <c r="BF1714" s="1">
        <v>49.0</v>
      </c>
      <c r="BG1714" s="1">
        <v>0.0</v>
      </c>
      <c r="BH1714" s="1">
        <v>16.0</v>
      </c>
      <c r="BI1714" s="1">
        <v>8.0</v>
      </c>
      <c r="BJ1714" s="1">
        <v>0.0</v>
      </c>
      <c r="BO1714" s="1" t="s">
        <v>5670</v>
      </c>
      <c r="BP1714" s="1">
        <v>1.0</v>
      </c>
      <c r="BU1714" s="1" t="s">
        <v>974</v>
      </c>
      <c r="BV1714" s="1">
        <v>1.1</v>
      </c>
      <c r="EQ1714" s="9" t="s">
        <v>5666</v>
      </c>
      <c r="ER1714" s="21">
        <v>46045.301087962966</v>
      </c>
    </row>
    <row r="1715">
      <c r="A1715" s="9" t="s">
        <v>5671</v>
      </c>
      <c r="B1715" s="20" t="str">
        <f>IFERROR(__xludf.DUMMYFUNCTION("REGEXREPLACE(A1715, ""^https?://[^/]+"", """")"),"/how-effective-sales-leadership-training-delivers-results/")</f>
        <v>/how-effective-sales-leadership-training-delivers-results/</v>
      </c>
      <c r="C1715" s="1" t="s">
        <v>5672</v>
      </c>
      <c r="F1715" s="1" t="s">
        <v>965</v>
      </c>
      <c r="G1715" s="1">
        <v>200.0</v>
      </c>
      <c r="H1715" s="1" t="s">
        <v>966</v>
      </c>
      <c r="I1715" s="1" t="s">
        <v>967</v>
      </c>
      <c r="K1715" s="1" t="s">
        <v>5673</v>
      </c>
      <c r="L1715" s="1">
        <v>52.0</v>
      </c>
      <c r="M1715" s="1">
        <v>457.0</v>
      </c>
      <c r="O1715" s="1">
        <v>0.0</v>
      </c>
      <c r="P1715" s="1">
        <v>0.0</v>
      </c>
      <c r="Q1715" s="1" t="s">
        <v>5674</v>
      </c>
      <c r="R1715" s="1">
        <v>166.0</v>
      </c>
      <c r="S1715" s="1">
        <v>1026.0</v>
      </c>
      <c r="U1715" s="1">
        <v>0.0</v>
      </c>
      <c r="V1715" s="1" t="s">
        <v>5672</v>
      </c>
      <c r="W1715" s="1">
        <v>56.0</v>
      </c>
      <c r="Y1715" s="1">
        <v>0.0</v>
      </c>
      <c r="AA1715" s="1">
        <v>0.0</v>
      </c>
      <c r="AC1715" s="1">
        <v>0.0</v>
      </c>
      <c r="AD1715" s="1" t="s">
        <v>971</v>
      </c>
      <c r="AG1715" s="9" t="s">
        <v>5671</v>
      </c>
      <c r="AM1715" s="1">
        <v>213938.0</v>
      </c>
      <c r="AN1715" s="1">
        <v>39887.0</v>
      </c>
      <c r="AO1715" s="1">
        <v>39887.0</v>
      </c>
      <c r="AP1715" s="1">
        <v>15.28</v>
      </c>
      <c r="AR1715" s="1">
        <v>2527.0</v>
      </c>
      <c r="AS1715" s="1">
        <v>351.0</v>
      </c>
      <c r="AT1715" s="1">
        <v>7.199</v>
      </c>
      <c r="AU1715" s="1">
        <v>60.425</v>
      </c>
      <c r="AV1715" s="1" t="s">
        <v>990</v>
      </c>
      <c r="AW1715" s="1">
        <v>8.631</v>
      </c>
      <c r="AX1715" s="1">
        <v>4.0</v>
      </c>
      <c r="AY1715" s="1">
        <v>1.0</v>
      </c>
      <c r="AZ1715" s="1">
        <v>1.0</v>
      </c>
      <c r="BA1715" s="1">
        <v>19.0</v>
      </c>
      <c r="BB1715" s="1">
        <v>18.0</v>
      </c>
      <c r="BC1715" s="1">
        <v>0.0</v>
      </c>
      <c r="BD1715" s="1">
        <v>2.39</v>
      </c>
      <c r="BE1715" s="1">
        <v>140.0</v>
      </c>
      <c r="BF1715" s="1">
        <v>52.0</v>
      </c>
      <c r="BG1715" s="1">
        <v>0.0</v>
      </c>
      <c r="BH1715" s="1">
        <v>19.0</v>
      </c>
      <c r="BI1715" s="1">
        <v>11.0</v>
      </c>
      <c r="BJ1715" s="1">
        <v>0.0</v>
      </c>
      <c r="BO1715" s="1" t="s">
        <v>5675</v>
      </c>
      <c r="BP1715" s="1">
        <v>1.053</v>
      </c>
      <c r="BU1715" s="1" t="s">
        <v>974</v>
      </c>
      <c r="BV1715" s="1">
        <v>1.1</v>
      </c>
      <c r="EQ1715" s="9" t="s">
        <v>5671</v>
      </c>
      <c r="ER1715" s="21">
        <v>46045.301099537035</v>
      </c>
    </row>
    <row r="1716">
      <c r="A1716" s="9" t="s">
        <v>5676</v>
      </c>
      <c r="B1716" s="20" t="str">
        <f>IFERROR(__xludf.DUMMYFUNCTION("REGEXREPLACE(A1716, ""^https?://[^/]+"", """")"),"/wp-content/uploads/2020/03/What_are_Sales_Metrics-1-300x300.jpg")</f>
        <v>/wp-content/uploads/2020/03/What_are_Sales_Metrics-1-300x300.jpg</v>
      </c>
      <c r="F1716" s="1" t="s">
        <v>1004</v>
      </c>
      <c r="G1716" s="1">
        <v>200.0</v>
      </c>
      <c r="H1716" s="1" t="s">
        <v>966</v>
      </c>
      <c r="I1716" s="1" t="s">
        <v>967</v>
      </c>
      <c r="L1716" s="1">
        <v>0.0</v>
      </c>
      <c r="M1716" s="1">
        <v>0.0</v>
      </c>
      <c r="O1716" s="1">
        <v>0.0</v>
      </c>
      <c r="P1716" s="1">
        <v>0.0</v>
      </c>
      <c r="R1716" s="1">
        <v>0.0</v>
      </c>
      <c r="S1716" s="1">
        <v>0.0</v>
      </c>
      <c r="U1716" s="1">
        <v>0.0</v>
      </c>
      <c r="W1716" s="1">
        <v>0.0</v>
      </c>
      <c r="Y1716" s="1">
        <v>0.0</v>
      </c>
      <c r="AA1716" s="1">
        <v>0.0</v>
      </c>
      <c r="AC1716" s="1">
        <v>0.0</v>
      </c>
      <c r="AM1716" s="1">
        <v>13705.0</v>
      </c>
      <c r="AN1716" s="1">
        <v>13705.0</v>
      </c>
      <c r="AO1716" s="1">
        <v>13705.0</v>
      </c>
      <c r="AP1716" s="1">
        <v>5.25</v>
      </c>
      <c r="AR1716" s="1">
        <v>0.0</v>
      </c>
      <c r="AW1716" s="1">
        <v>0.0</v>
      </c>
      <c r="AX1716" s="1">
        <v>4.0</v>
      </c>
      <c r="AY1716" s="1">
        <v>4.0</v>
      </c>
      <c r="BA1716" s="1">
        <v>0.0</v>
      </c>
      <c r="BB1716" s="1">
        <v>0.0</v>
      </c>
      <c r="BC1716" s="1">
        <v>0.0</v>
      </c>
      <c r="BD1716" s="1">
        <v>0.0</v>
      </c>
      <c r="BE1716" s="1">
        <v>0.0</v>
      </c>
      <c r="BF1716" s="1">
        <v>0.0</v>
      </c>
      <c r="BG1716" s="1">
        <v>0.0</v>
      </c>
      <c r="BH1716" s="1">
        <v>0.0</v>
      </c>
      <c r="BI1716" s="1">
        <v>0.0</v>
      </c>
      <c r="BJ1716" s="1">
        <v>0.0</v>
      </c>
      <c r="BP1716" s="1">
        <v>0.276</v>
      </c>
      <c r="BQ1716" s="1" t="s">
        <v>5577</v>
      </c>
      <c r="BV1716" s="1">
        <v>1.1</v>
      </c>
      <c r="EQ1716" s="9" t="s">
        <v>5676</v>
      </c>
      <c r="ER1716" s="21">
        <v>46045.30111111111</v>
      </c>
    </row>
    <row r="1717">
      <c r="A1717" s="9" t="s">
        <v>5677</v>
      </c>
      <c r="B1717" s="20" t="str">
        <f>IFERROR(__xludf.DUMMYFUNCTION("REGEXREPLACE(A1717, ""^https?://[^/]+"", """")"),"/questions-ceos-ask-themselves-daily/")</f>
        <v>/questions-ceos-ask-themselves-daily/</v>
      </c>
      <c r="C1717" s="1" t="s">
        <v>5678</v>
      </c>
      <c r="F1717" s="1" t="s">
        <v>965</v>
      </c>
      <c r="G1717" s="1">
        <v>200.0</v>
      </c>
      <c r="H1717" s="1" t="s">
        <v>966</v>
      </c>
      <c r="I1717" s="1" t="s">
        <v>967</v>
      </c>
      <c r="K1717" s="1" t="s">
        <v>5679</v>
      </c>
      <c r="L1717" s="1">
        <v>60.0</v>
      </c>
      <c r="M1717" s="1">
        <v>558.0</v>
      </c>
      <c r="O1717" s="1">
        <v>0.0</v>
      </c>
      <c r="P1717" s="1">
        <v>0.0</v>
      </c>
      <c r="Q1717" s="1" t="s">
        <v>5680</v>
      </c>
      <c r="R1717" s="1">
        <v>183.0</v>
      </c>
      <c r="S1717" s="1">
        <v>1125.0</v>
      </c>
      <c r="U1717" s="1">
        <v>0.0</v>
      </c>
      <c r="V1717" s="1" t="s">
        <v>5678</v>
      </c>
      <c r="W1717" s="1">
        <v>35.0</v>
      </c>
      <c r="Y1717" s="1">
        <v>0.0</v>
      </c>
      <c r="AA1717" s="1">
        <v>0.0</v>
      </c>
      <c r="AC1717" s="1">
        <v>0.0</v>
      </c>
      <c r="AD1717" s="1" t="s">
        <v>971</v>
      </c>
      <c r="AG1717" s="9" t="s">
        <v>5677</v>
      </c>
      <c r="AM1717" s="1">
        <v>200400.0</v>
      </c>
      <c r="AN1717" s="1">
        <v>36110.0</v>
      </c>
      <c r="AO1717" s="1">
        <v>36110.0</v>
      </c>
      <c r="AP1717" s="1">
        <v>13.833</v>
      </c>
      <c r="AR1717" s="1">
        <v>1216.0</v>
      </c>
      <c r="AS1717" s="1">
        <v>192.0</v>
      </c>
      <c r="AT1717" s="1">
        <v>6.333</v>
      </c>
      <c r="AU1717" s="1">
        <v>62.584</v>
      </c>
      <c r="AV1717" s="1" t="s">
        <v>990</v>
      </c>
      <c r="AW1717" s="1">
        <v>4.924</v>
      </c>
      <c r="AX1717" s="1">
        <v>4.0</v>
      </c>
      <c r="AY1717" s="1">
        <v>1.0</v>
      </c>
      <c r="AZ1717" s="1">
        <v>1.0</v>
      </c>
      <c r="BA1717" s="1">
        <v>7.0</v>
      </c>
      <c r="BB1717" s="1">
        <v>4.0</v>
      </c>
      <c r="BC1717" s="1">
        <v>0.0</v>
      </c>
      <c r="BD1717" s="1">
        <v>0.53</v>
      </c>
      <c r="BE1717" s="1">
        <v>131.0</v>
      </c>
      <c r="BF1717" s="1">
        <v>49.0</v>
      </c>
      <c r="BG1717" s="1">
        <v>0.0</v>
      </c>
      <c r="BH1717" s="1">
        <v>16.0</v>
      </c>
      <c r="BI1717" s="1">
        <v>8.0</v>
      </c>
      <c r="BJ1717" s="1">
        <v>0.0</v>
      </c>
      <c r="BO1717" s="1" t="s">
        <v>5681</v>
      </c>
      <c r="BP1717" s="1">
        <v>1.011</v>
      </c>
      <c r="BU1717" s="1" t="s">
        <v>974</v>
      </c>
      <c r="BV1717" s="1">
        <v>1.1</v>
      </c>
      <c r="EQ1717" s="9" t="s">
        <v>5677</v>
      </c>
      <c r="ER1717" s="21">
        <v>46045.301099537035</v>
      </c>
    </row>
    <row r="1718">
      <c r="A1718" s="9" t="s">
        <v>5682</v>
      </c>
      <c r="B1718" s="20" t="str">
        <f>IFERROR(__xludf.DUMMYFUNCTION("REGEXREPLACE(A1718, ""^https?://[^/]+"", """")"),"/wp-content/uploads/2020/03/Strategies_for_Seasonality-scaled-1-300x210.jpg")</f>
        <v>/wp-content/uploads/2020/03/Strategies_for_Seasonality-scaled-1-300x210.jpg</v>
      </c>
      <c r="F1718" s="1" t="s">
        <v>1004</v>
      </c>
      <c r="G1718" s="1">
        <v>200.0</v>
      </c>
      <c r="H1718" s="1" t="s">
        <v>966</v>
      </c>
      <c r="I1718" s="1" t="s">
        <v>967</v>
      </c>
      <c r="L1718" s="1">
        <v>0.0</v>
      </c>
      <c r="M1718" s="1">
        <v>0.0</v>
      </c>
      <c r="O1718" s="1">
        <v>0.0</v>
      </c>
      <c r="P1718" s="1">
        <v>0.0</v>
      </c>
      <c r="R1718" s="1">
        <v>0.0</v>
      </c>
      <c r="S1718" s="1">
        <v>0.0</v>
      </c>
      <c r="U1718" s="1">
        <v>0.0</v>
      </c>
      <c r="W1718" s="1">
        <v>0.0</v>
      </c>
      <c r="Y1718" s="1">
        <v>0.0</v>
      </c>
      <c r="AA1718" s="1">
        <v>0.0</v>
      </c>
      <c r="AC1718" s="1">
        <v>0.0</v>
      </c>
      <c r="AM1718" s="1">
        <v>15580.0</v>
      </c>
      <c r="AN1718" s="1">
        <v>15580.0</v>
      </c>
      <c r="AO1718" s="1">
        <v>15580.0</v>
      </c>
      <c r="AP1718" s="1">
        <v>5.968</v>
      </c>
      <c r="AR1718" s="1">
        <v>0.0</v>
      </c>
      <c r="AW1718" s="1">
        <v>0.0</v>
      </c>
      <c r="AX1718" s="1">
        <v>4.0</v>
      </c>
      <c r="AY1718" s="1">
        <v>4.0</v>
      </c>
      <c r="BA1718" s="1">
        <v>0.0</v>
      </c>
      <c r="BB1718" s="1">
        <v>0.0</v>
      </c>
      <c r="BC1718" s="1">
        <v>0.0</v>
      </c>
      <c r="BD1718" s="1">
        <v>0.0</v>
      </c>
      <c r="BE1718" s="1">
        <v>0.0</v>
      </c>
      <c r="BF1718" s="1">
        <v>0.0</v>
      </c>
      <c r="BG1718" s="1">
        <v>0.0</v>
      </c>
      <c r="BH1718" s="1">
        <v>0.0</v>
      </c>
      <c r="BI1718" s="1">
        <v>0.0</v>
      </c>
      <c r="BJ1718" s="1">
        <v>0.0</v>
      </c>
      <c r="BP1718" s="1">
        <v>0.265</v>
      </c>
      <c r="BQ1718" s="1" t="s">
        <v>5683</v>
      </c>
      <c r="BV1718" s="1">
        <v>1.1</v>
      </c>
      <c r="EQ1718" s="9" t="s">
        <v>5682</v>
      </c>
      <c r="ER1718" s="21">
        <v>46045.30111111111</v>
      </c>
    </row>
    <row r="1719">
      <c r="A1719" s="9" t="s">
        <v>5684</v>
      </c>
      <c r="B1719" s="20" t="str">
        <f>IFERROR(__xludf.DUMMYFUNCTION("REGEXREPLACE(A1719, ""^https?://[^/]+"", """")"),"/wp-content/uploads/2020/05/Frustrated-salesperson-scaled-1-300x300.jpg")</f>
        <v>/wp-content/uploads/2020/05/Frustrated-salesperson-scaled-1-300x300.jpg</v>
      </c>
      <c r="F1719" s="1" t="s">
        <v>1004</v>
      </c>
      <c r="G1719" s="1">
        <v>200.0</v>
      </c>
      <c r="H1719" s="1" t="s">
        <v>966</v>
      </c>
      <c r="I1719" s="1" t="s">
        <v>967</v>
      </c>
      <c r="L1719" s="1">
        <v>0.0</v>
      </c>
      <c r="M1719" s="1">
        <v>0.0</v>
      </c>
      <c r="O1719" s="1">
        <v>0.0</v>
      </c>
      <c r="P1719" s="1">
        <v>0.0</v>
      </c>
      <c r="R1719" s="1">
        <v>0.0</v>
      </c>
      <c r="S1719" s="1">
        <v>0.0</v>
      </c>
      <c r="U1719" s="1">
        <v>0.0</v>
      </c>
      <c r="W1719" s="1">
        <v>0.0</v>
      </c>
      <c r="Y1719" s="1">
        <v>0.0</v>
      </c>
      <c r="AA1719" s="1">
        <v>0.0</v>
      </c>
      <c r="AC1719" s="1">
        <v>0.0</v>
      </c>
      <c r="AM1719" s="1">
        <v>15345.0</v>
      </c>
      <c r="AN1719" s="1">
        <v>15345.0</v>
      </c>
      <c r="AO1719" s="1">
        <v>15345.0</v>
      </c>
      <c r="AP1719" s="1">
        <v>5.878</v>
      </c>
      <c r="AR1719" s="1">
        <v>0.0</v>
      </c>
      <c r="AW1719" s="1">
        <v>0.0</v>
      </c>
      <c r="AX1719" s="1">
        <v>4.0</v>
      </c>
      <c r="AY1719" s="1">
        <v>4.0</v>
      </c>
      <c r="BA1719" s="1">
        <v>0.0</v>
      </c>
      <c r="BB1719" s="1">
        <v>0.0</v>
      </c>
      <c r="BC1719" s="1">
        <v>0.0</v>
      </c>
      <c r="BD1719" s="1">
        <v>0.0</v>
      </c>
      <c r="BE1719" s="1">
        <v>0.0</v>
      </c>
      <c r="BF1719" s="1">
        <v>0.0</v>
      </c>
      <c r="BG1719" s="1">
        <v>0.0</v>
      </c>
      <c r="BH1719" s="1">
        <v>0.0</v>
      </c>
      <c r="BI1719" s="1">
        <v>0.0</v>
      </c>
      <c r="BJ1719" s="1">
        <v>0.0</v>
      </c>
      <c r="BP1719" s="1">
        <v>0.265</v>
      </c>
      <c r="BQ1719" s="1" t="s">
        <v>5685</v>
      </c>
      <c r="BV1719" s="1">
        <v>1.1</v>
      </c>
      <c r="EQ1719" s="9" t="s">
        <v>5684</v>
      </c>
      <c r="ER1719" s="21">
        <v>46045.30111111111</v>
      </c>
    </row>
    <row r="1720">
      <c r="A1720" s="9" t="s">
        <v>5686</v>
      </c>
      <c r="B1720" s="20" t="str">
        <f>IFERROR(__xludf.DUMMYFUNCTION("REGEXREPLACE(A1720, ""^https?://[^/]+"", """")"),"/wp-content/uploads/2020/04/SX-Buinessmen_meeting_and_planning-scaled-1-300x300.jpg")</f>
        <v>/wp-content/uploads/2020/04/SX-Buinessmen_meeting_and_planning-scaled-1-300x300.jpg</v>
      </c>
      <c r="F1720" s="1" t="s">
        <v>1004</v>
      </c>
      <c r="G1720" s="1">
        <v>200.0</v>
      </c>
      <c r="H1720" s="1" t="s">
        <v>966</v>
      </c>
      <c r="I1720" s="1" t="s">
        <v>967</v>
      </c>
      <c r="L1720" s="1">
        <v>0.0</v>
      </c>
      <c r="M1720" s="1">
        <v>0.0</v>
      </c>
      <c r="O1720" s="1">
        <v>0.0</v>
      </c>
      <c r="P1720" s="1">
        <v>0.0</v>
      </c>
      <c r="R1720" s="1">
        <v>0.0</v>
      </c>
      <c r="S1720" s="1">
        <v>0.0</v>
      </c>
      <c r="U1720" s="1">
        <v>0.0</v>
      </c>
      <c r="W1720" s="1">
        <v>0.0</v>
      </c>
      <c r="Y1720" s="1">
        <v>0.0</v>
      </c>
      <c r="AA1720" s="1">
        <v>0.0</v>
      </c>
      <c r="AC1720" s="1">
        <v>0.0</v>
      </c>
      <c r="AM1720" s="1">
        <v>16636.0</v>
      </c>
      <c r="AN1720" s="1">
        <v>16636.0</v>
      </c>
      <c r="AO1720" s="1">
        <v>16636.0</v>
      </c>
      <c r="AP1720" s="1">
        <v>6.373</v>
      </c>
      <c r="AR1720" s="1">
        <v>0.0</v>
      </c>
      <c r="AW1720" s="1">
        <v>0.0</v>
      </c>
      <c r="AX1720" s="1">
        <v>4.0</v>
      </c>
      <c r="AY1720" s="1">
        <v>4.0</v>
      </c>
      <c r="BA1720" s="1">
        <v>0.0</v>
      </c>
      <c r="BB1720" s="1">
        <v>0.0</v>
      </c>
      <c r="BC1720" s="1">
        <v>0.0</v>
      </c>
      <c r="BD1720" s="1">
        <v>0.0</v>
      </c>
      <c r="BE1720" s="1">
        <v>0.0</v>
      </c>
      <c r="BF1720" s="1">
        <v>0.0</v>
      </c>
      <c r="BG1720" s="1">
        <v>0.0</v>
      </c>
      <c r="BH1720" s="1">
        <v>0.0</v>
      </c>
      <c r="BI1720" s="1">
        <v>0.0</v>
      </c>
      <c r="BJ1720" s="1">
        <v>0.0</v>
      </c>
      <c r="BP1720" s="1">
        <v>0.273</v>
      </c>
      <c r="BQ1720" s="1" t="s">
        <v>5687</v>
      </c>
      <c r="BV1720" s="1">
        <v>1.1</v>
      </c>
      <c r="EQ1720" s="9" t="s">
        <v>5686</v>
      </c>
      <c r="ER1720" s="21">
        <v>46045.30111111111</v>
      </c>
    </row>
    <row r="1721">
      <c r="A1721" s="9" t="s">
        <v>5688</v>
      </c>
      <c r="B1721" s="20" t="str">
        <f>IFERROR(__xludf.DUMMYFUNCTION("REGEXREPLACE(A1721, ""^https?://[^/]+"", """")"),"/wp-content/uploads/2020/06/Sales-Candidates-scaled-1-300x135.jpg")</f>
        <v>/wp-content/uploads/2020/06/Sales-Candidates-scaled-1-300x135.jpg</v>
      </c>
      <c r="F1721" s="1" t="s">
        <v>1004</v>
      </c>
      <c r="G1721" s="1">
        <v>200.0</v>
      </c>
      <c r="H1721" s="1" t="s">
        <v>966</v>
      </c>
      <c r="I1721" s="1" t="s">
        <v>967</v>
      </c>
      <c r="L1721" s="1">
        <v>0.0</v>
      </c>
      <c r="M1721" s="1">
        <v>0.0</v>
      </c>
      <c r="O1721" s="1">
        <v>0.0</v>
      </c>
      <c r="P1721" s="1">
        <v>0.0</v>
      </c>
      <c r="R1721" s="1">
        <v>0.0</v>
      </c>
      <c r="S1721" s="1">
        <v>0.0</v>
      </c>
      <c r="U1721" s="1">
        <v>0.0</v>
      </c>
      <c r="W1721" s="1">
        <v>0.0</v>
      </c>
      <c r="Y1721" s="1">
        <v>0.0</v>
      </c>
      <c r="AA1721" s="1">
        <v>0.0</v>
      </c>
      <c r="AC1721" s="1">
        <v>0.0</v>
      </c>
      <c r="AM1721" s="1">
        <v>12049.0</v>
      </c>
      <c r="AN1721" s="1">
        <v>12049.0</v>
      </c>
      <c r="AO1721" s="1">
        <v>12049.0</v>
      </c>
      <c r="AP1721" s="1">
        <v>4.616</v>
      </c>
      <c r="AR1721" s="1">
        <v>0.0</v>
      </c>
      <c r="AW1721" s="1">
        <v>0.0</v>
      </c>
      <c r="AX1721" s="1">
        <v>4.0</v>
      </c>
      <c r="AY1721" s="1">
        <v>4.0</v>
      </c>
      <c r="BA1721" s="1">
        <v>0.0</v>
      </c>
      <c r="BB1721" s="1">
        <v>0.0</v>
      </c>
      <c r="BC1721" s="1">
        <v>0.0</v>
      </c>
      <c r="BD1721" s="1">
        <v>0.0</v>
      </c>
      <c r="BE1721" s="1">
        <v>0.0</v>
      </c>
      <c r="BF1721" s="1">
        <v>0.0</v>
      </c>
      <c r="BG1721" s="1">
        <v>0.0</v>
      </c>
      <c r="BH1721" s="1">
        <v>0.0</v>
      </c>
      <c r="BI1721" s="1">
        <v>0.0</v>
      </c>
      <c r="BJ1721" s="1">
        <v>0.0</v>
      </c>
      <c r="BP1721" s="1">
        <v>0.263</v>
      </c>
      <c r="BQ1721" s="1" t="s">
        <v>5689</v>
      </c>
      <c r="BV1721" s="1">
        <v>1.1</v>
      </c>
      <c r="EQ1721" s="9" t="s">
        <v>5688</v>
      </c>
      <c r="ER1721" s="21">
        <v>46045.30111111111</v>
      </c>
    </row>
    <row r="1722">
      <c r="A1722" s="9" t="s">
        <v>5690</v>
      </c>
      <c r="B1722" s="20" t="str">
        <f>IFERROR(__xludf.DUMMYFUNCTION("REGEXREPLACE(A1722, ""^https?://[^/]+"", """")"),"/wp-content/uploads/2022/01/Supply-Chain-Logistics-300x200.jpg")</f>
        <v>/wp-content/uploads/2022/01/Supply-Chain-Logistics-300x200.jpg</v>
      </c>
      <c r="F1722" s="1" t="s">
        <v>1004</v>
      </c>
      <c r="G1722" s="1">
        <v>200.0</v>
      </c>
      <c r="H1722" s="1" t="s">
        <v>966</v>
      </c>
      <c r="I1722" s="1" t="s">
        <v>967</v>
      </c>
      <c r="L1722" s="1">
        <v>0.0</v>
      </c>
      <c r="M1722" s="1">
        <v>0.0</v>
      </c>
      <c r="O1722" s="1">
        <v>0.0</v>
      </c>
      <c r="P1722" s="1">
        <v>0.0</v>
      </c>
      <c r="R1722" s="1">
        <v>0.0</v>
      </c>
      <c r="S1722" s="1">
        <v>0.0</v>
      </c>
      <c r="U1722" s="1">
        <v>0.0</v>
      </c>
      <c r="W1722" s="1">
        <v>0.0</v>
      </c>
      <c r="Y1722" s="1">
        <v>0.0</v>
      </c>
      <c r="AA1722" s="1">
        <v>0.0</v>
      </c>
      <c r="AC1722" s="1">
        <v>0.0</v>
      </c>
      <c r="AM1722" s="1">
        <v>15490.0</v>
      </c>
      <c r="AN1722" s="1">
        <v>15490.0</v>
      </c>
      <c r="AO1722" s="1">
        <v>15490.0</v>
      </c>
      <c r="AP1722" s="1">
        <v>5.934</v>
      </c>
      <c r="AR1722" s="1">
        <v>0.0</v>
      </c>
      <c r="AW1722" s="1">
        <v>0.0</v>
      </c>
      <c r="AX1722" s="1">
        <v>4.0</v>
      </c>
      <c r="AY1722" s="1">
        <v>4.0</v>
      </c>
      <c r="BA1722" s="1">
        <v>0.0</v>
      </c>
      <c r="BB1722" s="1">
        <v>0.0</v>
      </c>
      <c r="BC1722" s="1">
        <v>0.0</v>
      </c>
      <c r="BD1722" s="1">
        <v>0.0</v>
      </c>
      <c r="BE1722" s="1">
        <v>0.0</v>
      </c>
      <c r="BF1722" s="1">
        <v>0.0</v>
      </c>
      <c r="BG1722" s="1">
        <v>0.0</v>
      </c>
      <c r="BH1722" s="1">
        <v>0.0</v>
      </c>
      <c r="BI1722" s="1">
        <v>0.0</v>
      </c>
      <c r="BJ1722" s="1">
        <v>0.0</v>
      </c>
      <c r="BP1722" s="1">
        <v>0.274</v>
      </c>
      <c r="BQ1722" s="1" t="s">
        <v>5691</v>
      </c>
      <c r="BV1722" s="1">
        <v>1.1</v>
      </c>
      <c r="EQ1722" s="9" t="s">
        <v>5690</v>
      </c>
      <c r="ER1722" s="21">
        <v>46045.30111111111</v>
      </c>
    </row>
    <row r="1723">
      <c r="A1723" s="9" t="s">
        <v>5692</v>
      </c>
      <c r="B1723" s="20" t="str">
        <f>IFERROR(__xludf.DUMMYFUNCTION("REGEXREPLACE(A1723, ""^https?://[^/]+"", """")"),"/appreciating-and-retaining-millennial-employees/")</f>
        <v>/appreciating-and-retaining-millennial-employees/</v>
      </c>
      <c r="C1723" s="1" t="s">
        <v>5693</v>
      </c>
      <c r="F1723" s="1" t="s">
        <v>965</v>
      </c>
      <c r="G1723" s="1">
        <v>200.0</v>
      </c>
      <c r="H1723" s="1" t="s">
        <v>966</v>
      </c>
      <c r="I1723" s="1" t="s">
        <v>967</v>
      </c>
      <c r="K1723" s="1" t="s">
        <v>5694</v>
      </c>
      <c r="L1723" s="1">
        <v>72.0</v>
      </c>
      <c r="M1723" s="1">
        <v>648.0</v>
      </c>
      <c r="O1723" s="1">
        <v>0.0</v>
      </c>
      <c r="P1723" s="1">
        <v>0.0</v>
      </c>
      <c r="Q1723" s="1" t="s">
        <v>5695</v>
      </c>
      <c r="R1723" s="1">
        <v>149.0</v>
      </c>
      <c r="S1723" s="1">
        <v>876.0</v>
      </c>
      <c r="U1723" s="1">
        <v>0.0</v>
      </c>
      <c r="V1723" s="1" t="s">
        <v>5693</v>
      </c>
      <c r="W1723" s="1">
        <v>47.0</v>
      </c>
      <c r="Y1723" s="1">
        <v>0.0</v>
      </c>
      <c r="AA1723" s="1">
        <v>0.0</v>
      </c>
      <c r="AC1723" s="1">
        <v>0.0</v>
      </c>
      <c r="AD1723" s="1" t="s">
        <v>971</v>
      </c>
      <c r="AG1723" s="9" t="s">
        <v>5692</v>
      </c>
      <c r="AM1723" s="1">
        <v>203028.0</v>
      </c>
      <c r="AN1723" s="1">
        <v>36257.0</v>
      </c>
      <c r="AO1723" s="1">
        <v>36257.0</v>
      </c>
      <c r="AP1723" s="1">
        <v>13.889</v>
      </c>
      <c r="AR1723" s="1">
        <v>1288.0</v>
      </c>
      <c r="AS1723" s="1">
        <v>193.0</v>
      </c>
      <c r="AT1723" s="1">
        <v>6.674</v>
      </c>
      <c r="AU1723" s="1">
        <v>56.609</v>
      </c>
      <c r="AV1723" s="1" t="s">
        <v>972</v>
      </c>
      <c r="AW1723" s="1">
        <v>5.228</v>
      </c>
      <c r="AX1723" s="1">
        <v>4.0</v>
      </c>
      <c r="AY1723" s="1">
        <v>1.0</v>
      </c>
      <c r="AZ1723" s="1">
        <v>1.0</v>
      </c>
      <c r="BA1723" s="1">
        <v>4.0</v>
      </c>
      <c r="BB1723" s="1">
        <v>2.0</v>
      </c>
      <c r="BC1723" s="1">
        <v>0.0</v>
      </c>
      <c r="BD1723" s="1">
        <v>0.27</v>
      </c>
      <c r="BE1723" s="1">
        <v>129.0</v>
      </c>
      <c r="BF1723" s="1">
        <v>47.0</v>
      </c>
      <c r="BG1723" s="1">
        <v>0.0</v>
      </c>
      <c r="BH1723" s="1">
        <v>16.0</v>
      </c>
      <c r="BI1723" s="1">
        <v>8.0</v>
      </c>
      <c r="BJ1723" s="1">
        <v>0.0</v>
      </c>
      <c r="BO1723" s="1" t="s">
        <v>5696</v>
      </c>
      <c r="BP1723" s="1">
        <v>0.982</v>
      </c>
      <c r="BU1723" s="1" t="s">
        <v>974</v>
      </c>
      <c r="BV1723" s="1">
        <v>1.1</v>
      </c>
      <c r="EQ1723" s="9" t="s">
        <v>5692</v>
      </c>
      <c r="ER1723" s="21">
        <v>46045.301099537035</v>
      </c>
    </row>
    <row r="1724">
      <c r="A1724" s="9" t="s">
        <v>5697</v>
      </c>
      <c r="B1724" s="20" t="str">
        <f>IFERROR(__xludf.DUMMYFUNCTION("REGEXREPLACE(A1724, ""^https?://[^/]+"", """")"),"/start-me-up/")</f>
        <v>/start-me-up/</v>
      </c>
      <c r="C1724" s="1" t="s">
        <v>5698</v>
      </c>
      <c r="F1724" s="1" t="s">
        <v>965</v>
      </c>
      <c r="G1724" s="1">
        <v>200.0</v>
      </c>
      <c r="H1724" s="1" t="s">
        <v>966</v>
      </c>
      <c r="I1724" s="1" t="s">
        <v>967</v>
      </c>
      <c r="K1724" s="1" t="s">
        <v>5699</v>
      </c>
      <c r="L1724" s="1">
        <v>36.0</v>
      </c>
      <c r="M1724" s="1">
        <v>321.0</v>
      </c>
      <c r="O1724" s="1">
        <v>0.0</v>
      </c>
      <c r="P1724" s="1">
        <v>0.0</v>
      </c>
      <c r="Q1724" s="1" t="s">
        <v>5700</v>
      </c>
      <c r="R1724" s="1">
        <v>137.0</v>
      </c>
      <c r="S1724" s="1">
        <v>822.0</v>
      </c>
      <c r="U1724" s="1">
        <v>0.0</v>
      </c>
      <c r="V1724" s="1" t="s">
        <v>5698</v>
      </c>
      <c r="W1724" s="1">
        <v>11.0</v>
      </c>
      <c r="Y1724" s="1">
        <v>0.0</v>
      </c>
      <c r="AA1724" s="1">
        <v>0.0</v>
      </c>
      <c r="AC1724" s="1">
        <v>0.0</v>
      </c>
      <c r="AD1724" s="1" t="s">
        <v>971</v>
      </c>
      <c r="AG1724" s="9" t="s">
        <v>5697</v>
      </c>
      <c r="AM1724" s="1">
        <v>200820.0</v>
      </c>
      <c r="AN1724" s="1">
        <v>36027.0</v>
      </c>
      <c r="AO1724" s="1">
        <v>36027.0</v>
      </c>
      <c r="AP1724" s="1">
        <v>13.801</v>
      </c>
      <c r="AR1724" s="1">
        <v>1339.0</v>
      </c>
      <c r="AS1724" s="1">
        <v>192.0</v>
      </c>
      <c r="AT1724" s="1">
        <v>6.974</v>
      </c>
      <c r="AU1724" s="1">
        <v>69.413</v>
      </c>
      <c r="AV1724" s="1" t="s">
        <v>990</v>
      </c>
      <c r="AW1724" s="1">
        <v>5.159</v>
      </c>
      <c r="AX1724" s="1">
        <v>4.0</v>
      </c>
      <c r="AY1724" s="1">
        <v>1.0</v>
      </c>
      <c r="AZ1724" s="1">
        <v>1.0</v>
      </c>
      <c r="BA1724" s="1">
        <v>6.0</v>
      </c>
      <c r="BB1724" s="1">
        <v>5.0</v>
      </c>
      <c r="BC1724" s="1">
        <v>0.0</v>
      </c>
      <c r="BD1724" s="1">
        <v>0.66</v>
      </c>
      <c r="BE1724" s="1">
        <v>129.0</v>
      </c>
      <c r="BF1724" s="1">
        <v>47.0</v>
      </c>
      <c r="BG1724" s="1">
        <v>0.0</v>
      </c>
      <c r="BH1724" s="1">
        <v>16.0</v>
      </c>
      <c r="BI1724" s="1">
        <v>8.0</v>
      </c>
      <c r="BJ1724" s="1">
        <v>0.0</v>
      </c>
      <c r="BO1724" s="1" t="s">
        <v>5701</v>
      </c>
      <c r="BP1724" s="1">
        <v>1.025</v>
      </c>
      <c r="BU1724" s="1" t="s">
        <v>974</v>
      </c>
      <c r="BV1724" s="1">
        <v>1.1</v>
      </c>
      <c r="EQ1724" s="9" t="s">
        <v>5697</v>
      </c>
      <c r="ER1724" s="21">
        <v>46045.30111111111</v>
      </c>
    </row>
    <row r="1725">
      <c r="A1725" s="9" t="s">
        <v>5702</v>
      </c>
      <c r="B1725" s="20" t="str">
        <f>IFERROR(__xludf.DUMMYFUNCTION("REGEXREPLACE(A1725, ""^https?://[^/]+"", """")"),"/wp-content/uploads/2021/11/Buyer-Journey_Sales-Process-300x200.jpeg")</f>
        <v>/wp-content/uploads/2021/11/Buyer-Journey_Sales-Process-300x200.jpeg</v>
      </c>
      <c r="F1725" s="1" t="s">
        <v>1004</v>
      </c>
      <c r="G1725" s="1">
        <v>200.0</v>
      </c>
      <c r="H1725" s="1" t="s">
        <v>966</v>
      </c>
      <c r="I1725" s="1" t="s">
        <v>967</v>
      </c>
      <c r="L1725" s="1">
        <v>0.0</v>
      </c>
      <c r="M1725" s="1">
        <v>0.0</v>
      </c>
      <c r="O1725" s="1">
        <v>0.0</v>
      </c>
      <c r="P1725" s="1">
        <v>0.0</v>
      </c>
      <c r="R1725" s="1">
        <v>0.0</v>
      </c>
      <c r="S1725" s="1">
        <v>0.0</v>
      </c>
      <c r="U1725" s="1">
        <v>0.0</v>
      </c>
      <c r="W1725" s="1">
        <v>0.0</v>
      </c>
      <c r="Y1725" s="1">
        <v>0.0</v>
      </c>
      <c r="AA1725" s="1">
        <v>0.0</v>
      </c>
      <c r="AC1725" s="1">
        <v>0.0</v>
      </c>
      <c r="AM1725" s="1">
        <v>13234.0</v>
      </c>
      <c r="AN1725" s="1">
        <v>13234.0</v>
      </c>
      <c r="AO1725" s="1">
        <v>13234.0</v>
      </c>
      <c r="AP1725" s="1">
        <v>5.07</v>
      </c>
      <c r="AR1725" s="1">
        <v>0.0</v>
      </c>
      <c r="AW1725" s="1">
        <v>0.0</v>
      </c>
      <c r="AX1725" s="1">
        <v>4.0</v>
      </c>
      <c r="AY1725" s="1">
        <v>4.0</v>
      </c>
      <c r="BA1725" s="1">
        <v>0.0</v>
      </c>
      <c r="BB1725" s="1">
        <v>0.0</v>
      </c>
      <c r="BC1725" s="1">
        <v>0.0</v>
      </c>
      <c r="BD1725" s="1">
        <v>0.0</v>
      </c>
      <c r="BE1725" s="1">
        <v>0.0</v>
      </c>
      <c r="BF1725" s="1">
        <v>0.0</v>
      </c>
      <c r="BG1725" s="1">
        <v>0.0</v>
      </c>
      <c r="BH1725" s="1">
        <v>0.0</v>
      </c>
      <c r="BI1725" s="1">
        <v>0.0</v>
      </c>
      <c r="BJ1725" s="1">
        <v>0.0</v>
      </c>
      <c r="BP1725" s="1">
        <v>0.282</v>
      </c>
      <c r="BQ1725" s="1" t="s">
        <v>5703</v>
      </c>
      <c r="BV1725" s="1">
        <v>1.1</v>
      </c>
      <c r="EQ1725" s="9" t="s">
        <v>5702</v>
      </c>
      <c r="ER1725" s="21">
        <v>46045.30112268519</v>
      </c>
    </row>
    <row r="1726">
      <c r="A1726" s="9" t="s">
        <v>5704</v>
      </c>
      <c r="B1726" s="20" t="str">
        <f>IFERROR(__xludf.DUMMYFUNCTION("REGEXREPLACE(A1726, ""^https?://[^/]+"", """")"),"/wp-content/uploads/2021/07/CRM-scaled-1-300x300.jpg")</f>
        <v>/wp-content/uploads/2021/07/CRM-scaled-1-300x300.jpg</v>
      </c>
      <c r="F1726" s="1" t="s">
        <v>1004</v>
      </c>
      <c r="G1726" s="1">
        <v>200.0</v>
      </c>
      <c r="H1726" s="1" t="s">
        <v>966</v>
      </c>
      <c r="I1726" s="1" t="s">
        <v>967</v>
      </c>
      <c r="L1726" s="1">
        <v>0.0</v>
      </c>
      <c r="M1726" s="1">
        <v>0.0</v>
      </c>
      <c r="O1726" s="1">
        <v>0.0</v>
      </c>
      <c r="P1726" s="1">
        <v>0.0</v>
      </c>
      <c r="R1726" s="1">
        <v>0.0</v>
      </c>
      <c r="S1726" s="1">
        <v>0.0</v>
      </c>
      <c r="U1726" s="1">
        <v>0.0</v>
      </c>
      <c r="W1726" s="1">
        <v>0.0</v>
      </c>
      <c r="Y1726" s="1">
        <v>0.0</v>
      </c>
      <c r="AA1726" s="1">
        <v>0.0</v>
      </c>
      <c r="AC1726" s="1">
        <v>0.0</v>
      </c>
      <c r="AM1726" s="1">
        <v>16522.0</v>
      </c>
      <c r="AN1726" s="1">
        <v>16522.0</v>
      </c>
      <c r="AO1726" s="1">
        <v>16522.0</v>
      </c>
      <c r="AP1726" s="1">
        <v>6.329</v>
      </c>
      <c r="AR1726" s="1">
        <v>0.0</v>
      </c>
      <c r="AW1726" s="1">
        <v>0.0</v>
      </c>
      <c r="AX1726" s="1">
        <v>4.0</v>
      </c>
      <c r="AY1726" s="1">
        <v>4.0</v>
      </c>
      <c r="BA1726" s="1">
        <v>0.0</v>
      </c>
      <c r="BB1726" s="1">
        <v>0.0</v>
      </c>
      <c r="BC1726" s="1">
        <v>0.0</v>
      </c>
      <c r="BD1726" s="1">
        <v>0.0</v>
      </c>
      <c r="BE1726" s="1">
        <v>0.0</v>
      </c>
      <c r="BF1726" s="1">
        <v>0.0</v>
      </c>
      <c r="BG1726" s="1">
        <v>0.0</v>
      </c>
      <c r="BH1726" s="1">
        <v>0.0</v>
      </c>
      <c r="BI1726" s="1">
        <v>0.0</v>
      </c>
      <c r="BJ1726" s="1">
        <v>0.0</v>
      </c>
      <c r="BP1726" s="1">
        <v>0.27</v>
      </c>
      <c r="BQ1726" s="1" t="s">
        <v>5705</v>
      </c>
      <c r="BV1726" s="1">
        <v>1.1</v>
      </c>
      <c r="EQ1726" s="9" t="s">
        <v>5704</v>
      </c>
      <c r="ER1726" s="21">
        <v>46045.30112268519</v>
      </c>
    </row>
    <row r="1727">
      <c r="A1727" s="9" t="s">
        <v>5706</v>
      </c>
      <c r="B1727" s="20" t="str">
        <f>IFERROR(__xludf.DUMMYFUNCTION("REGEXREPLACE(A1727, ""^https?://[^/]+"", """")"),"/can-you-grow-your-business-during-labor-shortages-and-supply-chain-delays/")</f>
        <v>/can-you-grow-your-business-during-labor-shortages-and-supply-chain-delays/</v>
      </c>
      <c r="C1727" s="1" t="s">
        <v>5707</v>
      </c>
      <c r="D1727" s="1" t="s">
        <v>5708</v>
      </c>
      <c r="E1727" s="1" t="s">
        <v>5709</v>
      </c>
      <c r="F1727" s="1" t="s">
        <v>965</v>
      </c>
      <c r="G1727" s="1">
        <v>200.0</v>
      </c>
      <c r="H1727" s="1" t="s">
        <v>966</v>
      </c>
      <c r="I1727" s="1" t="s">
        <v>967</v>
      </c>
      <c r="K1727" s="1" t="s">
        <v>5710</v>
      </c>
      <c r="L1727" s="1">
        <v>99.0</v>
      </c>
      <c r="M1727" s="1">
        <v>918.0</v>
      </c>
      <c r="O1727" s="1">
        <v>0.0</v>
      </c>
      <c r="P1727" s="1">
        <v>0.0</v>
      </c>
      <c r="Q1727" s="1" t="s">
        <v>5711</v>
      </c>
      <c r="R1727" s="1">
        <v>149.0</v>
      </c>
      <c r="S1727" s="1">
        <v>936.0</v>
      </c>
      <c r="U1727" s="1">
        <v>0.0</v>
      </c>
      <c r="V1727" s="1" t="s">
        <v>5707</v>
      </c>
      <c r="W1727" s="1">
        <v>74.0</v>
      </c>
      <c r="Y1727" s="1">
        <v>0.0</v>
      </c>
      <c r="Z1727" s="1" t="s">
        <v>5708</v>
      </c>
      <c r="AA1727" s="1">
        <v>42.0</v>
      </c>
      <c r="AB1727" s="1" t="s">
        <v>5709</v>
      </c>
      <c r="AC1727" s="1">
        <v>19.0</v>
      </c>
      <c r="AD1727" s="1" t="s">
        <v>971</v>
      </c>
      <c r="AG1727" s="9" t="s">
        <v>5706</v>
      </c>
      <c r="AM1727" s="1">
        <v>206079.0</v>
      </c>
      <c r="AN1727" s="1">
        <v>38103.0</v>
      </c>
      <c r="AO1727" s="1">
        <v>38103.0</v>
      </c>
      <c r="AP1727" s="1">
        <v>14.597</v>
      </c>
      <c r="AR1727" s="1">
        <v>1930.0</v>
      </c>
      <c r="AS1727" s="1">
        <v>291.0</v>
      </c>
      <c r="AT1727" s="1">
        <v>6.632</v>
      </c>
      <c r="AU1727" s="1">
        <v>57.511</v>
      </c>
      <c r="AV1727" s="1" t="s">
        <v>972</v>
      </c>
      <c r="AW1727" s="1">
        <v>7.139</v>
      </c>
      <c r="AX1727" s="1">
        <v>4.0</v>
      </c>
      <c r="AY1727" s="1">
        <v>1.0</v>
      </c>
      <c r="AZ1727" s="1">
        <v>1.0</v>
      </c>
      <c r="BA1727" s="1">
        <v>5.0</v>
      </c>
      <c r="BB1727" s="1">
        <v>2.0</v>
      </c>
      <c r="BC1727" s="1">
        <v>0.0</v>
      </c>
      <c r="BD1727" s="1">
        <v>0.27</v>
      </c>
      <c r="BE1727" s="1">
        <v>132.0</v>
      </c>
      <c r="BF1727" s="1">
        <v>49.0</v>
      </c>
      <c r="BG1727" s="1">
        <v>0.0</v>
      </c>
      <c r="BH1727" s="1">
        <v>18.0</v>
      </c>
      <c r="BI1727" s="1">
        <v>10.0</v>
      </c>
      <c r="BJ1727" s="1">
        <v>0.0</v>
      </c>
      <c r="BO1727" s="1" t="s">
        <v>5712</v>
      </c>
      <c r="BP1727" s="1">
        <v>0.971</v>
      </c>
      <c r="BU1727" s="1" t="s">
        <v>974</v>
      </c>
      <c r="BV1727" s="1">
        <v>1.1</v>
      </c>
      <c r="EQ1727" s="9" t="s">
        <v>5706</v>
      </c>
      <c r="ER1727" s="21">
        <v>46045.30111111111</v>
      </c>
    </row>
    <row r="1728">
      <c r="A1728" s="9" t="s">
        <v>5713</v>
      </c>
      <c r="B1728" s="20" t="str">
        <f>IFERROR(__xludf.DUMMYFUNCTION("REGEXREPLACE(A1728, ""^https?://[^/]+"", """")"),"/wp-content/uploads/2022/01/Sales-Compensation-300x200.jpg")</f>
        <v>/wp-content/uploads/2022/01/Sales-Compensation-300x200.jpg</v>
      </c>
      <c r="F1728" s="1" t="s">
        <v>1004</v>
      </c>
      <c r="G1728" s="1">
        <v>200.0</v>
      </c>
      <c r="H1728" s="1" t="s">
        <v>966</v>
      </c>
      <c r="I1728" s="1" t="s">
        <v>967</v>
      </c>
      <c r="L1728" s="1">
        <v>0.0</v>
      </c>
      <c r="M1728" s="1">
        <v>0.0</v>
      </c>
      <c r="O1728" s="1">
        <v>0.0</v>
      </c>
      <c r="P1728" s="1">
        <v>0.0</v>
      </c>
      <c r="R1728" s="1">
        <v>0.0</v>
      </c>
      <c r="S1728" s="1">
        <v>0.0</v>
      </c>
      <c r="U1728" s="1">
        <v>0.0</v>
      </c>
      <c r="W1728" s="1">
        <v>0.0</v>
      </c>
      <c r="Y1728" s="1">
        <v>0.0</v>
      </c>
      <c r="AA1728" s="1">
        <v>0.0</v>
      </c>
      <c r="AC1728" s="1">
        <v>0.0</v>
      </c>
      <c r="AM1728" s="1">
        <v>20038.0</v>
      </c>
      <c r="AN1728" s="1">
        <v>20038.0</v>
      </c>
      <c r="AO1728" s="1">
        <v>20038.0</v>
      </c>
      <c r="AP1728" s="1">
        <v>7.676</v>
      </c>
      <c r="AR1728" s="1">
        <v>0.0</v>
      </c>
      <c r="AW1728" s="1">
        <v>0.0</v>
      </c>
      <c r="AX1728" s="1">
        <v>4.0</v>
      </c>
      <c r="AY1728" s="1">
        <v>4.0</v>
      </c>
      <c r="BA1728" s="1">
        <v>0.0</v>
      </c>
      <c r="BB1728" s="1">
        <v>0.0</v>
      </c>
      <c r="BC1728" s="1">
        <v>0.0</v>
      </c>
      <c r="BD1728" s="1">
        <v>0.0</v>
      </c>
      <c r="BE1728" s="1">
        <v>0.0</v>
      </c>
      <c r="BF1728" s="1">
        <v>0.0</v>
      </c>
      <c r="BG1728" s="1">
        <v>0.0</v>
      </c>
      <c r="BH1728" s="1">
        <v>0.0</v>
      </c>
      <c r="BI1728" s="1">
        <v>0.0</v>
      </c>
      <c r="BJ1728" s="1">
        <v>0.0</v>
      </c>
      <c r="BP1728" s="1">
        <v>0.269</v>
      </c>
      <c r="BQ1728" s="1" t="s">
        <v>5714</v>
      </c>
      <c r="BV1728" s="1">
        <v>1.1</v>
      </c>
      <c r="EQ1728" s="9" t="s">
        <v>5713</v>
      </c>
      <c r="ER1728" s="21">
        <v>46045.30113425926</v>
      </c>
    </row>
    <row r="1729">
      <c r="A1729" s="9" t="s">
        <v>5715</v>
      </c>
      <c r="B1729" s="20" t="str">
        <f>IFERROR(__xludf.DUMMYFUNCTION("REGEXREPLACE(A1729, ""^https?://[^/]+"", """")"),"/maximize-sales-by-aligning-the-b2b-buyer-journey-to-the-sales-process/")</f>
        <v>/maximize-sales-by-aligning-the-b2b-buyer-journey-to-the-sales-process/</v>
      </c>
      <c r="C1729" s="1" t="s">
        <v>5716</v>
      </c>
      <c r="D1729" s="1" t="s">
        <v>5717</v>
      </c>
      <c r="E1729" s="1" t="s">
        <v>5718</v>
      </c>
      <c r="F1729" s="1" t="s">
        <v>965</v>
      </c>
      <c r="G1729" s="1">
        <v>200.0</v>
      </c>
      <c r="H1729" s="1" t="s">
        <v>966</v>
      </c>
      <c r="I1729" s="1" t="s">
        <v>967</v>
      </c>
      <c r="K1729" s="1" t="s">
        <v>5719</v>
      </c>
      <c r="L1729" s="1">
        <v>94.0</v>
      </c>
      <c r="M1729" s="1">
        <v>851.0</v>
      </c>
      <c r="O1729" s="1">
        <v>0.0</v>
      </c>
      <c r="P1729" s="1">
        <v>0.0</v>
      </c>
      <c r="Q1729" s="1" t="s">
        <v>5720</v>
      </c>
      <c r="R1729" s="1">
        <v>151.0</v>
      </c>
      <c r="S1729" s="1">
        <v>946.0</v>
      </c>
      <c r="U1729" s="1">
        <v>0.0</v>
      </c>
      <c r="V1729" s="1" t="s">
        <v>5716</v>
      </c>
      <c r="W1729" s="1">
        <v>69.0</v>
      </c>
      <c r="Y1729" s="1">
        <v>0.0</v>
      </c>
      <c r="Z1729" s="1" t="s">
        <v>5717</v>
      </c>
      <c r="AA1729" s="1">
        <v>26.0</v>
      </c>
      <c r="AB1729" s="1" t="s">
        <v>5718</v>
      </c>
      <c r="AC1729" s="1">
        <v>37.0</v>
      </c>
      <c r="AD1729" s="1" t="s">
        <v>971</v>
      </c>
      <c r="AG1729" s="9" t="s">
        <v>5715</v>
      </c>
      <c r="AM1729" s="1">
        <v>202286.0</v>
      </c>
      <c r="AN1729" s="1">
        <v>35608.0</v>
      </c>
      <c r="AO1729" s="1">
        <v>35608.0</v>
      </c>
      <c r="AP1729" s="1">
        <v>13.641</v>
      </c>
      <c r="AR1729" s="1">
        <v>1189.0</v>
      </c>
      <c r="AS1729" s="1">
        <v>179.0</v>
      </c>
      <c r="AT1729" s="1">
        <v>6.642</v>
      </c>
      <c r="AU1729" s="1">
        <v>63.338</v>
      </c>
      <c r="AV1729" s="1" t="s">
        <v>990</v>
      </c>
      <c r="AW1729" s="1">
        <v>4.871</v>
      </c>
      <c r="AX1729" s="1">
        <v>4.0</v>
      </c>
      <c r="AY1729" s="1">
        <v>1.0</v>
      </c>
      <c r="AZ1729" s="1">
        <v>1.0</v>
      </c>
      <c r="BA1729" s="1">
        <v>2.0</v>
      </c>
      <c r="BB1729" s="1">
        <v>1.0</v>
      </c>
      <c r="BC1729" s="1">
        <v>0.0</v>
      </c>
      <c r="BD1729" s="1">
        <v>0.13</v>
      </c>
      <c r="BE1729" s="1">
        <v>131.0</v>
      </c>
      <c r="BF1729" s="1">
        <v>49.0</v>
      </c>
      <c r="BG1729" s="1">
        <v>0.0</v>
      </c>
      <c r="BH1729" s="1">
        <v>17.0</v>
      </c>
      <c r="BI1729" s="1">
        <v>9.0</v>
      </c>
      <c r="BJ1729" s="1">
        <v>0.0</v>
      </c>
      <c r="BO1729" s="1" t="s">
        <v>5721</v>
      </c>
      <c r="BP1729" s="1">
        <v>1.076</v>
      </c>
      <c r="BU1729" s="1" t="s">
        <v>974</v>
      </c>
      <c r="BV1729" s="1">
        <v>1.1</v>
      </c>
      <c r="EQ1729" s="9" t="s">
        <v>5715</v>
      </c>
      <c r="ER1729" s="21">
        <v>46045.30112268519</v>
      </c>
    </row>
    <row r="1730">
      <c r="A1730" s="9" t="s">
        <v>5722</v>
      </c>
      <c r="B1730" s="20" t="str">
        <f>IFERROR(__xludf.DUMMYFUNCTION("REGEXREPLACE(A1730, ""^https?://[^/]+"", """")"),"/sales-agility-the-secret-to-successful-small-businesses/")</f>
        <v>/sales-agility-the-secret-to-successful-small-businesses/</v>
      </c>
      <c r="C1730" s="1" t="s">
        <v>5723</v>
      </c>
      <c r="D1730" s="1" t="s">
        <v>5724</v>
      </c>
      <c r="E1730" s="1" t="s">
        <v>5725</v>
      </c>
      <c r="F1730" s="1" t="s">
        <v>965</v>
      </c>
      <c r="G1730" s="1">
        <v>200.0</v>
      </c>
      <c r="H1730" s="1" t="s">
        <v>966</v>
      </c>
      <c r="I1730" s="1" t="s">
        <v>967</v>
      </c>
      <c r="K1730" s="1" t="s">
        <v>5726</v>
      </c>
      <c r="L1730" s="1">
        <v>81.0</v>
      </c>
      <c r="M1730" s="1">
        <v>718.0</v>
      </c>
      <c r="O1730" s="1">
        <v>0.0</v>
      </c>
      <c r="P1730" s="1">
        <v>0.0</v>
      </c>
      <c r="Q1730" s="1" t="s">
        <v>5727</v>
      </c>
      <c r="R1730" s="1">
        <v>135.0</v>
      </c>
      <c r="S1730" s="1">
        <v>834.0</v>
      </c>
      <c r="U1730" s="1">
        <v>0.0</v>
      </c>
      <c r="V1730" s="1" t="s">
        <v>5723</v>
      </c>
      <c r="W1730" s="1">
        <v>56.0</v>
      </c>
      <c r="Y1730" s="1">
        <v>0.0</v>
      </c>
      <c r="Z1730" s="1" t="s">
        <v>5724</v>
      </c>
      <c r="AA1730" s="1">
        <v>38.0</v>
      </c>
      <c r="AB1730" s="1" t="s">
        <v>5725</v>
      </c>
      <c r="AC1730" s="1">
        <v>83.0</v>
      </c>
      <c r="AD1730" s="1" t="s">
        <v>971</v>
      </c>
      <c r="AG1730" s="9" t="s">
        <v>5722</v>
      </c>
      <c r="AM1730" s="1">
        <v>207962.0</v>
      </c>
      <c r="AN1730" s="1">
        <v>38372.0</v>
      </c>
      <c r="AO1730" s="1">
        <v>38372.0</v>
      </c>
      <c r="AP1730" s="1">
        <v>14.7</v>
      </c>
      <c r="AR1730" s="1">
        <v>2221.0</v>
      </c>
      <c r="AS1730" s="1">
        <v>303.0</v>
      </c>
      <c r="AT1730" s="1">
        <v>7.33</v>
      </c>
      <c r="AU1730" s="1">
        <v>60.82</v>
      </c>
      <c r="AV1730" s="1" t="s">
        <v>990</v>
      </c>
      <c r="AW1730" s="1">
        <v>7.865</v>
      </c>
      <c r="AX1730" s="1">
        <v>4.0</v>
      </c>
      <c r="AY1730" s="1">
        <v>1.0</v>
      </c>
      <c r="AZ1730" s="1">
        <v>1.0</v>
      </c>
      <c r="BA1730" s="1">
        <v>4.0</v>
      </c>
      <c r="BB1730" s="1">
        <v>3.0</v>
      </c>
      <c r="BC1730" s="1">
        <v>0.0</v>
      </c>
      <c r="BD1730" s="1">
        <v>0.4</v>
      </c>
      <c r="BE1730" s="1">
        <v>131.0</v>
      </c>
      <c r="BF1730" s="1">
        <v>48.0</v>
      </c>
      <c r="BG1730" s="1">
        <v>0.0</v>
      </c>
      <c r="BH1730" s="1">
        <v>16.0</v>
      </c>
      <c r="BI1730" s="1">
        <v>8.0</v>
      </c>
      <c r="BJ1730" s="1">
        <v>0.0</v>
      </c>
      <c r="BO1730" s="1" t="s">
        <v>5728</v>
      </c>
      <c r="BP1730" s="1">
        <v>1.021</v>
      </c>
      <c r="BU1730" s="1" t="s">
        <v>974</v>
      </c>
      <c r="BV1730" s="1">
        <v>1.1</v>
      </c>
      <c r="EQ1730" s="9" t="s">
        <v>5722</v>
      </c>
      <c r="ER1730" s="21">
        <v>46045.30112268519</v>
      </c>
    </row>
    <row r="1731">
      <c r="A1731" s="9" t="s">
        <v>5729</v>
      </c>
      <c r="B1731" s="20" t="str">
        <f>IFERROR(__xludf.DUMMYFUNCTION("REGEXREPLACE(A1731, ""^https?://[^/]+"", """")"),"/wp-content/uploads/2022/01/United-Sales-Team-300x300.jpg")</f>
        <v>/wp-content/uploads/2022/01/United-Sales-Team-300x300.jpg</v>
      </c>
      <c r="F1731" s="1" t="s">
        <v>1004</v>
      </c>
      <c r="G1731" s="1">
        <v>200.0</v>
      </c>
      <c r="H1731" s="1" t="s">
        <v>966</v>
      </c>
      <c r="I1731" s="1" t="s">
        <v>967</v>
      </c>
      <c r="L1731" s="1">
        <v>0.0</v>
      </c>
      <c r="M1731" s="1">
        <v>0.0</v>
      </c>
      <c r="O1731" s="1">
        <v>0.0</v>
      </c>
      <c r="P1731" s="1">
        <v>0.0</v>
      </c>
      <c r="R1731" s="1">
        <v>0.0</v>
      </c>
      <c r="S1731" s="1">
        <v>0.0</v>
      </c>
      <c r="U1731" s="1">
        <v>0.0</v>
      </c>
      <c r="W1731" s="1">
        <v>0.0</v>
      </c>
      <c r="Y1731" s="1">
        <v>0.0</v>
      </c>
      <c r="AA1731" s="1">
        <v>0.0</v>
      </c>
      <c r="AC1731" s="1">
        <v>0.0</v>
      </c>
      <c r="AM1731" s="1">
        <v>22404.0</v>
      </c>
      <c r="AN1731" s="1">
        <v>22404.0</v>
      </c>
      <c r="AO1731" s="1">
        <v>22404.0</v>
      </c>
      <c r="AP1731" s="1">
        <v>8.583</v>
      </c>
      <c r="AR1731" s="1">
        <v>0.0</v>
      </c>
      <c r="AW1731" s="1">
        <v>0.0</v>
      </c>
      <c r="AX1731" s="1">
        <v>4.0</v>
      </c>
      <c r="AY1731" s="1">
        <v>4.0</v>
      </c>
      <c r="BA1731" s="1">
        <v>0.0</v>
      </c>
      <c r="BB1731" s="1">
        <v>0.0</v>
      </c>
      <c r="BC1731" s="1">
        <v>0.0</v>
      </c>
      <c r="BD1731" s="1">
        <v>0.0</v>
      </c>
      <c r="BE1731" s="1">
        <v>0.0</v>
      </c>
      <c r="BF1731" s="1">
        <v>0.0</v>
      </c>
      <c r="BG1731" s="1">
        <v>0.0</v>
      </c>
      <c r="BH1731" s="1">
        <v>0.0</v>
      </c>
      <c r="BI1731" s="1">
        <v>0.0</v>
      </c>
      <c r="BJ1731" s="1">
        <v>0.0</v>
      </c>
      <c r="BP1731" s="1">
        <v>0.272</v>
      </c>
      <c r="BQ1731" s="1" t="s">
        <v>5730</v>
      </c>
      <c r="BV1731" s="1">
        <v>1.1</v>
      </c>
      <c r="EQ1731" s="9" t="s">
        <v>5729</v>
      </c>
      <c r="ER1731" s="21">
        <v>46045.30113425926</v>
      </c>
    </row>
    <row r="1732">
      <c r="A1732" s="9" t="s">
        <v>5731</v>
      </c>
      <c r="B1732" s="20" t="str">
        <f>IFERROR(__xludf.DUMMYFUNCTION("REGEXREPLACE(A1732, ""^https?://[^/]+"", """")"),"/wp-content/uploads/2021/04/131501-viewpoints-rocketman-ORG-300x300.jpg")</f>
        <v>/wp-content/uploads/2021/04/131501-viewpoints-rocketman-ORG-300x300.jpg</v>
      </c>
      <c r="F1732" s="1" t="s">
        <v>1004</v>
      </c>
      <c r="G1732" s="1">
        <v>200.0</v>
      </c>
      <c r="H1732" s="1" t="s">
        <v>966</v>
      </c>
      <c r="I1732" s="1" t="s">
        <v>967</v>
      </c>
      <c r="L1732" s="1">
        <v>0.0</v>
      </c>
      <c r="M1732" s="1">
        <v>0.0</v>
      </c>
      <c r="O1732" s="1">
        <v>0.0</v>
      </c>
      <c r="P1732" s="1">
        <v>0.0</v>
      </c>
      <c r="R1732" s="1">
        <v>0.0</v>
      </c>
      <c r="S1732" s="1">
        <v>0.0</v>
      </c>
      <c r="U1732" s="1">
        <v>0.0</v>
      </c>
      <c r="W1732" s="1">
        <v>0.0</v>
      </c>
      <c r="Y1732" s="1">
        <v>0.0</v>
      </c>
      <c r="AA1732" s="1">
        <v>0.0</v>
      </c>
      <c r="AC1732" s="1">
        <v>0.0</v>
      </c>
      <c r="AM1732" s="1">
        <v>9857.0</v>
      </c>
      <c r="AN1732" s="1">
        <v>9857.0</v>
      </c>
      <c r="AO1732" s="1">
        <v>9857.0</v>
      </c>
      <c r="AP1732" s="1">
        <v>3.776</v>
      </c>
      <c r="AR1732" s="1">
        <v>0.0</v>
      </c>
      <c r="AW1732" s="1">
        <v>0.0</v>
      </c>
      <c r="AX1732" s="1">
        <v>4.0</v>
      </c>
      <c r="AY1732" s="1">
        <v>4.0</v>
      </c>
      <c r="BA1732" s="1">
        <v>0.0</v>
      </c>
      <c r="BB1732" s="1">
        <v>0.0</v>
      </c>
      <c r="BC1732" s="1">
        <v>0.0</v>
      </c>
      <c r="BD1732" s="1">
        <v>0.0</v>
      </c>
      <c r="BE1732" s="1">
        <v>0.0</v>
      </c>
      <c r="BF1732" s="1">
        <v>0.0</v>
      </c>
      <c r="BG1732" s="1">
        <v>0.0</v>
      </c>
      <c r="BH1732" s="1">
        <v>0.0</v>
      </c>
      <c r="BI1732" s="1">
        <v>0.0</v>
      </c>
      <c r="BJ1732" s="1">
        <v>0.0</v>
      </c>
      <c r="BP1732" s="1">
        <v>0.266</v>
      </c>
      <c r="BQ1732" s="1" t="s">
        <v>5732</v>
      </c>
      <c r="BV1732" s="1">
        <v>1.1</v>
      </c>
      <c r="EQ1732" s="9" t="s">
        <v>5731</v>
      </c>
      <c r="ER1732" s="21">
        <v>46045.30113425926</v>
      </c>
    </row>
    <row r="1733">
      <c r="A1733" s="9" t="s">
        <v>5733</v>
      </c>
      <c r="B1733" s="20" t="str">
        <f>IFERROR(__xludf.DUMMYFUNCTION("REGEXREPLACE(A1733, ""^https?://[^/]+"", """")"),"/roadmap-to-sales-success-6-actions-you-must-take-to-improve-your-sales-process/")</f>
        <v>/roadmap-to-sales-success-6-actions-you-must-take-to-improve-your-sales-process/</v>
      </c>
      <c r="C1733" s="1" t="s">
        <v>5734</v>
      </c>
      <c r="D1733" s="1" t="s">
        <v>5734</v>
      </c>
      <c r="E1733" s="1" t="s">
        <v>5735</v>
      </c>
      <c r="F1733" s="1" t="s">
        <v>965</v>
      </c>
      <c r="G1733" s="1">
        <v>200.0</v>
      </c>
      <c r="H1733" s="1" t="s">
        <v>966</v>
      </c>
      <c r="I1733" s="1" t="s">
        <v>967</v>
      </c>
      <c r="K1733" s="1" t="s">
        <v>5736</v>
      </c>
      <c r="L1733" s="1">
        <v>104.0</v>
      </c>
      <c r="M1733" s="1">
        <v>965.0</v>
      </c>
      <c r="O1733" s="1">
        <v>0.0</v>
      </c>
      <c r="P1733" s="1">
        <v>0.0</v>
      </c>
      <c r="Q1733" s="1" t="s">
        <v>5737</v>
      </c>
      <c r="R1733" s="1">
        <v>87.0</v>
      </c>
      <c r="S1733" s="1">
        <v>522.0</v>
      </c>
      <c r="U1733" s="1">
        <v>0.0</v>
      </c>
      <c r="V1733" s="1" t="s">
        <v>5734</v>
      </c>
      <c r="W1733" s="1">
        <v>79.0</v>
      </c>
      <c r="Y1733" s="1">
        <v>0.0</v>
      </c>
      <c r="Z1733" s="1" t="s">
        <v>5734</v>
      </c>
      <c r="AA1733" s="1">
        <v>79.0</v>
      </c>
      <c r="AB1733" s="1" t="s">
        <v>5735</v>
      </c>
      <c r="AC1733" s="1">
        <v>22.0</v>
      </c>
      <c r="AD1733" s="1" t="s">
        <v>971</v>
      </c>
      <c r="AG1733" s="9" t="s">
        <v>5733</v>
      </c>
      <c r="AM1733" s="1">
        <v>199605.0</v>
      </c>
      <c r="AN1733" s="1">
        <v>35213.0</v>
      </c>
      <c r="AO1733" s="1">
        <v>35213.0</v>
      </c>
      <c r="AP1733" s="1">
        <v>13.489</v>
      </c>
      <c r="AR1733" s="1">
        <v>1143.0</v>
      </c>
      <c r="AS1733" s="1">
        <v>178.0</v>
      </c>
      <c r="AT1733" s="1">
        <v>6.421</v>
      </c>
      <c r="AU1733" s="1">
        <v>65.165</v>
      </c>
      <c r="AV1733" s="1" t="s">
        <v>990</v>
      </c>
      <c r="AW1733" s="1">
        <v>4.717</v>
      </c>
      <c r="AX1733" s="1">
        <v>4.0</v>
      </c>
      <c r="AY1733" s="1">
        <v>1.0</v>
      </c>
      <c r="AZ1733" s="1">
        <v>1.0</v>
      </c>
      <c r="BA1733" s="1">
        <v>2.0</v>
      </c>
      <c r="BB1733" s="1">
        <v>1.0</v>
      </c>
      <c r="BC1733" s="1">
        <v>0.0</v>
      </c>
      <c r="BD1733" s="1">
        <v>0.13</v>
      </c>
      <c r="BE1733" s="1">
        <v>132.0</v>
      </c>
      <c r="BF1733" s="1">
        <v>50.0</v>
      </c>
      <c r="BG1733" s="1">
        <v>0.0</v>
      </c>
      <c r="BH1733" s="1">
        <v>16.0</v>
      </c>
      <c r="BI1733" s="1">
        <v>8.0</v>
      </c>
      <c r="BJ1733" s="1">
        <v>0.0</v>
      </c>
      <c r="BO1733" s="1" t="s">
        <v>5738</v>
      </c>
      <c r="BP1733" s="1">
        <v>0.988</v>
      </c>
      <c r="BU1733" s="1" t="s">
        <v>974</v>
      </c>
      <c r="BV1733" s="1">
        <v>1.1</v>
      </c>
      <c r="EQ1733" s="9" t="s">
        <v>5733</v>
      </c>
      <c r="ER1733" s="21">
        <v>46045.30112268519</v>
      </c>
    </row>
    <row r="1734">
      <c r="A1734" s="9" t="s">
        <v>5739</v>
      </c>
      <c r="B1734" s="20" t="str">
        <f>IFERROR(__xludf.DUMMYFUNCTION("REGEXREPLACE(A1734, ""^https?://[^/]+"", """")"),"/wp-content/uploads/2021/12/social-media-300x200.jpg")</f>
        <v>/wp-content/uploads/2021/12/social-media-300x200.jpg</v>
      </c>
      <c r="F1734" s="1" t="s">
        <v>1004</v>
      </c>
      <c r="G1734" s="1">
        <v>200.0</v>
      </c>
      <c r="H1734" s="1" t="s">
        <v>966</v>
      </c>
      <c r="I1734" s="1" t="s">
        <v>967</v>
      </c>
      <c r="L1734" s="1">
        <v>0.0</v>
      </c>
      <c r="M1734" s="1">
        <v>0.0</v>
      </c>
      <c r="O1734" s="1">
        <v>0.0</v>
      </c>
      <c r="P1734" s="1">
        <v>0.0</v>
      </c>
      <c r="R1734" s="1">
        <v>0.0</v>
      </c>
      <c r="S1734" s="1">
        <v>0.0</v>
      </c>
      <c r="U1734" s="1">
        <v>0.0</v>
      </c>
      <c r="W1734" s="1">
        <v>0.0</v>
      </c>
      <c r="Y1734" s="1">
        <v>0.0</v>
      </c>
      <c r="AA1734" s="1">
        <v>0.0</v>
      </c>
      <c r="AC1734" s="1">
        <v>0.0</v>
      </c>
      <c r="AM1734" s="1">
        <v>9529.0</v>
      </c>
      <c r="AN1734" s="1">
        <v>9529.0</v>
      </c>
      <c r="AO1734" s="1">
        <v>9529.0</v>
      </c>
      <c r="AP1734" s="1">
        <v>3.65</v>
      </c>
      <c r="AR1734" s="1">
        <v>0.0</v>
      </c>
      <c r="AW1734" s="1">
        <v>0.0</v>
      </c>
      <c r="AX1734" s="1">
        <v>4.0</v>
      </c>
      <c r="AY1734" s="1">
        <v>4.0</v>
      </c>
      <c r="BA1734" s="1">
        <v>0.0</v>
      </c>
      <c r="BB1734" s="1">
        <v>0.0</v>
      </c>
      <c r="BC1734" s="1">
        <v>0.0</v>
      </c>
      <c r="BD1734" s="1">
        <v>0.0</v>
      </c>
      <c r="BE1734" s="1">
        <v>0.0</v>
      </c>
      <c r="BF1734" s="1">
        <v>0.0</v>
      </c>
      <c r="BG1734" s="1">
        <v>0.0</v>
      </c>
      <c r="BH1734" s="1">
        <v>0.0</v>
      </c>
      <c r="BI1734" s="1">
        <v>0.0</v>
      </c>
      <c r="BJ1734" s="1">
        <v>0.0</v>
      </c>
      <c r="BP1734" s="1">
        <v>0.262</v>
      </c>
      <c r="BQ1734" s="1" t="s">
        <v>5740</v>
      </c>
      <c r="BV1734" s="1">
        <v>1.1</v>
      </c>
      <c r="EQ1734" s="9" t="s">
        <v>5739</v>
      </c>
      <c r="ER1734" s="21">
        <v>46045.30113425926</v>
      </c>
    </row>
    <row r="1735">
      <c r="A1735" s="9" t="s">
        <v>5741</v>
      </c>
      <c r="B1735" s="20" t="str">
        <f>IFERROR(__xludf.DUMMYFUNCTION("REGEXREPLACE(A1735, ""^https?://[^/]+"", """")"),"/wp-content/uploads/2021/11/backpack-300x300.jpeg")</f>
        <v>/wp-content/uploads/2021/11/backpack-300x300.jpeg</v>
      </c>
      <c r="F1735" s="1" t="s">
        <v>1004</v>
      </c>
      <c r="G1735" s="1">
        <v>200.0</v>
      </c>
      <c r="H1735" s="1" t="s">
        <v>966</v>
      </c>
      <c r="I1735" s="1" t="s">
        <v>967</v>
      </c>
      <c r="L1735" s="1">
        <v>0.0</v>
      </c>
      <c r="M1735" s="1">
        <v>0.0</v>
      </c>
      <c r="O1735" s="1">
        <v>0.0</v>
      </c>
      <c r="P1735" s="1">
        <v>0.0</v>
      </c>
      <c r="R1735" s="1">
        <v>0.0</v>
      </c>
      <c r="S1735" s="1">
        <v>0.0</v>
      </c>
      <c r="U1735" s="1">
        <v>0.0</v>
      </c>
      <c r="W1735" s="1">
        <v>0.0</v>
      </c>
      <c r="Y1735" s="1">
        <v>0.0</v>
      </c>
      <c r="AA1735" s="1">
        <v>0.0</v>
      </c>
      <c r="AC1735" s="1">
        <v>0.0</v>
      </c>
      <c r="AM1735" s="1">
        <v>10432.0</v>
      </c>
      <c r="AN1735" s="1">
        <v>10432.0</v>
      </c>
      <c r="AO1735" s="1">
        <v>10432.0</v>
      </c>
      <c r="AP1735" s="1">
        <v>3.996</v>
      </c>
      <c r="AR1735" s="1">
        <v>0.0</v>
      </c>
      <c r="AW1735" s="1">
        <v>0.0</v>
      </c>
      <c r="AX1735" s="1">
        <v>4.0</v>
      </c>
      <c r="AY1735" s="1">
        <v>4.0</v>
      </c>
      <c r="BA1735" s="1">
        <v>0.0</v>
      </c>
      <c r="BB1735" s="1">
        <v>0.0</v>
      </c>
      <c r="BC1735" s="1">
        <v>0.0</v>
      </c>
      <c r="BD1735" s="1">
        <v>0.0</v>
      </c>
      <c r="BE1735" s="1">
        <v>0.0</v>
      </c>
      <c r="BF1735" s="1">
        <v>0.0</v>
      </c>
      <c r="BG1735" s="1">
        <v>0.0</v>
      </c>
      <c r="BH1735" s="1">
        <v>0.0</v>
      </c>
      <c r="BI1735" s="1">
        <v>0.0</v>
      </c>
      <c r="BJ1735" s="1">
        <v>0.0</v>
      </c>
      <c r="BP1735" s="1">
        <v>0.269</v>
      </c>
      <c r="BQ1735" s="1" t="s">
        <v>5742</v>
      </c>
      <c r="BV1735" s="1">
        <v>1.1</v>
      </c>
      <c r="EQ1735" s="9" t="s">
        <v>5741</v>
      </c>
      <c r="ER1735" s="21">
        <v>46045.30113425926</v>
      </c>
    </row>
    <row r="1736">
      <c r="A1736" s="9" t="s">
        <v>5743</v>
      </c>
      <c r="B1736" s="20" t="str">
        <f>IFERROR(__xludf.DUMMYFUNCTION("REGEXREPLACE(A1736, ""^https?://[^/]+"", """")"),"/sales-recruiting-vs-hiring-growing-your-sales-team-in-2022/")</f>
        <v>/sales-recruiting-vs-hiring-growing-your-sales-team-in-2022/</v>
      </c>
      <c r="C1736" s="1" t="s">
        <v>5744</v>
      </c>
      <c r="D1736" s="1" t="s">
        <v>5745</v>
      </c>
      <c r="E1736" s="1" t="s">
        <v>5746</v>
      </c>
      <c r="F1736" s="1" t="s">
        <v>965</v>
      </c>
      <c r="G1736" s="1">
        <v>200.0</v>
      </c>
      <c r="H1736" s="1" t="s">
        <v>966</v>
      </c>
      <c r="I1736" s="1" t="s">
        <v>967</v>
      </c>
      <c r="K1736" s="1" t="s">
        <v>5747</v>
      </c>
      <c r="L1736" s="1">
        <v>85.0</v>
      </c>
      <c r="M1736" s="1">
        <v>758.0</v>
      </c>
      <c r="O1736" s="1">
        <v>0.0</v>
      </c>
      <c r="P1736" s="1">
        <v>0.0</v>
      </c>
      <c r="Q1736" s="1" t="s">
        <v>5748</v>
      </c>
      <c r="R1736" s="1">
        <v>152.0</v>
      </c>
      <c r="S1736" s="1">
        <v>921.0</v>
      </c>
      <c r="U1736" s="1">
        <v>0.0</v>
      </c>
      <c r="V1736" s="1" t="s">
        <v>5744</v>
      </c>
      <c r="W1736" s="1">
        <v>60.0</v>
      </c>
      <c r="Y1736" s="1">
        <v>0.0</v>
      </c>
      <c r="Z1736" s="1" t="s">
        <v>5745</v>
      </c>
      <c r="AA1736" s="1">
        <v>66.0</v>
      </c>
      <c r="AB1736" s="1" t="s">
        <v>5746</v>
      </c>
      <c r="AC1736" s="1">
        <v>22.0</v>
      </c>
      <c r="AD1736" s="1" t="s">
        <v>971</v>
      </c>
      <c r="AG1736" s="9" t="s">
        <v>5743</v>
      </c>
      <c r="AM1736" s="1">
        <v>209288.0</v>
      </c>
      <c r="AN1736" s="1">
        <v>39024.0</v>
      </c>
      <c r="AO1736" s="1">
        <v>39024.0</v>
      </c>
      <c r="AP1736" s="1">
        <v>14.949</v>
      </c>
      <c r="AR1736" s="1">
        <v>2455.0</v>
      </c>
      <c r="AS1736" s="1">
        <v>354.0</v>
      </c>
      <c r="AT1736" s="1">
        <v>6.935</v>
      </c>
      <c r="AU1736" s="1">
        <v>61.335</v>
      </c>
      <c r="AV1736" s="1" t="s">
        <v>990</v>
      </c>
      <c r="AW1736" s="1">
        <v>8.51</v>
      </c>
      <c r="AX1736" s="1">
        <v>4.0</v>
      </c>
      <c r="AY1736" s="1">
        <v>1.0</v>
      </c>
      <c r="AZ1736" s="1">
        <v>1.0</v>
      </c>
      <c r="BA1736" s="1">
        <v>5.0</v>
      </c>
      <c r="BB1736" s="1">
        <v>3.0</v>
      </c>
      <c r="BC1736" s="1">
        <v>0.0</v>
      </c>
      <c r="BD1736" s="1">
        <v>0.4</v>
      </c>
      <c r="BE1736" s="1">
        <v>133.0</v>
      </c>
      <c r="BF1736" s="1">
        <v>48.0</v>
      </c>
      <c r="BG1736" s="1">
        <v>0.0</v>
      </c>
      <c r="BH1736" s="1">
        <v>17.0</v>
      </c>
      <c r="BI1736" s="1">
        <v>9.0</v>
      </c>
      <c r="BJ1736" s="1">
        <v>0.0</v>
      </c>
      <c r="BO1736" s="1" t="s">
        <v>5749</v>
      </c>
      <c r="BP1736" s="1">
        <v>1.255</v>
      </c>
      <c r="BU1736" s="1" t="s">
        <v>974</v>
      </c>
      <c r="BV1736" s="1">
        <v>1.1</v>
      </c>
      <c r="EQ1736" s="9" t="s">
        <v>5743</v>
      </c>
      <c r="ER1736" s="21">
        <v>46045.30112268519</v>
      </c>
    </row>
    <row r="1737">
      <c r="A1737" s="9" t="s">
        <v>5750</v>
      </c>
      <c r="B1737" s="20" t="str">
        <f>IFERROR(__xludf.DUMMYFUNCTION("REGEXREPLACE(A1737, ""^https?://[^/]+"", """")"),"/wp-content/uploads/2021/12/Sales-Roadmap-1-300x200.jpg")</f>
        <v>/wp-content/uploads/2021/12/Sales-Roadmap-1-300x200.jpg</v>
      </c>
      <c r="F1737" s="1" t="s">
        <v>1004</v>
      </c>
      <c r="G1737" s="1">
        <v>200.0</v>
      </c>
      <c r="H1737" s="1" t="s">
        <v>966</v>
      </c>
      <c r="I1737" s="1" t="s">
        <v>967</v>
      </c>
      <c r="L1737" s="1">
        <v>0.0</v>
      </c>
      <c r="M1737" s="1">
        <v>0.0</v>
      </c>
      <c r="O1737" s="1">
        <v>0.0</v>
      </c>
      <c r="P1737" s="1">
        <v>0.0</v>
      </c>
      <c r="R1737" s="1">
        <v>0.0</v>
      </c>
      <c r="S1737" s="1">
        <v>0.0</v>
      </c>
      <c r="U1737" s="1">
        <v>0.0</v>
      </c>
      <c r="W1737" s="1">
        <v>0.0</v>
      </c>
      <c r="Y1737" s="1">
        <v>0.0</v>
      </c>
      <c r="AA1737" s="1">
        <v>0.0</v>
      </c>
      <c r="AC1737" s="1">
        <v>0.0</v>
      </c>
      <c r="AM1737" s="1">
        <v>18764.0</v>
      </c>
      <c r="AN1737" s="1">
        <v>18764.0</v>
      </c>
      <c r="AO1737" s="1">
        <v>18764.0</v>
      </c>
      <c r="AP1737" s="1">
        <v>7.188</v>
      </c>
      <c r="AR1737" s="1">
        <v>0.0</v>
      </c>
      <c r="AW1737" s="1">
        <v>0.0</v>
      </c>
      <c r="AX1737" s="1">
        <v>4.0</v>
      </c>
      <c r="AY1737" s="1">
        <v>4.0</v>
      </c>
      <c r="BA1737" s="1">
        <v>0.0</v>
      </c>
      <c r="BB1737" s="1">
        <v>0.0</v>
      </c>
      <c r="BC1737" s="1">
        <v>0.0</v>
      </c>
      <c r="BD1737" s="1">
        <v>0.0</v>
      </c>
      <c r="BE1737" s="1">
        <v>0.0</v>
      </c>
      <c r="BF1737" s="1">
        <v>0.0</v>
      </c>
      <c r="BG1737" s="1">
        <v>0.0</v>
      </c>
      <c r="BH1737" s="1">
        <v>0.0</v>
      </c>
      <c r="BI1737" s="1">
        <v>0.0</v>
      </c>
      <c r="BJ1737" s="1">
        <v>0.0</v>
      </c>
      <c r="BP1737" s="1">
        <v>0.272</v>
      </c>
      <c r="BQ1737" s="1" t="s">
        <v>5751</v>
      </c>
      <c r="BV1737" s="1">
        <v>1.1</v>
      </c>
      <c r="EQ1737" s="9" t="s">
        <v>5750</v>
      </c>
      <c r="ER1737" s="21">
        <v>46045.301145833335</v>
      </c>
    </row>
    <row r="1738">
      <c r="A1738" s="9" t="s">
        <v>5752</v>
      </c>
      <c r="B1738" s="20" t="str">
        <f>IFERROR(__xludf.DUMMYFUNCTION("REGEXREPLACE(A1738, ""^https?://[^/]+"", """")"),"/wp-content/uploads/2021/05/Small-Business-Owner-300x200.jpg")</f>
        <v>/wp-content/uploads/2021/05/Small-Business-Owner-300x200.jpg</v>
      </c>
      <c r="F1738" s="1" t="s">
        <v>1004</v>
      </c>
      <c r="G1738" s="1">
        <v>200.0</v>
      </c>
      <c r="H1738" s="1" t="s">
        <v>966</v>
      </c>
      <c r="I1738" s="1" t="s">
        <v>967</v>
      </c>
      <c r="L1738" s="1">
        <v>0.0</v>
      </c>
      <c r="M1738" s="1">
        <v>0.0</v>
      </c>
      <c r="O1738" s="1">
        <v>0.0</v>
      </c>
      <c r="P1738" s="1">
        <v>0.0</v>
      </c>
      <c r="R1738" s="1">
        <v>0.0</v>
      </c>
      <c r="S1738" s="1">
        <v>0.0</v>
      </c>
      <c r="U1738" s="1">
        <v>0.0</v>
      </c>
      <c r="W1738" s="1">
        <v>0.0</v>
      </c>
      <c r="Y1738" s="1">
        <v>0.0</v>
      </c>
      <c r="AA1738" s="1">
        <v>0.0</v>
      </c>
      <c r="AC1738" s="1">
        <v>0.0</v>
      </c>
      <c r="AM1738" s="1">
        <v>15339.0</v>
      </c>
      <c r="AN1738" s="1">
        <v>15339.0</v>
      </c>
      <c r="AO1738" s="1">
        <v>15339.0</v>
      </c>
      <c r="AP1738" s="1">
        <v>5.876</v>
      </c>
      <c r="AR1738" s="1">
        <v>0.0</v>
      </c>
      <c r="AW1738" s="1">
        <v>0.0</v>
      </c>
      <c r="AX1738" s="1">
        <v>4.0</v>
      </c>
      <c r="AY1738" s="1">
        <v>4.0</v>
      </c>
      <c r="BA1738" s="1">
        <v>0.0</v>
      </c>
      <c r="BB1738" s="1">
        <v>0.0</v>
      </c>
      <c r="BC1738" s="1">
        <v>0.0</v>
      </c>
      <c r="BD1738" s="1">
        <v>0.0</v>
      </c>
      <c r="BE1738" s="1">
        <v>0.0</v>
      </c>
      <c r="BF1738" s="1">
        <v>0.0</v>
      </c>
      <c r="BG1738" s="1">
        <v>0.0</v>
      </c>
      <c r="BH1738" s="1">
        <v>0.0</v>
      </c>
      <c r="BI1738" s="1">
        <v>0.0</v>
      </c>
      <c r="BJ1738" s="1">
        <v>0.0</v>
      </c>
      <c r="BP1738" s="1">
        <v>0.273</v>
      </c>
      <c r="BQ1738" s="1" t="s">
        <v>5753</v>
      </c>
      <c r="BV1738" s="1">
        <v>1.1</v>
      </c>
      <c r="EQ1738" s="9" t="s">
        <v>5752</v>
      </c>
      <c r="ER1738" s="21">
        <v>46045.301145833335</v>
      </c>
    </row>
    <row r="1739">
      <c r="A1739" s="9" t="s">
        <v>5754</v>
      </c>
      <c r="B1739" s="20" t="str">
        <f>IFERROR(__xludf.DUMMYFUNCTION("REGEXREPLACE(A1739, ""^https?://[^/]+"", """")"),"/wp-content/themes/salesxceleratione/assets/css/style.css?ver=1769123513")</f>
        <v>/wp-content/themes/salesxceleratione/assets/css/style.css?ver=1769123513</v>
      </c>
      <c r="F1739" s="1" t="s">
        <v>1016</v>
      </c>
      <c r="G1739" s="1">
        <v>200.0</v>
      </c>
      <c r="H1739" s="1" t="s">
        <v>966</v>
      </c>
      <c r="I1739" s="1" t="s">
        <v>967</v>
      </c>
      <c r="L1739" s="1">
        <v>0.0</v>
      </c>
      <c r="M1739" s="1">
        <v>0.0</v>
      </c>
      <c r="O1739" s="1">
        <v>0.0</v>
      </c>
      <c r="P1739" s="1">
        <v>0.0</v>
      </c>
      <c r="R1739" s="1">
        <v>0.0</v>
      </c>
      <c r="S1739" s="1">
        <v>0.0</v>
      </c>
      <c r="U1739" s="1">
        <v>0.0</v>
      </c>
      <c r="W1739" s="1">
        <v>0.0</v>
      </c>
      <c r="Y1739" s="1">
        <v>0.0</v>
      </c>
      <c r="AA1739" s="1">
        <v>0.0</v>
      </c>
      <c r="AC1739" s="1">
        <v>0.0</v>
      </c>
      <c r="AM1739" s="1">
        <v>17704.0</v>
      </c>
      <c r="AN1739" s="1">
        <v>17704.0</v>
      </c>
      <c r="AO1739" s="1">
        <v>17704.0</v>
      </c>
      <c r="AP1739" s="1">
        <v>6.782</v>
      </c>
      <c r="AR1739" s="1">
        <v>0.0</v>
      </c>
      <c r="AW1739" s="1">
        <v>0.0</v>
      </c>
      <c r="AX1739" s="1">
        <v>4.0</v>
      </c>
      <c r="AY1739" s="1">
        <v>5.0</v>
      </c>
      <c r="BA1739" s="1">
        <v>0.0</v>
      </c>
      <c r="BB1739" s="1">
        <v>0.0</v>
      </c>
      <c r="BC1739" s="1">
        <v>0.0</v>
      </c>
      <c r="BD1739" s="1">
        <v>0.0</v>
      </c>
      <c r="BE1739" s="1">
        <v>0.0</v>
      </c>
      <c r="BF1739" s="1">
        <v>0.0</v>
      </c>
      <c r="BG1739" s="1">
        <v>0.0</v>
      </c>
      <c r="BH1739" s="1">
        <v>0.0</v>
      </c>
      <c r="BI1739" s="1">
        <v>0.0</v>
      </c>
      <c r="BJ1739" s="1">
        <v>0.0</v>
      </c>
      <c r="BP1739" s="1">
        <v>0.277</v>
      </c>
      <c r="BQ1739" s="1" t="s">
        <v>5755</v>
      </c>
      <c r="BV1739" s="1">
        <v>1.1</v>
      </c>
      <c r="EQ1739" s="9" t="s">
        <v>5754</v>
      </c>
      <c r="ER1739" s="21">
        <v>46045.301145833335</v>
      </c>
    </row>
    <row r="1740">
      <c r="A1740" s="9" t="s">
        <v>5756</v>
      </c>
      <c r="B1740" s="20" t="str">
        <f>IFERROR(__xludf.DUMMYFUNCTION("REGEXREPLACE(A1740, ""^https?://[^/]+"", """")"),"/wp-content/uploads/2021/04/Sales-Goal-Meeting-300x200.png")</f>
        <v>/wp-content/uploads/2021/04/Sales-Goal-Meeting-300x200.png</v>
      </c>
      <c r="F1740" s="1" t="s">
        <v>1047</v>
      </c>
      <c r="G1740" s="1">
        <v>200.0</v>
      </c>
      <c r="H1740" s="1" t="s">
        <v>966</v>
      </c>
      <c r="I1740" s="1" t="s">
        <v>967</v>
      </c>
      <c r="L1740" s="1">
        <v>0.0</v>
      </c>
      <c r="M1740" s="1">
        <v>0.0</v>
      </c>
      <c r="O1740" s="1">
        <v>0.0</v>
      </c>
      <c r="P1740" s="1">
        <v>0.0</v>
      </c>
      <c r="R1740" s="1">
        <v>0.0</v>
      </c>
      <c r="S1740" s="1">
        <v>0.0</v>
      </c>
      <c r="U1740" s="1">
        <v>0.0</v>
      </c>
      <c r="W1740" s="1">
        <v>0.0</v>
      </c>
      <c r="Y1740" s="1">
        <v>0.0</v>
      </c>
      <c r="AA1740" s="1">
        <v>0.0</v>
      </c>
      <c r="AC1740" s="1">
        <v>0.0</v>
      </c>
      <c r="AM1740" s="1">
        <v>104650.0</v>
      </c>
      <c r="AN1740" s="1">
        <v>104650.0</v>
      </c>
      <c r="AO1740" s="1">
        <v>104650.0</v>
      </c>
      <c r="AP1740" s="1">
        <v>40.089</v>
      </c>
      <c r="AR1740" s="1">
        <v>0.0</v>
      </c>
      <c r="AW1740" s="1">
        <v>0.0</v>
      </c>
      <c r="AX1740" s="1">
        <v>4.0</v>
      </c>
      <c r="AY1740" s="1">
        <v>4.0</v>
      </c>
      <c r="BA1740" s="1">
        <v>0.0</v>
      </c>
      <c r="BB1740" s="1">
        <v>0.0</v>
      </c>
      <c r="BC1740" s="1">
        <v>0.0</v>
      </c>
      <c r="BD1740" s="1">
        <v>0.0</v>
      </c>
      <c r="BE1740" s="1">
        <v>0.0</v>
      </c>
      <c r="BF1740" s="1">
        <v>0.0</v>
      </c>
      <c r="BG1740" s="1">
        <v>0.0</v>
      </c>
      <c r="BH1740" s="1">
        <v>0.0</v>
      </c>
      <c r="BI1740" s="1">
        <v>0.0</v>
      </c>
      <c r="BJ1740" s="1">
        <v>0.0</v>
      </c>
      <c r="BP1740" s="1">
        <v>0.267</v>
      </c>
      <c r="BQ1740" s="1" t="s">
        <v>5757</v>
      </c>
      <c r="BV1740" s="1">
        <v>1.1</v>
      </c>
      <c r="EQ1740" s="9" t="s">
        <v>5756</v>
      </c>
      <c r="ER1740" s="21">
        <v>46045.301145833335</v>
      </c>
    </row>
    <row r="1741">
      <c r="A1741" s="9" t="s">
        <v>5758</v>
      </c>
      <c r="B1741" s="20" t="str">
        <f>IFERROR(__xludf.DUMMYFUNCTION("REGEXREPLACE(A1741, ""^https?://[^/]+"", """")"),"/five-keys-to-more-successful-sales-compensation-plans/")</f>
        <v>/five-keys-to-more-successful-sales-compensation-plans/</v>
      </c>
      <c r="C1741" s="1" t="s">
        <v>5759</v>
      </c>
      <c r="D1741" s="1" t="s">
        <v>5760</v>
      </c>
      <c r="F1741" s="1" t="s">
        <v>965</v>
      </c>
      <c r="G1741" s="1">
        <v>200.0</v>
      </c>
      <c r="H1741" s="1" t="s">
        <v>966</v>
      </c>
      <c r="I1741" s="1" t="s">
        <v>967</v>
      </c>
      <c r="K1741" s="1" t="s">
        <v>5761</v>
      </c>
      <c r="L1741" s="1">
        <v>78.0</v>
      </c>
      <c r="M1741" s="1">
        <v>720.0</v>
      </c>
      <c r="O1741" s="1">
        <v>0.0</v>
      </c>
      <c r="P1741" s="1">
        <v>0.0</v>
      </c>
      <c r="Q1741" s="1" t="s">
        <v>5762</v>
      </c>
      <c r="R1741" s="1">
        <v>151.0</v>
      </c>
      <c r="S1741" s="1">
        <v>998.0</v>
      </c>
      <c r="U1741" s="1">
        <v>0.0</v>
      </c>
      <c r="V1741" s="1" t="s">
        <v>5759</v>
      </c>
      <c r="W1741" s="1">
        <v>53.0</v>
      </c>
      <c r="Y1741" s="1">
        <v>0.0</v>
      </c>
      <c r="Z1741" s="1" t="s">
        <v>5760</v>
      </c>
      <c r="AA1741" s="1">
        <v>16.0</v>
      </c>
      <c r="AC1741" s="1">
        <v>0.0</v>
      </c>
      <c r="AD1741" s="1" t="s">
        <v>971</v>
      </c>
      <c r="AG1741" s="9" t="s">
        <v>5758</v>
      </c>
      <c r="AM1741" s="1">
        <v>203362.0</v>
      </c>
      <c r="AN1741" s="1">
        <v>36321.0</v>
      </c>
      <c r="AO1741" s="1">
        <v>36321.0</v>
      </c>
      <c r="AP1741" s="1">
        <v>13.914</v>
      </c>
      <c r="AR1741" s="1">
        <v>1478.0</v>
      </c>
      <c r="AS1741" s="1">
        <v>240.0</v>
      </c>
      <c r="AT1741" s="1">
        <v>6.158</v>
      </c>
      <c r="AU1741" s="1">
        <v>60.748</v>
      </c>
      <c r="AV1741" s="1" t="s">
        <v>990</v>
      </c>
      <c r="AW1741" s="1">
        <v>5.72</v>
      </c>
      <c r="AX1741" s="1">
        <v>4.0</v>
      </c>
      <c r="AY1741" s="1">
        <v>1.0</v>
      </c>
      <c r="AZ1741" s="1">
        <v>1.0</v>
      </c>
      <c r="BA1741" s="1">
        <v>2.0</v>
      </c>
      <c r="BB1741" s="1">
        <v>1.0</v>
      </c>
      <c r="BC1741" s="1">
        <v>0.0</v>
      </c>
      <c r="BD1741" s="1">
        <v>0.13</v>
      </c>
      <c r="BE1741" s="1">
        <v>132.0</v>
      </c>
      <c r="BF1741" s="1">
        <v>48.0</v>
      </c>
      <c r="BG1741" s="1">
        <v>0.0</v>
      </c>
      <c r="BH1741" s="1">
        <v>16.0</v>
      </c>
      <c r="BI1741" s="1">
        <v>8.0</v>
      </c>
      <c r="BJ1741" s="1">
        <v>0.0</v>
      </c>
      <c r="BO1741" s="1" t="s">
        <v>5763</v>
      </c>
      <c r="BP1741" s="1">
        <v>1.029</v>
      </c>
      <c r="BU1741" s="1" t="s">
        <v>974</v>
      </c>
      <c r="BV1741" s="1">
        <v>1.1</v>
      </c>
      <c r="EQ1741" s="9" t="s">
        <v>5758</v>
      </c>
      <c r="ER1741" s="21">
        <v>46045.30113425926</v>
      </c>
    </row>
    <row r="1742">
      <c r="A1742" s="9" t="s">
        <v>5764</v>
      </c>
      <c r="B1742" s="20" t="str">
        <f>IFERROR(__xludf.DUMMYFUNCTION("REGEXREPLACE(A1742, ""^https?://[^/]+"", """")"),"/6-steps-for-recruiting-top-sales-talent/")</f>
        <v>/6-steps-for-recruiting-top-sales-talent/</v>
      </c>
      <c r="C1742" s="1" t="s">
        <v>5765</v>
      </c>
      <c r="F1742" s="1" t="s">
        <v>965</v>
      </c>
      <c r="G1742" s="1">
        <v>200.0</v>
      </c>
      <c r="H1742" s="1" t="s">
        <v>966</v>
      </c>
      <c r="I1742" s="1" t="s">
        <v>967</v>
      </c>
      <c r="K1742" s="1" t="s">
        <v>5766</v>
      </c>
      <c r="L1742" s="1">
        <v>82.0</v>
      </c>
      <c r="M1742" s="1">
        <v>727.0</v>
      </c>
      <c r="O1742" s="1">
        <v>0.0</v>
      </c>
      <c r="P1742" s="1">
        <v>0.0</v>
      </c>
      <c r="Q1742" s="1" t="s">
        <v>5767</v>
      </c>
      <c r="R1742" s="1">
        <v>162.0</v>
      </c>
      <c r="S1742" s="1">
        <v>1038.0</v>
      </c>
      <c r="U1742" s="1">
        <v>0.0</v>
      </c>
      <c r="V1742" s="1" t="s">
        <v>5765</v>
      </c>
      <c r="W1742" s="1">
        <v>57.0</v>
      </c>
      <c r="Y1742" s="1">
        <v>0.0</v>
      </c>
      <c r="AA1742" s="1">
        <v>0.0</v>
      </c>
      <c r="AC1742" s="1">
        <v>0.0</v>
      </c>
      <c r="AD1742" s="1" t="s">
        <v>971</v>
      </c>
      <c r="AG1742" s="9" t="s">
        <v>5764</v>
      </c>
      <c r="AM1742" s="1">
        <v>195700.0</v>
      </c>
      <c r="AN1742" s="1">
        <v>34246.0</v>
      </c>
      <c r="AO1742" s="1">
        <v>34246.0</v>
      </c>
      <c r="AP1742" s="1">
        <v>13.119</v>
      </c>
      <c r="AR1742" s="1">
        <v>738.0</v>
      </c>
      <c r="AS1742" s="1">
        <v>119.0</v>
      </c>
      <c r="AT1742" s="1">
        <v>6.202</v>
      </c>
      <c r="AU1742" s="1">
        <v>63.209</v>
      </c>
      <c r="AV1742" s="1" t="s">
        <v>990</v>
      </c>
      <c r="AW1742" s="1">
        <v>3.531</v>
      </c>
      <c r="AX1742" s="1">
        <v>4.0</v>
      </c>
      <c r="AY1742" s="1">
        <v>1.0</v>
      </c>
      <c r="AZ1742" s="1">
        <v>1.0</v>
      </c>
      <c r="BA1742" s="1">
        <v>5.0</v>
      </c>
      <c r="BB1742" s="1">
        <v>3.0</v>
      </c>
      <c r="BC1742" s="1">
        <v>0.0</v>
      </c>
      <c r="BD1742" s="1">
        <v>0.4</v>
      </c>
      <c r="BE1742" s="1">
        <v>129.0</v>
      </c>
      <c r="BF1742" s="1">
        <v>47.0</v>
      </c>
      <c r="BG1742" s="1">
        <v>0.0</v>
      </c>
      <c r="BH1742" s="1">
        <v>18.0</v>
      </c>
      <c r="BI1742" s="1">
        <v>10.0</v>
      </c>
      <c r="BJ1742" s="1">
        <v>0.0</v>
      </c>
      <c r="BO1742" s="1" t="s">
        <v>5768</v>
      </c>
      <c r="BP1742" s="1">
        <v>1.016</v>
      </c>
      <c r="BU1742" s="1" t="s">
        <v>974</v>
      </c>
      <c r="BV1742" s="1">
        <v>1.1</v>
      </c>
      <c r="EQ1742" s="9" t="s">
        <v>5764</v>
      </c>
      <c r="ER1742" s="21">
        <v>46045.30113425926</v>
      </c>
    </row>
    <row r="1743">
      <c r="A1743" s="9" t="s">
        <v>5769</v>
      </c>
      <c r="B1743" s="20" t="str">
        <f>IFERROR(__xludf.DUMMYFUNCTION("REGEXREPLACE(A1743, ""^https?://[^/]+"", """")"),"/the-real-benefits-of-better-sales-compensation-plans/")</f>
        <v>/the-real-benefits-of-better-sales-compensation-plans/</v>
      </c>
      <c r="C1743" s="1" t="s">
        <v>5770</v>
      </c>
      <c r="D1743" s="1" t="s">
        <v>5771</v>
      </c>
      <c r="E1743" s="1" t="s">
        <v>5772</v>
      </c>
      <c r="F1743" s="1" t="s">
        <v>965</v>
      </c>
      <c r="G1743" s="1">
        <v>200.0</v>
      </c>
      <c r="H1743" s="1" t="s">
        <v>966</v>
      </c>
      <c r="I1743" s="1" t="s">
        <v>967</v>
      </c>
      <c r="K1743" s="1" t="s">
        <v>5773</v>
      </c>
      <c r="L1743" s="1">
        <v>77.0</v>
      </c>
      <c r="M1743" s="1">
        <v>699.0</v>
      </c>
      <c r="O1743" s="1">
        <v>0.0</v>
      </c>
      <c r="P1743" s="1">
        <v>0.0</v>
      </c>
      <c r="Q1743" s="1" t="s">
        <v>5774</v>
      </c>
      <c r="R1743" s="1">
        <v>142.0</v>
      </c>
      <c r="S1743" s="1">
        <v>883.0</v>
      </c>
      <c r="U1743" s="1">
        <v>0.0</v>
      </c>
      <c r="V1743" s="1" t="s">
        <v>5770</v>
      </c>
      <c r="W1743" s="1">
        <v>52.0</v>
      </c>
      <c r="Y1743" s="1">
        <v>0.0</v>
      </c>
      <c r="Z1743" s="1" t="s">
        <v>5771</v>
      </c>
      <c r="AA1743" s="1">
        <v>45.0</v>
      </c>
      <c r="AB1743" s="1" t="s">
        <v>5772</v>
      </c>
      <c r="AC1743" s="1">
        <v>35.0</v>
      </c>
      <c r="AD1743" s="1" t="s">
        <v>971</v>
      </c>
      <c r="AG1743" s="9" t="s">
        <v>5769</v>
      </c>
      <c r="AM1743" s="1">
        <v>200344.0</v>
      </c>
      <c r="AN1743" s="1">
        <v>35263.0</v>
      </c>
      <c r="AO1743" s="1">
        <v>35263.0</v>
      </c>
      <c r="AP1743" s="1">
        <v>13.509</v>
      </c>
      <c r="AR1743" s="1">
        <v>1155.0</v>
      </c>
      <c r="AS1743" s="1">
        <v>174.0</v>
      </c>
      <c r="AT1743" s="1">
        <v>6.638</v>
      </c>
      <c r="AU1743" s="1">
        <v>59.976</v>
      </c>
      <c r="AV1743" s="1" t="s">
        <v>972</v>
      </c>
      <c r="AW1743" s="1">
        <v>4.79</v>
      </c>
      <c r="AX1743" s="1">
        <v>4.0</v>
      </c>
      <c r="AY1743" s="1">
        <v>1.0</v>
      </c>
      <c r="AZ1743" s="1">
        <v>1.0</v>
      </c>
      <c r="BA1743" s="1">
        <v>6.0</v>
      </c>
      <c r="BB1743" s="1">
        <v>4.0</v>
      </c>
      <c r="BC1743" s="1">
        <v>0.0</v>
      </c>
      <c r="BD1743" s="1">
        <v>0.53</v>
      </c>
      <c r="BE1743" s="1">
        <v>131.0</v>
      </c>
      <c r="BF1743" s="1">
        <v>49.0</v>
      </c>
      <c r="BG1743" s="1">
        <v>0.0</v>
      </c>
      <c r="BH1743" s="1">
        <v>17.0</v>
      </c>
      <c r="BI1743" s="1">
        <v>9.0</v>
      </c>
      <c r="BJ1743" s="1">
        <v>0.0</v>
      </c>
      <c r="BO1743" s="1" t="s">
        <v>5775</v>
      </c>
      <c r="BP1743" s="1">
        <v>1.033</v>
      </c>
      <c r="BU1743" s="1" t="s">
        <v>974</v>
      </c>
      <c r="BV1743" s="1">
        <v>1.1</v>
      </c>
      <c r="EQ1743" s="9" t="s">
        <v>5769</v>
      </c>
      <c r="ER1743" s="21">
        <v>46045.30113425926</v>
      </c>
    </row>
    <row r="1744">
      <c r="A1744" s="9" t="s">
        <v>5776</v>
      </c>
      <c r="B1744" s="20" t="str">
        <f>IFERROR(__xludf.DUMMYFUNCTION("REGEXREPLACE(A1744, ""^https?://[^/]+"", """")"),"/wp-content/uploads/2022/01/shutterstock_1471857863-300x200.jpg")</f>
        <v>/wp-content/uploads/2022/01/shutterstock_1471857863-300x200.jpg</v>
      </c>
      <c r="F1744" s="1" t="s">
        <v>1004</v>
      </c>
      <c r="G1744" s="1">
        <v>200.0</v>
      </c>
      <c r="H1744" s="1" t="s">
        <v>966</v>
      </c>
      <c r="I1744" s="1" t="s">
        <v>967</v>
      </c>
      <c r="L1744" s="1">
        <v>0.0</v>
      </c>
      <c r="M1744" s="1">
        <v>0.0</v>
      </c>
      <c r="O1744" s="1">
        <v>0.0</v>
      </c>
      <c r="P1744" s="1">
        <v>0.0</v>
      </c>
      <c r="R1744" s="1">
        <v>0.0</v>
      </c>
      <c r="S1744" s="1">
        <v>0.0</v>
      </c>
      <c r="U1744" s="1">
        <v>0.0</v>
      </c>
      <c r="W1744" s="1">
        <v>0.0</v>
      </c>
      <c r="Y1744" s="1">
        <v>0.0</v>
      </c>
      <c r="AA1744" s="1">
        <v>0.0</v>
      </c>
      <c r="AC1744" s="1">
        <v>0.0</v>
      </c>
      <c r="AM1744" s="1">
        <v>17137.0</v>
      </c>
      <c r="AN1744" s="1">
        <v>17137.0</v>
      </c>
      <c r="AO1744" s="1">
        <v>17137.0</v>
      </c>
      <c r="AP1744" s="1">
        <v>6.565</v>
      </c>
      <c r="AR1744" s="1">
        <v>0.0</v>
      </c>
      <c r="AW1744" s="1">
        <v>0.0</v>
      </c>
      <c r="AX1744" s="1">
        <v>4.0</v>
      </c>
      <c r="AY1744" s="1">
        <v>4.0</v>
      </c>
      <c r="BA1744" s="1">
        <v>0.0</v>
      </c>
      <c r="BB1744" s="1">
        <v>0.0</v>
      </c>
      <c r="BC1744" s="1">
        <v>0.0</v>
      </c>
      <c r="BD1744" s="1">
        <v>0.0</v>
      </c>
      <c r="BE1744" s="1">
        <v>0.0</v>
      </c>
      <c r="BF1744" s="1">
        <v>0.0</v>
      </c>
      <c r="BG1744" s="1">
        <v>0.0</v>
      </c>
      <c r="BH1744" s="1">
        <v>0.0</v>
      </c>
      <c r="BI1744" s="1">
        <v>0.0</v>
      </c>
      <c r="BJ1744" s="1">
        <v>0.0</v>
      </c>
      <c r="BP1744" s="1">
        <v>0.269</v>
      </c>
      <c r="BQ1744" s="1" t="s">
        <v>5777</v>
      </c>
      <c r="BV1744" s="1">
        <v>1.1</v>
      </c>
      <c r="EQ1744" s="9" t="s">
        <v>5776</v>
      </c>
      <c r="ER1744" s="21">
        <v>46045.301145833335</v>
      </c>
    </row>
    <row r="1745">
      <c r="A1745" s="9" t="s">
        <v>5778</v>
      </c>
      <c r="B1745" s="20" t="str">
        <f>IFERROR(__xludf.DUMMYFUNCTION("REGEXREPLACE(A1745, ""^https?://[^/]+"", """")"),"/wp-content/uploads/2023/04/5-Reasons.jpg")</f>
        <v>/wp-content/uploads/2023/04/5-Reasons.jpg</v>
      </c>
      <c r="F1745" s="1" t="s">
        <v>1004</v>
      </c>
      <c r="G1745" s="1">
        <v>200.0</v>
      </c>
      <c r="H1745" s="1" t="s">
        <v>966</v>
      </c>
      <c r="I1745" s="1" t="s">
        <v>967</v>
      </c>
      <c r="L1745" s="1">
        <v>0.0</v>
      </c>
      <c r="M1745" s="1">
        <v>0.0</v>
      </c>
      <c r="O1745" s="1">
        <v>0.0</v>
      </c>
      <c r="P1745" s="1">
        <v>0.0</v>
      </c>
      <c r="R1745" s="1">
        <v>0.0</v>
      </c>
      <c r="S1745" s="1">
        <v>0.0</v>
      </c>
      <c r="U1745" s="1">
        <v>0.0</v>
      </c>
      <c r="W1745" s="1">
        <v>0.0</v>
      </c>
      <c r="Y1745" s="1">
        <v>0.0</v>
      </c>
      <c r="AA1745" s="1">
        <v>0.0</v>
      </c>
      <c r="AC1745" s="1">
        <v>0.0</v>
      </c>
      <c r="AM1745" s="1">
        <v>194727.0</v>
      </c>
      <c r="AN1745" s="1">
        <v>194727.0</v>
      </c>
      <c r="AO1745" s="1">
        <v>194727.0</v>
      </c>
      <c r="AP1745" s="1">
        <v>74.596</v>
      </c>
      <c r="AR1745" s="1">
        <v>0.0</v>
      </c>
      <c r="AW1745" s="1">
        <v>0.0</v>
      </c>
      <c r="AX1745" s="1">
        <v>4.0</v>
      </c>
      <c r="AY1745" s="1">
        <v>4.0</v>
      </c>
      <c r="BA1745" s="1">
        <v>0.0</v>
      </c>
      <c r="BB1745" s="1">
        <v>0.0</v>
      </c>
      <c r="BC1745" s="1">
        <v>0.0</v>
      </c>
      <c r="BD1745" s="1">
        <v>0.0</v>
      </c>
      <c r="BE1745" s="1">
        <v>0.0</v>
      </c>
      <c r="BF1745" s="1">
        <v>0.0</v>
      </c>
      <c r="BG1745" s="1">
        <v>0.0</v>
      </c>
      <c r="BH1745" s="1">
        <v>0.0</v>
      </c>
      <c r="BI1745" s="1">
        <v>0.0</v>
      </c>
      <c r="BJ1745" s="1">
        <v>0.0</v>
      </c>
      <c r="BP1745" s="1">
        <v>0.274</v>
      </c>
      <c r="BQ1745" s="1" t="s">
        <v>5779</v>
      </c>
      <c r="BV1745" s="1">
        <v>1.1</v>
      </c>
      <c r="EQ1745" s="9" t="s">
        <v>5778</v>
      </c>
      <c r="ER1745" s="21">
        <v>46045.301157407404</v>
      </c>
    </row>
    <row r="1746">
      <c r="A1746" s="9" t="s">
        <v>5780</v>
      </c>
      <c r="B1746" s="20" t="str">
        <f>IFERROR(__xludf.DUMMYFUNCTION("REGEXREPLACE(A1746, ""^https?://[^/]+"", """")"),"/five-ways-social-media-can-elevate-your-sales-efforts/")</f>
        <v>/five-ways-social-media-can-elevate-your-sales-efforts/</v>
      </c>
      <c r="C1746" s="1" t="s">
        <v>5781</v>
      </c>
      <c r="F1746" s="1" t="s">
        <v>965</v>
      </c>
      <c r="G1746" s="1">
        <v>200.0</v>
      </c>
      <c r="H1746" s="1" t="s">
        <v>966</v>
      </c>
      <c r="I1746" s="1" t="s">
        <v>967</v>
      </c>
      <c r="K1746" s="1" t="s">
        <v>5782</v>
      </c>
      <c r="L1746" s="1">
        <v>87.0</v>
      </c>
      <c r="M1746" s="1">
        <v>777.0</v>
      </c>
      <c r="O1746" s="1">
        <v>0.0</v>
      </c>
      <c r="P1746" s="1">
        <v>0.0</v>
      </c>
      <c r="Q1746" s="1" t="s">
        <v>5783</v>
      </c>
      <c r="R1746" s="1">
        <v>155.0</v>
      </c>
      <c r="S1746" s="1">
        <v>944.0</v>
      </c>
      <c r="U1746" s="1">
        <v>0.0</v>
      </c>
      <c r="V1746" s="1" t="s">
        <v>5781</v>
      </c>
      <c r="W1746" s="1">
        <v>62.0</v>
      </c>
      <c r="Y1746" s="1">
        <v>0.0</v>
      </c>
      <c r="AA1746" s="1">
        <v>0.0</v>
      </c>
      <c r="AC1746" s="1">
        <v>0.0</v>
      </c>
      <c r="AD1746" s="1" t="s">
        <v>971</v>
      </c>
      <c r="AG1746" s="9" t="s">
        <v>5780</v>
      </c>
      <c r="AM1746" s="1">
        <v>196450.0</v>
      </c>
      <c r="AN1746" s="1">
        <v>34116.0</v>
      </c>
      <c r="AO1746" s="1">
        <v>34116.0</v>
      </c>
      <c r="AP1746" s="1">
        <v>13.069</v>
      </c>
      <c r="AR1746" s="1">
        <v>691.0</v>
      </c>
      <c r="AS1746" s="1">
        <v>119.0</v>
      </c>
      <c r="AT1746" s="1">
        <v>5.807</v>
      </c>
      <c r="AU1746" s="1">
        <v>59.533</v>
      </c>
      <c r="AV1746" s="1" t="s">
        <v>972</v>
      </c>
      <c r="AW1746" s="1">
        <v>3.401</v>
      </c>
      <c r="AX1746" s="1">
        <v>4.0</v>
      </c>
      <c r="AY1746" s="1">
        <v>1.0</v>
      </c>
      <c r="AZ1746" s="1">
        <v>1.0</v>
      </c>
      <c r="BA1746" s="1">
        <v>5.0</v>
      </c>
      <c r="BB1746" s="1">
        <v>2.0</v>
      </c>
      <c r="BC1746" s="1">
        <v>0.0</v>
      </c>
      <c r="BD1746" s="1">
        <v>0.27</v>
      </c>
      <c r="BE1746" s="1">
        <v>129.0</v>
      </c>
      <c r="BF1746" s="1">
        <v>47.0</v>
      </c>
      <c r="BG1746" s="1">
        <v>0.0</v>
      </c>
      <c r="BH1746" s="1">
        <v>17.0</v>
      </c>
      <c r="BI1746" s="1">
        <v>9.0</v>
      </c>
      <c r="BJ1746" s="1">
        <v>0.0</v>
      </c>
      <c r="BO1746" s="1" t="s">
        <v>5784</v>
      </c>
      <c r="BP1746" s="1">
        <v>0.986</v>
      </c>
      <c r="BU1746" s="1" t="s">
        <v>974</v>
      </c>
      <c r="BV1746" s="1">
        <v>1.1</v>
      </c>
      <c r="EQ1746" s="9" t="s">
        <v>5780</v>
      </c>
      <c r="ER1746" s="21">
        <v>46045.301145833335</v>
      </c>
    </row>
    <row r="1747">
      <c r="A1747" s="9" t="s">
        <v>5785</v>
      </c>
      <c r="B1747" s="20" t="str">
        <f>IFERROR(__xludf.DUMMYFUNCTION("REGEXREPLACE(A1747, ""^https?://[^/]+"", """")"),"/will-you-hitchhike-on-the-b2b-buyers-journey-or-help-guide-the-ride/")</f>
        <v>/will-you-hitchhike-on-the-b2b-buyers-journey-or-help-guide-the-ride/</v>
      </c>
      <c r="C1747" s="1" t="s">
        <v>5786</v>
      </c>
      <c r="D1747" s="1" t="s">
        <v>5787</v>
      </c>
      <c r="F1747" s="1" t="s">
        <v>965</v>
      </c>
      <c r="G1747" s="1">
        <v>200.0</v>
      </c>
      <c r="H1747" s="1" t="s">
        <v>966</v>
      </c>
      <c r="I1747" s="1" t="s">
        <v>967</v>
      </c>
      <c r="K1747" s="1" t="s">
        <v>5788</v>
      </c>
      <c r="L1747" s="1">
        <v>103.0</v>
      </c>
      <c r="M1747" s="1">
        <v>912.0</v>
      </c>
      <c r="O1747" s="1">
        <v>0.0</v>
      </c>
      <c r="P1747" s="1">
        <v>0.0</v>
      </c>
      <c r="Q1747" s="1" t="s">
        <v>5789</v>
      </c>
      <c r="R1747" s="1">
        <v>155.0</v>
      </c>
      <c r="S1747" s="1">
        <v>965.0</v>
      </c>
      <c r="U1747" s="1">
        <v>0.0</v>
      </c>
      <c r="V1747" s="1" t="s">
        <v>5786</v>
      </c>
      <c r="W1747" s="1">
        <v>78.0</v>
      </c>
      <c r="Y1747" s="1">
        <v>0.0</v>
      </c>
      <c r="Z1747" s="1" t="s">
        <v>5787</v>
      </c>
      <c r="AA1747" s="1">
        <v>30.0</v>
      </c>
      <c r="AC1747" s="1">
        <v>0.0</v>
      </c>
      <c r="AD1747" s="1" t="s">
        <v>971</v>
      </c>
      <c r="AG1747" s="9" t="s">
        <v>5785</v>
      </c>
      <c r="AM1747" s="1">
        <v>198193.0</v>
      </c>
      <c r="AN1747" s="1">
        <v>34296.0</v>
      </c>
      <c r="AO1747" s="1">
        <v>34296.0</v>
      </c>
      <c r="AP1747" s="1">
        <v>13.138</v>
      </c>
      <c r="AR1747" s="1">
        <v>738.0</v>
      </c>
      <c r="AS1747" s="1">
        <v>123.0</v>
      </c>
      <c r="AT1747" s="1">
        <v>6.0</v>
      </c>
      <c r="AU1747" s="1">
        <v>63.643</v>
      </c>
      <c r="AV1747" s="1" t="s">
        <v>990</v>
      </c>
      <c r="AW1747" s="1">
        <v>3.496</v>
      </c>
      <c r="AX1747" s="1">
        <v>4.0</v>
      </c>
      <c r="AY1747" s="1">
        <v>1.0</v>
      </c>
      <c r="AZ1747" s="1">
        <v>1.0</v>
      </c>
      <c r="BA1747" s="1">
        <v>4.0</v>
      </c>
      <c r="BB1747" s="1">
        <v>3.0</v>
      </c>
      <c r="BC1747" s="1">
        <v>0.0</v>
      </c>
      <c r="BD1747" s="1">
        <v>0.4</v>
      </c>
      <c r="BE1747" s="1">
        <v>129.0</v>
      </c>
      <c r="BF1747" s="1">
        <v>47.0</v>
      </c>
      <c r="BG1747" s="1">
        <v>0.0</v>
      </c>
      <c r="BH1747" s="1">
        <v>17.0</v>
      </c>
      <c r="BI1747" s="1">
        <v>9.0</v>
      </c>
      <c r="BJ1747" s="1">
        <v>0.0</v>
      </c>
      <c r="BO1747" s="1" t="s">
        <v>5790</v>
      </c>
      <c r="BP1747" s="1">
        <v>1.073</v>
      </c>
      <c r="BU1747" s="1" t="s">
        <v>974</v>
      </c>
      <c r="BV1747" s="1">
        <v>1.1</v>
      </c>
      <c r="EQ1747" s="9" t="s">
        <v>5785</v>
      </c>
      <c r="ER1747" s="21">
        <v>46045.301145833335</v>
      </c>
    </row>
    <row r="1748">
      <c r="A1748" s="9" t="s">
        <v>5791</v>
      </c>
      <c r="B1748" s="20" t="str">
        <f>IFERROR(__xludf.DUMMYFUNCTION("REGEXREPLACE(A1748, ""^https?://[^/]+"", """")"),"/how-to-achieve-your-business-goals-with-individual-salesperson-goals/")</f>
        <v>/how-to-achieve-your-business-goals-with-individual-salesperson-goals/</v>
      </c>
      <c r="C1748" s="1" t="s">
        <v>5792</v>
      </c>
      <c r="D1748" s="1" t="s">
        <v>5793</v>
      </c>
      <c r="E1748" s="1" t="s">
        <v>5794</v>
      </c>
      <c r="F1748" s="1" t="s">
        <v>965</v>
      </c>
      <c r="G1748" s="1">
        <v>200.0</v>
      </c>
      <c r="H1748" s="1" t="s">
        <v>966</v>
      </c>
      <c r="I1748" s="1" t="s">
        <v>967</v>
      </c>
      <c r="K1748" s="1" t="s">
        <v>5795</v>
      </c>
      <c r="L1748" s="1">
        <v>55.0</v>
      </c>
      <c r="M1748" s="1">
        <v>501.0</v>
      </c>
      <c r="O1748" s="1">
        <v>0.0</v>
      </c>
      <c r="P1748" s="1">
        <v>0.0</v>
      </c>
      <c r="Q1748" s="1" t="s">
        <v>5796</v>
      </c>
      <c r="R1748" s="1">
        <v>162.0</v>
      </c>
      <c r="S1748" s="1">
        <v>994.0</v>
      </c>
      <c r="U1748" s="1">
        <v>0.0</v>
      </c>
      <c r="V1748" s="1" t="s">
        <v>5792</v>
      </c>
      <c r="W1748" s="1">
        <v>68.0</v>
      </c>
      <c r="Y1748" s="1">
        <v>0.0</v>
      </c>
      <c r="Z1748" s="1" t="s">
        <v>5793</v>
      </c>
      <c r="AA1748" s="1">
        <v>15.0</v>
      </c>
      <c r="AB1748" s="1" t="s">
        <v>5794</v>
      </c>
      <c r="AC1748" s="1">
        <v>79.0</v>
      </c>
      <c r="AD1748" s="1" t="s">
        <v>971</v>
      </c>
      <c r="AG1748" s="9" t="s">
        <v>5791</v>
      </c>
      <c r="AM1748" s="1">
        <v>204266.0</v>
      </c>
      <c r="AN1748" s="1">
        <v>36336.0</v>
      </c>
      <c r="AO1748" s="1">
        <v>36336.0</v>
      </c>
      <c r="AP1748" s="1">
        <v>13.92</v>
      </c>
      <c r="AR1748" s="1">
        <v>1475.0</v>
      </c>
      <c r="AS1748" s="1">
        <v>218.0</v>
      </c>
      <c r="AT1748" s="1">
        <v>6.766</v>
      </c>
      <c r="AU1748" s="1">
        <v>58.413</v>
      </c>
      <c r="AV1748" s="1" t="s">
        <v>972</v>
      </c>
      <c r="AW1748" s="1">
        <v>5.753</v>
      </c>
      <c r="AX1748" s="1">
        <v>4.0</v>
      </c>
      <c r="AY1748" s="1">
        <v>1.0</v>
      </c>
      <c r="AZ1748" s="1">
        <v>1.0</v>
      </c>
      <c r="BA1748" s="1">
        <v>2.0</v>
      </c>
      <c r="BB1748" s="1">
        <v>1.0</v>
      </c>
      <c r="BC1748" s="1">
        <v>0.0</v>
      </c>
      <c r="BD1748" s="1">
        <v>0.13</v>
      </c>
      <c r="BE1748" s="1">
        <v>131.0</v>
      </c>
      <c r="BF1748" s="1">
        <v>49.0</v>
      </c>
      <c r="BG1748" s="1">
        <v>0.0</v>
      </c>
      <c r="BH1748" s="1">
        <v>16.0</v>
      </c>
      <c r="BI1748" s="1">
        <v>8.0</v>
      </c>
      <c r="BJ1748" s="1">
        <v>0.0</v>
      </c>
      <c r="BO1748" s="1" t="s">
        <v>5797</v>
      </c>
      <c r="BP1748" s="1">
        <v>1.046</v>
      </c>
      <c r="BU1748" s="1" t="s">
        <v>974</v>
      </c>
      <c r="BV1748" s="1">
        <v>1.1</v>
      </c>
      <c r="EQ1748" s="9" t="s">
        <v>5791</v>
      </c>
      <c r="ER1748" s="21">
        <v>46045.301145833335</v>
      </c>
    </row>
    <row r="1749">
      <c r="A1749" s="9" t="s">
        <v>5798</v>
      </c>
      <c r="B1749" s="20" t="str">
        <f>IFERROR(__xludf.DUMMYFUNCTION("REGEXREPLACE(A1749, ""^https?://[^/]+"", """")"),"/do-you-need-a-crm/")</f>
        <v>/do-you-need-a-crm/</v>
      </c>
      <c r="C1749" s="1" t="s">
        <v>5799</v>
      </c>
      <c r="D1749" s="1" t="s">
        <v>5800</v>
      </c>
      <c r="E1749" s="1" t="s">
        <v>5801</v>
      </c>
      <c r="F1749" s="1" t="s">
        <v>965</v>
      </c>
      <c r="G1749" s="1">
        <v>200.0</v>
      </c>
      <c r="H1749" s="1" t="s">
        <v>966</v>
      </c>
      <c r="I1749" s="1" t="s">
        <v>967</v>
      </c>
      <c r="K1749" s="1" t="s">
        <v>5802</v>
      </c>
      <c r="L1749" s="1">
        <v>43.0</v>
      </c>
      <c r="M1749" s="1">
        <v>402.0</v>
      </c>
      <c r="O1749" s="1">
        <v>0.0</v>
      </c>
      <c r="P1749" s="1">
        <v>0.0</v>
      </c>
      <c r="Q1749" s="1" t="s">
        <v>5803</v>
      </c>
      <c r="R1749" s="1">
        <v>119.0</v>
      </c>
      <c r="S1749" s="1">
        <v>752.0</v>
      </c>
      <c r="U1749" s="1">
        <v>0.0</v>
      </c>
      <c r="V1749" s="1" t="s">
        <v>5799</v>
      </c>
      <c r="W1749" s="1">
        <v>18.0</v>
      </c>
      <c r="Y1749" s="1">
        <v>0.0</v>
      </c>
      <c r="Z1749" s="1" t="s">
        <v>5800</v>
      </c>
      <c r="AA1749" s="1">
        <v>30.0</v>
      </c>
      <c r="AB1749" s="1" t="s">
        <v>5801</v>
      </c>
      <c r="AC1749" s="1">
        <v>17.0</v>
      </c>
      <c r="AD1749" s="1" t="s">
        <v>971</v>
      </c>
      <c r="AG1749" s="9" t="s">
        <v>5798</v>
      </c>
      <c r="AM1749" s="1">
        <v>200652.0</v>
      </c>
      <c r="AN1749" s="1">
        <v>36385.0</v>
      </c>
      <c r="AO1749" s="1">
        <v>36385.0</v>
      </c>
      <c r="AP1749" s="1">
        <v>13.938</v>
      </c>
      <c r="AR1749" s="1">
        <v>1437.0</v>
      </c>
      <c r="AS1749" s="1">
        <v>212.0</v>
      </c>
      <c r="AT1749" s="1">
        <v>6.778</v>
      </c>
      <c r="AU1749" s="1">
        <v>61.487</v>
      </c>
      <c r="AV1749" s="1" t="s">
        <v>990</v>
      </c>
      <c r="AW1749" s="1">
        <v>5.639</v>
      </c>
      <c r="AX1749" s="1">
        <v>4.0</v>
      </c>
      <c r="AY1749" s="1">
        <v>1.0</v>
      </c>
      <c r="AZ1749" s="1">
        <v>1.0</v>
      </c>
      <c r="BA1749" s="1">
        <v>10.0</v>
      </c>
      <c r="BB1749" s="1">
        <v>6.0</v>
      </c>
      <c r="BC1749" s="1">
        <v>0.0</v>
      </c>
      <c r="BD1749" s="1">
        <v>0.8</v>
      </c>
      <c r="BE1749" s="1">
        <v>132.0</v>
      </c>
      <c r="BF1749" s="1">
        <v>50.0</v>
      </c>
      <c r="BG1749" s="1">
        <v>0.0</v>
      </c>
      <c r="BH1749" s="1">
        <v>16.0</v>
      </c>
      <c r="BI1749" s="1">
        <v>8.0</v>
      </c>
      <c r="BJ1749" s="1">
        <v>0.0</v>
      </c>
      <c r="BO1749" s="1" t="s">
        <v>5804</v>
      </c>
      <c r="BP1749" s="1">
        <v>0.997</v>
      </c>
      <c r="BU1749" s="1" t="s">
        <v>974</v>
      </c>
      <c r="BV1749" s="1">
        <v>1.1</v>
      </c>
      <c r="EQ1749" s="9" t="s">
        <v>5798</v>
      </c>
      <c r="ER1749" s="21">
        <v>46045.301157407404</v>
      </c>
    </row>
    <row r="1750">
      <c r="A1750" s="9" t="s">
        <v>5805</v>
      </c>
      <c r="B1750" s="20" t="str">
        <f>IFERROR(__xludf.DUMMYFUNCTION("REGEXREPLACE(A1750, ""^https?://[^/]+"", """")"),"/wp-content/uploads/2022/08/The-Funnel_Goal-Achievement-Plan.jpg")</f>
        <v>/wp-content/uploads/2022/08/The-Funnel_Goal-Achievement-Plan.jpg</v>
      </c>
      <c r="F1750" s="1" t="s">
        <v>1004</v>
      </c>
      <c r="G1750" s="1">
        <v>200.0</v>
      </c>
      <c r="H1750" s="1" t="s">
        <v>966</v>
      </c>
      <c r="I1750" s="1" t="s">
        <v>967</v>
      </c>
      <c r="L1750" s="1">
        <v>0.0</v>
      </c>
      <c r="M1750" s="1">
        <v>0.0</v>
      </c>
      <c r="O1750" s="1">
        <v>0.0</v>
      </c>
      <c r="P1750" s="1">
        <v>0.0</v>
      </c>
      <c r="R1750" s="1">
        <v>0.0</v>
      </c>
      <c r="S1750" s="1">
        <v>0.0</v>
      </c>
      <c r="U1750" s="1">
        <v>0.0</v>
      </c>
      <c r="W1750" s="1">
        <v>0.0</v>
      </c>
      <c r="Y1750" s="1">
        <v>0.0</v>
      </c>
      <c r="AA1750" s="1">
        <v>0.0</v>
      </c>
      <c r="AC1750" s="1">
        <v>0.0</v>
      </c>
      <c r="AM1750" s="1">
        <v>244913.0</v>
      </c>
      <c r="AN1750" s="1">
        <v>244913.0</v>
      </c>
      <c r="AO1750" s="1">
        <v>244913.0</v>
      </c>
      <c r="AP1750" s="1">
        <v>93.822</v>
      </c>
      <c r="AR1750" s="1">
        <v>0.0</v>
      </c>
      <c r="AW1750" s="1">
        <v>0.0</v>
      </c>
      <c r="AX1750" s="1">
        <v>4.0</v>
      </c>
      <c r="AY1750" s="1">
        <v>4.0</v>
      </c>
      <c r="AZ1750" s="1">
        <v>1.0</v>
      </c>
      <c r="BA1750" s="1">
        <v>1.0</v>
      </c>
      <c r="BB1750" s="1">
        <v>1.0</v>
      </c>
      <c r="BC1750" s="1">
        <v>0.0</v>
      </c>
      <c r="BD1750" s="1">
        <v>0.13</v>
      </c>
      <c r="BE1750" s="1">
        <v>0.0</v>
      </c>
      <c r="BF1750" s="1">
        <v>0.0</v>
      </c>
      <c r="BG1750" s="1">
        <v>0.0</v>
      </c>
      <c r="BH1750" s="1">
        <v>0.0</v>
      </c>
      <c r="BI1750" s="1">
        <v>0.0</v>
      </c>
      <c r="BJ1750" s="1">
        <v>0.0</v>
      </c>
      <c r="BP1750" s="1">
        <v>0.254</v>
      </c>
      <c r="BQ1750" s="1" t="s">
        <v>5806</v>
      </c>
      <c r="BV1750" s="1">
        <v>1.1</v>
      </c>
      <c r="EQ1750" s="9" t="s">
        <v>5805</v>
      </c>
      <c r="ER1750" s="21">
        <v>46045.30116898148</v>
      </c>
    </row>
    <row r="1751">
      <c r="A1751" s="9" t="s">
        <v>5807</v>
      </c>
      <c r="B1751" s="20" t="str">
        <f>IFERROR(__xludf.DUMMYFUNCTION("REGEXREPLACE(A1751, ""^https?://[^/]+"", """")"),"/wp-content/uploads/2023/04/Increasing-Sales-with-Existing-Customers.jpg")</f>
        <v>/wp-content/uploads/2023/04/Increasing-Sales-with-Existing-Customers.jpg</v>
      </c>
      <c r="F1751" s="1" t="s">
        <v>1004</v>
      </c>
      <c r="G1751" s="1">
        <v>200.0</v>
      </c>
      <c r="H1751" s="1" t="s">
        <v>966</v>
      </c>
      <c r="I1751" s="1" t="s">
        <v>967</v>
      </c>
      <c r="L1751" s="1">
        <v>0.0</v>
      </c>
      <c r="M1751" s="1">
        <v>0.0</v>
      </c>
      <c r="O1751" s="1">
        <v>0.0</v>
      </c>
      <c r="P1751" s="1">
        <v>0.0</v>
      </c>
      <c r="R1751" s="1">
        <v>0.0</v>
      </c>
      <c r="S1751" s="1">
        <v>0.0</v>
      </c>
      <c r="U1751" s="1">
        <v>0.0</v>
      </c>
      <c r="W1751" s="1">
        <v>0.0</v>
      </c>
      <c r="Y1751" s="1">
        <v>0.0</v>
      </c>
      <c r="AA1751" s="1">
        <v>0.0</v>
      </c>
      <c r="AC1751" s="1">
        <v>0.0</v>
      </c>
      <c r="AM1751" s="1">
        <v>98295.0</v>
      </c>
      <c r="AN1751" s="1">
        <v>98295.0</v>
      </c>
      <c r="AO1751" s="1">
        <v>98295.0</v>
      </c>
      <c r="AP1751" s="1">
        <v>37.655</v>
      </c>
      <c r="AR1751" s="1">
        <v>0.0</v>
      </c>
      <c r="AW1751" s="1">
        <v>0.0</v>
      </c>
      <c r="AX1751" s="1">
        <v>4.0</v>
      </c>
      <c r="AY1751" s="1">
        <v>4.0</v>
      </c>
      <c r="BA1751" s="1">
        <v>0.0</v>
      </c>
      <c r="BB1751" s="1">
        <v>0.0</v>
      </c>
      <c r="BC1751" s="1">
        <v>0.0</v>
      </c>
      <c r="BD1751" s="1">
        <v>0.0</v>
      </c>
      <c r="BE1751" s="1">
        <v>0.0</v>
      </c>
      <c r="BF1751" s="1">
        <v>0.0</v>
      </c>
      <c r="BG1751" s="1">
        <v>0.0</v>
      </c>
      <c r="BH1751" s="1">
        <v>0.0</v>
      </c>
      <c r="BI1751" s="1">
        <v>0.0</v>
      </c>
      <c r="BJ1751" s="1">
        <v>0.0</v>
      </c>
      <c r="BP1751" s="1">
        <v>0.278</v>
      </c>
      <c r="BQ1751" s="1" t="s">
        <v>3822</v>
      </c>
      <c r="BV1751" s="1">
        <v>1.1</v>
      </c>
      <c r="EQ1751" s="9" t="s">
        <v>5807</v>
      </c>
      <c r="ER1751" s="21">
        <v>46045.30116898148</v>
      </c>
    </row>
    <row r="1752">
      <c r="A1752" s="9" t="s">
        <v>5808</v>
      </c>
      <c r="B1752" s="20" t="str">
        <f>IFERROR(__xludf.DUMMYFUNCTION("REGEXREPLACE(A1752, ""^https?://[^/]+"", """")"),"/wp-content/uploads/2023/08/Benefits-of-Virtual-Selling.jpg")</f>
        <v>/wp-content/uploads/2023/08/Benefits-of-Virtual-Selling.jpg</v>
      </c>
      <c r="F1752" s="1" t="s">
        <v>1004</v>
      </c>
      <c r="G1752" s="1">
        <v>200.0</v>
      </c>
      <c r="H1752" s="1" t="s">
        <v>966</v>
      </c>
      <c r="I1752" s="1" t="s">
        <v>967</v>
      </c>
      <c r="L1752" s="1">
        <v>0.0</v>
      </c>
      <c r="M1752" s="1">
        <v>0.0</v>
      </c>
      <c r="O1752" s="1">
        <v>0.0</v>
      </c>
      <c r="P1752" s="1">
        <v>0.0</v>
      </c>
      <c r="R1752" s="1">
        <v>0.0</v>
      </c>
      <c r="S1752" s="1">
        <v>0.0</v>
      </c>
      <c r="U1752" s="1">
        <v>0.0</v>
      </c>
      <c r="W1752" s="1">
        <v>0.0</v>
      </c>
      <c r="Y1752" s="1">
        <v>0.0</v>
      </c>
      <c r="AA1752" s="1">
        <v>0.0</v>
      </c>
      <c r="AC1752" s="1">
        <v>0.0</v>
      </c>
      <c r="AM1752" s="1">
        <v>134943.0</v>
      </c>
      <c r="AN1752" s="1">
        <v>134943.0</v>
      </c>
      <c r="AO1752" s="1">
        <v>134943.0</v>
      </c>
      <c r="AP1752" s="1">
        <v>51.694</v>
      </c>
      <c r="AR1752" s="1">
        <v>0.0</v>
      </c>
      <c r="AW1752" s="1">
        <v>0.0</v>
      </c>
      <c r="AX1752" s="1">
        <v>4.0</v>
      </c>
      <c r="AY1752" s="1">
        <v>4.0</v>
      </c>
      <c r="BA1752" s="1">
        <v>0.0</v>
      </c>
      <c r="BB1752" s="1">
        <v>0.0</v>
      </c>
      <c r="BC1752" s="1">
        <v>0.0</v>
      </c>
      <c r="BD1752" s="1">
        <v>0.0</v>
      </c>
      <c r="BE1752" s="1">
        <v>0.0</v>
      </c>
      <c r="BF1752" s="1">
        <v>0.0</v>
      </c>
      <c r="BG1752" s="1">
        <v>0.0</v>
      </c>
      <c r="BH1752" s="1">
        <v>0.0</v>
      </c>
      <c r="BI1752" s="1">
        <v>0.0</v>
      </c>
      <c r="BJ1752" s="1">
        <v>0.0</v>
      </c>
      <c r="BP1752" s="1">
        <v>0.281</v>
      </c>
      <c r="BQ1752" s="1" t="s">
        <v>5809</v>
      </c>
      <c r="BV1752" s="1">
        <v>1.1</v>
      </c>
      <c r="EQ1752" s="9" t="s">
        <v>5808</v>
      </c>
      <c r="ER1752" s="21">
        <v>46045.30116898148</v>
      </c>
    </row>
    <row r="1753">
      <c r="A1753" s="9" t="s">
        <v>5810</v>
      </c>
      <c r="B1753" s="20" t="str">
        <f>IFERROR(__xludf.DUMMYFUNCTION("REGEXREPLACE(A1753, ""^https?://[^/]+"", """")"),"/the-funnel-activities-to-help-you-meet-goals/")</f>
        <v>/the-funnel-activities-to-help-you-meet-goals/</v>
      </c>
      <c r="C1753" s="1" t="s">
        <v>5811</v>
      </c>
      <c r="F1753" s="1" t="s">
        <v>965</v>
      </c>
      <c r="G1753" s="1">
        <v>200.0</v>
      </c>
      <c r="H1753" s="1" t="s">
        <v>966</v>
      </c>
      <c r="I1753" s="1" t="s">
        <v>967</v>
      </c>
      <c r="K1753" s="1" t="s">
        <v>5812</v>
      </c>
      <c r="L1753" s="1">
        <v>77.0</v>
      </c>
      <c r="M1753" s="1">
        <v>681.0</v>
      </c>
      <c r="O1753" s="1">
        <v>0.0</v>
      </c>
      <c r="P1753" s="1">
        <v>0.0</v>
      </c>
      <c r="Q1753" s="1" t="s">
        <v>5813</v>
      </c>
      <c r="R1753" s="1">
        <v>145.0</v>
      </c>
      <c r="S1753" s="1">
        <v>883.0</v>
      </c>
      <c r="U1753" s="1">
        <v>0.0</v>
      </c>
      <c r="V1753" s="1" t="s">
        <v>5811</v>
      </c>
      <c r="W1753" s="1">
        <v>45.0</v>
      </c>
      <c r="Y1753" s="1">
        <v>0.0</v>
      </c>
      <c r="AA1753" s="1">
        <v>0.0</v>
      </c>
      <c r="AC1753" s="1">
        <v>0.0</v>
      </c>
      <c r="AD1753" s="1" t="s">
        <v>971</v>
      </c>
      <c r="AG1753" s="9" t="s">
        <v>5810</v>
      </c>
      <c r="AM1753" s="1">
        <v>145950.0</v>
      </c>
      <c r="AN1753" s="1">
        <v>27794.0</v>
      </c>
      <c r="AO1753" s="1">
        <v>27794.0</v>
      </c>
      <c r="AP1753" s="1">
        <v>10.647</v>
      </c>
      <c r="AR1753" s="1">
        <v>532.0</v>
      </c>
      <c r="AS1753" s="1">
        <v>92.0</v>
      </c>
      <c r="AT1753" s="1">
        <v>5.783</v>
      </c>
      <c r="AU1753" s="1">
        <v>61.503</v>
      </c>
      <c r="AV1753" s="1" t="s">
        <v>990</v>
      </c>
      <c r="AW1753" s="1">
        <v>3.879</v>
      </c>
      <c r="AX1753" s="1">
        <v>4.0</v>
      </c>
      <c r="AY1753" s="1">
        <v>1.0</v>
      </c>
      <c r="AZ1753" s="1">
        <v>1.0</v>
      </c>
      <c r="BA1753" s="1">
        <v>2.0</v>
      </c>
      <c r="BB1753" s="1">
        <v>1.0</v>
      </c>
      <c r="BC1753" s="1">
        <v>0.0</v>
      </c>
      <c r="BD1753" s="1">
        <v>0.13</v>
      </c>
      <c r="BE1753" s="1">
        <v>122.0</v>
      </c>
      <c r="BF1753" s="1">
        <v>42.0</v>
      </c>
      <c r="BG1753" s="1">
        <v>0.0</v>
      </c>
      <c r="BH1753" s="1">
        <v>16.0</v>
      </c>
      <c r="BI1753" s="1">
        <v>8.0</v>
      </c>
      <c r="BJ1753" s="1">
        <v>0.0</v>
      </c>
      <c r="BO1753" s="1" t="s">
        <v>5814</v>
      </c>
      <c r="BP1753" s="1">
        <v>0.961</v>
      </c>
      <c r="BU1753" s="1" t="s">
        <v>974</v>
      </c>
      <c r="BV1753" s="1">
        <v>1.1</v>
      </c>
      <c r="EQ1753" s="9" t="s">
        <v>5810</v>
      </c>
      <c r="ER1753" s="21">
        <v>46045.301157407404</v>
      </c>
    </row>
    <row r="1754">
      <c r="A1754" s="9" t="s">
        <v>5815</v>
      </c>
      <c r="B1754" s="20" t="str">
        <f>IFERROR(__xludf.DUMMYFUNCTION("REGEXREPLACE(A1754, ""^https?://[^/]+"", """")"),"/wp-content/themes/salesxceleratione/assets/css/style.css?ver=1769123514")</f>
        <v>/wp-content/themes/salesxceleratione/assets/css/style.css?ver=1769123514</v>
      </c>
      <c r="F1754" s="1" t="s">
        <v>1016</v>
      </c>
      <c r="G1754" s="1">
        <v>200.0</v>
      </c>
      <c r="H1754" s="1" t="s">
        <v>966</v>
      </c>
      <c r="I1754" s="1" t="s">
        <v>967</v>
      </c>
      <c r="L1754" s="1">
        <v>0.0</v>
      </c>
      <c r="M1754" s="1">
        <v>0.0</v>
      </c>
      <c r="O1754" s="1">
        <v>0.0</v>
      </c>
      <c r="P1754" s="1">
        <v>0.0</v>
      </c>
      <c r="R1754" s="1">
        <v>0.0</v>
      </c>
      <c r="S1754" s="1">
        <v>0.0</v>
      </c>
      <c r="U1754" s="1">
        <v>0.0</v>
      </c>
      <c r="W1754" s="1">
        <v>0.0</v>
      </c>
      <c r="Y1754" s="1">
        <v>0.0</v>
      </c>
      <c r="AA1754" s="1">
        <v>0.0</v>
      </c>
      <c r="AC1754" s="1">
        <v>0.0</v>
      </c>
      <c r="AM1754" s="1">
        <v>17704.0</v>
      </c>
      <c r="AN1754" s="1">
        <v>17704.0</v>
      </c>
      <c r="AO1754" s="1">
        <v>17704.0</v>
      </c>
      <c r="AP1754" s="1">
        <v>6.782</v>
      </c>
      <c r="AR1754" s="1">
        <v>0.0</v>
      </c>
      <c r="AW1754" s="1">
        <v>0.0</v>
      </c>
      <c r="AX1754" s="1">
        <v>4.0</v>
      </c>
      <c r="AY1754" s="1">
        <v>5.0</v>
      </c>
      <c r="BA1754" s="1">
        <v>0.0</v>
      </c>
      <c r="BB1754" s="1">
        <v>0.0</v>
      </c>
      <c r="BC1754" s="1">
        <v>0.0</v>
      </c>
      <c r="BD1754" s="1">
        <v>0.0</v>
      </c>
      <c r="BE1754" s="1">
        <v>0.0</v>
      </c>
      <c r="BF1754" s="1">
        <v>0.0</v>
      </c>
      <c r="BG1754" s="1">
        <v>0.0</v>
      </c>
      <c r="BH1754" s="1">
        <v>0.0</v>
      </c>
      <c r="BI1754" s="1">
        <v>0.0</v>
      </c>
      <c r="BJ1754" s="1">
        <v>0.0</v>
      </c>
      <c r="BP1754" s="1">
        <v>0.278</v>
      </c>
      <c r="BQ1754" s="1" t="s">
        <v>5816</v>
      </c>
      <c r="BV1754" s="1">
        <v>1.1</v>
      </c>
      <c r="EQ1754" s="9" t="s">
        <v>5815</v>
      </c>
      <c r="ER1754" s="21">
        <v>46045.30116898148</v>
      </c>
    </row>
    <row r="1755">
      <c r="A1755" s="9" t="s">
        <v>5817</v>
      </c>
      <c r="B1755" s="20" t="str">
        <f>IFERROR(__xludf.DUMMYFUNCTION("REGEXREPLACE(A1755, ""^https?://[^/]+"", """")"),"/wp-content/uploads/2023/08/Businessman-Selling-Virtually.jpg")</f>
        <v>/wp-content/uploads/2023/08/Businessman-Selling-Virtually.jpg</v>
      </c>
      <c r="F1755" s="1" t="s">
        <v>1004</v>
      </c>
      <c r="G1755" s="1">
        <v>200.0</v>
      </c>
      <c r="H1755" s="1" t="s">
        <v>966</v>
      </c>
      <c r="I1755" s="1" t="s">
        <v>967</v>
      </c>
      <c r="L1755" s="1">
        <v>0.0</v>
      </c>
      <c r="M1755" s="1">
        <v>0.0</v>
      </c>
      <c r="O1755" s="1">
        <v>0.0</v>
      </c>
      <c r="P1755" s="1">
        <v>0.0</v>
      </c>
      <c r="R1755" s="1">
        <v>0.0</v>
      </c>
      <c r="S1755" s="1">
        <v>0.0</v>
      </c>
      <c r="U1755" s="1">
        <v>0.0</v>
      </c>
      <c r="W1755" s="1">
        <v>0.0</v>
      </c>
      <c r="Y1755" s="1">
        <v>0.0</v>
      </c>
      <c r="AA1755" s="1">
        <v>0.0</v>
      </c>
      <c r="AC1755" s="1">
        <v>0.0</v>
      </c>
      <c r="AM1755" s="1">
        <v>392406.0</v>
      </c>
      <c r="AN1755" s="1">
        <v>392406.0</v>
      </c>
      <c r="AO1755" s="1">
        <v>392406.0</v>
      </c>
      <c r="AP1755" s="1">
        <v>150.323</v>
      </c>
      <c r="AR1755" s="1">
        <v>0.0</v>
      </c>
      <c r="AW1755" s="1">
        <v>0.0</v>
      </c>
      <c r="AX1755" s="1">
        <v>4.0</v>
      </c>
      <c r="AY1755" s="1">
        <v>4.0</v>
      </c>
      <c r="BA1755" s="1">
        <v>0.0</v>
      </c>
      <c r="BB1755" s="1">
        <v>0.0</v>
      </c>
      <c r="BC1755" s="1">
        <v>0.0</v>
      </c>
      <c r="BD1755" s="1">
        <v>0.0</v>
      </c>
      <c r="BE1755" s="1">
        <v>0.0</v>
      </c>
      <c r="BF1755" s="1">
        <v>0.0</v>
      </c>
      <c r="BG1755" s="1">
        <v>0.0</v>
      </c>
      <c r="BH1755" s="1">
        <v>0.0</v>
      </c>
      <c r="BI1755" s="1">
        <v>0.0</v>
      </c>
      <c r="BJ1755" s="1">
        <v>0.0</v>
      </c>
      <c r="BP1755" s="1">
        <v>0.281</v>
      </c>
      <c r="BQ1755" s="1" t="s">
        <v>5818</v>
      </c>
      <c r="BV1755" s="1">
        <v>1.1</v>
      </c>
      <c r="EQ1755" s="9" t="s">
        <v>5817</v>
      </c>
      <c r="ER1755" s="21">
        <v>46045.30116898148</v>
      </c>
    </row>
    <row r="1756">
      <c r="A1756" s="9" t="s">
        <v>5819</v>
      </c>
      <c r="B1756" s="20" t="str">
        <f>IFERROR(__xludf.DUMMYFUNCTION("REGEXREPLACE(A1756, ""^https?://[^/]+"", """")"),"/5-best-practices-for-maximizing-your-crm-capabilities/")</f>
        <v>/5-best-practices-for-maximizing-your-crm-capabilities/</v>
      </c>
      <c r="C1756" s="1" t="s">
        <v>5820</v>
      </c>
      <c r="F1756" s="1" t="s">
        <v>965</v>
      </c>
      <c r="G1756" s="1">
        <v>200.0</v>
      </c>
      <c r="H1756" s="1" t="s">
        <v>966</v>
      </c>
      <c r="I1756" s="1" t="s">
        <v>967</v>
      </c>
      <c r="K1756" s="1" t="s">
        <v>5821</v>
      </c>
      <c r="L1756" s="1">
        <v>78.0</v>
      </c>
      <c r="M1756" s="1">
        <v>701.0</v>
      </c>
      <c r="O1756" s="1">
        <v>0.0</v>
      </c>
      <c r="P1756" s="1">
        <v>0.0</v>
      </c>
      <c r="Q1756" s="1" t="s">
        <v>5822</v>
      </c>
      <c r="R1756" s="1">
        <v>157.0</v>
      </c>
      <c r="S1756" s="1">
        <v>944.0</v>
      </c>
      <c r="U1756" s="1">
        <v>0.0</v>
      </c>
      <c r="V1756" s="1" t="s">
        <v>5820</v>
      </c>
      <c r="W1756" s="1">
        <v>53.0</v>
      </c>
      <c r="Y1756" s="1">
        <v>0.0</v>
      </c>
      <c r="AA1756" s="1">
        <v>0.0</v>
      </c>
      <c r="AC1756" s="1">
        <v>0.0</v>
      </c>
      <c r="AD1756" s="1" t="s">
        <v>971</v>
      </c>
      <c r="AG1756" s="9" t="s">
        <v>5819</v>
      </c>
      <c r="AM1756" s="1">
        <v>197172.0</v>
      </c>
      <c r="AN1756" s="1">
        <v>34065.0</v>
      </c>
      <c r="AO1756" s="1">
        <v>34065.0</v>
      </c>
      <c r="AP1756" s="1">
        <v>13.05</v>
      </c>
      <c r="AR1756" s="1">
        <v>717.0</v>
      </c>
      <c r="AS1756" s="1">
        <v>121.0</v>
      </c>
      <c r="AT1756" s="1">
        <v>5.926</v>
      </c>
      <c r="AU1756" s="1">
        <v>63.714</v>
      </c>
      <c r="AV1756" s="1" t="s">
        <v>990</v>
      </c>
      <c r="AW1756" s="1">
        <v>3.442</v>
      </c>
      <c r="AX1756" s="1">
        <v>4.0</v>
      </c>
      <c r="AY1756" s="1">
        <v>1.0</v>
      </c>
      <c r="AZ1756" s="1">
        <v>1.0</v>
      </c>
      <c r="BA1756" s="1">
        <v>1.0</v>
      </c>
      <c r="BB1756" s="1">
        <v>1.0</v>
      </c>
      <c r="BC1756" s="1">
        <v>0.0</v>
      </c>
      <c r="BD1756" s="1">
        <v>0.13</v>
      </c>
      <c r="BE1756" s="1">
        <v>129.0</v>
      </c>
      <c r="BF1756" s="1">
        <v>47.0</v>
      </c>
      <c r="BG1756" s="1">
        <v>0.0</v>
      </c>
      <c r="BH1756" s="1">
        <v>17.0</v>
      </c>
      <c r="BI1756" s="1">
        <v>9.0</v>
      </c>
      <c r="BJ1756" s="1">
        <v>0.0</v>
      </c>
      <c r="BO1756" s="1" t="s">
        <v>5823</v>
      </c>
      <c r="BP1756" s="1">
        <v>0.981</v>
      </c>
      <c r="BU1756" s="1" t="s">
        <v>974</v>
      </c>
      <c r="BV1756" s="1">
        <v>1.1</v>
      </c>
      <c r="EQ1756" s="9" t="s">
        <v>5819</v>
      </c>
      <c r="ER1756" s="21">
        <v>46045.30116898148</v>
      </c>
    </row>
    <row r="1757">
      <c r="A1757" s="9" t="s">
        <v>5824</v>
      </c>
      <c r="B1757" s="20" t="str">
        <f>IFERROR(__xludf.DUMMYFUNCTION("REGEXREPLACE(A1757, ""^https?://[^/]+"", """")"),"/wp-content/uploads/2022/04/Clair-Jeff-275x275-2-100x100.jpg")</f>
        <v>/wp-content/uploads/2022/04/Clair-Jeff-275x275-2-100x100.jpg</v>
      </c>
      <c r="F1757" s="1" t="s">
        <v>1004</v>
      </c>
      <c r="G1757" s="1">
        <v>200.0</v>
      </c>
      <c r="H1757" s="1" t="s">
        <v>966</v>
      </c>
      <c r="I1757" s="1" t="s">
        <v>967</v>
      </c>
      <c r="L1757" s="1">
        <v>0.0</v>
      </c>
      <c r="M1757" s="1">
        <v>0.0</v>
      </c>
      <c r="O1757" s="1">
        <v>0.0</v>
      </c>
      <c r="P1757" s="1">
        <v>0.0</v>
      </c>
      <c r="R1757" s="1">
        <v>0.0</v>
      </c>
      <c r="S1757" s="1">
        <v>0.0</v>
      </c>
      <c r="U1757" s="1">
        <v>0.0</v>
      </c>
      <c r="W1757" s="1">
        <v>0.0</v>
      </c>
      <c r="Y1757" s="1">
        <v>0.0</v>
      </c>
      <c r="AA1757" s="1">
        <v>0.0</v>
      </c>
      <c r="AC1757" s="1">
        <v>0.0</v>
      </c>
      <c r="AM1757" s="1">
        <v>2691.0</v>
      </c>
      <c r="AN1757" s="1">
        <v>2691.0</v>
      </c>
      <c r="AO1757" s="1">
        <v>2691.0</v>
      </c>
      <c r="AP1757" s="1">
        <v>1.031</v>
      </c>
      <c r="AR1757" s="1">
        <v>0.0</v>
      </c>
      <c r="AW1757" s="1">
        <v>0.0</v>
      </c>
      <c r="AX1757" s="1">
        <v>4.0</v>
      </c>
      <c r="AY1757" s="1">
        <v>4.0</v>
      </c>
      <c r="BA1757" s="1">
        <v>0.0</v>
      </c>
      <c r="BB1757" s="1">
        <v>0.0</v>
      </c>
      <c r="BC1757" s="1">
        <v>0.0</v>
      </c>
      <c r="BD1757" s="1">
        <v>0.0</v>
      </c>
      <c r="BE1757" s="1">
        <v>0.0</v>
      </c>
      <c r="BF1757" s="1">
        <v>0.0</v>
      </c>
      <c r="BG1757" s="1">
        <v>0.0</v>
      </c>
      <c r="BH1757" s="1">
        <v>0.0</v>
      </c>
      <c r="BI1757" s="1">
        <v>0.0</v>
      </c>
      <c r="BJ1757" s="1">
        <v>0.0</v>
      </c>
      <c r="BP1757" s="1">
        <v>0.268</v>
      </c>
      <c r="BQ1757" s="1" t="s">
        <v>5825</v>
      </c>
      <c r="BV1757" s="1">
        <v>1.1</v>
      </c>
      <c r="EQ1757" s="9" t="s">
        <v>5824</v>
      </c>
      <c r="ER1757" s="21">
        <v>46045.30118055556</v>
      </c>
    </row>
    <row r="1758">
      <c r="A1758" s="9" t="s">
        <v>5826</v>
      </c>
      <c r="B1758" s="20" t="str">
        <f>IFERROR(__xludf.DUMMYFUNCTION("REGEXREPLACE(A1758, ""^https?://[^/]+"", """")"),"/wp-content/uploads/2022/03/117623-2018-09-InSight-Sales-ORG-2048x2048.jpg")</f>
        <v>/wp-content/uploads/2022/03/117623-2018-09-InSight-Sales-ORG-2048x2048.jpg</v>
      </c>
      <c r="F1758" s="1" t="s">
        <v>1004</v>
      </c>
      <c r="G1758" s="1">
        <v>200.0</v>
      </c>
      <c r="H1758" s="1" t="s">
        <v>966</v>
      </c>
      <c r="I1758" s="1" t="s">
        <v>967</v>
      </c>
      <c r="L1758" s="1">
        <v>0.0</v>
      </c>
      <c r="M1758" s="1">
        <v>0.0</v>
      </c>
      <c r="O1758" s="1">
        <v>0.0</v>
      </c>
      <c r="P1758" s="1">
        <v>0.0</v>
      </c>
      <c r="R1758" s="1">
        <v>0.0</v>
      </c>
      <c r="S1758" s="1">
        <v>0.0</v>
      </c>
      <c r="U1758" s="1">
        <v>0.0</v>
      </c>
      <c r="W1758" s="1">
        <v>0.0</v>
      </c>
      <c r="Y1758" s="1">
        <v>0.0</v>
      </c>
      <c r="AA1758" s="1">
        <v>0.0</v>
      </c>
      <c r="AC1758" s="1">
        <v>0.0</v>
      </c>
      <c r="AM1758" s="1">
        <v>355548.0</v>
      </c>
      <c r="AN1758" s="1">
        <v>355548.0</v>
      </c>
      <c r="AO1758" s="1">
        <v>355548.0</v>
      </c>
      <c r="AP1758" s="1">
        <v>136.204</v>
      </c>
      <c r="AR1758" s="1">
        <v>0.0</v>
      </c>
      <c r="AW1758" s="1">
        <v>0.0</v>
      </c>
      <c r="AX1758" s="1">
        <v>4.0</v>
      </c>
      <c r="AY1758" s="1">
        <v>4.0</v>
      </c>
      <c r="BA1758" s="1">
        <v>0.0</v>
      </c>
      <c r="BB1758" s="1">
        <v>0.0</v>
      </c>
      <c r="BC1758" s="1">
        <v>0.0</v>
      </c>
      <c r="BD1758" s="1">
        <v>0.0</v>
      </c>
      <c r="BE1758" s="1">
        <v>0.0</v>
      </c>
      <c r="BF1758" s="1">
        <v>0.0</v>
      </c>
      <c r="BG1758" s="1">
        <v>0.0</v>
      </c>
      <c r="BH1758" s="1">
        <v>0.0</v>
      </c>
      <c r="BI1758" s="1">
        <v>0.0</v>
      </c>
      <c r="BJ1758" s="1">
        <v>0.0</v>
      </c>
      <c r="BP1758" s="1">
        <v>0.281</v>
      </c>
      <c r="BQ1758" s="1" t="s">
        <v>3765</v>
      </c>
      <c r="BV1758" s="1">
        <v>1.1</v>
      </c>
      <c r="EQ1758" s="9" t="s">
        <v>5826</v>
      </c>
      <c r="ER1758" s="21">
        <v>46045.30118055556</v>
      </c>
    </row>
    <row r="1759">
      <c r="A1759" s="9" t="s">
        <v>5827</v>
      </c>
      <c r="B1759" s="20" t="str">
        <f>IFERROR(__xludf.DUMMYFUNCTION("REGEXREPLACE(A1759, ""^https?://[^/]+"", """")"),"/wp-content/uploads/2022/07/hannah-carr-I079C4gOe8s-unsplash.jpg")</f>
        <v>/wp-content/uploads/2022/07/hannah-carr-I079C4gOe8s-unsplash.jpg</v>
      </c>
      <c r="F1759" s="1" t="s">
        <v>1004</v>
      </c>
      <c r="G1759" s="1">
        <v>200.0</v>
      </c>
      <c r="H1759" s="1" t="s">
        <v>966</v>
      </c>
      <c r="I1759" s="1" t="s">
        <v>967</v>
      </c>
      <c r="L1759" s="1">
        <v>0.0</v>
      </c>
      <c r="M1759" s="1">
        <v>0.0</v>
      </c>
      <c r="O1759" s="1">
        <v>0.0</v>
      </c>
      <c r="P1759" s="1">
        <v>0.0</v>
      </c>
      <c r="R1759" s="1">
        <v>0.0</v>
      </c>
      <c r="S1759" s="1">
        <v>0.0</v>
      </c>
      <c r="U1759" s="1">
        <v>0.0</v>
      </c>
      <c r="W1759" s="1">
        <v>0.0</v>
      </c>
      <c r="Y1759" s="1">
        <v>0.0</v>
      </c>
      <c r="AA1759" s="1">
        <v>0.0</v>
      </c>
      <c r="AC1759" s="1">
        <v>0.0</v>
      </c>
      <c r="AM1759" s="1">
        <v>604779.0</v>
      </c>
      <c r="AN1759" s="1">
        <v>604779.0</v>
      </c>
      <c r="AO1759" s="1">
        <v>604779.0</v>
      </c>
      <c r="AP1759" s="1">
        <v>231.679</v>
      </c>
      <c r="AR1759" s="1">
        <v>0.0</v>
      </c>
      <c r="AW1759" s="1">
        <v>0.0</v>
      </c>
      <c r="AX1759" s="1">
        <v>4.0</v>
      </c>
      <c r="AY1759" s="1">
        <v>4.0</v>
      </c>
      <c r="BA1759" s="1">
        <v>0.0</v>
      </c>
      <c r="BB1759" s="1">
        <v>0.0</v>
      </c>
      <c r="BC1759" s="1">
        <v>0.0</v>
      </c>
      <c r="BD1759" s="1">
        <v>0.0</v>
      </c>
      <c r="BE1759" s="1">
        <v>0.0</v>
      </c>
      <c r="BF1759" s="1">
        <v>0.0</v>
      </c>
      <c r="BG1759" s="1">
        <v>0.0</v>
      </c>
      <c r="BH1759" s="1">
        <v>0.0</v>
      </c>
      <c r="BI1759" s="1">
        <v>0.0</v>
      </c>
      <c r="BJ1759" s="1">
        <v>0.0</v>
      </c>
      <c r="BP1759" s="1">
        <v>0.275</v>
      </c>
      <c r="BQ1759" s="1" t="s">
        <v>5828</v>
      </c>
      <c r="BV1759" s="1">
        <v>1.1</v>
      </c>
      <c r="EQ1759" s="9" t="s">
        <v>5827</v>
      </c>
      <c r="ER1759" s="21">
        <v>46045.30118055556</v>
      </c>
    </row>
    <row r="1760">
      <c r="A1760" s="9" t="s">
        <v>5829</v>
      </c>
      <c r="B1760" s="20" t="str">
        <f>IFERROR(__xludf.DUMMYFUNCTION("REGEXREPLACE(A1760, ""^https?://[^/]+"", """")"),"/wp-content/uploads/2021/03/Sales-Forecasting-Meeting-300x169.jpg")</f>
        <v>/wp-content/uploads/2021/03/Sales-Forecasting-Meeting-300x169.jpg</v>
      </c>
      <c r="F1760" s="1" t="s">
        <v>1004</v>
      </c>
      <c r="G1760" s="1">
        <v>200.0</v>
      </c>
      <c r="H1760" s="1" t="s">
        <v>966</v>
      </c>
      <c r="I1760" s="1" t="s">
        <v>967</v>
      </c>
      <c r="L1760" s="1">
        <v>0.0</v>
      </c>
      <c r="M1760" s="1">
        <v>0.0</v>
      </c>
      <c r="O1760" s="1">
        <v>0.0</v>
      </c>
      <c r="P1760" s="1">
        <v>0.0</v>
      </c>
      <c r="R1760" s="1">
        <v>0.0</v>
      </c>
      <c r="S1760" s="1">
        <v>0.0</v>
      </c>
      <c r="U1760" s="1">
        <v>0.0</v>
      </c>
      <c r="W1760" s="1">
        <v>0.0</v>
      </c>
      <c r="Y1760" s="1">
        <v>0.0</v>
      </c>
      <c r="AA1760" s="1">
        <v>0.0</v>
      </c>
      <c r="AC1760" s="1">
        <v>0.0</v>
      </c>
      <c r="AM1760" s="1">
        <v>13529.0</v>
      </c>
      <c r="AN1760" s="1">
        <v>13529.0</v>
      </c>
      <c r="AO1760" s="1">
        <v>13529.0</v>
      </c>
      <c r="AP1760" s="1">
        <v>5.183</v>
      </c>
      <c r="AR1760" s="1">
        <v>0.0</v>
      </c>
      <c r="AW1760" s="1">
        <v>0.0</v>
      </c>
      <c r="AX1760" s="1">
        <v>4.0</v>
      </c>
      <c r="AY1760" s="1">
        <v>4.0</v>
      </c>
      <c r="BA1760" s="1">
        <v>0.0</v>
      </c>
      <c r="BB1760" s="1">
        <v>0.0</v>
      </c>
      <c r="BC1760" s="1">
        <v>0.0</v>
      </c>
      <c r="BD1760" s="1">
        <v>0.0</v>
      </c>
      <c r="BE1760" s="1">
        <v>0.0</v>
      </c>
      <c r="BF1760" s="1">
        <v>0.0</v>
      </c>
      <c r="BG1760" s="1">
        <v>0.0</v>
      </c>
      <c r="BH1760" s="1">
        <v>0.0</v>
      </c>
      <c r="BI1760" s="1">
        <v>0.0</v>
      </c>
      <c r="BJ1760" s="1">
        <v>0.0</v>
      </c>
      <c r="BP1760" s="1">
        <v>0.27</v>
      </c>
      <c r="BQ1760" s="1" t="s">
        <v>5830</v>
      </c>
      <c r="BV1760" s="1">
        <v>1.1</v>
      </c>
      <c r="EQ1760" s="9" t="s">
        <v>5829</v>
      </c>
      <c r="ER1760" s="21">
        <v>46045.30118055556</v>
      </c>
    </row>
    <row r="1761">
      <c r="A1761" s="9" t="s">
        <v>5831</v>
      </c>
      <c r="B1761" s="20" t="str">
        <f>IFERROR(__xludf.DUMMYFUNCTION("REGEXREPLACE(A1761, ""^https?://[^/]+"", """")"),"/wp-content/uploads/2020/09/Online-Sales-Meeting-scaled-1-300x300.jpg")</f>
        <v>/wp-content/uploads/2020/09/Online-Sales-Meeting-scaled-1-300x300.jpg</v>
      </c>
      <c r="F1761" s="1" t="s">
        <v>1004</v>
      </c>
      <c r="G1761" s="1">
        <v>200.0</v>
      </c>
      <c r="H1761" s="1" t="s">
        <v>966</v>
      </c>
      <c r="I1761" s="1" t="s">
        <v>967</v>
      </c>
      <c r="L1761" s="1">
        <v>0.0</v>
      </c>
      <c r="M1761" s="1">
        <v>0.0</v>
      </c>
      <c r="O1761" s="1">
        <v>0.0</v>
      </c>
      <c r="P1761" s="1">
        <v>0.0</v>
      </c>
      <c r="R1761" s="1">
        <v>0.0</v>
      </c>
      <c r="S1761" s="1">
        <v>0.0</v>
      </c>
      <c r="U1761" s="1">
        <v>0.0</v>
      </c>
      <c r="W1761" s="1">
        <v>0.0</v>
      </c>
      <c r="Y1761" s="1">
        <v>0.0</v>
      </c>
      <c r="AA1761" s="1">
        <v>0.0</v>
      </c>
      <c r="AC1761" s="1">
        <v>0.0</v>
      </c>
      <c r="AM1761" s="1">
        <v>23037.0</v>
      </c>
      <c r="AN1761" s="1">
        <v>23037.0</v>
      </c>
      <c r="AO1761" s="1">
        <v>23037.0</v>
      </c>
      <c r="AP1761" s="1">
        <v>8.825</v>
      </c>
      <c r="AR1761" s="1">
        <v>0.0</v>
      </c>
      <c r="AW1761" s="1">
        <v>0.0</v>
      </c>
      <c r="AX1761" s="1">
        <v>4.0</v>
      </c>
      <c r="AY1761" s="1">
        <v>4.0</v>
      </c>
      <c r="BA1761" s="1">
        <v>0.0</v>
      </c>
      <c r="BB1761" s="1">
        <v>0.0</v>
      </c>
      <c r="BC1761" s="1">
        <v>0.0</v>
      </c>
      <c r="BD1761" s="1">
        <v>0.0</v>
      </c>
      <c r="BE1761" s="1">
        <v>0.0</v>
      </c>
      <c r="BF1761" s="1">
        <v>0.0</v>
      </c>
      <c r="BG1761" s="1">
        <v>0.0</v>
      </c>
      <c r="BH1761" s="1">
        <v>0.0</v>
      </c>
      <c r="BI1761" s="1">
        <v>0.0</v>
      </c>
      <c r="BJ1761" s="1">
        <v>0.0</v>
      </c>
      <c r="BP1761" s="1">
        <v>0.272</v>
      </c>
      <c r="BQ1761" s="1" t="s">
        <v>5832</v>
      </c>
      <c r="BV1761" s="1">
        <v>1.1</v>
      </c>
      <c r="EQ1761" s="9" t="s">
        <v>5831</v>
      </c>
      <c r="ER1761" s="21">
        <v>46045.30118055556</v>
      </c>
    </row>
    <row r="1762">
      <c r="A1762" s="9" t="s">
        <v>5833</v>
      </c>
      <c r="B1762" s="20" t="str">
        <f>IFERROR(__xludf.DUMMYFUNCTION("REGEXREPLACE(A1762, ""^https?://[^/]+"", """")"),"/wp-content/uploads/2020/11/forbes-expert-panel-300x300.jpg")</f>
        <v>/wp-content/uploads/2020/11/forbes-expert-panel-300x300.jpg</v>
      </c>
      <c r="F1762" s="1" t="s">
        <v>1004</v>
      </c>
      <c r="G1762" s="1">
        <v>200.0</v>
      </c>
      <c r="H1762" s="1" t="s">
        <v>966</v>
      </c>
      <c r="I1762" s="1" t="s">
        <v>967</v>
      </c>
      <c r="L1762" s="1">
        <v>0.0</v>
      </c>
      <c r="M1762" s="1">
        <v>0.0</v>
      </c>
      <c r="O1762" s="1">
        <v>0.0</v>
      </c>
      <c r="P1762" s="1">
        <v>0.0</v>
      </c>
      <c r="R1762" s="1">
        <v>0.0</v>
      </c>
      <c r="S1762" s="1">
        <v>0.0</v>
      </c>
      <c r="U1762" s="1">
        <v>0.0</v>
      </c>
      <c r="W1762" s="1">
        <v>0.0</v>
      </c>
      <c r="Y1762" s="1">
        <v>0.0</v>
      </c>
      <c r="AA1762" s="1">
        <v>0.0</v>
      </c>
      <c r="AC1762" s="1">
        <v>0.0</v>
      </c>
      <c r="AM1762" s="1">
        <v>19462.0</v>
      </c>
      <c r="AN1762" s="1">
        <v>19462.0</v>
      </c>
      <c r="AO1762" s="1">
        <v>19462.0</v>
      </c>
      <c r="AP1762" s="1">
        <v>7.456</v>
      </c>
      <c r="AR1762" s="1">
        <v>0.0</v>
      </c>
      <c r="AW1762" s="1">
        <v>0.0</v>
      </c>
      <c r="AX1762" s="1">
        <v>4.0</v>
      </c>
      <c r="AY1762" s="1">
        <v>4.0</v>
      </c>
      <c r="BA1762" s="1">
        <v>0.0</v>
      </c>
      <c r="BB1762" s="1">
        <v>0.0</v>
      </c>
      <c r="BC1762" s="1">
        <v>0.0</v>
      </c>
      <c r="BD1762" s="1">
        <v>0.0</v>
      </c>
      <c r="BE1762" s="1">
        <v>0.0</v>
      </c>
      <c r="BF1762" s="1">
        <v>0.0</v>
      </c>
      <c r="BG1762" s="1">
        <v>0.0</v>
      </c>
      <c r="BH1762" s="1">
        <v>0.0</v>
      </c>
      <c r="BI1762" s="1">
        <v>0.0</v>
      </c>
      <c r="BJ1762" s="1">
        <v>0.0</v>
      </c>
      <c r="BP1762" s="1">
        <v>0.273</v>
      </c>
      <c r="BQ1762" s="1" t="s">
        <v>5834</v>
      </c>
      <c r="BV1762" s="1">
        <v>1.1</v>
      </c>
      <c r="EQ1762" s="9" t="s">
        <v>5833</v>
      </c>
      <c r="ER1762" s="21">
        <v>46045.30118055556</v>
      </c>
    </row>
    <row r="1763">
      <c r="A1763" s="9" t="s">
        <v>5835</v>
      </c>
      <c r="B1763" s="20" t="str">
        <f>IFERROR(__xludf.DUMMYFUNCTION("REGEXREPLACE(A1763, ""^https?://[^/]+"", """")"),"/wp-content/uploads/2020/12/business-man-300x300.jpg")</f>
        <v>/wp-content/uploads/2020/12/business-man-300x300.jpg</v>
      </c>
      <c r="F1763" s="1" t="s">
        <v>1004</v>
      </c>
      <c r="G1763" s="1">
        <v>200.0</v>
      </c>
      <c r="H1763" s="1" t="s">
        <v>966</v>
      </c>
      <c r="I1763" s="1" t="s">
        <v>967</v>
      </c>
      <c r="L1763" s="1">
        <v>0.0</v>
      </c>
      <c r="M1763" s="1">
        <v>0.0</v>
      </c>
      <c r="O1763" s="1">
        <v>0.0</v>
      </c>
      <c r="P1763" s="1">
        <v>0.0</v>
      </c>
      <c r="R1763" s="1">
        <v>0.0</v>
      </c>
      <c r="S1763" s="1">
        <v>0.0</v>
      </c>
      <c r="U1763" s="1">
        <v>0.0</v>
      </c>
      <c r="W1763" s="1">
        <v>0.0</v>
      </c>
      <c r="Y1763" s="1">
        <v>0.0</v>
      </c>
      <c r="AA1763" s="1">
        <v>0.0</v>
      </c>
      <c r="AC1763" s="1">
        <v>0.0</v>
      </c>
      <c r="AM1763" s="1">
        <v>13588.0</v>
      </c>
      <c r="AN1763" s="1">
        <v>13588.0</v>
      </c>
      <c r="AO1763" s="1">
        <v>13588.0</v>
      </c>
      <c r="AP1763" s="1">
        <v>5.205</v>
      </c>
      <c r="AR1763" s="1">
        <v>0.0</v>
      </c>
      <c r="AW1763" s="1">
        <v>0.0</v>
      </c>
      <c r="AX1763" s="1">
        <v>4.0</v>
      </c>
      <c r="AY1763" s="1">
        <v>4.0</v>
      </c>
      <c r="BA1763" s="1">
        <v>0.0</v>
      </c>
      <c r="BB1763" s="1">
        <v>0.0</v>
      </c>
      <c r="BC1763" s="1">
        <v>0.0</v>
      </c>
      <c r="BD1763" s="1">
        <v>0.0</v>
      </c>
      <c r="BE1763" s="1">
        <v>0.0</v>
      </c>
      <c r="BF1763" s="1">
        <v>0.0</v>
      </c>
      <c r="BG1763" s="1">
        <v>0.0</v>
      </c>
      <c r="BH1763" s="1">
        <v>0.0</v>
      </c>
      <c r="BI1763" s="1">
        <v>0.0</v>
      </c>
      <c r="BJ1763" s="1">
        <v>0.0</v>
      </c>
      <c r="BP1763" s="1">
        <v>0.268</v>
      </c>
      <c r="BQ1763" s="1" t="s">
        <v>5836</v>
      </c>
      <c r="BV1763" s="1">
        <v>1.1</v>
      </c>
      <c r="EQ1763" s="9" t="s">
        <v>5835</v>
      </c>
      <c r="ER1763" s="21">
        <v>46045.30118055556</v>
      </c>
    </row>
    <row r="1764">
      <c r="A1764" s="9" t="s">
        <v>5837</v>
      </c>
      <c r="B1764" s="20" t="str">
        <f>IFERROR(__xludf.DUMMYFUNCTION("REGEXREPLACE(A1764, ""^https?://[^/]+"", """")"),"/author/jclair/")</f>
        <v>/author/jclair/</v>
      </c>
      <c r="C1764" s="1" t="s">
        <v>2337</v>
      </c>
      <c r="F1764" s="1" t="s">
        <v>965</v>
      </c>
      <c r="G1764" s="1">
        <v>200.0</v>
      </c>
      <c r="H1764" s="1" t="s">
        <v>966</v>
      </c>
      <c r="I1764" s="1" t="s">
        <v>967</v>
      </c>
      <c r="K1764" s="1" t="s">
        <v>5838</v>
      </c>
      <c r="L1764" s="1">
        <v>39.0</v>
      </c>
      <c r="M1764" s="1">
        <v>335.0</v>
      </c>
      <c r="O1764" s="1">
        <v>0.0</v>
      </c>
      <c r="P1764" s="1">
        <v>0.0</v>
      </c>
      <c r="R1764" s="1">
        <v>0.0</v>
      </c>
      <c r="S1764" s="1">
        <v>0.0</v>
      </c>
      <c r="U1764" s="1">
        <v>0.0</v>
      </c>
      <c r="V1764" s="1" t="s">
        <v>2337</v>
      </c>
      <c r="W1764" s="1">
        <v>10.0</v>
      </c>
      <c r="Y1764" s="1">
        <v>0.0</v>
      </c>
      <c r="AA1764" s="1">
        <v>0.0</v>
      </c>
      <c r="AC1764" s="1">
        <v>0.0</v>
      </c>
      <c r="AD1764" s="1" t="s">
        <v>971</v>
      </c>
      <c r="AG1764" s="9" t="s">
        <v>5837</v>
      </c>
      <c r="AM1764" s="1">
        <v>158785.0</v>
      </c>
      <c r="AN1764" s="1">
        <v>30810.0</v>
      </c>
      <c r="AO1764" s="1">
        <v>30810.0</v>
      </c>
      <c r="AP1764" s="1">
        <v>11.803</v>
      </c>
      <c r="AR1764" s="1">
        <v>688.0</v>
      </c>
      <c r="AS1764" s="1">
        <v>117.0</v>
      </c>
      <c r="AT1764" s="1">
        <v>5.88</v>
      </c>
      <c r="AU1764" s="1">
        <v>62.408</v>
      </c>
      <c r="AV1764" s="1" t="s">
        <v>990</v>
      </c>
      <c r="AW1764" s="1">
        <v>4.177</v>
      </c>
      <c r="AX1764" s="1">
        <v>4.0</v>
      </c>
      <c r="AY1764" s="1">
        <v>2.0</v>
      </c>
      <c r="AZ1764" s="1">
        <v>1.0</v>
      </c>
      <c r="BA1764" s="1">
        <v>9.0</v>
      </c>
      <c r="BB1764" s="1">
        <v>3.0</v>
      </c>
      <c r="BC1764" s="1">
        <v>0.0</v>
      </c>
      <c r="BD1764" s="1">
        <v>0.4</v>
      </c>
      <c r="BE1764" s="1">
        <v>136.0</v>
      </c>
      <c r="BF1764" s="1">
        <v>48.0</v>
      </c>
      <c r="BG1764" s="1">
        <v>0.0</v>
      </c>
      <c r="BH1764" s="1">
        <v>16.0</v>
      </c>
      <c r="BI1764" s="1">
        <v>8.0</v>
      </c>
      <c r="BJ1764" s="1">
        <v>0.0</v>
      </c>
      <c r="BO1764" s="1" t="s">
        <v>5839</v>
      </c>
      <c r="BP1764" s="1">
        <v>0.974</v>
      </c>
      <c r="BU1764" s="1" t="s">
        <v>974</v>
      </c>
      <c r="BV1764" s="1">
        <v>1.1</v>
      </c>
      <c r="EQ1764" s="9" t="s">
        <v>5837</v>
      </c>
      <c r="ER1764" s="21">
        <v>46045.30118055556</v>
      </c>
    </row>
    <row r="1765">
      <c r="A1765" s="9" t="s">
        <v>5840</v>
      </c>
      <c r="B1765" s="20" t="str">
        <f>IFERROR(__xludf.DUMMYFUNCTION("REGEXREPLACE(A1765, ""^https?://[^/]+"", """")"),"/wp-content/uploads/2021/02/Sales-Pipeline-scaled-1-300x300.jpg")</f>
        <v>/wp-content/uploads/2021/02/Sales-Pipeline-scaled-1-300x300.jpg</v>
      </c>
      <c r="F1765" s="1" t="s">
        <v>1004</v>
      </c>
      <c r="G1765" s="1">
        <v>200.0</v>
      </c>
      <c r="H1765" s="1" t="s">
        <v>966</v>
      </c>
      <c r="I1765" s="1" t="s">
        <v>967</v>
      </c>
      <c r="L1765" s="1">
        <v>0.0</v>
      </c>
      <c r="M1765" s="1">
        <v>0.0</v>
      </c>
      <c r="O1765" s="1">
        <v>0.0</v>
      </c>
      <c r="P1765" s="1">
        <v>0.0</v>
      </c>
      <c r="R1765" s="1">
        <v>0.0</v>
      </c>
      <c r="S1765" s="1">
        <v>0.0</v>
      </c>
      <c r="U1765" s="1">
        <v>0.0</v>
      </c>
      <c r="W1765" s="1">
        <v>0.0</v>
      </c>
      <c r="Y1765" s="1">
        <v>0.0</v>
      </c>
      <c r="AA1765" s="1">
        <v>0.0</v>
      </c>
      <c r="AC1765" s="1">
        <v>0.0</v>
      </c>
      <c r="AM1765" s="1">
        <v>14540.0</v>
      </c>
      <c r="AN1765" s="1">
        <v>14540.0</v>
      </c>
      <c r="AO1765" s="1">
        <v>14540.0</v>
      </c>
      <c r="AP1765" s="1">
        <v>5.57</v>
      </c>
      <c r="AR1765" s="1">
        <v>0.0</v>
      </c>
      <c r="AW1765" s="1">
        <v>0.0</v>
      </c>
      <c r="AX1765" s="1">
        <v>4.0</v>
      </c>
      <c r="AY1765" s="1">
        <v>4.0</v>
      </c>
      <c r="BA1765" s="1">
        <v>0.0</v>
      </c>
      <c r="BB1765" s="1">
        <v>0.0</v>
      </c>
      <c r="BC1765" s="1">
        <v>0.0</v>
      </c>
      <c r="BD1765" s="1">
        <v>0.0</v>
      </c>
      <c r="BE1765" s="1">
        <v>0.0</v>
      </c>
      <c r="BF1765" s="1">
        <v>0.0</v>
      </c>
      <c r="BG1765" s="1">
        <v>0.0</v>
      </c>
      <c r="BH1765" s="1">
        <v>0.0</v>
      </c>
      <c r="BI1765" s="1">
        <v>0.0</v>
      </c>
      <c r="BJ1765" s="1">
        <v>0.0</v>
      </c>
      <c r="BP1765" s="1">
        <v>0.279</v>
      </c>
      <c r="BQ1765" s="1" t="s">
        <v>5841</v>
      </c>
      <c r="BV1765" s="1">
        <v>1.1</v>
      </c>
      <c r="EQ1765" s="9" t="s">
        <v>5840</v>
      </c>
      <c r="ER1765" s="21">
        <v>46045.30119212963</v>
      </c>
    </row>
    <row r="1766">
      <c r="A1766" s="9" t="s">
        <v>5842</v>
      </c>
      <c r="B1766" s="20" t="str">
        <f>IFERROR(__xludf.DUMMYFUNCTION("REGEXREPLACE(A1766, ""^https?://[^/]+"", """")"),"/sales-agility-assessment/?locationid=26869400")</f>
        <v>/sales-agility-assessment/?locationid=26869400</v>
      </c>
      <c r="C1766" s="1" t="s">
        <v>1381</v>
      </c>
      <c r="F1766" s="1" t="s">
        <v>965</v>
      </c>
      <c r="G1766" s="1">
        <v>200.0</v>
      </c>
      <c r="H1766" s="1" t="s">
        <v>966</v>
      </c>
      <c r="I1766" s="1" t="s">
        <v>1214</v>
      </c>
      <c r="J1766" s="1" t="s">
        <v>1215</v>
      </c>
      <c r="K1766" s="1" t="s">
        <v>1382</v>
      </c>
      <c r="L1766" s="1">
        <v>79.0</v>
      </c>
      <c r="M1766" s="1">
        <v>719.0</v>
      </c>
      <c r="O1766" s="1">
        <v>0.0</v>
      </c>
      <c r="P1766" s="1">
        <v>0.0</v>
      </c>
      <c r="Q1766" s="1" t="s">
        <v>1383</v>
      </c>
      <c r="R1766" s="1">
        <v>155.0</v>
      </c>
      <c r="S1766" s="1">
        <v>970.0</v>
      </c>
      <c r="U1766" s="1">
        <v>0.0</v>
      </c>
      <c r="V1766" s="1" t="s">
        <v>1381</v>
      </c>
      <c r="W1766" s="1">
        <v>31.0</v>
      </c>
      <c r="Y1766" s="1">
        <v>0.0</v>
      </c>
      <c r="AA1766" s="1">
        <v>0.0</v>
      </c>
      <c r="AC1766" s="1">
        <v>0.0</v>
      </c>
      <c r="AD1766" s="1" t="s">
        <v>971</v>
      </c>
      <c r="AG1766" s="9" t="s">
        <v>1380</v>
      </c>
      <c r="AM1766" s="1">
        <v>221354.0</v>
      </c>
      <c r="AN1766" s="1">
        <v>43060.0</v>
      </c>
      <c r="AO1766" s="1">
        <v>43060.0</v>
      </c>
      <c r="AP1766" s="1">
        <v>16.495</v>
      </c>
      <c r="AR1766" s="1">
        <v>1077.0</v>
      </c>
      <c r="AS1766" s="1">
        <v>195.0</v>
      </c>
      <c r="AT1766" s="1">
        <v>5.523</v>
      </c>
      <c r="AU1766" s="1">
        <v>72.169</v>
      </c>
      <c r="AV1766" s="1" t="s">
        <v>1264</v>
      </c>
      <c r="AW1766" s="1">
        <v>5.467</v>
      </c>
      <c r="AX1766" s="1">
        <v>4.0</v>
      </c>
      <c r="AY1766" s="1">
        <v>1.0</v>
      </c>
      <c r="BA1766" s="1">
        <v>4.0</v>
      </c>
      <c r="BB1766" s="1">
        <v>4.0</v>
      </c>
      <c r="BC1766" s="1">
        <v>0.0</v>
      </c>
      <c r="BD1766" s="1">
        <v>0.53</v>
      </c>
      <c r="BE1766" s="1">
        <v>121.0</v>
      </c>
      <c r="BF1766" s="1">
        <v>42.0</v>
      </c>
      <c r="BG1766" s="1">
        <v>0.0</v>
      </c>
      <c r="BH1766" s="1">
        <v>16.0</v>
      </c>
      <c r="BI1766" s="1">
        <v>8.0</v>
      </c>
      <c r="BJ1766" s="1">
        <v>0.0</v>
      </c>
      <c r="BO1766" s="1" t="s">
        <v>5843</v>
      </c>
      <c r="BP1766" s="1">
        <v>1.24</v>
      </c>
      <c r="BU1766" s="1" t="s">
        <v>974</v>
      </c>
      <c r="BV1766" s="1">
        <v>1.1</v>
      </c>
      <c r="EQ1766" s="9" t="s">
        <v>5842</v>
      </c>
      <c r="ER1766" s="21">
        <v>46045.30116898148</v>
      </c>
    </row>
    <row r="1767">
      <c r="A1767" s="9" t="s">
        <v>5844</v>
      </c>
      <c r="B1767" s="20" t="str">
        <f>IFERROR(__xludf.DUMMYFUNCTION("REGEXREPLACE(A1767, ""^https?://[^/]+"", """")"),"/how-to-develop-a-sales-compensation-plan/")</f>
        <v>/how-to-develop-a-sales-compensation-plan/</v>
      </c>
      <c r="C1767" s="1" t="s">
        <v>5845</v>
      </c>
      <c r="F1767" s="1" t="s">
        <v>965</v>
      </c>
      <c r="G1767" s="1">
        <v>200.0</v>
      </c>
      <c r="H1767" s="1" t="s">
        <v>966</v>
      </c>
      <c r="I1767" s="1" t="s">
        <v>967</v>
      </c>
      <c r="K1767" s="1" t="s">
        <v>5846</v>
      </c>
      <c r="L1767" s="1">
        <v>65.0</v>
      </c>
      <c r="M1767" s="1">
        <v>605.0</v>
      </c>
      <c r="O1767" s="1">
        <v>0.0</v>
      </c>
      <c r="P1767" s="1">
        <v>0.0</v>
      </c>
      <c r="Q1767" s="1" t="s">
        <v>5847</v>
      </c>
      <c r="R1767" s="1">
        <v>125.0</v>
      </c>
      <c r="S1767" s="1">
        <v>773.0</v>
      </c>
      <c r="U1767" s="1">
        <v>0.0</v>
      </c>
      <c r="V1767" s="1" t="s">
        <v>5845</v>
      </c>
      <c r="W1767" s="1">
        <v>40.0</v>
      </c>
      <c r="Y1767" s="1">
        <v>0.0</v>
      </c>
      <c r="AA1767" s="1">
        <v>0.0</v>
      </c>
      <c r="AC1767" s="1">
        <v>0.0</v>
      </c>
      <c r="AD1767" s="1" t="s">
        <v>971</v>
      </c>
      <c r="AG1767" s="9" t="s">
        <v>5844</v>
      </c>
      <c r="AM1767" s="1">
        <v>219159.0</v>
      </c>
      <c r="AN1767" s="1">
        <v>41059.0</v>
      </c>
      <c r="AO1767" s="1">
        <v>41059.0</v>
      </c>
      <c r="AP1767" s="1">
        <v>15.729</v>
      </c>
      <c r="AR1767" s="1">
        <v>3291.0</v>
      </c>
      <c r="AS1767" s="1">
        <v>427.0</v>
      </c>
      <c r="AT1767" s="1">
        <v>7.707</v>
      </c>
      <c r="AU1767" s="1">
        <v>64.053</v>
      </c>
      <c r="AV1767" s="1" t="s">
        <v>990</v>
      </c>
      <c r="AW1767" s="1">
        <v>10.373</v>
      </c>
      <c r="AX1767" s="1">
        <v>4.0</v>
      </c>
      <c r="AY1767" s="1">
        <v>1.0</v>
      </c>
      <c r="AZ1767" s="1">
        <v>1.0</v>
      </c>
      <c r="BA1767" s="1">
        <v>24.0</v>
      </c>
      <c r="BB1767" s="1">
        <v>21.0</v>
      </c>
      <c r="BC1767" s="1">
        <v>0.0</v>
      </c>
      <c r="BD1767" s="1">
        <v>2.79</v>
      </c>
      <c r="BE1767" s="1">
        <v>137.0</v>
      </c>
      <c r="BF1767" s="1">
        <v>48.0</v>
      </c>
      <c r="BG1767" s="1">
        <v>0.0</v>
      </c>
      <c r="BH1767" s="1">
        <v>28.0</v>
      </c>
      <c r="BI1767" s="1">
        <v>19.0</v>
      </c>
      <c r="BJ1767" s="1">
        <v>0.0</v>
      </c>
      <c r="BO1767" s="1" t="s">
        <v>5848</v>
      </c>
      <c r="BP1767" s="1">
        <v>1.02</v>
      </c>
      <c r="BU1767" s="1" t="s">
        <v>974</v>
      </c>
      <c r="BV1767" s="1">
        <v>1.1</v>
      </c>
      <c r="EQ1767" s="9" t="s">
        <v>5844</v>
      </c>
      <c r="ER1767" s="21">
        <v>46045.30118055556</v>
      </c>
    </row>
    <row r="1768">
      <c r="A1768" s="9" t="s">
        <v>5849</v>
      </c>
      <c r="B1768" s="20" t="str">
        <f>IFERROR(__xludf.DUMMYFUNCTION("REGEXREPLACE(A1768, ""^https?://[^/]+"", """")"),"/why-sales-forecasting-will-be-more-important-than-ever-in-2021/")</f>
        <v>/why-sales-forecasting-will-be-more-important-than-ever-in-2021/</v>
      </c>
      <c r="C1768" s="1" t="s">
        <v>5850</v>
      </c>
      <c r="F1768" s="1" t="s">
        <v>965</v>
      </c>
      <c r="G1768" s="1">
        <v>200.0</v>
      </c>
      <c r="H1768" s="1" t="s">
        <v>966</v>
      </c>
      <c r="I1768" s="1" t="s">
        <v>967</v>
      </c>
      <c r="K1768" s="1" t="s">
        <v>5851</v>
      </c>
      <c r="L1768" s="1">
        <v>107.0</v>
      </c>
      <c r="M1768" s="1">
        <v>984.0</v>
      </c>
      <c r="O1768" s="1">
        <v>0.0</v>
      </c>
      <c r="P1768" s="1">
        <v>0.0</v>
      </c>
      <c r="Q1768" s="1" t="s">
        <v>5852</v>
      </c>
      <c r="R1768" s="1">
        <v>285.0</v>
      </c>
      <c r="S1768" s="1">
        <v>1743.0</v>
      </c>
      <c r="U1768" s="1">
        <v>0.0</v>
      </c>
      <c r="V1768" s="1" t="s">
        <v>5850</v>
      </c>
      <c r="W1768" s="1">
        <v>82.0</v>
      </c>
      <c r="Y1768" s="1">
        <v>0.0</v>
      </c>
      <c r="AA1768" s="1">
        <v>0.0</v>
      </c>
      <c r="AC1768" s="1">
        <v>0.0</v>
      </c>
      <c r="AD1768" s="1" t="s">
        <v>971</v>
      </c>
      <c r="AG1768" s="9" t="s">
        <v>5849</v>
      </c>
      <c r="AM1768" s="1">
        <v>197102.0</v>
      </c>
      <c r="AN1768" s="1">
        <v>34183.0</v>
      </c>
      <c r="AO1768" s="1">
        <v>34183.0</v>
      </c>
      <c r="AP1768" s="1">
        <v>13.095</v>
      </c>
      <c r="AR1768" s="1">
        <v>703.0</v>
      </c>
      <c r="AS1768" s="1">
        <v>116.0</v>
      </c>
      <c r="AT1768" s="1">
        <v>6.06</v>
      </c>
      <c r="AU1768" s="1">
        <v>64.096</v>
      </c>
      <c r="AV1768" s="1" t="s">
        <v>990</v>
      </c>
      <c r="AW1768" s="1">
        <v>3.385</v>
      </c>
      <c r="AX1768" s="1">
        <v>4.0</v>
      </c>
      <c r="AY1768" s="1">
        <v>1.0</v>
      </c>
      <c r="AZ1768" s="1">
        <v>1.0</v>
      </c>
      <c r="BA1768" s="1">
        <v>15.0</v>
      </c>
      <c r="BB1768" s="1">
        <v>13.0</v>
      </c>
      <c r="BC1768" s="1">
        <v>0.0</v>
      </c>
      <c r="BD1768" s="1">
        <v>1.72</v>
      </c>
      <c r="BE1768" s="1">
        <v>129.0</v>
      </c>
      <c r="BF1768" s="1">
        <v>47.0</v>
      </c>
      <c r="BG1768" s="1">
        <v>0.0</v>
      </c>
      <c r="BH1768" s="1">
        <v>17.0</v>
      </c>
      <c r="BI1768" s="1">
        <v>9.0</v>
      </c>
      <c r="BJ1768" s="1">
        <v>0.0</v>
      </c>
      <c r="BO1768" s="1" t="s">
        <v>5853</v>
      </c>
      <c r="BP1768" s="1">
        <v>1.058</v>
      </c>
      <c r="BU1768" s="1" t="s">
        <v>974</v>
      </c>
      <c r="BV1768" s="1">
        <v>1.1</v>
      </c>
      <c r="EQ1768" s="9" t="s">
        <v>5849</v>
      </c>
      <c r="ER1768" s="21">
        <v>46045.30118055556</v>
      </c>
    </row>
    <row r="1769">
      <c r="A1769" s="9" t="s">
        <v>5854</v>
      </c>
      <c r="B1769" s="20" t="str">
        <f>IFERROR(__xludf.DUMMYFUNCTION("REGEXREPLACE(A1769, ""^https?://[^/]+"", """")"),"/wp-content/uploads/2021/03/Pouring-Sauce-scaled-1-300x300.jpg")</f>
        <v>/wp-content/uploads/2021/03/Pouring-Sauce-scaled-1-300x300.jpg</v>
      </c>
      <c r="F1769" s="1" t="s">
        <v>1004</v>
      </c>
      <c r="G1769" s="1">
        <v>200.0</v>
      </c>
      <c r="H1769" s="1" t="s">
        <v>966</v>
      </c>
      <c r="I1769" s="1" t="s">
        <v>967</v>
      </c>
      <c r="L1769" s="1">
        <v>0.0</v>
      </c>
      <c r="M1769" s="1">
        <v>0.0</v>
      </c>
      <c r="O1769" s="1">
        <v>0.0</v>
      </c>
      <c r="P1769" s="1">
        <v>0.0</v>
      </c>
      <c r="R1769" s="1">
        <v>0.0</v>
      </c>
      <c r="S1769" s="1">
        <v>0.0</v>
      </c>
      <c r="U1769" s="1">
        <v>0.0</v>
      </c>
      <c r="W1769" s="1">
        <v>0.0</v>
      </c>
      <c r="Y1769" s="1">
        <v>0.0</v>
      </c>
      <c r="AA1769" s="1">
        <v>0.0</v>
      </c>
      <c r="AC1769" s="1">
        <v>0.0</v>
      </c>
      <c r="AM1769" s="1">
        <v>12214.0</v>
      </c>
      <c r="AN1769" s="1">
        <v>12214.0</v>
      </c>
      <c r="AO1769" s="1">
        <v>12214.0</v>
      </c>
      <c r="AP1769" s="1">
        <v>4.679</v>
      </c>
      <c r="AR1769" s="1">
        <v>0.0</v>
      </c>
      <c r="AW1769" s="1">
        <v>0.0</v>
      </c>
      <c r="AX1769" s="1">
        <v>4.0</v>
      </c>
      <c r="AY1769" s="1">
        <v>4.0</v>
      </c>
      <c r="BA1769" s="1">
        <v>0.0</v>
      </c>
      <c r="BB1769" s="1">
        <v>0.0</v>
      </c>
      <c r="BC1769" s="1">
        <v>0.0</v>
      </c>
      <c r="BD1769" s="1">
        <v>0.0</v>
      </c>
      <c r="BE1769" s="1">
        <v>0.0</v>
      </c>
      <c r="BF1769" s="1">
        <v>0.0</v>
      </c>
      <c r="BG1769" s="1">
        <v>0.0</v>
      </c>
      <c r="BH1769" s="1">
        <v>0.0</v>
      </c>
      <c r="BI1769" s="1">
        <v>0.0</v>
      </c>
      <c r="BJ1769" s="1">
        <v>0.0</v>
      </c>
      <c r="BP1769" s="1">
        <v>0.261</v>
      </c>
      <c r="BQ1769" s="1" t="s">
        <v>5855</v>
      </c>
      <c r="BV1769" s="1">
        <v>1.1</v>
      </c>
      <c r="EQ1769" s="9" t="s">
        <v>5854</v>
      </c>
      <c r="ER1769" s="21">
        <v>46045.30119212963</v>
      </c>
    </row>
    <row r="1770">
      <c r="A1770" s="9" t="s">
        <v>5856</v>
      </c>
      <c r="B1770" s="20" t="str">
        <f>IFERROR(__xludf.DUMMYFUNCTION("REGEXREPLACE(A1770, ""^https?://[^/]+"", """")"),"/next-level-sales-success-why-you-absolutely-must-assess-and-evaluate-your-sales-team-regularly/")</f>
        <v>/next-level-sales-success-why-you-absolutely-must-assess-and-evaluate-your-sales-team-regularly/</v>
      </c>
      <c r="C1770" s="1" t="s">
        <v>5857</v>
      </c>
      <c r="D1770" s="1" t="s">
        <v>5858</v>
      </c>
      <c r="E1770" s="1" t="s">
        <v>5859</v>
      </c>
      <c r="F1770" s="1" t="s">
        <v>965</v>
      </c>
      <c r="G1770" s="1">
        <v>200.0</v>
      </c>
      <c r="H1770" s="1" t="s">
        <v>966</v>
      </c>
      <c r="I1770" s="1" t="s">
        <v>967</v>
      </c>
      <c r="K1770" s="1" t="s">
        <v>5860</v>
      </c>
      <c r="L1770" s="1">
        <v>120.0</v>
      </c>
      <c r="M1770" s="1">
        <v>1121.0</v>
      </c>
      <c r="O1770" s="1">
        <v>0.0</v>
      </c>
      <c r="P1770" s="1">
        <v>0.0</v>
      </c>
      <c r="Q1770" s="1" t="s">
        <v>5861</v>
      </c>
      <c r="R1770" s="1">
        <v>155.0</v>
      </c>
      <c r="S1770" s="1">
        <v>977.0</v>
      </c>
      <c r="U1770" s="1">
        <v>0.0</v>
      </c>
      <c r="V1770" s="1" t="s">
        <v>5857</v>
      </c>
      <c r="W1770" s="1">
        <v>95.0</v>
      </c>
      <c r="Y1770" s="1">
        <v>0.0</v>
      </c>
      <c r="Z1770" s="1" t="s">
        <v>5858</v>
      </c>
      <c r="AA1770" s="1">
        <v>62.0</v>
      </c>
      <c r="AB1770" s="1" t="s">
        <v>5859</v>
      </c>
      <c r="AC1770" s="1">
        <v>34.0</v>
      </c>
      <c r="AD1770" s="1" t="s">
        <v>971</v>
      </c>
      <c r="AG1770" s="9" t="s">
        <v>5856</v>
      </c>
      <c r="AM1770" s="1">
        <v>203890.0</v>
      </c>
      <c r="AN1770" s="1">
        <v>36489.0</v>
      </c>
      <c r="AO1770" s="1">
        <v>36489.0</v>
      </c>
      <c r="AP1770" s="1">
        <v>13.978</v>
      </c>
      <c r="AR1770" s="1">
        <v>1379.0</v>
      </c>
      <c r="AS1770" s="1">
        <v>220.0</v>
      </c>
      <c r="AT1770" s="1">
        <v>6.268</v>
      </c>
      <c r="AU1770" s="1">
        <v>53.297</v>
      </c>
      <c r="AV1770" s="1" t="s">
        <v>972</v>
      </c>
      <c r="AW1770" s="1">
        <v>5.586</v>
      </c>
      <c r="AX1770" s="1">
        <v>4.0</v>
      </c>
      <c r="AY1770" s="1">
        <v>1.0</v>
      </c>
      <c r="AZ1770" s="1">
        <v>1.0</v>
      </c>
      <c r="BA1770" s="1">
        <v>2.0</v>
      </c>
      <c r="BB1770" s="1">
        <v>1.0</v>
      </c>
      <c r="BC1770" s="1">
        <v>0.0</v>
      </c>
      <c r="BD1770" s="1">
        <v>0.13</v>
      </c>
      <c r="BE1770" s="1">
        <v>132.0</v>
      </c>
      <c r="BF1770" s="1">
        <v>48.0</v>
      </c>
      <c r="BG1770" s="1">
        <v>0.0</v>
      </c>
      <c r="BH1770" s="1">
        <v>16.0</v>
      </c>
      <c r="BI1770" s="1">
        <v>8.0</v>
      </c>
      <c r="BJ1770" s="1">
        <v>0.0</v>
      </c>
      <c r="BO1770" s="1" t="s">
        <v>5862</v>
      </c>
      <c r="BP1770" s="1">
        <v>1.003</v>
      </c>
      <c r="BU1770" s="1" t="s">
        <v>974</v>
      </c>
      <c r="BV1770" s="1">
        <v>1.1</v>
      </c>
      <c r="EQ1770" s="9" t="s">
        <v>5856</v>
      </c>
      <c r="ER1770" s="21">
        <v>46045.30119212963</v>
      </c>
    </row>
    <row r="1771">
      <c r="A1771" s="9" t="s">
        <v>5863</v>
      </c>
      <c r="B1771" s="20" t="str">
        <f>IFERROR(__xludf.DUMMYFUNCTION("REGEXREPLACE(A1771, ""^https?://[^/]+"", """")"),"/joining-sales-enablement-and-revenue-enablement-for-strategic-growth/")</f>
        <v>/joining-sales-enablement-and-revenue-enablement-for-strategic-growth/</v>
      </c>
      <c r="C1771" s="1" t="s">
        <v>5864</v>
      </c>
      <c r="D1771" s="1" t="s">
        <v>5865</v>
      </c>
      <c r="E1771" s="1" t="s">
        <v>5866</v>
      </c>
      <c r="F1771" s="1" t="s">
        <v>965</v>
      </c>
      <c r="G1771" s="1">
        <v>200.0</v>
      </c>
      <c r="H1771" s="1" t="s">
        <v>966</v>
      </c>
      <c r="I1771" s="1" t="s">
        <v>967</v>
      </c>
      <c r="K1771" s="1" t="s">
        <v>5867</v>
      </c>
      <c r="L1771" s="1">
        <v>93.0</v>
      </c>
      <c r="M1771" s="1">
        <v>864.0</v>
      </c>
      <c r="O1771" s="1">
        <v>0.0</v>
      </c>
      <c r="P1771" s="1">
        <v>0.0</v>
      </c>
      <c r="Q1771" s="1" t="s">
        <v>5868</v>
      </c>
      <c r="R1771" s="1">
        <v>84.0</v>
      </c>
      <c r="S1771" s="1">
        <v>535.0</v>
      </c>
      <c r="U1771" s="1">
        <v>0.0</v>
      </c>
      <c r="V1771" s="1" t="s">
        <v>5864</v>
      </c>
      <c r="W1771" s="1">
        <v>68.0</v>
      </c>
      <c r="Y1771" s="1">
        <v>0.0</v>
      </c>
      <c r="Z1771" s="1" t="s">
        <v>5865</v>
      </c>
      <c r="AA1771" s="1">
        <v>27.0</v>
      </c>
      <c r="AB1771" s="1" t="s">
        <v>5866</v>
      </c>
      <c r="AC1771" s="1">
        <v>41.0</v>
      </c>
      <c r="AD1771" s="1" t="s">
        <v>971</v>
      </c>
      <c r="AG1771" s="9" t="s">
        <v>5863</v>
      </c>
      <c r="AM1771" s="1">
        <v>201638.0</v>
      </c>
      <c r="AN1771" s="1">
        <v>35614.0</v>
      </c>
      <c r="AO1771" s="1">
        <v>35614.0</v>
      </c>
      <c r="AP1771" s="1">
        <v>13.643</v>
      </c>
      <c r="AR1771" s="1">
        <v>1227.0</v>
      </c>
      <c r="AS1771" s="1">
        <v>191.0</v>
      </c>
      <c r="AT1771" s="1">
        <v>6.424</v>
      </c>
      <c r="AU1771" s="1">
        <v>54.488</v>
      </c>
      <c r="AV1771" s="1" t="s">
        <v>972</v>
      </c>
      <c r="AW1771" s="1">
        <v>5.091</v>
      </c>
      <c r="AX1771" s="1">
        <v>4.0</v>
      </c>
      <c r="AY1771" s="1">
        <v>1.0</v>
      </c>
      <c r="AZ1771" s="1">
        <v>1.0</v>
      </c>
      <c r="BA1771" s="1">
        <v>4.0</v>
      </c>
      <c r="BB1771" s="1">
        <v>3.0</v>
      </c>
      <c r="BC1771" s="1">
        <v>0.0</v>
      </c>
      <c r="BD1771" s="1">
        <v>0.4</v>
      </c>
      <c r="BE1771" s="1">
        <v>130.0</v>
      </c>
      <c r="BF1771" s="1">
        <v>47.0</v>
      </c>
      <c r="BG1771" s="1">
        <v>0.0</v>
      </c>
      <c r="BH1771" s="1">
        <v>19.0</v>
      </c>
      <c r="BI1771" s="1">
        <v>11.0</v>
      </c>
      <c r="BJ1771" s="1">
        <v>0.0</v>
      </c>
      <c r="BO1771" s="1" t="s">
        <v>5869</v>
      </c>
      <c r="BP1771" s="1">
        <v>1.01</v>
      </c>
      <c r="BU1771" s="1" t="s">
        <v>974</v>
      </c>
      <c r="BV1771" s="1">
        <v>1.1</v>
      </c>
      <c r="EQ1771" s="9" t="s">
        <v>5863</v>
      </c>
      <c r="ER1771" s="21">
        <v>46045.30119212963</v>
      </c>
    </row>
    <row r="1772">
      <c r="A1772" s="9" t="s">
        <v>5870</v>
      </c>
      <c r="B1772" s="20" t="str">
        <f>IFERROR(__xludf.DUMMYFUNCTION("REGEXREPLACE(A1772, ""^https?://[^/]+"", """")"),"/wp-content/uploads/2020/07/Developing-a-Comp-Plan-300x300.jpg")</f>
        <v>/wp-content/uploads/2020/07/Developing-a-Comp-Plan-300x300.jpg</v>
      </c>
      <c r="F1772" s="1" t="s">
        <v>1004</v>
      </c>
      <c r="G1772" s="1">
        <v>200.0</v>
      </c>
      <c r="H1772" s="1" t="s">
        <v>966</v>
      </c>
      <c r="I1772" s="1" t="s">
        <v>967</v>
      </c>
      <c r="L1772" s="1">
        <v>0.0</v>
      </c>
      <c r="M1772" s="1">
        <v>0.0</v>
      </c>
      <c r="O1772" s="1">
        <v>0.0</v>
      </c>
      <c r="P1772" s="1">
        <v>0.0</v>
      </c>
      <c r="R1772" s="1">
        <v>0.0</v>
      </c>
      <c r="S1772" s="1">
        <v>0.0</v>
      </c>
      <c r="U1772" s="1">
        <v>0.0</v>
      </c>
      <c r="W1772" s="1">
        <v>0.0</v>
      </c>
      <c r="Y1772" s="1">
        <v>0.0</v>
      </c>
      <c r="AA1772" s="1">
        <v>0.0</v>
      </c>
      <c r="AC1772" s="1">
        <v>0.0</v>
      </c>
      <c r="AM1772" s="1">
        <v>13522.0</v>
      </c>
      <c r="AN1772" s="1">
        <v>13522.0</v>
      </c>
      <c r="AO1772" s="1">
        <v>13522.0</v>
      </c>
      <c r="AP1772" s="1">
        <v>5.18</v>
      </c>
      <c r="AR1772" s="1">
        <v>0.0</v>
      </c>
      <c r="AW1772" s="1">
        <v>0.0</v>
      </c>
      <c r="AX1772" s="1">
        <v>4.0</v>
      </c>
      <c r="AY1772" s="1">
        <v>4.0</v>
      </c>
      <c r="BA1772" s="1">
        <v>0.0</v>
      </c>
      <c r="BB1772" s="1">
        <v>0.0</v>
      </c>
      <c r="BC1772" s="1">
        <v>0.0</v>
      </c>
      <c r="BD1772" s="1">
        <v>0.0</v>
      </c>
      <c r="BE1772" s="1">
        <v>0.0</v>
      </c>
      <c r="BF1772" s="1">
        <v>0.0</v>
      </c>
      <c r="BG1772" s="1">
        <v>0.0</v>
      </c>
      <c r="BH1772" s="1">
        <v>0.0</v>
      </c>
      <c r="BI1772" s="1">
        <v>0.0</v>
      </c>
      <c r="BJ1772" s="1">
        <v>0.0</v>
      </c>
      <c r="BP1772" s="1">
        <v>0.272</v>
      </c>
      <c r="BQ1772" s="1" t="s">
        <v>5871</v>
      </c>
      <c r="BV1772" s="1">
        <v>1.1</v>
      </c>
      <c r="EQ1772" s="9" t="s">
        <v>5870</v>
      </c>
      <c r="ER1772" s="21">
        <v>46045.301203703704</v>
      </c>
    </row>
    <row r="1773">
      <c r="A1773" s="9" t="s">
        <v>5872</v>
      </c>
      <c r="B1773" s="20" t="str">
        <f>IFERROR(__xludf.DUMMYFUNCTION("REGEXREPLACE(A1773, ""^https?://[^/]+"", """")"),"/mastering-your-sales-pipeline/")</f>
        <v>/mastering-your-sales-pipeline/</v>
      </c>
      <c r="C1773" s="1" t="s">
        <v>5873</v>
      </c>
      <c r="F1773" s="1" t="s">
        <v>965</v>
      </c>
      <c r="G1773" s="1">
        <v>200.0</v>
      </c>
      <c r="H1773" s="1" t="s">
        <v>966</v>
      </c>
      <c r="I1773" s="1" t="s">
        <v>967</v>
      </c>
      <c r="K1773" s="1" t="s">
        <v>5874</v>
      </c>
      <c r="L1773" s="1">
        <v>54.0</v>
      </c>
      <c r="M1773" s="1">
        <v>482.0</v>
      </c>
      <c r="O1773" s="1">
        <v>0.0</v>
      </c>
      <c r="P1773" s="1">
        <v>0.0</v>
      </c>
      <c r="Q1773" s="1" t="s">
        <v>5875</v>
      </c>
      <c r="R1773" s="1">
        <v>112.0</v>
      </c>
      <c r="S1773" s="1">
        <v>685.0</v>
      </c>
      <c r="U1773" s="1">
        <v>0.0</v>
      </c>
      <c r="V1773" s="1" t="s">
        <v>5873</v>
      </c>
      <c r="W1773" s="1">
        <v>29.0</v>
      </c>
      <c r="Y1773" s="1">
        <v>0.0</v>
      </c>
      <c r="AA1773" s="1">
        <v>0.0</v>
      </c>
      <c r="AC1773" s="1">
        <v>0.0</v>
      </c>
      <c r="AD1773" s="1" t="s">
        <v>971</v>
      </c>
      <c r="AG1773" s="9" t="s">
        <v>5872</v>
      </c>
      <c r="AM1773" s="1">
        <v>198561.0</v>
      </c>
      <c r="AN1773" s="1">
        <v>35144.0</v>
      </c>
      <c r="AO1773" s="1">
        <v>35144.0</v>
      </c>
      <c r="AP1773" s="1">
        <v>13.463</v>
      </c>
      <c r="AR1773" s="1">
        <v>1049.0</v>
      </c>
      <c r="AS1773" s="1">
        <v>168.0</v>
      </c>
      <c r="AT1773" s="1">
        <v>6.244</v>
      </c>
      <c r="AU1773" s="1">
        <v>60.169</v>
      </c>
      <c r="AV1773" s="1" t="s">
        <v>990</v>
      </c>
      <c r="AW1773" s="1">
        <v>4.477</v>
      </c>
      <c r="AX1773" s="1">
        <v>4.0</v>
      </c>
      <c r="AY1773" s="1">
        <v>1.0</v>
      </c>
      <c r="AZ1773" s="1">
        <v>1.0</v>
      </c>
      <c r="BA1773" s="1">
        <v>18.0</v>
      </c>
      <c r="BB1773" s="1">
        <v>14.0</v>
      </c>
      <c r="BC1773" s="1">
        <v>0.0</v>
      </c>
      <c r="BD1773" s="1">
        <v>1.86</v>
      </c>
      <c r="BE1773" s="1">
        <v>131.0</v>
      </c>
      <c r="BF1773" s="1">
        <v>49.0</v>
      </c>
      <c r="BG1773" s="1">
        <v>0.0</v>
      </c>
      <c r="BH1773" s="1">
        <v>17.0</v>
      </c>
      <c r="BI1773" s="1">
        <v>9.0</v>
      </c>
      <c r="BJ1773" s="1">
        <v>0.0</v>
      </c>
      <c r="BO1773" s="1" t="s">
        <v>5876</v>
      </c>
      <c r="BP1773" s="1">
        <v>1.032</v>
      </c>
      <c r="BU1773" s="1" t="s">
        <v>974</v>
      </c>
      <c r="BV1773" s="1">
        <v>1.1</v>
      </c>
      <c r="EQ1773" s="9" t="s">
        <v>5872</v>
      </c>
      <c r="ER1773" s="21">
        <v>46045.30119212963</v>
      </c>
    </row>
    <row r="1774">
      <c r="A1774" s="9" t="s">
        <v>5877</v>
      </c>
      <c r="B1774" s="20" t="str">
        <f>IFERROR(__xludf.DUMMYFUNCTION("REGEXREPLACE(A1774, ""^https?://[^/]+"", """")"),"/wp-content/uploads/2021/01/Sales-Process-Meeting-scaled-1-300x300.jpg")</f>
        <v>/wp-content/uploads/2021/01/Sales-Process-Meeting-scaled-1-300x300.jpg</v>
      </c>
      <c r="F1774" s="1" t="s">
        <v>1004</v>
      </c>
      <c r="G1774" s="1">
        <v>200.0</v>
      </c>
      <c r="H1774" s="1" t="s">
        <v>966</v>
      </c>
      <c r="I1774" s="1" t="s">
        <v>967</v>
      </c>
      <c r="L1774" s="1">
        <v>0.0</v>
      </c>
      <c r="M1774" s="1">
        <v>0.0</v>
      </c>
      <c r="O1774" s="1">
        <v>0.0</v>
      </c>
      <c r="P1774" s="1">
        <v>0.0</v>
      </c>
      <c r="R1774" s="1">
        <v>0.0</v>
      </c>
      <c r="S1774" s="1">
        <v>0.0</v>
      </c>
      <c r="U1774" s="1">
        <v>0.0</v>
      </c>
      <c r="W1774" s="1">
        <v>0.0</v>
      </c>
      <c r="Y1774" s="1">
        <v>0.0</v>
      </c>
      <c r="AA1774" s="1">
        <v>0.0</v>
      </c>
      <c r="AC1774" s="1">
        <v>0.0</v>
      </c>
      <c r="AM1774" s="1">
        <v>21380.0</v>
      </c>
      <c r="AN1774" s="1">
        <v>21380.0</v>
      </c>
      <c r="AO1774" s="1">
        <v>21380.0</v>
      </c>
      <c r="AP1774" s="1">
        <v>8.19</v>
      </c>
      <c r="AR1774" s="1">
        <v>0.0</v>
      </c>
      <c r="AW1774" s="1">
        <v>0.0</v>
      </c>
      <c r="AX1774" s="1">
        <v>4.0</v>
      </c>
      <c r="AY1774" s="1">
        <v>4.0</v>
      </c>
      <c r="BA1774" s="1">
        <v>0.0</v>
      </c>
      <c r="BB1774" s="1">
        <v>0.0</v>
      </c>
      <c r="BC1774" s="1">
        <v>0.0</v>
      </c>
      <c r="BD1774" s="1">
        <v>0.0</v>
      </c>
      <c r="BE1774" s="1">
        <v>0.0</v>
      </c>
      <c r="BF1774" s="1">
        <v>0.0</v>
      </c>
      <c r="BG1774" s="1">
        <v>0.0</v>
      </c>
      <c r="BH1774" s="1">
        <v>0.0</v>
      </c>
      <c r="BI1774" s="1">
        <v>0.0</v>
      </c>
      <c r="BJ1774" s="1">
        <v>0.0</v>
      </c>
      <c r="BP1774" s="1">
        <v>0.292</v>
      </c>
      <c r="BQ1774" s="1" t="s">
        <v>5878</v>
      </c>
      <c r="BV1774" s="1">
        <v>1.1</v>
      </c>
      <c r="EQ1774" s="9" t="s">
        <v>5877</v>
      </c>
      <c r="ER1774" s="21">
        <v>46045.301203703704</v>
      </c>
    </row>
    <row r="1775">
      <c r="A1775" s="9" t="s">
        <v>5879</v>
      </c>
      <c r="B1775" s="20" t="str">
        <f>IFERROR(__xludf.DUMMYFUNCTION("REGEXREPLACE(A1775, ""^https?://[^/]+"", """")"),"/wp-content/uploads/2020/11/sales-forecasting-300x300.jpg")</f>
        <v>/wp-content/uploads/2020/11/sales-forecasting-300x300.jpg</v>
      </c>
      <c r="F1775" s="1" t="s">
        <v>1004</v>
      </c>
      <c r="G1775" s="1">
        <v>200.0</v>
      </c>
      <c r="H1775" s="1" t="s">
        <v>966</v>
      </c>
      <c r="I1775" s="1" t="s">
        <v>967</v>
      </c>
      <c r="L1775" s="1">
        <v>0.0</v>
      </c>
      <c r="M1775" s="1">
        <v>0.0</v>
      </c>
      <c r="O1775" s="1">
        <v>0.0</v>
      </c>
      <c r="P1775" s="1">
        <v>0.0</v>
      </c>
      <c r="R1775" s="1">
        <v>0.0</v>
      </c>
      <c r="S1775" s="1">
        <v>0.0</v>
      </c>
      <c r="U1775" s="1">
        <v>0.0</v>
      </c>
      <c r="W1775" s="1">
        <v>0.0</v>
      </c>
      <c r="Y1775" s="1">
        <v>0.0</v>
      </c>
      <c r="AA1775" s="1">
        <v>0.0</v>
      </c>
      <c r="AC1775" s="1">
        <v>0.0</v>
      </c>
      <c r="AM1775" s="1">
        <v>13695.0</v>
      </c>
      <c r="AN1775" s="1">
        <v>13695.0</v>
      </c>
      <c r="AO1775" s="1">
        <v>13695.0</v>
      </c>
      <c r="AP1775" s="1">
        <v>5.246</v>
      </c>
      <c r="AR1775" s="1">
        <v>0.0</v>
      </c>
      <c r="AW1775" s="1">
        <v>0.0</v>
      </c>
      <c r="AX1775" s="1">
        <v>4.0</v>
      </c>
      <c r="AY1775" s="1">
        <v>4.0</v>
      </c>
      <c r="BA1775" s="1">
        <v>0.0</v>
      </c>
      <c r="BB1775" s="1">
        <v>0.0</v>
      </c>
      <c r="BC1775" s="1">
        <v>0.0</v>
      </c>
      <c r="BD1775" s="1">
        <v>0.0</v>
      </c>
      <c r="BE1775" s="1">
        <v>0.0</v>
      </c>
      <c r="BF1775" s="1">
        <v>0.0</v>
      </c>
      <c r="BG1775" s="1">
        <v>0.0</v>
      </c>
      <c r="BH1775" s="1">
        <v>0.0</v>
      </c>
      <c r="BI1775" s="1">
        <v>0.0</v>
      </c>
      <c r="BJ1775" s="1">
        <v>0.0</v>
      </c>
      <c r="BP1775" s="1">
        <v>0.256</v>
      </c>
      <c r="BQ1775" s="1" t="s">
        <v>5880</v>
      </c>
      <c r="BV1775" s="1">
        <v>1.1</v>
      </c>
      <c r="EQ1775" s="9" t="s">
        <v>5879</v>
      </c>
      <c r="ER1775" s="21">
        <v>46045.30121527778</v>
      </c>
    </row>
    <row r="1776">
      <c r="A1776" s="9" t="s">
        <v>5881</v>
      </c>
      <c r="B1776" s="20" t="str">
        <f>IFERROR(__xludf.DUMMYFUNCTION("REGEXREPLACE(A1776, ""^https?://[^/]+"", """")"),"/14-techniques-for-onboarding-new-remote-employees/")</f>
        <v>/14-techniques-for-onboarding-new-remote-employees/</v>
      </c>
      <c r="C1776" s="1" t="s">
        <v>5882</v>
      </c>
      <c r="F1776" s="1" t="s">
        <v>965</v>
      </c>
      <c r="G1776" s="1">
        <v>200.0</v>
      </c>
      <c r="H1776" s="1" t="s">
        <v>966</v>
      </c>
      <c r="I1776" s="1" t="s">
        <v>967</v>
      </c>
      <c r="K1776" s="1" t="s">
        <v>5883</v>
      </c>
      <c r="L1776" s="1">
        <v>83.0</v>
      </c>
      <c r="M1776" s="1">
        <v>782.0</v>
      </c>
      <c r="O1776" s="1">
        <v>0.0</v>
      </c>
      <c r="P1776" s="1">
        <v>0.0</v>
      </c>
      <c r="Q1776" s="1" t="s">
        <v>5884</v>
      </c>
      <c r="R1776" s="1">
        <v>177.0</v>
      </c>
      <c r="S1776" s="1">
        <v>1125.0</v>
      </c>
      <c r="U1776" s="1">
        <v>0.0</v>
      </c>
      <c r="V1776" s="1" t="s">
        <v>5882</v>
      </c>
      <c r="W1776" s="1">
        <v>58.0</v>
      </c>
      <c r="Y1776" s="1">
        <v>0.0</v>
      </c>
      <c r="AA1776" s="1">
        <v>0.0</v>
      </c>
      <c r="AC1776" s="1">
        <v>0.0</v>
      </c>
      <c r="AD1776" s="1" t="s">
        <v>971</v>
      </c>
      <c r="AG1776" s="9" t="s">
        <v>5881</v>
      </c>
      <c r="AM1776" s="1">
        <v>195753.0</v>
      </c>
      <c r="AN1776" s="1">
        <v>34049.0</v>
      </c>
      <c r="AO1776" s="1">
        <v>34049.0</v>
      </c>
      <c r="AP1776" s="1">
        <v>13.044</v>
      </c>
      <c r="AR1776" s="1">
        <v>713.0</v>
      </c>
      <c r="AS1776" s="1">
        <v>118.0</v>
      </c>
      <c r="AT1776" s="1">
        <v>6.042</v>
      </c>
      <c r="AU1776" s="1">
        <v>61.759</v>
      </c>
      <c r="AV1776" s="1" t="s">
        <v>990</v>
      </c>
      <c r="AW1776" s="1">
        <v>3.47</v>
      </c>
      <c r="AX1776" s="1">
        <v>4.0</v>
      </c>
      <c r="AY1776" s="1">
        <v>1.0</v>
      </c>
      <c r="AZ1776" s="1">
        <v>1.0</v>
      </c>
      <c r="BA1776" s="1">
        <v>6.0</v>
      </c>
      <c r="BB1776" s="1">
        <v>4.0</v>
      </c>
      <c r="BC1776" s="1">
        <v>0.0</v>
      </c>
      <c r="BD1776" s="1">
        <v>0.53</v>
      </c>
      <c r="BE1776" s="1">
        <v>129.0</v>
      </c>
      <c r="BF1776" s="1">
        <v>47.0</v>
      </c>
      <c r="BG1776" s="1">
        <v>0.0</v>
      </c>
      <c r="BH1776" s="1">
        <v>18.0</v>
      </c>
      <c r="BI1776" s="1">
        <v>10.0</v>
      </c>
      <c r="BJ1776" s="1">
        <v>0.0</v>
      </c>
      <c r="BO1776" s="1" t="s">
        <v>5885</v>
      </c>
      <c r="BP1776" s="1">
        <v>0.995</v>
      </c>
      <c r="BU1776" s="1" t="s">
        <v>974</v>
      </c>
      <c r="BV1776" s="1">
        <v>1.1</v>
      </c>
      <c r="EQ1776" s="9" t="s">
        <v>5881</v>
      </c>
      <c r="ER1776" s="21">
        <v>46045.301203703704</v>
      </c>
    </row>
    <row r="1777">
      <c r="A1777" s="9" t="s">
        <v>5886</v>
      </c>
      <c r="B1777" s="20" t="str">
        <f>IFERROR(__xludf.DUMMYFUNCTION("REGEXREPLACE(A1777, ""^https?://[^/]+"", """")"),"/how-to-establish-rapport-with-a-prospect-and-create-a-solid-sales-relationship/")</f>
        <v>/how-to-establish-rapport-with-a-prospect-and-create-a-solid-sales-relationship/</v>
      </c>
      <c r="C1777" s="1" t="s">
        <v>5887</v>
      </c>
      <c r="F1777" s="1" t="s">
        <v>965</v>
      </c>
      <c r="G1777" s="1">
        <v>200.0</v>
      </c>
      <c r="H1777" s="1" t="s">
        <v>966</v>
      </c>
      <c r="I1777" s="1" t="s">
        <v>967</v>
      </c>
      <c r="K1777" s="1" t="s">
        <v>5888</v>
      </c>
      <c r="L1777" s="1">
        <v>112.0</v>
      </c>
      <c r="M1777" s="1">
        <v>1011.0</v>
      </c>
      <c r="O1777" s="1">
        <v>0.0</v>
      </c>
      <c r="P1777" s="1">
        <v>0.0</v>
      </c>
      <c r="Q1777" s="1" t="s">
        <v>5889</v>
      </c>
      <c r="R1777" s="1">
        <v>160.0</v>
      </c>
      <c r="S1777" s="1">
        <v>971.0</v>
      </c>
      <c r="U1777" s="1">
        <v>0.0</v>
      </c>
      <c r="V1777" s="1" t="s">
        <v>5887</v>
      </c>
      <c r="W1777" s="1">
        <v>87.0</v>
      </c>
      <c r="Y1777" s="1">
        <v>0.0</v>
      </c>
      <c r="AA1777" s="1">
        <v>0.0</v>
      </c>
      <c r="AC1777" s="1">
        <v>0.0</v>
      </c>
      <c r="AD1777" s="1" t="s">
        <v>971</v>
      </c>
      <c r="AG1777" s="9" t="s">
        <v>5886</v>
      </c>
      <c r="AM1777" s="1">
        <v>197886.0</v>
      </c>
      <c r="AN1777" s="1">
        <v>34147.0</v>
      </c>
      <c r="AO1777" s="1">
        <v>34147.0</v>
      </c>
      <c r="AP1777" s="1">
        <v>13.081</v>
      </c>
      <c r="AR1777" s="1">
        <v>682.0</v>
      </c>
      <c r="AS1777" s="1">
        <v>116.0</v>
      </c>
      <c r="AT1777" s="1">
        <v>5.879</v>
      </c>
      <c r="AU1777" s="1">
        <v>64.292</v>
      </c>
      <c r="AV1777" s="1" t="s">
        <v>990</v>
      </c>
      <c r="AW1777" s="1">
        <v>3.307</v>
      </c>
      <c r="AX1777" s="1">
        <v>4.0</v>
      </c>
      <c r="AY1777" s="1">
        <v>1.0</v>
      </c>
      <c r="AZ1777" s="1">
        <v>1.0</v>
      </c>
      <c r="BA1777" s="1">
        <v>6.0</v>
      </c>
      <c r="BB1777" s="1">
        <v>5.0</v>
      </c>
      <c r="BC1777" s="1">
        <v>0.0</v>
      </c>
      <c r="BD1777" s="1">
        <v>0.66</v>
      </c>
      <c r="BE1777" s="1">
        <v>129.0</v>
      </c>
      <c r="BF1777" s="1">
        <v>47.0</v>
      </c>
      <c r="BG1777" s="1">
        <v>0.0</v>
      </c>
      <c r="BH1777" s="1">
        <v>17.0</v>
      </c>
      <c r="BI1777" s="1">
        <v>9.0</v>
      </c>
      <c r="BJ1777" s="1">
        <v>0.0</v>
      </c>
      <c r="BO1777" s="1" t="s">
        <v>5890</v>
      </c>
      <c r="BP1777" s="1">
        <v>1.018</v>
      </c>
      <c r="BU1777" s="1" t="s">
        <v>974</v>
      </c>
      <c r="BV1777" s="1">
        <v>1.1</v>
      </c>
      <c r="EQ1777" s="9" t="s">
        <v>5886</v>
      </c>
      <c r="ER1777" s="21">
        <v>46045.301203703704</v>
      </c>
    </row>
    <row r="1778">
      <c r="A1778" s="9" t="s">
        <v>5891</v>
      </c>
      <c r="B1778" s="20" t="str">
        <f>IFERROR(__xludf.DUMMYFUNCTION("REGEXREPLACE(A1778, ""^https?://[^/]+"", """")"),"/wp-content/uploads/2021/02/Sales-Team-Meeting-scaled-1-300x300.jpg")</f>
        <v>/wp-content/uploads/2021/02/Sales-Team-Meeting-scaled-1-300x300.jpg</v>
      </c>
      <c r="F1778" s="1" t="s">
        <v>1004</v>
      </c>
      <c r="G1778" s="1">
        <v>200.0</v>
      </c>
      <c r="H1778" s="1" t="s">
        <v>966</v>
      </c>
      <c r="I1778" s="1" t="s">
        <v>967</v>
      </c>
      <c r="L1778" s="1">
        <v>0.0</v>
      </c>
      <c r="M1778" s="1">
        <v>0.0</v>
      </c>
      <c r="O1778" s="1">
        <v>0.0</v>
      </c>
      <c r="P1778" s="1">
        <v>0.0</v>
      </c>
      <c r="R1778" s="1">
        <v>0.0</v>
      </c>
      <c r="S1778" s="1">
        <v>0.0</v>
      </c>
      <c r="U1778" s="1">
        <v>0.0</v>
      </c>
      <c r="W1778" s="1">
        <v>0.0</v>
      </c>
      <c r="Y1778" s="1">
        <v>0.0</v>
      </c>
      <c r="AA1778" s="1">
        <v>0.0</v>
      </c>
      <c r="AC1778" s="1">
        <v>0.0</v>
      </c>
      <c r="AM1778" s="1">
        <v>16276.0</v>
      </c>
      <c r="AN1778" s="1">
        <v>16276.0</v>
      </c>
      <c r="AO1778" s="1">
        <v>16276.0</v>
      </c>
      <c r="AP1778" s="1">
        <v>6.235</v>
      </c>
      <c r="AR1778" s="1">
        <v>0.0</v>
      </c>
      <c r="AW1778" s="1">
        <v>0.0</v>
      </c>
      <c r="AX1778" s="1">
        <v>4.0</v>
      </c>
      <c r="AY1778" s="1">
        <v>4.0</v>
      </c>
      <c r="BA1778" s="1">
        <v>0.0</v>
      </c>
      <c r="BB1778" s="1">
        <v>0.0</v>
      </c>
      <c r="BC1778" s="1">
        <v>0.0</v>
      </c>
      <c r="BD1778" s="1">
        <v>0.0</v>
      </c>
      <c r="BE1778" s="1">
        <v>0.0</v>
      </c>
      <c r="BF1778" s="1">
        <v>0.0</v>
      </c>
      <c r="BG1778" s="1">
        <v>0.0</v>
      </c>
      <c r="BH1778" s="1">
        <v>0.0</v>
      </c>
      <c r="BI1778" s="1">
        <v>0.0</v>
      </c>
      <c r="BJ1778" s="1">
        <v>0.0</v>
      </c>
      <c r="BP1778" s="1">
        <v>0.267</v>
      </c>
      <c r="BQ1778" s="1" t="s">
        <v>5892</v>
      </c>
      <c r="BV1778" s="1">
        <v>1.1</v>
      </c>
      <c r="EQ1778" s="9" t="s">
        <v>5891</v>
      </c>
      <c r="ER1778" s="21">
        <v>46045.30121527778</v>
      </c>
    </row>
    <row r="1779">
      <c r="A1779" s="9" t="s">
        <v>5893</v>
      </c>
      <c r="B1779" s="20" t="str">
        <f>IFERROR(__xludf.DUMMYFUNCTION("REGEXREPLACE(A1779, ""^https?://[^/]+"", """")"),"/wp-content/uploads/2021/04/Sales-Team-Evaluation-300x200.png")</f>
        <v>/wp-content/uploads/2021/04/Sales-Team-Evaluation-300x200.png</v>
      </c>
      <c r="F1779" s="1" t="s">
        <v>1047</v>
      </c>
      <c r="G1779" s="1">
        <v>200.0</v>
      </c>
      <c r="H1779" s="1" t="s">
        <v>966</v>
      </c>
      <c r="I1779" s="1" t="s">
        <v>967</v>
      </c>
      <c r="L1779" s="1">
        <v>0.0</v>
      </c>
      <c r="M1779" s="1">
        <v>0.0</v>
      </c>
      <c r="O1779" s="1">
        <v>0.0</v>
      </c>
      <c r="P1779" s="1">
        <v>0.0</v>
      </c>
      <c r="R1779" s="1">
        <v>0.0</v>
      </c>
      <c r="S1779" s="1">
        <v>0.0</v>
      </c>
      <c r="U1779" s="1">
        <v>0.0</v>
      </c>
      <c r="W1779" s="1">
        <v>0.0</v>
      </c>
      <c r="Y1779" s="1">
        <v>0.0</v>
      </c>
      <c r="AA1779" s="1">
        <v>0.0</v>
      </c>
      <c r="AC1779" s="1">
        <v>0.0</v>
      </c>
      <c r="AM1779" s="1">
        <v>100311.0</v>
      </c>
      <c r="AN1779" s="1">
        <v>100311.0</v>
      </c>
      <c r="AO1779" s="1">
        <v>100311.0</v>
      </c>
      <c r="AP1779" s="1">
        <v>38.427</v>
      </c>
      <c r="AR1779" s="1">
        <v>0.0</v>
      </c>
      <c r="AW1779" s="1">
        <v>0.0</v>
      </c>
      <c r="AX1779" s="1">
        <v>4.0</v>
      </c>
      <c r="AY1779" s="1">
        <v>4.0</v>
      </c>
      <c r="BA1779" s="1">
        <v>0.0</v>
      </c>
      <c r="BB1779" s="1">
        <v>0.0</v>
      </c>
      <c r="BC1779" s="1">
        <v>0.0</v>
      </c>
      <c r="BD1779" s="1">
        <v>0.0</v>
      </c>
      <c r="BE1779" s="1">
        <v>0.0</v>
      </c>
      <c r="BF1779" s="1">
        <v>0.0</v>
      </c>
      <c r="BG1779" s="1">
        <v>0.0</v>
      </c>
      <c r="BH1779" s="1">
        <v>0.0</v>
      </c>
      <c r="BI1779" s="1">
        <v>0.0</v>
      </c>
      <c r="BJ1779" s="1">
        <v>0.0</v>
      </c>
      <c r="BP1779" s="1">
        <v>0.288</v>
      </c>
      <c r="BQ1779" s="1" t="s">
        <v>5894</v>
      </c>
      <c r="BV1779" s="1">
        <v>1.1</v>
      </c>
      <c r="EQ1779" s="9" t="s">
        <v>5893</v>
      </c>
      <c r="ER1779" s="21">
        <v>46045.30121527778</v>
      </c>
    </row>
    <row r="1780">
      <c r="A1780" s="9" t="s">
        <v>5895</v>
      </c>
      <c r="B1780" s="20" t="str">
        <f>IFERROR(__xludf.DUMMYFUNCTION("REGEXREPLACE(A1780, ""^https?://[^/]+"", """")"),"/leveraging-sales-agility-for-revenue-operations-success/")</f>
        <v>/leveraging-sales-agility-for-revenue-operations-success/</v>
      </c>
      <c r="C1780" s="1" t="s">
        <v>5896</v>
      </c>
      <c r="D1780" s="1" t="s">
        <v>5897</v>
      </c>
      <c r="E1780" s="1" t="s">
        <v>5898</v>
      </c>
      <c r="F1780" s="1" t="s">
        <v>965</v>
      </c>
      <c r="G1780" s="1">
        <v>200.0</v>
      </c>
      <c r="H1780" s="1" t="s">
        <v>966</v>
      </c>
      <c r="I1780" s="1" t="s">
        <v>967</v>
      </c>
      <c r="K1780" s="1" t="s">
        <v>5899</v>
      </c>
      <c r="L1780" s="1">
        <v>80.0</v>
      </c>
      <c r="M1780" s="1">
        <v>722.0</v>
      </c>
      <c r="O1780" s="1">
        <v>0.0</v>
      </c>
      <c r="P1780" s="1">
        <v>0.0</v>
      </c>
      <c r="Q1780" s="1" t="s">
        <v>5900</v>
      </c>
      <c r="R1780" s="1">
        <v>136.0</v>
      </c>
      <c r="S1780" s="1">
        <v>819.0</v>
      </c>
      <c r="U1780" s="1">
        <v>0.0</v>
      </c>
      <c r="V1780" s="1" t="s">
        <v>5896</v>
      </c>
      <c r="W1780" s="1">
        <v>55.0</v>
      </c>
      <c r="Y1780" s="1">
        <v>0.0</v>
      </c>
      <c r="Z1780" s="1" t="s">
        <v>5897</v>
      </c>
      <c r="AA1780" s="1">
        <v>75.0</v>
      </c>
      <c r="AB1780" s="1" t="s">
        <v>5898</v>
      </c>
      <c r="AC1780" s="1">
        <v>48.0</v>
      </c>
      <c r="AD1780" s="1" t="s">
        <v>971</v>
      </c>
      <c r="AG1780" s="9" t="s">
        <v>5895</v>
      </c>
      <c r="AM1780" s="1">
        <v>205070.0</v>
      </c>
      <c r="AN1780" s="1">
        <v>36780.0</v>
      </c>
      <c r="AO1780" s="1">
        <v>36780.0</v>
      </c>
      <c r="AP1780" s="1">
        <v>14.09</v>
      </c>
      <c r="AR1780" s="1">
        <v>1444.0</v>
      </c>
      <c r="AS1780" s="1">
        <v>224.0</v>
      </c>
      <c r="AT1780" s="1">
        <v>6.446</v>
      </c>
      <c r="AU1780" s="1">
        <v>55.874</v>
      </c>
      <c r="AV1780" s="1" t="s">
        <v>972</v>
      </c>
      <c r="AW1780" s="1">
        <v>5.715</v>
      </c>
      <c r="AX1780" s="1">
        <v>4.0</v>
      </c>
      <c r="AY1780" s="1">
        <v>1.0</v>
      </c>
      <c r="AZ1780" s="1">
        <v>1.0</v>
      </c>
      <c r="BA1780" s="1">
        <v>2.0</v>
      </c>
      <c r="BB1780" s="1">
        <v>1.0</v>
      </c>
      <c r="BC1780" s="1">
        <v>0.0</v>
      </c>
      <c r="BD1780" s="1">
        <v>0.13</v>
      </c>
      <c r="BE1780" s="1">
        <v>129.0</v>
      </c>
      <c r="BF1780" s="1">
        <v>47.0</v>
      </c>
      <c r="BG1780" s="1">
        <v>0.0</v>
      </c>
      <c r="BH1780" s="1">
        <v>21.0</v>
      </c>
      <c r="BI1780" s="1">
        <v>13.0</v>
      </c>
      <c r="BJ1780" s="1">
        <v>0.0</v>
      </c>
      <c r="BO1780" s="1" t="s">
        <v>5901</v>
      </c>
      <c r="BP1780" s="1">
        <v>1.006</v>
      </c>
      <c r="BU1780" s="1" t="s">
        <v>974</v>
      </c>
      <c r="BV1780" s="1">
        <v>1.1</v>
      </c>
      <c r="EQ1780" s="9" t="s">
        <v>5895</v>
      </c>
      <c r="ER1780" s="21">
        <v>46045.301203703704</v>
      </c>
    </row>
    <row r="1781">
      <c r="A1781" s="9" t="s">
        <v>5902</v>
      </c>
      <c r="B1781" s="20" t="str">
        <f>IFERROR(__xludf.DUMMYFUNCTION("REGEXREPLACE(A1781, ""^https?://[^/]+"", """")"),"/from-pipeline-to-bottom-line-how-to-boost-your-sales-team-effectiveness/")</f>
        <v>/from-pipeline-to-bottom-line-how-to-boost-your-sales-team-effectiveness/</v>
      </c>
      <c r="C1781" s="1" t="s">
        <v>5903</v>
      </c>
      <c r="D1781" s="1" t="s">
        <v>5904</v>
      </c>
      <c r="E1781" s="1" t="s">
        <v>5905</v>
      </c>
      <c r="F1781" s="1" t="s">
        <v>965</v>
      </c>
      <c r="G1781" s="1">
        <v>200.0</v>
      </c>
      <c r="H1781" s="1" t="s">
        <v>966</v>
      </c>
      <c r="I1781" s="1" t="s">
        <v>967</v>
      </c>
      <c r="K1781" s="1" t="s">
        <v>5906</v>
      </c>
      <c r="L1781" s="1">
        <v>97.0</v>
      </c>
      <c r="M1781" s="1">
        <v>888.0</v>
      </c>
      <c r="O1781" s="1">
        <v>0.0</v>
      </c>
      <c r="P1781" s="1">
        <v>0.0</v>
      </c>
      <c r="Q1781" s="1" t="s">
        <v>5907</v>
      </c>
      <c r="R1781" s="1">
        <v>149.0</v>
      </c>
      <c r="S1781" s="1">
        <v>922.0</v>
      </c>
      <c r="U1781" s="1">
        <v>0.0</v>
      </c>
      <c r="V1781" s="1" t="s">
        <v>5903</v>
      </c>
      <c r="W1781" s="1">
        <v>72.0</v>
      </c>
      <c r="Y1781" s="1">
        <v>0.0</v>
      </c>
      <c r="Z1781" s="1" t="s">
        <v>5904</v>
      </c>
      <c r="AA1781" s="1">
        <v>21.0</v>
      </c>
      <c r="AB1781" s="1" t="s">
        <v>5905</v>
      </c>
      <c r="AC1781" s="1">
        <v>40.0</v>
      </c>
      <c r="AD1781" s="1" t="s">
        <v>971</v>
      </c>
      <c r="AG1781" s="9" t="s">
        <v>5902</v>
      </c>
      <c r="AM1781" s="1">
        <v>200779.0</v>
      </c>
      <c r="AN1781" s="1">
        <v>35706.0</v>
      </c>
      <c r="AO1781" s="1">
        <v>35706.0</v>
      </c>
      <c r="AP1781" s="1">
        <v>13.678</v>
      </c>
      <c r="AR1781" s="1">
        <v>1309.0</v>
      </c>
      <c r="AS1781" s="1">
        <v>201.0</v>
      </c>
      <c r="AT1781" s="1">
        <v>6.512</v>
      </c>
      <c r="AU1781" s="1">
        <v>56.36</v>
      </c>
      <c r="AV1781" s="1" t="s">
        <v>972</v>
      </c>
      <c r="AW1781" s="1">
        <v>5.35</v>
      </c>
      <c r="AX1781" s="1">
        <v>4.0</v>
      </c>
      <c r="AY1781" s="1">
        <v>1.0</v>
      </c>
      <c r="AZ1781" s="1">
        <v>1.0</v>
      </c>
      <c r="BA1781" s="1">
        <v>13.0</v>
      </c>
      <c r="BB1781" s="1">
        <v>11.0</v>
      </c>
      <c r="BC1781" s="1">
        <v>0.0</v>
      </c>
      <c r="BD1781" s="1">
        <v>1.46</v>
      </c>
      <c r="BE1781" s="1">
        <v>133.0</v>
      </c>
      <c r="BF1781" s="1">
        <v>49.0</v>
      </c>
      <c r="BG1781" s="1">
        <v>0.0</v>
      </c>
      <c r="BH1781" s="1">
        <v>17.0</v>
      </c>
      <c r="BI1781" s="1">
        <v>9.0</v>
      </c>
      <c r="BJ1781" s="1">
        <v>0.0</v>
      </c>
      <c r="BO1781" s="1" t="s">
        <v>5908</v>
      </c>
      <c r="BP1781" s="1">
        <v>1.041</v>
      </c>
      <c r="BU1781" s="1" t="s">
        <v>974</v>
      </c>
      <c r="BV1781" s="1">
        <v>1.1</v>
      </c>
      <c r="EQ1781" s="9" t="s">
        <v>5902</v>
      </c>
      <c r="ER1781" s="21">
        <v>46045.301203703704</v>
      </c>
    </row>
    <row r="1782">
      <c r="A1782" s="9" t="s">
        <v>5909</v>
      </c>
      <c r="B1782" s="20" t="str">
        <f>IFERROR(__xludf.DUMMYFUNCTION("REGEXREPLACE(A1782, ""^https?://[^/]+"", """")"),"/wp-content/themes/salesxceleratione/assets/css/style.css?ver=1769123515")</f>
        <v>/wp-content/themes/salesxceleratione/assets/css/style.css?ver=1769123515</v>
      </c>
      <c r="F1782" s="1" t="s">
        <v>1016</v>
      </c>
      <c r="G1782" s="1">
        <v>200.0</v>
      </c>
      <c r="H1782" s="1" t="s">
        <v>966</v>
      </c>
      <c r="I1782" s="1" t="s">
        <v>967</v>
      </c>
      <c r="L1782" s="1">
        <v>0.0</v>
      </c>
      <c r="M1782" s="1">
        <v>0.0</v>
      </c>
      <c r="O1782" s="1">
        <v>0.0</v>
      </c>
      <c r="P1782" s="1">
        <v>0.0</v>
      </c>
      <c r="R1782" s="1">
        <v>0.0</v>
      </c>
      <c r="S1782" s="1">
        <v>0.0</v>
      </c>
      <c r="U1782" s="1">
        <v>0.0</v>
      </c>
      <c r="W1782" s="1">
        <v>0.0</v>
      </c>
      <c r="Y1782" s="1">
        <v>0.0</v>
      </c>
      <c r="AA1782" s="1">
        <v>0.0</v>
      </c>
      <c r="AC1782" s="1">
        <v>0.0</v>
      </c>
      <c r="AM1782" s="1">
        <v>17704.0</v>
      </c>
      <c r="AN1782" s="1">
        <v>17704.0</v>
      </c>
      <c r="AO1782" s="1">
        <v>17704.0</v>
      </c>
      <c r="AP1782" s="1">
        <v>6.782</v>
      </c>
      <c r="AR1782" s="1">
        <v>0.0</v>
      </c>
      <c r="AW1782" s="1">
        <v>0.0</v>
      </c>
      <c r="AX1782" s="1">
        <v>4.0</v>
      </c>
      <c r="AY1782" s="1">
        <v>5.0</v>
      </c>
      <c r="BA1782" s="1">
        <v>0.0</v>
      </c>
      <c r="BB1782" s="1">
        <v>0.0</v>
      </c>
      <c r="BC1782" s="1">
        <v>0.0</v>
      </c>
      <c r="BD1782" s="1">
        <v>0.0</v>
      </c>
      <c r="BE1782" s="1">
        <v>0.0</v>
      </c>
      <c r="BF1782" s="1">
        <v>0.0</v>
      </c>
      <c r="BG1782" s="1">
        <v>0.0</v>
      </c>
      <c r="BH1782" s="1">
        <v>0.0</v>
      </c>
      <c r="BI1782" s="1">
        <v>0.0</v>
      </c>
      <c r="BJ1782" s="1">
        <v>0.0</v>
      </c>
      <c r="BP1782" s="1">
        <v>0.261</v>
      </c>
      <c r="BQ1782" s="1" t="s">
        <v>3843</v>
      </c>
      <c r="BV1782" s="1">
        <v>1.1</v>
      </c>
      <c r="EQ1782" s="9" t="s">
        <v>5909</v>
      </c>
      <c r="ER1782" s="21">
        <v>46045.30122685185</v>
      </c>
    </row>
    <row r="1783">
      <c r="A1783" s="9" t="s">
        <v>5910</v>
      </c>
      <c r="B1783" s="20" t="str">
        <f>IFERROR(__xludf.DUMMYFUNCTION("REGEXREPLACE(A1783, ""^https?://[^/]+"", """")"),"/wp-content/uploads/2021/03/Sales-Strategy-Meeting-scaled-1-300x300.jpg")</f>
        <v>/wp-content/uploads/2021/03/Sales-Strategy-Meeting-scaled-1-300x300.jpg</v>
      </c>
      <c r="F1783" s="1" t="s">
        <v>1004</v>
      </c>
      <c r="G1783" s="1">
        <v>200.0</v>
      </c>
      <c r="H1783" s="1" t="s">
        <v>966</v>
      </c>
      <c r="I1783" s="1" t="s">
        <v>967</v>
      </c>
      <c r="L1783" s="1">
        <v>0.0</v>
      </c>
      <c r="M1783" s="1">
        <v>0.0</v>
      </c>
      <c r="O1783" s="1">
        <v>0.0</v>
      </c>
      <c r="P1783" s="1">
        <v>0.0</v>
      </c>
      <c r="R1783" s="1">
        <v>0.0</v>
      </c>
      <c r="S1783" s="1">
        <v>0.0</v>
      </c>
      <c r="U1783" s="1">
        <v>0.0</v>
      </c>
      <c r="W1783" s="1">
        <v>0.0</v>
      </c>
      <c r="Y1783" s="1">
        <v>0.0</v>
      </c>
      <c r="AA1783" s="1">
        <v>0.0</v>
      </c>
      <c r="AC1783" s="1">
        <v>0.0</v>
      </c>
      <c r="AM1783" s="1">
        <v>16085.0</v>
      </c>
      <c r="AN1783" s="1">
        <v>16085.0</v>
      </c>
      <c r="AO1783" s="1">
        <v>16085.0</v>
      </c>
      <c r="AP1783" s="1">
        <v>6.162</v>
      </c>
      <c r="AR1783" s="1">
        <v>0.0</v>
      </c>
      <c r="AW1783" s="1">
        <v>0.0</v>
      </c>
      <c r="AX1783" s="1">
        <v>4.0</v>
      </c>
      <c r="AY1783" s="1">
        <v>4.0</v>
      </c>
      <c r="BA1783" s="1">
        <v>0.0</v>
      </c>
      <c r="BB1783" s="1">
        <v>0.0</v>
      </c>
      <c r="BC1783" s="1">
        <v>0.0</v>
      </c>
      <c r="BD1783" s="1">
        <v>0.0</v>
      </c>
      <c r="BE1783" s="1">
        <v>0.0</v>
      </c>
      <c r="BF1783" s="1">
        <v>0.0</v>
      </c>
      <c r="BG1783" s="1">
        <v>0.0</v>
      </c>
      <c r="BH1783" s="1">
        <v>0.0</v>
      </c>
      <c r="BI1783" s="1">
        <v>0.0</v>
      </c>
      <c r="BJ1783" s="1">
        <v>0.0</v>
      </c>
      <c r="BP1783" s="1">
        <v>0.271</v>
      </c>
      <c r="BQ1783" s="1" t="s">
        <v>5911</v>
      </c>
      <c r="BV1783" s="1">
        <v>1.1</v>
      </c>
      <c r="EQ1783" s="9" t="s">
        <v>5910</v>
      </c>
      <c r="ER1783" s="21">
        <v>46045.30122685185</v>
      </c>
    </row>
    <row r="1784">
      <c r="A1784" s="9" t="s">
        <v>5912</v>
      </c>
      <c r="B1784" s="20" t="str">
        <f>IFERROR(__xludf.DUMMYFUNCTION("REGEXREPLACE(A1784, ""^https?://[^/]+"", """")"),"/wp-content/uploads/2019/02/should-you-discount-your-prices-300x200.jpg")</f>
        <v>/wp-content/uploads/2019/02/should-you-discount-your-prices-300x200.jpg</v>
      </c>
      <c r="F1784" s="1" t="s">
        <v>1004</v>
      </c>
      <c r="G1784" s="1">
        <v>200.0</v>
      </c>
      <c r="H1784" s="1" t="s">
        <v>966</v>
      </c>
      <c r="I1784" s="1" t="s">
        <v>967</v>
      </c>
      <c r="L1784" s="1">
        <v>0.0</v>
      </c>
      <c r="M1784" s="1">
        <v>0.0</v>
      </c>
      <c r="O1784" s="1">
        <v>0.0</v>
      </c>
      <c r="P1784" s="1">
        <v>0.0</v>
      </c>
      <c r="R1784" s="1">
        <v>0.0</v>
      </c>
      <c r="S1784" s="1">
        <v>0.0</v>
      </c>
      <c r="U1784" s="1">
        <v>0.0</v>
      </c>
      <c r="W1784" s="1">
        <v>0.0</v>
      </c>
      <c r="Y1784" s="1">
        <v>0.0</v>
      </c>
      <c r="AA1784" s="1">
        <v>0.0</v>
      </c>
      <c r="AC1784" s="1">
        <v>0.0</v>
      </c>
      <c r="AM1784" s="1">
        <v>9813.0</v>
      </c>
      <c r="AN1784" s="1">
        <v>9813.0</v>
      </c>
      <c r="AO1784" s="1">
        <v>9813.0</v>
      </c>
      <c r="AP1784" s="1">
        <v>3.759</v>
      </c>
      <c r="AR1784" s="1">
        <v>0.0</v>
      </c>
      <c r="AW1784" s="1">
        <v>0.0</v>
      </c>
      <c r="AX1784" s="1">
        <v>4.0</v>
      </c>
      <c r="AY1784" s="1">
        <v>4.0</v>
      </c>
      <c r="BA1784" s="1">
        <v>0.0</v>
      </c>
      <c r="BB1784" s="1">
        <v>0.0</v>
      </c>
      <c r="BC1784" s="1">
        <v>0.0</v>
      </c>
      <c r="BD1784" s="1">
        <v>0.0</v>
      </c>
      <c r="BE1784" s="1">
        <v>0.0</v>
      </c>
      <c r="BF1784" s="1">
        <v>0.0</v>
      </c>
      <c r="BG1784" s="1">
        <v>0.0</v>
      </c>
      <c r="BH1784" s="1">
        <v>0.0</v>
      </c>
      <c r="BI1784" s="1">
        <v>0.0</v>
      </c>
      <c r="BJ1784" s="1">
        <v>0.0</v>
      </c>
      <c r="BP1784" s="1">
        <v>0.265</v>
      </c>
      <c r="BQ1784" s="1" t="s">
        <v>5913</v>
      </c>
      <c r="BV1784" s="1">
        <v>1.1</v>
      </c>
      <c r="EQ1784" s="9" t="s">
        <v>5912</v>
      </c>
      <c r="ER1784" s="21">
        <v>46045.30122685185</v>
      </c>
    </row>
    <row r="1785">
      <c r="A1785" s="9" t="s">
        <v>5914</v>
      </c>
      <c r="B1785" s="20" t="str">
        <f>IFERROR(__xludf.DUMMYFUNCTION("REGEXREPLACE(A1785, ""^https?://[^/]+"", """")"),"/inbound-vs-outbound-sales-knowing-the-difference-will-greatly-improve-your-success/")</f>
        <v>/inbound-vs-outbound-sales-knowing-the-difference-will-greatly-improve-your-success/</v>
      </c>
      <c r="C1785" s="1" t="s">
        <v>5915</v>
      </c>
      <c r="F1785" s="1" t="s">
        <v>965</v>
      </c>
      <c r="G1785" s="1">
        <v>200.0</v>
      </c>
      <c r="H1785" s="1" t="s">
        <v>966</v>
      </c>
      <c r="I1785" s="1" t="s">
        <v>967</v>
      </c>
      <c r="K1785" s="1" t="s">
        <v>5916</v>
      </c>
      <c r="L1785" s="1">
        <v>110.0</v>
      </c>
      <c r="M1785" s="1">
        <v>996.0</v>
      </c>
      <c r="O1785" s="1">
        <v>0.0</v>
      </c>
      <c r="P1785" s="1">
        <v>0.0</v>
      </c>
      <c r="Q1785" s="1" t="s">
        <v>5917</v>
      </c>
      <c r="R1785" s="1">
        <v>139.0</v>
      </c>
      <c r="S1785" s="1">
        <v>873.0</v>
      </c>
      <c r="U1785" s="1">
        <v>0.0</v>
      </c>
      <c r="V1785" s="1" t="s">
        <v>5915</v>
      </c>
      <c r="W1785" s="1">
        <v>85.0</v>
      </c>
      <c r="Y1785" s="1">
        <v>0.0</v>
      </c>
      <c r="AA1785" s="1">
        <v>0.0</v>
      </c>
      <c r="AC1785" s="1">
        <v>0.0</v>
      </c>
      <c r="AD1785" s="1" t="s">
        <v>971</v>
      </c>
      <c r="AG1785" s="9" t="s">
        <v>5914</v>
      </c>
      <c r="AM1785" s="1">
        <v>200008.0</v>
      </c>
      <c r="AN1785" s="1">
        <v>35097.0</v>
      </c>
      <c r="AO1785" s="1">
        <v>35097.0</v>
      </c>
      <c r="AP1785" s="1">
        <v>13.445</v>
      </c>
      <c r="AR1785" s="1">
        <v>1079.0</v>
      </c>
      <c r="AS1785" s="1">
        <v>170.0</v>
      </c>
      <c r="AT1785" s="1">
        <v>6.347</v>
      </c>
      <c r="AU1785" s="1">
        <v>64.672</v>
      </c>
      <c r="AV1785" s="1" t="s">
        <v>990</v>
      </c>
      <c r="AW1785" s="1">
        <v>4.486</v>
      </c>
      <c r="AX1785" s="1">
        <v>4.0</v>
      </c>
      <c r="AY1785" s="1">
        <v>1.0</v>
      </c>
      <c r="AZ1785" s="1">
        <v>1.0</v>
      </c>
      <c r="BA1785" s="1">
        <v>3.0</v>
      </c>
      <c r="BB1785" s="1">
        <v>2.0</v>
      </c>
      <c r="BC1785" s="1">
        <v>0.0</v>
      </c>
      <c r="BD1785" s="1">
        <v>0.27</v>
      </c>
      <c r="BE1785" s="1">
        <v>131.0</v>
      </c>
      <c r="BF1785" s="1">
        <v>49.0</v>
      </c>
      <c r="BG1785" s="1">
        <v>0.0</v>
      </c>
      <c r="BH1785" s="1">
        <v>16.0</v>
      </c>
      <c r="BI1785" s="1">
        <v>8.0</v>
      </c>
      <c r="BJ1785" s="1">
        <v>0.0</v>
      </c>
      <c r="BO1785" s="1" t="s">
        <v>5918</v>
      </c>
      <c r="BP1785" s="1">
        <v>1.155</v>
      </c>
      <c r="BU1785" s="1" t="s">
        <v>974</v>
      </c>
      <c r="BV1785" s="1">
        <v>1.1</v>
      </c>
      <c r="EQ1785" s="9" t="s">
        <v>5914</v>
      </c>
      <c r="ER1785" s="21">
        <v>46045.30121527778</v>
      </c>
    </row>
    <row r="1786">
      <c r="A1786" s="9" t="s">
        <v>5919</v>
      </c>
      <c r="B1786" s="20" t="str">
        <f>IFERROR(__xludf.DUMMYFUNCTION("REGEXREPLACE(A1786, ""^https?://[^/]+"", """")"),"/wp-content/uploads/2020/03/Tactics_for_Team_Dominance-1-scaled-1-300x300.jpg")</f>
        <v>/wp-content/uploads/2020/03/Tactics_for_Team_Dominance-1-scaled-1-300x300.jpg</v>
      </c>
      <c r="F1786" s="1" t="s">
        <v>1004</v>
      </c>
      <c r="G1786" s="1">
        <v>200.0</v>
      </c>
      <c r="H1786" s="1" t="s">
        <v>966</v>
      </c>
      <c r="I1786" s="1" t="s">
        <v>967</v>
      </c>
      <c r="L1786" s="1">
        <v>0.0</v>
      </c>
      <c r="M1786" s="1">
        <v>0.0</v>
      </c>
      <c r="O1786" s="1">
        <v>0.0</v>
      </c>
      <c r="P1786" s="1">
        <v>0.0</v>
      </c>
      <c r="R1786" s="1">
        <v>0.0</v>
      </c>
      <c r="S1786" s="1">
        <v>0.0</v>
      </c>
      <c r="U1786" s="1">
        <v>0.0</v>
      </c>
      <c r="W1786" s="1">
        <v>0.0</v>
      </c>
      <c r="Y1786" s="1">
        <v>0.0</v>
      </c>
      <c r="AA1786" s="1">
        <v>0.0</v>
      </c>
      <c r="AC1786" s="1">
        <v>0.0</v>
      </c>
      <c r="AM1786" s="1">
        <v>12059.0</v>
      </c>
      <c r="AN1786" s="1">
        <v>12059.0</v>
      </c>
      <c r="AO1786" s="1">
        <v>12059.0</v>
      </c>
      <c r="AP1786" s="1">
        <v>4.62</v>
      </c>
      <c r="AR1786" s="1">
        <v>0.0</v>
      </c>
      <c r="AW1786" s="1">
        <v>0.0</v>
      </c>
      <c r="AX1786" s="1">
        <v>4.0</v>
      </c>
      <c r="AY1786" s="1">
        <v>4.0</v>
      </c>
      <c r="BA1786" s="1">
        <v>0.0</v>
      </c>
      <c r="BB1786" s="1">
        <v>0.0</v>
      </c>
      <c r="BC1786" s="1">
        <v>0.0</v>
      </c>
      <c r="BD1786" s="1">
        <v>0.0</v>
      </c>
      <c r="BE1786" s="1">
        <v>0.0</v>
      </c>
      <c r="BF1786" s="1">
        <v>0.0</v>
      </c>
      <c r="BG1786" s="1">
        <v>0.0</v>
      </c>
      <c r="BH1786" s="1">
        <v>0.0</v>
      </c>
      <c r="BI1786" s="1">
        <v>0.0</v>
      </c>
      <c r="BJ1786" s="1">
        <v>0.0</v>
      </c>
      <c r="BP1786" s="1">
        <v>0.263</v>
      </c>
      <c r="BQ1786" s="1" t="s">
        <v>5557</v>
      </c>
      <c r="BV1786" s="1">
        <v>1.1</v>
      </c>
      <c r="EQ1786" s="9" t="s">
        <v>5919</v>
      </c>
      <c r="ER1786" s="21">
        <v>46045.30122685185</v>
      </c>
    </row>
    <row r="1787">
      <c r="A1787" s="9" t="s">
        <v>5920</v>
      </c>
      <c r="B1787" s="20" t="str">
        <f>IFERROR(__xludf.DUMMYFUNCTION("REGEXREPLACE(A1787, ""^https?://[^/]+"", """")"),"/wp-content/uploads/2018/02/wallet2-300x202.jpg")</f>
        <v>/wp-content/uploads/2018/02/wallet2-300x202.jpg</v>
      </c>
      <c r="F1787" s="1" t="s">
        <v>1004</v>
      </c>
      <c r="G1787" s="1">
        <v>200.0</v>
      </c>
      <c r="H1787" s="1" t="s">
        <v>966</v>
      </c>
      <c r="I1787" s="1" t="s">
        <v>967</v>
      </c>
      <c r="L1787" s="1">
        <v>0.0</v>
      </c>
      <c r="M1787" s="1">
        <v>0.0</v>
      </c>
      <c r="O1787" s="1">
        <v>0.0</v>
      </c>
      <c r="P1787" s="1">
        <v>0.0</v>
      </c>
      <c r="R1787" s="1">
        <v>0.0</v>
      </c>
      <c r="S1787" s="1">
        <v>0.0</v>
      </c>
      <c r="U1787" s="1">
        <v>0.0</v>
      </c>
      <c r="W1787" s="1">
        <v>0.0</v>
      </c>
      <c r="Y1787" s="1">
        <v>0.0</v>
      </c>
      <c r="AA1787" s="1">
        <v>0.0</v>
      </c>
      <c r="AC1787" s="1">
        <v>0.0</v>
      </c>
      <c r="AM1787" s="1">
        <v>11198.0</v>
      </c>
      <c r="AN1787" s="1">
        <v>11198.0</v>
      </c>
      <c r="AO1787" s="1">
        <v>11198.0</v>
      </c>
      <c r="AP1787" s="1">
        <v>4.29</v>
      </c>
      <c r="AR1787" s="1">
        <v>0.0</v>
      </c>
      <c r="AW1787" s="1">
        <v>0.0</v>
      </c>
      <c r="AX1787" s="1">
        <v>4.0</v>
      </c>
      <c r="AY1787" s="1">
        <v>4.0</v>
      </c>
      <c r="BA1787" s="1">
        <v>0.0</v>
      </c>
      <c r="BB1787" s="1">
        <v>0.0</v>
      </c>
      <c r="BC1787" s="1">
        <v>0.0</v>
      </c>
      <c r="BD1787" s="1">
        <v>0.0</v>
      </c>
      <c r="BE1787" s="1">
        <v>0.0</v>
      </c>
      <c r="BF1787" s="1">
        <v>0.0</v>
      </c>
      <c r="BG1787" s="1">
        <v>0.0</v>
      </c>
      <c r="BH1787" s="1">
        <v>0.0</v>
      </c>
      <c r="BI1787" s="1">
        <v>0.0</v>
      </c>
      <c r="BJ1787" s="1">
        <v>0.0</v>
      </c>
      <c r="BP1787" s="1">
        <v>0.272</v>
      </c>
      <c r="BQ1787" s="1" t="s">
        <v>5921</v>
      </c>
      <c r="BV1787" s="1">
        <v>1.1</v>
      </c>
      <c r="EQ1787" s="9" t="s">
        <v>5920</v>
      </c>
      <c r="ER1787" s="21">
        <v>46045.30122685185</v>
      </c>
    </row>
    <row r="1788">
      <c r="A1788" s="9" t="s">
        <v>5922</v>
      </c>
      <c r="B1788" s="20" t="str">
        <f>IFERROR(__xludf.DUMMYFUNCTION("REGEXREPLACE(A1788, ""^https?://[^/]+"", """")"),"/selling-in-a-2d-x-2s-world/")</f>
        <v>/selling-in-a-2d-x-2s-world/</v>
      </c>
      <c r="C1788" s="1" t="s">
        <v>5923</v>
      </c>
      <c r="F1788" s="1" t="s">
        <v>965</v>
      </c>
      <c r="G1788" s="1">
        <v>200.0</v>
      </c>
      <c r="H1788" s="1" t="s">
        <v>966</v>
      </c>
      <c r="I1788" s="1" t="s">
        <v>967</v>
      </c>
      <c r="K1788" s="1" t="s">
        <v>5924</v>
      </c>
      <c r="L1788" s="1">
        <v>51.0</v>
      </c>
      <c r="M1788" s="1">
        <v>441.0</v>
      </c>
      <c r="O1788" s="1">
        <v>0.0</v>
      </c>
      <c r="P1788" s="1">
        <v>0.0</v>
      </c>
      <c r="Q1788" s="1" t="s">
        <v>5925</v>
      </c>
      <c r="R1788" s="1">
        <v>169.0</v>
      </c>
      <c r="S1788" s="1">
        <v>1050.0</v>
      </c>
      <c r="U1788" s="1">
        <v>0.0</v>
      </c>
      <c r="V1788" s="1" t="s">
        <v>5923</v>
      </c>
      <c r="W1788" s="1">
        <v>26.0</v>
      </c>
      <c r="Y1788" s="1">
        <v>0.0</v>
      </c>
      <c r="AA1788" s="1">
        <v>0.0</v>
      </c>
      <c r="AC1788" s="1">
        <v>0.0</v>
      </c>
      <c r="AD1788" s="1" t="s">
        <v>971</v>
      </c>
      <c r="AG1788" s="9" t="s">
        <v>5922</v>
      </c>
      <c r="AM1788" s="1">
        <v>200913.0</v>
      </c>
      <c r="AN1788" s="1">
        <v>35832.0</v>
      </c>
      <c r="AO1788" s="1">
        <v>35832.0</v>
      </c>
      <c r="AP1788" s="1">
        <v>13.727</v>
      </c>
      <c r="AR1788" s="1">
        <v>1352.0</v>
      </c>
      <c r="AS1788" s="1">
        <v>195.0</v>
      </c>
      <c r="AT1788" s="1">
        <v>6.933</v>
      </c>
      <c r="AU1788" s="1">
        <v>65.889</v>
      </c>
      <c r="AV1788" s="1" t="s">
        <v>990</v>
      </c>
      <c r="AW1788" s="1">
        <v>5.27</v>
      </c>
      <c r="AX1788" s="1">
        <v>4.0</v>
      </c>
      <c r="AY1788" s="1">
        <v>1.0</v>
      </c>
      <c r="AZ1788" s="1">
        <v>1.0</v>
      </c>
      <c r="BA1788" s="1">
        <v>4.0</v>
      </c>
      <c r="BB1788" s="1">
        <v>3.0</v>
      </c>
      <c r="BC1788" s="1">
        <v>0.0</v>
      </c>
      <c r="BD1788" s="1">
        <v>0.4</v>
      </c>
      <c r="BE1788" s="1">
        <v>129.0</v>
      </c>
      <c r="BF1788" s="1">
        <v>47.0</v>
      </c>
      <c r="BG1788" s="1">
        <v>0.0</v>
      </c>
      <c r="BH1788" s="1">
        <v>16.0</v>
      </c>
      <c r="BI1788" s="1">
        <v>8.0</v>
      </c>
      <c r="BJ1788" s="1">
        <v>0.0</v>
      </c>
      <c r="BO1788" s="1" t="s">
        <v>5926</v>
      </c>
      <c r="BP1788" s="1">
        <v>1.0</v>
      </c>
      <c r="BU1788" s="1" t="s">
        <v>974</v>
      </c>
      <c r="BV1788" s="1">
        <v>1.1</v>
      </c>
      <c r="EQ1788" s="9" t="s">
        <v>5922</v>
      </c>
      <c r="ER1788" s="21">
        <v>46045.30122685185</v>
      </c>
    </row>
    <row r="1789">
      <c r="A1789" s="9" t="s">
        <v>5927</v>
      </c>
      <c r="B1789" s="20" t="str">
        <f>IFERROR(__xludf.DUMMYFUNCTION("REGEXREPLACE(A1789, ""^https?://[^/]+"", """")"),"/whats-the-secret-sauce-for-better-sales-processes/")</f>
        <v>/whats-the-secret-sauce-for-better-sales-processes/</v>
      </c>
      <c r="C1789" s="1" t="s">
        <v>5928</v>
      </c>
      <c r="D1789" s="1" t="s">
        <v>5929</v>
      </c>
      <c r="E1789" s="1" t="s">
        <v>5930</v>
      </c>
      <c r="F1789" s="1" t="s">
        <v>965</v>
      </c>
      <c r="G1789" s="1">
        <v>200.0</v>
      </c>
      <c r="H1789" s="1" t="s">
        <v>966</v>
      </c>
      <c r="I1789" s="1" t="s">
        <v>967</v>
      </c>
      <c r="K1789" s="1" t="s">
        <v>5931</v>
      </c>
      <c r="L1789" s="1">
        <v>76.0</v>
      </c>
      <c r="M1789" s="1">
        <v>684.0</v>
      </c>
      <c r="O1789" s="1">
        <v>0.0</v>
      </c>
      <c r="P1789" s="1">
        <v>0.0</v>
      </c>
      <c r="Q1789" s="1" t="s">
        <v>5932</v>
      </c>
      <c r="R1789" s="1">
        <v>136.0</v>
      </c>
      <c r="S1789" s="1">
        <v>860.0</v>
      </c>
      <c r="U1789" s="1">
        <v>0.0</v>
      </c>
      <c r="V1789" s="1" t="s">
        <v>5928</v>
      </c>
      <c r="W1789" s="1">
        <v>51.0</v>
      </c>
      <c r="Y1789" s="1">
        <v>0.0</v>
      </c>
      <c r="Z1789" s="1" t="s">
        <v>5929</v>
      </c>
      <c r="AA1789" s="1">
        <v>45.0</v>
      </c>
      <c r="AB1789" s="1" t="s">
        <v>5930</v>
      </c>
      <c r="AC1789" s="1">
        <v>51.0</v>
      </c>
      <c r="AD1789" s="1" t="s">
        <v>971</v>
      </c>
      <c r="AG1789" s="9" t="s">
        <v>5927</v>
      </c>
      <c r="AM1789" s="1">
        <v>200646.0</v>
      </c>
      <c r="AN1789" s="1">
        <v>35651.0</v>
      </c>
      <c r="AO1789" s="1">
        <v>35651.0</v>
      </c>
      <c r="AP1789" s="1">
        <v>13.657</v>
      </c>
      <c r="AR1789" s="1">
        <v>1255.0</v>
      </c>
      <c r="AS1789" s="1">
        <v>186.0</v>
      </c>
      <c r="AT1789" s="1">
        <v>6.747</v>
      </c>
      <c r="AU1789" s="1">
        <v>58.357</v>
      </c>
      <c r="AV1789" s="1" t="s">
        <v>972</v>
      </c>
      <c r="AW1789" s="1">
        <v>5.115</v>
      </c>
      <c r="AX1789" s="1">
        <v>4.0</v>
      </c>
      <c r="AY1789" s="1">
        <v>1.0</v>
      </c>
      <c r="AZ1789" s="1">
        <v>1.0</v>
      </c>
      <c r="BA1789" s="1">
        <v>4.0</v>
      </c>
      <c r="BB1789" s="1">
        <v>3.0</v>
      </c>
      <c r="BC1789" s="1">
        <v>0.0</v>
      </c>
      <c r="BD1789" s="1">
        <v>0.4</v>
      </c>
      <c r="BE1789" s="1">
        <v>131.0</v>
      </c>
      <c r="BF1789" s="1">
        <v>49.0</v>
      </c>
      <c r="BG1789" s="1">
        <v>0.0</v>
      </c>
      <c r="BH1789" s="1">
        <v>17.0</v>
      </c>
      <c r="BI1789" s="1">
        <v>9.0</v>
      </c>
      <c r="BJ1789" s="1">
        <v>0.0</v>
      </c>
      <c r="BO1789" s="1" t="s">
        <v>5933</v>
      </c>
      <c r="BP1789" s="1">
        <v>1.028</v>
      </c>
      <c r="BU1789" s="1" t="s">
        <v>974</v>
      </c>
      <c r="BV1789" s="1">
        <v>1.1</v>
      </c>
      <c r="EQ1789" s="9" t="s">
        <v>5927</v>
      </c>
      <c r="ER1789" s="21">
        <v>46045.30122685185</v>
      </c>
    </row>
    <row r="1790">
      <c r="A1790" s="9" t="s">
        <v>5934</v>
      </c>
      <c r="B1790" s="20" t="str">
        <f>IFERROR(__xludf.DUMMYFUNCTION("REGEXREPLACE(A1790, ""^https?://[^/]+"", """")"),"/wp-content/uploads/2017/03/Sales_Consulting_101-300x169.jpg")</f>
        <v>/wp-content/uploads/2017/03/Sales_Consulting_101-300x169.jpg</v>
      </c>
      <c r="F1790" s="1" t="s">
        <v>1004</v>
      </c>
      <c r="G1790" s="1">
        <v>200.0</v>
      </c>
      <c r="H1790" s="1" t="s">
        <v>966</v>
      </c>
      <c r="I1790" s="1" t="s">
        <v>967</v>
      </c>
      <c r="L1790" s="1">
        <v>0.0</v>
      </c>
      <c r="M1790" s="1">
        <v>0.0</v>
      </c>
      <c r="O1790" s="1">
        <v>0.0</v>
      </c>
      <c r="P1790" s="1">
        <v>0.0</v>
      </c>
      <c r="R1790" s="1">
        <v>0.0</v>
      </c>
      <c r="S1790" s="1">
        <v>0.0</v>
      </c>
      <c r="U1790" s="1">
        <v>0.0</v>
      </c>
      <c r="W1790" s="1">
        <v>0.0</v>
      </c>
      <c r="Y1790" s="1">
        <v>0.0</v>
      </c>
      <c r="AA1790" s="1">
        <v>0.0</v>
      </c>
      <c r="AC1790" s="1">
        <v>0.0</v>
      </c>
      <c r="AM1790" s="1">
        <v>12414.0</v>
      </c>
      <c r="AN1790" s="1">
        <v>12414.0</v>
      </c>
      <c r="AO1790" s="1">
        <v>12414.0</v>
      </c>
      <c r="AP1790" s="1">
        <v>4.756</v>
      </c>
      <c r="AR1790" s="1">
        <v>0.0</v>
      </c>
      <c r="AW1790" s="1">
        <v>0.0</v>
      </c>
      <c r="AX1790" s="1">
        <v>4.0</v>
      </c>
      <c r="AY1790" s="1">
        <v>4.0</v>
      </c>
      <c r="BA1790" s="1">
        <v>0.0</v>
      </c>
      <c r="BB1790" s="1">
        <v>0.0</v>
      </c>
      <c r="BC1790" s="1">
        <v>0.0</v>
      </c>
      <c r="BD1790" s="1">
        <v>0.0</v>
      </c>
      <c r="BE1790" s="1">
        <v>0.0</v>
      </c>
      <c r="BF1790" s="1">
        <v>0.0</v>
      </c>
      <c r="BG1790" s="1">
        <v>0.0</v>
      </c>
      <c r="BH1790" s="1">
        <v>0.0</v>
      </c>
      <c r="BI1790" s="1">
        <v>0.0</v>
      </c>
      <c r="BJ1790" s="1">
        <v>0.0</v>
      </c>
      <c r="BP1790" s="1">
        <v>0.267</v>
      </c>
      <c r="BQ1790" s="1" t="s">
        <v>5935</v>
      </c>
      <c r="BV1790" s="1">
        <v>1.1</v>
      </c>
      <c r="EQ1790" s="9" t="s">
        <v>5934</v>
      </c>
      <c r="ER1790" s="21">
        <v>46045.30123842593</v>
      </c>
    </row>
    <row r="1791">
      <c r="A1791" s="9" t="s">
        <v>5936</v>
      </c>
      <c r="B1791" s="20" t="str">
        <f>IFERROR(__xludf.DUMMYFUNCTION("REGEXREPLACE(A1791, ""^https?://[^/]+"", """")"),"/revenue-growth/")</f>
        <v>/revenue-growth/</v>
      </c>
      <c r="C1791" s="1" t="s">
        <v>5937</v>
      </c>
      <c r="F1791" s="1" t="s">
        <v>965</v>
      </c>
      <c r="G1791" s="1">
        <v>200.0</v>
      </c>
      <c r="H1791" s="1" t="s">
        <v>966</v>
      </c>
      <c r="I1791" s="1" t="s">
        <v>967</v>
      </c>
      <c r="K1791" s="1" t="s">
        <v>5938</v>
      </c>
      <c r="L1791" s="1">
        <v>45.0</v>
      </c>
      <c r="M1791" s="1">
        <v>425.0</v>
      </c>
      <c r="O1791" s="1">
        <v>0.0</v>
      </c>
      <c r="P1791" s="1">
        <v>0.0</v>
      </c>
      <c r="Q1791" s="1" t="s">
        <v>5939</v>
      </c>
      <c r="R1791" s="1">
        <v>146.0</v>
      </c>
      <c r="S1791" s="1">
        <v>902.0</v>
      </c>
      <c r="U1791" s="1">
        <v>0.0</v>
      </c>
      <c r="V1791" s="1" t="s">
        <v>5937</v>
      </c>
      <c r="W1791" s="1">
        <v>81.0</v>
      </c>
      <c r="Y1791" s="1">
        <v>0.0</v>
      </c>
      <c r="AA1791" s="1">
        <v>0.0</v>
      </c>
      <c r="AC1791" s="1">
        <v>0.0</v>
      </c>
      <c r="AD1791" s="1" t="s">
        <v>971</v>
      </c>
      <c r="AG1791" s="9" t="s">
        <v>5936</v>
      </c>
      <c r="AM1791" s="1">
        <v>202093.0</v>
      </c>
      <c r="AN1791" s="1">
        <v>36255.0</v>
      </c>
      <c r="AO1791" s="1">
        <v>36255.0</v>
      </c>
      <c r="AP1791" s="1">
        <v>13.889</v>
      </c>
      <c r="AR1791" s="1">
        <v>1520.0</v>
      </c>
      <c r="AS1791" s="1">
        <v>220.0</v>
      </c>
      <c r="AT1791" s="1">
        <v>6.909</v>
      </c>
      <c r="AU1791" s="1">
        <v>71.698</v>
      </c>
      <c r="AV1791" s="1" t="s">
        <v>1264</v>
      </c>
      <c r="AW1791" s="1">
        <v>5.583</v>
      </c>
      <c r="AX1791" s="1">
        <v>4.0</v>
      </c>
      <c r="AY1791" s="1">
        <v>1.0</v>
      </c>
      <c r="AZ1791" s="1">
        <v>1.0</v>
      </c>
      <c r="BA1791" s="1">
        <v>5.0</v>
      </c>
      <c r="BB1791" s="1">
        <v>2.0</v>
      </c>
      <c r="BC1791" s="1">
        <v>0.0</v>
      </c>
      <c r="BD1791" s="1">
        <v>0.27</v>
      </c>
      <c r="BE1791" s="1">
        <v>133.0</v>
      </c>
      <c r="BF1791" s="1">
        <v>49.0</v>
      </c>
      <c r="BG1791" s="1">
        <v>0.0</v>
      </c>
      <c r="BH1791" s="1">
        <v>16.0</v>
      </c>
      <c r="BI1791" s="1">
        <v>8.0</v>
      </c>
      <c r="BJ1791" s="1">
        <v>0.0</v>
      </c>
      <c r="BO1791" s="1" t="s">
        <v>5940</v>
      </c>
      <c r="BP1791" s="1">
        <v>0.965</v>
      </c>
      <c r="BU1791" s="1" t="s">
        <v>974</v>
      </c>
      <c r="BV1791" s="1">
        <v>1.1</v>
      </c>
      <c r="EQ1791" s="9" t="s">
        <v>5936</v>
      </c>
      <c r="ER1791" s="21">
        <v>46045.30122685185</v>
      </c>
    </row>
    <row r="1792">
      <c r="A1792" s="9" t="s">
        <v>5941</v>
      </c>
      <c r="B1792" s="20" t="str">
        <f>IFERROR(__xludf.DUMMYFUNCTION("REGEXREPLACE(A1792, ""^https?://[^/]+"", """")"),"/wp-content/uploads/2019/02/should-you-increase-your-sales-price-300x300.jpg")</f>
        <v>/wp-content/uploads/2019/02/should-you-increase-your-sales-price-300x300.jpg</v>
      </c>
      <c r="F1792" s="1" t="s">
        <v>1004</v>
      </c>
      <c r="G1792" s="1">
        <v>200.0</v>
      </c>
      <c r="H1792" s="1" t="s">
        <v>966</v>
      </c>
      <c r="I1792" s="1" t="s">
        <v>967</v>
      </c>
      <c r="L1792" s="1">
        <v>0.0</v>
      </c>
      <c r="M1792" s="1">
        <v>0.0</v>
      </c>
      <c r="O1792" s="1">
        <v>0.0</v>
      </c>
      <c r="P1792" s="1">
        <v>0.0</v>
      </c>
      <c r="R1792" s="1">
        <v>0.0</v>
      </c>
      <c r="S1792" s="1">
        <v>0.0</v>
      </c>
      <c r="U1792" s="1">
        <v>0.0</v>
      </c>
      <c r="W1792" s="1">
        <v>0.0</v>
      </c>
      <c r="Y1792" s="1">
        <v>0.0</v>
      </c>
      <c r="AA1792" s="1">
        <v>0.0</v>
      </c>
      <c r="AC1792" s="1">
        <v>0.0</v>
      </c>
      <c r="AM1792" s="1">
        <v>14529.0</v>
      </c>
      <c r="AN1792" s="1">
        <v>14529.0</v>
      </c>
      <c r="AO1792" s="1">
        <v>14529.0</v>
      </c>
      <c r="AP1792" s="1">
        <v>5.566</v>
      </c>
      <c r="AR1792" s="1">
        <v>0.0</v>
      </c>
      <c r="AW1792" s="1">
        <v>0.0</v>
      </c>
      <c r="AX1792" s="1">
        <v>4.0</v>
      </c>
      <c r="AY1792" s="1">
        <v>4.0</v>
      </c>
      <c r="BA1792" s="1">
        <v>0.0</v>
      </c>
      <c r="BB1792" s="1">
        <v>0.0</v>
      </c>
      <c r="BC1792" s="1">
        <v>0.0</v>
      </c>
      <c r="BD1792" s="1">
        <v>0.0</v>
      </c>
      <c r="BE1792" s="1">
        <v>0.0</v>
      </c>
      <c r="BF1792" s="1">
        <v>0.0</v>
      </c>
      <c r="BG1792" s="1">
        <v>0.0</v>
      </c>
      <c r="BH1792" s="1">
        <v>0.0</v>
      </c>
      <c r="BI1792" s="1">
        <v>0.0</v>
      </c>
      <c r="BJ1792" s="1">
        <v>0.0</v>
      </c>
      <c r="BP1792" s="1">
        <v>0.274</v>
      </c>
      <c r="BQ1792" s="1" t="s">
        <v>5942</v>
      </c>
      <c r="BV1792" s="1">
        <v>1.1</v>
      </c>
      <c r="EQ1792" s="9" t="s">
        <v>5941</v>
      </c>
      <c r="ER1792" s="21">
        <v>46045.30123842593</v>
      </c>
    </row>
    <row r="1793">
      <c r="A1793" s="9" t="s">
        <v>5943</v>
      </c>
      <c r="B1793" s="20" t="str">
        <f>IFERROR(__xludf.DUMMYFUNCTION("REGEXREPLACE(A1793, ""^https?://[^/]+"", """")"),"/whats-wallet-time-fund-sales-tool-kit/")</f>
        <v>/whats-wallet-time-fund-sales-tool-kit/</v>
      </c>
      <c r="C1793" s="1" t="s">
        <v>5944</v>
      </c>
      <c r="F1793" s="1" t="s">
        <v>965</v>
      </c>
      <c r="G1793" s="1">
        <v>200.0</v>
      </c>
      <c r="H1793" s="1" t="s">
        <v>966</v>
      </c>
      <c r="I1793" s="1" t="s">
        <v>1214</v>
      </c>
      <c r="J1793" s="1" t="s">
        <v>1215</v>
      </c>
      <c r="K1793" s="1" t="s">
        <v>5945</v>
      </c>
      <c r="L1793" s="1">
        <v>82.0</v>
      </c>
      <c r="M1793" s="1">
        <v>722.0</v>
      </c>
      <c r="O1793" s="1">
        <v>0.0</v>
      </c>
      <c r="P1793" s="1">
        <v>0.0</v>
      </c>
      <c r="Q1793" s="1" t="s">
        <v>5946</v>
      </c>
      <c r="R1793" s="1">
        <v>137.0</v>
      </c>
      <c r="S1793" s="1">
        <v>827.0</v>
      </c>
      <c r="U1793" s="1">
        <v>0.0</v>
      </c>
      <c r="V1793" s="1" t="s">
        <v>5944</v>
      </c>
      <c r="W1793" s="1">
        <v>57.0</v>
      </c>
      <c r="Y1793" s="1">
        <v>0.0</v>
      </c>
      <c r="AA1793" s="1">
        <v>0.0</v>
      </c>
      <c r="AC1793" s="1">
        <v>0.0</v>
      </c>
      <c r="AD1793" s="1" t="s">
        <v>971</v>
      </c>
      <c r="AG1793" s="9" t="s">
        <v>5947</v>
      </c>
      <c r="AM1793" s="1">
        <v>197336.0</v>
      </c>
      <c r="AN1793" s="1">
        <v>35111.0</v>
      </c>
      <c r="AO1793" s="1">
        <v>35111.0</v>
      </c>
      <c r="AP1793" s="1">
        <v>13.45</v>
      </c>
      <c r="AR1793" s="1">
        <v>1141.0</v>
      </c>
      <c r="AS1793" s="1">
        <v>168.0</v>
      </c>
      <c r="AT1793" s="1">
        <v>6.792</v>
      </c>
      <c r="AU1793" s="1">
        <v>65.516</v>
      </c>
      <c r="AV1793" s="1" t="s">
        <v>990</v>
      </c>
      <c r="AW1793" s="1">
        <v>4.723</v>
      </c>
      <c r="AX1793" s="1">
        <v>4.0</v>
      </c>
      <c r="AY1793" s="1">
        <v>1.0</v>
      </c>
      <c r="BA1793" s="1">
        <v>5.0</v>
      </c>
      <c r="BB1793" s="1">
        <v>2.0</v>
      </c>
      <c r="BC1793" s="1">
        <v>0.0</v>
      </c>
      <c r="BD1793" s="1">
        <v>0.27</v>
      </c>
      <c r="BE1793" s="1">
        <v>130.0</v>
      </c>
      <c r="BF1793" s="1">
        <v>47.0</v>
      </c>
      <c r="BG1793" s="1">
        <v>0.0</v>
      </c>
      <c r="BH1793" s="1">
        <v>16.0</v>
      </c>
      <c r="BI1793" s="1">
        <v>8.0</v>
      </c>
      <c r="BJ1793" s="1">
        <v>0.0</v>
      </c>
      <c r="BO1793" s="1" t="s">
        <v>5948</v>
      </c>
      <c r="BP1793" s="1">
        <v>1.054</v>
      </c>
      <c r="BU1793" s="1" t="s">
        <v>974</v>
      </c>
      <c r="BV1793" s="1">
        <v>1.1</v>
      </c>
      <c r="EQ1793" s="9" t="s">
        <v>5943</v>
      </c>
      <c r="ER1793" s="21">
        <v>46045.30123842593</v>
      </c>
    </row>
    <row r="1794">
      <c r="A1794" s="9" t="s">
        <v>5949</v>
      </c>
      <c r="B1794" s="20" t="str">
        <f>IFERROR(__xludf.DUMMYFUNCTION("REGEXREPLACE(A1794, ""^https?://[^/]+"", """")"),"/compensation-plans-performance-management/")</f>
        <v>/compensation-plans-performance-management/</v>
      </c>
      <c r="C1794" s="1" t="s">
        <v>5950</v>
      </c>
      <c r="F1794" s="1" t="s">
        <v>965</v>
      </c>
      <c r="G1794" s="1">
        <v>200.0</v>
      </c>
      <c r="H1794" s="1" t="s">
        <v>966</v>
      </c>
      <c r="I1794" s="1" t="s">
        <v>967</v>
      </c>
      <c r="K1794" s="1" t="s">
        <v>5951</v>
      </c>
      <c r="L1794" s="1">
        <v>65.0</v>
      </c>
      <c r="M1794" s="1">
        <v>640.0</v>
      </c>
      <c r="O1794" s="1">
        <v>0.0</v>
      </c>
      <c r="P1794" s="1">
        <v>0.0</v>
      </c>
      <c r="Q1794" s="1" t="s">
        <v>5952</v>
      </c>
      <c r="R1794" s="1">
        <v>134.0</v>
      </c>
      <c r="S1794" s="1">
        <v>824.0</v>
      </c>
      <c r="U1794" s="1">
        <v>0.0</v>
      </c>
      <c r="V1794" s="1" t="s">
        <v>5950</v>
      </c>
      <c r="W1794" s="1">
        <v>45.0</v>
      </c>
      <c r="Y1794" s="1">
        <v>0.0</v>
      </c>
      <c r="AA1794" s="1">
        <v>0.0</v>
      </c>
      <c r="AC1794" s="1">
        <v>0.0</v>
      </c>
      <c r="AD1794" s="1" t="s">
        <v>971</v>
      </c>
      <c r="AG1794" s="9" t="s">
        <v>5949</v>
      </c>
      <c r="AM1794" s="1">
        <v>199354.0</v>
      </c>
      <c r="AN1794" s="1">
        <v>35144.0</v>
      </c>
      <c r="AO1794" s="1">
        <v>35144.0</v>
      </c>
      <c r="AP1794" s="1">
        <v>13.463</v>
      </c>
      <c r="AR1794" s="1">
        <v>1079.0</v>
      </c>
      <c r="AS1794" s="1">
        <v>164.0</v>
      </c>
      <c r="AT1794" s="1">
        <v>6.579</v>
      </c>
      <c r="AU1794" s="1">
        <v>57.145</v>
      </c>
      <c r="AV1794" s="1" t="s">
        <v>972</v>
      </c>
      <c r="AW1794" s="1">
        <v>4.6</v>
      </c>
      <c r="AX1794" s="1">
        <v>4.0</v>
      </c>
      <c r="AY1794" s="1">
        <v>1.0</v>
      </c>
      <c r="AZ1794" s="1">
        <v>1.0</v>
      </c>
      <c r="BA1794" s="1">
        <v>5.0</v>
      </c>
      <c r="BB1794" s="1">
        <v>2.0</v>
      </c>
      <c r="BC1794" s="1">
        <v>0.0</v>
      </c>
      <c r="BD1794" s="1">
        <v>0.27</v>
      </c>
      <c r="BE1794" s="1">
        <v>131.0</v>
      </c>
      <c r="BF1794" s="1">
        <v>49.0</v>
      </c>
      <c r="BG1794" s="1">
        <v>0.0</v>
      </c>
      <c r="BH1794" s="1">
        <v>16.0</v>
      </c>
      <c r="BI1794" s="1">
        <v>8.0</v>
      </c>
      <c r="BJ1794" s="1">
        <v>0.0</v>
      </c>
      <c r="BO1794" s="1" t="s">
        <v>5953</v>
      </c>
      <c r="BP1794" s="1">
        <v>1.053</v>
      </c>
      <c r="BU1794" s="1" t="s">
        <v>974</v>
      </c>
      <c r="BV1794" s="1">
        <v>1.1</v>
      </c>
      <c r="EQ1794" s="9" t="s">
        <v>5949</v>
      </c>
      <c r="ER1794" s="21">
        <v>46045.30123842593</v>
      </c>
    </row>
    <row r="1795">
      <c r="A1795" s="9" t="s">
        <v>5954</v>
      </c>
      <c r="B1795" s="20" t="str">
        <f>IFERROR(__xludf.DUMMYFUNCTION("REGEXREPLACE(A1795, ""^https?://[^/]+"", """")"),"/wp-content/uploads/2019/08/blog-image_shutterstock_1254620098-300x200.jpg")</f>
        <v>/wp-content/uploads/2019/08/blog-image_shutterstock_1254620098-300x200.jpg</v>
      </c>
      <c r="F1795" s="1" t="s">
        <v>1004</v>
      </c>
      <c r="G1795" s="1">
        <v>200.0</v>
      </c>
      <c r="H1795" s="1" t="s">
        <v>966</v>
      </c>
      <c r="I1795" s="1" t="s">
        <v>967</v>
      </c>
      <c r="L1795" s="1">
        <v>0.0</v>
      </c>
      <c r="M1795" s="1">
        <v>0.0</v>
      </c>
      <c r="O1795" s="1">
        <v>0.0</v>
      </c>
      <c r="P1795" s="1">
        <v>0.0</v>
      </c>
      <c r="R1795" s="1">
        <v>0.0</v>
      </c>
      <c r="S1795" s="1">
        <v>0.0</v>
      </c>
      <c r="U1795" s="1">
        <v>0.0</v>
      </c>
      <c r="W1795" s="1">
        <v>0.0</v>
      </c>
      <c r="Y1795" s="1">
        <v>0.0</v>
      </c>
      <c r="AA1795" s="1">
        <v>0.0</v>
      </c>
      <c r="AC1795" s="1">
        <v>0.0</v>
      </c>
      <c r="AM1795" s="1">
        <v>11334.0</v>
      </c>
      <c r="AN1795" s="1">
        <v>11334.0</v>
      </c>
      <c r="AO1795" s="1">
        <v>11334.0</v>
      </c>
      <c r="AP1795" s="1">
        <v>4.342</v>
      </c>
      <c r="AR1795" s="1">
        <v>0.0</v>
      </c>
      <c r="AW1795" s="1">
        <v>0.0</v>
      </c>
      <c r="AX1795" s="1">
        <v>4.0</v>
      </c>
      <c r="AY1795" s="1">
        <v>4.0</v>
      </c>
      <c r="BA1795" s="1">
        <v>0.0</v>
      </c>
      <c r="BB1795" s="1">
        <v>0.0</v>
      </c>
      <c r="BC1795" s="1">
        <v>0.0</v>
      </c>
      <c r="BD1795" s="1">
        <v>0.0</v>
      </c>
      <c r="BE1795" s="1">
        <v>0.0</v>
      </c>
      <c r="BF1795" s="1">
        <v>0.0</v>
      </c>
      <c r="BG1795" s="1">
        <v>0.0</v>
      </c>
      <c r="BH1795" s="1">
        <v>0.0</v>
      </c>
      <c r="BI1795" s="1">
        <v>0.0</v>
      </c>
      <c r="BJ1795" s="1">
        <v>0.0</v>
      </c>
      <c r="BP1795" s="1">
        <v>0.26</v>
      </c>
      <c r="BQ1795" s="1" t="s">
        <v>5955</v>
      </c>
      <c r="BV1795" s="1">
        <v>1.1</v>
      </c>
      <c r="EQ1795" s="9" t="s">
        <v>5954</v>
      </c>
      <c r="ER1795" s="21">
        <v>46045.30125</v>
      </c>
    </row>
    <row r="1796">
      <c r="A1796" s="9" t="s">
        <v>5956</v>
      </c>
      <c r="B1796" s="20" t="str">
        <f>IFERROR(__xludf.DUMMYFUNCTION("REGEXREPLACE(A1796, ""^https?://[^/]+"", """")"),"/how-to-define-your-ideal-salesperson-and-avoid-making-a-hiring-mistake/")</f>
        <v>/how-to-define-your-ideal-salesperson-and-avoid-making-a-hiring-mistake/</v>
      </c>
      <c r="C1796" s="1" t="s">
        <v>5957</v>
      </c>
      <c r="F1796" s="1" t="s">
        <v>965</v>
      </c>
      <c r="G1796" s="1">
        <v>200.0</v>
      </c>
      <c r="H1796" s="1" t="s">
        <v>966</v>
      </c>
      <c r="I1796" s="1" t="s">
        <v>967</v>
      </c>
      <c r="K1796" s="1" t="s">
        <v>5958</v>
      </c>
      <c r="L1796" s="1">
        <v>95.0</v>
      </c>
      <c r="M1796" s="1">
        <v>863.0</v>
      </c>
      <c r="O1796" s="1">
        <v>0.0</v>
      </c>
      <c r="P1796" s="1">
        <v>0.0</v>
      </c>
      <c r="Q1796" s="1" t="s">
        <v>5959</v>
      </c>
      <c r="R1796" s="1">
        <v>155.0</v>
      </c>
      <c r="S1796" s="1">
        <v>949.0</v>
      </c>
      <c r="U1796" s="1">
        <v>0.0</v>
      </c>
      <c r="V1796" s="1" t="s">
        <v>5957</v>
      </c>
      <c r="W1796" s="1">
        <v>70.0</v>
      </c>
      <c r="Y1796" s="1">
        <v>0.0</v>
      </c>
      <c r="AA1796" s="1">
        <v>0.0</v>
      </c>
      <c r="AC1796" s="1">
        <v>0.0</v>
      </c>
      <c r="AD1796" s="1" t="s">
        <v>971</v>
      </c>
      <c r="AG1796" s="9" t="s">
        <v>5956</v>
      </c>
      <c r="AM1796" s="1">
        <v>199349.0</v>
      </c>
      <c r="AN1796" s="1">
        <v>35512.0</v>
      </c>
      <c r="AO1796" s="1">
        <v>35512.0</v>
      </c>
      <c r="AP1796" s="1">
        <v>13.604</v>
      </c>
      <c r="AR1796" s="1">
        <v>1169.0</v>
      </c>
      <c r="AS1796" s="1">
        <v>195.0</v>
      </c>
      <c r="AT1796" s="1">
        <v>5.995</v>
      </c>
      <c r="AU1796" s="1">
        <v>59.774</v>
      </c>
      <c r="AV1796" s="1" t="s">
        <v>972</v>
      </c>
      <c r="AW1796" s="1">
        <v>4.891</v>
      </c>
      <c r="AX1796" s="1">
        <v>4.0</v>
      </c>
      <c r="AY1796" s="1">
        <v>1.0</v>
      </c>
      <c r="AZ1796" s="1">
        <v>1.0</v>
      </c>
      <c r="BA1796" s="1">
        <v>2.0</v>
      </c>
      <c r="BB1796" s="1">
        <v>1.0</v>
      </c>
      <c r="BC1796" s="1">
        <v>0.0</v>
      </c>
      <c r="BD1796" s="1">
        <v>0.13</v>
      </c>
      <c r="BE1796" s="1">
        <v>130.0</v>
      </c>
      <c r="BF1796" s="1">
        <v>48.0</v>
      </c>
      <c r="BG1796" s="1">
        <v>0.0</v>
      </c>
      <c r="BH1796" s="1">
        <v>18.0</v>
      </c>
      <c r="BI1796" s="1">
        <v>9.0</v>
      </c>
      <c r="BJ1796" s="1">
        <v>0.0</v>
      </c>
      <c r="BO1796" s="1" t="s">
        <v>5960</v>
      </c>
      <c r="BP1796" s="1">
        <v>1.026</v>
      </c>
      <c r="BU1796" s="1" t="s">
        <v>974</v>
      </c>
      <c r="BV1796" s="1">
        <v>1.1</v>
      </c>
      <c r="EQ1796" s="9" t="s">
        <v>5956</v>
      </c>
      <c r="ER1796" s="21">
        <v>46045.30123842593</v>
      </c>
    </row>
    <row r="1797">
      <c r="A1797" s="9" t="s">
        <v>5961</v>
      </c>
      <c r="B1797" s="20" t="str">
        <f>IFERROR(__xludf.DUMMYFUNCTION("REGEXREPLACE(A1797, ""^https?://[^/]+"", """")"),"/wp-content/uploads/2019/08/https___specials-images.forbesimg.com_dam_imageserve_1041618784_960x0-300x200.jpg")</f>
        <v>/wp-content/uploads/2019/08/https___specials-images.forbesimg.com_dam_imageserve_1041618784_960x0-300x200.jpg</v>
      </c>
      <c r="F1797" s="1" t="s">
        <v>1004</v>
      </c>
      <c r="G1797" s="1">
        <v>200.0</v>
      </c>
      <c r="H1797" s="1" t="s">
        <v>966</v>
      </c>
      <c r="I1797" s="1" t="s">
        <v>967</v>
      </c>
      <c r="L1797" s="1">
        <v>0.0</v>
      </c>
      <c r="M1797" s="1">
        <v>0.0</v>
      </c>
      <c r="O1797" s="1">
        <v>0.0</v>
      </c>
      <c r="P1797" s="1">
        <v>0.0</v>
      </c>
      <c r="R1797" s="1">
        <v>0.0</v>
      </c>
      <c r="S1797" s="1">
        <v>0.0</v>
      </c>
      <c r="U1797" s="1">
        <v>0.0</v>
      </c>
      <c r="W1797" s="1">
        <v>0.0</v>
      </c>
      <c r="Y1797" s="1">
        <v>0.0</v>
      </c>
      <c r="AA1797" s="1">
        <v>0.0</v>
      </c>
      <c r="AC1797" s="1">
        <v>0.0</v>
      </c>
      <c r="AM1797" s="1">
        <v>12951.0</v>
      </c>
      <c r="AN1797" s="1">
        <v>12951.0</v>
      </c>
      <c r="AO1797" s="1">
        <v>12951.0</v>
      </c>
      <c r="AP1797" s="1">
        <v>4.961</v>
      </c>
      <c r="AR1797" s="1">
        <v>0.0</v>
      </c>
      <c r="AW1797" s="1">
        <v>0.0</v>
      </c>
      <c r="AX1797" s="1">
        <v>4.0</v>
      </c>
      <c r="AY1797" s="1">
        <v>4.0</v>
      </c>
      <c r="BA1797" s="1">
        <v>0.0</v>
      </c>
      <c r="BB1797" s="1">
        <v>0.0</v>
      </c>
      <c r="BC1797" s="1">
        <v>0.0</v>
      </c>
      <c r="BD1797" s="1">
        <v>0.0</v>
      </c>
      <c r="BE1797" s="1">
        <v>0.0</v>
      </c>
      <c r="BF1797" s="1">
        <v>0.0</v>
      </c>
      <c r="BG1797" s="1">
        <v>0.0</v>
      </c>
      <c r="BH1797" s="1">
        <v>0.0</v>
      </c>
      <c r="BI1797" s="1">
        <v>0.0</v>
      </c>
      <c r="BJ1797" s="1">
        <v>0.0</v>
      </c>
      <c r="BP1797" s="1">
        <v>0.265</v>
      </c>
      <c r="BQ1797" s="1" t="s">
        <v>5962</v>
      </c>
      <c r="BV1797" s="1">
        <v>1.1</v>
      </c>
      <c r="EQ1797" s="9" t="s">
        <v>5961</v>
      </c>
      <c r="ER1797" s="21">
        <v>46045.30125</v>
      </c>
    </row>
    <row r="1798">
      <c r="A1798" s="9" t="s">
        <v>5963</v>
      </c>
      <c r="B1798" s="20" t="str">
        <f>IFERROR(__xludf.DUMMYFUNCTION("REGEXREPLACE(A1798, ""^https?://[^/]+"", """")"),"/how-to-grow-your-business-by-building-maintaining-and-improving-customer-relationships/")</f>
        <v>/how-to-grow-your-business-by-building-maintaining-and-improving-customer-relationships/</v>
      </c>
      <c r="C1798" s="1" t="s">
        <v>5964</v>
      </c>
      <c r="D1798" s="1" t="s">
        <v>5965</v>
      </c>
      <c r="E1798" s="1" t="s">
        <v>5966</v>
      </c>
      <c r="F1798" s="1" t="s">
        <v>965</v>
      </c>
      <c r="G1798" s="1">
        <v>200.0</v>
      </c>
      <c r="H1798" s="1" t="s">
        <v>966</v>
      </c>
      <c r="I1798" s="1" t="s">
        <v>967</v>
      </c>
      <c r="K1798" s="1" t="s">
        <v>5967</v>
      </c>
      <c r="L1798" s="1">
        <v>112.0</v>
      </c>
      <c r="M1798" s="1">
        <v>1026.0</v>
      </c>
      <c r="O1798" s="1">
        <v>0.0</v>
      </c>
      <c r="P1798" s="1">
        <v>0.0</v>
      </c>
      <c r="Q1798" s="1" t="s">
        <v>5968</v>
      </c>
      <c r="R1798" s="1">
        <v>147.0</v>
      </c>
      <c r="S1798" s="1">
        <v>915.0</v>
      </c>
      <c r="U1798" s="1">
        <v>0.0</v>
      </c>
      <c r="V1798" s="1" t="s">
        <v>5964</v>
      </c>
      <c r="W1798" s="1">
        <v>87.0</v>
      </c>
      <c r="Y1798" s="1">
        <v>0.0</v>
      </c>
      <c r="Z1798" s="1" t="s">
        <v>5965</v>
      </c>
      <c r="AA1798" s="1">
        <v>47.0</v>
      </c>
      <c r="AB1798" s="1" t="s">
        <v>5966</v>
      </c>
      <c r="AC1798" s="1">
        <v>42.0</v>
      </c>
      <c r="AD1798" s="1" t="s">
        <v>971</v>
      </c>
      <c r="AG1798" s="9" t="s">
        <v>5963</v>
      </c>
      <c r="AM1798" s="1">
        <v>203652.0</v>
      </c>
      <c r="AN1798" s="1">
        <v>36807.0</v>
      </c>
      <c r="AO1798" s="1">
        <v>36807.0</v>
      </c>
      <c r="AP1798" s="1">
        <v>14.1</v>
      </c>
      <c r="AR1798" s="1">
        <v>1563.0</v>
      </c>
      <c r="AS1798" s="1">
        <v>237.0</v>
      </c>
      <c r="AT1798" s="1">
        <v>6.595</v>
      </c>
      <c r="AU1798" s="1">
        <v>60.603</v>
      </c>
      <c r="AV1798" s="1" t="s">
        <v>990</v>
      </c>
      <c r="AW1798" s="1">
        <v>5.971</v>
      </c>
      <c r="AX1798" s="1">
        <v>4.0</v>
      </c>
      <c r="AY1798" s="1">
        <v>1.0</v>
      </c>
      <c r="AZ1798" s="1">
        <v>1.0</v>
      </c>
      <c r="BA1798" s="1">
        <v>3.0</v>
      </c>
      <c r="BB1798" s="1">
        <v>2.0</v>
      </c>
      <c r="BC1798" s="1">
        <v>0.0</v>
      </c>
      <c r="BD1798" s="1">
        <v>0.27</v>
      </c>
      <c r="BE1798" s="1">
        <v>131.0</v>
      </c>
      <c r="BF1798" s="1">
        <v>49.0</v>
      </c>
      <c r="BG1798" s="1">
        <v>0.0</v>
      </c>
      <c r="BH1798" s="1">
        <v>18.0</v>
      </c>
      <c r="BI1798" s="1">
        <v>10.0</v>
      </c>
      <c r="BJ1798" s="1">
        <v>0.0</v>
      </c>
      <c r="BO1798" s="1" t="s">
        <v>5969</v>
      </c>
      <c r="BP1798" s="1">
        <v>0.986</v>
      </c>
      <c r="BU1798" s="1" t="s">
        <v>974</v>
      </c>
      <c r="BV1798" s="1">
        <v>1.1</v>
      </c>
      <c r="EQ1798" s="9" t="s">
        <v>5963</v>
      </c>
      <c r="ER1798" s="21">
        <v>46045.30123842593</v>
      </c>
    </row>
    <row r="1799">
      <c r="A1799" s="9" t="s">
        <v>5970</v>
      </c>
      <c r="B1799" s="20" t="str">
        <f>IFERROR(__xludf.DUMMYFUNCTION("REGEXREPLACE(A1799, ""^https?://[^/]+"", """")"),"/wp-content/uploads/2018/10/shutterstock_272489561-300x184.png")</f>
        <v>/wp-content/uploads/2018/10/shutterstock_272489561-300x184.png</v>
      </c>
      <c r="F1799" s="1" t="s">
        <v>1047</v>
      </c>
      <c r="G1799" s="1">
        <v>200.0</v>
      </c>
      <c r="H1799" s="1" t="s">
        <v>966</v>
      </c>
      <c r="I1799" s="1" t="s">
        <v>967</v>
      </c>
      <c r="L1799" s="1">
        <v>0.0</v>
      </c>
      <c r="M1799" s="1">
        <v>0.0</v>
      </c>
      <c r="O1799" s="1">
        <v>0.0</v>
      </c>
      <c r="P1799" s="1">
        <v>0.0</v>
      </c>
      <c r="R1799" s="1">
        <v>0.0</v>
      </c>
      <c r="S1799" s="1">
        <v>0.0</v>
      </c>
      <c r="U1799" s="1">
        <v>0.0</v>
      </c>
      <c r="W1799" s="1">
        <v>0.0</v>
      </c>
      <c r="Y1799" s="1">
        <v>0.0</v>
      </c>
      <c r="AA1799" s="1">
        <v>0.0</v>
      </c>
      <c r="AC1799" s="1">
        <v>0.0</v>
      </c>
      <c r="AM1799" s="1">
        <v>73486.0</v>
      </c>
      <c r="AN1799" s="1">
        <v>73486.0</v>
      </c>
      <c r="AO1799" s="1">
        <v>73486.0</v>
      </c>
      <c r="AP1799" s="1">
        <v>28.151</v>
      </c>
      <c r="AR1799" s="1">
        <v>0.0</v>
      </c>
      <c r="AW1799" s="1">
        <v>0.0</v>
      </c>
      <c r="AX1799" s="1">
        <v>4.0</v>
      </c>
      <c r="AY1799" s="1">
        <v>4.0</v>
      </c>
      <c r="BA1799" s="1">
        <v>0.0</v>
      </c>
      <c r="BB1799" s="1">
        <v>0.0</v>
      </c>
      <c r="BC1799" s="1">
        <v>0.0</v>
      </c>
      <c r="BD1799" s="1">
        <v>0.0</v>
      </c>
      <c r="BE1799" s="1">
        <v>0.0</v>
      </c>
      <c r="BF1799" s="1">
        <v>0.0</v>
      </c>
      <c r="BG1799" s="1">
        <v>0.0</v>
      </c>
      <c r="BH1799" s="1">
        <v>0.0</v>
      </c>
      <c r="BI1799" s="1">
        <v>0.0</v>
      </c>
      <c r="BJ1799" s="1">
        <v>0.0</v>
      </c>
      <c r="BP1799" s="1">
        <v>0.283</v>
      </c>
      <c r="BQ1799" s="1" t="s">
        <v>5971</v>
      </c>
      <c r="BV1799" s="1">
        <v>1.1</v>
      </c>
      <c r="EQ1799" s="9" t="s">
        <v>5970</v>
      </c>
      <c r="ER1799" s="21">
        <v>46045.30125</v>
      </c>
    </row>
    <row r="1800">
      <c r="A1800" s="9" t="s">
        <v>5972</v>
      </c>
      <c r="B1800" s="20" t="str">
        <f>IFERROR(__xludf.DUMMYFUNCTION("REGEXREPLACE(A1800, ""^https?://[^/]+"", """")"),"/wp-content/uploads/2019/02/i-need-revenue-growth-now-300x200.jpg")</f>
        <v>/wp-content/uploads/2019/02/i-need-revenue-growth-now-300x200.jpg</v>
      </c>
      <c r="F1800" s="1" t="s">
        <v>1004</v>
      </c>
      <c r="G1800" s="1">
        <v>200.0</v>
      </c>
      <c r="H1800" s="1" t="s">
        <v>966</v>
      </c>
      <c r="I1800" s="1" t="s">
        <v>967</v>
      </c>
      <c r="L1800" s="1">
        <v>0.0</v>
      </c>
      <c r="M1800" s="1">
        <v>0.0</v>
      </c>
      <c r="O1800" s="1">
        <v>0.0</v>
      </c>
      <c r="P1800" s="1">
        <v>0.0</v>
      </c>
      <c r="R1800" s="1">
        <v>0.0</v>
      </c>
      <c r="S1800" s="1">
        <v>0.0</v>
      </c>
      <c r="U1800" s="1">
        <v>0.0</v>
      </c>
      <c r="W1800" s="1">
        <v>0.0</v>
      </c>
      <c r="Y1800" s="1">
        <v>0.0</v>
      </c>
      <c r="AA1800" s="1">
        <v>0.0</v>
      </c>
      <c r="AC1800" s="1">
        <v>0.0</v>
      </c>
      <c r="AM1800" s="1">
        <v>13801.0</v>
      </c>
      <c r="AN1800" s="1">
        <v>13801.0</v>
      </c>
      <c r="AO1800" s="1">
        <v>13801.0</v>
      </c>
      <c r="AP1800" s="1">
        <v>5.287</v>
      </c>
      <c r="AR1800" s="1">
        <v>0.0</v>
      </c>
      <c r="AW1800" s="1">
        <v>0.0</v>
      </c>
      <c r="AX1800" s="1">
        <v>4.0</v>
      </c>
      <c r="AY1800" s="1">
        <v>4.0</v>
      </c>
      <c r="BA1800" s="1">
        <v>0.0</v>
      </c>
      <c r="BB1800" s="1">
        <v>0.0</v>
      </c>
      <c r="BC1800" s="1">
        <v>0.0</v>
      </c>
      <c r="BD1800" s="1">
        <v>0.0</v>
      </c>
      <c r="BE1800" s="1">
        <v>0.0</v>
      </c>
      <c r="BF1800" s="1">
        <v>0.0</v>
      </c>
      <c r="BG1800" s="1">
        <v>0.0</v>
      </c>
      <c r="BH1800" s="1">
        <v>0.0</v>
      </c>
      <c r="BI1800" s="1">
        <v>0.0</v>
      </c>
      <c r="BJ1800" s="1">
        <v>0.0</v>
      </c>
      <c r="BP1800" s="1">
        <v>0.265</v>
      </c>
      <c r="BQ1800" s="1" t="s">
        <v>5973</v>
      </c>
      <c r="BV1800" s="1">
        <v>1.1</v>
      </c>
      <c r="EQ1800" s="9" t="s">
        <v>5972</v>
      </c>
      <c r="ER1800" s="21">
        <v>46045.30126157407</v>
      </c>
    </row>
    <row r="1801">
      <c r="A1801" s="9" t="s">
        <v>5974</v>
      </c>
      <c r="B1801" s="20" t="str">
        <f>IFERROR(__xludf.DUMMYFUNCTION("REGEXREPLACE(A1801, ""^https?://[^/]+"", """")"),"/top-4-challenges-facing-small-business-owners-today/")</f>
        <v>/top-4-challenges-facing-small-business-owners-today/</v>
      </c>
      <c r="C1801" s="1" t="s">
        <v>5975</v>
      </c>
      <c r="F1801" s="1" t="s">
        <v>965</v>
      </c>
      <c r="G1801" s="1">
        <v>200.0</v>
      </c>
      <c r="H1801" s="1" t="s">
        <v>966</v>
      </c>
      <c r="I1801" s="1" t="s">
        <v>967</v>
      </c>
      <c r="K1801" s="1" t="s">
        <v>5976</v>
      </c>
      <c r="L1801" s="1">
        <v>76.0</v>
      </c>
      <c r="M1801" s="1">
        <v>706.0</v>
      </c>
      <c r="O1801" s="1">
        <v>0.0</v>
      </c>
      <c r="P1801" s="1">
        <v>0.0</v>
      </c>
      <c r="Q1801" s="1" t="s">
        <v>5977</v>
      </c>
      <c r="R1801" s="1">
        <v>135.0</v>
      </c>
      <c r="S1801" s="1">
        <v>856.0</v>
      </c>
      <c r="U1801" s="1">
        <v>0.0</v>
      </c>
      <c r="V1801" s="1" t="s">
        <v>5975</v>
      </c>
      <c r="W1801" s="1">
        <v>51.0</v>
      </c>
      <c r="Y1801" s="1">
        <v>0.0</v>
      </c>
      <c r="AA1801" s="1">
        <v>0.0</v>
      </c>
      <c r="AC1801" s="1">
        <v>0.0</v>
      </c>
      <c r="AD1801" s="1" t="s">
        <v>971</v>
      </c>
      <c r="AG1801" s="9" t="s">
        <v>5974</v>
      </c>
      <c r="AM1801" s="1">
        <v>201528.0</v>
      </c>
      <c r="AN1801" s="1">
        <v>36134.0</v>
      </c>
      <c r="AO1801" s="1">
        <v>36134.0</v>
      </c>
      <c r="AP1801" s="1">
        <v>13.842</v>
      </c>
      <c r="AR1801" s="1">
        <v>1566.0</v>
      </c>
      <c r="AS1801" s="1">
        <v>232.0</v>
      </c>
      <c r="AT1801" s="1">
        <v>6.75</v>
      </c>
      <c r="AU1801" s="1">
        <v>71.679</v>
      </c>
      <c r="AV1801" s="1" t="s">
        <v>1264</v>
      </c>
      <c r="AW1801" s="1">
        <v>5.738</v>
      </c>
      <c r="AX1801" s="1">
        <v>4.0</v>
      </c>
      <c r="AY1801" s="1">
        <v>1.0</v>
      </c>
      <c r="AZ1801" s="1">
        <v>1.0</v>
      </c>
      <c r="BA1801" s="1">
        <v>2.0</v>
      </c>
      <c r="BB1801" s="1">
        <v>1.0</v>
      </c>
      <c r="BC1801" s="1">
        <v>0.0</v>
      </c>
      <c r="BD1801" s="1">
        <v>0.13</v>
      </c>
      <c r="BE1801" s="1">
        <v>132.0</v>
      </c>
      <c r="BF1801" s="1">
        <v>49.0</v>
      </c>
      <c r="BG1801" s="1">
        <v>0.0</v>
      </c>
      <c r="BH1801" s="1">
        <v>19.0</v>
      </c>
      <c r="BI1801" s="1">
        <v>11.0</v>
      </c>
      <c r="BJ1801" s="1">
        <v>0.0</v>
      </c>
      <c r="BO1801" s="1" t="s">
        <v>5978</v>
      </c>
      <c r="BP1801" s="1">
        <v>0.985</v>
      </c>
      <c r="BU1801" s="1" t="s">
        <v>974</v>
      </c>
      <c r="BV1801" s="1">
        <v>1.1</v>
      </c>
      <c r="EQ1801" s="9" t="s">
        <v>5974</v>
      </c>
      <c r="ER1801" s="21">
        <v>46045.30125</v>
      </c>
    </row>
    <row r="1802">
      <c r="A1802" s="9" t="s">
        <v>5979</v>
      </c>
      <c r="B1802" s="20" t="str">
        <f>IFERROR(__xludf.DUMMYFUNCTION("REGEXREPLACE(A1802, ""^https?://[^/]+"", """")"),"/wp-content/uploads/2018/06/Small_Business_Challenges-300x169.jpg")</f>
        <v>/wp-content/uploads/2018/06/Small_Business_Challenges-300x169.jpg</v>
      </c>
      <c r="F1802" s="1" t="s">
        <v>1004</v>
      </c>
      <c r="G1802" s="1">
        <v>200.0</v>
      </c>
      <c r="H1802" s="1" t="s">
        <v>966</v>
      </c>
      <c r="I1802" s="1" t="s">
        <v>967</v>
      </c>
      <c r="L1802" s="1">
        <v>0.0</v>
      </c>
      <c r="M1802" s="1">
        <v>0.0</v>
      </c>
      <c r="O1802" s="1">
        <v>0.0</v>
      </c>
      <c r="P1802" s="1">
        <v>0.0</v>
      </c>
      <c r="R1802" s="1">
        <v>0.0</v>
      </c>
      <c r="S1802" s="1">
        <v>0.0</v>
      </c>
      <c r="U1802" s="1">
        <v>0.0</v>
      </c>
      <c r="W1802" s="1">
        <v>0.0</v>
      </c>
      <c r="Y1802" s="1">
        <v>0.0</v>
      </c>
      <c r="AA1802" s="1">
        <v>0.0</v>
      </c>
      <c r="AC1802" s="1">
        <v>0.0</v>
      </c>
      <c r="AM1802" s="1">
        <v>11919.0</v>
      </c>
      <c r="AN1802" s="1">
        <v>11919.0</v>
      </c>
      <c r="AO1802" s="1">
        <v>11919.0</v>
      </c>
      <c r="AP1802" s="1">
        <v>4.566</v>
      </c>
      <c r="AR1802" s="1">
        <v>0.0</v>
      </c>
      <c r="AW1802" s="1">
        <v>0.0</v>
      </c>
      <c r="AX1802" s="1">
        <v>4.0</v>
      </c>
      <c r="AY1802" s="1">
        <v>4.0</v>
      </c>
      <c r="BA1802" s="1">
        <v>0.0</v>
      </c>
      <c r="BB1802" s="1">
        <v>0.0</v>
      </c>
      <c r="BC1802" s="1">
        <v>0.0</v>
      </c>
      <c r="BD1802" s="1">
        <v>0.0</v>
      </c>
      <c r="BE1802" s="1">
        <v>0.0</v>
      </c>
      <c r="BF1802" s="1">
        <v>0.0</v>
      </c>
      <c r="BG1802" s="1">
        <v>0.0</v>
      </c>
      <c r="BH1802" s="1">
        <v>0.0</v>
      </c>
      <c r="BI1802" s="1">
        <v>0.0</v>
      </c>
      <c r="BJ1802" s="1">
        <v>0.0</v>
      </c>
      <c r="BP1802" s="1">
        <v>0.265</v>
      </c>
      <c r="BQ1802" s="1" t="s">
        <v>5980</v>
      </c>
      <c r="BV1802" s="1">
        <v>1.1</v>
      </c>
      <c r="EQ1802" s="9" t="s">
        <v>5979</v>
      </c>
      <c r="ER1802" s="21">
        <v>46045.30126157407</v>
      </c>
    </row>
    <row r="1803">
      <c r="A1803" s="9" t="s">
        <v>5981</v>
      </c>
      <c r="B1803" s="20" t="str">
        <f>IFERROR(__xludf.DUMMYFUNCTION("REGEXREPLACE(A1803, ""^https?://[^/]+"", """")"),"/why-when-who-hiring-fractional-vp-sales/")</f>
        <v>/why-when-who-hiring-fractional-vp-sales/</v>
      </c>
      <c r="C1803" s="1" t="s">
        <v>5982</v>
      </c>
      <c r="F1803" s="1" t="s">
        <v>965</v>
      </c>
      <c r="G1803" s="1">
        <v>200.0</v>
      </c>
      <c r="H1803" s="1" t="s">
        <v>966</v>
      </c>
      <c r="I1803" s="1" t="s">
        <v>967</v>
      </c>
      <c r="K1803" s="1" t="s">
        <v>5983</v>
      </c>
      <c r="L1803" s="1">
        <v>53.0</v>
      </c>
      <c r="M1803" s="1">
        <v>468.0</v>
      </c>
      <c r="O1803" s="1">
        <v>0.0</v>
      </c>
      <c r="P1803" s="1">
        <v>0.0</v>
      </c>
      <c r="Q1803" s="1" t="s">
        <v>5984</v>
      </c>
      <c r="R1803" s="1">
        <v>154.0</v>
      </c>
      <c r="S1803" s="1">
        <v>967.0</v>
      </c>
      <c r="U1803" s="1">
        <v>0.0</v>
      </c>
      <c r="V1803" s="1" t="s">
        <v>5982</v>
      </c>
      <c r="W1803" s="1">
        <v>78.0</v>
      </c>
      <c r="Y1803" s="1">
        <v>0.0</v>
      </c>
      <c r="AA1803" s="1">
        <v>0.0</v>
      </c>
      <c r="AC1803" s="1">
        <v>0.0</v>
      </c>
      <c r="AD1803" s="1" t="s">
        <v>971</v>
      </c>
      <c r="AG1803" s="9" t="s">
        <v>5981</v>
      </c>
      <c r="AM1803" s="1">
        <v>202923.0</v>
      </c>
      <c r="AN1803" s="1">
        <v>36181.0</v>
      </c>
      <c r="AO1803" s="1">
        <v>36181.0</v>
      </c>
      <c r="AP1803" s="1">
        <v>13.86</v>
      </c>
      <c r="AR1803" s="1">
        <v>1432.0</v>
      </c>
      <c r="AS1803" s="1">
        <v>216.0</v>
      </c>
      <c r="AT1803" s="1">
        <v>6.63</v>
      </c>
      <c r="AU1803" s="1">
        <v>66.53</v>
      </c>
      <c r="AV1803" s="1" t="s">
        <v>990</v>
      </c>
      <c r="AW1803" s="1">
        <v>5.488</v>
      </c>
      <c r="AX1803" s="1">
        <v>4.0</v>
      </c>
      <c r="AY1803" s="1">
        <v>1.0</v>
      </c>
      <c r="AZ1803" s="1">
        <v>1.0</v>
      </c>
      <c r="BA1803" s="1">
        <v>2.0</v>
      </c>
      <c r="BB1803" s="1">
        <v>1.0</v>
      </c>
      <c r="BC1803" s="1">
        <v>0.0</v>
      </c>
      <c r="BD1803" s="1">
        <v>0.13</v>
      </c>
      <c r="BE1803" s="1">
        <v>135.0</v>
      </c>
      <c r="BF1803" s="1">
        <v>48.0</v>
      </c>
      <c r="BG1803" s="1">
        <v>0.0</v>
      </c>
      <c r="BH1803" s="1">
        <v>16.0</v>
      </c>
      <c r="BI1803" s="1">
        <v>8.0</v>
      </c>
      <c r="BJ1803" s="1">
        <v>0.0</v>
      </c>
      <c r="BO1803" s="1" t="s">
        <v>5985</v>
      </c>
      <c r="BP1803" s="1">
        <v>0.973</v>
      </c>
      <c r="BU1803" s="1" t="s">
        <v>974</v>
      </c>
      <c r="BV1803" s="1">
        <v>1.1</v>
      </c>
      <c r="EQ1803" s="9" t="s">
        <v>5981</v>
      </c>
      <c r="ER1803" s="21">
        <v>46045.30125</v>
      </c>
    </row>
    <row r="1804">
      <c r="A1804" s="9" t="s">
        <v>5986</v>
      </c>
      <c r="B1804" s="20" t="str">
        <f>IFERROR(__xludf.DUMMYFUNCTION("REGEXREPLACE(A1804, ""^https?://[^/]+"", """")"),"/wp-content/uploads/2019/11/itsallaboutrelationships-300x133.jpg")</f>
        <v>/wp-content/uploads/2019/11/itsallaboutrelationships-300x133.jpg</v>
      </c>
      <c r="F1804" s="1" t="s">
        <v>1004</v>
      </c>
      <c r="G1804" s="1">
        <v>200.0</v>
      </c>
      <c r="H1804" s="1" t="s">
        <v>966</v>
      </c>
      <c r="I1804" s="1" t="s">
        <v>967</v>
      </c>
      <c r="L1804" s="1">
        <v>0.0</v>
      </c>
      <c r="M1804" s="1">
        <v>0.0</v>
      </c>
      <c r="O1804" s="1">
        <v>0.0</v>
      </c>
      <c r="P1804" s="1">
        <v>0.0</v>
      </c>
      <c r="R1804" s="1">
        <v>0.0</v>
      </c>
      <c r="S1804" s="1">
        <v>0.0</v>
      </c>
      <c r="U1804" s="1">
        <v>0.0</v>
      </c>
      <c r="W1804" s="1">
        <v>0.0</v>
      </c>
      <c r="Y1804" s="1">
        <v>0.0</v>
      </c>
      <c r="AA1804" s="1">
        <v>0.0</v>
      </c>
      <c r="AC1804" s="1">
        <v>0.0</v>
      </c>
      <c r="AM1804" s="1">
        <v>7974.0</v>
      </c>
      <c r="AN1804" s="1">
        <v>7974.0</v>
      </c>
      <c r="AO1804" s="1">
        <v>7974.0</v>
      </c>
      <c r="AP1804" s="1">
        <v>3.055</v>
      </c>
      <c r="AR1804" s="1">
        <v>0.0</v>
      </c>
      <c r="AW1804" s="1">
        <v>0.0</v>
      </c>
      <c r="AX1804" s="1">
        <v>4.0</v>
      </c>
      <c r="AY1804" s="1">
        <v>4.0</v>
      </c>
      <c r="BA1804" s="1">
        <v>0.0</v>
      </c>
      <c r="BB1804" s="1">
        <v>0.0</v>
      </c>
      <c r="BC1804" s="1">
        <v>0.0</v>
      </c>
      <c r="BD1804" s="1">
        <v>0.0</v>
      </c>
      <c r="BE1804" s="1">
        <v>0.0</v>
      </c>
      <c r="BF1804" s="1">
        <v>0.0</v>
      </c>
      <c r="BG1804" s="1">
        <v>0.0</v>
      </c>
      <c r="BH1804" s="1">
        <v>0.0</v>
      </c>
      <c r="BI1804" s="1">
        <v>0.0</v>
      </c>
      <c r="BJ1804" s="1">
        <v>0.0</v>
      </c>
      <c r="BP1804" s="1">
        <v>0.283</v>
      </c>
      <c r="BQ1804" s="1" t="s">
        <v>5987</v>
      </c>
      <c r="BV1804" s="1">
        <v>1.1</v>
      </c>
      <c r="EQ1804" s="9" t="s">
        <v>5986</v>
      </c>
      <c r="ER1804" s="21">
        <v>46045.30126157407</v>
      </c>
    </row>
    <row r="1805">
      <c r="A1805" s="9" t="s">
        <v>5988</v>
      </c>
      <c r="B1805" s="20" t="str">
        <f>IFERROR(__xludf.DUMMYFUNCTION("REGEXREPLACE(A1805, ""^https?://[^/]+"", """")"),"/wp-content/uploads/2018/04/cp-300x202.jpg")</f>
        <v>/wp-content/uploads/2018/04/cp-300x202.jpg</v>
      </c>
      <c r="F1805" s="1" t="s">
        <v>1004</v>
      </c>
      <c r="G1805" s="1">
        <v>200.0</v>
      </c>
      <c r="H1805" s="1" t="s">
        <v>966</v>
      </c>
      <c r="I1805" s="1" t="s">
        <v>967</v>
      </c>
      <c r="L1805" s="1">
        <v>0.0</v>
      </c>
      <c r="M1805" s="1">
        <v>0.0</v>
      </c>
      <c r="O1805" s="1">
        <v>0.0</v>
      </c>
      <c r="P1805" s="1">
        <v>0.0</v>
      </c>
      <c r="R1805" s="1">
        <v>0.0</v>
      </c>
      <c r="S1805" s="1">
        <v>0.0</v>
      </c>
      <c r="U1805" s="1">
        <v>0.0</v>
      </c>
      <c r="W1805" s="1">
        <v>0.0</v>
      </c>
      <c r="Y1805" s="1">
        <v>0.0</v>
      </c>
      <c r="AA1805" s="1">
        <v>0.0</v>
      </c>
      <c r="AC1805" s="1">
        <v>0.0</v>
      </c>
      <c r="AM1805" s="1">
        <v>10895.0</v>
      </c>
      <c r="AN1805" s="1">
        <v>10895.0</v>
      </c>
      <c r="AO1805" s="1">
        <v>10895.0</v>
      </c>
      <c r="AP1805" s="1">
        <v>4.174</v>
      </c>
      <c r="AR1805" s="1">
        <v>0.0</v>
      </c>
      <c r="AW1805" s="1">
        <v>0.0</v>
      </c>
      <c r="AX1805" s="1">
        <v>4.0</v>
      </c>
      <c r="AY1805" s="1">
        <v>4.0</v>
      </c>
      <c r="BA1805" s="1">
        <v>0.0</v>
      </c>
      <c r="BB1805" s="1">
        <v>0.0</v>
      </c>
      <c r="BC1805" s="1">
        <v>0.0</v>
      </c>
      <c r="BD1805" s="1">
        <v>0.0</v>
      </c>
      <c r="BE1805" s="1">
        <v>0.0</v>
      </c>
      <c r="BF1805" s="1">
        <v>0.0</v>
      </c>
      <c r="BG1805" s="1">
        <v>0.0</v>
      </c>
      <c r="BH1805" s="1">
        <v>0.0</v>
      </c>
      <c r="BI1805" s="1">
        <v>0.0</v>
      </c>
      <c r="BJ1805" s="1">
        <v>0.0</v>
      </c>
      <c r="BP1805" s="1">
        <v>0.277</v>
      </c>
      <c r="BQ1805" s="1" t="s">
        <v>5989</v>
      </c>
      <c r="BV1805" s="1">
        <v>1.1</v>
      </c>
      <c r="EQ1805" s="9" t="s">
        <v>5988</v>
      </c>
      <c r="ER1805" s="21">
        <v>46045.30127314815</v>
      </c>
    </row>
    <row r="1806">
      <c r="A1806" s="9" t="s">
        <v>5990</v>
      </c>
      <c r="B1806" s="20" t="str">
        <f>IFERROR(__xludf.DUMMYFUNCTION("REGEXREPLACE(A1806, ""^https?://[^/]+"", """")"),"/discount-selling-price/")</f>
        <v>/discount-selling-price/</v>
      </c>
      <c r="C1806" s="1" t="s">
        <v>5991</v>
      </c>
      <c r="F1806" s="1" t="s">
        <v>965</v>
      </c>
      <c r="G1806" s="1">
        <v>200.0</v>
      </c>
      <c r="H1806" s="1" t="s">
        <v>966</v>
      </c>
      <c r="I1806" s="1" t="s">
        <v>967</v>
      </c>
      <c r="K1806" s="1" t="s">
        <v>5992</v>
      </c>
      <c r="L1806" s="1">
        <v>59.0</v>
      </c>
      <c r="M1806" s="1">
        <v>525.0</v>
      </c>
      <c r="O1806" s="1">
        <v>0.0</v>
      </c>
      <c r="P1806" s="1">
        <v>0.0</v>
      </c>
      <c r="Q1806" s="1" t="s">
        <v>5993</v>
      </c>
      <c r="R1806" s="1">
        <v>123.0</v>
      </c>
      <c r="S1806" s="1">
        <v>741.0</v>
      </c>
      <c r="U1806" s="1">
        <v>0.0</v>
      </c>
      <c r="V1806" s="1" t="s">
        <v>5991</v>
      </c>
      <c r="W1806" s="1">
        <v>39.0</v>
      </c>
      <c r="Y1806" s="1">
        <v>0.0</v>
      </c>
      <c r="AA1806" s="1">
        <v>0.0</v>
      </c>
      <c r="AC1806" s="1">
        <v>0.0</v>
      </c>
      <c r="AD1806" s="1" t="s">
        <v>971</v>
      </c>
      <c r="AG1806" s="9" t="s">
        <v>5990</v>
      </c>
      <c r="AM1806" s="1">
        <v>202620.0</v>
      </c>
      <c r="AN1806" s="1">
        <v>35849.0</v>
      </c>
      <c r="AO1806" s="1">
        <v>35849.0</v>
      </c>
      <c r="AP1806" s="1">
        <v>13.733</v>
      </c>
      <c r="AR1806" s="1">
        <v>1200.0</v>
      </c>
      <c r="AS1806" s="1">
        <v>182.0</v>
      </c>
      <c r="AT1806" s="1">
        <v>6.593</v>
      </c>
      <c r="AU1806" s="1">
        <v>71.833</v>
      </c>
      <c r="AV1806" s="1" t="s">
        <v>1264</v>
      </c>
      <c r="AW1806" s="1">
        <v>4.704</v>
      </c>
      <c r="AX1806" s="1">
        <v>4.0</v>
      </c>
      <c r="AY1806" s="1">
        <v>1.0</v>
      </c>
      <c r="AZ1806" s="1">
        <v>1.0</v>
      </c>
      <c r="BA1806" s="1">
        <v>5.0</v>
      </c>
      <c r="BB1806" s="1">
        <v>2.0</v>
      </c>
      <c r="BC1806" s="1">
        <v>0.0</v>
      </c>
      <c r="BD1806" s="1">
        <v>0.27</v>
      </c>
      <c r="BE1806" s="1">
        <v>134.0</v>
      </c>
      <c r="BF1806" s="1">
        <v>49.0</v>
      </c>
      <c r="BG1806" s="1">
        <v>0.0</v>
      </c>
      <c r="BH1806" s="1">
        <v>16.0</v>
      </c>
      <c r="BI1806" s="1">
        <v>8.0</v>
      </c>
      <c r="BJ1806" s="1">
        <v>0.0</v>
      </c>
      <c r="BO1806" s="1" t="s">
        <v>5994</v>
      </c>
      <c r="BP1806" s="1">
        <v>1.018</v>
      </c>
      <c r="BU1806" s="1" t="s">
        <v>974</v>
      </c>
      <c r="BV1806" s="1">
        <v>1.1</v>
      </c>
      <c r="EQ1806" s="9" t="s">
        <v>5990</v>
      </c>
      <c r="ER1806" s="21">
        <v>46045.30126157407</v>
      </c>
    </row>
    <row r="1807">
      <c r="A1807" s="9" t="s">
        <v>5995</v>
      </c>
      <c r="B1807" s="20" t="str">
        <f>IFERROR(__xludf.DUMMYFUNCTION("REGEXREPLACE(A1807, ""^https?://[^/]+"", """")"),"/three-questions-for-hiring-your-next-sales-leader/")</f>
        <v>/three-questions-for-hiring-your-next-sales-leader/</v>
      </c>
      <c r="C1807" s="1" t="s">
        <v>5996</v>
      </c>
      <c r="F1807" s="1" t="s">
        <v>965</v>
      </c>
      <c r="G1807" s="1">
        <v>200.0</v>
      </c>
      <c r="H1807" s="1" t="s">
        <v>966</v>
      </c>
      <c r="I1807" s="1" t="s">
        <v>967</v>
      </c>
      <c r="K1807" s="1" t="s">
        <v>5997</v>
      </c>
      <c r="L1807" s="1">
        <v>69.0</v>
      </c>
      <c r="M1807" s="1">
        <v>620.0</v>
      </c>
      <c r="O1807" s="1">
        <v>0.0</v>
      </c>
      <c r="P1807" s="1">
        <v>0.0</v>
      </c>
      <c r="Q1807" s="1" t="s">
        <v>5998</v>
      </c>
      <c r="R1807" s="1">
        <v>149.0</v>
      </c>
      <c r="S1807" s="1">
        <v>921.0</v>
      </c>
      <c r="U1807" s="1">
        <v>0.0</v>
      </c>
      <c r="V1807" s="1" t="s">
        <v>5996</v>
      </c>
      <c r="W1807" s="1">
        <v>49.0</v>
      </c>
      <c r="Y1807" s="1">
        <v>0.0</v>
      </c>
      <c r="AA1807" s="1">
        <v>0.0</v>
      </c>
      <c r="AC1807" s="1">
        <v>0.0</v>
      </c>
      <c r="AD1807" s="1" t="s">
        <v>971</v>
      </c>
      <c r="AG1807" s="9" t="s">
        <v>5995</v>
      </c>
      <c r="AM1807" s="1">
        <v>200452.0</v>
      </c>
      <c r="AN1807" s="1">
        <v>35156.0</v>
      </c>
      <c r="AO1807" s="1">
        <v>35156.0</v>
      </c>
      <c r="AP1807" s="1">
        <v>13.468</v>
      </c>
      <c r="AR1807" s="1">
        <v>1089.0</v>
      </c>
      <c r="AS1807" s="1">
        <v>171.0</v>
      </c>
      <c r="AT1807" s="1">
        <v>6.368</v>
      </c>
      <c r="AU1807" s="1">
        <v>63.721</v>
      </c>
      <c r="AV1807" s="1" t="s">
        <v>990</v>
      </c>
      <c r="AW1807" s="1">
        <v>4.579</v>
      </c>
      <c r="AX1807" s="1">
        <v>4.0</v>
      </c>
      <c r="AY1807" s="1">
        <v>1.0</v>
      </c>
      <c r="AZ1807" s="1">
        <v>1.0</v>
      </c>
      <c r="BA1807" s="1">
        <v>2.0</v>
      </c>
      <c r="BB1807" s="1">
        <v>1.0</v>
      </c>
      <c r="BC1807" s="1">
        <v>0.0</v>
      </c>
      <c r="BD1807" s="1">
        <v>0.13</v>
      </c>
      <c r="BE1807" s="1">
        <v>130.0</v>
      </c>
      <c r="BF1807" s="1">
        <v>47.0</v>
      </c>
      <c r="BG1807" s="1">
        <v>0.0</v>
      </c>
      <c r="BH1807" s="1">
        <v>16.0</v>
      </c>
      <c r="BI1807" s="1">
        <v>8.0</v>
      </c>
      <c r="BJ1807" s="1">
        <v>0.0</v>
      </c>
      <c r="BO1807" s="1" t="s">
        <v>5999</v>
      </c>
      <c r="BP1807" s="1">
        <v>1.001</v>
      </c>
      <c r="BU1807" s="1" t="s">
        <v>974</v>
      </c>
      <c r="BV1807" s="1">
        <v>1.1</v>
      </c>
      <c r="EQ1807" s="9" t="s">
        <v>5995</v>
      </c>
      <c r="ER1807" s="21">
        <v>46045.30126157407</v>
      </c>
    </row>
    <row r="1808">
      <c r="A1808" s="9" t="s">
        <v>6000</v>
      </c>
      <c r="B1808" s="20" t="str">
        <f>IFERROR(__xludf.DUMMYFUNCTION("REGEXREPLACE(A1808, ""^https?://[^/]+"", """")"),"/wp-content/uploads/2022/05/Discount-2048x2048.jpg")</f>
        <v>/wp-content/uploads/2022/05/Discount-2048x2048.jpg</v>
      </c>
      <c r="F1808" s="1" t="s">
        <v>1004</v>
      </c>
      <c r="G1808" s="1">
        <v>200.0</v>
      </c>
      <c r="H1808" s="1" t="s">
        <v>966</v>
      </c>
      <c r="I1808" s="1" t="s">
        <v>967</v>
      </c>
      <c r="L1808" s="1">
        <v>0.0</v>
      </c>
      <c r="M1808" s="1">
        <v>0.0</v>
      </c>
      <c r="O1808" s="1">
        <v>0.0</v>
      </c>
      <c r="P1808" s="1">
        <v>0.0</v>
      </c>
      <c r="R1808" s="1">
        <v>0.0</v>
      </c>
      <c r="S1808" s="1">
        <v>0.0</v>
      </c>
      <c r="U1808" s="1">
        <v>0.0</v>
      </c>
      <c r="W1808" s="1">
        <v>0.0</v>
      </c>
      <c r="Y1808" s="1">
        <v>0.0</v>
      </c>
      <c r="AA1808" s="1">
        <v>0.0</v>
      </c>
      <c r="AC1808" s="1">
        <v>0.0</v>
      </c>
      <c r="AM1808" s="1">
        <v>422834.0</v>
      </c>
      <c r="AN1808" s="1">
        <v>422834.0</v>
      </c>
      <c r="AO1808" s="1">
        <v>422834.0</v>
      </c>
      <c r="AP1808" s="1">
        <v>161.98</v>
      </c>
      <c r="AR1808" s="1">
        <v>0.0</v>
      </c>
      <c r="AW1808" s="1">
        <v>0.0</v>
      </c>
      <c r="AX1808" s="1">
        <v>4.0</v>
      </c>
      <c r="AY1808" s="1">
        <v>4.0</v>
      </c>
      <c r="BA1808" s="1">
        <v>0.0</v>
      </c>
      <c r="BB1808" s="1">
        <v>0.0</v>
      </c>
      <c r="BC1808" s="1">
        <v>0.0</v>
      </c>
      <c r="BD1808" s="1">
        <v>0.0</v>
      </c>
      <c r="BE1808" s="1">
        <v>0.0</v>
      </c>
      <c r="BF1808" s="1">
        <v>0.0</v>
      </c>
      <c r="BG1808" s="1">
        <v>0.0</v>
      </c>
      <c r="BH1808" s="1">
        <v>0.0</v>
      </c>
      <c r="BI1808" s="1">
        <v>0.0</v>
      </c>
      <c r="BJ1808" s="1">
        <v>0.0</v>
      </c>
      <c r="BP1808" s="1">
        <v>0.282</v>
      </c>
      <c r="BQ1808" s="1" t="s">
        <v>3784</v>
      </c>
      <c r="BV1808" s="1">
        <v>1.1</v>
      </c>
      <c r="EQ1808" s="9" t="s">
        <v>6000</v>
      </c>
      <c r="ER1808" s="21">
        <v>46045.30127314815</v>
      </c>
    </row>
    <row r="1809">
      <c r="A1809" s="9" t="s">
        <v>6001</v>
      </c>
      <c r="B1809" s="20" t="str">
        <f>IFERROR(__xludf.DUMMYFUNCTION("REGEXREPLACE(A1809, ""^https?://[^/]+"", """")"),"/discover/consultants/")</f>
        <v>/discover/consultants/</v>
      </c>
      <c r="F1809" s="1" t="s">
        <v>965</v>
      </c>
      <c r="G1809" s="1">
        <v>301.0</v>
      </c>
      <c r="H1809" s="1" t="s">
        <v>1304</v>
      </c>
      <c r="I1809" s="1" t="s">
        <v>1214</v>
      </c>
      <c r="J1809" s="1" t="s">
        <v>1305</v>
      </c>
      <c r="L1809" s="1">
        <v>0.0</v>
      </c>
      <c r="M1809" s="1">
        <v>0.0</v>
      </c>
      <c r="O1809" s="1">
        <v>0.0</v>
      </c>
      <c r="P1809" s="1">
        <v>0.0</v>
      </c>
      <c r="R1809" s="1">
        <v>0.0</v>
      </c>
      <c r="S1809" s="1">
        <v>0.0</v>
      </c>
      <c r="U1809" s="1">
        <v>0.0</v>
      </c>
      <c r="W1809" s="1">
        <v>0.0</v>
      </c>
      <c r="Y1809" s="1">
        <v>0.0</v>
      </c>
      <c r="AA1809" s="1">
        <v>0.0</v>
      </c>
      <c r="AC1809" s="1">
        <v>0.0</v>
      </c>
      <c r="AM1809" s="1">
        <v>0.0</v>
      </c>
      <c r="AN1809" s="1">
        <v>0.0</v>
      </c>
      <c r="AO1809" s="1">
        <v>0.0</v>
      </c>
      <c r="AP1809" s="1">
        <v>0.0</v>
      </c>
      <c r="AR1809" s="1">
        <v>0.0</v>
      </c>
      <c r="AW1809" s="1">
        <v>0.0</v>
      </c>
      <c r="AX1809" s="1">
        <v>4.0</v>
      </c>
      <c r="AY1809" s="1">
        <v>2.0</v>
      </c>
      <c r="BA1809" s="1">
        <v>11.0</v>
      </c>
      <c r="BB1809" s="1">
        <v>11.0</v>
      </c>
      <c r="BC1809" s="1">
        <v>0.0</v>
      </c>
      <c r="BD1809" s="1">
        <v>1.46</v>
      </c>
      <c r="BE1809" s="1">
        <v>0.0</v>
      </c>
      <c r="BF1809" s="1">
        <v>0.0</v>
      </c>
      <c r="BG1809" s="1">
        <v>0.0</v>
      </c>
      <c r="BH1809" s="1">
        <v>0.0</v>
      </c>
      <c r="BI1809" s="1">
        <v>0.0</v>
      </c>
      <c r="BJ1809" s="1">
        <v>0.0</v>
      </c>
      <c r="BP1809" s="1">
        <v>0.54</v>
      </c>
      <c r="BR1809" s="9" t="s">
        <v>1119</v>
      </c>
      <c r="BS1809" s="1" t="s">
        <v>1307</v>
      </c>
      <c r="BV1809" s="1">
        <v>1.1</v>
      </c>
      <c r="EQ1809" s="9" t="s">
        <v>6001</v>
      </c>
      <c r="ER1809" s="21">
        <v>46045.30127314815</v>
      </c>
    </row>
    <row r="1810">
      <c r="A1810" s="9" t="s">
        <v>6002</v>
      </c>
      <c r="B1810" s="20" t="str">
        <f>IFERROR(__xludf.DUMMYFUNCTION("REGEXREPLACE(A1810, ""^https?://[^/]+"", """")"),"/increase-selling-price/")</f>
        <v>/increase-selling-price/</v>
      </c>
      <c r="C1810" s="1" t="s">
        <v>6003</v>
      </c>
      <c r="F1810" s="1" t="s">
        <v>965</v>
      </c>
      <c r="G1810" s="1">
        <v>200.0</v>
      </c>
      <c r="H1810" s="1" t="s">
        <v>966</v>
      </c>
      <c r="I1810" s="1" t="s">
        <v>967</v>
      </c>
      <c r="K1810" s="1" t="s">
        <v>6004</v>
      </c>
      <c r="L1810" s="1">
        <v>58.0</v>
      </c>
      <c r="M1810" s="1">
        <v>514.0</v>
      </c>
      <c r="O1810" s="1">
        <v>0.0</v>
      </c>
      <c r="P1810" s="1">
        <v>0.0</v>
      </c>
      <c r="Q1810" s="1" t="s">
        <v>6005</v>
      </c>
      <c r="R1810" s="1">
        <v>137.0</v>
      </c>
      <c r="S1810" s="1">
        <v>816.0</v>
      </c>
      <c r="U1810" s="1">
        <v>0.0</v>
      </c>
      <c r="V1810" s="1" t="s">
        <v>6003</v>
      </c>
      <c r="W1810" s="1">
        <v>39.0</v>
      </c>
      <c r="Y1810" s="1">
        <v>0.0</v>
      </c>
      <c r="AA1810" s="1">
        <v>0.0</v>
      </c>
      <c r="AC1810" s="1">
        <v>0.0</v>
      </c>
      <c r="AD1810" s="1" t="s">
        <v>971</v>
      </c>
      <c r="AG1810" s="9" t="s">
        <v>6002</v>
      </c>
      <c r="AM1810" s="1">
        <v>198715.0</v>
      </c>
      <c r="AN1810" s="1">
        <v>35049.0</v>
      </c>
      <c r="AO1810" s="1">
        <v>35049.0</v>
      </c>
      <c r="AP1810" s="1">
        <v>13.427</v>
      </c>
      <c r="AR1810" s="1">
        <v>1046.0</v>
      </c>
      <c r="AS1810" s="1">
        <v>160.0</v>
      </c>
      <c r="AT1810" s="1">
        <v>6.537</v>
      </c>
      <c r="AU1810" s="1">
        <v>68.77</v>
      </c>
      <c r="AV1810" s="1" t="s">
        <v>990</v>
      </c>
      <c r="AW1810" s="1">
        <v>4.366</v>
      </c>
      <c r="AX1810" s="1">
        <v>4.0</v>
      </c>
      <c r="AY1810" s="1">
        <v>1.0</v>
      </c>
      <c r="AZ1810" s="1">
        <v>1.0</v>
      </c>
      <c r="BA1810" s="1">
        <v>12.0</v>
      </c>
      <c r="BB1810" s="1">
        <v>9.0</v>
      </c>
      <c r="BC1810" s="1">
        <v>0.0</v>
      </c>
      <c r="BD1810" s="1">
        <v>1.19</v>
      </c>
      <c r="BE1810" s="1">
        <v>133.0</v>
      </c>
      <c r="BF1810" s="1">
        <v>49.0</v>
      </c>
      <c r="BG1810" s="1">
        <v>0.0</v>
      </c>
      <c r="BH1810" s="1">
        <v>16.0</v>
      </c>
      <c r="BI1810" s="1">
        <v>8.0</v>
      </c>
      <c r="BJ1810" s="1">
        <v>0.0</v>
      </c>
      <c r="BO1810" s="1" t="s">
        <v>6006</v>
      </c>
      <c r="BP1810" s="1">
        <v>0.997</v>
      </c>
      <c r="BU1810" s="1" t="s">
        <v>974</v>
      </c>
      <c r="BV1810" s="1">
        <v>1.1</v>
      </c>
      <c r="EQ1810" s="9" t="s">
        <v>6002</v>
      </c>
      <c r="ER1810" s="21">
        <v>46045.30126157407</v>
      </c>
    </row>
    <row r="1811">
      <c r="A1811" s="9" t="s">
        <v>6007</v>
      </c>
      <c r="B1811" s="20" t="str">
        <f>IFERROR(__xludf.DUMMYFUNCTION("REGEXREPLACE(A1811, ""^https?://[^/]+"", """")"),"/wp-content/uploads/2022/07/Sales-Automation.jpg")</f>
        <v>/wp-content/uploads/2022/07/Sales-Automation.jpg</v>
      </c>
      <c r="F1811" s="1" t="s">
        <v>1004</v>
      </c>
      <c r="G1811" s="1">
        <v>200.0</v>
      </c>
      <c r="H1811" s="1" t="s">
        <v>966</v>
      </c>
      <c r="I1811" s="1" t="s">
        <v>967</v>
      </c>
      <c r="L1811" s="1">
        <v>0.0</v>
      </c>
      <c r="M1811" s="1">
        <v>0.0</v>
      </c>
      <c r="O1811" s="1">
        <v>0.0</v>
      </c>
      <c r="P1811" s="1">
        <v>0.0</v>
      </c>
      <c r="R1811" s="1">
        <v>0.0</v>
      </c>
      <c r="S1811" s="1">
        <v>0.0</v>
      </c>
      <c r="U1811" s="1">
        <v>0.0</v>
      </c>
      <c r="W1811" s="1">
        <v>0.0</v>
      </c>
      <c r="Y1811" s="1">
        <v>0.0</v>
      </c>
      <c r="AA1811" s="1">
        <v>0.0</v>
      </c>
      <c r="AC1811" s="1">
        <v>0.0</v>
      </c>
      <c r="AM1811" s="1">
        <v>326372.0</v>
      </c>
      <c r="AN1811" s="1">
        <v>326372.0</v>
      </c>
      <c r="AO1811" s="1">
        <v>326372.0</v>
      </c>
      <c r="AP1811" s="1">
        <v>125.027</v>
      </c>
      <c r="AR1811" s="1">
        <v>0.0</v>
      </c>
      <c r="AW1811" s="1">
        <v>0.0</v>
      </c>
      <c r="AX1811" s="1">
        <v>4.0</v>
      </c>
      <c r="AY1811" s="1">
        <v>4.0</v>
      </c>
      <c r="BA1811" s="1">
        <v>0.0</v>
      </c>
      <c r="BB1811" s="1">
        <v>0.0</v>
      </c>
      <c r="BC1811" s="1">
        <v>0.0</v>
      </c>
      <c r="BD1811" s="1">
        <v>0.0</v>
      </c>
      <c r="BE1811" s="1">
        <v>0.0</v>
      </c>
      <c r="BF1811" s="1">
        <v>0.0</v>
      </c>
      <c r="BG1811" s="1">
        <v>0.0</v>
      </c>
      <c r="BH1811" s="1">
        <v>0.0</v>
      </c>
      <c r="BI1811" s="1">
        <v>0.0</v>
      </c>
      <c r="BJ1811" s="1">
        <v>0.0</v>
      </c>
      <c r="BP1811" s="1">
        <v>0.282</v>
      </c>
      <c r="BQ1811" s="1" t="s">
        <v>6008</v>
      </c>
      <c r="BV1811" s="1">
        <v>1.1</v>
      </c>
      <c r="EQ1811" s="9" t="s">
        <v>6007</v>
      </c>
      <c r="ER1811" s="21">
        <v>46045.30127314815</v>
      </c>
    </row>
    <row r="1812">
      <c r="A1812" s="9" t="s">
        <v>6009</v>
      </c>
      <c r="B1812" s="20" t="str">
        <f>IFERROR(__xludf.DUMMYFUNCTION("REGEXREPLACE(A1812, ""^https?://[^/]+"", """")"),"/wp-content/uploads/2022/03/117623-2018-09-InSight-Sales-ORG.jpg")</f>
        <v>/wp-content/uploads/2022/03/117623-2018-09-InSight-Sales-ORG.jpg</v>
      </c>
      <c r="F1812" s="1" t="s">
        <v>1004</v>
      </c>
      <c r="G1812" s="1">
        <v>200.0</v>
      </c>
      <c r="H1812" s="1" t="s">
        <v>966</v>
      </c>
      <c r="I1812" s="1" t="s">
        <v>967</v>
      </c>
      <c r="L1812" s="1">
        <v>0.0</v>
      </c>
      <c r="M1812" s="1">
        <v>0.0</v>
      </c>
      <c r="O1812" s="1">
        <v>0.0</v>
      </c>
      <c r="P1812" s="1">
        <v>0.0</v>
      </c>
      <c r="R1812" s="1">
        <v>0.0</v>
      </c>
      <c r="S1812" s="1">
        <v>0.0</v>
      </c>
      <c r="U1812" s="1">
        <v>0.0</v>
      </c>
      <c r="W1812" s="1">
        <v>0.0</v>
      </c>
      <c r="Y1812" s="1">
        <v>0.0</v>
      </c>
      <c r="AA1812" s="1">
        <v>0.0</v>
      </c>
      <c r="AC1812" s="1">
        <v>0.0</v>
      </c>
      <c r="AM1812" s="1">
        <v>129700.0</v>
      </c>
      <c r="AN1812" s="1">
        <v>129700.0</v>
      </c>
      <c r="AO1812" s="1">
        <v>129700.0</v>
      </c>
      <c r="AP1812" s="1">
        <v>49.686</v>
      </c>
      <c r="AR1812" s="1">
        <v>0.0</v>
      </c>
      <c r="AW1812" s="1">
        <v>0.0</v>
      </c>
      <c r="AX1812" s="1">
        <v>4.0</v>
      </c>
      <c r="AY1812" s="1">
        <v>4.0</v>
      </c>
      <c r="BA1812" s="1">
        <v>0.0</v>
      </c>
      <c r="BB1812" s="1">
        <v>0.0</v>
      </c>
      <c r="BC1812" s="1">
        <v>0.0</v>
      </c>
      <c r="BD1812" s="1">
        <v>0.0</v>
      </c>
      <c r="BE1812" s="1">
        <v>0.0</v>
      </c>
      <c r="BF1812" s="1">
        <v>0.0</v>
      </c>
      <c r="BG1812" s="1">
        <v>0.0</v>
      </c>
      <c r="BH1812" s="1">
        <v>0.0</v>
      </c>
      <c r="BI1812" s="1">
        <v>0.0</v>
      </c>
      <c r="BJ1812" s="1">
        <v>0.0</v>
      </c>
      <c r="BP1812" s="1">
        <v>0.283</v>
      </c>
      <c r="BQ1812" s="1" t="s">
        <v>6010</v>
      </c>
      <c r="BV1812" s="1">
        <v>1.1</v>
      </c>
      <c r="EQ1812" s="9" t="s">
        <v>6009</v>
      </c>
      <c r="ER1812" s="21">
        <v>46045.30128472222</v>
      </c>
    </row>
    <row r="1813">
      <c r="A1813" s="9" t="s">
        <v>6011</v>
      </c>
      <c r="B1813" s="20" t="str">
        <f>IFERROR(__xludf.DUMMYFUNCTION("REGEXREPLACE(A1813, ""^https?://[^/]+"", """")"),"/how-to-design-a-sales-compensation-plan-that-rewards-performance-and-boosts-revenue/")</f>
        <v>/how-to-design-a-sales-compensation-plan-that-rewards-performance-and-boosts-revenue/</v>
      </c>
      <c r="C1813" s="1" t="s">
        <v>6012</v>
      </c>
      <c r="F1813" s="1" t="s">
        <v>965</v>
      </c>
      <c r="G1813" s="1">
        <v>200.0</v>
      </c>
      <c r="H1813" s="1" t="s">
        <v>966</v>
      </c>
      <c r="I1813" s="1" t="s">
        <v>967</v>
      </c>
      <c r="K1813" s="1" t="s">
        <v>6012</v>
      </c>
      <c r="L1813" s="1">
        <v>83.0</v>
      </c>
      <c r="M1813" s="1">
        <v>812.0</v>
      </c>
      <c r="O1813" s="1">
        <v>0.0</v>
      </c>
      <c r="P1813" s="1">
        <v>0.0</v>
      </c>
      <c r="Q1813" s="1" t="s">
        <v>6013</v>
      </c>
      <c r="R1813" s="1">
        <v>153.0</v>
      </c>
      <c r="S1813" s="1">
        <v>956.0</v>
      </c>
      <c r="U1813" s="1">
        <v>0.0</v>
      </c>
      <c r="V1813" s="1" t="s">
        <v>6012</v>
      </c>
      <c r="W1813" s="1">
        <v>83.0</v>
      </c>
      <c r="Y1813" s="1">
        <v>0.0</v>
      </c>
      <c r="AA1813" s="1">
        <v>0.0</v>
      </c>
      <c r="AC1813" s="1">
        <v>0.0</v>
      </c>
      <c r="AD1813" s="1" t="s">
        <v>971</v>
      </c>
      <c r="AG1813" s="9" t="s">
        <v>6011</v>
      </c>
      <c r="AM1813" s="1">
        <v>197530.0</v>
      </c>
      <c r="AN1813" s="1">
        <v>34108.0</v>
      </c>
      <c r="AO1813" s="1">
        <v>34108.0</v>
      </c>
      <c r="AP1813" s="1">
        <v>13.066</v>
      </c>
      <c r="AR1813" s="1">
        <v>707.0</v>
      </c>
      <c r="AS1813" s="1">
        <v>123.0</v>
      </c>
      <c r="AT1813" s="1">
        <v>5.748</v>
      </c>
      <c r="AU1813" s="1">
        <v>62.554</v>
      </c>
      <c r="AV1813" s="1" t="s">
        <v>990</v>
      </c>
      <c r="AW1813" s="1">
        <v>3.408</v>
      </c>
      <c r="AX1813" s="1">
        <v>4.0</v>
      </c>
      <c r="AY1813" s="1">
        <v>1.0</v>
      </c>
      <c r="AZ1813" s="1">
        <v>1.0</v>
      </c>
      <c r="BA1813" s="1">
        <v>2.0</v>
      </c>
      <c r="BB1813" s="1">
        <v>1.0</v>
      </c>
      <c r="BC1813" s="1">
        <v>0.0</v>
      </c>
      <c r="BD1813" s="1">
        <v>0.13</v>
      </c>
      <c r="BE1813" s="1">
        <v>129.0</v>
      </c>
      <c r="BF1813" s="1">
        <v>47.0</v>
      </c>
      <c r="BG1813" s="1">
        <v>0.0</v>
      </c>
      <c r="BH1813" s="1">
        <v>17.0</v>
      </c>
      <c r="BI1813" s="1">
        <v>9.0</v>
      </c>
      <c r="BJ1813" s="1">
        <v>0.0</v>
      </c>
      <c r="BO1813" s="1" t="s">
        <v>6014</v>
      </c>
      <c r="BP1813" s="1">
        <v>1.081</v>
      </c>
      <c r="BU1813" s="1" t="s">
        <v>974</v>
      </c>
      <c r="BV1813" s="1">
        <v>1.1</v>
      </c>
      <c r="EQ1813" s="9" t="s">
        <v>6011</v>
      </c>
      <c r="ER1813" s="21">
        <v>46045.30127314815</v>
      </c>
    </row>
    <row r="1814">
      <c r="A1814" s="9" t="s">
        <v>6015</v>
      </c>
      <c r="B1814" s="20" t="str">
        <f>IFERROR(__xludf.DUMMYFUNCTION("REGEXREPLACE(A1814, ""^https?://[^/]+"", """")"),"/artificial-intelligence-in-sales-how-ai-is-changing-the-future-of-sales/")</f>
        <v>/artificial-intelligence-in-sales-how-ai-is-changing-the-future-of-sales/</v>
      </c>
      <c r="C1814" s="1" t="s">
        <v>6016</v>
      </c>
      <c r="D1814" s="1" t="s">
        <v>6017</v>
      </c>
      <c r="E1814" s="1" t="s">
        <v>6018</v>
      </c>
      <c r="F1814" s="1" t="s">
        <v>965</v>
      </c>
      <c r="G1814" s="1">
        <v>200.0</v>
      </c>
      <c r="H1814" s="1" t="s">
        <v>966</v>
      </c>
      <c r="I1814" s="1" t="s">
        <v>967</v>
      </c>
      <c r="K1814" s="1" t="s">
        <v>6019</v>
      </c>
      <c r="L1814" s="1">
        <v>97.0</v>
      </c>
      <c r="M1814" s="1">
        <v>829.0</v>
      </c>
      <c r="O1814" s="1">
        <v>0.0</v>
      </c>
      <c r="P1814" s="1">
        <v>0.0</v>
      </c>
      <c r="Q1814" s="1" t="s">
        <v>6020</v>
      </c>
      <c r="R1814" s="1">
        <v>105.0</v>
      </c>
      <c r="S1814" s="1">
        <v>628.0</v>
      </c>
      <c r="U1814" s="1">
        <v>0.0</v>
      </c>
      <c r="V1814" s="1" t="s">
        <v>6016</v>
      </c>
      <c r="W1814" s="1">
        <v>72.0</v>
      </c>
      <c r="Y1814" s="1">
        <v>0.0</v>
      </c>
      <c r="Z1814" s="1" t="s">
        <v>6017</v>
      </c>
      <c r="AA1814" s="1">
        <v>32.0</v>
      </c>
      <c r="AB1814" s="1" t="s">
        <v>6018</v>
      </c>
      <c r="AC1814" s="1">
        <v>44.0</v>
      </c>
      <c r="AD1814" s="1" t="s">
        <v>971</v>
      </c>
      <c r="AG1814" s="9" t="s">
        <v>6015</v>
      </c>
      <c r="AM1814" s="1">
        <v>200795.0</v>
      </c>
      <c r="AN1814" s="1">
        <v>35722.0</v>
      </c>
      <c r="AO1814" s="1">
        <v>35722.0</v>
      </c>
      <c r="AP1814" s="1">
        <v>13.684</v>
      </c>
      <c r="AR1814" s="1">
        <v>1232.0</v>
      </c>
      <c r="AS1814" s="1">
        <v>190.0</v>
      </c>
      <c r="AT1814" s="1">
        <v>6.484</v>
      </c>
      <c r="AU1814" s="1">
        <v>53.302</v>
      </c>
      <c r="AV1814" s="1" t="s">
        <v>972</v>
      </c>
      <c r="AW1814" s="1">
        <v>5.109</v>
      </c>
      <c r="AX1814" s="1">
        <v>4.0</v>
      </c>
      <c r="AY1814" s="1">
        <v>1.0</v>
      </c>
      <c r="AZ1814" s="1">
        <v>1.0</v>
      </c>
      <c r="BA1814" s="1">
        <v>1.0</v>
      </c>
      <c r="BB1814" s="1">
        <v>1.0</v>
      </c>
      <c r="BC1814" s="1">
        <v>0.0</v>
      </c>
      <c r="BD1814" s="1">
        <v>0.13</v>
      </c>
      <c r="BE1814" s="1">
        <v>134.0</v>
      </c>
      <c r="BF1814" s="1">
        <v>50.0</v>
      </c>
      <c r="BG1814" s="1">
        <v>0.0</v>
      </c>
      <c r="BH1814" s="1">
        <v>16.0</v>
      </c>
      <c r="BI1814" s="1">
        <v>8.0</v>
      </c>
      <c r="BJ1814" s="1">
        <v>0.0</v>
      </c>
      <c r="BO1814" s="1" t="s">
        <v>6021</v>
      </c>
      <c r="BP1814" s="1">
        <v>1.012</v>
      </c>
      <c r="BU1814" s="1" t="s">
        <v>974</v>
      </c>
      <c r="BV1814" s="1">
        <v>1.1</v>
      </c>
      <c r="EQ1814" s="9" t="s">
        <v>6015</v>
      </c>
      <c r="ER1814" s="21">
        <v>46045.30127314815</v>
      </c>
    </row>
    <row r="1815">
      <c r="A1815" s="9" t="s">
        <v>6022</v>
      </c>
      <c r="B1815" s="20" t="str">
        <f>IFERROR(__xludf.DUMMYFUNCTION("REGEXREPLACE(A1815, ""^https?://[^/]+"", """")"),"/wp-content/uploads/2020/12/business-man-2048x2048.jpg")</f>
        <v>/wp-content/uploads/2020/12/business-man-2048x2048.jpg</v>
      </c>
      <c r="F1815" s="1" t="s">
        <v>1004</v>
      </c>
      <c r="G1815" s="1">
        <v>200.0</v>
      </c>
      <c r="H1815" s="1" t="s">
        <v>966</v>
      </c>
      <c r="I1815" s="1" t="s">
        <v>967</v>
      </c>
      <c r="L1815" s="1">
        <v>0.0</v>
      </c>
      <c r="M1815" s="1">
        <v>0.0</v>
      </c>
      <c r="O1815" s="1">
        <v>0.0</v>
      </c>
      <c r="P1815" s="1">
        <v>0.0</v>
      </c>
      <c r="R1815" s="1">
        <v>0.0</v>
      </c>
      <c r="S1815" s="1">
        <v>0.0</v>
      </c>
      <c r="U1815" s="1">
        <v>0.0</v>
      </c>
      <c r="W1815" s="1">
        <v>0.0</v>
      </c>
      <c r="Y1815" s="1">
        <v>0.0</v>
      </c>
      <c r="AA1815" s="1">
        <v>0.0</v>
      </c>
      <c r="AC1815" s="1">
        <v>0.0</v>
      </c>
      <c r="AM1815" s="1">
        <v>208582.0</v>
      </c>
      <c r="AN1815" s="1">
        <v>208582.0</v>
      </c>
      <c r="AO1815" s="1">
        <v>208582.0</v>
      </c>
      <c r="AP1815" s="1">
        <v>79.904</v>
      </c>
      <c r="AR1815" s="1">
        <v>0.0</v>
      </c>
      <c r="AW1815" s="1">
        <v>0.0</v>
      </c>
      <c r="AX1815" s="1">
        <v>4.0</v>
      </c>
      <c r="AY1815" s="1">
        <v>4.0</v>
      </c>
      <c r="BA1815" s="1">
        <v>0.0</v>
      </c>
      <c r="BB1815" s="1">
        <v>0.0</v>
      </c>
      <c r="BC1815" s="1">
        <v>0.0</v>
      </c>
      <c r="BD1815" s="1">
        <v>0.0</v>
      </c>
      <c r="BE1815" s="1">
        <v>0.0</v>
      </c>
      <c r="BF1815" s="1">
        <v>0.0</v>
      </c>
      <c r="BG1815" s="1">
        <v>0.0</v>
      </c>
      <c r="BH1815" s="1">
        <v>0.0</v>
      </c>
      <c r="BI1815" s="1">
        <v>0.0</v>
      </c>
      <c r="BJ1815" s="1">
        <v>0.0</v>
      </c>
      <c r="BP1815" s="1">
        <v>0.416</v>
      </c>
      <c r="BQ1815" s="1" t="s">
        <v>5836</v>
      </c>
      <c r="BV1815" s="1">
        <v>1.1</v>
      </c>
      <c r="EQ1815" s="9" t="s">
        <v>6022</v>
      </c>
      <c r="ER1815" s="21">
        <v>46045.30128472222</v>
      </c>
    </row>
    <row r="1816">
      <c r="A1816" s="9" t="s">
        <v>6023</v>
      </c>
      <c r="B1816" s="20" t="str">
        <f>IFERROR(__xludf.DUMMYFUNCTION("REGEXREPLACE(A1816, ""^https?://[^/]+"", """")"),"/contact-us/")</f>
        <v>/contact-us/</v>
      </c>
      <c r="F1816" s="1" t="s">
        <v>965</v>
      </c>
      <c r="G1816" s="1">
        <v>301.0</v>
      </c>
      <c r="H1816" s="1" t="s">
        <v>1304</v>
      </c>
      <c r="I1816" s="1" t="s">
        <v>1214</v>
      </c>
      <c r="J1816" s="1" t="s">
        <v>1305</v>
      </c>
      <c r="L1816" s="1">
        <v>0.0</v>
      </c>
      <c r="M1816" s="1">
        <v>0.0</v>
      </c>
      <c r="O1816" s="1">
        <v>0.0</v>
      </c>
      <c r="P1816" s="1">
        <v>0.0</v>
      </c>
      <c r="R1816" s="1">
        <v>0.0</v>
      </c>
      <c r="S1816" s="1">
        <v>0.0</v>
      </c>
      <c r="U1816" s="1">
        <v>0.0</v>
      </c>
      <c r="W1816" s="1">
        <v>0.0</v>
      </c>
      <c r="Y1816" s="1">
        <v>0.0</v>
      </c>
      <c r="AA1816" s="1">
        <v>0.0</v>
      </c>
      <c r="AC1816" s="1">
        <v>0.0</v>
      </c>
      <c r="AM1816" s="1">
        <v>0.0</v>
      </c>
      <c r="AN1816" s="1">
        <v>0.0</v>
      </c>
      <c r="AO1816" s="1">
        <v>0.0</v>
      </c>
      <c r="AP1816" s="1">
        <v>0.0</v>
      </c>
      <c r="AR1816" s="1">
        <v>0.0</v>
      </c>
      <c r="AW1816" s="1">
        <v>0.0</v>
      </c>
      <c r="AX1816" s="1">
        <v>4.0</v>
      </c>
      <c r="AY1816" s="1">
        <v>1.0</v>
      </c>
      <c r="BA1816" s="1">
        <v>33.0</v>
      </c>
      <c r="BB1816" s="1">
        <v>33.0</v>
      </c>
      <c r="BC1816" s="1">
        <v>0.0</v>
      </c>
      <c r="BD1816" s="1">
        <v>4.38</v>
      </c>
      <c r="BE1816" s="1">
        <v>0.0</v>
      </c>
      <c r="BF1816" s="1">
        <v>0.0</v>
      </c>
      <c r="BG1816" s="1">
        <v>0.0</v>
      </c>
      <c r="BH1816" s="1">
        <v>0.0</v>
      </c>
      <c r="BI1816" s="1">
        <v>0.0</v>
      </c>
      <c r="BJ1816" s="1">
        <v>0.0</v>
      </c>
      <c r="BP1816" s="1">
        <v>1.044</v>
      </c>
      <c r="BR1816" s="9" t="s">
        <v>1338</v>
      </c>
      <c r="BS1816" s="1" t="s">
        <v>1307</v>
      </c>
      <c r="BV1816" s="1">
        <v>1.1</v>
      </c>
      <c r="EQ1816" s="9" t="s">
        <v>6023</v>
      </c>
      <c r="ER1816" s="21">
        <v>46045.30127314815</v>
      </c>
    </row>
    <row r="1817">
      <c r="A1817" s="9" t="s">
        <v>6024</v>
      </c>
      <c r="B1817" s="20" t="str">
        <f>IFERROR(__xludf.DUMMYFUNCTION("REGEXREPLACE(A1817, ""^https?://[^/]+"", """")"),"/wp-content/uploads/2020/11/sales-forecasting-2048x2048.jpg")</f>
        <v>/wp-content/uploads/2020/11/sales-forecasting-2048x2048.jpg</v>
      </c>
      <c r="F1817" s="1" t="s">
        <v>1004</v>
      </c>
      <c r="G1817" s="1">
        <v>200.0</v>
      </c>
      <c r="H1817" s="1" t="s">
        <v>966</v>
      </c>
      <c r="I1817" s="1" t="s">
        <v>967</v>
      </c>
      <c r="L1817" s="1">
        <v>0.0</v>
      </c>
      <c r="M1817" s="1">
        <v>0.0</v>
      </c>
      <c r="O1817" s="1">
        <v>0.0</v>
      </c>
      <c r="P1817" s="1">
        <v>0.0</v>
      </c>
      <c r="R1817" s="1">
        <v>0.0</v>
      </c>
      <c r="S1817" s="1">
        <v>0.0</v>
      </c>
      <c r="U1817" s="1">
        <v>0.0</v>
      </c>
      <c r="W1817" s="1">
        <v>0.0</v>
      </c>
      <c r="Y1817" s="1">
        <v>0.0</v>
      </c>
      <c r="AA1817" s="1">
        <v>0.0</v>
      </c>
      <c r="AC1817" s="1">
        <v>0.0</v>
      </c>
      <c r="AM1817" s="1">
        <v>236579.0</v>
      </c>
      <c r="AN1817" s="1">
        <v>236579.0</v>
      </c>
      <c r="AO1817" s="1">
        <v>236579.0</v>
      </c>
      <c r="AP1817" s="1">
        <v>90.629</v>
      </c>
      <c r="AR1817" s="1">
        <v>0.0</v>
      </c>
      <c r="AW1817" s="1">
        <v>0.0</v>
      </c>
      <c r="AX1817" s="1">
        <v>4.0</v>
      </c>
      <c r="AY1817" s="1">
        <v>4.0</v>
      </c>
      <c r="BA1817" s="1">
        <v>0.0</v>
      </c>
      <c r="BB1817" s="1">
        <v>0.0</v>
      </c>
      <c r="BC1817" s="1">
        <v>0.0</v>
      </c>
      <c r="BD1817" s="1">
        <v>0.0</v>
      </c>
      <c r="BE1817" s="1">
        <v>0.0</v>
      </c>
      <c r="BF1817" s="1">
        <v>0.0</v>
      </c>
      <c r="BG1817" s="1">
        <v>0.0</v>
      </c>
      <c r="BH1817" s="1">
        <v>0.0</v>
      </c>
      <c r="BI1817" s="1">
        <v>0.0</v>
      </c>
      <c r="BJ1817" s="1">
        <v>0.0</v>
      </c>
      <c r="BP1817" s="1">
        <v>0.273</v>
      </c>
      <c r="BQ1817" s="1" t="s">
        <v>5880</v>
      </c>
      <c r="BV1817" s="1">
        <v>1.1</v>
      </c>
      <c r="EQ1817" s="9" t="s">
        <v>6024</v>
      </c>
      <c r="ER1817" s="21">
        <v>46045.30128472222</v>
      </c>
    </row>
    <row r="1818">
      <c r="A1818" s="9" t="s">
        <v>6025</v>
      </c>
      <c r="B1818" s="20" t="str">
        <f>IFERROR(__xludf.DUMMYFUNCTION("REGEXREPLACE(A1818, ""^https?://[^/]+"", """")"),"/wp-content/themes/salesxceleratione/assets/css/style.css?ver=1769123516")</f>
        <v>/wp-content/themes/salesxceleratione/assets/css/style.css?ver=1769123516</v>
      </c>
      <c r="F1818" s="1" t="s">
        <v>1016</v>
      </c>
      <c r="G1818" s="1">
        <v>200.0</v>
      </c>
      <c r="H1818" s="1" t="s">
        <v>966</v>
      </c>
      <c r="I1818" s="1" t="s">
        <v>967</v>
      </c>
      <c r="L1818" s="1">
        <v>0.0</v>
      </c>
      <c r="M1818" s="1">
        <v>0.0</v>
      </c>
      <c r="O1818" s="1">
        <v>0.0</v>
      </c>
      <c r="P1818" s="1">
        <v>0.0</v>
      </c>
      <c r="R1818" s="1">
        <v>0.0</v>
      </c>
      <c r="S1818" s="1">
        <v>0.0</v>
      </c>
      <c r="U1818" s="1">
        <v>0.0</v>
      </c>
      <c r="W1818" s="1">
        <v>0.0</v>
      </c>
      <c r="Y1818" s="1">
        <v>0.0</v>
      </c>
      <c r="AA1818" s="1">
        <v>0.0</v>
      </c>
      <c r="AC1818" s="1">
        <v>0.0</v>
      </c>
      <c r="AM1818" s="1">
        <v>17704.0</v>
      </c>
      <c r="AN1818" s="1">
        <v>17704.0</v>
      </c>
      <c r="AO1818" s="1">
        <v>17704.0</v>
      </c>
      <c r="AP1818" s="1">
        <v>6.782</v>
      </c>
      <c r="AR1818" s="1">
        <v>0.0</v>
      </c>
      <c r="AW1818" s="1">
        <v>0.0</v>
      </c>
      <c r="AX1818" s="1">
        <v>4.0</v>
      </c>
      <c r="AY1818" s="1">
        <v>5.0</v>
      </c>
      <c r="BA1818" s="1">
        <v>0.0</v>
      </c>
      <c r="BB1818" s="1">
        <v>0.0</v>
      </c>
      <c r="BC1818" s="1">
        <v>0.0</v>
      </c>
      <c r="BD1818" s="1">
        <v>0.0</v>
      </c>
      <c r="BE1818" s="1">
        <v>0.0</v>
      </c>
      <c r="BF1818" s="1">
        <v>0.0</v>
      </c>
      <c r="BG1818" s="1">
        <v>0.0</v>
      </c>
      <c r="BH1818" s="1">
        <v>0.0</v>
      </c>
      <c r="BI1818" s="1">
        <v>0.0</v>
      </c>
      <c r="BJ1818" s="1">
        <v>0.0</v>
      </c>
      <c r="BP1818" s="1">
        <v>0.273</v>
      </c>
      <c r="BQ1818" s="1" t="s">
        <v>6026</v>
      </c>
      <c r="BV1818" s="1">
        <v>1.1</v>
      </c>
      <c r="EQ1818" s="9" t="s">
        <v>6025</v>
      </c>
      <c r="ER1818" s="21">
        <v>46045.30128472222</v>
      </c>
    </row>
    <row r="1819">
      <c r="A1819" s="9" t="s">
        <v>6027</v>
      </c>
      <c r="B1819" s="20" t="str">
        <f>IFERROR(__xludf.DUMMYFUNCTION("REGEXREPLACE(A1819, ""^https?://[^/]+"", """")"),"/wp-content/uploads/2023/04/Leadership-Styles-Sales-Recovery.jpg")</f>
        <v>/wp-content/uploads/2023/04/Leadership-Styles-Sales-Recovery.jpg</v>
      </c>
      <c r="F1819" s="1" t="s">
        <v>1004</v>
      </c>
      <c r="G1819" s="1">
        <v>200.0</v>
      </c>
      <c r="H1819" s="1" t="s">
        <v>966</v>
      </c>
      <c r="I1819" s="1" t="s">
        <v>967</v>
      </c>
      <c r="L1819" s="1">
        <v>0.0</v>
      </c>
      <c r="M1819" s="1">
        <v>0.0</v>
      </c>
      <c r="O1819" s="1">
        <v>0.0</v>
      </c>
      <c r="P1819" s="1">
        <v>0.0</v>
      </c>
      <c r="R1819" s="1">
        <v>0.0</v>
      </c>
      <c r="S1819" s="1">
        <v>0.0</v>
      </c>
      <c r="U1819" s="1">
        <v>0.0</v>
      </c>
      <c r="W1819" s="1">
        <v>0.0</v>
      </c>
      <c r="Y1819" s="1">
        <v>0.0</v>
      </c>
      <c r="AA1819" s="1">
        <v>0.0</v>
      </c>
      <c r="AC1819" s="1">
        <v>0.0</v>
      </c>
      <c r="AM1819" s="1">
        <v>241559.0</v>
      </c>
      <c r="AN1819" s="1">
        <v>241559.0</v>
      </c>
      <c r="AO1819" s="1">
        <v>241559.0</v>
      </c>
      <c r="AP1819" s="1">
        <v>92.537</v>
      </c>
      <c r="AR1819" s="1">
        <v>0.0</v>
      </c>
      <c r="AW1819" s="1">
        <v>0.0</v>
      </c>
      <c r="AX1819" s="1">
        <v>4.0</v>
      </c>
      <c r="AY1819" s="1">
        <v>4.0</v>
      </c>
      <c r="BA1819" s="1">
        <v>0.0</v>
      </c>
      <c r="BB1819" s="1">
        <v>0.0</v>
      </c>
      <c r="BC1819" s="1">
        <v>0.0</v>
      </c>
      <c r="BD1819" s="1">
        <v>0.0</v>
      </c>
      <c r="BE1819" s="1">
        <v>0.0</v>
      </c>
      <c r="BF1819" s="1">
        <v>0.0</v>
      </c>
      <c r="BG1819" s="1">
        <v>0.0</v>
      </c>
      <c r="BH1819" s="1">
        <v>0.0</v>
      </c>
      <c r="BI1819" s="1">
        <v>0.0</v>
      </c>
      <c r="BJ1819" s="1">
        <v>0.0</v>
      </c>
      <c r="BP1819" s="1">
        <v>0.267</v>
      </c>
      <c r="BQ1819" s="1" t="s">
        <v>6028</v>
      </c>
      <c r="BV1819" s="1">
        <v>1.1</v>
      </c>
      <c r="EQ1819" s="9" t="s">
        <v>6027</v>
      </c>
      <c r="ER1819" s="21">
        <v>46045.30128472222</v>
      </c>
    </row>
    <row r="1820">
      <c r="A1820" s="9" t="s">
        <v>6029</v>
      </c>
      <c r="B1820" s="20" t="str">
        <f>IFERROR(__xludf.DUMMYFUNCTION("REGEXREPLACE(A1820, ""^https?://[^/]+"", """")"),"/wp-content/uploads/2025/11/Remote-Sales-Teams-1024x683-1.jpg")</f>
        <v>/wp-content/uploads/2025/11/Remote-Sales-Teams-1024x683-1.jpg</v>
      </c>
      <c r="F1820" s="1" t="s">
        <v>1004</v>
      </c>
      <c r="G1820" s="1">
        <v>200.0</v>
      </c>
      <c r="H1820" s="1" t="s">
        <v>966</v>
      </c>
      <c r="I1820" s="1" t="s">
        <v>967</v>
      </c>
      <c r="L1820" s="1">
        <v>0.0</v>
      </c>
      <c r="M1820" s="1">
        <v>0.0</v>
      </c>
      <c r="O1820" s="1">
        <v>0.0</v>
      </c>
      <c r="P1820" s="1">
        <v>0.0</v>
      </c>
      <c r="R1820" s="1">
        <v>0.0</v>
      </c>
      <c r="S1820" s="1">
        <v>0.0</v>
      </c>
      <c r="U1820" s="1">
        <v>0.0</v>
      </c>
      <c r="W1820" s="1">
        <v>0.0</v>
      </c>
      <c r="Y1820" s="1">
        <v>0.0</v>
      </c>
      <c r="AA1820" s="1">
        <v>0.0</v>
      </c>
      <c r="AC1820" s="1">
        <v>0.0</v>
      </c>
      <c r="AM1820" s="1">
        <v>59408.0</v>
      </c>
      <c r="AN1820" s="1">
        <v>59408.0</v>
      </c>
      <c r="AO1820" s="1">
        <v>59408.0</v>
      </c>
      <c r="AP1820" s="1">
        <v>22.758</v>
      </c>
      <c r="AR1820" s="1">
        <v>0.0</v>
      </c>
      <c r="AW1820" s="1">
        <v>0.0</v>
      </c>
      <c r="AX1820" s="1">
        <v>4.0</v>
      </c>
      <c r="AY1820" s="1">
        <v>4.0</v>
      </c>
      <c r="BA1820" s="1">
        <v>0.0</v>
      </c>
      <c r="BB1820" s="1">
        <v>0.0</v>
      </c>
      <c r="BC1820" s="1">
        <v>0.0</v>
      </c>
      <c r="BD1820" s="1">
        <v>0.0</v>
      </c>
      <c r="BE1820" s="1">
        <v>0.0</v>
      </c>
      <c r="BF1820" s="1">
        <v>0.0</v>
      </c>
      <c r="BG1820" s="1">
        <v>0.0</v>
      </c>
      <c r="BH1820" s="1">
        <v>0.0</v>
      </c>
      <c r="BI1820" s="1">
        <v>0.0</v>
      </c>
      <c r="BJ1820" s="1">
        <v>0.0</v>
      </c>
      <c r="BP1820" s="1">
        <v>0.28</v>
      </c>
      <c r="BQ1820" s="1" t="s">
        <v>4011</v>
      </c>
      <c r="BV1820" s="1">
        <v>1.1</v>
      </c>
      <c r="EQ1820" s="9" t="s">
        <v>6029</v>
      </c>
      <c r="ER1820" s="21">
        <v>46045.3012962963</v>
      </c>
    </row>
    <row r="1821">
      <c r="A1821" s="9" t="s">
        <v>6030</v>
      </c>
      <c r="B1821" s="20" t="str">
        <f>IFERROR(__xludf.DUMMYFUNCTION("REGEXREPLACE(A1821, ""^https?://[^/]+"", """")"),"/wp-content/themes/salesxceleratione/assets/css/style.css?ver=1769123517")</f>
        <v>/wp-content/themes/salesxceleratione/assets/css/style.css?ver=1769123517</v>
      </c>
      <c r="F1821" s="1" t="s">
        <v>1016</v>
      </c>
      <c r="G1821" s="1">
        <v>200.0</v>
      </c>
      <c r="H1821" s="1" t="s">
        <v>966</v>
      </c>
      <c r="I1821" s="1" t="s">
        <v>967</v>
      </c>
      <c r="L1821" s="1">
        <v>0.0</v>
      </c>
      <c r="M1821" s="1">
        <v>0.0</v>
      </c>
      <c r="O1821" s="1">
        <v>0.0</v>
      </c>
      <c r="P1821" s="1">
        <v>0.0</v>
      </c>
      <c r="R1821" s="1">
        <v>0.0</v>
      </c>
      <c r="S1821" s="1">
        <v>0.0</v>
      </c>
      <c r="U1821" s="1">
        <v>0.0</v>
      </c>
      <c r="W1821" s="1">
        <v>0.0</v>
      </c>
      <c r="Y1821" s="1">
        <v>0.0</v>
      </c>
      <c r="AA1821" s="1">
        <v>0.0</v>
      </c>
      <c r="AC1821" s="1">
        <v>0.0</v>
      </c>
      <c r="AM1821" s="1">
        <v>17704.0</v>
      </c>
      <c r="AN1821" s="1">
        <v>17704.0</v>
      </c>
      <c r="AO1821" s="1">
        <v>17704.0</v>
      </c>
      <c r="AP1821" s="1">
        <v>6.782</v>
      </c>
      <c r="AR1821" s="1">
        <v>0.0</v>
      </c>
      <c r="AW1821" s="1">
        <v>0.0</v>
      </c>
      <c r="AX1821" s="1">
        <v>4.0</v>
      </c>
      <c r="AY1821" s="1">
        <v>5.0</v>
      </c>
      <c r="BA1821" s="1">
        <v>0.0</v>
      </c>
      <c r="BB1821" s="1">
        <v>0.0</v>
      </c>
      <c r="BC1821" s="1">
        <v>0.0</v>
      </c>
      <c r="BD1821" s="1">
        <v>0.0</v>
      </c>
      <c r="BE1821" s="1">
        <v>0.0</v>
      </c>
      <c r="BF1821" s="1">
        <v>0.0</v>
      </c>
      <c r="BG1821" s="1">
        <v>0.0</v>
      </c>
      <c r="BH1821" s="1">
        <v>0.0</v>
      </c>
      <c r="BI1821" s="1">
        <v>0.0</v>
      </c>
      <c r="BJ1821" s="1">
        <v>0.0</v>
      </c>
      <c r="BP1821" s="1">
        <v>0.286</v>
      </c>
      <c r="BQ1821" s="1" t="s">
        <v>6026</v>
      </c>
      <c r="BV1821" s="1">
        <v>1.1</v>
      </c>
      <c r="EQ1821" s="9" t="s">
        <v>6030</v>
      </c>
      <c r="ER1821" s="21">
        <v>46045.3012962963</v>
      </c>
    </row>
    <row r="1822">
      <c r="A1822" s="9" t="s">
        <v>6031</v>
      </c>
      <c r="B1822" s="20" t="str">
        <f>IFERROR(__xludf.DUMMYFUNCTION("REGEXREPLACE(A1822, ""^https?://[^/]+"", """")"),"/wp-content/themes/salesxceleratione/assets/css/style.css?ver=1769123518")</f>
        <v>/wp-content/themes/salesxceleratione/assets/css/style.css?ver=1769123518</v>
      </c>
      <c r="F1822" s="1" t="s">
        <v>1016</v>
      </c>
      <c r="G1822" s="1">
        <v>200.0</v>
      </c>
      <c r="H1822" s="1" t="s">
        <v>966</v>
      </c>
      <c r="I1822" s="1" t="s">
        <v>967</v>
      </c>
      <c r="L1822" s="1">
        <v>0.0</v>
      </c>
      <c r="M1822" s="1">
        <v>0.0</v>
      </c>
      <c r="O1822" s="1">
        <v>0.0</v>
      </c>
      <c r="P1822" s="1">
        <v>0.0</v>
      </c>
      <c r="R1822" s="1">
        <v>0.0</v>
      </c>
      <c r="S1822" s="1">
        <v>0.0</v>
      </c>
      <c r="U1822" s="1">
        <v>0.0</v>
      </c>
      <c r="W1822" s="1">
        <v>0.0</v>
      </c>
      <c r="Y1822" s="1">
        <v>0.0</v>
      </c>
      <c r="AA1822" s="1">
        <v>0.0</v>
      </c>
      <c r="AC1822" s="1">
        <v>0.0</v>
      </c>
      <c r="AM1822" s="1">
        <v>17704.0</v>
      </c>
      <c r="AN1822" s="1">
        <v>17704.0</v>
      </c>
      <c r="AO1822" s="1">
        <v>17704.0</v>
      </c>
      <c r="AP1822" s="1">
        <v>6.782</v>
      </c>
      <c r="AR1822" s="1">
        <v>0.0</v>
      </c>
      <c r="AW1822" s="1">
        <v>0.0</v>
      </c>
      <c r="AX1822" s="1">
        <v>4.0</v>
      </c>
      <c r="AY1822" s="1">
        <v>5.0</v>
      </c>
      <c r="BA1822" s="1">
        <v>0.0</v>
      </c>
      <c r="BB1822" s="1">
        <v>0.0</v>
      </c>
      <c r="BC1822" s="1">
        <v>0.0</v>
      </c>
      <c r="BD1822" s="1">
        <v>0.0</v>
      </c>
      <c r="BE1822" s="1">
        <v>0.0</v>
      </c>
      <c r="BF1822" s="1">
        <v>0.0</v>
      </c>
      <c r="BG1822" s="1">
        <v>0.0</v>
      </c>
      <c r="BH1822" s="1">
        <v>0.0</v>
      </c>
      <c r="BI1822" s="1">
        <v>0.0</v>
      </c>
      <c r="BJ1822" s="1">
        <v>0.0</v>
      </c>
      <c r="BP1822" s="1">
        <v>0.274</v>
      </c>
      <c r="BQ1822" s="1" t="s">
        <v>6026</v>
      </c>
      <c r="BV1822" s="1">
        <v>1.1</v>
      </c>
      <c r="EQ1822" s="9" t="s">
        <v>6031</v>
      </c>
      <c r="ER1822" s="21">
        <v>46045.3012962963</v>
      </c>
    </row>
    <row r="1823">
      <c r="A1823" s="9" t="s">
        <v>6032</v>
      </c>
      <c r="B1823" s="20" t="str">
        <f>IFERROR(__xludf.DUMMYFUNCTION("REGEXREPLACE(A1823, ""^https?://[^/]+"", """")"),"/wp-content/uploads/2014/07/many-hats.jpg")</f>
        <v>/wp-content/uploads/2014/07/many-hats.jpg</v>
      </c>
      <c r="F1823" s="1" t="s">
        <v>1004</v>
      </c>
      <c r="G1823" s="1">
        <v>200.0</v>
      </c>
      <c r="H1823" s="1" t="s">
        <v>966</v>
      </c>
      <c r="I1823" s="1" t="s">
        <v>967</v>
      </c>
      <c r="L1823" s="1">
        <v>0.0</v>
      </c>
      <c r="M1823" s="1">
        <v>0.0</v>
      </c>
      <c r="O1823" s="1">
        <v>0.0</v>
      </c>
      <c r="P1823" s="1">
        <v>0.0</v>
      </c>
      <c r="R1823" s="1">
        <v>0.0</v>
      </c>
      <c r="S1823" s="1">
        <v>0.0</v>
      </c>
      <c r="U1823" s="1">
        <v>0.0</v>
      </c>
      <c r="W1823" s="1">
        <v>0.0</v>
      </c>
      <c r="Y1823" s="1">
        <v>0.0</v>
      </c>
      <c r="AA1823" s="1">
        <v>0.0</v>
      </c>
      <c r="AC1823" s="1">
        <v>0.0</v>
      </c>
      <c r="AM1823" s="1">
        <v>116834.0</v>
      </c>
      <c r="AN1823" s="1">
        <v>116834.0</v>
      </c>
      <c r="AO1823" s="1">
        <v>116834.0</v>
      </c>
      <c r="AP1823" s="1">
        <v>44.757</v>
      </c>
      <c r="AR1823" s="1">
        <v>0.0</v>
      </c>
      <c r="AW1823" s="1">
        <v>0.0</v>
      </c>
      <c r="AX1823" s="1">
        <v>4.0</v>
      </c>
      <c r="AY1823" s="1">
        <v>4.0</v>
      </c>
      <c r="BA1823" s="1">
        <v>0.0</v>
      </c>
      <c r="BB1823" s="1">
        <v>0.0</v>
      </c>
      <c r="BC1823" s="1">
        <v>0.0</v>
      </c>
      <c r="BD1823" s="1">
        <v>0.0</v>
      </c>
      <c r="BE1823" s="1">
        <v>0.0</v>
      </c>
      <c r="BF1823" s="1">
        <v>0.0</v>
      </c>
      <c r="BG1823" s="1">
        <v>0.0</v>
      </c>
      <c r="BH1823" s="1">
        <v>0.0</v>
      </c>
      <c r="BI1823" s="1">
        <v>0.0</v>
      </c>
      <c r="BJ1823" s="1">
        <v>0.0</v>
      </c>
      <c r="BP1823" s="1">
        <v>0.274</v>
      </c>
      <c r="BQ1823" s="1" t="s">
        <v>6033</v>
      </c>
      <c r="BV1823" s="1">
        <v>1.1</v>
      </c>
      <c r="EQ1823" s="9" t="s">
        <v>6032</v>
      </c>
      <c r="ER1823" s="21">
        <v>46045.3012962963</v>
      </c>
    </row>
    <row r="1824">
      <c r="A1824" s="9" t="s">
        <v>6034</v>
      </c>
      <c r="B1824" s="20" t="str">
        <f>IFERROR(__xludf.DUMMYFUNCTION("REGEXREPLACE(A1824, ""^https?://[^/]+"", """")"),"/wp-content/uploads/2021/03/Change-Your-Path-2-2048x2048.jpg")</f>
        <v>/wp-content/uploads/2021/03/Change-Your-Path-2-2048x2048.jpg</v>
      </c>
      <c r="F1824" s="1" t="s">
        <v>1004</v>
      </c>
      <c r="G1824" s="1">
        <v>200.0</v>
      </c>
      <c r="H1824" s="1" t="s">
        <v>966</v>
      </c>
      <c r="I1824" s="1" t="s">
        <v>967</v>
      </c>
      <c r="L1824" s="1">
        <v>0.0</v>
      </c>
      <c r="M1824" s="1">
        <v>0.0</v>
      </c>
      <c r="O1824" s="1">
        <v>0.0</v>
      </c>
      <c r="P1824" s="1">
        <v>0.0</v>
      </c>
      <c r="R1824" s="1">
        <v>0.0</v>
      </c>
      <c r="S1824" s="1">
        <v>0.0</v>
      </c>
      <c r="U1824" s="1">
        <v>0.0</v>
      </c>
      <c r="W1824" s="1">
        <v>0.0</v>
      </c>
      <c r="Y1824" s="1">
        <v>0.0</v>
      </c>
      <c r="AA1824" s="1">
        <v>0.0</v>
      </c>
      <c r="AC1824" s="1">
        <v>0.0</v>
      </c>
      <c r="AM1824" s="1">
        <v>608086.0</v>
      </c>
      <c r="AN1824" s="1">
        <v>608086.0</v>
      </c>
      <c r="AO1824" s="1">
        <v>608086.0</v>
      </c>
      <c r="AP1824" s="1">
        <v>232.946</v>
      </c>
      <c r="AR1824" s="1">
        <v>0.0</v>
      </c>
      <c r="AW1824" s="1">
        <v>0.0</v>
      </c>
      <c r="AX1824" s="1">
        <v>4.0</v>
      </c>
      <c r="AY1824" s="1">
        <v>4.0</v>
      </c>
      <c r="BA1824" s="1">
        <v>0.0</v>
      </c>
      <c r="BB1824" s="1">
        <v>0.0</v>
      </c>
      <c r="BC1824" s="1">
        <v>0.0</v>
      </c>
      <c r="BD1824" s="1">
        <v>0.0</v>
      </c>
      <c r="BE1824" s="1">
        <v>0.0</v>
      </c>
      <c r="BF1824" s="1">
        <v>0.0</v>
      </c>
      <c r="BG1824" s="1">
        <v>0.0</v>
      </c>
      <c r="BH1824" s="1">
        <v>0.0</v>
      </c>
      <c r="BI1824" s="1">
        <v>0.0</v>
      </c>
      <c r="BJ1824" s="1">
        <v>0.0</v>
      </c>
      <c r="BP1824" s="1">
        <v>0.272</v>
      </c>
      <c r="BQ1824" s="1" t="s">
        <v>6035</v>
      </c>
      <c r="BV1824" s="1">
        <v>1.1</v>
      </c>
      <c r="EQ1824" s="9" t="s">
        <v>6034</v>
      </c>
      <c r="ER1824" s="21">
        <v>46045.3012962963</v>
      </c>
    </row>
    <row r="1825">
      <c r="A1825" s="9" t="s">
        <v>6036</v>
      </c>
      <c r="B1825" s="20" t="str">
        <f>IFERROR(__xludf.DUMMYFUNCTION("REGEXREPLACE(A1825, ""^https?://[^/]+"", """")"),"/author/mthacker2/")</f>
        <v>/author/mthacker2/</v>
      </c>
      <c r="C1825" s="1" t="s">
        <v>6037</v>
      </c>
      <c r="F1825" s="1" t="s">
        <v>965</v>
      </c>
      <c r="G1825" s="1">
        <v>200.0</v>
      </c>
      <c r="H1825" s="1" t="s">
        <v>966</v>
      </c>
      <c r="I1825" s="1" t="s">
        <v>967</v>
      </c>
      <c r="K1825" s="1" t="s">
        <v>6038</v>
      </c>
      <c r="L1825" s="1">
        <v>41.0</v>
      </c>
      <c r="M1825" s="1">
        <v>375.0</v>
      </c>
      <c r="O1825" s="1">
        <v>0.0</v>
      </c>
      <c r="P1825" s="1">
        <v>0.0</v>
      </c>
      <c r="R1825" s="1">
        <v>0.0</v>
      </c>
      <c r="S1825" s="1">
        <v>0.0</v>
      </c>
      <c r="U1825" s="1">
        <v>0.0</v>
      </c>
      <c r="V1825" s="1" t="s">
        <v>6037</v>
      </c>
      <c r="W1825" s="1">
        <v>12.0</v>
      </c>
      <c r="Y1825" s="1">
        <v>0.0</v>
      </c>
      <c r="AA1825" s="1">
        <v>0.0</v>
      </c>
      <c r="AC1825" s="1">
        <v>0.0</v>
      </c>
      <c r="AD1825" s="1" t="s">
        <v>971</v>
      </c>
      <c r="AG1825" s="9" t="s">
        <v>6036</v>
      </c>
      <c r="AH1825" s="9" t="s">
        <v>6039</v>
      </c>
      <c r="AM1825" s="1">
        <v>174591.0</v>
      </c>
      <c r="AN1825" s="1">
        <v>32765.0</v>
      </c>
      <c r="AO1825" s="1">
        <v>32765.0</v>
      </c>
      <c r="AP1825" s="1">
        <v>12.552</v>
      </c>
      <c r="AR1825" s="1">
        <v>986.0</v>
      </c>
      <c r="AS1825" s="1">
        <v>165.0</v>
      </c>
      <c r="AT1825" s="1">
        <v>5.976</v>
      </c>
      <c r="AU1825" s="1">
        <v>66.662</v>
      </c>
      <c r="AV1825" s="1" t="s">
        <v>990</v>
      </c>
      <c r="AW1825" s="1">
        <v>4.784</v>
      </c>
      <c r="AX1825" s="1">
        <v>4.0</v>
      </c>
      <c r="AY1825" s="1">
        <v>2.0</v>
      </c>
      <c r="AZ1825" s="1">
        <v>1.0</v>
      </c>
      <c r="BA1825" s="1">
        <v>162.0</v>
      </c>
      <c r="BB1825" s="1">
        <v>54.0</v>
      </c>
      <c r="BC1825" s="1">
        <v>0.0</v>
      </c>
      <c r="BD1825" s="1">
        <v>7.16</v>
      </c>
      <c r="BE1825" s="1">
        <v>158.0</v>
      </c>
      <c r="BF1825" s="1">
        <v>54.0</v>
      </c>
      <c r="BG1825" s="1">
        <v>0.0</v>
      </c>
      <c r="BH1825" s="1">
        <v>16.0</v>
      </c>
      <c r="BI1825" s="1">
        <v>8.0</v>
      </c>
      <c r="BJ1825" s="1">
        <v>0.0</v>
      </c>
      <c r="BO1825" s="1" t="s">
        <v>6040</v>
      </c>
      <c r="BP1825" s="1">
        <v>1.028</v>
      </c>
      <c r="BU1825" s="1" t="s">
        <v>974</v>
      </c>
      <c r="BV1825" s="1">
        <v>1.1</v>
      </c>
      <c r="EQ1825" s="9" t="s">
        <v>6036</v>
      </c>
      <c r="ER1825" s="21">
        <v>46045.30128472222</v>
      </c>
    </row>
    <row r="1826">
      <c r="A1826" s="9" t="s">
        <v>6041</v>
      </c>
      <c r="B1826" s="20" t="str">
        <f>IFERROR(__xludf.DUMMYFUNCTION("REGEXREPLACE(A1826, ""^https?://[^/]+"", """")"),"/wp-content/uploads/2016/03/Change-RS-72-560-x-225-2048x2048.jpg")</f>
        <v>/wp-content/uploads/2016/03/Change-RS-72-560-x-225-2048x2048.jpg</v>
      </c>
      <c r="F1826" s="1" t="s">
        <v>1004</v>
      </c>
      <c r="G1826" s="1">
        <v>200.0</v>
      </c>
      <c r="H1826" s="1" t="s">
        <v>966</v>
      </c>
      <c r="I1826" s="1" t="s">
        <v>967</v>
      </c>
      <c r="L1826" s="1">
        <v>0.0</v>
      </c>
      <c r="M1826" s="1">
        <v>0.0</v>
      </c>
      <c r="O1826" s="1">
        <v>0.0</v>
      </c>
      <c r="P1826" s="1">
        <v>0.0</v>
      </c>
      <c r="R1826" s="1">
        <v>0.0</v>
      </c>
      <c r="S1826" s="1">
        <v>0.0</v>
      </c>
      <c r="U1826" s="1">
        <v>0.0</v>
      </c>
      <c r="W1826" s="1">
        <v>0.0</v>
      </c>
      <c r="Y1826" s="1">
        <v>0.0</v>
      </c>
      <c r="AA1826" s="1">
        <v>0.0</v>
      </c>
      <c r="AC1826" s="1">
        <v>0.0</v>
      </c>
      <c r="AM1826" s="1">
        <v>240420.0</v>
      </c>
      <c r="AN1826" s="1">
        <v>240420.0</v>
      </c>
      <c r="AO1826" s="1">
        <v>240420.0</v>
      </c>
      <c r="AP1826" s="1">
        <v>92.1</v>
      </c>
      <c r="AR1826" s="1">
        <v>0.0</v>
      </c>
      <c r="AW1826" s="1">
        <v>0.0</v>
      </c>
      <c r="AX1826" s="1">
        <v>4.0</v>
      </c>
      <c r="AY1826" s="1">
        <v>4.0</v>
      </c>
      <c r="BA1826" s="1">
        <v>0.0</v>
      </c>
      <c r="BB1826" s="1">
        <v>0.0</v>
      </c>
      <c r="BC1826" s="1">
        <v>0.0</v>
      </c>
      <c r="BD1826" s="1">
        <v>0.0</v>
      </c>
      <c r="BE1826" s="1">
        <v>0.0</v>
      </c>
      <c r="BF1826" s="1">
        <v>0.0</v>
      </c>
      <c r="BG1826" s="1">
        <v>0.0</v>
      </c>
      <c r="BH1826" s="1">
        <v>0.0</v>
      </c>
      <c r="BI1826" s="1">
        <v>0.0</v>
      </c>
      <c r="BJ1826" s="1">
        <v>0.0</v>
      </c>
      <c r="BP1826" s="1">
        <v>0.267</v>
      </c>
      <c r="BQ1826" s="1" t="s">
        <v>6042</v>
      </c>
      <c r="BV1826" s="1">
        <v>1.1</v>
      </c>
      <c r="EQ1826" s="9" t="s">
        <v>6041</v>
      </c>
      <c r="ER1826" s="21">
        <v>46045.3012962963</v>
      </c>
    </row>
    <row r="1827">
      <c r="A1827" s="9" t="s">
        <v>6043</v>
      </c>
      <c r="B1827" s="20" t="str">
        <f>IFERROR(__xludf.DUMMYFUNCTION("REGEXREPLACE(A1827, ""^https?://[^/]+"", """")"),"/wp-content/uploads/2015/12/Ripples-2048x2048.jpg")</f>
        <v>/wp-content/uploads/2015/12/Ripples-2048x2048.jpg</v>
      </c>
      <c r="F1827" s="1" t="s">
        <v>1004</v>
      </c>
      <c r="G1827" s="1">
        <v>200.0</v>
      </c>
      <c r="H1827" s="1" t="s">
        <v>966</v>
      </c>
      <c r="I1827" s="1" t="s">
        <v>967</v>
      </c>
      <c r="L1827" s="1">
        <v>0.0</v>
      </c>
      <c r="M1827" s="1">
        <v>0.0</v>
      </c>
      <c r="O1827" s="1">
        <v>0.0</v>
      </c>
      <c r="P1827" s="1">
        <v>0.0</v>
      </c>
      <c r="R1827" s="1">
        <v>0.0</v>
      </c>
      <c r="S1827" s="1">
        <v>0.0</v>
      </c>
      <c r="U1827" s="1">
        <v>0.0</v>
      </c>
      <c r="W1827" s="1">
        <v>0.0</v>
      </c>
      <c r="Y1827" s="1">
        <v>0.0</v>
      </c>
      <c r="AA1827" s="1">
        <v>0.0</v>
      </c>
      <c r="AC1827" s="1">
        <v>0.0</v>
      </c>
      <c r="AM1827" s="1">
        <v>247534.0</v>
      </c>
      <c r="AN1827" s="1">
        <v>247534.0</v>
      </c>
      <c r="AO1827" s="1">
        <v>247534.0</v>
      </c>
      <c r="AP1827" s="1">
        <v>94.826</v>
      </c>
      <c r="AR1827" s="1">
        <v>0.0</v>
      </c>
      <c r="AW1827" s="1">
        <v>0.0</v>
      </c>
      <c r="AX1827" s="1">
        <v>4.0</v>
      </c>
      <c r="AY1827" s="1">
        <v>4.0</v>
      </c>
      <c r="BA1827" s="1">
        <v>0.0</v>
      </c>
      <c r="BB1827" s="1">
        <v>0.0</v>
      </c>
      <c r="BC1827" s="1">
        <v>0.0</v>
      </c>
      <c r="BD1827" s="1">
        <v>0.0</v>
      </c>
      <c r="BE1827" s="1">
        <v>0.0</v>
      </c>
      <c r="BF1827" s="1">
        <v>0.0</v>
      </c>
      <c r="BG1827" s="1">
        <v>0.0</v>
      </c>
      <c r="BH1827" s="1">
        <v>0.0</v>
      </c>
      <c r="BI1827" s="1">
        <v>0.0</v>
      </c>
      <c r="BJ1827" s="1">
        <v>0.0</v>
      </c>
      <c r="BP1827" s="1">
        <v>0.28</v>
      </c>
      <c r="BQ1827" s="1" t="s">
        <v>6044</v>
      </c>
      <c r="BV1827" s="1">
        <v>1.1</v>
      </c>
      <c r="EQ1827" s="9" t="s">
        <v>6043</v>
      </c>
      <c r="ER1827" s="21">
        <v>46045.3012962963</v>
      </c>
    </row>
    <row r="1828">
      <c r="A1828" s="9" t="s">
        <v>6045</v>
      </c>
      <c r="B1828" s="20" t="str">
        <f>IFERROR(__xludf.DUMMYFUNCTION("REGEXREPLACE(A1828, ""^https?://[^/]+"", """")"),"/wp-content/uploads/2013/12/Hiring-mistakes.jpg")</f>
        <v>/wp-content/uploads/2013/12/Hiring-mistakes.jpg</v>
      </c>
      <c r="F1828" s="1" t="s">
        <v>1004</v>
      </c>
      <c r="G1828" s="1">
        <v>200.0</v>
      </c>
      <c r="H1828" s="1" t="s">
        <v>966</v>
      </c>
      <c r="I1828" s="1" t="s">
        <v>967</v>
      </c>
      <c r="L1828" s="1">
        <v>0.0</v>
      </c>
      <c r="M1828" s="1">
        <v>0.0</v>
      </c>
      <c r="O1828" s="1">
        <v>0.0</v>
      </c>
      <c r="P1828" s="1">
        <v>0.0</v>
      </c>
      <c r="R1828" s="1">
        <v>0.0</v>
      </c>
      <c r="S1828" s="1">
        <v>0.0</v>
      </c>
      <c r="U1828" s="1">
        <v>0.0</v>
      </c>
      <c r="W1828" s="1">
        <v>0.0</v>
      </c>
      <c r="Y1828" s="1">
        <v>0.0</v>
      </c>
      <c r="AA1828" s="1">
        <v>0.0</v>
      </c>
      <c r="AC1828" s="1">
        <v>0.0</v>
      </c>
      <c r="AM1828" s="1">
        <v>89993.0</v>
      </c>
      <c r="AN1828" s="1">
        <v>89993.0</v>
      </c>
      <c r="AO1828" s="1">
        <v>89993.0</v>
      </c>
      <c r="AP1828" s="1">
        <v>34.475</v>
      </c>
      <c r="AR1828" s="1">
        <v>0.0</v>
      </c>
      <c r="AW1828" s="1">
        <v>0.0</v>
      </c>
      <c r="AX1828" s="1">
        <v>4.0</v>
      </c>
      <c r="AY1828" s="1">
        <v>4.0</v>
      </c>
      <c r="BA1828" s="1">
        <v>0.0</v>
      </c>
      <c r="BB1828" s="1">
        <v>0.0</v>
      </c>
      <c r="BC1828" s="1">
        <v>0.0</v>
      </c>
      <c r="BD1828" s="1">
        <v>0.0</v>
      </c>
      <c r="BE1828" s="1">
        <v>0.0</v>
      </c>
      <c r="BF1828" s="1">
        <v>0.0</v>
      </c>
      <c r="BG1828" s="1">
        <v>0.0</v>
      </c>
      <c r="BH1828" s="1">
        <v>0.0</v>
      </c>
      <c r="BI1828" s="1">
        <v>0.0</v>
      </c>
      <c r="BJ1828" s="1">
        <v>0.0</v>
      </c>
      <c r="BP1828" s="1">
        <v>0.28</v>
      </c>
      <c r="BQ1828" s="1" t="s">
        <v>6046</v>
      </c>
      <c r="BV1828" s="1">
        <v>1.1</v>
      </c>
      <c r="EQ1828" s="9" t="s">
        <v>6045</v>
      </c>
      <c r="ER1828" s="21">
        <v>46045.3012962963</v>
      </c>
    </row>
    <row r="1829">
      <c r="A1829" s="9" t="s">
        <v>6047</v>
      </c>
      <c r="B1829" s="20" t="str">
        <f>IFERROR(__xludf.DUMMYFUNCTION("REGEXREPLACE(A1829, ""^https?://[^/]+"", """")"),"/wp-content/uploads/2016/05/business-man-many-arms-2048x2048.jpg")</f>
        <v>/wp-content/uploads/2016/05/business-man-many-arms-2048x2048.jpg</v>
      </c>
      <c r="F1829" s="1" t="s">
        <v>1004</v>
      </c>
      <c r="G1829" s="1">
        <v>200.0</v>
      </c>
      <c r="H1829" s="1" t="s">
        <v>966</v>
      </c>
      <c r="I1829" s="1" t="s">
        <v>967</v>
      </c>
      <c r="L1829" s="1">
        <v>0.0</v>
      </c>
      <c r="M1829" s="1">
        <v>0.0</v>
      </c>
      <c r="O1829" s="1">
        <v>0.0</v>
      </c>
      <c r="P1829" s="1">
        <v>0.0</v>
      </c>
      <c r="R1829" s="1">
        <v>0.0</v>
      </c>
      <c r="S1829" s="1">
        <v>0.0</v>
      </c>
      <c r="U1829" s="1">
        <v>0.0</v>
      </c>
      <c r="W1829" s="1">
        <v>0.0</v>
      </c>
      <c r="Y1829" s="1">
        <v>0.0</v>
      </c>
      <c r="AA1829" s="1">
        <v>0.0</v>
      </c>
      <c r="AC1829" s="1">
        <v>0.0</v>
      </c>
      <c r="AM1829" s="1">
        <v>385476.0</v>
      </c>
      <c r="AN1829" s="1">
        <v>385476.0</v>
      </c>
      <c r="AO1829" s="1">
        <v>385476.0</v>
      </c>
      <c r="AP1829" s="1">
        <v>147.669</v>
      </c>
      <c r="AR1829" s="1">
        <v>0.0</v>
      </c>
      <c r="AW1829" s="1">
        <v>0.0</v>
      </c>
      <c r="AX1829" s="1">
        <v>4.0</v>
      </c>
      <c r="AY1829" s="1">
        <v>4.0</v>
      </c>
      <c r="BA1829" s="1">
        <v>0.0</v>
      </c>
      <c r="BB1829" s="1">
        <v>0.0</v>
      </c>
      <c r="BC1829" s="1">
        <v>0.0</v>
      </c>
      <c r="BD1829" s="1">
        <v>0.0</v>
      </c>
      <c r="BE1829" s="1">
        <v>0.0</v>
      </c>
      <c r="BF1829" s="1">
        <v>0.0</v>
      </c>
      <c r="BG1829" s="1">
        <v>0.0</v>
      </c>
      <c r="BH1829" s="1">
        <v>0.0</v>
      </c>
      <c r="BI1829" s="1">
        <v>0.0</v>
      </c>
      <c r="BJ1829" s="1">
        <v>0.0</v>
      </c>
      <c r="BP1829" s="1">
        <v>0.287</v>
      </c>
      <c r="BQ1829" s="1" t="s">
        <v>6048</v>
      </c>
      <c r="BV1829" s="1">
        <v>1.1</v>
      </c>
      <c r="EQ1829" s="9" t="s">
        <v>6047</v>
      </c>
      <c r="ER1829" s="21">
        <v>46045.3012962963</v>
      </c>
    </row>
    <row r="1830">
      <c r="A1830" s="9" t="s">
        <v>6049</v>
      </c>
      <c r="B1830" s="20" t="str">
        <f>IFERROR(__xludf.DUMMYFUNCTION("REGEXREPLACE(A1830, ""^https?://[^/]+"", """")"),"/making-a-difference-5-critical-hiring-mistakes-small-business-owners-make-and-how-you-can-help-them-avoid-hiring-the-wrong-salesperson/")</f>
        <v>/making-a-difference-5-critical-hiring-mistakes-small-business-owners-make-and-how-you-can-help-them-avoid-hiring-the-wrong-salesperson/</v>
      </c>
      <c r="C1830" s="1" t="s">
        <v>6050</v>
      </c>
      <c r="F1830" s="1" t="s">
        <v>965</v>
      </c>
      <c r="G1830" s="1">
        <v>200.0</v>
      </c>
      <c r="H1830" s="1" t="s">
        <v>966</v>
      </c>
      <c r="I1830" s="1" t="s">
        <v>967</v>
      </c>
      <c r="K1830" s="1" t="s">
        <v>6051</v>
      </c>
      <c r="L1830" s="1">
        <v>33.0</v>
      </c>
      <c r="M1830" s="1">
        <v>289.0</v>
      </c>
      <c r="O1830" s="1">
        <v>0.0</v>
      </c>
      <c r="P1830" s="1">
        <v>0.0</v>
      </c>
      <c r="Q1830" s="1" t="s">
        <v>6052</v>
      </c>
      <c r="R1830" s="1">
        <v>151.0</v>
      </c>
      <c r="S1830" s="1">
        <v>904.0</v>
      </c>
      <c r="U1830" s="1">
        <v>0.0</v>
      </c>
      <c r="V1830" s="1" t="s">
        <v>6050</v>
      </c>
      <c r="W1830" s="1">
        <v>137.0</v>
      </c>
      <c r="Y1830" s="1">
        <v>0.0</v>
      </c>
      <c r="AA1830" s="1">
        <v>0.0</v>
      </c>
      <c r="AC1830" s="1">
        <v>0.0</v>
      </c>
      <c r="AD1830" s="1" t="s">
        <v>971</v>
      </c>
      <c r="AG1830" s="9" t="s">
        <v>6049</v>
      </c>
      <c r="AM1830" s="1">
        <v>202170.0</v>
      </c>
      <c r="AN1830" s="1">
        <v>35689.0</v>
      </c>
      <c r="AO1830" s="1">
        <v>35689.0</v>
      </c>
      <c r="AP1830" s="1">
        <v>13.672</v>
      </c>
      <c r="AR1830" s="1">
        <v>1248.0</v>
      </c>
      <c r="AS1830" s="1">
        <v>191.0</v>
      </c>
      <c r="AT1830" s="1">
        <v>6.534</v>
      </c>
      <c r="AU1830" s="1">
        <v>60.423</v>
      </c>
      <c r="AV1830" s="1" t="s">
        <v>990</v>
      </c>
      <c r="AW1830" s="1">
        <v>5.038</v>
      </c>
      <c r="AX1830" s="1">
        <v>4.0</v>
      </c>
      <c r="AY1830" s="1">
        <v>1.0</v>
      </c>
      <c r="AZ1830" s="1">
        <v>1.0</v>
      </c>
      <c r="BA1830" s="1">
        <v>2.0</v>
      </c>
      <c r="BB1830" s="1">
        <v>1.0</v>
      </c>
      <c r="BC1830" s="1">
        <v>0.0</v>
      </c>
      <c r="BD1830" s="1">
        <v>0.13</v>
      </c>
      <c r="BE1830" s="1">
        <v>131.0</v>
      </c>
      <c r="BF1830" s="1">
        <v>47.0</v>
      </c>
      <c r="BG1830" s="1">
        <v>0.0</v>
      </c>
      <c r="BH1830" s="1">
        <v>16.0</v>
      </c>
      <c r="BI1830" s="1">
        <v>8.0</v>
      </c>
      <c r="BJ1830" s="1">
        <v>0.0</v>
      </c>
      <c r="BO1830" s="1" t="s">
        <v>6053</v>
      </c>
      <c r="BP1830" s="1">
        <v>1.065</v>
      </c>
      <c r="BU1830" s="1" t="s">
        <v>974</v>
      </c>
      <c r="BV1830" s="1">
        <v>1.1</v>
      </c>
      <c r="EQ1830" s="9" t="s">
        <v>6049</v>
      </c>
      <c r="ER1830" s="21">
        <v>46045.3012962963</v>
      </c>
    </row>
    <row r="1831">
      <c r="A1831" s="9" t="s">
        <v>6054</v>
      </c>
      <c r="B1831" s="20" t="str">
        <f>IFERROR(__xludf.DUMMYFUNCTION("REGEXREPLACE(A1831, ""^https?://[^/]+"", """")"),"/12-ways-to-make-sure-your-vision-casting-makes-ripples/")</f>
        <v>/12-ways-to-make-sure-your-vision-casting-makes-ripples/</v>
      </c>
      <c r="C1831" s="1" t="s">
        <v>6055</v>
      </c>
      <c r="F1831" s="1" t="s">
        <v>965</v>
      </c>
      <c r="G1831" s="1">
        <v>200.0</v>
      </c>
      <c r="H1831" s="1" t="s">
        <v>966</v>
      </c>
      <c r="I1831" s="1" t="s">
        <v>967</v>
      </c>
      <c r="K1831" s="1" t="s">
        <v>6055</v>
      </c>
      <c r="L1831" s="1">
        <v>54.0</v>
      </c>
      <c r="M1831" s="1">
        <v>511.0</v>
      </c>
      <c r="O1831" s="1">
        <v>0.0</v>
      </c>
      <c r="P1831" s="1">
        <v>0.0</v>
      </c>
      <c r="Q1831" s="1" t="s">
        <v>6056</v>
      </c>
      <c r="R1831" s="1">
        <v>135.0</v>
      </c>
      <c r="S1831" s="1">
        <v>838.0</v>
      </c>
      <c r="U1831" s="1">
        <v>0.0</v>
      </c>
      <c r="V1831" s="1" t="s">
        <v>6055</v>
      </c>
      <c r="W1831" s="1">
        <v>54.0</v>
      </c>
      <c r="Y1831" s="1">
        <v>0.0</v>
      </c>
      <c r="AA1831" s="1">
        <v>0.0</v>
      </c>
      <c r="AC1831" s="1">
        <v>0.0</v>
      </c>
      <c r="AD1831" s="1" t="s">
        <v>971</v>
      </c>
      <c r="AG1831" s="9" t="s">
        <v>6054</v>
      </c>
      <c r="AM1831" s="1">
        <v>202100.0</v>
      </c>
      <c r="AN1831" s="1">
        <v>36392.0</v>
      </c>
      <c r="AO1831" s="1">
        <v>36392.0</v>
      </c>
      <c r="AP1831" s="1">
        <v>13.941</v>
      </c>
      <c r="AR1831" s="1">
        <v>1536.0</v>
      </c>
      <c r="AS1831" s="1">
        <v>233.0</v>
      </c>
      <c r="AT1831" s="1">
        <v>6.592</v>
      </c>
      <c r="AU1831" s="1">
        <v>59.144</v>
      </c>
      <c r="AV1831" s="1" t="s">
        <v>972</v>
      </c>
      <c r="AW1831" s="1">
        <v>6.002</v>
      </c>
      <c r="AX1831" s="1">
        <v>4.0</v>
      </c>
      <c r="AY1831" s="1">
        <v>1.0</v>
      </c>
      <c r="AZ1831" s="1">
        <v>1.0</v>
      </c>
      <c r="BA1831" s="1">
        <v>16.0</v>
      </c>
      <c r="BB1831" s="1">
        <v>16.0</v>
      </c>
      <c r="BC1831" s="1">
        <v>0.0</v>
      </c>
      <c r="BD1831" s="1">
        <v>2.12</v>
      </c>
      <c r="BE1831" s="1">
        <v>131.0</v>
      </c>
      <c r="BF1831" s="1">
        <v>48.0</v>
      </c>
      <c r="BG1831" s="1">
        <v>0.0</v>
      </c>
      <c r="BH1831" s="1">
        <v>16.0</v>
      </c>
      <c r="BI1831" s="1">
        <v>8.0</v>
      </c>
      <c r="BJ1831" s="1">
        <v>0.0</v>
      </c>
      <c r="BO1831" s="1" t="s">
        <v>6057</v>
      </c>
      <c r="BP1831" s="1">
        <v>1.111</v>
      </c>
      <c r="BU1831" s="1" t="s">
        <v>974</v>
      </c>
      <c r="BV1831" s="1">
        <v>1.1</v>
      </c>
      <c r="EQ1831" s="9" t="s">
        <v>6054</v>
      </c>
      <c r="ER1831" s="21">
        <v>46045.3012962963</v>
      </c>
    </row>
    <row r="1832">
      <c r="A1832" s="9" t="s">
        <v>6058</v>
      </c>
      <c r="B1832" s="20" t="str">
        <f>IFERROR(__xludf.DUMMYFUNCTION("REGEXREPLACE(A1832, ""^https?://[^/]+"", """")"),"/choose-your-path-and-make-a-difference/")</f>
        <v>/choose-your-path-and-make-a-difference/</v>
      </c>
      <c r="C1832" s="1" t="s">
        <v>6059</v>
      </c>
      <c r="D1832" s="1" t="s">
        <v>6060</v>
      </c>
      <c r="E1832" s="1" t="s">
        <v>6061</v>
      </c>
      <c r="F1832" s="1" t="s">
        <v>965</v>
      </c>
      <c r="G1832" s="1">
        <v>200.0</v>
      </c>
      <c r="H1832" s="1" t="s">
        <v>966</v>
      </c>
      <c r="I1832" s="1" t="s">
        <v>967</v>
      </c>
      <c r="K1832" s="1" t="s">
        <v>6059</v>
      </c>
      <c r="L1832" s="1">
        <v>38.0</v>
      </c>
      <c r="M1832" s="1">
        <v>366.0</v>
      </c>
      <c r="O1832" s="1">
        <v>0.0</v>
      </c>
      <c r="P1832" s="1">
        <v>0.0</v>
      </c>
      <c r="Q1832" s="1" t="s">
        <v>6062</v>
      </c>
      <c r="R1832" s="1">
        <v>79.0</v>
      </c>
      <c r="S1832" s="1">
        <v>499.0</v>
      </c>
      <c r="U1832" s="1">
        <v>0.0</v>
      </c>
      <c r="V1832" s="1" t="s">
        <v>6059</v>
      </c>
      <c r="W1832" s="1">
        <v>38.0</v>
      </c>
      <c r="Y1832" s="1">
        <v>0.0</v>
      </c>
      <c r="Z1832" s="1" t="s">
        <v>6060</v>
      </c>
      <c r="AA1832" s="1">
        <v>32.0</v>
      </c>
      <c r="AB1832" s="1" t="s">
        <v>6061</v>
      </c>
      <c r="AC1832" s="1">
        <v>37.0</v>
      </c>
      <c r="AD1832" s="1" t="s">
        <v>971</v>
      </c>
      <c r="AG1832" s="9" t="s">
        <v>6058</v>
      </c>
      <c r="AM1832" s="1">
        <v>201203.0</v>
      </c>
      <c r="AN1832" s="1">
        <v>36637.0</v>
      </c>
      <c r="AO1832" s="1">
        <v>36637.0</v>
      </c>
      <c r="AP1832" s="1">
        <v>14.035</v>
      </c>
      <c r="AR1832" s="1">
        <v>1691.0</v>
      </c>
      <c r="AS1832" s="1">
        <v>239.0</v>
      </c>
      <c r="AT1832" s="1">
        <v>7.075</v>
      </c>
      <c r="AU1832" s="1">
        <v>70.978</v>
      </c>
      <c r="AV1832" s="1" t="s">
        <v>1264</v>
      </c>
      <c r="AW1832" s="1">
        <v>6.12</v>
      </c>
      <c r="AX1832" s="1">
        <v>4.0</v>
      </c>
      <c r="AY1832" s="1">
        <v>1.0</v>
      </c>
      <c r="AZ1832" s="1">
        <v>1.0</v>
      </c>
      <c r="BA1832" s="1">
        <v>57.0</v>
      </c>
      <c r="BB1832" s="1">
        <v>55.0</v>
      </c>
      <c r="BC1832" s="1">
        <v>0.0</v>
      </c>
      <c r="BD1832" s="1">
        <v>7.29</v>
      </c>
      <c r="BE1832" s="1">
        <v>131.0</v>
      </c>
      <c r="BF1832" s="1">
        <v>48.0</v>
      </c>
      <c r="BG1832" s="1">
        <v>0.0</v>
      </c>
      <c r="BH1832" s="1">
        <v>16.0</v>
      </c>
      <c r="BI1832" s="1">
        <v>8.0</v>
      </c>
      <c r="BJ1832" s="1">
        <v>0.0</v>
      </c>
      <c r="BO1832" s="1" t="s">
        <v>6063</v>
      </c>
      <c r="BP1832" s="1">
        <v>1.115</v>
      </c>
      <c r="BU1832" s="1" t="s">
        <v>974</v>
      </c>
      <c r="BV1832" s="1">
        <v>1.1</v>
      </c>
      <c r="EQ1832" s="9" t="s">
        <v>6058</v>
      </c>
      <c r="ER1832" s="21">
        <v>46045.3012962963</v>
      </c>
    </row>
    <row r="1833">
      <c r="A1833" s="9" t="s">
        <v>6064</v>
      </c>
      <c r="B1833" s="20" t="str">
        <f>IFERROR(__xludf.DUMMYFUNCTION("REGEXREPLACE(A1833, ""^https?://[^/]+"", """")"),"/wp-content/uploads/2022/08/Sales-Forecasting.jpg")</f>
        <v>/wp-content/uploads/2022/08/Sales-Forecasting.jpg</v>
      </c>
      <c r="F1833" s="1" t="s">
        <v>1004</v>
      </c>
      <c r="G1833" s="1">
        <v>200.0</v>
      </c>
      <c r="H1833" s="1" t="s">
        <v>966</v>
      </c>
      <c r="I1833" s="1" t="s">
        <v>967</v>
      </c>
      <c r="L1833" s="1">
        <v>0.0</v>
      </c>
      <c r="M1833" s="1">
        <v>0.0</v>
      </c>
      <c r="O1833" s="1">
        <v>0.0</v>
      </c>
      <c r="P1833" s="1">
        <v>0.0</v>
      </c>
      <c r="R1833" s="1">
        <v>0.0</v>
      </c>
      <c r="S1833" s="1">
        <v>0.0</v>
      </c>
      <c r="U1833" s="1">
        <v>0.0</v>
      </c>
      <c r="W1833" s="1">
        <v>0.0</v>
      </c>
      <c r="Y1833" s="1">
        <v>0.0</v>
      </c>
      <c r="AA1833" s="1">
        <v>0.0</v>
      </c>
      <c r="AC1833" s="1">
        <v>0.0</v>
      </c>
      <c r="AM1833" s="1">
        <v>158659.0</v>
      </c>
      <c r="AN1833" s="1">
        <v>158659.0</v>
      </c>
      <c r="AO1833" s="1">
        <v>158659.0</v>
      </c>
      <c r="AP1833" s="1">
        <v>60.779</v>
      </c>
      <c r="AR1833" s="1">
        <v>0.0</v>
      </c>
      <c r="AW1833" s="1">
        <v>0.0</v>
      </c>
      <c r="AX1833" s="1">
        <v>4.0</v>
      </c>
      <c r="AY1833" s="1">
        <v>4.0</v>
      </c>
      <c r="BA1833" s="1">
        <v>0.0</v>
      </c>
      <c r="BB1833" s="1">
        <v>0.0</v>
      </c>
      <c r="BC1833" s="1">
        <v>0.0</v>
      </c>
      <c r="BD1833" s="1">
        <v>0.0</v>
      </c>
      <c r="BE1833" s="1">
        <v>0.0</v>
      </c>
      <c r="BF1833" s="1">
        <v>0.0</v>
      </c>
      <c r="BG1833" s="1">
        <v>0.0</v>
      </c>
      <c r="BH1833" s="1">
        <v>0.0</v>
      </c>
      <c r="BI1833" s="1">
        <v>0.0</v>
      </c>
      <c r="BJ1833" s="1">
        <v>0.0</v>
      </c>
      <c r="BP1833" s="1">
        <v>0.281</v>
      </c>
      <c r="BQ1833" s="1" t="s">
        <v>6065</v>
      </c>
      <c r="BV1833" s="1">
        <v>1.1</v>
      </c>
      <c r="EQ1833" s="9" t="s">
        <v>6064</v>
      </c>
      <c r="ER1833" s="21">
        <v>46045.30131944444</v>
      </c>
    </row>
    <row r="1834">
      <c r="A1834" s="9" t="s">
        <v>6066</v>
      </c>
      <c r="B1834" s="20" t="str">
        <f>IFERROR(__xludf.DUMMYFUNCTION("REGEXREPLACE(A1834, ""^https?://[^/]+"", """")"),"/wp-content/uploads/2014/11/SI-Header-3-scaled-1-2048x2048.jpg")</f>
        <v>/wp-content/uploads/2014/11/SI-Header-3-scaled-1-2048x2048.jpg</v>
      </c>
      <c r="F1834" s="1" t="s">
        <v>1004</v>
      </c>
      <c r="G1834" s="1">
        <v>200.0</v>
      </c>
      <c r="H1834" s="1" t="s">
        <v>966</v>
      </c>
      <c r="I1834" s="1" t="s">
        <v>967</v>
      </c>
      <c r="L1834" s="1">
        <v>0.0</v>
      </c>
      <c r="M1834" s="1">
        <v>0.0</v>
      </c>
      <c r="O1834" s="1">
        <v>0.0</v>
      </c>
      <c r="P1834" s="1">
        <v>0.0</v>
      </c>
      <c r="R1834" s="1">
        <v>0.0</v>
      </c>
      <c r="S1834" s="1">
        <v>0.0</v>
      </c>
      <c r="U1834" s="1">
        <v>0.0</v>
      </c>
      <c r="W1834" s="1">
        <v>0.0</v>
      </c>
      <c r="Y1834" s="1">
        <v>0.0</v>
      </c>
      <c r="AA1834" s="1">
        <v>0.0</v>
      </c>
      <c r="AC1834" s="1">
        <v>0.0</v>
      </c>
      <c r="AM1834" s="1">
        <v>272914.0</v>
      </c>
      <c r="AN1834" s="1">
        <v>272914.0</v>
      </c>
      <c r="AO1834" s="1">
        <v>272914.0</v>
      </c>
      <c r="AP1834" s="1">
        <v>104.548</v>
      </c>
      <c r="AR1834" s="1">
        <v>0.0</v>
      </c>
      <c r="AW1834" s="1">
        <v>0.0</v>
      </c>
      <c r="AX1834" s="1">
        <v>4.0</v>
      </c>
      <c r="AY1834" s="1">
        <v>4.0</v>
      </c>
      <c r="BA1834" s="1">
        <v>0.0</v>
      </c>
      <c r="BB1834" s="1">
        <v>0.0</v>
      </c>
      <c r="BC1834" s="1">
        <v>0.0</v>
      </c>
      <c r="BD1834" s="1">
        <v>0.0</v>
      </c>
      <c r="BE1834" s="1">
        <v>0.0</v>
      </c>
      <c r="BF1834" s="1">
        <v>0.0</v>
      </c>
      <c r="BG1834" s="1">
        <v>0.0</v>
      </c>
      <c r="BH1834" s="1">
        <v>0.0</v>
      </c>
      <c r="BI1834" s="1">
        <v>0.0</v>
      </c>
      <c r="BJ1834" s="1">
        <v>0.0</v>
      </c>
      <c r="BP1834" s="1">
        <v>0.28</v>
      </c>
      <c r="BQ1834" s="1" t="s">
        <v>6067</v>
      </c>
      <c r="BV1834" s="1">
        <v>1.1</v>
      </c>
      <c r="EQ1834" s="9" t="s">
        <v>6066</v>
      </c>
      <c r="ER1834" s="21">
        <v>46045.30131944444</v>
      </c>
    </row>
    <row r="1835">
      <c r="A1835" s="9" t="s">
        <v>6068</v>
      </c>
      <c r="B1835" s="20" t="str">
        <f>IFERROR(__xludf.DUMMYFUNCTION("REGEXREPLACE(A1835, ""^https?://[^/]+"", """")"),"/business-owners-shouldnt-act-sales-manager/")</f>
        <v>/business-owners-shouldnt-act-sales-manager/</v>
      </c>
      <c r="C1835" s="1" t="s">
        <v>6069</v>
      </c>
      <c r="F1835" s="1" t="s">
        <v>965</v>
      </c>
      <c r="G1835" s="1">
        <v>200.0</v>
      </c>
      <c r="H1835" s="1" t="s">
        <v>966</v>
      </c>
      <c r="I1835" s="1" t="s">
        <v>967</v>
      </c>
      <c r="K1835" s="1" t="s">
        <v>6070</v>
      </c>
      <c r="L1835" s="1">
        <v>60.0</v>
      </c>
      <c r="M1835" s="1">
        <v>577.0</v>
      </c>
      <c r="O1835" s="1">
        <v>0.0</v>
      </c>
      <c r="P1835" s="1">
        <v>0.0</v>
      </c>
      <c r="Q1835" s="1" t="s">
        <v>6071</v>
      </c>
      <c r="R1835" s="1">
        <v>148.0</v>
      </c>
      <c r="S1835" s="1">
        <v>923.0</v>
      </c>
      <c r="U1835" s="1">
        <v>0.0</v>
      </c>
      <c r="V1835" s="1" t="s">
        <v>6069</v>
      </c>
      <c r="W1835" s="1">
        <v>60.0</v>
      </c>
      <c r="Y1835" s="1">
        <v>0.0</v>
      </c>
      <c r="AA1835" s="1">
        <v>0.0</v>
      </c>
      <c r="AC1835" s="1">
        <v>0.0</v>
      </c>
      <c r="AD1835" s="1" t="s">
        <v>971</v>
      </c>
      <c r="AG1835" s="9" t="s">
        <v>6068</v>
      </c>
      <c r="AM1835" s="1">
        <v>202695.0</v>
      </c>
      <c r="AN1835" s="1">
        <v>36116.0</v>
      </c>
      <c r="AO1835" s="1">
        <v>36116.0</v>
      </c>
      <c r="AP1835" s="1">
        <v>13.835</v>
      </c>
      <c r="AR1835" s="1">
        <v>1332.0</v>
      </c>
      <c r="AS1835" s="1">
        <v>190.0</v>
      </c>
      <c r="AT1835" s="1">
        <v>7.011</v>
      </c>
      <c r="AU1835" s="1">
        <v>62.657</v>
      </c>
      <c r="AV1835" s="1" t="s">
        <v>990</v>
      </c>
      <c r="AW1835" s="1">
        <v>5.193</v>
      </c>
      <c r="AX1835" s="1">
        <v>4.0</v>
      </c>
      <c r="AY1835" s="1">
        <v>1.0</v>
      </c>
      <c r="AZ1835" s="1">
        <v>1.0</v>
      </c>
      <c r="BA1835" s="1">
        <v>4.0</v>
      </c>
      <c r="BB1835" s="1">
        <v>4.0</v>
      </c>
      <c r="BC1835" s="1">
        <v>0.0</v>
      </c>
      <c r="BD1835" s="1">
        <v>0.53</v>
      </c>
      <c r="BE1835" s="1">
        <v>137.0</v>
      </c>
      <c r="BF1835" s="1">
        <v>51.0</v>
      </c>
      <c r="BG1835" s="1">
        <v>0.0</v>
      </c>
      <c r="BH1835" s="1">
        <v>16.0</v>
      </c>
      <c r="BI1835" s="1">
        <v>8.0</v>
      </c>
      <c r="BJ1835" s="1">
        <v>0.0</v>
      </c>
      <c r="BO1835" s="1" t="s">
        <v>6072</v>
      </c>
      <c r="BP1835" s="1">
        <v>1.041</v>
      </c>
      <c r="BU1835" s="1" t="s">
        <v>974</v>
      </c>
      <c r="BV1835" s="1">
        <v>1.1</v>
      </c>
      <c r="EQ1835" s="9" t="s">
        <v>6068</v>
      </c>
      <c r="ER1835" s="21">
        <v>46045.30130787037</v>
      </c>
    </row>
    <row r="1836">
      <c r="A1836" s="9" t="s">
        <v>6073</v>
      </c>
      <c r="B1836" s="20" t="str">
        <f>IFERROR(__xludf.DUMMYFUNCTION("REGEXREPLACE(A1836, ""^https?://[^/]+"", """")"),"/3-hard-reasons-business-owners-finally-hire-outsourced-sales-executive/")</f>
        <v>/3-hard-reasons-business-owners-finally-hire-outsourced-sales-executive/</v>
      </c>
      <c r="C1836" s="1" t="s">
        <v>6074</v>
      </c>
      <c r="F1836" s="1" t="s">
        <v>965</v>
      </c>
      <c r="G1836" s="1">
        <v>200.0</v>
      </c>
      <c r="H1836" s="1" t="s">
        <v>966</v>
      </c>
      <c r="I1836" s="1" t="s">
        <v>967</v>
      </c>
      <c r="K1836" s="1" t="s">
        <v>6075</v>
      </c>
      <c r="L1836" s="1">
        <v>60.0</v>
      </c>
      <c r="M1836" s="1">
        <v>572.0</v>
      </c>
      <c r="O1836" s="1">
        <v>0.0</v>
      </c>
      <c r="P1836" s="1">
        <v>0.0</v>
      </c>
      <c r="Q1836" s="1" t="s">
        <v>6076</v>
      </c>
      <c r="R1836" s="1">
        <v>124.0</v>
      </c>
      <c r="S1836" s="1">
        <v>740.0</v>
      </c>
      <c r="U1836" s="1">
        <v>0.0</v>
      </c>
      <c r="V1836" s="1" t="s">
        <v>6074</v>
      </c>
      <c r="W1836" s="1">
        <v>81.0</v>
      </c>
      <c r="Y1836" s="1">
        <v>0.0</v>
      </c>
      <c r="AA1836" s="1">
        <v>0.0</v>
      </c>
      <c r="AC1836" s="1">
        <v>0.0</v>
      </c>
      <c r="AD1836" s="1" t="s">
        <v>971</v>
      </c>
      <c r="AG1836" s="9" t="s">
        <v>6073</v>
      </c>
      <c r="AM1836" s="1">
        <v>200592.0</v>
      </c>
      <c r="AN1836" s="1">
        <v>36044.0</v>
      </c>
      <c r="AO1836" s="1">
        <v>36044.0</v>
      </c>
      <c r="AP1836" s="1">
        <v>13.808</v>
      </c>
      <c r="AR1836" s="1">
        <v>1476.0</v>
      </c>
      <c r="AS1836" s="1">
        <v>204.0</v>
      </c>
      <c r="AT1836" s="1">
        <v>7.235</v>
      </c>
      <c r="AU1836" s="1">
        <v>61.701</v>
      </c>
      <c r="AV1836" s="1" t="s">
        <v>990</v>
      </c>
      <c r="AW1836" s="1">
        <v>5.724</v>
      </c>
      <c r="AX1836" s="1">
        <v>4.0</v>
      </c>
      <c r="AY1836" s="1">
        <v>1.0</v>
      </c>
      <c r="AZ1836" s="1">
        <v>1.0</v>
      </c>
      <c r="BA1836" s="1">
        <v>3.0</v>
      </c>
      <c r="BB1836" s="1">
        <v>3.0</v>
      </c>
      <c r="BC1836" s="1">
        <v>0.0</v>
      </c>
      <c r="BD1836" s="1">
        <v>0.4</v>
      </c>
      <c r="BE1836" s="1">
        <v>132.0</v>
      </c>
      <c r="BF1836" s="1">
        <v>49.0</v>
      </c>
      <c r="BG1836" s="1">
        <v>0.0</v>
      </c>
      <c r="BH1836" s="1">
        <v>16.0</v>
      </c>
      <c r="BI1836" s="1">
        <v>8.0</v>
      </c>
      <c r="BJ1836" s="1">
        <v>0.0</v>
      </c>
      <c r="BO1836" s="1" t="s">
        <v>6077</v>
      </c>
      <c r="BP1836" s="1">
        <v>1.029</v>
      </c>
      <c r="BU1836" s="1" t="s">
        <v>974</v>
      </c>
      <c r="BV1836" s="1">
        <v>1.1</v>
      </c>
      <c r="EQ1836" s="9" t="s">
        <v>6073</v>
      </c>
      <c r="ER1836" s="21">
        <v>46045.30130787037</v>
      </c>
    </row>
    <row r="1837">
      <c r="A1837" s="9" t="s">
        <v>6078</v>
      </c>
      <c r="B1837" s="20" t="str">
        <f>IFERROR(__xludf.DUMMYFUNCTION("REGEXREPLACE(A1837, ""^https?://[^/]+"", """")"),"/wp-content/uploads/2014/12/two-things-you-must-do-after-your-prospect-agrees-to-meet-with-you-11-2048x2048.jpg")</f>
        <v>/wp-content/uploads/2014/12/two-things-you-must-do-after-your-prospect-agrees-to-meet-with-you-11-2048x2048.jpg</v>
      </c>
      <c r="F1837" s="1" t="s">
        <v>1004</v>
      </c>
      <c r="G1837" s="1">
        <v>200.0</v>
      </c>
      <c r="H1837" s="1" t="s">
        <v>966</v>
      </c>
      <c r="I1837" s="1" t="s">
        <v>967</v>
      </c>
      <c r="L1837" s="1">
        <v>0.0</v>
      </c>
      <c r="M1837" s="1">
        <v>0.0</v>
      </c>
      <c r="O1837" s="1">
        <v>0.0</v>
      </c>
      <c r="P1837" s="1">
        <v>0.0</v>
      </c>
      <c r="R1837" s="1">
        <v>0.0</v>
      </c>
      <c r="S1837" s="1">
        <v>0.0</v>
      </c>
      <c r="U1837" s="1">
        <v>0.0</v>
      </c>
      <c r="W1837" s="1">
        <v>0.0</v>
      </c>
      <c r="Y1837" s="1">
        <v>0.0</v>
      </c>
      <c r="AA1837" s="1">
        <v>0.0</v>
      </c>
      <c r="AC1837" s="1">
        <v>0.0</v>
      </c>
      <c r="AM1837" s="1">
        <v>185691.0</v>
      </c>
      <c r="AN1837" s="1">
        <v>185691.0</v>
      </c>
      <c r="AO1837" s="1">
        <v>185691.0</v>
      </c>
      <c r="AP1837" s="1">
        <v>71.135</v>
      </c>
      <c r="AR1837" s="1">
        <v>0.0</v>
      </c>
      <c r="AW1837" s="1">
        <v>0.0</v>
      </c>
      <c r="AX1837" s="1">
        <v>4.0</v>
      </c>
      <c r="AY1837" s="1">
        <v>4.0</v>
      </c>
      <c r="BA1837" s="1">
        <v>0.0</v>
      </c>
      <c r="BB1837" s="1">
        <v>0.0</v>
      </c>
      <c r="BC1837" s="1">
        <v>0.0</v>
      </c>
      <c r="BD1837" s="1">
        <v>0.0</v>
      </c>
      <c r="BE1837" s="1">
        <v>0.0</v>
      </c>
      <c r="BF1837" s="1">
        <v>0.0</v>
      </c>
      <c r="BG1837" s="1">
        <v>0.0</v>
      </c>
      <c r="BH1837" s="1">
        <v>0.0</v>
      </c>
      <c r="BI1837" s="1">
        <v>0.0</v>
      </c>
      <c r="BJ1837" s="1">
        <v>0.0</v>
      </c>
      <c r="BP1837" s="1">
        <v>0.276</v>
      </c>
      <c r="BQ1837" s="1" t="s">
        <v>6079</v>
      </c>
      <c r="BV1837" s="1">
        <v>1.1</v>
      </c>
      <c r="EQ1837" s="9" t="s">
        <v>6078</v>
      </c>
      <c r="ER1837" s="21">
        <v>46045.30131944444</v>
      </c>
    </row>
    <row r="1838">
      <c r="A1838" s="9" t="s">
        <v>6080</v>
      </c>
      <c r="B1838" s="20" t="str">
        <f>IFERROR(__xludf.DUMMYFUNCTION("REGEXREPLACE(A1838, ""^https?://[^/]+"", """")"),"/wp-content/uploads/2014/12/shutterstock_148996061_rdax_225x150-2048x2048.jpg")</f>
        <v>/wp-content/uploads/2014/12/shutterstock_148996061_rdax_225x150-2048x2048.jpg</v>
      </c>
      <c r="F1838" s="1" t="s">
        <v>1004</v>
      </c>
      <c r="G1838" s="1">
        <v>200.0</v>
      </c>
      <c r="H1838" s="1" t="s">
        <v>966</v>
      </c>
      <c r="I1838" s="1" t="s">
        <v>967</v>
      </c>
      <c r="L1838" s="1">
        <v>0.0</v>
      </c>
      <c r="M1838" s="1">
        <v>0.0</v>
      </c>
      <c r="O1838" s="1">
        <v>0.0</v>
      </c>
      <c r="P1838" s="1">
        <v>0.0</v>
      </c>
      <c r="R1838" s="1">
        <v>0.0</v>
      </c>
      <c r="S1838" s="1">
        <v>0.0</v>
      </c>
      <c r="U1838" s="1">
        <v>0.0</v>
      </c>
      <c r="W1838" s="1">
        <v>0.0</v>
      </c>
      <c r="Y1838" s="1">
        <v>0.0</v>
      </c>
      <c r="AA1838" s="1">
        <v>0.0</v>
      </c>
      <c r="AC1838" s="1">
        <v>0.0</v>
      </c>
      <c r="AM1838" s="1">
        <v>180955.0</v>
      </c>
      <c r="AN1838" s="1">
        <v>180955.0</v>
      </c>
      <c r="AO1838" s="1">
        <v>180955.0</v>
      </c>
      <c r="AP1838" s="1">
        <v>69.32</v>
      </c>
      <c r="AR1838" s="1">
        <v>0.0</v>
      </c>
      <c r="AW1838" s="1">
        <v>0.0</v>
      </c>
      <c r="AX1838" s="1">
        <v>4.0</v>
      </c>
      <c r="AY1838" s="1">
        <v>4.0</v>
      </c>
      <c r="BA1838" s="1">
        <v>0.0</v>
      </c>
      <c r="BB1838" s="1">
        <v>0.0</v>
      </c>
      <c r="BC1838" s="1">
        <v>0.0</v>
      </c>
      <c r="BD1838" s="1">
        <v>0.0</v>
      </c>
      <c r="BE1838" s="1">
        <v>0.0</v>
      </c>
      <c r="BF1838" s="1">
        <v>0.0</v>
      </c>
      <c r="BG1838" s="1">
        <v>0.0</v>
      </c>
      <c r="BH1838" s="1">
        <v>0.0</v>
      </c>
      <c r="BI1838" s="1">
        <v>0.0</v>
      </c>
      <c r="BJ1838" s="1">
        <v>0.0</v>
      </c>
      <c r="BP1838" s="1">
        <v>0.267</v>
      </c>
      <c r="BQ1838" s="1" t="s">
        <v>6081</v>
      </c>
      <c r="BV1838" s="1">
        <v>1.1</v>
      </c>
      <c r="EQ1838" s="9" t="s">
        <v>6080</v>
      </c>
      <c r="ER1838" s="21">
        <v>46045.30131944444</v>
      </c>
    </row>
    <row r="1839">
      <c r="A1839" s="9" t="s">
        <v>6082</v>
      </c>
      <c r="B1839" s="20" t="str">
        <f>IFERROR(__xludf.DUMMYFUNCTION("REGEXREPLACE(A1839, ""^https?://[^/]+"", """")"),"/wp-content/uploads/2015/01/images-2048x2048.jpg")</f>
        <v>/wp-content/uploads/2015/01/images-2048x2048.jpg</v>
      </c>
      <c r="F1839" s="1" t="s">
        <v>1004</v>
      </c>
      <c r="G1839" s="1">
        <v>200.0</v>
      </c>
      <c r="H1839" s="1" t="s">
        <v>966</v>
      </c>
      <c r="I1839" s="1" t="s">
        <v>967</v>
      </c>
      <c r="L1839" s="1">
        <v>0.0</v>
      </c>
      <c r="M1839" s="1">
        <v>0.0</v>
      </c>
      <c r="O1839" s="1">
        <v>0.0</v>
      </c>
      <c r="P1839" s="1">
        <v>0.0</v>
      </c>
      <c r="R1839" s="1">
        <v>0.0</v>
      </c>
      <c r="S1839" s="1">
        <v>0.0</v>
      </c>
      <c r="U1839" s="1">
        <v>0.0</v>
      </c>
      <c r="W1839" s="1">
        <v>0.0</v>
      </c>
      <c r="Y1839" s="1">
        <v>0.0</v>
      </c>
      <c r="AA1839" s="1">
        <v>0.0</v>
      </c>
      <c r="AC1839" s="1">
        <v>0.0</v>
      </c>
      <c r="AM1839" s="1">
        <v>222632.0</v>
      </c>
      <c r="AN1839" s="1">
        <v>222632.0</v>
      </c>
      <c r="AO1839" s="1">
        <v>222632.0</v>
      </c>
      <c r="AP1839" s="1">
        <v>85.286</v>
      </c>
      <c r="AR1839" s="1">
        <v>0.0</v>
      </c>
      <c r="AW1839" s="1">
        <v>0.0</v>
      </c>
      <c r="AX1839" s="1">
        <v>4.0</v>
      </c>
      <c r="AY1839" s="1">
        <v>4.0</v>
      </c>
      <c r="BA1839" s="1">
        <v>0.0</v>
      </c>
      <c r="BB1839" s="1">
        <v>0.0</v>
      </c>
      <c r="BC1839" s="1">
        <v>0.0</v>
      </c>
      <c r="BD1839" s="1">
        <v>0.0</v>
      </c>
      <c r="BE1839" s="1">
        <v>0.0</v>
      </c>
      <c r="BF1839" s="1">
        <v>0.0</v>
      </c>
      <c r="BG1839" s="1">
        <v>0.0</v>
      </c>
      <c r="BH1839" s="1">
        <v>0.0</v>
      </c>
      <c r="BI1839" s="1">
        <v>0.0</v>
      </c>
      <c r="BJ1839" s="1">
        <v>0.0</v>
      </c>
      <c r="BP1839" s="1">
        <v>0.264</v>
      </c>
      <c r="BQ1839" s="1" t="s">
        <v>6083</v>
      </c>
      <c r="BV1839" s="1">
        <v>1.1</v>
      </c>
      <c r="EQ1839" s="9" t="s">
        <v>6082</v>
      </c>
      <c r="ER1839" s="21">
        <v>46045.30131944444</v>
      </c>
    </row>
    <row r="1840">
      <c r="A1840" s="9" t="s">
        <v>6084</v>
      </c>
      <c r="B1840" s="20" t="str">
        <f>IFERROR(__xludf.DUMMYFUNCTION("REGEXREPLACE(A1840, ""^https?://[^/]+"", """")"),"/wp-content/uploads/2014/07/Focus-Activity-Management-Copy.jpg")</f>
        <v>/wp-content/uploads/2014/07/Focus-Activity-Management-Copy.jpg</v>
      </c>
      <c r="F1840" s="1" t="s">
        <v>1004</v>
      </c>
      <c r="G1840" s="1">
        <v>200.0</v>
      </c>
      <c r="H1840" s="1" t="s">
        <v>966</v>
      </c>
      <c r="I1840" s="1" t="s">
        <v>967</v>
      </c>
      <c r="L1840" s="1">
        <v>0.0</v>
      </c>
      <c r="M1840" s="1">
        <v>0.0</v>
      </c>
      <c r="O1840" s="1">
        <v>0.0</v>
      </c>
      <c r="P1840" s="1">
        <v>0.0</v>
      </c>
      <c r="R1840" s="1">
        <v>0.0</v>
      </c>
      <c r="S1840" s="1">
        <v>0.0</v>
      </c>
      <c r="U1840" s="1">
        <v>0.0</v>
      </c>
      <c r="W1840" s="1">
        <v>0.0</v>
      </c>
      <c r="Y1840" s="1">
        <v>0.0</v>
      </c>
      <c r="AA1840" s="1">
        <v>0.0</v>
      </c>
      <c r="AC1840" s="1">
        <v>0.0</v>
      </c>
      <c r="AM1840" s="1">
        <v>191976.0</v>
      </c>
      <c r="AN1840" s="1">
        <v>191976.0</v>
      </c>
      <c r="AO1840" s="1">
        <v>191976.0</v>
      </c>
      <c r="AP1840" s="1">
        <v>73.542</v>
      </c>
      <c r="AR1840" s="1">
        <v>0.0</v>
      </c>
      <c r="AW1840" s="1">
        <v>0.0</v>
      </c>
      <c r="AX1840" s="1">
        <v>4.0</v>
      </c>
      <c r="AY1840" s="1">
        <v>4.0</v>
      </c>
      <c r="BA1840" s="1">
        <v>0.0</v>
      </c>
      <c r="BB1840" s="1">
        <v>0.0</v>
      </c>
      <c r="BC1840" s="1">
        <v>0.0</v>
      </c>
      <c r="BD1840" s="1">
        <v>0.0</v>
      </c>
      <c r="BE1840" s="1">
        <v>0.0</v>
      </c>
      <c r="BF1840" s="1">
        <v>0.0</v>
      </c>
      <c r="BG1840" s="1">
        <v>0.0</v>
      </c>
      <c r="BH1840" s="1">
        <v>0.0</v>
      </c>
      <c r="BI1840" s="1">
        <v>0.0</v>
      </c>
      <c r="BJ1840" s="1">
        <v>0.0</v>
      </c>
      <c r="BP1840" s="1">
        <v>0.277</v>
      </c>
      <c r="BQ1840" s="1" t="s">
        <v>6085</v>
      </c>
      <c r="BV1840" s="1">
        <v>1.1</v>
      </c>
      <c r="EQ1840" s="9" t="s">
        <v>6084</v>
      </c>
      <c r="ER1840" s="21">
        <v>46045.30131944444</v>
      </c>
    </row>
    <row r="1841">
      <c r="A1841" s="9" t="s">
        <v>6086</v>
      </c>
      <c r="B1841" s="20" t="str">
        <f>IFERROR(__xludf.DUMMYFUNCTION("REGEXREPLACE(A1841, ""^https?://[^/]+"", """")"),"/wp-content/themes/salesxceleratione/assets/css/style.css?ver=1769123519")</f>
        <v>/wp-content/themes/salesxceleratione/assets/css/style.css?ver=1769123519</v>
      </c>
      <c r="F1841" s="1" t="s">
        <v>1016</v>
      </c>
      <c r="G1841" s="1">
        <v>200.0</v>
      </c>
      <c r="H1841" s="1" t="s">
        <v>966</v>
      </c>
      <c r="I1841" s="1" t="s">
        <v>967</v>
      </c>
      <c r="L1841" s="1">
        <v>0.0</v>
      </c>
      <c r="M1841" s="1">
        <v>0.0</v>
      </c>
      <c r="O1841" s="1">
        <v>0.0</v>
      </c>
      <c r="P1841" s="1">
        <v>0.0</v>
      </c>
      <c r="R1841" s="1">
        <v>0.0</v>
      </c>
      <c r="S1841" s="1">
        <v>0.0</v>
      </c>
      <c r="U1841" s="1">
        <v>0.0</v>
      </c>
      <c r="W1841" s="1">
        <v>0.0</v>
      </c>
      <c r="Y1841" s="1">
        <v>0.0</v>
      </c>
      <c r="AA1841" s="1">
        <v>0.0</v>
      </c>
      <c r="AC1841" s="1">
        <v>0.0</v>
      </c>
      <c r="AM1841" s="1">
        <v>17704.0</v>
      </c>
      <c r="AN1841" s="1">
        <v>17704.0</v>
      </c>
      <c r="AO1841" s="1">
        <v>17704.0</v>
      </c>
      <c r="AP1841" s="1">
        <v>6.782</v>
      </c>
      <c r="AR1841" s="1">
        <v>0.0</v>
      </c>
      <c r="AW1841" s="1">
        <v>0.0</v>
      </c>
      <c r="AX1841" s="1">
        <v>4.0</v>
      </c>
      <c r="AY1841" s="1">
        <v>5.0</v>
      </c>
      <c r="BA1841" s="1">
        <v>0.0</v>
      </c>
      <c r="BB1841" s="1">
        <v>0.0</v>
      </c>
      <c r="BC1841" s="1">
        <v>0.0</v>
      </c>
      <c r="BD1841" s="1">
        <v>0.0</v>
      </c>
      <c r="BE1841" s="1">
        <v>0.0</v>
      </c>
      <c r="BF1841" s="1">
        <v>0.0</v>
      </c>
      <c r="BG1841" s="1">
        <v>0.0</v>
      </c>
      <c r="BH1841" s="1">
        <v>0.0</v>
      </c>
      <c r="BI1841" s="1">
        <v>0.0</v>
      </c>
      <c r="BJ1841" s="1">
        <v>0.0</v>
      </c>
      <c r="BP1841" s="1">
        <v>0.252</v>
      </c>
      <c r="BQ1841" s="1" t="s">
        <v>3915</v>
      </c>
      <c r="BV1841" s="1">
        <v>1.1</v>
      </c>
      <c r="EQ1841" s="9" t="s">
        <v>6086</v>
      </c>
      <c r="ER1841" s="21">
        <v>46045.30131944444</v>
      </c>
    </row>
    <row r="1842">
      <c r="A1842" s="9" t="s">
        <v>6087</v>
      </c>
      <c r="B1842" s="20" t="str">
        <f>IFERROR(__xludf.DUMMYFUNCTION("REGEXREPLACE(A1842, ""^https?://[^/]+"", """")"),"/five-things-top-sales-leaders-differently/")</f>
        <v>/five-things-top-sales-leaders-differently/</v>
      </c>
      <c r="C1842" s="1" t="s">
        <v>6088</v>
      </c>
      <c r="F1842" s="1" t="s">
        <v>965</v>
      </c>
      <c r="G1842" s="1">
        <v>200.0</v>
      </c>
      <c r="H1842" s="1" t="s">
        <v>966</v>
      </c>
      <c r="I1842" s="1" t="s">
        <v>967</v>
      </c>
      <c r="K1842" s="1" t="s">
        <v>6089</v>
      </c>
      <c r="L1842" s="1">
        <v>41.0</v>
      </c>
      <c r="M1842" s="1">
        <v>373.0</v>
      </c>
      <c r="O1842" s="1">
        <v>0.0</v>
      </c>
      <c r="P1842" s="1">
        <v>0.0</v>
      </c>
      <c r="Q1842" s="1" t="s">
        <v>6090</v>
      </c>
      <c r="R1842" s="1">
        <v>63.0</v>
      </c>
      <c r="S1842" s="1">
        <v>399.0</v>
      </c>
      <c r="U1842" s="1">
        <v>0.0</v>
      </c>
      <c r="V1842" s="1" t="s">
        <v>6088</v>
      </c>
      <c r="W1842" s="1">
        <v>44.0</v>
      </c>
      <c r="Y1842" s="1">
        <v>0.0</v>
      </c>
      <c r="AA1842" s="1">
        <v>0.0</v>
      </c>
      <c r="AC1842" s="1">
        <v>0.0</v>
      </c>
      <c r="AD1842" s="1" t="s">
        <v>971</v>
      </c>
      <c r="AG1842" s="9" t="s">
        <v>6087</v>
      </c>
      <c r="AM1842" s="1">
        <v>198970.0</v>
      </c>
      <c r="AN1842" s="1">
        <v>35658.0</v>
      </c>
      <c r="AO1842" s="1">
        <v>35658.0</v>
      </c>
      <c r="AP1842" s="1">
        <v>13.66</v>
      </c>
      <c r="AR1842" s="1">
        <v>1281.0</v>
      </c>
      <c r="AS1842" s="1">
        <v>201.0</v>
      </c>
      <c r="AT1842" s="1">
        <v>6.373</v>
      </c>
      <c r="AU1842" s="1">
        <v>66.829</v>
      </c>
      <c r="AV1842" s="1" t="s">
        <v>990</v>
      </c>
      <c r="AW1842" s="1">
        <v>5.161</v>
      </c>
      <c r="AX1842" s="1">
        <v>4.0</v>
      </c>
      <c r="AY1842" s="1">
        <v>1.0</v>
      </c>
      <c r="AZ1842" s="1">
        <v>1.0</v>
      </c>
      <c r="BA1842" s="1">
        <v>29.0</v>
      </c>
      <c r="BB1842" s="1">
        <v>29.0</v>
      </c>
      <c r="BC1842" s="1">
        <v>0.0</v>
      </c>
      <c r="BD1842" s="1">
        <v>3.85</v>
      </c>
      <c r="BE1842" s="1">
        <v>130.0</v>
      </c>
      <c r="BF1842" s="1">
        <v>47.0</v>
      </c>
      <c r="BG1842" s="1">
        <v>0.0</v>
      </c>
      <c r="BH1842" s="1">
        <v>19.0</v>
      </c>
      <c r="BI1842" s="1">
        <v>11.0</v>
      </c>
      <c r="BJ1842" s="1">
        <v>0.0</v>
      </c>
      <c r="BO1842" s="1" t="s">
        <v>6091</v>
      </c>
      <c r="BP1842" s="1">
        <v>1.032</v>
      </c>
      <c r="BU1842" s="1" t="s">
        <v>974</v>
      </c>
      <c r="BV1842" s="1">
        <v>1.1</v>
      </c>
      <c r="EQ1842" s="9" t="s">
        <v>6087</v>
      </c>
      <c r="ER1842" s="21">
        <v>46045.30131944444</v>
      </c>
    </row>
    <row r="1843">
      <c r="A1843" s="9" t="s">
        <v>6092</v>
      </c>
      <c r="B1843" s="20" t="str">
        <f>IFERROR(__xludf.DUMMYFUNCTION("REGEXREPLACE(A1843, ""^https?://[^/]+"", """")"),"/putting-sales-center-strategy/")</f>
        <v>/putting-sales-center-strategy/</v>
      </c>
      <c r="C1843" s="1" t="s">
        <v>6093</v>
      </c>
      <c r="D1843" s="1" t="s">
        <v>6094</v>
      </c>
      <c r="E1843" s="1" t="s">
        <v>6095</v>
      </c>
      <c r="F1843" s="1" t="s">
        <v>965</v>
      </c>
      <c r="G1843" s="1">
        <v>200.0</v>
      </c>
      <c r="H1843" s="1" t="s">
        <v>966</v>
      </c>
      <c r="I1843" s="1" t="s">
        <v>967</v>
      </c>
      <c r="K1843" s="1" t="s">
        <v>6096</v>
      </c>
      <c r="L1843" s="1">
        <v>64.0</v>
      </c>
      <c r="M1843" s="1">
        <v>559.0</v>
      </c>
      <c r="O1843" s="1">
        <v>0.0</v>
      </c>
      <c r="P1843" s="1">
        <v>0.0</v>
      </c>
      <c r="Q1843" s="1" t="s">
        <v>6097</v>
      </c>
      <c r="R1843" s="1">
        <v>96.0</v>
      </c>
      <c r="S1843" s="1">
        <v>621.0</v>
      </c>
      <c r="U1843" s="1">
        <v>0.0</v>
      </c>
      <c r="V1843" s="1" t="s">
        <v>6093</v>
      </c>
      <c r="W1843" s="1">
        <v>39.0</v>
      </c>
      <c r="Y1843" s="1">
        <v>0.0</v>
      </c>
      <c r="Z1843" s="1" t="s">
        <v>6094</v>
      </c>
      <c r="AA1843" s="1">
        <v>24.0</v>
      </c>
      <c r="AB1843" s="1" t="s">
        <v>6095</v>
      </c>
      <c r="AC1843" s="1">
        <v>38.0</v>
      </c>
      <c r="AD1843" s="1" t="s">
        <v>971</v>
      </c>
      <c r="AG1843" s="9" t="s">
        <v>6092</v>
      </c>
      <c r="AM1843" s="1">
        <v>208293.0</v>
      </c>
      <c r="AN1843" s="1">
        <v>39253.0</v>
      </c>
      <c r="AO1843" s="1">
        <v>39253.0</v>
      </c>
      <c r="AP1843" s="1">
        <v>15.037</v>
      </c>
      <c r="AR1843" s="1">
        <v>2096.0</v>
      </c>
      <c r="AS1843" s="1">
        <v>300.0</v>
      </c>
      <c r="AT1843" s="1">
        <v>6.987</v>
      </c>
      <c r="AU1843" s="1">
        <v>55.488</v>
      </c>
      <c r="AV1843" s="1" t="s">
        <v>972</v>
      </c>
      <c r="AW1843" s="1">
        <v>7.691</v>
      </c>
      <c r="AX1843" s="1">
        <v>4.0</v>
      </c>
      <c r="AY1843" s="1">
        <v>1.0</v>
      </c>
      <c r="AZ1843" s="1">
        <v>1.0</v>
      </c>
      <c r="BA1843" s="1">
        <v>13.0</v>
      </c>
      <c r="BB1843" s="1">
        <v>13.0</v>
      </c>
      <c r="BC1843" s="1">
        <v>0.0</v>
      </c>
      <c r="BD1843" s="1">
        <v>1.72</v>
      </c>
      <c r="BE1843" s="1">
        <v>130.0</v>
      </c>
      <c r="BF1843" s="1">
        <v>47.0</v>
      </c>
      <c r="BG1843" s="1">
        <v>0.0</v>
      </c>
      <c r="BH1843" s="1">
        <v>17.0</v>
      </c>
      <c r="BI1843" s="1">
        <v>9.0</v>
      </c>
      <c r="BJ1843" s="1">
        <v>0.0</v>
      </c>
      <c r="BO1843" s="1" t="s">
        <v>6098</v>
      </c>
      <c r="BP1843" s="1">
        <v>0.977</v>
      </c>
      <c r="BU1843" s="1" t="s">
        <v>974</v>
      </c>
      <c r="BV1843" s="1">
        <v>1.1</v>
      </c>
      <c r="EQ1843" s="9" t="s">
        <v>6092</v>
      </c>
      <c r="ER1843" s="21">
        <v>46045.30131944444</v>
      </c>
    </row>
    <row r="1844">
      <c r="A1844" s="9" t="s">
        <v>6099</v>
      </c>
      <c r="B1844" s="20" t="str">
        <f>IFERROR(__xludf.DUMMYFUNCTION("REGEXREPLACE(A1844, ""^https?://[^/]+"", """")"),"/wp-content/uploads/2015/08/Youre-Fired-RS-72-dpi-560-x-281-2048x2048.jpg")</f>
        <v>/wp-content/uploads/2015/08/Youre-Fired-RS-72-dpi-560-x-281-2048x2048.jpg</v>
      </c>
      <c r="F1844" s="1" t="s">
        <v>1004</v>
      </c>
      <c r="G1844" s="1">
        <v>200.0</v>
      </c>
      <c r="H1844" s="1" t="s">
        <v>966</v>
      </c>
      <c r="I1844" s="1" t="s">
        <v>967</v>
      </c>
      <c r="L1844" s="1">
        <v>0.0</v>
      </c>
      <c r="M1844" s="1">
        <v>0.0</v>
      </c>
      <c r="O1844" s="1">
        <v>0.0</v>
      </c>
      <c r="P1844" s="1">
        <v>0.0</v>
      </c>
      <c r="R1844" s="1">
        <v>0.0</v>
      </c>
      <c r="S1844" s="1">
        <v>0.0</v>
      </c>
      <c r="U1844" s="1">
        <v>0.0</v>
      </c>
      <c r="W1844" s="1">
        <v>0.0</v>
      </c>
      <c r="Y1844" s="1">
        <v>0.0</v>
      </c>
      <c r="AA1844" s="1">
        <v>0.0</v>
      </c>
      <c r="AC1844" s="1">
        <v>0.0</v>
      </c>
      <c r="AM1844" s="1">
        <v>339861.0</v>
      </c>
      <c r="AN1844" s="1">
        <v>339861.0</v>
      </c>
      <c r="AO1844" s="1">
        <v>339861.0</v>
      </c>
      <c r="AP1844" s="1">
        <v>130.194</v>
      </c>
      <c r="AR1844" s="1">
        <v>0.0</v>
      </c>
      <c r="AW1844" s="1">
        <v>0.0</v>
      </c>
      <c r="AX1844" s="1">
        <v>4.0</v>
      </c>
      <c r="AY1844" s="1">
        <v>4.0</v>
      </c>
      <c r="BA1844" s="1">
        <v>0.0</v>
      </c>
      <c r="BB1844" s="1">
        <v>0.0</v>
      </c>
      <c r="BC1844" s="1">
        <v>0.0</v>
      </c>
      <c r="BD1844" s="1">
        <v>0.0</v>
      </c>
      <c r="BE1844" s="1">
        <v>0.0</v>
      </c>
      <c r="BF1844" s="1">
        <v>0.0</v>
      </c>
      <c r="BG1844" s="1">
        <v>0.0</v>
      </c>
      <c r="BH1844" s="1">
        <v>0.0</v>
      </c>
      <c r="BI1844" s="1">
        <v>0.0</v>
      </c>
      <c r="BJ1844" s="1">
        <v>0.0</v>
      </c>
      <c r="BP1844" s="1">
        <v>0.276</v>
      </c>
      <c r="BQ1844" s="1" t="s">
        <v>6100</v>
      </c>
      <c r="BV1844" s="1">
        <v>1.1</v>
      </c>
      <c r="EQ1844" s="9" t="s">
        <v>6099</v>
      </c>
      <c r="ER1844" s="21">
        <v>46045.30133101852</v>
      </c>
    </row>
    <row r="1845">
      <c r="A1845" s="9" t="s">
        <v>6101</v>
      </c>
      <c r="B1845" s="20" t="str">
        <f>IFERROR(__xludf.DUMMYFUNCTION("REGEXREPLACE(A1845, ""^https?://[^/]+"", """")"),"/wp-content/uploads/2023/05/Which-Role-is-Right-for-Your-New-Hire.jpg")</f>
        <v>/wp-content/uploads/2023/05/Which-Role-is-Right-for-Your-New-Hire.jpg</v>
      </c>
      <c r="F1845" s="1" t="s">
        <v>1004</v>
      </c>
      <c r="G1845" s="1">
        <v>200.0</v>
      </c>
      <c r="H1845" s="1" t="s">
        <v>966</v>
      </c>
      <c r="I1845" s="1" t="s">
        <v>967</v>
      </c>
      <c r="L1845" s="1">
        <v>0.0</v>
      </c>
      <c r="M1845" s="1">
        <v>0.0</v>
      </c>
      <c r="O1845" s="1">
        <v>0.0</v>
      </c>
      <c r="P1845" s="1">
        <v>0.0</v>
      </c>
      <c r="R1845" s="1">
        <v>0.0</v>
      </c>
      <c r="S1845" s="1">
        <v>0.0</v>
      </c>
      <c r="U1845" s="1">
        <v>0.0</v>
      </c>
      <c r="W1845" s="1">
        <v>0.0</v>
      </c>
      <c r="Y1845" s="1">
        <v>0.0</v>
      </c>
      <c r="AA1845" s="1">
        <v>0.0</v>
      </c>
      <c r="AC1845" s="1">
        <v>0.0</v>
      </c>
      <c r="AM1845" s="1">
        <v>179724.0</v>
      </c>
      <c r="AN1845" s="1">
        <v>179724.0</v>
      </c>
      <c r="AO1845" s="1">
        <v>179724.0</v>
      </c>
      <c r="AP1845" s="1">
        <v>68.849</v>
      </c>
      <c r="AR1845" s="1">
        <v>0.0</v>
      </c>
      <c r="AW1845" s="1">
        <v>0.0</v>
      </c>
      <c r="AX1845" s="1">
        <v>4.0</v>
      </c>
      <c r="AY1845" s="1">
        <v>4.0</v>
      </c>
      <c r="BA1845" s="1">
        <v>0.0</v>
      </c>
      <c r="BB1845" s="1">
        <v>0.0</v>
      </c>
      <c r="BC1845" s="1">
        <v>0.0</v>
      </c>
      <c r="BD1845" s="1">
        <v>0.0</v>
      </c>
      <c r="BE1845" s="1">
        <v>0.0</v>
      </c>
      <c r="BF1845" s="1">
        <v>0.0</v>
      </c>
      <c r="BG1845" s="1">
        <v>0.0</v>
      </c>
      <c r="BH1845" s="1">
        <v>0.0</v>
      </c>
      <c r="BI1845" s="1">
        <v>0.0</v>
      </c>
      <c r="BJ1845" s="1">
        <v>0.0</v>
      </c>
      <c r="BP1845" s="1">
        <v>0.264</v>
      </c>
      <c r="BQ1845" s="1" t="s">
        <v>6102</v>
      </c>
      <c r="BV1845" s="1">
        <v>1.1</v>
      </c>
      <c r="EQ1845" s="9" t="s">
        <v>6101</v>
      </c>
      <c r="ER1845" s="21">
        <v>46045.30133101852</v>
      </c>
    </row>
    <row r="1846">
      <c r="A1846" s="9" t="s">
        <v>6103</v>
      </c>
      <c r="B1846" s="20" t="str">
        <f>IFERROR(__xludf.DUMMYFUNCTION("REGEXREPLACE(A1846, ""^https?://[^/]+"", """")"),"/wp-content/uploads/2020/04/Businessman-leading-training-session-scaled-1-2048x2048.jpg")</f>
        <v>/wp-content/uploads/2020/04/Businessman-leading-training-session-scaled-1-2048x2048.jpg</v>
      </c>
      <c r="F1846" s="1" t="s">
        <v>1004</v>
      </c>
      <c r="G1846" s="1">
        <v>200.0</v>
      </c>
      <c r="H1846" s="1" t="s">
        <v>966</v>
      </c>
      <c r="I1846" s="1" t="s">
        <v>967</v>
      </c>
      <c r="L1846" s="1">
        <v>0.0</v>
      </c>
      <c r="M1846" s="1">
        <v>0.0</v>
      </c>
      <c r="O1846" s="1">
        <v>0.0</v>
      </c>
      <c r="P1846" s="1">
        <v>0.0</v>
      </c>
      <c r="R1846" s="1">
        <v>0.0</v>
      </c>
      <c r="S1846" s="1">
        <v>0.0</v>
      </c>
      <c r="U1846" s="1">
        <v>0.0</v>
      </c>
      <c r="W1846" s="1">
        <v>0.0</v>
      </c>
      <c r="Y1846" s="1">
        <v>0.0</v>
      </c>
      <c r="AA1846" s="1">
        <v>0.0</v>
      </c>
      <c r="AC1846" s="1">
        <v>0.0</v>
      </c>
      <c r="AM1846" s="1">
        <v>409840.0</v>
      </c>
      <c r="AN1846" s="1">
        <v>409840.0</v>
      </c>
      <c r="AO1846" s="1">
        <v>409840.0</v>
      </c>
      <c r="AP1846" s="1">
        <v>157.002</v>
      </c>
      <c r="AR1846" s="1">
        <v>0.0</v>
      </c>
      <c r="AW1846" s="1">
        <v>0.0</v>
      </c>
      <c r="AX1846" s="1">
        <v>4.0</v>
      </c>
      <c r="AY1846" s="1">
        <v>4.0</v>
      </c>
      <c r="BA1846" s="1">
        <v>0.0</v>
      </c>
      <c r="BB1846" s="1">
        <v>0.0</v>
      </c>
      <c r="BC1846" s="1">
        <v>0.0</v>
      </c>
      <c r="BD1846" s="1">
        <v>0.0</v>
      </c>
      <c r="BE1846" s="1">
        <v>0.0</v>
      </c>
      <c r="BF1846" s="1">
        <v>0.0</v>
      </c>
      <c r="BG1846" s="1">
        <v>0.0</v>
      </c>
      <c r="BH1846" s="1">
        <v>0.0</v>
      </c>
      <c r="BI1846" s="1">
        <v>0.0</v>
      </c>
      <c r="BJ1846" s="1">
        <v>0.0</v>
      </c>
      <c r="BP1846" s="1">
        <v>0.275</v>
      </c>
      <c r="BQ1846" s="1" t="s">
        <v>6104</v>
      </c>
      <c r="BV1846" s="1">
        <v>1.1</v>
      </c>
      <c r="EQ1846" s="9" t="s">
        <v>6103</v>
      </c>
      <c r="ER1846" s="21">
        <v>46045.30133101852</v>
      </c>
    </row>
    <row r="1847">
      <c r="A1847" s="9" t="s">
        <v>6105</v>
      </c>
      <c r="B1847" s="20" t="str">
        <f>IFERROR(__xludf.DUMMYFUNCTION("REGEXREPLACE(A1847, ""^https?://[^/]+"", """")"),"/key-leadership-behaviors-improve-sales-force-performance/")</f>
        <v>/key-leadership-behaviors-improve-sales-force-performance/</v>
      </c>
      <c r="C1847" s="1" t="s">
        <v>6106</v>
      </c>
      <c r="F1847" s="1" t="s">
        <v>965</v>
      </c>
      <c r="G1847" s="1">
        <v>200.0</v>
      </c>
      <c r="H1847" s="1" t="s">
        <v>966</v>
      </c>
      <c r="I1847" s="1" t="s">
        <v>967</v>
      </c>
      <c r="K1847" s="1" t="s">
        <v>6107</v>
      </c>
      <c r="L1847" s="1">
        <v>86.0</v>
      </c>
      <c r="M1847" s="1">
        <v>800.0</v>
      </c>
      <c r="O1847" s="1">
        <v>0.0</v>
      </c>
      <c r="P1847" s="1">
        <v>0.0</v>
      </c>
      <c r="Q1847" s="1" t="s">
        <v>6108</v>
      </c>
      <c r="R1847" s="1">
        <v>74.0</v>
      </c>
      <c r="S1847" s="1">
        <v>473.0</v>
      </c>
      <c r="U1847" s="1">
        <v>0.0</v>
      </c>
      <c r="V1847" s="1" t="s">
        <v>6106</v>
      </c>
      <c r="W1847" s="1">
        <v>61.0</v>
      </c>
      <c r="Y1847" s="1">
        <v>0.0</v>
      </c>
      <c r="AA1847" s="1">
        <v>0.0</v>
      </c>
      <c r="AC1847" s="1">
        <v>0.0</v>
      </c>
      <c r="AD1847" s="1" t="s">
        <v>971</v>
      </c>
      <c r="AG1847" s="9" t="s">
        <v>6105</v>
      </c>
      <c r="AM1847" s="1">
        <v>199745.0</v>
      </c>
      <c r="AN1847" s="1">
        <v>35904.0</v>
      </c>
      <c r="AO1847" s="1">
        <v>35904.0</v>
      </c>
      <c r="AP1847" s="1">
        <v>13.754</v>
      </c>
      <c r="AR1847" s="1">
        <v>1321.0</v>
      </c>
      <c r="AS1847" s="1">
        <v>208.0</v>
      </c>
      <c r="AT1847" s="1">
        <v>6.351</v>
      </c>
      <c r="AU1847" s="1">
        <v>55.077</v>
      </c>
      <c r="AV1847" s="1" t="s">
        <v>972</v>
      </c>
      <c r="AW1847" s="1">
        <v>5.486</v>
      </c>
      <c r="AX1847" s="1">
        <v>4.0</v>
      </c>
      <c r="AY1847" s="1">
        <v>1.0</v>
      </c>
      <c r="AZ1847" s="1">
        <v>1.0</v>
      </c>
      <c r="BA1847" s="1">
        <v>11.0</v>
      </c>
      <c r="BB1847" s="1">
        <v>11.0</v>
      </c>
      <c r="BC1847" s="1">
        <v>0.0</v>
      </c>
      <c r="BD1847" s="1">
        <v>1.46</v>
      </c>
      <c r="BE1847" s="1">
        <v>130.0</v>
      </c>
      <c r="BF1847" s="1">
        <v>47.0</v>
      </c>
      <c r="BG1847" s="1">
        <v>0.0</v>
      </c>
      <c r="BH1847" s="1">
        <v>19.0</v>
      </c>
      <c r="BI1847" s="1">
        <v>11.0</v>
      </c>
      <c r="BJ1847" s="1">
        <v>0.0</v>
      </c>
      <c r="BO1847" s="1" t="s">
        <v>6109</v>
      </c>
      <c r="BP1847" s="1">
        <v>1.059</v>
      </c>
      <c r="BU1847" s="1" t="s">
        <v>974</v>
      </c>
      <c r="BV1847" s="1">
        <v>1.1</v>
      </c>
      <c r="EQ1847" s="9" t="s">
        <v>6105</v>
      </c>
      <c r="ER1847" s="21">
        <v>46045.30131944444</v>
      </c>
    </row>
    <row r="1848">
      <c r="A1848" s="9" t="s">
        <v>6110</v>
      </c>
      <c r="B1848" s="20" t="str">
        <f>IFERROR(__xludf.DUMMYFUNCTION("REGEXREPLACE(A1848, ""^https?://[^/]+"", """")"),"/sales-leadership-vs-sales-management/")</f>
        <v>/sales-leadership-vs-sales-management/</v>
      </c>
      <c r="C1848" s="1" t="s">
        <v>6111</v>
      </c>
      <c r="F1848" s="1" t="s">
        <v>965</v>
      </c>
      <c r="G1848" s="1">
        <v>200.0</v>
      </c>
      <c r="H1848" s="1" t="s">
        <v>966</v>
      </c>
      <c r="I1848" s="1" t="s">
        <v>967</v>
      </c>
      <c r="K1848" s="1" t="s">
        <v>6112</v>
      </c>
      <c r="L1848" s="1">
        <v>62.0</v>
      </c>
      <c r="M1848" s="1">
        <v>576.0</v>
      </c>
      <c r="O1848" s="1">
        <v>0.0</v>
      </c>
      <c r="P1848" s="1">
        <v>0.0</v>
      </c>
      <c r="Q1848" s="1" t="s">
        <v>6113</v>
      </c>
      <c r="R1848" s="1">
        <v>85.0</v>
      </c>
      <c r="S1848" s="1">
        <v>536.0</v>
      </c>
      <c r="U1848" s="1">
        <v>0.0</v>
      </c>
      <c r="V1848" s="1" t="s">
        <v>6111</v>
      </c>
      <c r="W1848" s="1">
        <v>37.0</v>
      </c>
      <c r="Y1848" s="1">
        <v>0.0</v>
      </c>
      <c r="AA1848" s="1">
        <v>0.0</v>
      </c>
      <c r="AC1848" s="1">
        <v>0.0</v>
      </c>
      <c r="AD1848" s="1" t="s">
        <v>971</v>
      </c>
      <c r="AG1848" s="9" t="s">
        <v>6110</v>
      </c>
      <c r="AM1848" s="1">
        <v>201095.0</v>
      </c>
      <c r="AN1848" s="1">
        <v>36207.0</v>
      </c>
      <c r="AO1848" s="1">
        <v>36207.0</v>
      </c>
      <c r="AP1848" s="1">
        <v>13.87</v>
      </c>
      <c r="AR1848" s="1">
        <v>1531.0</v>
      </c>
      <c r="AS1848" s="1">
        <v>232.0</v>
      </c>
      <c r="AT1848" s="1">
        <v>6.599</v>
      </c>
      <c r="AU1848" s="1">
        <v>62.158</v>
      </c>
      <c r="AV1848" s="1" t="s">
        <v>990</v>
      </c>
      <c r="AW1848" s="1">
        <v>5.875</v>
      </c>
      <c r="AX1848" s="1">
        <v>4.0</v>
      </c>
      <c r="AY1848" s="1">
        <v>1.0</v>
      </c>
      <c r="AZ1848" s="1">
        <v>1.0</v>
      </c>
      <c r="BA1848" s="1">
        <v>3.0</v>
      </c>
      <c r="BB1848" s="1">
        <v>3.0</v>
      </c>
      <c r="BC1848" s="1">
        <v>0.0</v>
      </c>
      <c r="BD1848" s="1">
        <v>0.4</v>
      </c>
      <c r="BE1848" s="1">
        <v>131.0</v>
      </c>
      <c r="BF1848" s="1">
        <v>47.0</v>
      </c>
      <c r="BG1848" s="1">
        <v>0.0</v>
      </c>
      <c r="BH1848" s="1">
        <v>20.0</v>
      </c>
      <c r="BI1848" s="1">
        <v>12.0</v>
      </c>
      <c r="BJ1848" s="1">
        <v>0.0</v>
      </c>
      <c r="BO1848" s="1" t="s">
        <v>6114</v>
      </c>
      <c r="BP1848" s="1">
        <v>1.04</v>
      </c>
      <c r="BU1848" s="1" t="s">
        <v>974</v>
      </c>
      <c r="BV1848" s="1">
        <v>1.1</v>
      </c>
      <c r="EQ1848" s="9" t="s">
        <v>6110</v>
      </c>
      <c r="ER1848" s="21">
        <v>46045.30131944444</v>
      </c>
    </row>
    <row r="1849">
      <c r="A1849" s="9" t="s">
        <v>6115</v>
      </c>
      <c r="B1849" s="20" t="str">
        <f>IFERROR(__xludf.DUMMYFUNCTION("REGEXREPLACE(A1849, ""^https?://[^/]+"", """")"),"/wp-content/uploads/2020/07/Developing-a-Comp-Plan-2048x2048.jpg")</f>
        <v>/wp-content/uploads/2020/07/Developing-a-Comp-Plan-2048x2048.jpg</v>
      </c>
      <c r="F1849" s="1" t="s">
        <v>1004</v>
      </c>
      <c r="G1849" s="1">
        <v>200.0</v>
      </c>
      <c r="H1849" s="1" t="s">
        <v>966</v>
      </c>
      <c r="I1849" s="1" t="s">
        <v>967</v>
      </c>
      <c r="L1849" s="1">
        <v>0.0</v>
      </c>
      <c r="M1849" s="1">
        <v>0.0</v>
      </c>
      <c r="O1849" s="1">
        <v>0.0</v>
      </c>
      <c r="P1849" s="1">
        <v>0.0</v>
      </c>
      <c r="R1849" s="1">
        <v>0.0</v>
      </c>
      <c r="S1849" s="1">
        <v>0.0</v>
      </c>
      <c r="U1849" s="1">
        <v>0.0</v>
      </c>
      <c r="W1849" s="1">
        <v>0.0</v>
      </c>
      <c r="Y1849" s="1">
        <v>0.0</v>
      </c>
      <c r="AA1849" s="1">
        <v>0.0</v>
      </c>
      <c r="AC1849" s="1">
        <v>0.0</v>
      </c>
      <c r="AM1849" s="1">
        <v>210624.0</v>
      </c>
      <c r="AN1849" s="1">
        <v>210624.0</v>
      </c>
      <c r="AO1849" s="1">
        <v>210624.0</v>
      </c>
      <c r="AP1849" s="1">
        <v>80.686</v>
      </c>
      <c r="AR1849" s="1">
        <v>0.0</v>
      </c>
      <c r="AW1849" s="1">
        <v>0.0</v>
      </c>
      <c r="AX1849" s="1">
        <v>4.0</v>
      </c>
      <c r="AY1849" s="1">
        <v>4.0</v>
      </c>
      <c r="BA1849" s="1">
        <v>0.0</v>
      </c>
      <c r="BB1849" s="1">
        <v>0.0</v>
      </c>
      <c r="BC1849" s="1">
        <v>0.0</v>
      </c>
      <c r="BD1849" s="1">
        <v>0.0</v>
      </c>
      <c r="BE1849" s="1">
        <v>0.0</v>
      </c>
      <c r="BF1849" s="1">
        <v>0.0</v>
      </c>
      <c r="BG1849" s="1">
        <v>0.0</v>
      </c>
      <c r="BH1849" s="1">
        <v>0.0</v>
      </c>
      <c r="BI1849" s="1">
        <v>0.0</v>
      </c>
      <c r="BJ1849" s="1">
        <v>0.0</v>
      </c>
      <c r="BP1849" s="1">
        <v>0.278</v>
      </c>
      <c r="BQ1849" s="1" t="s">
        <v>5871</v>
      </c>
      <c r="BV1849" s="1">
        <v>1.1</v>
      </c>
      <c r="EQ1849" s="9" t="s">
        <v>6115</v>
      </c>
      <c r="ER1849" s="21">
        <v>46045.30133101852</v>
      </c>
    </row>
    <row r="1850">
      <c r="A1850" s="9" t="s">
        <v>6116</v>
      </c>
      <c r="B1850" s="20" t="str">
        <f>IFERROR(__xludf.DUMMYFUNCTION("REGEXREPLACE(A1850, ""^https?://[^/]+"", """")"),"/wp-content/uploads/2020/05/Frustrated-salesperson-scaled-1-2048x2048.jpg")</f>
        <v>/wp-content/uploads/2020/05/Frustrated-salesperson-scaled-1-2048x2048.jpg</v>
      </c>
      <c r="F1850" s="1" t="s">
        <v>1004</v>
      </c>
      <c r="G1850" s="1">
        <v>200.0</v>
      </c>
      <c r="H1850" s="1" t="s">
        <v>966</v>
      </c>
      <c r="I1850" s="1" t="s">
        <v>967</v>
      </c>
      <c r="L1850" s="1">
        <v>0.0</v>
      </c>
      <c r="M1850" s="1">
        <v>0.0</v>
      </c>
      <c r="O1850" s="1">
        <v>0.0</v>
      </c>
      <c r="P1850" s="1">
        <v>0.0</v>
      </c>
      <c r="R1850" s="1">
        <v>0.0</v>
      </c>
      <c r="S1850" s="1">
        <v>0.0</v>
      </c>
      <c r="U1850" s="1">
        <v>0.0</v>
      </c>
      <c r="W1850" s="1">
        <v>0.0</v>
      </c>
      <c r="Y1850" s="1">
        <v>0.0</v>
      </c>
      <c r="AA1850" s="1">
        <v>0.0</v>
      </c>
      <c r="AC1850" s="1">
        <v>0.0</v>
      </c>
      <c r="AM1850" s="1">
        <v>250529.0</v>
      </c>
      <c r="AN1850" s="1">
        <v>250529.0</v>
      </c>
      <c r="AO1850" s="1">
        <v>250529.0</v>
      </c>
      <c r="AP1850" s="1">
        <v>95.973</v>
      </c>
      <c r="AR1850" s="1">
        <v>0.0</v>
      </c>
      <c r="AW1850" s="1">
        <v>0.0</v>
      </c>
      <c r="AX1850" s="1">
        <v>4.0</v>
      </c>
      <c r="AY1850" s="1">
        <v>4.0</v>
      </c>
      <c r="BA1850" s="1">
        <v>0.0</v>
      </c>
      <c r="BB1850" s="1">
        <v>0.0</v>
      </c>
      <c r="BC1850" s="1">
        <v>0.0</v>
      </c>
      <c r="BD1850" s="1">
        <v>0.0</v>
      </c>
      <c r="BE1850" s="1">
        <v>0.0</v>
      </c>
      <c r="BF1850" s="1">
        <v>0.0</v>
      </c>
      <c r="BG1850" s="1">
        <v>0.0</v>
      </c>
      <c r="BH1850" s="1">
        <v>0.0</v>
      </c>
      <c r="BI1850" s="1">
        <v>0.0</v>
      </c>
      <c r="BJ1850" s="1">
        <v>0.0</v>
      </c>
      <c r="BP1850" s="1">
        <v>0.277</v>
      </c>
      <c r="BQ1850" s="1" t="s">
        <v>6117</v>
      </c>
      <c r="BV1850" s="1">
        <v>1.1</v>
      </c>
      <c r="EQ1850" s="9" t="s">
        <v>6116</v>
      </c>
      <c r="ER1850" s="21">
        <v>46045.30133101852</v>
      </c>
    </row>
    <row r="1851">
      <c r="A1851" s="9" t="s">
        <v>6118</v>
      </c>
      <c r="B1851" s="20" t="str">
        <f>IFERROR(__xludf.DUMMYFUNCTION("REGEXREPLACE(A1851, ""^https?://[^/]+"", """")"),"/wp-content/uploads/2025/12/2025-Recruiting-Trends.jpg")</f>
        <v>/wp-content/uploads/2025/12/2025-Recruiting-Trends.jpg</v>
      </c>
      <c r="F1851" s="1" t="s">
        <v>1004</v>
      </c>
      <c r="G1851" s="1">
        <v>200.0</v>
      </c>
      <c r="H1851" s="1" t="s">
        <v>966</v>
      </c>
      <c r="I1851" s="1" t="s">
        <v>967</v>
      </c>
      <c r="L1851" s="1">
        <v>0.0</v>
      </c>
      <c r="M1851" s="1">
        <v>0.0</v>
      </c>
      <c r="O1851" s="1">
        <v>0.0</v>
      </c>
      <c r="P1851" s="1">
        <v>0.0</v>
      </c>
      <c r="R1851" s="1">
        <v>0.0</v>
      </c>
      <c r="S1851" s="1">
        <v>0.0</v>
      </c>
      <c r="U1851" s="1">
        <v>0.0</v>
      </c>
      <c r="W1851" s="1">
        <v>0.0</v>
      </c>
      <c r="Y1851" s="1">
        <v>0.0</v>
      </c>
      <c r="AA1851" s="1">
        <v>0.0</v>
      </c>
      <c r="AC1851" s="1">
        <v>0.0</v>
      </c>
      <c r="AM1851" s="1">
        <v>168211.0</v>
      </c>
      <c r="AN1851" s="1">
        <v>168211.0</v>
      </c>
      <c r="AO1851" s="1">
        <v>168211.0</v>
      </c>
      <c r="AP1851" s="1">
        <v>64.438</v>
      </c>
      <c r="AR1851" s="1">
        <v>0.0</v>
      </c>
      <c r="AW1851" s="1">
        <v>0.0</v>
      </c>
      <c r="AX1851" s="1">
        <v>4.0</v>
      </c>
      <c r="AY1851" s="1">
        <v>4.0</v>
      </c>
      <c r="BA1851" s="1">
        <v>0.0</v>
      </c>
      <c r="BB1851" s="1">
        <v>0.0</v>
      </c>
      <c r="BC1851" s="1">
        <v>0.0</v>
      </c>
      <c r="BD1851" s="1">
        <v>0.0</v>
      </c>
      <c r="BE1851" s="1">
        <v>0.0</v>
      </c>
      <c r="BF1851" s="1">
        <v>0.0</v>
      </c>
      <c r="BG1851" s="1">
        <v>0.0</v>
      </c>
      <c r="BH1851" s="1">
        <v>0.0</v>
      </c>
      <c r="BI1851" s="1">
        <v>0.0</v>
      </c>
      <c r="BJ1851" s="1">
        <v>0.0</v>
      </c>
      <c r="BP1851" s="1">
        <v>0.264</v>
      </c>
      <c r="BQ1851" s="1" t="s">
        <v>6119</v>
      </c>
      <c r="BV1851" s="1">
        <v>1.1</v>
      </c>
      <c r="EQ1851" s="9" t="s">
        <v>6118</v>
      </c>
      <c r="ER1851" s="21">
        <v>46045.30133101852</v>
      </c>
    </row>
    <row r="1852">
      <c r="A1852" s="9" t="s">
        <v>6120</v>
      </c>
      <c r="B1852" s="20" t="str">
        <f>IFERROR(__xludf.DUMMYFUNCTION("REGEXREPLACE(A1852, ""^https?://[^/]+"", """")"),"/wp-content/uploads/2021/03/Change-Your-Path-2-300x300.jpg")</f>
        <v>/wp-content/uploads/2021/03/Change-Your-Path-2-300x300.jpg</v>
      </c>
      <c r="F1852" s="1" t="s">
        <v>1004</v>
      </c>
      <c r="G1852" s="1">
        <v>200.0</v>
      </c>
      <c r="H1852" s="1" t="s">
        <v>966</v>
      </c>
      <c r="I1852" s="1" t="s">
        <v>967</v>
      </c>
      <c r="L1852" s="1">
        <v>0.0</v>
      </c>
      <c r="M1852" s="1">
        <v>0.0</v>
      </c>
      <c r="O1852" s="1">
        <v>0.0</v>
      </c>
      <c r="P1852" s="1">
        <v>0.0</v>
      </c>
      <c r="R1852" s="1">
        <v>0.0</v>
      </c>
      <c r="S1852" s="1">
        <v>0.0</v>
      </c>
      <c r="U1852" s="1">
        <v>0.0</v>
      </c>
      <c r="W1852" s="1">
        <v>0.0</v>
      </c>
      <c r="Y1852" s="1">
        <v>0.0</v>
      </c>
      <c r="AA1852" s="1">
        <v>0.0</v>
      </c>
      <c r="AC1852" s="1">
        <v>0.0</v>
      </c>
      <c r="AM1852" s="1">
        <v>17681.0</v>
      </c>
      <c r="AN1852" s="1">
        <v>17681.0</v>
      </c>
      <c r="AO1852" s="1">
        <v>17681.0</v>
      </c>
      <c r="AP1852" s="1">
        <v>6.773</v>
      </c>
      <c r="AR1852" s="1">
        <v>0.0</v>
      </c>
      <c r="AW1852" s="1">
        <v>0.0</v>
      </c>
      <c r="AX1852" s="1">
        <v>4.0</v>
      </c>
      <c r="AY1852" s="1">
        <v>4.0</v>
      </c>
      <c r="BA1852" s="1">
        <v>0.0</v>
      </c>
      <c r="BB1852" s="1">
        <v>0.0</v>
      </c>
      <c r="BC1852" s="1">
        <v>0.0</v>
      </c>
      <c r="BD1852" s="1">
        <v>0.0</v>
      </c>
      <c r="BE1852" s="1">
        <v>0.0</v>
      </c>
      <c r="BF1852" s="1">
        <v>0.0</v>
      </c>
      <c r="BG1852" s="1">
        <v>0.0</v>
      </c>
      <c r="BH1852" s="1">
        <v>0.0</v>
      </c>
      <c r="BI1852" s="1">
        <v>0.0</v>
      </c>
      <c r="BJ1852" s="1">
        <v>0.0</v>
      </c>
      <c r="BP1852" s="1">
        <v>0.28</v>
      </c>
      <c r="BQ1852" s="1" t="s">
        <v>6121</v>
      </c>
      <c r="BV1852" s="1">
        <v>1.1</v>
      </c>
      <c r="EQ1852" s="9" t="s">
        <v>6120</v>
      </c>
      <c r="ER1852" s="21">
        <v>46045.30134259259</v>
      </c>
    </row>
    <row r="1853">
      <c r="A1853" s="9" t="s">
        <v>6122</v>
      </c>
      <c r="B1853" s="20" t="str">
        <f>IFERROR(__xludf.DUMMYFUNCTION("REGEXREPLACE(A1853, ""^https?://[^/]+"", """")"),"/youre-fired-why-you-might-have-to-let-your-top-salesperson-go/")</f>
        <v>/youre-fired-why-you-might-have-to-let-your-top-salesperson-go/</v>
      </c>
      <c r="C1853" s="1" t="s">
        <v>6123</v>
      </c>
      <c r="F1853" s="1" t="s">
        <v>965</v>
      </c>
      <c r="G1853" s="1">
        <v>200.0</v>
      </c>
      <c r="H1853" s="1" t="s">
        <v>966</v>
      </c>
      <c r="I1853" s="1" t="s">
        <v>967</v>
      </c>
      <c r="K1853" s="1" t="s">
        <v>6124</v>
      </c>
      <c r="L1853" s="1">
        <v>63.0</v>
      </c>
      <c r="M1853" s="1">
        <v>586.0</v>
      </c>
      <c r="O1853" s="1">
        <v>0.0</v>
      </c>
      <c r="P1853" s="1">
        <v>0.0</v>
      </c>
      <c r="Q1853" s="1" t="s">
        <v>6125</v>
      </c>
      <c r="R1853" s="1">
        <v>149.0</v>
      </c>
      <c r="S1853" s="1">
        <v>918.0</v>
      </c>
      <c r="U1853" s="1">
        <v>0.0</v>
      </c>
      <c r="V1853" s="1" t="s">
        <v>6123</v>
      </c>
      <c r="W1853" s="1">
        <v>64.0</v>
      </c>
      <c r="Y1853" s="1">
        <v>0.0</v>
      </c>
      <c r="AA1853" s="1">
        <v>0.0</v>
      </c>
      <c r="AC1853" s="1">
        <v>0.0</v>
      </c>
      <c r="AD1853" s="1" t="s">
        <v>971</v>
      </c>
      <c r="AG1853" s="9" t="s">
        <v>6122</v>
      </c>
      <c r="AM1853" s="1">
        <v>204556.0</v>
      </c>
      <c r="AN1853" s="1">
        <v>36975.0</v>
      </c>
      <c r="AO1853" s="1">
        <v>36975.0</v>
      </c>
      <c r="AP1853" s="1">
        <v>14.164</v>
      </c>
      <c r="AR1853" s="1">
        <v>1551.0</v>
      </c>
      <c r="AS1853" s="1">
        <v>240.0</v>
      </c>
      <c r="AT1853" s="1">
        <v>6.463</v>
      </c>
      <c r="AU1853" s="1">
        <v>65.712</v>
      </c>
      <c r="AV1853" s="1" t="s">
        <v>990</v>
      </c>
      <c r="AW1853" s="1">
        <v>5.818</v>
      </c>
      <c r="AX1853" s="1">
        <v>4.0</v>
      </c>
      <c r="AY1853" s="1">
        <v>1.0</v>
      </c>
      <c r="AZ1853" s="1">
        <v>1.0</v>
      </c>
      <c r="BA1853" s="1">
        <v>16.0</v>
      </c>
      <c r="BB1853" s="1">
        <v>16.0</v>
      </c>
      <c r="BC1853" s="1">
        <v>0.0</v>
      </c>
      <c r="BD1853" s="1">
        <v>2.12</v>
      </c>
      <c r="BE1853" s="1">
        <v>137.0</v>
      </c>
      <c r="BF1853" s="1">
        <v>51.0</v>
      </c>
      <c r="BG1853" s="1">
        <v>0.0</v>
      </c>
      <c r="BH1853" s="1">
        <v>16.0</v>
      </c>
      <c r="BI1853" s="1">
        <v>8.0</v>
      </c>
      <c r="BJ1853" s="1">
        <v>0.0</v>
      </c>
      <c r="BO1853" s="1" t="s">
        <v>6126</v>
      </c>
      <c r="BP1853" s="1">
        <v>1.052</v>
      </c>
      <c r="BU1853" s="1" t="s">
        <v>974</v>
      </c>
      <c r="BV1853" s="1">
        <v>1.1</v>
      </c>
      <c r="EQ1853" s="9" t="s">
        <v>6122</v>
      </c>
      <c r="ER1853" s="21">
        <v>46045.30133101852</v>
      </c>
    </row>
    <row r="1854">
      <c r="A1854" s="9" t="s">
        <v>6127</v>
      </c>
      <c r="B1854" s="20" t="str">
        <f>IFERROR(__xludf.DUMMYFUNCTION("REGEXREPLACE(A1854, ""^https?://[^/]+"", """")"),"/wp-content/uploads/2021/06/Business-Owner-in-Sales-Team-Meeting-300x169.jpg")</f>
        <v>/wp-content/uploads/2021/06/Business-Owner-in-Sales-Team-Meeting-300x169.jpg</v>
      </c>
      <c r="F1854" s="1" t="s">
        <v>1004</v>
      </c>
      <c r="G1854" s="1">
        <v>200.0</v>
      </c>
      <c r="H1854" s="1" t="s">
        <v>966</v>
      </c>
      <c r="I1854" s="1" t="s">
        <v>967</v>
      </c>
      <c r="L1854" s="1">
        <v>0.0</v>
      </c>
      <c r="M1854" s="1">
        <v>0.0</v>
      </c>
      <c r="O1854" s="1">
        <v>0.0</v>
      </c>
      <c r="P1854" s="1">
        <v>0.0</v>
      </c>
      <c r="R1854" s="1">
        <v>0.0</v>
      </c>
      <c r="S1854" s="1">
        <v>0.0</v>
      </c>
      <c r="U1854" s="1">
        <v>0.0</v>
      </c>
      <c r="W1854" s="1">
        <v>0.0</v>
      </c>
      <c r="Y1854" s="1">
        <v>0.0</v>
      </c>
      <c r="AA1854" s="1">
        <v>0.0</v>
      </c>
      <c r="AC1854" s="1">
        <v>0.0</v>
      </c>
      <c r="AM1854" s="1">
        <v>13184.0</v>
      </c>
      <c r="AN1854" s="1">
        <v>13184.0</v>
      </c>
      <c r="AO1854" s="1">
        <v>13184.0</v>
      </c>
      <c r="AP1854" s="1">
        <v>5.051</v>
      </c>
      <c r="AR1854" s="1">
        <v>0.0</v>
      </c>
      <c r="AW1854" s="1">
        <v>0.0</v>
      </c>
      <c r="AX1854" s="1">
        <v>4.0</v>
      </c>
      <c r="AY1854" s="1">
        <v>4.0</v>
      </c>
      <c r="BA1854" s="1">
        <v>0.0</v>
      </c>
      <c r="BB1854" s="1">
        <v>0.0</v>
      </c>
      <c r="BC1854" s="1">
        <v>0.0</v>
      </c>
      <c r="BD1854" s="1">
        <v>0.0</v>
      </c>
      <c r="BE1854" s="1">
        <v>0.0</v>
      </c>
      <c r="BF1854" s="1">
        <v>0.0</v>
      </c>
      <c r="BG1854" s="1">
        <v>0.0</v>
      </c>
      <c r="BH1854" s="1">
        <v>0.0</v>
      </c>
      <c r="BI1854" s="1">
        <v>0.0</v>
      </c>
      <c r="BJ1854" s="1">
        <v>0.0</v>
      </c>
      <c r="BP1854" s="1">
        <v>1.278</v>
      </c>
      <c r="BQ1854" s="1" t="s">
        <v>6128</v>
      </c>
      <c r="BV1854" s="1">
        <v>1.1</v>
      </c>
      <c r="EQ1854" s="9" t="s">
        <v>6127</v>
      </c>
      <c r="ER1854" s="21">
        <v>46045.30133101852</v>
      </c>
    </row>
    <row r="1855">
      <c r="A1855" s="9" t="s">
        <v>6129</v>
      </c>
      <c r="B1855" s="20" t="str">
        <f>IFERROR(__xludf.DUMMYFUNCTION("REGEXREPLACE(A1855, ""^https?://[^/]+"", """")"),"/whats-the-gig-idea-what-you-need-to-know-about-the-gig-economy/")</f>
        <v>/whats-the-gig-idea-what-you-need-to-know-about-the-gig-economy/</v>
      </c>
      <c r="C1855" s="1" t="s">
        <v>6130</v>
      </c>
      <c r="D1855" s="1" t="s">
        <v>6131</v>
      </c>
      <c r="E1855" s="1" t="s">
        <v>6132</v>
      </c>
      <c r="F1855" s="1" t="s">
        <v>965</v>
      </c>
      <c r="G1855" s="1">
        <v>200.0</v>
      </c>
      <c r="H1855" s="1" t="s">
        <v>966</v>
      </c>
      <c r="I1855" s="1" t="s">
        <v>967</v>
      </c>
      <c r="K1855" s="1" t="s">
        <v>6133</v>
      </c>
      <c r="L1855" s="1">
        <v>89.0</v>
      </c>
      <c r="M1855" s="1">
        <v>834.0</v>
      </c>
      <c r="O1855" s="1">
        <v>0.0</v>
      </c>
      <c r="P1855" s="1">
        <v>0.0</v>
      </c>
      <c r="Q1855" s="1" t="s">
        <v>6134</v>
      </c>
      <c r="R1855" s="1">
        <v>138.0</v>
      </c>
      <c r="S1855" s="1">
        <v>837.0</v>
      </c>
      <c r="U1855" s="1">
        <v>0.0</v>
      </c>
      <c r="V1855" s="1" t="s">
        <v>6130</v>
      </c>
      <c r="W1855" s="1">
        <v>64.0</v>
      </c>
      <c r="Y1855" s="1">
        <v>0.0</v>
      </c>
      <c r="Z1855" s="1" t="s">
        <v>6131</v>
      </c>
      <c r="AA1855" s="1">
        <v>21.0</v>
      </c>
      <c r="AB1855" s="1" t="s">
        <v>6132</v>
      </c>
      <c r="AC1855" s="1">
        <v>35.0</v>
      </c>
      <c r="AD1855" s="1" t="s">
        <v>971</v>
      </c>
      <c r="AG1855" s="9" t="s">
        <v>6129</v>
      </c>
      <c r="AM1855" s="1">
        <v>201279.0</v>
      </c>
      <c r="AN1855" s="1">
        <v>36058.0</v>
      </c>
      <c r="AO1855" s="1">
        <v>36058.0</v>
      </c>
      <c r="AP1855" s="1">
        <v>13.813</v>
      </c>
      <c r="AR1855" s="1">
        <v>1282.0</v>
      </c>
      <c r="AS1855" s="1">
        <v>195.0</v>
      </c>
      <c r="AT1855" s="1">
        <v>6.574</v>
      </c>
      <c r="AU1855" s="1">
        <v>56.302</v>
      </c>
      <c r="AV1855" s="1" t="s">
        <v>972</v>
      </c>
      <c r="AW1855" s="1">
        <v>5.247</v>
      </c>
      <c r="AX1855" s="1">
        <v>4.0</v>
      </c>
      <c r="AY1855" s="1">
        <v>1.0</v>
      </c>
      <c r="AZ1855" s="1">
        <v>1.0</v>
      </c>
      <c r="BA1855" s="1">
        <v>4.0</v>
      </c>
      <c r="BB1855" s="1">
        <v>2.0</v>
      </c>
      <c r="BC1855" s="1">
        <v>0.0</v>
      </c>
      <c r="BD1855" s="1">
        <v>0.27</v>
      </c>
      <c r="BE1855" s="1">
        <v>133.0</v>
      </c>
      <c r="BF1855" s="1">
        <v>48.0</v>
      </c>
      <c r="BG1855" s="1">
        <v>0.0</v>
      </c>
      <c r="BH1855" s="1">
        <v>16.0</v>
      </c>
      <c r="BI1855" s="1">
        <v>8.0</v>
      </c>
      <c r="BJ1855" s="1">
        <v>0.0</v>
      </c>
      <c r="BO1855" s="1" t="s">
        <v>6135</v>
      </c>
      <c r="BP1855" s="1">
        <v>1.02</v>
      </c>
      <c r="BU1855" s="1" t="s">
        <v>974</v>
      </c>
      <c r="BV1855" s="1">
        <v>1.1</v>
      </c>
      <c r="EQ1855" s="9" t="s">
        <v>6129</v>
      </c>
      <c r="ER1855" s="21">
        <v>46045.30134259259</v>
      </c>
    </row>
    <row r="1856">
      <c r="A1856" s="9" t="s">
        <v>6136</v>
      </c>
      <c r="B1856" s="20" t="str">
        <f>IFERROR(__xludf.DUMMYFUNCTION("REGEXREPLACE(A1856, ""^https?://[^/]+"", """")"),"/five-reasons-not-to-become-a-sales-leadership-consultant/")</f>
        <v>/five-reasons-not-to-become-a-sales-leadership-consultant/</v>
      </c>
      <c r="C1856" s="1" t="s">
        <v>6137</v>
      </c>
      <c r="D1856" s="1" t="s">
        <v>6138</v>
      </c>
      <c r="E1856" s="1" t="s">
        <v>6139</v>
      </c>
      <c r="F1856" s="1" t="s">
        <v>965</v>
      </c>
      <c r="G1856" s="1">
        <v>200.0</v>
      </c>
      <c r="H1856" s="1" t="s">
        <v>966</v>
      </c>
      <c r="I1856" s="1" t="s">
        <v>967</v>
      </c>
      <c r="K1856" s="1" t="s">
        <v>6140</v>
      </c>
      <c r="L1856" s="1">
        <v>81.0</v>
      </c>
      <c r="M1856" s="1">
        <v>755.0</v>
      </c>
      <c r="O1856" s="1">
        <v>0.0</v>
      </c>
      <c r="P1856" s="1">
        <v>0.0</v>
      </c>
      <c r="Q1856" s="1" t="s">
        <v>6141</v>
      </c>
      <c r="R1856" s="1">
        <v>149.0</v>
      </c>
      <c r="S1856" s="1">
        <v>912.0</v>
      </c>
      <c r="U1856" s="1">
        <v>0.0</v>
      </c>
      <c r="V1856" s="1" t="s">
        <v>6137</v>
      </c>
      <c r="W1856" s="1">
        <v>56.0</v>
      </c>
      <c r="Y1856" s="1">
        <v>0.0</v>
      </c>
      <c r="Z1856" s="1" t="s">
        <v>6138</v>
      </c>
      <c r="AA1856" s="1">
        <v>66.0</v>
      </c>
      <c r="AB1856" s="1" t="s">
        <v>6139</v>
      </c>
      <c r="AC1856" s="1">
        <v>64.0</v>
      </c>
      <c r="AD1856" s="1" t="s">
        <v>971</v>
      </c>
      <c r="AG1856" s="9" t="s">
        <v>6136</v>
      </c>
      <c r="AM1856" s="1">
        <v>202062.0</v>
      </c>
      <c r="AN1856" s="1">
        <v>36082.0</v>
      </c>
      <c r="AO1856" s="1">
        <v>36082.0</v>
      </c>
      <c r="AP1856" s="1">
        <v>13.822</v>
      </c>
      <c r="AR1856" s="1">
        <v>1397.0</v>
      </c>
      <c r="AS1856" s="1">
        <v>208.0</v>
      </c>
      <c r="AT1856" s="1">
        <v>6.716</v>
      </c>
      <c r="AU1856" s="1">
        <v>70.847</v>
      </c>
      <c r="AV1856" s="1" t="s">
        <v>1264</v>
      </c>
      <c r="AW1856" s="1">
        <v>5.351</v>
      </c>
      <c r="AX1856" s="1">
        <v>4.0</v>
      </c>
      <c r="AY1856" s="1">
        <v>1.0</v>
      </c>
      <c r="AZ1856" s="1">
        <v>1.0</v>
      </c>
      <c r="BA1856" s="1">
        <v>4.0</v>
      </c>
      <c r="BB1856" s="1">
        <v>2.0</v>
      </c>
      <c r="BC1856" s="1">
        <v>0.0</v>
      </c>
      <c r="BD1856" s="1">
        <v>0.27</v>
      </c>
      <c r="BE1856" s="1">
        <v>133.0</v>
      </c>
      <c r="BF1856" s="1">
        <v>48.0</v>
      </c>
      <c r="BG1856" s="1">
        <v>0.0</v>
      </c>
      <c r="BH1856" s="1">
        <v>16.0</v>
      </c>
      <c r="BI1856" s="1">
        <v>8.0</v>
      </c>
      <c r="BJ1856" s="1">
        <v>0.0</v>
      </c>
      <c r="BO1856" s="1" t="s">
        <v>6142</v>
      </c>
      <c r="BP1856" s="1">
        <v>1.001</v>
      </c>
      <c r="BU1856" s="1" t="s">
        <v>974</v>
      </c>
      <c r="BV1856" s="1">
        <v>1.1</v>
      </c>
      <c r="EQ1856" s="9" t="s">
        <v>6136</v>
      </c>
      <c r="ER1856" s="21">
        <v>46045.30134259259</v>
      </c>
    </row>
    <row r="1857">
      <c r="A1857" s="9" t="s">
        <v>6143</v>
      </c>
      <c r="B1857" s="20" t="str">
        <f>IFERROR(__xludf.DUMMYFUNCTION("REGEXREPLACE(A1857, ""^https?://[^/]+"", """")"),"/wp-content/uploads/2021/07/Businessman-Holding-Flag-in-Sky-on-a-Mountain-scaled-1-300x167.jpg")</f>
        <v>/wp-content/uploads/2021/07/Businessman-Holding-Flag-in-Sky-on-a-Mountain-scaled-1-300x167.jpg</v>
      </c>
      <c r="F1857" s="1" t="s">
        <v>1004</v>
      </c>
      <c r="G1857" s="1">
        <v>200.0</v>
      </c>
      <c r="H1857" s="1" t="s">
        <v>966</v>
      </c>
      <c r="I1857" s="1" t="s">
        <v>967</v>
      </c>
      <c r="L1857" s="1">
        <v>0.0</v>
      </c>
      <c r="M1857" s="1">
        <v>0.0</v>
      </c>
      <c r="O1857" s="1">
        <v>0.0</v>
      </c>
      <c r="P1857" s="1">
        <v>0.0</v>
      </c>
      <c r="R1857" s="1">
        <v>0.0</v>
      </c>
      <c r="S1857" s="1">
        <v>0.0</v>
      </c>
      <c r="U1857" s="1">
        <v>0.0</v>
      </c>
      <c r="W1857" s="1">
        <v>0.0</v>
      </c>
      <c r="Y1857" s="1">
        <v>0.0</v>
      </c>
      <c r="AA1857" s="1">
        <v>0.0</v>
      </c>
      <c r="AC1857" s="1">
        <v>0.0</v>
      </c>
      <c r="AM1857" s="1">
        <v>5821.0</v>
      </c>
      <c r="AN1857" s="1">
        <v>5821.0</v>
      </c>
      <c r="AO1857" s="1">
        <v>5821.0</v>
      </c>
      <c r="AP1857" s="1">
        <v>2.23</v>
      </c>
      <c r="AR1857" s="1">
        <v>0.0</v>
      </c>
      <c r="AW1857" s="1">
        <v>0.0</v>
      </c>
      <c r="AX1857" s="1">
        <v>4.0</v>
      </c>
      <c r="AY1857" s="1">
        <v>4.0</v>
      </c>
      <c r="BA1857" s="1">
        <v>0.0</v>
      </c>
      <c r="BB1857" s="1">
        <v>0.0</v>
      </c>
      <c r="BC1857" s="1">
        <v>0.0</v>
      </c>
      <c r="BD1857" s="1">
        <v>0.0</v>
      </c>
      <c r="BE1857" s="1">
        <v>0.0</v>
      </c>
      <c r="BF1857" s="1">
        <v>0.0</v>
      </c>
      <c r="BG1857" s="1">
        <v>0.0</v>
      </c>
      <c r="BH1857" s="1">
        <v>0.0</v>
      </c>
      <c r="BI1857" s="1">
        <v>0.0</v>
      </c>
      <c r="BJ1857" s="1">
        <v>0.0</v>
      </c>
      <c r="BP1857" s="1">
        <v>0.281</v>
      </c>
      <c r="BQ1857" s="1" t="s">
        <v>6144</v>
      </c>
      <c r="BV1857" s="1">
        <v>1.1</v>
      </c>
      <c r="EQ1857" s="9" t="s">
        <v>6143</v>
      </c>
      <c r="ER1857" s="21">
        <v>46045.301354166666</v>
      </c>
    </row>
    <row r="1858">
      <c r="A1858" s="9" t="s">
        <v>6145</v>
      </c>
      <c r="B1858" s="20" t="str">
        <f>IFERROR(__xludf.DUMMYFUNCTION("REGEXREPLACE(A1858, ""^https?://[^/]+"", """")"),"/wp-content/uploads/2021/05/Buinessman-Traveling-for-Work-300x200.png")</f>
        <v>/wp-content/uploads/2021/05/Buinessman-Traveling-for-Work-300x200.png</v>
      </c>
      <c r="F1858" s="1" t="s">
        <v>1047</v>
      </c>
      <c r="G1858" s="1">
        <v>200.0</v>
      </c>
      <c r="H1858" s="1" t="s">
        <v>966</v>
      </c>
      <c r="I1858" s="1" t="s">
        <v>967</v>
      </c>
      <c r="L1858" s="1">
        <v>0.0</v>
      </c>
      <c r="M1858" s="1">
        <v>0.0</v>
      </c>
      <c r="O1858" s="1">
        <v>0.0</v>
      </c>
      <c r="P1858" s="1">
        <v>0.0</v>
      </c>
      <c r="R1858" s="1">
        <v>0.0</v>
      </c>
      <c r="S1858" s="1">
        <v>0.0</v>
      </c>
      <c r="U1858" s="1">
        <v>0.0</v>
      </c>
      <c r="W1858" s="1">
        <v>0.0</v>
      </c>
      <c r="Y1858" s="1">
        <v>0.0</v>
      </c>
      <c r="AA1858" s="1">
        <v>0.0</v>
      </c>
      <c r="AC1858" s="1">
        <v>0.0</v>
      </c>
      <c r="AM1858" s="1">
        <v>76225.0</v>
      </c>
      <c r="AN1858" s="1">
        <v>76225.0</v>
      </c>
      <c r="AO1858" s="1">
        <v>76225.0</v>
      </c>
      <c r="AP1858" s="1">
        <v>29.2</v>
      </c>
      <c r="AR1858" s="1">
        <v>0.0</v>
      </c>
      <c r="AW1858" s="1">
        <v>0.0</v>
      </c>
      <c r="AX1858" s="1">
        <v>4.0</v>
      </c>
      <c r="AY1858" s="1">
        <v>4.0</v>
      </c>
      <c r="BA1858" s="1">
        <v>0.0</v>
      </c>
      <c r="BB1858" s="1">
        <v>0.0</v>
      </c>
      <c r="BC1858" s="1">
        <v>0.0</v>
      </c>
      <c r="BD1858" s="1">
        <v>0.0</v>
      </c>
      <c r="BE1858" s="1">
        <v>0.0</v>
      </c>
      <c r="BF1858" s="1">
        <v>0.0</v>
      </c>
      <c r="BG1858" s="1">
        <v>0.0</v>
      </c>
      <c r="BH1858" s="1">
        <v>0.0</v>
      </c>
      <c r="BI1858" s="1">
        <v>0.0</v>
      </c>
      <c r="BJ1858" s="1">
        <v>0.0</v>
      </c>
      <c r="BP1858" s="1">
        <v>0.257</v>
      </c>
      <c r="BQ1858" s="1" t="s">
        <v>6146</v>
      </c>
      <c r="BV1858" s="1">
        <v>1.1</v>
      </c>
      <c r="EQ1858" s="9" t="s">
        <v>6145</v>
      </c>
      <c r="ER1858" s="21">
        <v>46045.301354166666</v>
      </c>
    </row>
    <row r="1859">
      <c r="A1859" s="9" t="s">
        <v>6147</v>
      </c>
      <c r="B1859" s="20" t="str">
        <f>IFERROR(__xludf.DUMMYFUNCTION("REGEXREPLACE(A1859, ""^https?://[^/]+"", """")"),"/how-fractional-leadership-helps-businesses-pivot-to-a-new-normal/")</f>
        <v>/how-fractional-leadership-helps-businesses-pivot-to-a-new-normal/</v>
      </c>
      <c r="C1859" s="1" t="s">
        <v>6148</v>
      </c>
      <c r="D1859" s="1" t="s">
        <v>6149</v>
      </c>
      <c r="E1859" s="1" t="s">
        <v>6150</v>
      </c>
      <c r="F1859" s="1" t="s">
        <v>965</v>
      </c>
      <c r="G1859" s="1">
        <v>200.0</v>
      </c>
      <c r="H1859" s="1" t="s">
        <v>966</v>
      </c>
      <c r="I1859" s="1" t="s">
        <v>967</v>
      </c>
      <c r="K1859" s="1" t="s">
        <v>6151</v>
      </c>
      <c r="L1859" s="1">
        <v>51.0</v>
      </c>
      <c r="M1859" s="1">
        <v>455.0</v>
      </c>
      <c r="O1859" s="1">
        <v>0.0</v>
      </c>
      <c r="P1859" s="1">
        <v>0.0</v>
      </c>
      <c r="Q1859" s="1" t="s">
        <v>6152</v>
      </c>
      <c r="R1859" s="1">
        <v>161.0</v>
      </c>
      <c r="S1859" s="1">
        <v>972.0</v>
      </c>
      <c r="U1859" s="1">
        <v>0.0</v>
      </c>
      <c r="V1859" s="1" t="s">
        <v>6148</v>
      </c>
      <c r="W1859" s="1">
        <v>64.0</v>
      </c>
      <c r="Y1859" s="1">
        <v>0.0</v>
      </c>
      <c r="Z1859" s="1" t="s">
        <v>6149</v>
      </c>
      <c r="AA1859" s="1">
        <v>35.0</v>
      </c>
      <c r="AB1859" s="1" t="s">
        <v>6150</v>
      </c>
      <c r="AC1859" s="1">
        <v>21.0</v>
      </c>
      <c r="AD1859" s="1" t="s">
        <v>971</v>
      </c>
      <c r="AG1859" s="9" t="s">
        <v>6147</v>
      </c>
      <c r="AM1859" s="1">
        <v>202538.0</v>
      </c>
      <c r="AN1859" s="1">
        <v>36224.0</v>
      </c>
      <c r="AO1859" s="1">
        <v>36224.0</v>
      </c>
      <c r="AP1859" s="1">
        <v>13.877</v>
      </c>
      <c r="AR1859" s="1">
        <v>1368.0</v>
      </c>
      <c r="AS1859" s="1">
        <v>202.0</v>
      </c>
      <c r="AT1859" s="1">
        <v>6.772</v>
      </c>
      <c r="AU1859" s="1">
        <v>51.787</v>
      </c>
      <c r="AV1859" s="1" t="s">
        <v>972</v>
      </c>
      <c r="AW1859" s="1">
        <v>5.592</v>
      </c>
      <c r="AX1859" s="1">
        <v>4.0</v>
      </c>
      <c r="AY1859" s="1">
        <v>1.0</v>
      </c>
      <c r="AZ1859" s="1">
        <v>1.0</v>
      </c>
      <c r="BA1859" s="1">
        <v>4.0</v>
      </c>
      <c r="BB1859" s="1">
        <v>2.0</v>
      </c>
      <c r="BC1859" s="1">
        <v>0.0</v>
      </c>
      <c r="BD1859" s="1">
        <v>0.27</v>
      </c>
      <c r="BE1859" s="1">
        <v>133.0</v>
      </c>
      <c r="BF1859" s="1">
        <v>48.0</v>
      </c>
      <c r="BG1859" s="1">
        <v>0.0</v>
      </c>
      <c r="BH1859" s="1">
        <v>16.0</v>
      </c>
      <c r="BI1859" s="1">
        <v>8.0</v>
      </c>
      <c r="BJ1859" s="1">
        <v>0.0</v>
      </c>
      <c r="BO1859" s="1" t="s">
        <v>6153</v>
      </c>
      <c r="BP1859" s="1">
        <v>1.012</v>
      </c>
      <c r="BU1859" s="1" t="s">
        <v>974</v>
      </c>
      <c r="BV1859" s="1">
        <v>1.1</v>
      </c>
      <c r="EQ1859" s="9" t="s">
        <v>6147</v>
      </c>
      <c r="ER1859" s="21">
        <v>46045.30134259259</v>
      </c>
    </row>
    <row r="1860">
      <c r="A1860" s="9" t="s">
        <v>6154</v>
      </c>
      <c r="B1860" s="20" t="str">
        <f>IFERROR(__xludf.DUMMYFUNCTION("REGEXREPLACE(A1860, ""^https?://[^/]+"", """")"),"/wp-content/uploads/2021/05/Confident-Sales-Leader-in-Team-Meeting-scaled-1-300x200.jpg")</f>
        <v>/wp-content/uploads/2021/05/Confident-Sales-Leader-in-Team-Meeting-scaled-1-300x200.jpg</v>
      </c>
      <c r="F1860" s="1" t="s">
        <v>1004</v>
      </c>
      <c r="G1860" s="1">
        <v>200.0</v>
      </c>
      <c r="H1860" s="1" t="s">
        <v>966</v>
      </c>
      <c r="I1860" s="1" t="s">
        <v>967</v>
      </c>
      <c r="L1860" s="1">
        <v>0.0</v>
      </c>
      <c r="M1860" s="1">
        <v>0.0</v>
      </c>
      <c r="O1860" s="1">
        <v>0.0</v>
      </c>
      <c r="P1860" s="1">
        <v>0.0</v>
      </c>
      <c r="R1860" s="1">
        <v>0.0</v>
      </c>
      <c r="S1860" s="1">
        <v>0.0</v>
      </c>
      <c r="U1860" s="1">
        <v>0.0</v>
      </c>
      <c r="W1860" s="1">
        <v>0.0</v>
      </c>
      <c r="Y1860" s="1">
        <v>0.0</v>
      </c>
      <c r="AA1860" s="1">
        <v>0.0</v>
      </c>
      <c r="AC1860" s="1">
        <v>0.0</v>
      </c>
      <c r="AM1860" s="1">
        <v>13370.0</v>
      </c>
      <c r="AN1860" s="1">
        <v>13370.0</v>
      </c>
      <c r="AO1860" s="1">
        <v>13370.0</v>
      </c>
      <c r="AP1860" s="1">
        <v>5.122</v>
      </c>
      <c r="AR1860" s="1">
        <v>0.0</v>
      </c>
      <c r="AW1860" s="1">
        <v>0.0</v>
      </c>
      <c r="AX1860" s="1">
        <v>4.0</v>
      </c>
      <c r="AY1860" s="1">
        <v>4.0</v>
      </c>
      <c r="BA1860" s="1">
        <v>0.0</v>
      </c>
      <c r="BB1860" s="1">
        <v>0.0</v>
      </c>
      <c r="BC1860" s="1">
        <v>0.0</v>
      </c>
      <c r="BD1860" s="1">
        <v>0.0</v>
      </c>
      <c r="BE1860" s="1">
        <v>0.0</v>
      </c>
      <c r="BF1860" s="1">
        <v>0.0</v>
      </c>
      <c r="BG1860" s="1">
        <v>0.0</v>
      </c>
      <c r="BH1860" s="1">
        <v>0.0</v>
      </c>
      <c r="BI1860" s="1">
        <v>0.0</v>
      </c>
      <c r="BJ1860" s="1">
        <v>0.0</v>
      </c>
      <c r="BP1860" s="1">
        <v>0.271</v>
      </c>
      <c r="BQ1860" s="1" t="s">
        <v>6155</v>
      </c>
      <c r="BV1860" s="1">
        <v>1.1</v>
      </c>
      <c r="EQ1860" s="9" t="s">
        <v>6154</v>
      </c>
      <c r="ER1860" s="21">
        <v>46045.301354166666</v>
      </c>
    </row>
    <row r="1861">
      <c r="A1861" s="9" t="s">
        <v>6156</v>
      </c>
      <c r="B1861" s="20" t="str">
        <f>IFERROR(__xludf.DUMMYFUNCTION("REGEXREPLACE(A1861, ""^https?://[^/]+"", """")"),"/wp-content/uploads/2021/03/Gig-Economy-300x200.png")</f>
        <v>/wp-content/uploads/2021/03/Gig-Economy-300x200.png</v>
      </c>
      <c r="F1861" s="1" t="s">
        <v>1047</v>
      </c>
      <c r="G1861" s="1">
        <v>200.0</v>
      </c>
      <c r="H1861" s="1" t="s">
        <v>966</v>
      </c>
      <c r="I1861" s="1" t="s">
        <v>967</v>
      </c>
      <c r="L1861" s="1">
        <v>0.0</v>
      </c>
      <c r="M1861" s="1">
        <v>0.0</v>
      </c>
      <c r="O1861" s="1">
        <v>0.0</v>
      </c>
      <c r="P1861" s="1">
        <v>0.0</v>
      </c>
      <c r="R1861" s="1">
        <v>0.0</v>
      </c>
      <c r="S1861" s="1">
        <v>0.0</v>
      </c>
      <c r="U1861" s="1">
        <v>0.0</v>
      </c>
      <c r="W1861" s="1">
        <v>0.0</v>
      </c>
      <c r="Y1861" s="1">
        <v>0.0</v>
      </c>
      <c r="AA1861" s="1">
        <v>0.0</v>
      </c>
      <c r="AC1861" s="1">
        <v>0.0</v>
      </c>
      <c r="AM1861" s="1">
        <v>95185.0</v>
      </c>
      <c r="AN1861" s="1">
        <v>95185.0</v>
      </c>
      <c r="AO1861" s="1">
        <v>95185.0</v>
      </c>
      <c r="AP1861" s="1">
        <v>36.464</v>
      </c>
      <c r="AR1861" s="1">
        <v>0.0</v>
      </c>
      <c r="AW1861" s="1">
        <v>0.0</v>
      </c>
      <c r="AX1861" s="1">
        <v>4.0</v>
      </c>
      <c r="AY1861" s="1">
        <v>4.0</v>
      </c>
      <c r="BA1861" s="1">
        <v>0.0</v>
      </c>
      <c r="BB1861" s="1">
        <v>0.0</v>
      </c>
      <c r="BC1861" s="1">
        <v>0.0</v>
      </c>
      <c r="BD1861" s="1">
        <v>0.0</v>
      </c>
      <c r="BE1861" s="1">
        <v>0.0</v>
      </c>
      <c r="BF1861" s="1">
        <v>0.0</v>
      </c>
      <c r="BG1861" s="1">
        <v>0.0</v>
      </c>
      <c r="BH1861" s="1">
        <v>0.0</v>
      </c>
      <c r="BI1861" s="1">
        <v>0.0</v>
      </c>
      <c r="BJ1861" s="1">
        <v>0.0</v>
      </c>
      <c r="BP1861" s="1">
        <v>0.268</v>
      </c>
      <c r="BQ1861" s="1" t="s">
        <v>6157</v>
      </c>
      <c r="BV1861" s="1">
        <v>1.1</v>
      </c>
      <c r="EQ1861" s="9" t="s">
        <v>6156</v>
      </c>
      <c r="ER1861" s="21">
        <v>46045.301354166666</v>
      </c>
    </row>
    <row r="1862">
      <c r="A1862" s="9" t="s">
        <v>6158</v>
      </c>
      <c r="B1862" s="20" t="str">
        <f>IFERROR(__xludf.DUMMYFUNCTION("REGEXREPLACE(A1862, ""^https?://[^/]+"", """")"),"/no-matter-the-crisis-success-calls-for-positive-thinking-and-confident-leadership/")</f>
        <v>/no-matter-the-crisis-success-calls-for-positive-thinking-and-confident-leadership/</v>
      </c>
      <c r="C1862" s="1" t="s">
        <v>6159</v>
      </c>
      <c r="D1862" s="1" t="s">
        <v>6160</v>
      </c>
      <c r="E1862" s="1" t="s">
        <v>6161</v>
      </c>
      <c r="F1862" s="1" t="s">
        <v>965</v>
      </c>
      <c r="G1862" s="1">
        <v>200.0</v>
      </c>
      <c r="H1862" s="1" t="s">
        <v>966</v>
      </c>
      <c r="I1862" s="1" t="s">
        <v>967</v>
      </c>
      <c r="K1862" s="1" t="s">
        <v>6162</v>
      </c>
      <c r="L1862" s="1">
        <v>107.0</v>
      </c>
      <c r="M1862" s="1">
        <v>948.0</v>
      </c>
      <c r="O1862" s="1">
        <v>0.0</v>
      </c>
      <c r="P1862" s="1">
        <v>0.0</v>
      </c>
      <c r="Q1862" s="1" t="s">
        <v>6163</v>
      </c>
      <c r="R1862" s="1">
        <v>110.0</v>
      </c>
      <c r="S1862" s="1">
        <v>660.0</v>
      </c>
      <c r="U1862" s="1">
        <v>0.0</v>
      </c>
      <c r="V1862" s="1" t="s">
        <v>6159</v>
      </c>
      <c r="W1862" s="1">
        <v>82.0</v>
      </c>
      <c r="Y1862" s="1">
        <v>0.0</v>
      </c>
      <c r="Z1862" s="1" t="s">
        <v>6160</v>
      </c>
      <c r="AA1862" s="1">
        <v>42.0</v>
      </c>
      <c r="AB1862" s="1" t="s">
        <v>6161</v>
      </c>
      <c r="AC1862" s="1">
        <v>50.0</v>
      </c>
      <c r="AD1862" s="1" t="s">
        <v>971</v>
      </c>
      <c r="AG1862" s="9" t="s">
        <v>6158</v>
      </c>
      <c r="AM1862" s="1">
        <v>203106.0</v>
      </c>
      <c r="AN1862" s="1">
        <v>36433.0</v>
      </c>
      <c r="AO1862" s="1">
        <v>36433.0</v>
      </c>
      <c r="AP1862" s="1">
        <v>13.957</v>
      </c>
      <c r="AR1862" s="1">
        <v>1364.0</v>
      </c>
      <c r="AS1862" s="1">
        <v>213.0</v>
      </c>
      <c r="AT1862" s="1">
        <v>6.404</v>
      </c>
      <c r="AU1862" s="1">
        <v>63.077</v>
      </c>
      <c r="AV1862" s="1" t="s">
        <v>990</v>
      </c>
      <c r="AW1862" s="1">
        <v>5.334</v>
      </c>
      <c r="AX1862" s="1">
        <v>4.0</v>
      </c>
      <c r="AY1862" s="1">
        <v>1.0</v>
      </c>
      <c r="AZ1862" s="1">
        <v>1.0</v>
      </c>
      <c r="BA1862" s="1">
        <v>4.0</v>
      </c>
      <c r="BB1862" s="1">
        <v>2.0</v>
      </c>
      <c r="BC1862" s="1">
        <v>0.0</v>
      </c>
      <c r="BD1862" s="1">
        <v>0.27</v>
      </c>
      <c r="BE1862" s="1">
        <v>133.0</v>
      </c>
      <c r="BF1862" s="1">
        <v>48.0</v>
      </c>
      <c r="BG1862" s="1">
        <v>0.0</v>
      </c>
      <c r="BH1862" s="1">
        <v>16.0</v>
      </c>
      <c r="BI1862" s="1">
        <v>8.0</v>
      </c>
      <c r="BJ1862" s="1">
        <v>0.0</v>
      </c>
      <c r="BO1862" s="1" t="s">
        <v>6164</v>
      </c>
      <c r="BP1862" s="1">
        <v>1.022</v>
      </c>
      <c r="BU1862" s="1" t="s">
        <v>974</v>
      </c>
      <c r="BV1862" s="1">
        <v>1.1</v>
      </c>
      <c r="EQ1862" s="9" t="s">
        <v>6158</v>
      </c>
      <c r="ER1862" s="21">
        <v>46045.30134259259</v>
      </c>
    </row>
    <row r="1863">
      <c r="A1863" s="9" t="s">
        <v>6165</v>
      </c>
      <c r="B1863" s="20" t="str">
        <f>IFERROR(__xludf.DUMMYFUNCTION("REGEXREPLACE(A1863, ""^https?://[^/]+"", """")"),"/wp-content/uploads/2021/04/Sales-Leadership-Meeting-scaled-1-300x200.jpg")</f>
        <v>/wp-content/uploads/2021/04/Sales-Leadership-Meeting-scaled-1-300x200.jpg</v>
      </c>
      <c r="F1863" s="1" t="s">
        <v>1004</v>
      </c>
      <c r="G1863" s="1">
        <v>200.0</v>
      </c>
      <c r="H1863" s="1" t="s">
        <v>966</v>
      </c>
      <c r="I1863" s="1" t="s">
        <v>967</v>
      </c>
      <c r="L1863" s="1">
        <v>0.0</v>
      </c>
      <c r="M1863" s="1">
        <v>0.0</v>
      </c>
      <c r="O1863" s="1">
        <v>0.0</v>
      </c>
      <c r="P1863" s="1">
        <v>0.0</v>
      </c>
      <c r="R1863" s="1">
        <v>0.0</v>
      </c>
      <c r="S1863" s="1">
        <v>0.0</v>
      </c>
      <c r="U1863" s="1">
        <v>0.0</v>
      </c>
      <c r="W1863" s="1">
        <v>0.0</v>
      </c>
      <c r="Y1863" s="1">
        <v>0.0</v>
      </c>
      <c r="AA1863" s="1">
        <v>0.0</v>
      </c>
      <c r="AC1863" s="1">
        <v>0.0</v>
      </c>
      <c r="AM1863" s="1">
        <v>15736.0</v>
      </c>
      <c r="AN1863" s="1">
        <v>15736.0</v>
      </c>
      <c r="AO1863" s="1">
        <v>15736.0</v>
      </c>
      <c r="AP1863" s="1">
        <v>6.028</v>
      </c>
      <c r="AR1863" s="1">
        <v>0.0</v>
      </c>
      <c r="AW1863" s="1">
        <v>0.0</v>
      </c>
      <c r="AX1863" s="1">
        <v>4.0</v>
      </c>
      <c r="AY1863" s="1">
        <v>4.0</v>
      </c>
      <c r="BA1863" s="1">
        <v>0.0</v>
      </c>
      <c r="BB1863" s="1">
        <v>0.0</v>
      </c>
      <c r="BC1863" s="1">
        <v>0.0</v>
      </c>
      <c r="BD1863" s="1">
        <v>0.0</v>
      </c>
      <c r="BE1863" s="1">
        <v>0.0</v>
      </c>
      <c r="BF1863" s="1">
        <v>0.0</v>
      </c>
      <c r="BG1863" s="1">
        <v>0.0</v>
      </c>
      <c r="BH1863" s="1">
        <v>0.0</v>
      </c>
      <c r="BI1863" s="1">
        <v>0.0</v>
      </c>
      <c r="BJ1863" s="1">
        <v>0.0</v>
      </c>
      <c r="BP1863" s="1">
        <v>0.263</v>
      </c>
      <c r="BQ1863" s="1" t="s">
        <v>6166</v>
      </c>
      <c r="BV1863" s="1">
        <v>1.1</v>
      </c>
      <c r="EQ1863" s="9" t="s">
        <v>6165</v>
      </c>
      <c r="ER1863" s="21">
        <v>46045.301354166666</v>
      </c>
    </row>
    <row r="1864">
      <c r="A1864" s="9" t="s">
        <v>6167</v>
      </c>
      <c r="B1864" s="20" t="str">
        <f>IFERROR(__xludf.DUMMYFUNCTION("REGEXREPLACE(A1864, ""^https?://[^/]+"", """")"),"/wp-content/uploads/2021/03/Sales-Leader-Meeting-with-Sales-Team-300x200.png")</f>
        <v>/wp-content/uploads/2021/03/Sales-Leader-Meeting-with-Sales-Team-300x200.png</v>
      </c>
      <c r="F1864" s="1" t="s">
        <v>1047</v>
      </c>
      <c r="G1864" s="1">
        <v>200.0</v>
      </c>
      <c r="H1864" s="1" t="s">
        <v>966</v>
      </c>
      <c r="I1864" s="1" t="s">
        <v>967</v>
      </c>
      <c r="L1864" s="1">
        <v>0.0</v>
      </c>
      <c r="M1864" s="1">
        <v>0.0</v>
      </c>
      <c r="O1864" s="1">
        <v>0.0</v>
      </c>
      <c r="P1864" s="1">
        <v>0.0</v>
      </c>
      <c r="R1864" s="1">
        <v>0.0</v>
      </c>
      <c r="S1864" s="1">
        <v>0.0</v>
      </c>
      <c r="U1864" s="1">
        <v>0.0</v>
      </c>
      <c r="W1864" s="1">
        <v>0.0</v>
      </c>
      <c r="Y1864" s="1">
        <v>0.0</v>
      </c>
      <c r="AA1864" s="1">
        <v>0.0</v>
      </c>
      <c r="AC1864" s="1">
        <v>0.0</v>
      </c>
      <c r="AM1864" s="1">
        <v>84815.0</v>
      </c>
      <c r="AN1864" s="1">
        <v>84815.0</v>
      </c>
      <c r="AO1864" s="1">
        <v>84815.0</v>
      </c>
      <c r="AP1864" s="1">
        <v>32.491</v>
      </c>
      <c r="AR1864" s="1">
        <v>0.0</v>
      </c>
      <c r="AW1864" s="1">
        <v>0.0</v>
      </c>
      <c r="AX1864" s="1">
        <v>4.0</v>
      </c>
      <c r="AY1864" s="1">
        <v>4.0</v>
      </c>
      <c r="BA1864" s="1">
        <v>0.0</v>
      </c>
      <c r="BB1864" s="1">
        <v>0.0</v>
      </c>
      <c r="BC1864" s="1">
        <v>0.0</v>
      </c>
      <c r="BD1864" s="1">
        <v>0.0</v>
      </c>
      <c r="BE1864" s="1">
        <v>0.0</v>
      </c>
      <c r="BF1864" s="1">
        <v>0.0</v>
      </c>
      <c r="BG1864" s="1">
        <v>0.0</v>
      </c>
      <c r="BH1864" s="1">
        <v>0.0</v>
      </c>
      <c r="BI1864" s="1">
        <v>0.0</v>
      </c>
      <c r="BJ1864" s="1">
        <v>0.0</v>
      </c>
      <c r="BP1864" s="1">
        <v>0.269</v>
      </c>
      <c r="BQ1864" s="1" t="s">
        <v>6168</v>
      </c>
      <c r="BV1864" s="1">
        <v>1.1</v>
      </c>
      <c r="EQ1864" s="9" t="s">
        <v>6167</v>
      </c>
      <c r="ER1864" s="21">
        <v>46045.301354166666</v>
      </c>
    </row>
    <row r="1865">
      <c r="A1865" s="9" t="s">
        <v>6169</v>
      </c>
      <c r="B1865" s="20" t="str">
        <f>IFERROR(__xludf.DUMMYFUNCTION("REGEXREPLACE(A1865, ""^https?://[^/]+"", """")"),"/wp-content/uploads/2021/07/Businessman-Walking-away-from-Work-scaled-1-300x200.jpg")</f>
        <v>/wp-content/uploads/2021/07/Businessman-Walking-away-from-Work-scaled-1-300x200.jpg</v>
      </c>
      <c r="F1865" s="1" t="s">
        <v>1004</v>
      </c>
      <c r="G1865" s="1">
        <v>200.0</v>
      </c>
      <c r="H1865" s="1" t="s">
        <v>966</v>
      </c>
      <c r="I1865" s="1" t="s">
        <v>967</v>
      </c>
      <c r="L1865" s="1">
        <v>0.0</v>
      </c>
      <c r="M1865" s="1">
        <v>0.0</v>
      </c>
      <c r="O1865" s="1">
        <v>0.0</v>
      </c>
      <c r="P1865" s="1">
        <v>0.0</v>
      </c>
      <c r="R1865" s="1">
        <v>0.0</v>
      </c>
      <c r="S1865" s="1">
        <v>0.0</v>
      </c>
      <c r="U1865" s="1">
        <v>0.0</v>
      </c>
      <c r="W1865" s="1">
        <v>0.0</v>
      </c>
      <c r="Y1865" s="1">
        <v>0.0</v>
      </c>
      <c r="AA1865" s="1">
        <v>0.0</v>
      </c>
      <c r="AC1865" s="1">
        <v>0.0</v>
      </c>
      <c r="AM1865" s="1">
        <v>6777.0</v>
      </c>
      <c r="AN1865" s="1">
        <v>6777.0</v>
      </c>
      <c r="AO1865" s="1">
        <v>6777.0</v>
      </c>
      <c r="AP1865" s="1">
        <v>2.596</v>
      </c>
      <c r="AR1865" s="1">
        <v>0.0</v>
      </c>
      <c r="AW1865" s="1">
        <v>0.0</v>
      </c>
      <c r="AX1865" s="1">
        <v>4.0</v>
      </c>
      <c r="AY1865" s="1">
        <v>4.0</v>
      </c>
      <c r="BA1865" s="1">
        <v>0.0</v>
      </c>
      <c r="BB1865" s="1">
        <v>0.0</v>
      </c>
      <c r="BC1865" s="1">
        <v>0.0</v>
      </c>
      <c r="BD1865" s="1">
        <v>0.0</v>
      </c>
      <c r="BE1865" s="1">
        <v>0.0</v>
      </c>
      <c r="BF1865" s="1">
        <v>0.0</v>
      </c>
      <c r="BG1865" s="1">
        <v>0.0</v>
      </c>
      <c r="BH1865" s="1">
        <v>0.0</v>
      </c>
      <c r="BI1865" s="1">
        <v>0.0</v>
      </c>
      <c r="BJ1865" s="1">
        <v>0.0</v>
      </c>
      <c r="BP1865" s="1">
        <v>0.317</v>
      </c>
      <c r="BQ1865" s="1" t="s">
        <v>6170</v>
      </c>
      <c r="BV1865" s="1">
        <v>1.1</v>
      </c>
      <c r="EQ1865" s="9" t="s">
        <v>6169</v>
      </c>
      <c r="ER1865" s="21">
        <v>46045.301354166666</v>
      </c>
    </row>
    <row r="1866">
      <c r="A1866" s="9" t="s">
        <v>6171</v>
      </c>
      <c r="B1866" s="20" t="str">
        <f>IFERROR(__xludf.DUMMYFUNCTION("REGEXREPLACE(A1866, ""^https?://[^/]+"", """")"),"/wp-content/uploads/2021/03/Sales-Process-Meeting-scaled-1-300x200.jpg")</f>
        <v>/wp-content/uploads/2021/03/Sales-Process-Meeting-scaled-1-300x200.jpg</v>
      </c>
      <c r="F1866" s="1" t="s">
        <v>1004</v>
      </c>
      <c r="G1866" s="1">
        <v>200.0</v>
      </c>
      <c r="H1866" s="1" t="s">
        <v>966</v>
      </c>
      <c r="I1866" s="1" t="s">
        <v>967</v>
      </c>
      <c r="L1866" s="1">
        <v>0.0</v>
      </c>
      <c r="M1866" s="1">
        <v>0.0</v>
      </c>
      <c r="O1866" s="1">
        <v>0.0</v>
      </c>
      <c r="P1866" s="1">
        <v>0.0</v>
      </c>
      <c r="R1866" s="1">
        <v>0.0</v>
      </c>
      <c r="S1866" s="1">
        <v>0.0</v>
      </c>
      <c r="U1866" s="1">
        <v>0.0</v>
      </c>
      <c r="W1866" s="1">
        <v>0.0</v>
      </c>
      <c r="Y1866" s="1">
        <v>0.0</v>
      </c>
      <c r="AA1866" s="1">
        <v>0.0</v>
      </c>
      <c r="AC1866" s="1">
        <v>0.0</v>
      </c>
      <c r="AM1866" s="1">
        <v>12878.0</v>
      </c>
      <c r="AN1866" s="1">
        <v>12878.0</v>
      </c>
      <c r="AO1866" s="1">
        <v>12878.0</v>
      </c>
      <c r="AP1866" s="1">
        <v>4.933</v>
      </c>
      <c r="AR1866" s="1">
        <v>0.0</v>
      </c>
      <c r="AW1866" s="1">
        <v>0.0</v>
      </c>
      <c r="AX1866" s="1">
        <v>4.0</v>
      </c>
      <c r="AY1866" s="1">
        <v>4.0</v>
      </c>
      <c r="BA1866" s="1">
        <v>0.0</v>
      </c>
      <c r="BB1866" s="1">
        <v>0.0</v>
      </c>
      <c r="BC1866" s="1">
        <v>0.0</v>
      </c>
      <c r="BD1866" s="1">
        <v>0.0</v>
      </c>
      <c r="BE1866" s="1">
        <v>0.0</v>
      </c>
      <c r="BF1866" s="1">
        <v>0.0</v>
      </c>
      <c r="BG1866" s="1">
        <v>0.0</v>
      </c>
      <c r="BH1866" s="1">
        <v>0.0</v>
      </c>
      <c r="BI1866" s="1">
        <v>0.0</v>
      </c>
      <c r="BJ1866" s="1">
        <v>0.0</v>
      </c>
      <c r="BP1866" s="1">
        <v>0.302</v>
      </c>
      <c r="BQ1866" s="1" t="s">
        <v>6172</v>
      </c>
      <c r="BV1866" s="1">
        <v>1.1</v>
      </c>
      <c r="EQ1866" s="9" t="s">
        <v>6171</v>
      </c>
      <c r="ER1866" s="21">
        <v>46045.30136574074</v>
      </c>
    </row>
    <row r="1867">
      <c r="A1867" s="9" t="s">
        <v>6173</v>
      </c>
      <c r="B1867" s="20" t="str">
        <f>IFERROR(__xludf.DUMMYFUNCTION("REGEXREPLACE(A1867, ""^https?://[^/]+"", """")"),"/six-surprising-reasons-businesses-connect-with-a-sales-leadership-consultant/")</f>
        <v>/six-surprising-reasons-businesses-connect-with-a-sales-leadership-consultant/</v>
      </c>
      <c r="C1867" s="1" t="s">
        <v>6174</v>
      </c>
      <c r="D1867" s="1" t="s">
        <v>6175</v>
      </c>
      <c r="E1867" s="1" t="s">
        <v>6176</v>
      </c>
      <c r="F1867" s="1" t="s">
        <v>965</v>
      </c>
      <c r="G1867" s="1">
        <v>200.0</v>
      </c>
      <c r="H1867" s="1" t="s">
        <v>966</v>
      </c>
      <c r="I1867" s="1" t="s">
        <v>967</v>
      </c>
      <c r="K1867" s="1" t="s">
        <v>6177</v>
      </c>
      <c r="L1867" s="1">
        <v>101.0</v>
      </c>
      <c r="M1867" s="1">
        <v>922.0</v>
      </c>
      <c r="O1867" s="1">
        <v>0.0</v>
      </c>
      <c r="P1867" s="1">
        <v>0.0</v>
      </c>
      <c r="Q1867" s="1" t="s">
        <v>6178</v>
      </c>
      <c r="R1867" s="1">
        <v>136.0</v>
      </c>
      <c r="S1867" s="1">
        <v>858.0</v>
      </c>
      <c r="U1867" s="1">
        <v>0.0</v>
      </c>
      <c r="V1867" s="1" t="s">
        <v>6174</v>
      </c>
      <c r="W1867" s="1">
        <v>76.0</v>
      </c>
      <c r="Y1867" s="1">
        <v>0.0</v>
      </c>
      <c r="Z1867" s="1" t="s">
        <v>6175</v>
      </c>
      <c r="AA1867" s="1">
        <v>31.0</v>
      </c>
      <c r="AB1867" s="1" t="s">
        <v>6176</v>
      </c>
      <c r="AC1867" s="1">
        <v>42.0</v>
      </c>
      <c r="AD1867" s="1" t="s">
        <v>971</v>
      </c>
      <c r="AG1867" s="9" t="s">
        <v>6173</v>
      </c>
      <c r="AM1867" s="1">
        <v>202580.0</v>
      </c>
      <c r="AN1867" s="1">
        <v>36432.0</v>
      </c>
      <c r="AO1867" s="1">
        <v>36432.0</v>
      </c>
      <c r="AP1867" s="1">
        <v>13.956</v>
      </c>
      <c r="AR1867" s="1">
        <v>1553.0</v>
      </c>
      <c r="AS1867" s="1">
        <v>223.0</v>
      </c>
      <c r="AT1867" s="1">
        <v>6.964</v>
      </c>
      <c r="AU1867" s="1">
        <v>58.894</v>
      </c>
      <c r="AV1867" s="1" t="s">
        <v>972</v>
      </c>
      <c r="AW1867" s="1">
        <v>5.994</v>
      </c>
      <c r="AX1867" s="1">
        <v>4.0</v>
      </c>
      <c r="AY1867" s="1">
        <v>1.0</v>
      </c>
      <c r="AZ1867" s="1">
        <v>1.0</v>
      </c>
      <c r="BA1867" s="1">
        <v>4.0</v>
      </c>
      <c r="BB1867" s="1">
        <v>2.0</v>
      </c>
      <c r="BC1867" s="1">
        <v>0.0</v>
      </c>
      <c r="BD1867" s="1">
        <v>0.27</v>
      </c>
      <c r="BE1867" s="1">
        <v>133.0</v>
      </c>
      <c r="BF1867" s="1">
        <v>48.0</v>
      </c>
      <c r="BG1867" s="1">
        <v>0.0</v>
      </c>
      <c r="BH1867" s="1">
        <v>16.0</v>
      </c>
      <c r="BI1867" s="1">
        <v>8.0</v>
      </c>
      <c r="BJ1867" s="1">
        <v>0.0</v>
      </c>
      <c r="BO1867" s="1" t="s">
        <v>6179</v>
      </c>
      <c r="BP1867" s="1">
        <v>1.029</v>
      </c>
      <c r="BU1867" s="1" t="s">
        <v>974</v>
      </c>
      <c r="BV1867" s="1">
        <v>1.1</v>
      </c>
      <c r="EQ1867" s="9" t="s">
        <v>6173</v>
      </c>
      <c r="ER1867" s="21">
        <v>46045.301354166666</v>
      </c>
    </row>
    <row r="1868">
      <c r="A1868" s="9" t="s">
        <v>6180</v>
      </c>
      <c r="B1868" s="20" t="str">
        <f>IFERROR(__xludf.DUMMYFUNCTION("REGEXREPLACE(A1868, ""^https?://[^/]+"", """")"),"/answer-your-customers-three-whys-to-ensure-your-sales-process-is-perfectly-aligned/")</f>
        <v>/answer-your-customers-three-whys-to-ensure-your-sales-process-is-perfectly-aligned/</v>
      </c>
      <c r="C1868" s="1" t="s">
        <v>6181</v>
      </c>
      <c r="D1868" s="1" t="s">
        <v>6182</v>
      </c>
      <c r="E1868" s="1" t="s">
        <v>6183</v>
      </c>
      <c r="F1868" s="1" t="s">
        <v>965</v>
      </c>
      <c r="G1868" s="1">
        <v>200.0</v>
      </c>
      <c r="H1868" s="1" t="s">
        <v>966</v>
      </c>
      <c r="I1868" s="1" t="s">
        <v>967</v>
      </c>
      <c r="K1868" s="1" t="s">
        <v>6184</v>
      </c>
      <c r="L1868" s="1">
        <v>108.0</v>
      </c>
      <c r="M1868" s="1">
        <v>988.0</v>
      </c>
      <c r="O1868" s="1">
        <v>0.0</v>
      </c>
      <c r="P1868" s="1">
        <v>0.0</v>
      </c>
      <c r="Q1868" s="1" t="s">
        <v>6185</v>
      </c>
      <c r="R1868" s="1">
        <v>151.0</v>
      </c>
      <c r="S1868" s="1">
        <v>940.0</v>
      </c>
      <c r="U1868" s="1">
        <v>0.0</v>
      </c>
      <c r="V1868" s="1" t="s">
        <v>6181</v>
      </c>
      <c r="W1868" s="1">
        <v>83.0</v>
      </c>
      <c r="Y1868" s="1">
        <v>0.0</v>
      </c>
      <c r="Z1868" s="1" t="s">
        <v>6182</v>
      </c>
      <c r="AA1868" s="1">
        <v>50.0</v>
      </c>
      <c r="AB1868" s="1" t="s">
        <v>6183</v>
      </c>
      <c r="AC1868" s="1">
        <v>59.0</v>
      </c>
      <c r="AD1868" s="1" t="s">
        <v>971</v>
      </c>
      <c r="AG1868" s="9" t="s">
        <v>6180</v>
      </c>
      <c r="AM1868" s="1">
        <v>202555.0</v>
      </c>
      <c r="AN1868" s="1">
        <v>35875.0</v>
      </c>
      <c r="AO1868" s="1">
        <v>35875.0</v>
      </c>
      <c r="AP1868" s="1">
        <v>13.743</v>
      </c>
      <c r="AR1868" s="1">
        <v>1373.0</v>
      </c>
      <c r="AS1868" s="1">
        <v>194.0</v>
      </c>
      <c r="AT1868" s="1">
        <v>7.077</v>
      </c>
      <c r="AU1868" s="1">
        <v>70.01</v>
      </c>
      <c r="AV1868" s="1" t="s">
        <v>1264</v>
      </c>
      <c r="AW1868" s="1">
        <v>5.218</v>
      </c>
      <c r="AX1868" s="1">
        <v>4.0</v>
      </c>
      <c r="AY1868" s="1">
        <v>1.0</v>
      </c>
      <c r="AZ1868" s="1">
        <v>1.0</v>
      </c>
      <c r="BA1868" s="1">
        <v>4.0</v>
      </c>
      <c r="BB1868" s="1">
        <v>2.0</v>
      </c>
      <c r="BC1868" s="1">
        <v>0.0</v>
      </c>
      <c r="BD1868" s="1">
        <v>0.27</v>
      </c>
      <c r="BE1868" s="1">
        <v>133.0</v>
      </c>
      <c r="BF1868" s="1">
        <v>47.0</v>
      </c>
      <c r="BG1868" s="1">
        <v>0.0</v>
      </c>
      <c r="BH1868" s="1">
        <v>16.0</v>
      </c>
      <c r="BI1868" s="1">
        <v>8.0</v>
      </c>
      <c r="BJ1868" s="1">
        <v>0.0</v>
      </c>
      <c r="BO1868" s="1" t="s">
        <v>6186</v>
      </c>
      <c r="BP1868" s="1">
        <v>1.02</v>
      </c>
      <c r="BU1868" s="1" t="s">
        <v>974</v>
      </c>
      <c r="BV1868" s="1">
        <v>1.1</v>
      </c>
      <c r="EQ1868" s="9" t="s">
        <v>6180</v>
      </c>
      <c r="ER1868" s="21">
        <v>46045.301354166666</v>
      </c>
    </row>
    <row r="1869">
      <c r="A1869" s="9" t="s">
        <v>6187</v>
      </c>
      <c r="B1869" s="20" t="str">
        <f>IFERROR(__xludf.DUMMYFUNCTION("REGEXREPLACE(A1869, ""^https?://[^/]+"", """")"),"/wp-content/themes/salesxceleratione/assets/css/style.css?ver=1769123520")</f>
        <v>/wp-content/themes/salesxceleratione/assets/css/style.css?ver=1769123520</v>
      </c>
      <c r="F1869" s="1" t="s">
        <v>1016</v>
      </c>
      <c r="G1869" s="1">
        <v>200.0</v>
      </c>
      <c r="H1869" s="1" t="s">
        <v>966</v>
      </c>
      <c r="I1869" s="1" t="s">
        <v>967</v>
      </c>
      <c r="L1869" s="1">
        <v>0.0</v>
      </c>
      <c r="M1869" s="1">
        <v>0.0</v>
      </c>
      <c r="O1869" s="1">
        <v>0.0</v>
      </c>
      <c r="P1869" s="1">
        <v>0.0</v>
      </c>
      <c r="R1869" s="1">
        <v>0.0</v>
      </c>
      <c r="S1869" s="1">
        <v>0.0</v>
      </c>
      <c r="U1869" s="1">
        <v>0.0</v>
      </c>
      <c r="W1869" s="1">
        <v>0.0</v>
      </c>
      <c r="Y1869" s="1">
        <v>0.0</v>
      </c>
      <c r="AA1869" s="1">
        <v>0.0</v>
      </c>
      <c r="AC1869" s="1">
        <v>0.0</v>
      </c>
      <c r="AM1869" s="1">
        <v>17704.0</v>
      </c>
      <c r="AN1869" s="1">
        <v>17704.0</v>
      </c>
      <c r="AO1869" s="1">
        <v>17704.0</v>
      </c>
      <c r="AP1869" s="1">
        <v>6.782</v>
      </c>
      <c r="AR1869" s="1">
        <v>0.0</v>
      </c>
      <c r="AW1869" s="1">
        <v>0.0</v>
      </c>
      <c r="AX1869" s="1">
        <v>4.0</v>
      </c>
      <c r="AY1869" s="1">
        <v>5.0</v>
      </c>
      <c r="BA1869" s="1">
        <v>0.0</v>
      </c>
      <c r="BB1869" s="1">
        <v>0.0</v>
      </c>
      <c r="BC1869" s="1">
        <v>0.0</v>
      </c>
      <c r="BD1869" s="1">
        <v>0.0</v>
      </c>
      <c r="BE1869" s="1">
        <v>0.0</v>
      </c>
      <c r="BF1869" s="1">
        <v>0.0</v>
      </c>
      <c r="BG1869" s="1">
        <v>0.0</v>
      </c>
      <c r="BH1869" s="1">
        <v>0.0</v>
      </c>
      <c r="BI1869" s="1">
        <v>0.0</v>
      </c>
      <c r="BJ1869" s="1">
        <v>0.0</v>
      </c>
      <c r="BP1869" s="1">
        <v>0.287</v>
      </c>
      <c r="BQ1869" s="1" t="s">
        <v>6188</v>
      </c>
      <c r="BV1869" s="1">
        <v>1.1</v>
      </c>
      <c r="EQ1869" s="9" t="s">
        <v>6187</v>
      </c>
      <c r="ER1869" s="21">
        <v>46045.30137731481</v>
      </c>
    </row>
    <row r="1870">
      <c r="A1870" s="9" t="s">
        <v>6189</v>
      </c>
      <c r="B1870" s="20" t="str">
        <f>IFERROR(__xludf.DUMMYFUNCTION("REGEXREPLACE(A1870, ""^https?://[^/]+"", """")"),"/wp-content/uploads/2024/02/Finding-a-Sales-Star-Player.jpg")</f>
        <v>/wp-content/uploads/2024/02/Finding-a-Sales-Star-Player.jpg</v>
      </c>
      <c r="F1870" s="1" t="s">
        <v>1004</v>
      </c>
      <c r="G1870" s="1">
        <v>200.0</v>
      </c>
      <c r="H1870" s="1" t="s">
        <v>966</v>
      </c>
      <c r="I1870" s="1" t="s">
        <v>967</v>
      </c>
      <c r="L1870" s="1">
        <v>0.0</v>
      </c>
      <c r="M1870" s="1">
        <v>0.0</v>
      </c>
      <c r="O1870" s="1">
        <v>0.0</v>
      </c>
      <c r="P1870" s="1">
        <v>0.0</v>
      </c>
      <c r="R1870" s="1">
        <v>0.0</v>
      </c>
      <c r="S1870" s="1">
        <v>0.0</v>
      </c>
      <c r="U1870" s="1">
        <v>0.0</v>
      </c>
      <c r="W1870" s="1">
        <v>0.0</v>
      </c>
      <c r="Y1870" s="1">
        <v>0.0</v>
      </c>
      <c r="AA1870" s="1">
        <v>0.0</v>
      </c>
      <c r="AC1870" s="1">
        <v>0.0</v>
      </c>
      <c r="AM1870" s="1">
        <v>232718.0</v>
      </c>
      <c r="AN1870" s="1">
        <v>232718.0</v>
      </c>
      <c r="AO1870" s="1">
        <v>232718.0</v>
      </c>
      <c r="AP1870" s="1">
        <v>89.15</v>
      </c>
      <c r="AR1870" s="1">
        <v>0.0</v>
      </c>
      <c r="AW1870" s="1">
        <v>0.0</v>
      </c>
      <c r="AX1870" s="1">
        <v>4.0</v>
      </c>
      <c r="AY1870" s="1">
        <v>4.0</v>
      </c>
      <c r="BA1870" s="1">
        <v>0.0</v>
      </c>
      <c r="BB1870" s="1">
        <v>0.0</v>
      </c>
      <c r="BC1870" s="1">
        <v>0.0</v>
      </c>
      <c r="BD1870" s="1">
        <v>0.0</v>
      </c>
      <c r="BE1870" s="1">
        <v>0.0</v>
      </c>
      <c r="BF1870" s="1">
        <v>0.0</v>
      </c>
      <c r="BG1870" s="1">
        <v>0.0</v>
      </c>
      <c r="BH1870" s="1">
        <v>0.0</v>
      </c>
      <c r="BI1870" s="1">
        <v>0.0</v>
      </c>
      <c r="BJ1870" s="1">
        <v>0.0</v>
      </c>
      <c r="BP1870" s="1">
        <v>0.273</v>
      </c>
      <c r="BQ1870" s="1" t="s">
        <v>6190</v>
      </c>
      <c r="BV1870" s="1">
        <v>1.1</v>
      </c>
      <c r="EQ1870" s="9" t="s">
        <v>6189</v>
      </c>
      <c r="ER1870" s="21">
        <v>46045.30137731481</v>
      </c>
    </row>
    <row r="1871">
      <c r="A1871" s="9" t="s">
        <v>6191</v>
      </c>
      <c r="B1871" s="20" t="str">
        <f>IFERROR(__xludf.DUMMYFUNCTION("REGEXREPLACE(A1871, ""^https?://[^/]+"", """")"),"/as-the-days-and-years-wind-down-what-are-you-waiting-for/")</f>
        <v>/as-the-days-and-years-wind-down-what-are-you-waiting-for/</v>
      </c>
      <c r="C1871" s="1" t="s">
        <v>6192</v>
      </c>
      <c r="D1871" s="1" t="s">
        <v>6193</v>
      </c>
      <c r="E1871" s="1" t="s">
        <v>6194</v>
      </c>
      <c r="F1871" s="1" t="s">
        <v>965</v>
      </c>
      <c r="G1871" s="1">
        <v>200.0</v>
      </c>
      <c r="H1871" s="1" t="s">
        <v>966</v>
      </c>
      <c r="I1871" s="1" t="s">
        <v>967</v>
      </c>
      <c r="K1871" s="1" t="s">
        <v>6195</v>
      </c>
      <c r="L1871" s="1">
        <v>83.0</v>
      </c>
      <c r="M1871" s="1">
        <v>766.0</v>
      </c>
      <c r="O1871" s="1">
        <v>0.0</v>
      </c>
      <c r="P1871" s="1">
        <v>0.0</v>
      </c>
      <c r="Q1871" s="1" t="s">
        <v>6196</v>
      </c>
      <c r="R1871" s="1">
        <v>155.0</v>
      </c>
      <c r="S1871" s="1">
        <v>955.0</v>
      </c>
      <c r="U1871" s="1">
        <v>0.0</v>
      </c>
      <c r="V1871" s="1" t="s">
        <v>6192</v>
      </c>
      <c r="W1871" s="1">
        <v>58.0</v>
      </c>
      <c r="Y1871" s="1">
        <v>0.0</v>
      </c>
      <c r="Z1871" s="1" t="s">
        <v>6193</v>
      </c>
      <c r="AA1871" s="1">
        <v>16.0</v>
      </c>
      <c r="AB1871" s="1" t="s">
        <v>6194</v>
      </c>
      <c r="AC1871" s="1">
        <v>29.0</v>
      </c>
      <c r="AD1871" s="1" t="s">
        <v>971</v>
      </c>
      <c r="AG1871" s="9" t="s">
        <v>6191</v>
      </c>
      <c r="AM1871" s="1">
        <v>201540.0</v>
      </c>
      <c r="AN1871" s="1">
        <v>35700.0</v>
      </c>
      <c r="AO1871" s="1">
        <v>35700.0</v>
      </c>
      <c r="AP1871" s="1">
        <v>13.676</v>
      </c>
      <c r="AR1871" s="1">
        <v>1190.0</v>
      </c>
      <c r="AS1871" s="1">
        <v>186.0</v>
      </c>
      <c r="AT1871" s="1">
        <v>6.398</v>
      </c>
      <c r="AU1871" s="1">
        <v>66.758</v>
      </c>
      <c r="AV1871" s="1" t="s">
        <v>990</v>
      </c>
      <c r="AW1871" s="1">
        <v>4.748</v>
      </c>
      <c r="AX1871" s="1">
        <v>4.0</v>
      </c>
      <c r="AY1871" s="1">
        <v>1.0</v>
      </c>
      <c r="AZ1871" s="1">
        <v>1.0</v>
      </c>
      <c r="BA1871" s="1">
        <v>4.0</v>
      </c>
      <c r="BB1871" s="1">
        <v>2.0</v>
      </c>
      <c r="BC1871" s="1">
        <v>0.0</v>
      </c>
      <c r="BD1871" s="1">
        <v>0.27</v>
      </c>
      <c r="BE1871" s="1">
        <v>133.0</v>
      </c>
      <c r="BF1871" s="1">
        <v>48.0</v>
      </c>
      <c r="BG1871" s="1">
        <v>0.0</v>
      </c>
      <c r="BH1871" s="1">
        <v>16.0</v>
      </c>
      <c r="BI1871" s="1">
        <v>8.0</v>
      </c>
      <c r="BJ1871" s="1">
        <v>0.0</v>
      </c>
      <c r="BO1871" s="1" t="s">
        <v>6197</v>
      </c>
      <c r="BP1871" s="1">
        <v>1.033</v>
      </c>
      <c r="BU1871" s="1" t="s">
        <v>974</v>
      </c>
      <c r="BV1871" s="1">
        <v>1.1</v>
      </c>
      <c r="EQ1871" s="9" t="s">
        <v>6191</v>
      </c>
      <c r="ER1871" s="21">
        <v>46045.30136574074</v>
      </c>
    </row>
    <row r="1872">
      <c r="A1872" s="9" t="s">
        <v>6198</v>
      </c>
      <c r="B1872" s="20" t="str">
        <f>IFERROR(__xludf.DUMMYFUNCTION("REGEXREPLACE(A1872, ""^https?://[^/]+"", """")"),"/dreading-the-excessive-travel-of-business-as-usual-heres-an-alternative/")</f>
        <v>/dreading-the-excessive-travel-of-business-as-usual-heres-an-alternative/</v>
      </c>
      <c r="C1872" s="1" t="s">
        <v>6199</v>
      </c>
      <c r="D1872" s="1" t="s">
        <v>6200</v>
      </c>
      <c r="E1872" s="1" t="s">
        <v>6201</v>
      </c>
      <c r="F1872" s="1" t="s">
        <v>965</v>
      </c>
      <c r="G1872" s="1">
        <v>200.0</v>
      </c>
      <c r="H1872" s="1" t="s">
        <v>966</v>
      </c>
      <c r="I1872" s="1" t="s">
        <v>967</v>
      </c>
      <c r="K1872" s="1" t="s">
        <v>6202</v>
      </c>
      <c r="L1872" s="1">
        <v>100.0</v>
      </c>
      <c r="M1872" s="1">
        <v>886.0</v>
      </c>
      <c r="O1872" s="1">
        <v>0.0</v>
      </c>
      <c r="P1872" s="1">
        <v>0.0</v>
      </c>
      <c r="Q1872" s="1" t="s">
        <v>6203</v>
      </c>
      <c r="R1872" s="1">
        <v>197.0</v>
      </c>
      <c r="S1872" s="1">
        <v>1182.0</v>
      </c>
      <c r="U1872" s="1">
        <v>0.0</v>
      </c>
      <c r="V1872" s="1" t="s">
        <v>6199</v>
      </c>
      <c r="W1872" s="1">
        <v>75.0</v>
      </c>
      <c r="Y1872" s="1">
        <v>0.0</v>
      </c>
      <c r="Z1872" s="1" t="s">
        <v>6200</v>
      </c>
      <c r="AA1872" s="1">
        <v>21.0</v>
      </c>
      <c r="AB1872" s="1" t="s">
        <v>6201</v>
      </c>
      <c r="AC1872" s="1">
        <v>20.0</v>
      </c>
      <c r="AD1872" s="1" t="s">
        <v>971</v>
      </c>
      <c r="AG1872" s="9" t="s">
        <v>6198</v>
      </c>
      <c r="AM1872" s="1">
        <v>201922.0</v>
      </c>
      <c r="AN1872" s="1">
        <v>36089.0</v>
      </c>
      <c r="AO1872" s="1">
        <v>36089.0</v>
      </c>
      <c r="AP1872" s="1">
        <v>13.825</v>
      </c>
      <c r="AR1872" s="1">
        <v>1263.0</v>
      </c>
      <c r="AS1872" s="1">
        <v>205.0</v>
      </c>
      <c r="AT1872" s="1">
        <v>6.161</v>
      </c>
      <c r="AU1872" s="1">
        <v>63.668</v>
      </c>
      <c r="AV1872" s="1" t="s">
        <v>990</v>
      </c>
      <c r="AW1872" s="1">
        <v>5.063</v>
      </c>
      <c r="AX1872" s="1">
        <v>4.0</v>
      </c>
      <c r="AY1872" s="1">
        <v>1.0</v>
      </c>
      <c r="AZ1872" s="1">
        <v>1.0</v>
      </c>
      <c r="BA1872" s="1">
        <v>4.0</v>
      </c>
      <c r="BB1872" s="1">
        <v>2.0</v>
      </c>
      <c r="BC1872" s="1">
        <v>0.0</v>
      </c>
      <c r="BD1872" s="1">
        <v>0.27</v>
      </c>
      <c r="BE1872" s="1">
        <v>133.0</v>
      </c>
      <c r="BF1872" s="1">
        <v>48.0</v>
      </c>
      <c r="BG1872" s="1">
        <v>0.0</v>
      </c>
      <c r="BH1872" s="1">
        <v>16.0</v>
      </c>
      <c r="BI1872" s="1">
        <v>8.0</v>
      </c>
      <c r="BJ1872" s="1">
        <v>0.0</v>
      </c>
      <c r="BO1872" s="1" t="s">
        <v>6204</v>
      </c>
      <c r="BP1872" s="1">
        <v>1.125</v>
      </c>
      <c r="BU1872" s="1" t="s">
        <v>974</v>
      </c>
      <c r="BV1872" s="1">
        <v>1.1</v>
      </c>
      <c r="EQ1872" s="9" t="s">
        <v>6198</v>
      </c>
      <c r="ER1872" s="21">
        <v>46045.30136574074</v>
      </c>
    </row>
    <row r="1873">
      <c r="A1873" s="9" t="s">
        <v>6205</v>
      </c>
      <c r="B1873" s="20" t="str">
        <f>IFERROR(__xludf.DUMMYFUNCTION("REGEXREPLACE(A1873, ""^https?://[^/]+"", """")"),"/wp-content/uploads/2020/08/Sales-Leader-Formulating-a-Plan-Forward-scaled-1-300x179.jpg")</f>
        <v>/wp-content/uploads/2020/08/Sales-Leader-Formulating-a-Plan-Forward-scaled-1-300x179.jpg</v>
      </c>
      <c r="F1873" s="1" t="s">
        <v>1004</v>
      </c>
      <c r="G1873" s="1">
        <v>200.0</v>
      </c>
      <c r="H1873" s="1" t="s">
        <v>966</v>
      </c>
      <c r="I1873" s="1" t="s">
        <v>967</v>
      </c>
      <c r="L1873" s="1">
        <v>0.0</v>
      </c>
      <c r="M1873" s="1">
        <v>0.0</v>
      </c>
      <c r="O1873" s="1">
        <v>0.0</v>
      </c>
      <c r="P1873" s="1">
        <v>0.0</v>
      </c>
      <c r="R1873" s="1">
        <v>0.0</v>
      </c>
      <c r="S1873" s="1">
        <v>0.0</v>
      </c>
      <c r="U1873" s="1">
        <v>0.0</v>
      </c>
      <c r="W1873" s="1">
        <v>0.0</v>
      </c>
      <c r="Y1873" s="1">
        <v>0.0</v>
      </c>
      <c r="AA1873" s="1">
        <v>0.0</v>
      </c>
      <c r="AC1873" s="1">
        <v>0.0</v>
      </c>
      <c r="AM1873" s="1">
        <v>12630.0</v>
      </c>
      <c r="AN1873" s="1">
        <v>12630.0</v>
      </c>
      <c r="AO1873" s="1">
        <v>12630.0</v>
      </c>
      <c r="AP1873" s="1">
        <v>4.838</v>
      </c>
      <c r="AR1873" s="1">
        <v>0.0</v>
      </c>
      <c r="AW1873" s="1">
        <v>0.0</v>
      </c>
      <c r="AX1873" s="1">
        <v>4.0</v>
      </c>
      <c r="AY1873" s="1">
        <v>4.0</v>
      </c>
      <c r="BA1873" s="1">
        <v>0.0</v>
      </c>
      <c r="BB1873" s="1">
        <v>0.0</v>
      </c>
      <c r="BC1873" s="1">
        <v>0.0</v>
      </c>
      <c r="BD1873" s="1">
        <v>0.0</v>
      </c>
      <c r="BE1873" s="1">
        <v>0.0</v>
      </c>
      <c r="BF1873" s="1">
        <v>0.0</v>
      </c>
      <c r="BG1873" s="1">
        <v>0.0</v>
      </c>
      <c r="BH1873" s="1">
        <v>0.0</v>
      </c>
      <c r="BI1873" s="1">
        <v>0.0</v>
      </c>
      <c r="BJ1873" s="1">
        <v>0.0</v>
      </c>
      <c r="BP1873" s="1">
        <v>0.273</v>
      </c>
      <c r="BQ1873" s="1" t="s">
        <v>6206</v>
      </c>
      <c r="BV1873" s="1">
        <v>1.1</v>
      </c>
      <c r="EQ1873" s="9" t="s">
        <v>6205</v>
      </c>
      <c r="ER1873" s="21">
        <v>46045.30137731481</v>
      </c>
    </row>
    <row r="1874">
      <c r="A1874" s="9" t="s">
        <v>6207</v>
      </c>
      <c r="B1874" s="20" t="str">
        <f>IFERROR(__xludf.DUMMYFUNCTION("REGEXREPLACE(A1874, ""^https?://[^/]+"", """")"),"/the-skys-no-limit-if-you-put-your-dreams-in-motion/")</f>
        <v>/the-skys-no-limit-if-you-put-your-dreams-in-motion/</v>
      </c>
      <c r="C1874" s="1" t="s">
        <v>6208</v>
      </c>
      <c r="D1874" s="1" t="s">
        <v>6209</v>
      </c>
      <c r="E1874" s="1" t="s">
        <v>6210</v>
      </c>
      <c r="F1874" s="1" t="s">
        <v>965</v>
      </c>
      <c r="G1874" s="1">
        <v>200.0</v>
      </c>
      <c r="H1874" s="1" t="s">
        <v>966</v>
      </c>
      <c r="I1874" s="1" t="s">
        <v>967</v>
      </c>
      <c r="K1874" s="1" t="s">
        <v>6211</v>
      </c>
      <c r="L1874" s="1">
        <v>76.0</v>
      </c>
      <c r="M1874" s="1">
        <v>680.0</v>
      </c>
      <c r="O1874" s="1">
        <v>0.0</v>
      </c>
      <c r="P1874" s="1">
        <v>0.0</v>
      </c>
      <c r="Q1874" s="1" t="s">
        <v>6212</v>
      </c>
      <c r="R1874" s="1">
        <v>148.0</v>
      </c>
      <c r="S1874" s="1">
        <v>919.0</v>
      </c>
      <c r="U1874" s="1">
        <v>0.0</v>
      </c>
      <c r="V1874" s="1" t="s">
        <v>6208</v>
      </c>
      <c r="W1874" s="1">
        <v>51.0</v>
      </c>
      <c r="Y1874" s="1">
        <v>0.0</v>
      </c>
      <c r="Z1874" s="1" t="s">
        <v>6209</v>
      </c>
      <c r="AA1874" s="1">
        <v>15.0</v>
      </c>
      <c r="AB1874" s="1" t="s">
        <v>6210</v>
      </c>
      <c r="AC1874" s="1">
        <v>17.0</v>
      </c>
      <c r="AD1874" s="1" t="s">
        <v>971</v>
      </c>
      <c r="AG1874" s="9" t="s">
        <v>6207</v>
      </c>
      <c r="AM1874" s="1">
        <v>202349.0</v>
      </c>
      <c r="AN1874" s="1">
        <v>36049.0</v>
      </c>
      <c r="AO1874" s="1">
        <v>36049.0</v>
      </c>
      <c r="AP1874" s="1">
        <v>13.81</v>
      </c>
      <c r="AR1874" s="1">
        <v>1275.0</v>
      </c>
      <c r="AS1874" s="1">
        <v>194.0</v>
      </c>
      <c r="AT1874" s="1">
        <v>6.572</v>
      </c>
      <c r="AU1874" s="1">
        <v>70.71</v>
      </c>
      <c r="AV1874" s="1" t="s">
        <v>1264</v>
      </c>
      <c r="AW1874" s="1">
        <v>4.968</v>
      </c>
      <c r="AX1874" s="1">
        <v>4.0</v>
      </c>
      <c r="AY1874" s="1">
        <v>1.0</v>
      </c>
      <c r="AZ1874" s="1">
        <v>1.0</v>
      </c>
      <c r="BA1874" s="1">
        <v>4.0</v>
      </c>
      <c r="BB1874" s="1">
        <v>2.0</v>
      </c>
      <c r="BC1874" s="1">
        <v>0.0</v>
      </c>
      <c r="BD1874" s="1">
        <v>0.27</v>
      </c>
      <c r="BE1874" s="1">
        <v>133.0</v>
      </c>
      <c r="BF1874" s="1">
        <v>48.0</v>
      </c>
      <c r="BG1874" s="1">
        <v>0.0</v>
      </c>
      <c r="BH1874" s="1">
        <v>16.0</v>
      </c>
      <c r="BI1874" s="1">
        <v>8.0</v>
      </c>
      <c r="BJ1874" s="1">
        <v>0.0</v>
      </c>
      <c r="BO1874" s="1" t="s">
        <v>6213</v>
      </c>
      <c r="BP1874" s="1">
        <v>1.017</v>
      </c>
      <c r="BU1874" s="1" t="s">
        <v>974</v>
      </c>
      <c r="BV1874" s="1">
        <v>1.1</v>
      </c>
      <c r="EQ1874" s="9" t="s">
        <v>6207</v>
      </c>
      <c r="ER1874" s="21">
        <v>46045.30136574074</v>
      </c>
    </row>
    <row r="1875">
      <c r="A1875" s="9" t="s">
        <v>6214</v>
      </c>
      <c r="B1875" s="20" t="str">
        <f>IFERROR(__xludf.DUMMYFUNCTION("REGEXREPLACE(A1875, ""^https?://[^/]+"", """")"),"/wp-content/uploads/2020/07/Business-consultant-conversation-1-300x200.jpg")</f>
        <v>/wp-content/uploads/2020/07/Business-consultant-conversation-1-300x200.jpg</v>
      </c>
      <c r="F1875" s="1" t="s">
        <v>1004</v>
      </c>
      <c r="G1875" s="1">
        <v>200.0</v>
      </c>
      <c r="H1875" s="1" t="s">
        <v>966</v>
      </c>
      <c r="I1875" s="1" t="s">
        <v>967</v>
      </c>
      <c r="L1875" s="1">
        <v>0.0</v>
      </c>
      <c r="M1875" s="1">
        <v>0.0</v>
      </c>
      <c r="O1875" s="1">
        <v>0.0</v>
      </c>
      <c r="P1875" s="1">
        <v>0.0</v>
      </c>
      <c r="R1875" s="1">
        <v>0.0</v>
      </c>
      <c r="S1875" s="1">
        <v>0.0</v>
      </c>
      <c r="U1875" s="1">
        <v>0.0</v>
      </c>
      <c r="W1875" s="1">
        <v>0.0</v>
      </c>
      <c r="Y1875" s="1">
        <v>0.0</v>
      </c>
      <c r="AA1875" s="1">
        <v>0.0</v>
      </c>
      <c r="AC1875" s="1">
        <v>0.0</v>
      </c>
      <c r="AM1875" s="1">
        <v>10446.0</v>
      </c>
      <c r="AN1875" s="1">
        <v>10446.0</v>
      </c>
      <c r="AO1875" s="1">
        <v>10446.0</v>
      </c>
      <c r="AP1875" s="1">
        <v>4.002</v>
      </c>
      <c r="AR1875" s="1">
        <v>0.0</v>
      </c>
      <c r="AW1875" s="1">
        <v>0.0</v>
      </c>
      <c r="AX1875" s="1">
        <v>4.0</v>
      </c>
      <c r="AY1875" s="1">
        <v>4.0</v>
      </c>
      <c r="BA1875" s="1">
        <v>0.0</v>
      </c>
      <c r="BB1875" s="1">
        <v>0.0</v>
      </c>
      <c r="BC1875" s="1">
        <v>0.0</v>
      </c>
      <c r="BD1875" s="1">
        <v>0.0</v>
      </c>
      <c r="BE1875" s="1">
        <v>0.0</v>
      </c>
      <c r="BF1875" s="1">
        <v>0.0</v>
      </c>
      <c r="BG1875" s="1">
        <v>0.0</v>
      </c>
      <c r="BH1875" s="1">
        <v>0.0</v>
      </c>
      <c r="BI1875" s="1">
        <v>0.0</v>
      </c>
      <c r="BJ1875" s="1">
        <v>0.0</v>
      </c>
      <c r="BP1875" s="1">
        <v>0.272</v>
      </c>
      <c r="BQ1875" s="1" t="s">
        <v>6215</v>
      </c>
      <c r="BV1875" s="1">
        <v>1.1</v>
      </c>
      <c r="EQ1875" s="9" t="s">
        <v>6214</v>
      </c>
      <c r="ER1875" s="21">
        <v>46045.30137731481</v>
      </c>
    </row>
    <row r="1876">
      <c r="A1876" s="9" t="s">
        <v>6216</v>
      </c>
      <c r="B1876" s="20" t="str">
        <f>IFERROR(__xludf.DUMMYFUNCTION("REGEXREPLACE(A1876, ""^https?://[^/]+"", """")"),"/wp-content/uploads/2020/07/IndyCar-Race-2-300x200.jpg")</f>
        <v>/wp-content/uploads/2020/07/IndyCar-Race-2-300x200.jpg</v>
      </c>
      <c r="F1876" s="1" t="s">
        <v>1004</v>
      </c>
      <c r="G1876" s="1">
        <v>200.0</v>
      </c>
      <c r="H1876" s="1" t="s">
        <v>966</v>
      </c>
      <c r="I1876" s="1" t="s">
        <v>967</v>
      </c>
      <c r="L1876" s="1">
        <v>0.0</v>
      </c>
      <c r="M1876" s="1">
        <v>0.0</v>
      </c>
      <c r="O1876" s="1">
        <v>0.0</v>
      </c>
      <c r="P1876" s="1">
        <v>0.0</v>
      </c>
      <c r="R1876" s="1">
        <v>0.0</v>
      </c>
      <c r="S1876" s="1">
        <v>0.0</v>
      </c>
      <c r="U1876" s="1">
        <v>0.0</v>
      </c>
      <c r="W1876" s="1">
        <v>0.0</v>
      </c>
      <c r="Y1876" s="1">
        <v>0.0</v>
      </c>
      <c r="AA1876" s="1">
        <v>0.0</v>
      </c>
      <c r="AC1876" s="1">
        <v>0.0</v>
      </c>
      <c r="AM1876" s="1">
        <v>8383.0</v>
      </c>
      <c r="AN1876" s="1">
        <v>8383.0</v>
      </c>
      <c r="AO1876" s="1">
        <v>8383.0</v>
      </c>
      <c r="AP1876" s="1">
        <v>3.211</v>
      </c>
      <c r="AR1876" s="1">
        <v>0.0</v>
      </c>
      <c r="AW1876" s="1">
        <v>0.0</v>
      </c>
      <c r="AX1876" s="1">
        <v>4.0</v>
      </c>
      <c r="AY1876" s="1">
        <v>4.0</v>
      </c>
      <c r="BA1876" s="1">
        <v>0.0</v>
      </c>
      <c r="BB1876" s="1">
        <v>0.0</v>
      </c>
      <c r="BC1876" s="1">
        <v>0.0</v>
      </c>
      <c r="BD1876" s="1">
        <v>0.0</v>
      </c>
      <c r="BE1876" s="1">
        <v>0.0</v>
      </c>
      <c r="BF1876" s="1">
        <v>0.0</v>
      </c>
      <c r="BG1876" s="1">
        <v>0.0</v>
      </c>
      <c r="BH1876" s="1">
        <v>0.0</v>
      </c>
      <c r="BI1876" s="1">
        <v>0.0</v>
      </c>
      <c r="BJ1876" s="1">
        <v>0.0</v>
      </c>
      <c r="BP1876" s="1">
        <v>0.266</v>
      </c>
      <c r="BQ1876" s="1" t="s">
        <v>6217</v>
      </c>
      <c r="BV1876" s="1">
        <v>1.1</v>
      </c>
      <c r="EQ1876" s="9" t="s">
        <v>6216</v>
      </c>
      <c r="ER1876" s="21">
        <v>46045.30137731481</v>
      </c>
    </row>
    <row r="1877">
      <c r="A1877" s="9" t="s">
        <v>6218</v>
      </c>
      <c r="B1877" s="20" t="str">
        <f>IFERROR(__xludf.DUMMYFUNCTION("REGEXREPLACE(A1877, ""^https?://[^/]+"", """")"),"/wp-content/uploads/2020/09/Crisis-Sales-Management-scaled-1-300x200.jpg")</f>
        <v>/wp-content/uploads/2020/09/Crisis-Sales-Management-scaled-1-300x200.jpg</v>
      </c>
      <c r="F1877" s="1" t="s">
        <v>1004</v>
      </c>
      <c r="G1877" s="1">
        <v>200.0</v>
      </c>
      <c r="H1877" s="1" t="s">
        <v>966</v>
      </c>
      <c r="I1877" s="1" t="s">
        <v>967</v>
      </c>
      <c r="L1877" s="1">
        <v>0.0</v>
      </c>
      <c r="M1877" s="1">
        <v>0.0</v>
      </c>
      <c r="O1877" s="1">
        <v>0.0</v>
      </c>
      <c r="P1877" s="1">
        <v>0.0</v>
      </c>
      <c r="R1877" s="1">
        <v>0.0</v>
      </c>
      <c r="S1877" s="1">
        <v>0.0</v>
      </c>
      <c r="U1877" s="1">
        <v>0.0</v>
      </c>
      <c r="W1877" s="1">
        <v>0.0</v>
      </c>
      <c r="Y1877" s="1">
        <v>0.0</v>
      </c>
      <c r="AA1877" s="1">
        <v>0.0</v>
      </c>
      <c r="AC1877" s="1">
        <v>0.0</v>
      </c>
      <c r="AM1877" s="1">
        <v>15350.0</v>
      </c>
      <c r="AN1877" s="1">
        <v>15350.0</v>
      </c>
      <c r="AO1877" s="1">
        <v>15350.0</v>
      </c>
      <c r="AP1877" s="1">
        <v>5.88</v>
      </c>
      <c r="AR1877" s="1">
        <v>0.0</v>
      </c>
      <c r="AW1877" s="1">
        <v>0.0</v>
      </c>
      <c r="AX1877" s="1">
        <v>4.0</v>
      </c>
      <c r="AY1877" s="1">
        <v>4.0</v>
      </c>
      <c r="BA1877" s="1">
        <v>0.0</v>
      </c>
      <c r="BB1877" s="1">
        <v>0.0</v>
      </c>
      <c r="BC1877" s="1">
        <v>0.0</v>
      </c>
      <c r="BD1877" s="1">
        <v>0.0</v>
      </c>
      <c r="BE1877" s="1">
        <v>0.0</v>
      </c>
      <c r="BF1877" s="1">
        <v>0.0</v>
      </c>
      <c r="BG1877" s="1">
        <v>0.0</v>
      </c>
      <c r="BH1877" s="1">
        <v>0.0</v>
      </c>
      <c r="BI1877" s="1">
        <v>0.0</v>
      </c>
      <c r="BJ1877" s="1">
        <v>0.0</v>
      </c>
      <c r="BP1877" s="1">
        <v>0.261</v>
      </c>
      <c r="BQ1877" s="1" t="s">
        <v>6219</v>
      </c>
      <c r="BV1877" s="1">
        <v>1.1</v>
      </c>
      <c r="EQ1877" s="9" t="s">
        <v>6218</v>
      </c>
      <c r="ER1877" s="21">
        <v>46045.30138888889</v>
      </c>
    </row>
    <row r="1878">
      <c r="A1878" s="9" t="s">
        <v>6220</v>
      </c>
      <c r="B1878" s="20" t="str">
        <f>IFERROR(__xludf.DUMMYFUNCTION("REGEXREPLACE(A1878, ""^https?://[^/]+"", """")"),"/wp-content/uploads/2020/06/why-i-left-a-successful-career-300x200.jpg")</f>
        <v>/wp-content/uploads/2020/06/why-i-left-a-successful-career-300x200.jpg</v>
      </c>
      <c r="F1878" s="1" t="s">
        <v>1004</v>
      </c>
      <c r="G1878" s="1">
        <v>200.0</v>
      </c>
      <c r="H1878" s="1" t="s">
        <v>966</v>
      </c>
      <c r="I1878" s="1" t="s">
        <v>967</v>
      </c>
      <c r="L1878" s="1">
        <v>0.0</v>
      </c>
      <c r="M1878" s="1">
        <v>0.0</v>
      </c>
      <c r="O1878" s="1">
        <v>0.0</v>
      </c>
      <c r="P1878" s="1">
        <v>0.0</v>
      </c>
      <c r="R1878" s="1">
        <v>0.0</v>
      </c>
      <c r="S1878" s="1">
        <v>0.0</v>
      </c>
      <c r="U1878" s="1">
        <v>0.0</v>
      </c>
      <c r="W1878" s="1">
        <v>0.0</v>
      </c>
      <c r="Y1878" s="1">
        <v>0.0</v>
      </c>
      <c r="AA1878" s="1">
        <v>0.0</v>
      </c>
      <c r="AC1878" s="1">
        <v>0.0</v>
      </c>
      <c r="AM1878" s="1">
        <v>13546.0</v>
      </c>
      <c r="AN1878" s="1">
        <v>13546.0</v>
      </c>
      <c r="AO1878" s="1">
        <v>13546.0</v>
      </c>
      <c r="AP1878" s="1">
        <v>5.189</v>
      </c>
      <c r="AR1878" s="1">
        <v>0.0</v>
      </c>
      <c r="AW1878" s="1">
        <v>0.0</v>
      </c>
      <c r="AX1878" s="1">
        <v>4.0</v>
      </c>
      <c r="AY1878" s="1">
        <v>4.0</v>
      </c>
      <c r="BA1878" s="1">
        <v>0.0</v>
      </c>
      <c r="BB1878" s="1">
        <v>0.0</v>
      </c>
      <c r="BC1878" s="1">
        <v>0.0</v>
      </c>
      <c r="BD1878" s="1">
        <v>0.0</v>
      </c>
      <c r="BE1878" s="1">
        <v>0.0</v>
      </c>
      <c r="BF1878" s="1">
        <v>0.0</v>
      </c>
      <c r="BG1878" s="1">
        <v>0.0</v>
      </c>
      <c r="BH1878" s="1">
        <v>0.0</v>
      </c>
      <c r="BI1878" s="1">
        <v>0.0</v>
      </c>
      <c r="BJ1878" s="1">
        <v>0.0</v>
      </c>
      <c r="BP1878" s="1">
        <v>0.277</v>
      </c>
      <c r="BQ1878" s="1" t="s">
        <v>6221</v>
      </c>
      <c r="BV1878" s="1">
        <v>1.1</v>
      </c>
      <c r="EQ1878" s="9" t="s">
        <v>6220</v>
      </c>
      <c r="ER1878" s="21">
        <v>46045.30138888889</v>
      </c>
    </row>
    <row r="1879">
      <c r="A1879" s="9" t="s">
        <v>6222</v>
      </c>
      <c r="B1879" s="20" t="str">
        <f>IFERROR(__xludf.DUMMYFUNCTION("REGEXREPLACE(A1879, ""^https?://[^/]+"", """")"),"/how-your-sales-leadership-track-record-can-help-you-set-new-track-records-as-a-consultant/")</f>
        <v>/how-your-sales-leadership-track-record-can-help-you-set-new-track-records-as-a-consultant/</v>
      </c>
      <c r="C1879" s="1" t="s">
        <v>6223</v>
      </c>
      <c r="F1879" s="1" t="s">
        <v>965</v>
      </c>
      <c r="G1879" s="1">
        <v>200.0</v>
      </c>
      <c r="H1879" s="1" t="s">
        <v>966</v>
      </c>
      <c r="I1879" s="1" t="s">
        <v>1214</v>
      </c>
      <c r="J1879" s="1" t="s">
        <v>1215</v>
      </c>
      <c r="K1879" s="1" t="s">
        <v>6224</v>
      </c>
      <c r="L1879" s="1">
        <v>114.0</v>
      </c>
      <c r="M1879" s="1">
        <v>1062.0</v>
      </c>
      <c r="O1879" s="1">
        <v>0.0</v>
      </c>
      <c r="P1879" s="1">
        <v>0.0</v>
      </c>
      <c r="Q1879" s="1" t="s">
        <v>6225</v>
      </c>
      <c r="R1879" s="1">
        <v>155.0</v>
      </c>
      <c r="S1879" s="1">
        <v>947.0</v>
      </c>
      <c r="U1879" s="1">
        <v>0.0</v>
      </c>
      <c r="V1879" s="1" t="s">
        <v>6223</v>
      </c>
      <c r="W1879" s="1">
        <v>89.0</v>
      </c>
      <c r="Y1879" s="1">
        <v>0.0</v>
      </c>
      <c r="AA1879" s="1">
        <v>0.0</v>
      </c>
      <c r="AC1879" s="1">
        <v>0.0</v>
      </c>
      <c r="AD1879" s="1" t="s">
        <v>971</v>
      </c>
      <c r="AG1879" s="9" t="s">
        <v>6226</v>
      </c>
      <c r="AM1879" s="1">
        <v>200772.0</v>
      </c>
      <c r="AN1879" s="1">
        <v>35957.0</v>
      </c>
      <c r="AO1879" s="1">
        <v>35957.0</v>
      </c>
      <c r="AP1879" s="1">
        <v>13.774</v>
      </c>
      <c r="AR1879" s="1">
        <v>1208.0</v>
      </c>
      <c r="AS1879" s="1">
        <v>187.0</v>
      </c>
      <c r="AT1879" s="1">
        <v>6.46</v>
      </c>
      <c r="AU1879" s="1">
        <v>65.745</v>
      </c>
      <c r="AV1879" s="1" t="s">
        <v>990</v>
      </c>
      <c r="AW1879" s="1">
        <v>4.91</v>
      </c>
      <c r="AX1879" s="1">
        <v>4.0</v>
      </c>
      <c r="AY1879" s="1">
        <v>1.0</v>
      </c>
      <c r="BA1879" s="1">
        <v>2.0</v>
      </c>
      <c r="BB1879" s="1">
        <v>1.0</v>
      </c>
      <c r="BC1879" s="1">
        <v>0.0</v>
      </c>
      <c r="BD1879" s="1">
        <v>0.13</v>
      </c>
      <c r="BE1879" s="1">
        <v>131.0</v>
      </c>
      <c r="BF1879" s="1">
        <v>48.0</v>
      </c>
      <c r="BG1879" s="1">
        <v>0.0</v>
      </c>
      <c r="BH1879" s="1">
        <v>16.0</v>
      </c>
      <c r="BI1879" s="1">
        <v>8.0</v>
      </c>
      <c r="BJ1879" s="1">
        <v>0.0</v>
      </c>
      <c r="BO1879" s="1" t="s">
        <v>6227</v>
      </c>
      <c r="BP1879" s="1">
        <v>1.006</v>
      </c>
      <c r="BU1879" s="1" t="s">
        <v>974</v>
      </c>
      <c r="BV1879" s="1">
        <v>1.1</v>
      </c>
      <c r="EQ1879" s="9" t="s">
        <v>6222</v>
      </c>
      <c r="ER1879" s="21">
        <v>46045.30137731481</v>
      </c>
    </row>
    <row r="1880">
      <c r="A1880" s="9" t="s">
        <v>6228</v>
      </c>
      <c r="B1880" s="20" t="str">
        <f>IFERROR(__xludf.DUMMYFUNCTION("REGEXREPLACE(A1880, ""^https?://[^/]+"", """")"),"/5-ways-to-make-your-sales-infrastructure-more-attractive-to-investors/")</f>
        <v>/5-ways-to-make-your-sales-infrastructure-more-attractive-to-investors/</v>
      </c>
      <c r="C1880" s="1" t="s">
        <v>6229</v>
      </c>
      <c r="D1880" s="1" t="s">
        <v>6230</v>
      </c>
      <c r="F1880" s="1" t="s">
        <v>965</v>
      </c>
      <c r="G1880" s="1">
        <v>200.0</v>
      </c>
      <c r="H1880" s="1" t="s">
        <v>966</v>
      </c>
      <c r="I1880" s="1" t="s">
        <v>967</v>
      </c>
      <c r="K1880" s="1" t="s">
        <v>6231</v>
      </c>
      <c r="L1880" s="1">
        <v>102.0</v>
      </c>
      <c r="M1880" s="1">
        <v>904.0</v>
      </c>
      <c r="O1880" s="1">
        <v>0.0</v>
      </c>
      <c r="P1880" s="1">
        <v>0.0</v>
      </c>
      <c r="Q1880" s="1" t="s">
        <v>6232</v>
      </c>
      <c r="R1880" s="1">
        <v>100.0</v>
      </c>
      <c r="S1880" s="1">
        <v>594.0</v>
      </c>
      <c r="U1880" s="1">
        <v>0.0</v>
      </c>
      <c r="V1880" s="1" t="s">
        <v>6229</v>
      </c>
      <c r="W1880" s="1">
        <v>77.0</v>
      </c>
      <c r="Y1880" s="1">
        <v>0.0</v>
      </c>
      <c r="Z1880" s="1" t="s">
        <v>6230</v>
      </c>
      <c r="AA1880" s="1">
        <v>33.0</v>
      </c>
      <c r="AC1880" s="1">
        <v>0.0</v>
      </c>
      <c r="AD1880" s="1" t="s">
        <v>971</v>
      </c>
      <c r="AG1880" s="9" t="s">
        <v>6228</v>
      </c>
      <c r="AM1880" s="1">
        <v>203960.0</v>
      </c>
      <c r="AN1880" s="1">
        <v>36957.0</v>
      </c>
      <c r="AO1880" s="1">
        <v>36957.0</v>
      </c>
      <c r="AP1880" s="1">
        <v>14.158</v>
      </c>
      <c r="AR1880" s="1">
        <v>1459.0</v>
      </c>
      <c r="AS1880" s="1">
        <v>227.0</v>
      </c>
      <c r="AT1880" s="1">
        <v>6.427</v>
      </c>
      <c r="AU1880" s="1">
        <v>59.292</v>
      </c>
      <c r="AV1880" s="1" t="s">
        <v>972</v>
      </c>
      <c r="AW1880" s="1">
        <v>5.694</v>
      </c>
      <c r="AX1880" s="1">
        <v>4.0</v>
      </c>
      <c r="AY1880" s="1">
        <v>1.0</v>
      </c>
      <c r="AZ1880" s="1">
        <v>1.0</v>
      </c>
      <c r="BA1880" s="1">
        <v>6.0</v>
      </c>
      <c r="BB1880" s="1">
        <v>5.0</v>
      </c>
      <c r="BC1880" s="1">
        <v>0.0</v>
      </c>
      <c r="BD1880" s="1">
        <v>0.66</v>
      </c>
      <c r="BE1880" s="1">
        <v>131.0</v>
      </c>
      <c r="BF1880" s="1">
        <v>47.0</v>
      </c>
      <c r="BG1880" s="1">
        <v>0.0</v>
      </c>
      <c r="BH1880" s="1">
        <v>18.0</v>
      </c>
      <c r="BI1880" s="1">
        <v>10.0</v>
      </c>
      <c r="BJ1880" s="1">
        <v>0.0</v>
      </c>
      <c r="BO1880" s="1" t="s">
        <v>6233</v>
      </c>
      <c r="BP1880" s="1">
        <v>0.981</v>
      </c>
      <c r="BU1880" s="1" t="s">
        <v>974</v>
      </c>
      <c r="BV1880" s="1">
        <v>1.1</v>
      </c>
      <c r="EQ1880" s="9" t="s">
        <v>6228</v>
      </c>
      <c r="ER1880" s="21">
        <v>46045.30137731481</v>
      </c>
    </row>
    <row r="1881">
      <c r="A1881" s="9" t="s">
        <v>6234</v>
      </c>
      <c r="B1881" s="20" t="str">
        <f>IFERROR(__xludf.DUMMYFUNCTION("REGEXREPLACE(A1881, ""^https?://[^/]+"", """")"),"/for-businesses-in-crisis-fractional-sales-leadership-can-make-a-difference/")</f>
        <v>/for-businesses-in-crisis-fractional-sales-leadership-can-make-a-difference/</v>
      </c>
      <c r="C1881" s="1" t="s">
        <v>6235</v>
      </c>
      <c r="D1881" s="1" t="s">
        <v>6236</v>
      </c>
      <c r="E1881" s="1" t="s">
        <v>6237</v>
      </c>
      <c r="F1881" s="1" t="s">
        <v>965</v>
      </c>
      <c r="G1881" s="1">
        <v>200.0</v>
      </c>
      <c r="H1881" s="1" t="s">
        <v>966</v>
      </c>
      <c r="I1881" s="1" t="s">
        <v>967</v>
      </c>
      <c r="K1881" s="1" t="s">
        <v>6238</v>
      </c>
      <c r="L1881" s="1">
        <v>100.0</v>
      </c>
      <c r="M1881" s="1">
        <v>890.0</v>
      </c>
      <c r="O1881" s="1">
        <v>0.0</v>
      </c>
      <c r="P1881" s="1">
        <v>0.0</v>
      </c>
      <c r="Q1881" s="1" t="s">
        <v>6239</v>
      </c>
      <c r="R1881" s="1">
        <v>153.0</v>
      </c>
      <c r="S1881" s="1">
        <v>938.0</v>
      </c>
      <c r="U1881" s="1">
        <v>0.0</v>
      </c>
      <c r="V1881" s="1" t="s">
        <v>6235</v>
      </c>
      <c r="W1881" s="1">
        <v>75.0</v>
      </c>
      <c r="Y1881" s="1">
        <v>0.0</v>
      </c>
      <c r="Z1881" s="1" t="s">
        <v>6236</v>
      </c>
      <c r="AA1881" s="1">
        <v>49.0</v>
      </c>
      <c r="AB1881" s="1" t="s">
        <v>6237</v>
      </c>
      <c r="AC1881" s="1">
        <v>57.0</v>
      </c>
      <c r="AD1881" s="1" t="s">
        <v>971</v>
      </c>
      <c r="AG1881" s="9" t="s">
        <v>6234</v>
      </c>
      <c r="AM1881" s="1">
        <v>202785.0</v>
      </c>
      <c r="AN1881" s="1">
        <v>36023.0</v>
      </c>
      <c r="AO1881" s="1">
        <v>36023.0</v>
      </c>
      <c r="AP1881" s="1">
        <v>13.8</v>
      </c>
      <c r="AR1881" s="1">
        <v>1354.0</v>
      </c>
      <c r="AS1881" s="1">
        <v>198.0</v>
      </c>
      <c r="AT1881" s="1">
        <v>6.838</v>
      </c>
      <c r="AU1881" s="1">
        <v>56.811</v>
      </c>
      <c r="AV1881" s="1" t="s">
        <v>972</v>
      </c>
      <c r="AW1881" s="1">
        <v>5.418</v>
      </c>
      <c r="AX1881" s="1">
        <v>4.0</v>
      </c>
      <c r="AY1881" s="1">
        <v>1.0</v>
      </c>
      <c r="AZ1881" s="1">
        <v>1.0</v>
      </c>
      <c r="BA1881" s="1">
        <v>5.0</v>
      </c>
      <c r="BB1881" s="1">
        <v>3.0</v>
      </c>
      <c r="BC1881" s="1">
        <v>0.0</v>
      </c>
      <c r="BD1881" s="1">
        <v>0.4</v>
      </c>
      <c r="BE1881" s="1">
        <v>133.0</v>
      </c>
      <c r="BF1881" s="1">
        <v>48.0</v>
      </c>
      <c r="BG1881" s="1">
        <v>0.0</v>
      </c>
      <c r="BH1881" s="1">
        <v>16.0</v>
      </c>
      <c r="BI1881" s="1">
        <v>8.0</v>
      </c>
      <c r="BJ1881" s="1">
        <v>0.0</v>
      </c>
      <c r="BO1881" s="1" t="s">
        <v>6240</v>
      </c>
      <c r="BP1881" s="1">
        <v>1.092</v>
      </c>
      <c r="BU1881" s="1" t="s">
        <v>974</v>
      </c>
      <c r="BV1881" s="1">
        <v>1.1</v>
      </c>
      <c r="EQ1881" s="9" t="s">
        <v>6234</v>
      </c>
      <c r="ER1881" s="21">
        <v>46045.30137731481</v>
      </c>
    </row>
    <row r="1882">
      <c r="A1882" s="9" t="s">
        <v>6241</v>
      </c>
      <c r="B1882" s="20" t="str">
        <f>IFERROR(__xludf.DUMMYFUNCTION("REGEXREPLACE(A1882, ""^https?://[^/]+"", """")"),"/wp-content/uploads/2020/07/Investor-Meeting-scaled-1-300x300.jpg")</f>
        <v>/wp-content/uploads/2020/07/Investor-Meeting-scaled-1-300x300.jpg</v>
      </c>
      <c r="F1882" s="1" t="s">
        <v>1004</v>
      </c>
      <c r="G1882" s="1">
        <v>200.0</v>
      </c>
      <c r="H1882" s="1" t="s">
        <v>966</v>
      </c>
      <c r="I1882" s="1" t="s">
        <v>967</v>
      </c>
      <c r="L1882" s="1">
        <v>0.0</v>
      </c>
      <c r="M1882" s="1">
        <v>0.0</v>
      </c>
      <c r="O1882" s="1">
        <v>0.0</v>
      </c>
      <c r="P1882" s="1">
        <v>0.0</v>
      </c>
      <c r="R1882" s="1">
        <v>0.0</v>
      </c>
      <c r="S1882" s="1">
        <v>0.0</v>
      </c>
      <c r="U1882" s="1">
        <v>0.0</v>
      </c>
      <c r="W1882" s="1">
        <v>0.0</v>
      </c>
      <c r="Y1882" s="1">
        <v>0.0</v>
      </c>
      <c r="AA1882" s="1">
        <v>0.0</v>
      </c>
      <c r="AC1882" s="1">
        <v>0.0</v>
      </c>
      <c r="AM1882" s="1">
        <v>16117.0</v>
      </c>
      <c r="AN1882" s="1">
        <v>16117.0</v>
      </c>
      <c r="AO1882" s="1">
        <v>16117.0</v>
      </c>
      <c r="AP1882" s="1">
        <v>6.174</v>
      </c>
      <c r="AR1882" s="1">
        <v>0.0</v>
      </c>
      <c r="AW1882" s="1">
        <v>0.0</v>
      </c>
      <c r="AX1882" s="1">
        <v>4.0</v>
      </c>
      <c r="AY1882" s="1">
        <v>4.0</v>
      </c>
      <c r="BA1882" s="1">
        <v>0.0</v>
      </c>
      <c r="BB1882" s="1">
        <v>0.0</v>
      </c>
      <c r="BC1882" s="1">
        <v>0.0</v>
      </c>
      <c r="BD1882" s="1">
        <v>0.0</v>
      </c>
      <c r="BE1882" s="1">
        <v>0.0</v>
      </c>
      <c r="BF1882" s="1">
        <v>0.0</v>
      </c>
      <c r="BG1882" s="1">
        <v>0.0</v>
      </c>
      <c r="BH1882" s="1">
        <v>0.0</v>
      </c>
      <c r="BI1882" s="1">
        <v>0.0</v>
      </c>
      <c r="BJ1882" s="1">
        <v>0.0</v>
      </c>
      <c r="BP1882" s="1">
        <v>0.26</v>
      </c>
      <c r="BQ1882" s="1" t="s">
        <v>6242</v>
      </c>
      <c r="BV1882" s="1">
        <v>1.1</v>
      </c>
      <c r="EQ1882" s="9" t="s">
        <v>6241</v>
      </c>
      <c r="ER1882" s="21">
        <v>46045.30138888889</v>
      </c>
    </row>
    <row r="1883">
      <c r="A1883" s="9" t="s">
        <v>6243</v>
      </c>
      <c r="B1883" s="20" t="str">
        <f>IFERROR(__xludf.DUMMYFUNCTION("REGEXREPLACE(A1883, ""^https?://[^/]+"", """")"),"/why-i-left-a-successful-career-in-sales-leadership/")</f>
        <v>/why-i-left-a-successful-career-in-sales-leadership/</v>
      </c>
      <c r="C1883" s="1" t="s">
        <v>6244</v>
      </c>
      <c r="F1883" s="1" t="s">
        <v>965</v>
      </c>
      <c r="G1883" s="1">
        <v>200.0</v>
      </c>
      <c r="H1883" s="1" t="s">
        <v>966</v>
      </c>
      <c r="I1883" s="1" t="s">
        <v>967</v>
      </c>
      <c r="K1883" s="1" t="s">
        <v>6245</v>
      </c>
      <c r="L1883" s="1">
        <v>91.0</v>
      </c>
      <c r="M1883" s="1">
        <v>800.0</v>
      </c>
      <c r="O1883" s="1">
        <v>0.0</v>
      </c>
      <c r="P1883" s="1">
        <v>0.0</v>
      </c>
      <c r="Q1883" s="1" t="s">
        <v>6246</v>
      </c>
      <c r="R1883" s="1">
        <v>137.0</v>
      </c>
      <c r="S1883" s="1">
        <v>832.0</v>
      </c>
      <c r="U1883" s="1">
        <v>0.0</v>
      </c>
      <c r="V1883" s="1" t="s">
        <v>6244</v>
      </c>
      <c r="W1883" s="1">
        <v>66.0</v>
      </c>
      <c r="Y1883" s="1">
        <v>0.0</v>
      </c>
      <c r="AA1883" s="1">
        <v>0.0</v>
      </c>
      <c r="AC1883" s="1">
        <v>0.0</v>
      </c>
      <c r="AD1883" s="1" t="s">
        <v>971</v>
      </c>
      <c r="AG1883" s="9" t="s">
        <v>6243</v>
      </c>
      <c r="AM1883" s="1">
        <v>202409.0</v>
      </c>
      <c r="AN1883" s="1">
        <v>36482.0</v>
      </c>
      <c r="AO1883" s="1">
        <v>36482.0</v>
      </c>
      <c r="AP1883" s="1">
        <v>13.976</v>
      </c>
      <c r="AR1883" s="1">
        <v>1439.0</v>
      </c>
      <c r="AS1883" s="1">
        <v>205.0</v>
      </c>
      <c r="AT1883" s="1">
        <v>7.02</v>
      </c>
      <c r="AU1883" s="1">
        <v>72.722</v>
      </c>
      <c r="AV1883" s="1" t="s">
        <v>1264</v>
      </c>
      <c r="AW1883" s="1">
        <v>5.282</v>
      </c>
      <c r="AX1883" s="1">
        <v>4.0</v>
      </c>
      <c r="AY1883" s="1">
        <v>1.0</v>
      </c>
      <c r="AZ1883" s="1">
        <v>1.0</v>
      </c>
      <c r="BA1883" s="1">
        <v>2.0</v>
      </c>
      <c r="BB1883" s="1">
        <v>1.0</v>
      </c>
      <c r="BC1883" s="1">
        <v>0.0</v>
      </c>
      <c r="BD1883" s="1">
        <v>0.13</v>
      </c>
      <c r="BE1883" s="1">
        <v>130.0</v>
      </c>
      <c r="BF1883" s="1">
        <v>48.0</v>
      </c>
      <c r="BG1883" s="1">
        <v>0.0</v>
      </c>
      <c r="BH1883" s="1">
        <v>18.0</v>
      </c>
      <c r="BI1883" s="1">
        <v>10.0</v>
      </c>
      <c r="BJ1883" s="1">
        <v>0.0</v>
      </c>
      <c r="BO1883" s="1" t="s">
        <v>6247</v>
      </c>
      <c r="BP1883" s="1">
        <v>1.003</v>
      </c>
      <c r="BU1883" s="1" t="s">
        <v>974</v>
      </c>
      <c r="BV1883" s="1">
        <v>1.1</v>
      </c>
      <c r="EQ1883" s="9" t="s">
        <v>6243</v>
      </c>
      <c r="ER1883" s="21">
        <v>46045.30137731481</v>
      </c>
    </row>
    <row r="1884">
      <c r="A1884" s="9" t="s">
        <v>6248</v>
      </c>
      <c r="B1884" s="20" t="str">
        <f>IFERROR(__xludf.DUMMYFUNCTION("REGEXREPLACE(A1884, ""^https?://[^/]+"", """")"),"/wp-content/uploads/2020/08/Sales-Leader-Building-a-Sales-Strategy-scaled-1-300x200.jpg")</f>
        <v>/wp-content/uploads/2020/08/Sales-Leader-Building-a-Sales-Strategy-scaled-1-300x200.jpg</v>
      </c>
      <c r="F1884" s="1" t="s">
        <v>1004</v>
      </c>
      <c r="G1884" s="1">
        <v>200.0</v>
      </c>
      <c r="H1884" s="1" t="s">
        <v>966</v>
      </c>
      <c r="I1884" s="1" t="s">
        <v>967</v>
      </c>
      <c r="L1884" s="1">
        <v>0.0</v>
      </c>
      <c r="M1884" s="1">
        <v>0.0</v>
      </c>
      <c r="O1884" s="1">
        <v>0.0</v>
      </c>
      <c r="P1884" s="1">
        <v>0.0</v>
      </c>
      <c r="R1884" s="1">
        <v>0.0</v>
      </c>
      <c r="S1884" s="1">
        <v>0.0</v>
      </c>
      <c r="U1884" s="1">
        <v>0.0</v>
      </c>
      <c r="W1884" s="1">
        <v>0.0</v>
      </c>
      <c r="Y1884" s="1">
        <v>0.0</v>
      </c>
      <c r="AA1884" s="1">
        <v>0.0</v>
      </c>
      <c r="AC1884" s="1">
        <v>0.0</v>
      </c>
      <c r="AM1884" s="1">
        <v>12154.0</v>
      </c>
      <c r="AN1884" s="1">
        <v>12154.0</v>
      </c>
      <c r="AO1884" s="1">
        <v>12154.0</v>
      </c>
      <c r="AP1884" s="1">
        <v>4.656</v>
      </c>
      <c r="AR1884" s="1">
        <v>0.0</v>
      </c>
      <c r="AW1884" s="1">
        <v>0.0</v>
      </c>
      <c r="AX1884" s="1">
        <v>4.0</v>
      </c>
      <c r="AY1884" s="1">
        <v>4.0</v>
      </c>
      <c r="BA1884" s="1">
        <v>0.0</v>
      </c>
      <c r="BB1884" s="1">
        <v>0.0</v>
      </c>
      <c r="BC1884" s="1">
        <v>0.0</v>
      </c>
      <c r="BD1884" s="1">
        <v>0.0</v>
      </c>
      <c r="BE1884" s="1">
        <v>0.0</v>
      </c>
      <c r="BF1884" s="1">
        <v>0.0</v>
      </c>
      <c r="BG1884" s="1">
        <v>0.0</v>
      </c>
      <c r="BH1884" s="1">
        <v>0.0</v>
      </c>
      <c r="BI1884" s="1">
        <v>0.0</v>
      </c>
      <c r="BJ1884" s="1">
        <v>0.0</v>
      </c>
      <c r="BP1884" s="1">
        <v>0.277</v>
      </c>
      <c r="BQ1884" s="1" t="s">
        <v>6249</v>
      </c>
      <c r="BV1884" s="1">
        <v>1.1</v>
      </c>
      <c r="EQ1884" s="9" t="s">
        <v>6248</v>
      </c>
      <c r="ER1884" s="21">
        <v>46045.30138888889</v>
      </c>
    </row>
    <row r="1885">
      <c r="A1885" s="9" t="s">
        <v>6250</v>
      </c>
      <c r="B1885" s="20" t="str">
        <f>IFERROR(__xludf.DUMMYFUNCTION("REGEXREPLACE(A1885, ""^https?://[^/]+"", """")"),"/wp-content/uploads/2020/09/marketing-sales-300x300.png")</f>
        <v>/wp-content/uploads/2020/09/marketing-sales-300x300.png</v>
      </c>
      <c r="F1885" s="1" t="s">
        <v>1047</v>
      </c>
      <c r="G1885" s="1">
        <v>200.0</v>
      </c>
      <c r="H1885" s="1" t="s">
        <v>966</v>
      </c>
      <c r="I1885" s="1" t="s">
        <v>967</v>
      </c>
      <c r="L1885" s="1">
        <v>0.0</v>
      </c>
      <c r="M1885" s="1">
        <v>0.0</v>
      </c>
      <c r="O1885" s="1">
        <v>0.0</v>
      </c>
      <c r="P1885" s="1">
        <v>0.0</v>
      </c>
      <c r="R1885" s="1">
        <v>0.0</v>
      </c>
      <c r="S1885" s="1">
        <v>0.0</v>
      </c>
      <c r="U1885" s="1">
        <v>0.0</v>
      </c>
      <c r="W1885" s="1">
        <v>0.0</v>
      </c>
      <c r="Y1885" s="1">
        <v>0.0</v>
      </c>
      <c r="AA1885" s="1">
        <v>0.0</v>
      </c>
      <c r="AC1885" s="1">
        <v>0.0</v>
      </c>
      <c r="AM1885" s="1">
        <v>35832.0</v>
      </c>
      <c r="AN1885" s="1">
        <v>35832.0</v>
      </c>
      <c r="AO1885" s="1">
        <v>35832.0</v>
      </c>
      <c r="AP1885" s="1">
        <v>13.727</v>
      </c>
      <c r="AR1885" s="1">
        <v>0.0</v>
      </c>
      <c r="AW1885" s="1">
        <v>0.0</v>
      </c>
      <c r="AX1885" s="1">
        <v>4.0</v>
      </c>
      <c r="AY1885" s="1">
        <v>4.0</v>
      </c>
      <c r="BA1885" s="1">
        <v>0.0</v>
      </c>
      <c r="BB1885" s="1">
        <v>0.0</v>
      </c>
      <c r="BC1885" s="1">
        <v>0.0</v>
      </c>
      <c r="BD1885" s="1">
        <v>0.0</v>
      </c>
      <c r="BE1885" s="1">
        <v>0.0</v>
      </c>
      <c r="BF1885" s="1">
        <v>0.0</v>
      </c>
      <c r="BG1885" s="1">
        <v>0.0</v>
      </c>
      <c r="BH1885" s="1">
        <v>0.0</v>
      </c>
      <c r="BI1885" s="1">
        <v>0.0</v>
      </c>
      <c r="BJ1885" s="1">
        <v>0.0</v>
      </c>
      <c r="BP1885" s="1">
        <v>0.269</v>
      </c>
      <c r="BQ1885" s="1" t="s">
        <v>6251</v>
      </c>
      <c r="BV1885" s="1">
        <v>1.1</v>
      </c>
      <c r="EQ1885" s="9" t="s">
        <v>6250</v>
      </c>
      <c r="ER1885" s="21">
        <v>46045.30138888889</v>
      </c>
    </row>
    <row r="1886">
      <c r="A1886" s="9" t="s">
        <v>6252</v>
      </c>
      <c r="B1886" s="20" t="str">
        <f>IFERROR(__xludf.DUMMYFUNCTION("REGEXREPLACE(A1886, ""^https?://[^/]+"", """")"),"/what-is-a-sales-strategy-and-how-can-you-build-an-effective-one/")</f>
        <v>/what-is-a-sales-strategy-and-how-can-you-build-an-effective-one/</v>
      </c>
      <c r="C1886" s="1" t="s">
        <v>6253</v>
      </c>
      <c r="D1886" s="1" t="s">
        <v>6254</v>
      </c>
      <c r="E1886" s="1" t="s">
        <v>6255</v>
      </c>
      <c r="F1886" s="1" t="s">
        <v>965</v>
      </c>
      <c r="G1886" s="1">
        <v>200.0</v>
      </c>
      <c r="H1886" s="1" t="s">
        <v>966</v>
      </c>
      <c r="I1886" s="1" t="s">
        <v>967</v>
      </c>
      <c r="K1886" s="1" t="s">
        <v>6256</v>
      </c>
      <c r="L1886" s="1">
        <v>91.0</v>
      </c>
      <c r="M1886" s="1">
        <v>818.0</v>
      </c>
      <c r="O1886" s="1">
        <v>0.0</v>
      </c>
      <c r="P1886" s="1">
        <v>0.0</v>
      </c>
      <c r="Q1886" s="1" t="s">
        <v>6257</v>
      </c>
      <c r="R1886" s="1">
        <v>161.0</v>
      </c>
      <c r="S1886" s="1">
        <v>996.0</v>
      </c>
      <c r="U1886" s="1">
        <v>0.0</v>
      </c>
      <c r="V1886" s="1" t="s">
        <v>6253</v>
      </c>
      <c r="W1886" s="1">
        <v>66.0</v>
      </c>
      <c r="Y1886" s="1">
        <v>0.0</v>
      </c>
      <c r="Z1886" s="1" t="s">
        <v>6254</v>
      </c>
      <c r="AA1886" s="1">
        <v>25.0</v>
      </c>
      <c r="AB1886" s="1" t="s">
        <v>6255</v>
      </c>
      <c r="AC1886" s="1">
        <v>43.0</v>
      </c>
      <c r="AD1886" s="1" t="s">
        <v>971</v>
      </c>
      <c r="AG1886" s="9" t="s">
        <v>6252</v>
      </c>
      <c r="AM1886" s="1">
        <v>201830.0</v>
      </c>
      <c r="AN1886" s="1">
        <v>35554.0</v>
      </c>
      <c r="AO1886" s="1">
        <v>35554.0</v>
      </c>
      <c r="AP1886" s="1">
        <v>13.62</v>
      </c>
      <c r="AR1886" s="1">
        <v>1201.0</v>
      </c>
      <c r="AS1886" s="1">
        <v>187.0</v>
      </c>
      <c r="AT1886" s="1">
        <v>6.422</v>
      </c>
      <c r="AU1886" s="1">
        <v>51.826</v>
      </c>
      <c r="AV1886" s="1" t="s">
        <v>972</v>
      </c>
      <c r="AW1886" s="1">
        <v>5.062</v>
      </c>
      <c r="AX1886" s="1">
        <v>4.0</v>
      </c>
      <c r="AY1886" s="1">
        <v>1.0</v>
      </c>
      <c r="AZ1886" s="1">
        <v>1.0</v>
      </c>
      <c r="BA1886" s="1">
        <v>2.0</v>
      </c>
      <c r="BB1886" s="1">
        <v>1.0</v>
      </c>
      <c r="BC1886" s="1">
        <v>0.0</v>
      </c>
      <c r="BD1886" s="1">
        <v>0.13</v>
      </c>
      <c r="BE1886" s="1">
        <v>132.0</v>
      </c>
      <c r="BF1886" s="1">
        <v>49.0</v>
      </c>
      <c r="BG1886" s="1">
        <v>0.0</v>
      </c>
      <c r="BH1886" s="1">
        <v>16.0</v>
      </c>
      <c r="BI1886" s="1">
        <v>8.0</v>
      </c>
      <c r="BJ1886" s="1">
        <v>0.0</v>
      </c>
      <c r="BO1886" s="1" t="s">
        <v>6258</v>
      </c>
      <c r="BP1886" s="1">
        <v>1.052</v>
      </c>
      <c r="BU1886" s="1" t="s">
        <v>974</v>
      </c>
      <c r="BV1886" s="1">
        <v>1.1</v>
      </c>
      <c r="EQ1886" s="9" t="s">
        <v>6252</v>
      </c>
      <c r="ER1886" s="21">
        <v>46045.30138888889</v>
      </c>
    </row>
    <row r="1887">
      <c r="A1887" s="9" t="s">
        <v>6259</v>
      </c>
      <c r="B1887" s="20" t="str">
        <f>IFERROR(__xludf.DUMMYFUNCTION("REGEXREPLACE(A1887, ""^https?://[^/]+"", """")"),"/contact-us-become-a-sales-consultant-advisor-blogs-post-pandemic-sales-consulting-opportunities-are-here-and-now-and-here-to-stay/")</f>
        <v>/contact-us-become-a-sales-consultant-advisor-blogs-post-pandemic-sales-consulting-opportunities-are-here-and-now-and-here-to-stay/</v>
      </c>
      <c r="C1887" s="1" t="s">
        <v>6260</v>
      </c>
      <c r="F1887" s="1" t="s">
        <v>965</v>
      </c>
      <c r="G1887" s="1">
        <v>200.0</v>
      </c>
      <c r="H1887" s="1" t="s">
        <v>966</v>
      </c>
      <c r="I1887" s="1" t="s">
        <v>1214</v>
      </c>
      <c r="J1887" s="1" t="s">
        <v>1215</v>
      </c>
      <c r="K1887" s="1" t="s">
        <v>6261</v>
      </c>
      <c r="L1887" s="1">
        <v>105.0</v>
      </c>
      <c r="M1887" s="1">
        <v>964.0</v>
      </c>
      <c r="O1887" s="1">
        <v>0.0</v>
      </c>
      <c r="P1887" s="1">
        <v>0.0</v>
      </c>
      <c r="Q1887" s="1" t="s">
        <v>6262</v>
      </c>
      <c r="R1887" s="1">
        <v>137.0</v>
      </c>
      <c r="S1887" s="1">
        <v>863.0</v>
      </c>
      <c r="U1887" s="1">
        <v>0.0</v>
      </c>
      <c r="V1887" s="1" t="s">
        <v>6260</v>
      </c>
      <c r="W1887" s="1">
        <v>80.0</v>
      </c>
      <c r="Y1887" s="1">
        <v>0.0</v>
      </c>
      <c r="AA1887" s="1">
        <v>0.0</v>
      </c>
      <c r="AC1887" s="1">
        <v>0.0</v>
      </c>
      <c r="AD1887" s="1" t="s">
        <v>971</v>
      </c>
      <c r="AG1887" s="9" t="s">
        <v>6226</v>
      </c>
      <c r="AM1887" s="1">
        <v>203281.0</v>
      </c>
      <c r="AN1887" s="1">
        <v>36413.0</v>
      </c>
      <c r="AO1887" s="1">
        <v>36413.0</v>
      </c>
      <c r="AP1887" s="1">
        <v>13.949</v>
      </c>
      <c r="AR1887" s="1">
        <v>1269.0</v>
      </c>
      <c r="AS1887" s="1">
        <v>195.0</v>
      </c>
      <c r="AT1887" s="1">
        <v>6.508</v>
      </c>
      <c r="AU1887" s="1">
        <v>60.43</v>
      </c>
      <c r="AV1887" s="1" t="s">
        <v>990</v>
      </c>
      <c r="AW1887" s="1">
        <v>5.088</v>
      </c>
      <c r="AX1887" s="1">
        <v>4.0</v>
      </c>
      <c r="AY1887" s="1">
        <v>1.0</v>
      </c>
      <c r="BA1887" s="1">
        <v>2.0</v>
      </c>
      <c r="BB1887" s="1">
        <v>1.0</v>
      </c>
      <c r="BC1887" s="1">
        <v>0.0</v>
      </c>
      <c r="BD1887" s="1">
        <v>0.13</v>
      </c>
      <c r="BE1887" s="1">
        <v>131.0</v>
      </c>
      <c r="BF1887" s="1">
        <v>48.0</v>
      </c>
      <c r="BG1887" s="1">
        <v>0.0</v>
      </c>
      <c r="BH1887" s="1">
        <v>16.0</v>
      </c>
      <c r="BI1887" s="1">
        <v>8.0</v>
      </c>
      <c r="BJ1887" s="1">
        <v>0.0</v>
      </c>
      <c r="BO1887" s="1" t="s">
        <v>6263</v>
      </c>
      <c r="BP1887" s="1">
        <v>1.1</v>
      </c>
      <c r="BU1887" s="1" t="s">
        <v>974</v>
      </c>
      <c r="BV1887" s="1">
        <v>1.1</v>
      </c>
      <c r="EQ1887" s="9" t="s">
        <v>6259</v>
      </c>
      <c r="ER1887" s="21">
        <v>46045.30138888889</v>
      </c>
    </row>
    <row r="1888">
      <c r="A1888" s="9" t="s">
        <v>6264</v>
      </c>
      <c r="B1888" s="20" t="str">
        <f>IFERROR(__xludf.DUMMYFUNCTION("REGEXREPLACE(A1888, ""^https?://[^/]+"", """")"),"/contact-us-become-a-sales-consultant-advisor-blogs-the-resilient-entrepreneur-when-life-hands-you-lemons-open-a-lemonade-stand/")</f>
        <v>/contact-us-become-a-sales-consultant-advisor-blogs-the-resilient-entrepreneur-when-life-hands-you-lemons-open-a-lemonade-stand/</v>
      </c>
      <c r="C1888" s="1" t="s">
        <v>6265</v>
      </c>
      <c r="F1888" s="1" t="s">
        <v>965</v>
      </c>
      <c r="G1888" s="1">
        <v>200.0</v>
      </c>
      <c r="H1888" s="1" t="s">
        <v>966</v>
      </c>
      <c r="I1888" s="1" t="s">
        <v>1214</v>
      </c>
      <c r="J1888" s="1" t="s">
        <v>1215</v>
      </c>
      <c r="K1888" s="1" t="s">
        <v>6266</v>
      </c>
      <c r="L1888" s="1">
        <v>102.0</v>
      </c>
      <c r="M1888" s="1">
        <v>959.0</v>
      </c>
      <c r="O1888" s="1">
        <v>0.0</v>
      </c>
      <c r="P1888" s="1">
        <v>0.0</v>
      </c>
      <c r="Q1888" s="1" t="s">
        <v>6267</v>
      </c>
      <c r="R1888" s="1">
        <v>134.0</v>
      </c>
      <c r="S1888" s="1">
        <v>809.0</v>
      </c>
      <c r="U1888" s="1">
        <v>0.0</v>
      </c>
      <c r="V1888" s="1" t="s">
        <v>6265</v>
      </c>
      <c r="W1888" s="1">
        <v>77.0</v>
      </c>
      <c r="Y1888" s="1">
        <v>0.0</v>
      </c>
      <c r="AA1888" s="1">
        <v>0.0</v>
      </c>
      <c r="AC1888" s="1">
        <v>0.0</v>
      </c>
      <c r="AD1888" s="1" t="s">
        <v>971</v>
      </c>
      <c r="AG1888" s="9" t="s">
        <v>6268</v>
      </c>
      <c r="AM1888" s="1">
        <v>203159.0</v>
      </c>
      <c r="AN1888" s="1">
        <v>36682.0</v>
      </c>
      <c r="AO1888" s="1">
        <v>36682.0</v>
      </c>
      <c r="AP1888" s="1">
        <v>14.052</v>
      </c>
      <c r="AR1888" s="1">
        <v>1418.0</v>
      </c>
      <c r="AS1888" s="1">
        <v>220.0</v>
      </c>
      <c r="AT1888" s="1">
        <v>6.445</v>
      </c>
      <c r="AU1888" s="1">
        <v>64.682</v>
      </c>
      <c r="AV1888" s="1" t="s">
        <v>990</v>
      </c>
      <c r="AW1888" s="1">
        <v>5.422</v>
      </c>
      <c r="AX1888" s="1">
        <v>4.0</v>
      </c>
      <c r="AY1888" s="1">
        <v>1.0</v>
      </c>
      <c r="BA1888" s="1">
        <v>2.0</v>
      </c>
      <c r="BB1888" s="1">
        <v>1.0</v>
      </c>
      <c r="BC1888" s="1">
        <v>0.0</v>
      </c>
      <c r="BD1888" s="1">
        <v>0.13</v>
      </c>
      <c r="BE1888" s="1">
        <v>131.0</v>
      </c>
      <c r="BF1888" s="1">
        <v>48.0</v>
      </c>
      <c r="BG1888" s="1">
        <v>0.0</v>
      </c>
      <c r="BH1888" s="1">
        <v>16.0</v>
      </c>
      <c r="BI1888" s="1">
        <v>8.0</v>
      </c>
      <c r="BJ1888" s="1">
        <v>0.0</v>
      </c>
      <c r="BO1888" s="1" t="s">
        <v>6269</v>
      </c>
      <c r="BP1888" s="1">
        <v>1.104</v>
      </c>
      <c r="BU1888" s="1" t="s">
        <v>974</v>
      </c>
      <c r="BV1888" s="1">
        <v>1.1</v>
      </c>
      <c r="EQ1888" s="9" t="s">
        <v>6264</v>
      </c>
      <c r="ER1888" s="21">
        <v>46045.30138888889</v>
      </c>
    </row>
    <row r="1889">
      <c r="A1889" s="9" t="s">
        <v>6270</v>
      </c>
      <c r="B1889" s="20" t="str">
        <f>IFERROR(__xludf.DUMMYFUNCTION("REGEXREPLACE(A1889, ""^https?://[^/]+"", """")"),"/wp-content/uploads/2020/06/Lemons-scaled-1-300x225.jpg")</f>
        <v>/wp-content/uploads/2020/06/Lemons-scaled-1-300x225.jpg</v>
      </c>
      <c r="F1889" s="1" t="s">
        <v>1004</v>
      </c>
      <c r="G1889" s="1">
        <v>200.0</v>
      </c>
      <c r="H1889" s="1" t="s">
        <v>966</v>
      </c>
      <c r="I1889" s="1" t="s">
        <v>967</v>
      </c>
      <c r="L1889" s="1">
        <v>0.0</v>
      </c>
      <c r="M1889" s="1">
        <v>0.0</v>
      </c>
      <c r="O1889" s="1">
        <v>0.0</v>
      </c>
      <c r="P1889" s="1">
        <v>0.0</v>
      </c>
      <c r="R1889" s="1">
        <v>0.0</v>
      </c>
      <c r="S1889" s="1">
        <v>0.0</v>
      </c>
      <c r="U1889" s="1">
        <v>0.0</v>
      </c>
      <c r="W1889" s="1">
        <v>0.0</v>
      </c>
      <c r="Y1889" s="1">
        <v>0.0</v>
      </c>
      <c r="AA1889" s="1">
        <v>0.0</v>
      </c>
      <c r="AC1889" s="1">
        <v>0.0</v>
      </c>
      <c r="AM1889" s="1">
        <v>12298.0</v>
      </c>
      <c r="AN1889" s="1">
        <v>12298.0</v>
      </c>
      <c r="AO1889" s="1">
        <v>12298.0</v>
      </c>
      <c r="AP1889" s="1">
        <v>4.711</v>
      </c>
      <c r="AR1889" s="1">
        <v>0.0</v>
      </c>
      <c r="AW1889" s="1">
        <v>0.0</v>
      </c>
      <c r="AX1889" s="1">
        <v>4.0</v>
      </c>
      <c r="AY1889" s="1">
        <v>4.0</v>
      </c>
      <c r="BA1889" s="1">
        <v>0.0</v>
      </c>
      <c r="BB1889" s="1">
        <v>0.0</v>
      </c>
      <c r="BC1889" s="1">
        <v>0.0</v>
      </c>
      <c r="BD1889" s="1">
        <v>0.0</v>
      </c>
      <c r="BE1889" s="1">
        <v>0.0</v>
      </c>
      <c r="BF1889" s="1">
        <v>0.0</v>
      </c>
      <c r="BG1889" s="1">
        <v>0.0</v>
      </c>
      <c r="BH1889" s="1">
        <v>0.0</v>
      </c>
      <c r="BI1889" s="1">
        <v>0.0</v>
      </c>
      <c r="BJ1889" s="1">
        <v>0.0</v>
      </c>
      <c r="BP1889" s="1">
        <v>0.27</v>
      </c>
      <c r="BQ1889" s="1" t="s">
        <v>6271</v>
      </c>
      <c r="BV1889" s="1">
        <v>1.1</v>
      </c>
      <c r="EQ1889" s="9" t="s">
        <v>6270</v>
      </c>
      <c r="ER1889" s="21">
        <v>46045.301412037035</v>
      </c>
    </row>
    <row r="1890">
      <c r="A1890" s="9" t="s">
        <v>6272</v>
      </c>
      <c r="B1890" s="20" t="str">
        <f>IFERROR(__xludf.DUMMYFUNCTION("REGEXREPLACE(A1890, ""^https?://[^/]+"", """")"),"/wp-content/uploads/elementor/css/post-72779.css?ver=1768849101")</f>
        <v>/wp-content/uploads/elementor/css/post-72779.css?ver=1768849101</v>
      </c>
      <c r="F1890" s="1" t="s">
        <v>1016</v>
      </c>
      <c r="G1890" s="1">
        <v>200.0</v>
      </c>
      <c r="H1890" s="1" t="s">
        <v>966</v>
      </c>
      <c r="I1890" s="1" t="s">
        <v>967</v>
      </c>
      <c r="L1890" s="1">
        <v>0.0</v>
      </c>
      <c r="M1890" s="1">
        <v>0.0</v>
      </c>
      <c r="O1890" s="1">
        <v>0.0</v>
      </c>
      <c r="P1890" s="1">
        <v>0.0</v>
      </c>
      <c r="R1890" s="1">
        <v>0.0</v>
      </c>
      <c r="S1890" s="1">
        <v>0.0</v>
      </c>
      <c r="U1890" s="1">
        <v>0.0</v>
      </c>
      <c r="W1890" s="1">
        <v>0.0</v>
      </c>
      <c r="Y1890" s="1">
        <v>0.0</v>
      </c>
      <c r="AA1890" s="1">
        <v>0.0</v>
      </c>
      <c r="AC1890" s="1">
        <v>0.0</v>
      </c>
      <c r="AM1890" s="1">
        <v>69.0</v>
      </c>
      <c r="AN1890" s="1">
        <v>69.0</v>
      </c>
      <c r="AO1890" s="1">
        <v>69.0</v>
      </c>
      <c r="AP1890" s="1">
        <v>0.026</v>
      </c>
      <c r="AR1890" s="1">
        <v>0.0</v>
      </c>
      <c r="AW1890" s="1">
        <v>0.0</v>
      </c>
      <c r="AX1890" s="1">
        <v>4.0</v>
      </c>
      <c r="AY1890" s="1">
        <v>4.0</v>
      </c>
      <c r="BA1890" s="1">
        <v>0.0</v>
      </c>
      <c r="BB1890" s="1">
        <v>0.0</v>
      </c>
      <c r="BC1890" s="1">
        <v>0.0</v>
      </c>
      <c r="BD1890" s="1">
        <v>0.0</v>
      </c>
      <c r="BE1890" s="1">
        <v>0.0</v>
      </c>
      <c r="BF1890" s="1">
        <v>0.0</v>
      </c>
      <c r="BG1890" s="1">
        <v>0.0</v>
      </c>
      <c r="BH1890" s="1">
        <v>0.0</v>
      </c>
      <c r="BI1890" s="1">
        <v>0.0</v>
      </c>
      <c r="BJ1890" s="1">
        <v>0.0</v>
      </c>
      <c r="BP1890" s="1">
        <v>0.282</v>
      </c>
      <c r="BQ1890" s="1" t="s">
        <v>6273</v>
      </c>
      <c r="BV1890" s="1">
        <v>1.1</v>
      </c>
      <c r="EQ1890" s="9" t="s">
        <v>6272</v>
      </c>
      <c r="ER1890" s="21">
        <v>46045.301412037035</v>
      </c>
    </row>
    <row r="1891">
      <c r="A1891" s="9" t="s">
        <v>6274</v>
      </c>
      <c r="B1891" s="20" t="str">
        <f>IFERROR(__xludf.DUMMYFUNCTION("REGEXREPLACE(A1891, ""^https?://[^/]+"", """")"),"/3-steps-for-achieving-greater-sales/")</f>
        <v>/3-steps-for-achieving-greater-sales/</v>
      </c>
      <c r="C1891" s="1" t="s">
        <v>6275</v>
      </c>
      <c r="F1891" s="1" t="s">
        <v>965</v>
      </c>
      <c r="G1891" s="1">
        <v>200.0</v>
      </c>
      <c r="H1891" s="1" t="s">
        <v>966</v>
      </c>
      <c r="I1891" s="1" t="s">
        <v>967</v>
      </c>
      <c r="K1891" s="1" t="s">
        <v>6276</v>
      </c>
      <c r="L1891" s="1">
        <v>60.0</v>
      </c>
      <c r="M1891" s="1">
        <v>531.0</v>
      </c>
      <c r="O1891" s="1">
        <v>0.0</v>
      </c>
      <c r="P1891" s="1">
        <v>0.0</v>
      </c>
      <c r="Q1891" s="1" t="s">
        <v>6277</v>
      </c>
      <c r="R1891" s="1">
        <v>128.0</v>
      </c>
      <c r="S1891" s="1">
        <v>785.0</v>
      </c>
      <c r="U1891" s="1">
        <v>0.0</v>
      </c>
      <c r="V1891" s="1" t="s">
        <v>6275</v>
      </c>
      <c r="W1891" s="1">
        <v>35.0</v>
      </c>
      <c r="Y1891" s="1">
        <v>0.0</v>
      </c>
      <c r="AA1891" s="1">
        <v>0.0</v>
      </c>
      <c r="AC1891" s="1">
        <v>0.0</v>
      </c>
      <c r="AD1891" s="1" t="s">
        <v>971</v>
      </c>
      <c r="AG1891" s="9" t="s">
        <v>6274</v>
      </c>
      <c r="AM1891" s="1">
        <v>204210.0</v>
      </c>
      <c r="AN1891" s="1">
        <v>36657.0</v>
      </c>
      <c r="AO1891" s="1">
        <v>36657.0</v>
      </c>
      <c r="AP1891" s="1">
        <v>14.043</v>
      </c>
      <c r="AR1891" s="1">
        <v>1451.0</v>
      </c>
      <c r="AS1891" s="1">
        <v>201.0</v>
      </c>
      <c r="AT1891" s="1">
        <v>7.219</v>
      </c>
      <c r="AU1891" s="1">
        <v>56.253</v>
      </c>
      <c r="AV1891" s="1" t="s">
        <v>972</v>
      </c>
      <c r="AW1891" s="1">
        <v>5.713</v>
      </c>
      <c r="AX1891" s="1">
        <v>4.0</v>
      </c>
      <c r="AY1891" s="1">
        <v>1.0</v>
      </c>
      <c r="AZ1891" s="1">
        <v>1.0</v>
      </c>
      <c r="BA1891" s="1">
        <v>3.0</v>
      </c>
      <c r="BB1891" s="1">
        <v>2.0</v>
      </c>
      <c r="BC1891" s="1">
        <v>0.0</v>
      </c>
      <c r="BD1891" s="1">
        <v>0.27</v>
      </c>
      <c r="BE1891" s="1">
        <v>131.0</v>
      </c>
      <c r="BF1891" s="1">
        <v>48.0</v>
      </c>
      <c r="BG1891" s="1">
        <v>0.0</v>
      </c>
      <c r="BH1891" s="1">
        <v>16.0</v>
      </c>
      <c r="BI1891" s="1">
        <v>8.0</v>
      </c>
      <c r="BJ1891" s="1">
        <v>0.0</v>
      </c>
      <c r="BO1891" s="1" t="s">
        <v>6278</v>
      </c>
      <c r="BP1891" s="1">
        <v>1.241</v>
      </c>
      <c r="BU1891" s="1" t="s">
        <v>974</v>
      </c>
      <c r="BV1891" s="1">
        <v>1.1</v>
      </c>
      <c r="EQ1891" s="9" t="s">
        <v>6274</v>
      </c>
      <c r="ER1891" s="21">
        <v>46045.301400462966</v>
      </c>
    </row>
    <row r="1892">
      <c r="A1892" s="9" t="s">
        <v>6279</v>
      </c>
      <c r="B1892" s="20" t="str">
        <f>IFERROR(__xludf.DUMMYFUNCTION("REGEXREPLACE(A1892, ""^https?://[^/]+"", """")"),"/the-success-formula-for-your-next-chapter-as-a-sales-leadership-professional/")</f>
        <v>/the-success-formula-for-your-next-chapter-as-a-sales-leadership-professional/</v>
      </c>
      <c r="C1892" s="1" t="s">
        <v>6280</v>
      </c>
      <c r="D1892" s="1" t="s">
        <v>6281</v>
      </c>
      <c r="E1892" s="1" t="s">
        <v>6282</v>
      </c>
      <c r="F1892" s="1" t="s">
        <v>965</v>
      </c>
      <c r="G1892" s="1">
        <v>200.0</v>
      </c>
      <c r="H1892" s="1" t="s">
        <v>966</v>
      </c>
      <c r="I1892" s="1" t="s">
        <v>1214</v>
      </c>
      <c r="J1892" s="1" t="s">
        <v>1215</v>
      </c>
      <c r="K1892" s="1" t="s">
        <v>6283</v>
      </c>
      <c r="L1892" s="1">
        <v>101.0</v>
      </c>
      <c r="M1892" s="1">
        <v>923.0</v>
      </c>
      <c r="O1892" s="1">
        <v>0.0</v>
      </c>
      <c r="P1892" s="1">
        <v>0.0</v>
      </c>
      <c r="Q1892" s="1" t="s">
        <v>6284</v>
      </c>
      <c r="R1892" s="1">
        <v>156.0</v>
      </c>
      <c r="S1892" s="1">
        <v>955.0</v>
      </c>
      <c r="U1892" s="1">
        <v>0.0</v>
      </c>
      <c r="V1892" s="1" t="s">
        <v>6280</v>
      </c>
      <c r="W1892" s="1">
        <v>76.0</v>
      </c>
      <c r="Y1892" s="1">
        <v>0.0</v>
      </c>
      <c r="Z1892" s="1" t="s">
        <v>6281</v>
      </c>
      <c r="AA1892" s="1">
        <v>61.0</v>
      </c>
      <c r="AB1892" s="1" t="s">
        <v>6282</v>
      </c>
      <c r="AC1892" s="1">
        <v>61.0</v>
      </c>
      <c r="AD1892" s="1" t="s">
        <v>971</v>
      </c>
      <c r="AG1892" s="9" t="s">
        <v>6226</v>
      </c>
      <c r="AM1892" s="1">
        <v>203757.0</v>
      </c>
      <c r="AN1892" s="1">
        <v>36622.0</v>
      </c>
      <c r="AO1892" s="1">
        <v>36622.0</v>
      </c>
      <c r="AP1892" s="1">
        <v>14.029</v>
      </c>
      <c r="AR1892" s="1">
        <v>1467.0</v>
      </c>
      <c r="AS1892" s="1">
        <v>219.0</v>
      </c>
      <c r="AT1892" s="1">
        <v>6.699</v>
      </c>
      <c r="AU1892" s="1">
        <v>61.17</v>
      </c>
      <c r="AV1892" s="1" t="s">
        <v>990</v>
      </c>
      <c r="AW1892" s="1">
        <v>5.656</v>
      </c>
      <c r="AX1892" s="1">
        <v>4.0</v>
      </c>
      <c r="AY1892" s="1">
        <v>1.0</v>
      </c>
      <c r="BA1892" s="1">
        <v>4.0</v>
      </c>
      <c r="BB1892" s="1">
        <v>2.0</v>
      </c>
      <c r="BC1892" s="1">
        <v>0.0</v>
      </c>
      <c r="BD1892" s="1">
        <v>0.27</v>
      </c>
      <c r="BE1892" s="1">
        <v>132.0</v>
      </c>
      <c r="BF1892" s="1">
        <v>48.0</v>
      </c>
      <c r="BG1892" s="1">
        <v>0.0</v>
      </c>
      <c r="BH1892" s="1">
        <v>16.0</v>
      </c>
      <c r="BI1892" s="1">
        <v>8.0</v>
      </c>
      <c r="BJ1892" s="1">
        <v>0.0</v>
      </c>
      <c r="BO1892" s="1" t="s">
        <v>6285</v>
      </c>
      <c r="BP1892" s="1">
        <v>1.368</v>
      </c>
      <c r="BU1892" s="1" t="s">
        <v>974</v>
      </c>
      <c r="BV1892" s="1">
        <v>1.1</v>
      </c>
      <c r="EQ1892" s="9" t="s">
        <v>6279</v>
      </c>
      <c r="ER1892" s="21">
        <v>46045.301400462966</v>
      </c>
    </row>
    <row r="1893">
      <c r="A1893" s="9" t="s">
        <v>6286</v>
      </c>
      <c r="B1893" s="20" t="str">
        <f>IFERROR(__xludf.DUMMYFUNCTION("REGEXREPLACE(A1893, ""^https?://[^/]+"", """")"),"/infographics/job-description-template/")</f>
        <v>/infographics/job-description-template/</v>
      </c>
      <c r="F1893" s="1" t="s">
        <v>965</v>
      </c>
      <c r="G1893" s="1">
        <v>302.0</v>
      </c>
      <c r="H1893" s="1" t="s">
        <v>2980</v>
      </c>
      <c r="I1893" s="1" t="s">
        <v>1214</v>
      </c>
      <c r="J1893" s="1" t="s">
        <v>1305</v>
      </c>
      <c r="L1893" s="1">
        <v>0.0</v>
      </c>
      <c r="M1893" s="1">
        <v>0.0</v>
      </c>
      <c r="O1893" s="1">
        <v>0.0</v>
      </c>
      <c r="P1893" s="1">
        <v>0.0</v>
      </c>
      <c r="R1893" s="1">
        <v>0.0</v>
      </c>
      <c r="S1893" s="1">
        <v>0.0</v>
      </c>
      <c r="U1893" s="1">
        <v>0.0</v>
      </c>
      <c r="W1893" s="1">
        <v>0.0</v>
      </c>
      <c r="Y1893" s="1">
        <v>0.0</v>
      </c>
      <c r="AA1893" s="1">
        <v>0.0</v>
      </c>
      <c r="AC1893" s="1">
        <v>0.0</v>
      </c>
      <c r="AM1893" s="1">
        <v>0.0</v>
      </c>
      <c r="AN1893" s="1">
        <v>0.0</v>
      </c>
      <c r="AO1893" s="1">
        <v>0.0</v>
      </c>
      <c r="AP1893" s="1">
        <v>0.0</v>
      </c>
      <c r="AR1893" s="1">
        <v>0.0</v>
      </c>
      <c r="AW1893" s="1">
        <v>0.0</v>
      </c>
      <c r="AX1893" s="1">
        <v>4.0</v>
      </c>
      <c r="AY1893" s="1">
        <v>2.0</v>
      </c>
      <c r="BA1893" s="1">
        <v>2.0</v>
      </c>
      <c r="BB1893" s="1">
        <v>2.0</v>
      </c>
      <c r="BC1893" s="1">
        <v>0.0</v>
      </c>
      <c r="BD1893" s="1">
        <v>0.27</v>
      </c>
      <c r="BE1893" s="1">
        <v>0.0</v>
      </c>
      <c r="BF1893" s="1">
        <v>0.0</v>
      </c>
      <c r="BG1893" s="1">
        <v>0.0</v>
      </c>
      <c r="BH1893" s="1">
        <v>0.0</v>
      </c>
      <c r="BI1893" s="1">
        <v>0.0</v>
      </c>
      <c r="BJ1893" s="1">
        <v>0.0</v>
      </c>
      <c r="BP1893" s="1">
        <v>0.627</v>
      </c>
      <c r="BR1893" s="9" t="s">
        <v>6287</v>
      </c>
      <c r="BS1893" s="1" t="s">
        <v>1307</v>
      </c>
      <c r="BV1893" s="1">
        <v>1.1</v>
      </c>
      <c r="EQ1893" s="9" t="s">
        <v>6286</v>
      </c>
      <c r="ER1893" s="21">
        <v>46045.301412037035</v>
      </c>
    </row>
    <row r="1894">
      <c r="A1894" s="9" t="s">
        <v>6288</v>
      </c>
      <c r="B1894" s="20" t="str">
        <f>IFERROR(__xludf.DUMMYFUNCTION("REGEXREPLACE(A1894, ""^https?://[^/]+"", """")"),"/wp-content/uploads/2023/10/Download-Onboarding-Guides.jpg")</f>
        <v>/wp-content/uploads/2023/10/Download-Onboarding-Guides.jpg</v>
      </c>
      <c r="F1894" s="1" t="s">
        <v>1004</v>
      </c>
      <c r="G1894" s="1">
        <v>200.0</v>
      </c>
      <c r="H1894" s="1" t="s">
        <v>966</v>
      </c>
      <c r="I1894" s="1" t="s">
        <v>967</v>
      </c>
      <c r="L1894" s="1">
        <v>0.0</v>
      </c>
      <c r="M1894" s="1">
        <v>0.0</v>
      </c>
      <c r="O1894" s="1">
        <v>0.0</v>
      </c>
      <c r="P1894" s="1">
        <v>0.0</v>
      </c>
      <c r="R1894" s="1">
        <v>0.0</v>
      </c>
      <c r="S1894" s="1">
        <v>0.0</v>
      </c>
      <c r="U1894" s="1">
        <v>0.0</v>
      </c>
      <c r="W1894" s="1">
        <v>0.0</v>
      </c>
      <c r="Y1894" s="1">
        <v>0.0</v>
      </c>
      <c r="AA1894" s="1">
        <v>0.0</v>
      </c>
      <c r="AC1894" s="1">
        <v>0.0</v>
      </c>
      <c r="AM1894" s="1">
        <v>591379.0</v>
      </c>
      <c r="AN1894" s="1">
        <v>591379.0</v>
      </c>
      <c r="AO1894" s="1">
        <v>591379.0</v>
      </c>
      <c r="AP1894" s="1">
        <v>226.546</v>
      </c>
      <c r="AR1894" s="1">
        <v>0.0</v>
      </c>
      <c r="AW1894" s="1">
        <v>0.0</v>
      </c>
      <c r="AX1894" s="1">
        <v>4.0</v>
      </c>
      <c r="AY1894" s="1">
        <v>4.0</v>
      </c>
      <c r="BA1894" s="1">
        <v>0.0</v>
      </c>
      <c r="BB1894" s="1">
        <v>0.0</v>
      </c>
      <c r="BC1894" s="1">
        <v>0.0</v>
      </c>
      <c r="BD1894" s="1">
        <v>0.0</v>
      </c>
      <c r="BE1894" s="1">
        <v>0.0</v>
      </c>
      <c r="BF1894" s="1">
        <v>0.0</v>
      </c>
      <c r="BG1894" s="1">
        <v>0.0</v>
      </c>
      <c r="BH1894" s="1">
        <v>0.0</v>
      </c>
      <c r="BI1894" s="1">
        <v>0.0</v>
      </c>
      <c r="BJ1894" s="1">
        <v>0.0</v>
      </c>
      <c r="BP1894" s="1">
        <v>0.277</v>
      </c>
      <c r="BQ1894" s="1" t="s">
        <v>6289</v>
      </c>
      <c r="BV1894" s="1">
        <v>1.1</v>
      </c>
      <c r="EQ1894" s="9" t="s">
        <v>6288</v>
      </c>
      <c r="ER1894" s="21">
        <v>46045.30142361111</v>
      </c>
    </row>
    <row r="1895">
      <c r="A1895" s="9" t="s">
        <v>6290</v>
      </c>
      <c r="B1895" s="20" t="str">
        <f>IFERROR(__xludf.DUMMYFUNCTION("REGEXREPLACE(A1895, ""^https?://[^/]+"", """")"),"/wp-content/uploads/2016/08/Life-support-2048x2048.png")</f>
        <v>/wp-content/uploads/2016/08/Life-support-2048x2048.png</v>
      </c>
      <c r="F1895" s="1" t="s">
        <v>1047</v>
      </c>
      <c r="G1895" s="1">
        <v>200.0</v>
      </c>
      <c r="H1895" s="1" t="s">
        <v>966</v>
      </c>
      <c r="I1895" s="1" t="s">
        <v>967</v>
      </c>
      <c r="L1895" s="1">
        <v>0.0</v>
      </c>
      <c r="M1895" s="1">
        <v>0.0</v>
      </c>
      <c r="O1895" s="1">
        <v>0.0</v>
      </c>
      <c r="P1895" s="1">
        <v>0.0</v>
      </c>
      <c r="R1895" s="1">
        <v>0.0</v>
      </c>
      <c r="S1895" s="1">
        <v>0.0</v>
      </c>
      <c r="U1895" s="1">
        <v>0.0</v>
      </c>
      <c r="W1895" s="1">
        <v>0.0</v>
      </c>
      <c r="Y1895" s="1">
        <v>0.0</v>
      </c>
      <c r="AA1895" s="1">
        <v>0.0</v>
      </c>
      <c r="AC1895" s="1">
        <v>0.0</v>
      </c>
      <c r="AM1895" s="1">
        <v>140075.0</v>
      </c>
      <c r="AN1895" s="1">
        <v>140075.0</v>
      </c>
      <c r="AO1895" s="1">
        <v>140075.0</v>
      </c>
      <c r="AP1895" s="1">
        <v>53.66</v>
      </c>
      <c r="AR1895" s="1">
        <v>0.0</v>
      </c>
      <c r="AW1895" s="1">
        <v>0.0</v>
      </c>
      <c r="AX1895" s="1">
        <v>4.0</v>
      </c>
      <c r="AY1895" s="1">
        <v>4.0</v>
      </c>
      <c r="BA1895" s="1">
        <v>0.0</v>
      </c>
      <c r="BB1895" s="1">
        <v>0.0</v>
      </c>
      <c r="BC1895" s="1">
        <v>0.0</v>
      </c>
      <c r="BD1895" s="1">
        <v>0.0</v>
      </c>
      <c r="BE1895" s="1">
        <v>0.0</v>
      </c>
      <c r="BF1895" s="1">
        <v>0.0</v>
      </c>
      <c r="BG1895" s="1">
        <v>0.0</v>
      </c>
      <c r="BH1895" s="1">
        <v>0.0</v>
      </c>
      <c r="BI1895" s="1">
        <v>0.0</v>
      </c>
      <c r="BJ1895" s="1">
        <v>0.0</v>
      </c>
      <c r="BP1895" s="1">
        <v>0.283</v>
      </c>
      <c r="BQ1895" s="1" t="s">
        <v>6291</v>
      </c>
      <c r="BV1895" s="1">
        <v>1.1</v>
      </c>
      <c r="EQ1895" s="9" t="s">
        <v>6290</v>
      </c>
      <c r="ER1895" s="21">
        <v>46045.30142361111</v>
      </c>
    </row>
    <row r="1896">
      <c r="A1896" s="9" t="s">
        <v>6292</v>
      </c>
      <c r="B1896" s="20" t="str">
        <f>IFERROR(__xludf.DUMMYFUNCTION("REGEXREPLACE(A1896, ""^https?://[^/]+"", """")"),"/wp-content/uploads/2023/10/Hire-Top-Sales-Talent.jpg")</f>
        <v>/wp-content/uploads/2023/10/Hire-Top-Sales-Talent.jpg</v>
      </c>
      <c r="F1896" s="1" t="s">
        <v>1004</v>
      </c>
      <c r="G1896" s="1">
        <v>200.0</v>
      </c>
      <c r="H1896" s="1" t="s">
        <v>966</v>
      </c>
      <c r="I1896" s="1" t="s">
        <v>967</v>
      </c>
      <c r="L1896" s="1">
        <v>0.0</v>
      </c>
      <c r="M1896" s="1">
        <v>0.0</v>
      </c>
      <c r="O1896" s="1">
        <v>0.0</v>
      </c>
      <c r="P1896" s="1">
        <v>0.0</v>
      </c>
      <c r="R1896" s="1">
        <v>0.0</v>
      </c>
      <c r="S1896" s="1">
        <v>0.0</v>
      </c>
      <c r="U1896" s="1">
        <v>0.0</v>
      </c>
      <c r="W1896" s="1">
        <v>0.0</v>
      </c>
      <c r="Y1896" s="1">
        <v>0.0</v>
      </c>
      <c r="AA1896" s="1">
        <v>0.0</v>
      </c>
      <c r="AC1896" s="1">
        <v>0.0</v>
      </c>
      <c r="AM1896" s="1">
        <v>1020928.0</v>
      </c>
      <c r="AN1896" s="1">
        <v>1020928.0</v>
      </c>
      <c r="AO1896" s="1">
        <v>1020928.0</v>
      </c>
      <c r="AP1896" s="1">
        <v>391.098</v>
      </c>
      <c r="AR1896" s="1">
        <v>0.0</v>
      </c>
      <c r="AW1896" s="1">
        <v>0.0</v>
      </c>
      <c r="AX1896" s="1">
        <v>4.0</v>
      </c>
      <c r="AY1896" s="1">
        <v>4.0</v>
      </c>
      <c r="BA1896" s="1">
        <v>0.0</v>
      </c>
      <c r="BB1896" s="1">
        <v>0.0</v>
      </c>
      <c r="BC1896" s="1">
        <v>0.0</v>
      </c>
      <c r="BD1896" s="1">
        <v>0.0</v>
      </c>
      <c r="BE1896" s="1">
        <v>0.0</v>
      </c>
      <c r="BF1896" s="1">
        <v>0.0</v>
      </c>
      <c r="BG1896" s="1">
        <v>0.0</v>
      </c>
      <c r="BH1896" s="1">
        <v>0.0</v>
      </c>
      <c r="BI1896" s="1">
        <v>0.0</v>
      </c>
      <c r="BJ1896" s="1">
        <v>0.0</v>
      </c>
      <c r="BP1896" s="1">
        <v>0.273</v>
      </c>
      <c r="BQ1896" s="1" t="s">
        <v>6293</v>
      </c>
      <c r="BV1896" s="1">
        <v>1.1</v>
      </c>
      <c r="EQ1896" s="9" t="s">
        <v>6292</v>
      </c>
      <c r="ER1896" s="21">
        <v>46045.30142361111</v>
      </c>
    </row>
    <row r="1897">
      <c r="A1897" s="9" t="s">
        <v>6294</v>
      </c>
      <c r="B1897" s="20" t="str">
        <f>IFERROR(__xludf.DUMMYFUNCTION("REGEXREPLACE(A1897, ""^https?://[^/]+"", """")"),"/wp-content/uploads/2016/04/sales-compensation-plan-part-2-2048x2048.jpg")</f>
        <v>/wp-content/uploads/2016/04/sales-compensation-plan-part-2-2048x2048.jpg</v>
      </c>
      <c r="F1897" s="1" t="s">
        <v>1004</v>
      </c>
      <c r="G1897" s="1">
        <v>200.0</v>
      </c>
      <c r="H1897" s="1" t="s">
        <v>966</v>
      </c>
      <c r="I1897" s="1" t="s">
        <v>967</v>
      </c>
      <c r="L1897" s="1">
        <v>0.0</v>
      </c>
      <c r="M1897" s="1">
        <v>0.0</v>
      </c>
      <c r="O1897" s="1">
        <v>0.0</v>
      </c>
      <c r="P1897" s="1">
        <v>0.0</v>
      </c>
      <c r="R1897" s="1">
        <v>0.0</v>
      </c>
      <c r="S1897" s="1">
        <v>0.0</v>
      </c>
      <c r="U1897" s="1">
        <v>0.0</v>
      </c>
      <c r="W1897" s="1">
        <v>0.0</v>
      </c>
      <c r="Y1897" s="1">
        <v>0.0</v>
      </c>
      <c r="AA1897" s="1">
        <v>0.0</v>
      </c>
      <c r="AC1897" s="1">
        <v>0.0</v>
      </c>
      <c r="AM1897" s="1">
        <v>152685.0</v>
      </c>
      <c r="AN1897" s="1">
        <v>152685.0</v>
      </c>
      <c r="AO1897" s="1">
        <v>152685.0</v>
      </c>
      <c r="AP1897" s="1">
        <v>58.491</v>
      </c>
      <c r="AR1897" s="1">
        <v>0.0</v>
      </c>
      <c r="AW1897" s="1">
        <v>0.0</v>
      </c>
      <c r="AX1897" s="1">
        <v>4.0</v>
      </c>
      <c r="AY1897" s="1">
        <v>4.0</v>
      </c>
      <c r="BA1897" s="1">
        <v>0.0</v>
      </c>
      <c r="BB1897" s="1">
        <v>0.0</v>
      </c>
      <c r="BC1897" s="1">
        <v>0.0</v>
      </c>
      <c r="BD1897" s="1">
        <v>0.0</v>
      </c>
      <c r="BE1897" s="1">
        <v>0.0</v>
      </c>
      <c r="BF1897" s="1">
        <v>0.0</v>
      </c>
      <c r="BG1897" s="1">
        <v>0.0</v>
      </c>
      <c r="BH1897" s="1">
        <v>0.0</v>
      </c>
      <c r="BI1897" s="1">
        <v>0.0</v>
      </c>
      <c r="BJ1897" s="1">
        <v>0.0</v>
      </c>
      <c r="BP1897" s="1">
        <v>0.283</v>
      </c>
      <c r="BQ1897" s="1" t="s">
        <v>6295</v>
      </c>
      <c r="BV1897" s="1">
        <v>1.1</v>
      </c>
      <c r="EQ1897" s="9" t="s">
        <v>6294</v>
      </c>
      <c r="ER1897" s="21">
        <v>46045.30142361111</v>
      </c>
    </row>
    <row r="1898">
      <c r="A1898" s="9" t="s">
        <v>6296</v>
      </c>
      <c r="B1898" s="20" t="str">
        <f>IFERROR(__xludf.DUMMYFUNCTION("REGEXREPLACE(A1898, ""^https?://[^/]+"", """")"),"/wp-content/uploads/2017/07/shutterstock_392367181-1-2048x2048.jpg")</f>
        <v>/wp-content/uploads/2017/07/shutterstock_392367181-1-2048x2048.jpg</v>
      </c>
      <c r="F1898" s="1" t="s">
        <v>1004</v>
      </c>
      <c r="G1898" s="1">
        <v>200.0</v>
      </c>
      <c r="H1898" s="1" t="s">
        <v>966</v>
      </c>
      <c r="I1898" s="1" t="s">
        <v>967</v>
      </c>
      <c r="L1898" s="1">
        <v>0.0</v>
      </c>
      <c r="M1898" s="1">
        <v>0.0</v>
      </c>
      <c r="O1898" s="1">
        <v>0.0</v>
      </c>
      <c r="P1898" s="1">
        <v>0.0</v>
      </c>
      <c r="R1898" s="1">
        <v>0.0</v>
      </c>
      <c r="S1898" s="1">
        <v>0.0</v>
      </c>
      <c r="U1898" s="1">
        <v>0.0</v>
      </c>
      <c r="W1898" s="1">
        <v>0.0</v>
      </c>
      <c r="Y1898" s="1">
        <v>0.0</v>
      </c>
      <c r="AA1898" s="1">
        <v>0.0</v>
      </c>
      <c r="AC1898" s="1">
        <v>0.0</v>
      </c>
      <c r="AM1898" s="1">
        <v>269879.0</v>
      </c>
      <c r="AN1898" s="1">
        <v>269879.0</v>
      </c>
      <c r="AO1898" s="1">
        <v>269879.0</v>
      </c>
      <c r="AP1898" s="1">
        <v>103.386</v>
      </c>
      <c r="AR1898" s="1">
        <v>0.0</v>
      </c>
      <c r="AW1898" s="1">
        <v>0.0</v>
      </c>
      <c r="AX1898" s="1">
        <v>4.0</v>
      </c>
      <c r="AY1898" s="1">
        <v>4.0</v>
      </c>
      <c r="BA1898" s="1">
        <v>0.0</v>
      </c>
      <c r="BB1898" s="1">
        <v>0.0</v>
      </c>
      <c r="BC1898" s="1">
        <v>0.0</v>
      </c>
      <c r="BD1898" s="1">
        <v>0.0</v>
      </c>
      <c r="BE1898" s="1">
        <v>0.0</v>
      </c>
      <c r="BF1898" s="1">
        <v>0.0</v>
      </c>
      <c r="BG1898" s="1">
        <v>0.0</v>
      </c>
      <c r="BH1898" s="1">
        <v>0.0</v>
      </c>
      <c r="BI1898" s="1">
        <v>0.0</v>
      </c>
      <c r="BJ1898" s="1">
        <v>0.0</v>
      </c>
      <c r="BP1898" s="1">
        <v>0.264</v>
      </c>
      <c r="BQ1898" s="1" t="s">
        <v>6297</v>
      </c>
      <c r="BV1898" s="1">
        <v>1.1</v>
      </c>
      <c r="EQ1898" s="9" t="s">
        <v>6296</v>
      </c>
      <c r="ER1898" s="21">
        <v>46045.30142361111</v>
      </c>
    </row>
    <row r="1899">
      <c r="A1899" s="9" t="s">
        <v>6298</v>
      </c>
      <c r="B1899" s="20" t="str">
        <f>IFERROR(__xludf.DUMMYFUNCTION("REGEXREPLACE(A1899, ""^https?://[^/]+"", """")"),"/wp-content/themes/salesxceleratione/assets/css/style.css?ver=1769123521")</f>
        <v>/wp-content/themes/salesxceleratione/assets/css/style.css?ver=1769123521</v>
      </c>
      <c r="F1899" s="1" t="s">
        <v>1016</v>
      </c>
      <c r="G1899" s="1">
        <v>200.0</v>
      </c>
      <c r="H1899" s="1" t="s">
        <v>966</v>
      </c>
      <c r="I1899" s="1" t="s">
        <v>967</v>
      </c>
      <c r="L1899" s="1">
        <v>0.0</v>
      </c>
      <c r="M1899" s="1">
        <v>0.0</v>
      </c>
      <c r="O1899" s="1">
        <v>0.0</v>
      </c>
      <c r="P1899" s="1">
        <v>0.0</v>
      </c>
      <c r="R1899" s="1">
        <v>0.0</v>
      </c>
      <c r="S1899" s="1">
        <v>0.0</v>
      </c>
      <c r="U1899" s="1">
        <v>0.0</v>
      </c>
      <c r="W1899" s="1">
        <v>0.0</v>
      </c>
      <c r="Y1899" s="1">
        <v>0.0</v>
      </c>
      <c r="AA1899" s="1">
        <v>0.0</v>
      </c>
      <c r="AC1899" s="1">
        <v>0.0</v>
      </c>
      <c r="AM1899" s="1">
        <v>17704.0</v>
      </c>
      <c r="AN1899" s="1">
        <v>17704.0</v>
      </c>
      <c r="AO1899" s="1">
        <v>17704.0</v>
      </c>
      <c r="AP1899" s="1">
        <v>6.782</v>
      </c>
      <c r="AR1899" s="1">
        <v>0.0</v>
      </c>
      <c r="AW1899" s="1">
        <v>0.0</v>
      </c>
      <c r="AX1899" s="1">
        <v>4.0</v>
      </c>
      <c r="AY1899" s="1">
        <v>5.0</v>
      </c>
      <c r="BA1899" s="1">
        <v>0.0</v>
      </c>
      <c r="BB1899" s="1">
        <v>0.0</v>
      </c>
      <c r="BC1899" s="1">
        <v>0.0</v>
      </c>
      <c r="BD1899" s="1">
        <v>0.0</v>
      </c>
      <c r="BE1899" s="1">
        <v>0.0</v>
      </c>
      <c r="BF1899" s="1">
        <v>0.0</v>
      </c>
      <c r="BG1899" s="1">
        <v>0.0</v>
      </c>
      <c r="BH1899" s="1">
        <v>0.0</v>
      </c>
      <c r="BI1899" s="1">
        <v>0.0</v>
      </c>
      <c r="BJ1899" s="1">
        <v>0.0</v>
      </c>
      <c r="BP1899" s="1">
        <v>0.277</v>
      </c>
      <c r="BQ1899" s="1" t="s">
        <v>6299</v>
      </c>
      <c r="BV1899" s="1">
        <v>1.1</v>
      </c>
      <c r="EQ1899" s="9" t="s">
        <v>6298</v>
      </c>
      <c r="ER1899" s="21">
        <v>46045.30142361111</v>
      </c>
    </row>
    <row r="1900">
      <c r="A1900" s="9" t="s">
        <v>6300</v>
      </c>
      <c r="B1900" s="20" t="str">
        <f>IFERROR(__xludf.DUMMYFUNCTION("REGEXREPLACE(A1900, ""^https?://[^/]+"", """")"),"/cant-get-no-sales-satisfaction-sales-lessons-learned-rolling-stones-part-2/")</f>
        <v>/cant-get-no-sales-satisfaction-sales-lessons-learned-rolling-stones-part-2/</v>
      </c>
      <c r="C1900" s="1" t="s">
        <v>6301</v>
      </c>
      <c r="F1900" s="1" t="s">
        <v>965</v>
      </c>
      <c r="G1900" s="1">
        <v>200.0</v>
      </c>
      <c r="H1900" s="1" t="s">
        <v>966</v>
      </c>
      <c r="I1900" s="1" t="s">
        <v>967</v>
      </c>
      <c r="K1900" s="1" t="s">
        <v>6302</v>
      </c>
      <c r="L1900" s="1">
        <v>141.0</v>
      </c>
      <c r="M1900" s="1">
        <v>1240.0</v>
      </c>
      <c r="O1900" s="1">
        <v>0.0</v>
      </c>
      <c r="P1900" s="1">
        <v>0.0</v>
      </c>
      <c r="Q1900" s="1" t="s">
        <v>6303</v>
      </c>
      <c r="R1900" s="1">
        <v>132.0</v>
      </c>
      <c r="S1900" s="1">
        <v>821.0</v>
      </c>
      <c r="U1900" s="1">
        <v>0.0</v>
      </c>
      <c r="V1900" s="1" t="s">
        <v>6301</v>
      </c>
      <c r="W1900" s="1">
        <v>116.0</v>
      </c>
      <c r="Y1900" s="1">
        <v>0.0</v>
      </c>
      <c r="AA1900" s="1">
        <v>0.0</v>
      </c>
      <c r="AC1900" s="1">
        <v>0.0</v>
      </c>
      <c r="AD1900" s="1" t="s">
        <v>971</v>
      </c>
      <c r="AG1900" s="9" t="s">
        <v>6300</v>
      </c>
      <c r="AM1900" s="1">
        <v>201126.0</v>
      </c>
      <c r="AN1900" s="1">
        <v>35362.0</v>
      </c>
      <c r="AO1900" s="1">
        <v>35362.0</v>
      </c>
      <c r="AP1900" s="1">
        <v>13.547</v>
      </c>
      <c r="AR1900" s="1">
        <v>1117.0</v>
      </c>
      <c r="AS1900" s="1">
        <v>173.0</v>
      </c>
      <c r="AT1900" s="1">
        <v>6.457</v>
      </c>
      <c r="AU1900" s="1">
        <v>69.329</v>
      </c>
      <c r="AV1900" s="1" t="s">
        <v>990</v>
      </c>
      <c r="AW1900" s="1">
        <v>4.493</v>
      </c>
      <c r="AX1900" s="1">
        <v>4.0</v>
      </c>
      <c r="AY1900" s="1">
        <v>1.0</v>
      </c>
      <c r="AZ1900" s="1">
        <v>1.0</v>
      </c>
      <c r="BA1900" s="1">
        <v>2.0</v>
      </c>
      <c r="BB1900" s="1">
        <v>2.0</v>
      </c>
      <c r="BC1900" s="1">
        <v>0.0</v>
      </c>
      <c r="BD1900" s="1">
        <v>0.27</v>
      </c>
      <c r="BE1900" s="1">
        <v>130.0</v>
      </c>
      <c r="BF1900" s="1">
        <v>48.0</v>
      </c>
      <c r="BG1900" s="1">
        <v>0.0</v>
      </c>
      <c r="BH1900" s="1">
        <v>16.0</v>
      </c>
      <c r="BI1900" s="1">
        <v>8.0</v>
      </c>
      <c r="BJ1900" s="1">
        <v>0.0</v>
      </c>
      <c r="BO1900" s="1" t="s">
        <v>6304</v>
      </c>
      <c r="BP1900" s="1">
        <v>0.995</v>
      </c>
      <c r="BU1900" s="1" t="s">
        <v>974</v>
      </c>
      <c r="BV1900" s="1">
        <v>1.1</v>
      </c>
      <c r="EQ1900" s="9" t="s">
        <v>6300</v>
      </c>
      <c r="ER1900" s="21">
        <v>46045.30142361111</v>
      </c>
    </row>
    <row r="1901">
      <c r="A1901" s="9" t="s">
        <v>6305</v>
      </c>
      <c r="B1901" s="20" t="str">
        <f>IFERROR(__xludf.DUMMYFUNCTION("REGEXREPLACE(A1901, ""^https?://[^/]+"", """")"),"/wp-content/uploads/2017/04/RSpt2-1-2048x2048.jpg")</f>
        <v>/wp-content/uploads/2017/04/RSpt2-1-2048x2048.jpg</v>
      </c>
      <c r="F1901" s="1" t="s">
        <v>1004</v>
      </c>
      <c r="G1901" s="1">
        <v>200.0</v>
      </c>
      <c r="H1901" s="1" t="s">
        <v>966</v>
      </c>
      <c r="I1901" s="1" t="s">
        <v>967</v>
      </c>
      <c r="L1901" s="1">
        <v>0.0</v>
      </c>
      <c r="M1901" s="1">
        <v>0.0</v>
      </c>
      <c r="O1901" s="1">
        <v>0.0</v>
      </c>
      <c r="P1901" s="1">
        <v>0.0</v>
      </c>
      <c r="R1901" s="1">
        <v>0.0</v>
      </c>
      <c r="S1901" s="1">
        <v>0.0</v>
      </c>
      <c r="U1901" s="1">
        <v>0.0</v>
      </c>
      <c r="W1901" s="1">
        <v>0.0</v>
      </c>
      <c r="Y1901" s="1">
        <v>0.0</v>
      </c>
      <c r="AA1901" s="1">
        <v>0.0</v>
      </c>
      <c r="AC1901" s="1">
        <v>0.0</v>
      </c>
      <c r="AM1901" s="1">
        <v>367745.0</v>
      </c>
      <c r="AN1901" s="1">
        <v>367745.0</v>
      </c>
      <c r="AO1901" s="1">
        <v>367745.0</v>
      </c>
      <c r="AP1901" s="1">
        <v>140.876</v>
      </c>
      <c r="AR1901" s="1">
        <v>0.0</v>
      </c>
      <c r="AW1901" s="1">
        <v>0.0</v>
      </c>
      <c r="AX1901" s="1">
        <v>4.0</v>
      </c>
      <c r="AY1901" s="1">
        <v>4.0</v>
      </c>
      <c r="BA1901" s="1">
        <v>0.0</v>
      </c>
      <c r="BB1901" s="1">
        <v>0.0</v>
      </c>
      <c r="BC1901" s="1">
        <v>0.0</v>
      </c>
      <c r="BD1901" s="1">
        <v>0.0</v>
      </c>
      <c r="BE1901" s="1">
        <v>0.0</v>
      </c>
      <c r="BF1901" s="1">
        <v>0.0</v>
      </c>
      <c r="BG1901" s="1">
        <v>0.0</v>
      </c>
      <c r="BH1901" s="1">
        <v>0.0</v>
      </c>
      <c r="BI1901" s="1">
        <v>0.0</v>
      </c>
      <c r="BJ1901" s="1">
        <v>0.0</v>
      </c>
      <c r="BP1901" s="1">
        <v>0.277</v>
      </c>
      <c r="BQ1901" s="1" t="s">
        <v>6306</v>
      </c>
      <c r="BV1901" s="1">
        <v>1.1</v>
      </c>
      <c r="EQ1901" s="9" t="s">
        <v>6305</v>
      </c>
      <c r="ER1901" s="21">
        <v>46045.30143518518</v>
      </c>
    </row>
    <row r="1902">
      <c r="A1902" s="9" t="s">
        <v>6307</v>
      </c>
      <c r="B1902" s="20" t="str">
        <f>IFERROR(__xludf.DUMMYFUNCTION("REGEXREPLACE(A1902, ""^https?://[^/]+"", """")"),"/sales-compensation-plans-part-2-sales-comp-plan-look-like/")</f>
        <v>/sales-compensation-plans-part-2-sales-comp-plan-look-like/</v>
      </c>
      <c r="C1902" s="1" t="s">
        <v>6308</v>
      </c>
      <c r="F1902" s="1" t="s">
        <v>965</v>
      </c>
      <c r="G1902" s="1">
        <v>200.0</v>
      </c>
      <c r="H1902" s="1" t="s">
        <v>966</v>
      </c>
      <c r="I1902" s="1" t="s">
        <v>967</v>
      </c>
      <c r="K1902" s="1" t="s">
        <v>6309</v>
      </c>
      <c r="L1902" s="1">
        <v>102.0</v>
      </c>
      <c r="M1902" s="1">
        <v>925.0</v>
      </c>
      <c r="O1902" s="1">
        <v>0.0</v>
      </c>
      <c r="P1902" s="1">
        <v>0.0</v>
      </c>
      <c r="Q1902" s="1" t="s">
        <v>6310</v>
      </c>
      <c r="R1902" s="1">
        <v>115.0</v>
      </c>
      <c r="S1902" s="1">
        <v>725.0</v>
      </c>
      <c r="U1902" s="1">
        <v>0.0</v>
      </c>
      <c r="V1902" s="1" t="s">
        <v>6308</v>
      </c>
      <c r="W1902" s="1">
        <v>77.0</v>
      </c>
      <c r="Y1902" s="1">
        <v>0.0</v>
      </c>
      <c r="AA1902" s="1">
        <v>0.0</v>
      </c>
      <c r="AC1902" s="1">
        <v>0.0</v>
      </c>
      <c r="AD1902" s="1" t="s">
        <v>971</v>
      </c>
      <c r="AG1902" s="9" t="s">
        <v>6307</v>
      </c>
      <c r="AM1902" s="1">
        <v>195806.0</v>
      </c>
      <c r="AN1902" s="1">
        <v>33617.0</v>
      </c>
      <c r="AO1902" s="1">
        <v>33617.0</v>
      </c>
      <c r="AP1902" s="1">
        <v>12.878</v>
      </c>
      <c r="AR1902" s="1">
        <v>622.0</v>
      </c>
      <c r="AS1902" s="1">
        <v>104.0</v>
      </c>
      <c r="AT1902" s="1">
        <v>5.981</v>
      </c>
      <c r="AU1902" s="1">
        <v>64.344</v>
      </c>
      <c r="AV1902" s="1" t="s">
        <v>990</v>
      </c>
      <c r="AW1902" s="1">
        <v>3.152</v>
      </c>
      <c r="AX1902" s="1">
        <v>4.0</v>
      </c>
      <c r="AY1902" s="1">
        <v>1.0</v>
      </c>
      <c r="AZ1902" s="1">
        <v>1.0</v>
      </c>
      <c r="BA1902" s="1">
        <v>10.0</v>
      </c>
      <c r="BB1902" s="1">
        <v>8.0</v>
      </c>
      <c r="BC1902" s="1">
        <v>0.0</v>
      </c>
      <c r="BD1902" s="1">
        <v>1.06</v>
      </c>
      <c r="BE1902" s="1">
        <v>130.0</v>
      </c>
      <c r="BF1902" s="1">
        <v>48.0</v>
      </c>
      <c r="BG1902" s="1">
        <v>0.0</v>
      </c>
      <c r="BH1902" s="1">
        <v>17.0</v>
      </c>
      <c r="BI1902" s="1">
        <v>9.0</v>
      </c>
      <c r="BJ1902" s="1">
        <v>0.0</v>
      </c>
      <c r="BO1902" s="1" t="s">
        <v>6311</v>
      </c>
      <c r="BP1902" s="1">
        <v>1.006</v>
      </c>
      <c r="BU1902" s="1" t="s">
        <v>974</v>
      </c>
      <c r="BV1902" s="1">
        <v>1.1</v>
      </c>
      <c r="EQ1902" s="9" t="s">
        <v>6307</v>
      </c>
      <c r="ER1902" s="21">
        <v>46045.30142361111</v>
      </c>
    </row>
    <row r="1903">
      <c r="A1903" s="9" t="s">
        <v>6312</v>
      </c>
      <c r="B1903" s="20" t="str">
        <f>IFERROR(__xludf.DUMMYFUNCTION("REGEXREPLACE(A1903, ""^https?://[^/]+"", """")"),"/sales-compensation-plan-life-support/")</f>
        <v>/sales-compensation-plan-life-support/</v>
      </c>
      <c r="C1903" s="1" t="s">
        <v>6313</v>
      </c>
      <c r="F1903" s="1" t="s">
        <v>965</v>
      </c>
      <c r="G1903" s="1">
        <v>200.0</v>
      </c>
      <c r="H1903" s="1" t="s">
        <v>966</v>
      </c>
      <c r="I1903" s="1" t="s">
        <v>967</v>
      </c>
      <c r="K1903" s="1" t="s">
        <v>6314</v>
      </c>
      <c r="L1903" s="1">
        <v>72.0</v>
      </c>
      <c r="M1903" s="1">
        <v>657.0</v>
      </c>
      <c r="O1903" s="1">
        <v>0.0</v>
      </c>
      <c r="P1903" s="1">
        <v>0.0</v>
      </c>
      <c r="Q1903" s="1" t="s">
        <v>6315</v>
      </c>
      <c r="R1903" s="1">
        <v>154.0</v>
      </c>
      <c r="S1903" s="1">
        <v>941.0</v>
      </c>
      <c r="U1903" s="1">
        <v>0.0</v>
      </c>
      <c r="V1903" s="1" t="s">
        <v>6313</v>
      </c>
      <c r="W1903" s="1">
        <v>62.0</v>
      </c>
      <c r="Y1903" s="1">
        <v>0.0</v>
      </c>
      <c r="AA1903" s="1">
        <v>0.0</v>
      </c>
      <c r="AC1903" s="1">
        <v>0.0</v>
      </c>
      <c r="AD1903" s="1" t="s">
        <v>971</v>
      </c>
      <c r="AG1903" s="9" t="s">
        <v>6312</v>
      </c>
      <c r="AM1903" s="1">
        <v>197991.0</v>
      </c>
      <c r="AN1903" s="1">
        <v>34819.0</v>
      </c>
      <c r="AO1903" s="1">
        <v>34819.0</v>
      </c>
      <c r="AP1903" s="1">
        <v>13.338</v>
      </c>
      <c r="AR1903" s="1">
        <v>1073.0</v>
      </c>
      <c r="AS1903" s="1">
        <v>162.0</v>
      </c>
      <c r="AT1903" s="1">
        <v>6.623</v>
      </c>
      <c r="AU1903" s="1">
        <v>68.521</v>
      </c>
      <c r="AV1903" s="1" t="s">
        <v>990</v>
      </c>
      <c r="AW1903" s="1">
        <v>4.445</v>
      </c>
      <c r="AX1903" s="1">
        <v>4.0</v>
      </c>
      <c r="AY1903" s="1">
        <v>1.0</v>
      </c>
      <c r="AZ1903" s="1">
        <v>1.0</v>
      </c>
      <c r="BA1903" s="1">
        <v>1.0</v>
      </c>
      <c r="BB1903" s="1">
        <v>1.0</v>
      </c>
      <c r="BC1903" s="1">
        <v>0.0</v>
      </c>
      <c r="BD1903" s="1">
        <v>0.13</v>
      </c>
      <c r="BE1903" s="1">
        <v>131.0</v>
      </c>
      <c r="BF1903" s="1">
        <v>49.0</v>
      </c>
      <c r="BG1903" s="1">
        <v>0.0</v>
      </c>
      <c r="BH1903" s="1">
        <v>16.0</v>
      </c>
      <c r="BI1903" s="1">
        <v>8.0</v>
      </c>
      <c r="BJ1903" s="1">
        <v>0.0</v>
      </c>
      <c r="BO1903" s="1" t="s">
        <v>6316</v>
      </c>
      <c r="BP1903" s="1">
        <v>1.03</v>
      </c>
      <c r="BU1903" s="1" t="s">
        <v>974</v>
      </c>
      <c r="BV1903" s="1">
        <v>1.1</v>
      </c>
      <c r="EQ1903" s="9" t="s">
        <v>6312</v>
      </c>
      <c r="ER1903" s="21">
        <v>46045.30142361111</v>
      </c>
    </row>
    <row r="1904">
      <c r="A1904" s="9" t="s">
        <v>6317</v>
      </c>
      <c r="B1904" s="20" t="str">
        <f>IFERROR(__xludf.DUMMYFUNCTION("REGEXREPLACE(A1904, ""^https?://[^/]+"", """")"),"/wp-content/uploads/2021/11/Job-Description-Template-1-1.pdf")</f>
        <v>/wp-content/uploads/2021/11/Job-Description-Template-1-1.pdf</v>
      </c>
      <c r="F1904" s="1" t="s">
        <v>1730</v>
      </c>
      <c r="G1904" s="1">
        <v>200.0</v>
      </c>
      <c r="H1904" s="1" t="s">
        <v>966</v>
      </c>
      <c r="I1904" s="1" t="s">
        <v>967</v>
      </c>
      <c r="L1904" s="1">
        <v>0.0</v>
      </c>
      <c r="M1904" s="1">
        <v>0.0</v>
      </c>
      <c r="O1904" s="1">
        <v>0.0</v>
      </c>
      <c r="P1904" s="1">
        <v>0.0</v>
      </c>
      <c r="R1904" s="1">
        <v>0.0</v>
      </c>
      <c r="S1904" s="1">
        <v>0.0</v>
      </c>
      <c r="U1904" s="1">
        <v>0.0</v>
      </c>
      <c r="W1904" s="1">
        <v>0.0</v>
      </c>
      <c r="Y1904" s="1">
        <v>0.0</v>
      </c>
      <c r="AA1904" s="1">
        <v>0.0</v>
      </c>
      <c r="AC1904" s="1">
        <v>0.0</v>
      </c>
      <c r="AM1904" s="1">
        <v>163497.0</v>
      </c>
      <c r="AN1904" s="1">
        <v>163497.0</v>
      </c>
      <c r="AO1904" s="1">
        <v>163497.0</v>
      </c>
      <c r="AP1904" s="1">
        <v>62.633</v>
      </c>
      <c r="AR1904" s="1">
        <v>0.0</v>
      </c>
      <c r="AW1904" s="1">
        <v>0.0</v>
      </c>
      <c r="AX1904" s="1">
        <v>4.0</v>
      </c>
      <c r="AY1904" s="1">
        <v>4.0</v>
      </c>
      <c r="AZ1904" s="1">
        <v>1.0</v>
      </c>
      <c r="BA1904" s="1">
        <v>1.0</v>
      </c>
      <c r="BB1904" s="1">
        <v>1.0</v>
      </c>
      <c r="BC1904" s="1">
        <v>0.0</v>
      </c>
      <c r="BD1904" s="1">
        <v>0.13</v>
      </c>
      <c r="BE1904" s="1">
        <v>0.0</v>
      </c>
      <c r="BF1904" s="1">
        <v>0.0</v>
      </c>
      <c r="BG1904" s="1">
        <v>0.0</v>
      </c>
      <c r="BH1904" s="1">
        <v>0.0</v>
      </c>
      <c r="BI1904" s="1">
        <v>0.0</v>
      </c>
      <c r="BJ1904" s="1">
        <v>0.0</v>
      </c>
      <c r="BP1904" s="1">
        <v>0.265</v>
      </c>
      <c r="BQ1904" s="1" t="s">
        <v>6318</v>
      </c>
      <c r="BV1904" s="1">
        <v>1.1</v>
      </c>
      <c r="EQ1904" s="9" t="s">
        <v>6317</v>
      </c>
      <c r="ER1904" s="21">
        <v>46045.30143518518</v>
      </c>
    </row>
    <row r="1905">
      <c r="A1905" s="9" t="s">
        <v>6319</v>
      </c>
      <c r="B1905" s="20" t="str">
        <f>IFERROR(__xludf.DUMMYFUNCTION("REGEXREPLACE(A1905, ""^https?://[^/]+"", """")"),"/wp-content/uploads/2024/11/Hiring-Strategies-to-Avoid-the-Wrong-Hire.jpg")</f>
        <v>/wp-content/uploads/2024/11/Hiring-Strategies-to-Avoid-the-Wrong-Hire.jpg</v>
      </c>
      <c r="F1905" s="1" t="s">
        <v>1004</v>
      </c>
      <c r="G1905" s="1">
        <v>200.0</v>
      </c>
      <c r="H1905" s="1" t="s">
        <v>966</v>
      </c>
      <c r="I1905" s="1" t="s">
        <v>967</v>
      </c>
      <c r="L1905" s="1">
        <v>0.0</v>
      </c>
      <c r="M1905" s="1">
        <v>0.0</v>
      </c>
      <c r="O1905" s="1">
        <v>0.0</v>
      </c>
      <c r="P1905" s="1">
        <v>0.0</v>
      </c>
      <c r="R1905" s="1">
        <v>0.0</v>
      </c>
      <c r="S1905" s="1">
        <v>0.0</v>
      </c>
      <c r="U1905" s="1">
        <v>0.0</v>
      </c>
      <c r="W1905" s="1">
        <v>0.0</v>
      </c>
      <c r="Y1905" s="1">
        <v>0.0</v>
      </c>
      <c r="AA1905" s="1">
        <v>0.0</v>
      </c>
      <c r="AC1905" s="1">
        <v>0.0</v>
      </c>
      <c r="AM1905" s="1">
        <v>220363.0</v>
      </c>
      <c r="AN1905" s="1">
        <v>220363.0</v>
      </c>
      <c r="AO1905" s="1">
        <v>220363.0</v>
      </c>
      <c r="AP1905" s="1">
        <v>84.417</v>
      </c>
      <c r="AR1905" s="1">
        <v>0.0</v>
      </c>
      <c r="AW1905" s="1">
        <v>0.0</v>
      </c>
      <c r="AX1905" s="1">
        <v>4.0</v>
      </c>
      <c r="AY1905" s="1">
        <v>4.0</v>
      </c>
      <c r="BA1905" s="1">
        <v>0.0</v>
      </c>
      <c r="BB1905" s="1">
        <v>0.0</v>
      </c>
      <c r="BC1905" s="1">
        <v>0.0</v>
      </c>
      <c r="BD1905" s="1">
        <v>0.0</v>
      </c>
      <c r="BE1905" s="1">
        <v>0.0</v>
      </c>
      <c r="BF1905" s="1">
        <v>0.0</v>
      </c>
      <c r="BG1905" s="1">
        <v>0.0</v>
      </c>
      <c r="BH1905" s="1">
        <v>0.0</v>
      </c>
      <c r="BI1905" s="1">
        <v>0.0</v>
      </c>
      <c r="BJ1905" s="1">
        <v>0.0</v>
      </c>
      <c r="BP1905" s="1">
        <v>0.264</v>
      </c>
      <c r="BQ1905" s="1" t="s">
        <v>6320</v>
      </c>
      <c r="BV1905" s="1">
        <v>1.1</v>
      </c>
      <c r="EQ1905" s="9" t="s">
        <v>6319</v>
      </c>
      <c r="ER1905" s="21">
        <v>46045.30143518518</v>
      </c>
    </row>
    <row r="1906">
      <c r="A1906" s="9" t="s">
        <v>6321</v>
      </c>
      <c r="B1906" s="20" t="str">
        <f>IFERROR(__xludf.DUMMYFUNCTION("REGEXREPLACE(A1906, ""^https?://[^/]+"", """")"),"/wp-content/uploads/elementor/css/post-27773.css?ver=1768919942")</f>
        <v>/wp-content/uploads/elementor/css/post-27773.css?ver=1768919942</v>
      </c>
      <c r="F1906" s="1" t="s">
        <v>1016</v>
      </c>
      <c r="G1906" s="1">
        <v>200.0</v>
      </c>
      <c r="H1906" s="1" t="s">
        <v>966</v>
      </c>
      <c r="I1906" s="1" t="s">
        <v>967</v>
      </c>
      <c r="L1906" s="1">
        <v>0.0</v>
      </c>
      <c r="M1906" s="1">
        <v>0.0</v>
      </c>
      <c r="O1906" s="1">
        <v>0.0</v>
      </c>
      <c r="P1906" s="1">
        <v>0.0</v>
      </c>
      <c r="R1906" s="1">
        <v>0.0</v>
      </c>
      <c r="S1906" s="1">
        <v>0.0</v>
      </c>
      <c r="U1906" s="1">
        <v>0.0</v>
      </c>
      <c r="W1906" s="1">
        <v>0.0</v>
      </c>
      <c r="Y1906" s="1">
        <v>0.0</v>
      </c>
      <c r="AA1906" s="1">
        <v>0.0</v>
      </c>
      <c r="AC1906" s="1">
        <v>0.0</v>
      </c>
      <c r="AM1906" s="1">
        <v>103.0</v>
      </c>
      <c r="AN1906" s="1">
        <v>103.0</v>
      </c>
      <c r="AO1906" s="1">
        <v>103.0</v>
      </c>
      <c r="AP1906" s="1">
        <v>0.039</v>
      </c>
      <c r="AR1906" s="1">
        <v>0.0</v>
      </c>
      <c r="AW1906" s="1">
        <v>0.0</v>
      </c>
      <c r="AX1906" s="1">
        <v>4.0</v>
      </c>
      <c r="AY1906" s="1">
        <v>4.0</v>
      </c>
      <c r="BA1906" s="1">
        <v>0.0</v>
      </c>
      <c r="BB1906" s="1">
        <v>0.0</v>
      </c>
      <c r="BC1906" s="1">
        <v>0.0</v>
      </c>
      <c r="BD1906" s="1">
        <v>0.0</v>
      </c>
      <c r="BE1906" s="1">
        <v>0.0</v>
      </c>
      <c r="BF1906" s="1">
        <v>0.0</v>
      </c>
      <c r="BG1906" s="1">
        <v>0.0</v>
      </c>
      <c r="BH1906" s="1">
        <v>0.0</v>
      </c>
      <c r="BI1906" s="1">
        <v>0.0</v>
      </c>
      <c r="BJ1906" s="1">
        <v>0.0</v>
      </c>
      <c r="BP1906" s="1">
        <v>0.251</v>
      </c>
      <c r="BQ1906" s="1" t="s">
        <v>6322</v>
      </c>
      <c r="BV1906" s="1">
        <v>1.1</v>
      </c>
      <c r="EQ1906" s="9" t="s">
        <v>6321</v>
      </c>
      <c r="ER1906" s="21">
        <v>46045.30144675926</v>
      </c>
    </row>
    <row r="1907">
      <c r="A1907" s="9" t="s">
        <v>6323</v>
      </c>
      <c r="B1907" s="20" t="str">
        <f>IFERROR(__xludf.DUMMYFUNCTION("REGEXREPLACE(A1907, ""^https?://[^/]+"", """")"),"/wp-content/uploads/2023/05/pod-thumb.jpg")</f>
        <v>/wp-content/uploads/2023/05/pod-thumb.jpg</v>
      </c>
      <c r="F1907" s="1" t="s">
        <v>1004</v>
      </c>
      <c r="G1907" s="1">
        <v>200.0</v>
      </c>
      <c r="H1907" s="1" t="s">
        <v>966</v>
      </c>
      <c r="I1907" s="1" t="s">
        <v>967</v>
      </c>
      <c r="L1907" s="1">
        <v>0.0</v>
      </c>
      <c r="M1907" s="1">
        <v>0.0</v>
      </c>
      <c r="O1907" s="1">
        <v>0.0</v>
      </c>
      <c r="P1907" s="1">
        <v>0.0</v>
      </c>
      <c r="R1907" s="1">
        <v>0.0</v>
      </c>
      <c r="S1907" s="1">
        <v>0.0</v>
      </c>
      <c r="U1907" s="1">
        <v>0.0</v>
      </c>
      <c r="W1907" s="1">
        <v>0.0</v>
      </c>
      <c r="Y1907" s="1">
        <v>0.0</v>
      </c>
      <c r="AA1907" s="1">
        <v>0.0</v>
      </c>
      <c r="AC1907" s="1">
        <v>0.0</v>
      </c>
      <c r="AM1907" s="1">
        <v>195562.0</v>
      </c>
      <c r="AN1907" s="1">
        <v>195562.0</v>
      </c>
      <c r="AO1907" s="1">
        <v>195562.0</v>
      </c>
      <c r="AP1907" s="1">
        <v>74.916</v>
      </c>
      <c r="AR1907" s="1">
        <v>0.0</v>
      </c>
      <c r="AW1907" s="1">
        <v>0.0</v>
      </c>
      <c r="AX1907" s="1">
        <v>4.0</v>
      </c>
      <c r="AY1907" s="1">
        <v>4.0</v>
      </c>
      <c r="BA1907" s="1">
        <v>0.0</v>
      </c>
      <c r="BB1907" s="1">
        <v>0.0</v>
      </c>
      <c r="BC1907" s="1">
        <v>0.0</v>
      </c>
      <c r="BD1907" s="1">
        <v>0.0</v>
      </c>
      <c r="BE1907" s="1">
        <v>0.0</v>
      </c>
      <c r="BF1907" s="1">
        <v>0.0</v>
      </c>
      <c r="BG1907" s="1">
        <v>0.0</v>
      </c>
      <c r="BH1907" s="1">
        <v>0.0</v>
      </c>
      <c r="BI1907" s="1">
        <v>0.0</v>
      </c>
      <c r="BJ1907" s="1">
        <v>0.0</v>
      </c>
      <c r="BP1907" s="1">
        <v>0.286</v>
      </c>
      <c r="BQ1907" s="1" t="s">
        <v>3975</v>
      </c>
      <c r="BV1907" s="1">
        <v>1.1</v>
      </c>
      <c r="EQ1907" s="9" t="s">
        <v>6323</v>
      </c>
      <c r="ER1907" s="21">
        <v>46045.30144675926</v>
      </c>
    </row>
    <row r="1908">
      <c r="A1908" s="9" t="s">
        <v>6324</v>
      </c>
      <c r="B1908" s="20" t="str">
        <f>IFERROR(__xludf.DUMMYFUNCTION("REGEXREPLACE(A1908, ""^https?://[^/]+"", """")"),"/wp-content/uploads/2020/12/shutterstock_633365168-scaled-1-2048x2048.jpg")</f>
        <v>/wp-content/uploads/2020/12/shutterstock_633365168-scaled-1-2048x2048.jpg</v>
      </c>
      <c r="F1908" s="1" t="s">
        <v>1004</v>
      </c>
      <c r="G1908" s="1">
        <v>200.0</v>
      </c>
      <c r="H1908" s="1" t="s">
        <v>966</v>
      </c>
      <c r="I1908" s="1" t="s">
        <v>967</v>
      </c>
      <c r="L1908" s="1">
        <v>0.0</v>
      </c>
      <c r="M1908" s="1">
        <v>0.0</v>
      </c>
      <c r="O1908" s="1">
        <v>0.0</v>
      </c>
      <c r="P1908" s="1">
        <v>0.0</v>
      </c>
      <c r="R1908" s="1">
        <v>0.0</v>
      </c>
      <c r="S1908" s="1">
        <v>0.0</v>
      </c>
      <c r="U1908" s="1">
        <v>0.0</v>
      </c>
      <c r="W1908" s="1">
        <v>0.0</v>
      </c>
      <c r="Y1908" s="1">
        <v>0.0</v>
      </c>
      <c r="AA1908" s="1">
        <v>0.0</v>
      </c>
      <c r="AC1908" s="1">
        <v>0.0</v>
      </c>
      <c r="AM1908" s="1">
        <v>373418.0</v>
      </c>
      <c r="AN1908" s="1">
        <v>373418.0</v>
      </c>
      <c r="AO1908" s="1">
        <v>373418.0</v>
      </c>
      <c r="AP1908" s="1">
        <v>143.049</v>
      </c>
      <c r="AR1908" s="1">
        <v>0.0</v>
      </c>
      <c r="AW1908" s="1">
        <v>0.0</v>
      </c>
      <c r="AX1908" s="1">
        <v>4.0</v>
      </c>
      <c r="AY1908" s="1">
        <v>4.0</v>
      </c>
      <c r="BA1908" s="1">
        <v>0.0</v>
      </c>
      <c r="BB1908" s="1">
        <v>0.0</v>
      </c>
      <c r="BC1908" s="1">
        <v>0.0</v>
      </c>
      <c r="BD1908" s="1">
        <v>0.0</v>
      </c>
      <c r="BE1908" s="1">
        <v>0.0</v>
      </c>
      <c r="BF1908" s="1">
        <v>0.0</v>
      </c>
      <c r="BG1908" s="1">
        <v>0.0</v>
      </c>
      <c r="BH1908" s="1">
        <v>0.0</v>
      </c>
      <c r="BI1908" s="1">
        <v>0.0</v>
      </c>
      <c r="BJ1908" s="1">
        <v>0.0</v>
      </c>
      <c r="BP1908" s="1">
        <v>0.267</v>
      </c>
      <c r="BQ1908" s="1" t="s">
        <v>6325</v>
      </c>
      <c r="BV1908" s="1">
        <v>1.1</v>
      </c>
      <c r="EQ1908" s="9" t="s">
        <v>6324</v>
      </c>
      <c r="ER1908" s="21">
        <v>46045.30144675926</v>
      </c>
    </row>
    <row r="1909">
      <c r="A1909" s="9" t="s">
        <v>6326</v>
      </c>
      <c r="B1909" s="20" t="str">
        <f>IFERROR(__xludf.DUMMYFUNCTION("REGEXREPLACE(A1909, ""^https?://[^/]+"", """")"),"/throwback-old-school-sales-5-foundational-steps-always-hold-true/")</f>
        <v>/throwback-old-school-sales-5-foundational-steps-always-hold-true/</v>
      </c>
      <c r="C1909" s="1" t="s">
        <v>6327</v>
      </c>
      <c r="F1909" s="1" t="s">
        <v>965</v>
      </c>
      <c r="G1909" s="1">
        <v>200.0</v>
      </c>
      <c r="H1909" s="1" t="s">
        <v>966</v>
      </c>
      <c r="I1909" s="1" t="s">
        <v>967</v>
      </c>
      <c r="K1909" s="1" t="s">
        <v>6328</v>
      </c>
      <c r="L1909" s="1">
        <v>98.0</v>
      </c>
      <c r="M1909" s="1">
        <v>894.0</v>
      </c>
      <c r="O1909" s="1">
        <v>0.0</v>
      </c>
      <c r="P1909" s="1">
        <v>0.0</v>
      </c>
      <c r="Q1909" s="1" t="s">
        <v>6329</v>
      </c>
      <c r="R1909" s="1">
        <v>153.0</v>
      </c>
      <c r="S1909" s="1">
        <v>927.0</v>
      </c>
      <c r="U1909" s="1">
        <v>0.0</v>
      </c>
      <c r="V1909" s="1" t="s">
        <v>6327</v>
      </c>
      <c r="W1909" s="1">
        <v>73.0</v>
      </c>
      <c r="Y1909" s="1">
        <v>0.0</v>
      </c>
      <c r="AA1909" s="1">
        <v>0.0</v>
      </c>
      <c r="AC1909" s="1">
        <v>0.0</v>
      </c>
      <c r="AD1909" s="1" t="s">
        <v>971</v>
      </c>
      <c r="AG1909" s="9" t="s">
        <v>6326</v>
      </c>
      <c r="AM1909" s="1">
        <v>199714.0</v>
      </c>
      <c r="AN1909" s="1">
        <v>35571.0</v>
      </c>
      <c r="AO1909" s="1">
        <v>35571.0</v>
      </c>
      <c r="AP1909" s="1">
        <v>13.627</v>
      </c>
      <c r="AR1909" s="1">
        <v>1256.0</v>
      </c>
      <c r="AS1909" s="1">
        <v>194.0</v>
      </c>
      <c r="AT1909" s="1">
        <v>6.474</v>
      </c>
      <c r="AU1909" s="1">
        <v>72.488</v>
      </c>
      <c r="AV1909" s="1" t="s">
        <v>1264</v>
      </c>
      <c r="AW1909" s="1">
        <v>4.899</v>
      </c>
      <c r="AX1909" s="1">
        <v>4.0</v>
      </c>
      <c r="AY1909" s="1">
        <v>1.0</v>
      </c>
      <c r="AZ1909" s="1">
        <v>1.0</v>
      </c>
      <c r="BA1909" s="1">
        <v>2.0</v>
      </c>
      <c r="BB1909" s="1">
        <v>2.0</v>
      </c>
      <c r="BC1909" s="1">
        <v>0.0</v>
      </c>
      <c r="BD1909" s="1">
        <v>0.27</v>
      </c>
      <c r="BE1909" s="1">
        <v>129.0</v>
      </c>
      <c r="BF1909" s="1">
        <v>47.0</v>
      </c>
      <c r="BG1909" s="1">
        <v>0.0</v>
      </c>
      <c r="BH1909" s="1">
        <v>18.0</v>
      </c>
      <c r="BI1909" s="1">
        <v>10.0</v>
      </c>
      <c r="BJ1909" s="1">
        <v>0.0</v>
      </c>
      <c r="BO1909" s="1" t="s">
        <v>6330</v>
      </c>
      <c r="BP1909" s="1">
        <v>1.008</v>
      </c>
      <c r="BU1909" s="1" t="s">
        <v>974</v>
      </c>
      <c r="BV1909" s="1">
        <v>1.1</v>
      </c>
      <c r="EQ1909" s="9" t="s">
        <v>6326</v>
      </c>
      <c r="ER1909" s="21">
        <v>46045.30143518518</v>
      </c>
    </row>
    <row r="1910">
      <c r="A1910" s="9" t="s">
        <v>6331</v>
      </c>
      <c r="B1910" s="20" t="str">
        <f>IFERROR(__xludf.DUMMYFUNCTION("REGEXREPLACE(A1910, ""^https?://[^/]+"", """")"),"/wp-content/themes/salesxceleratione/assets/css/style.css?ver=1769123522")</f>
        <v>/wp-content/themes/salesxceleratione/assets/css/style.css?ver=1769123522</v>
      </c>
      <c r="F1910" s="1" t="s">
        <v>1016</v>
      </c>
      <c r="G1910" s="1">
        <v>200.0</v>
      </c>
      <c r="H1910" s="1" t="s">
        <v>966</v>
      </c>
      <c r="I1910" s="1" t="s">
        <v>967</v>
      </c>
      <c r="L1910" s="1">
        <v>0.0</v>
      </c>
      <c r="M1910" s="1">
        <v>0.0</v>
      </c>
      <c r="O1910" s="1">
        <v>0.0</v>
      </c>
      <c r="P1910" s="1">
        <v>0.0</v>
      </c>
      <c r="R1910" s="1">
        <v>0.0</v>
      </c>
      <c r="S1910" s="1">
        <v>0.0</v>
      </c>
      <c r="U1910" s="1">
        <v>0.0</v>
      </c>
      <c r="W1910" s="1">
        <v>0.0</v>
      </c>
      <c r="Y1910" s="1">
        <v>0.0</v>
      </c>
      <c r="AA1910" s="1">
        <v>0.0</v>
      </c>
      <c r="AC1910" s="1">
        <v>0.0</v>
      </c>
      <c r="AM1910" s="1">
        <v>17704.0</v>
      </c>
      <c r="AN1910" s="1">
        <v>17704.0</v>
      </c>
      <c r="AO1910" s="1">
        <v>17704.0</v>
      </c>
      <c r="AP1910" s="1">
        <v>6.782</v>
      </c>
      <c r="AR1910" s="1">
        <v>0.0</v>
      </c>
      <c r="AW1910" s="1">
        <v>0.0</v>
      </c>
      <c r="AX1910" s="1">
        <v>4.0</v>
      </c>
      <c r="AY1910" s="1">
        <v>5.0</v>
      </c>
      <c r="BA1910" s="1">
        <v>0.0</v>
      </c>
      <c r="BB1910" s="1">
        <v>0.0</v>
      </c>
      <c r="BC1910" s="1">
        <v>0.0</v>
      </c>
      <c r="BD1910" s="1">
        <v>0.0</v>
      </c>
      <c r="BE1910" s="1">
        <v>0.0</v>
      </c>
      <c r="BF1910" s="1">
        <v>0.0</v>
      </c>
      <c r="BG1910" s="1">
        <v>0.0</v>
      </c>
      <c r="BH1910" s="1">
        <v>0.0</v>
      </c>
      <c r="BI1910" s="1">
        <v>0.0</v>
      </c>
      <c r="BJ1910" s="1">
        <v>0.0</v>
      </c>
      <c r="BP1910" s="1">
        <v>0.275</v>
      </c>
      <c r="BQ1910" s="1" t="s">
        <v>6332</v>
      </c>
      <c r="BV1910" s="1">
        <v>1.1</v>
      </c>
      <c r="EQ1910" s="9" t="s">
        <v>6331</v>
      </c>
      <c r="ER1910" s="21">
        <v>46045.30144675926</v>
      </c>
    </row>
    <row r="1911">
      <c r="A1911" s="9" t="s">
        <v>6333</v>
      </c>
      <c r="B1911" s="20" t="str">
        <f>IFERROR(__xludf.DUMMYFUNCTION("REGEXREPLACE(A1911, ""^https?://[^/]+"", """")"),"/wp-content/uploads/2022/04/Pila-Jay-100x100.jpg")</f>
        <v>/wp-content/uploads/2022/04/Pila-Jay-100x100.jpg</v>
      </c>
      <c r="F1911" s="1" t="s">
        <v>1004</v>
      </c>
      <c r="G1911" s="1">
        <v>200.0</v>
      </c>
      <c r="H1911" s="1" t="s">
        <v>966</v>
      </c>
      <c r="I1911" s="1" t="s">
        <v>967</v>
      </c>
      <c r="L1911" s="1">
        <v>0.0</v>
      </c>
      <c r="M1911" s="1">
        <v>0.0</v>
      </c>
      <c r="O1911" s="1">
        <v>0.0</v>
      </c>
      <c r="P1911" s="1">
        <v>0.0</v>
      </c>
      <c r="R1911" s="1">
        <v>0.0</v>
      </c>
      <c r="S1911" s="1">
        <v>0.0</v>
      </c>
      <c r="U1911" s="1">
        <v>0.0</v>
      </c>
      <c r="W1911" s="1">
        <v>0.0</v>
      </c>
      <c r="Y1911" s="1">
        <v>0.0</v>
      </c>
      <c r="AA1911" s="1">
        <v>0.0</v>
      </c>
      <c r="AC1911" s="1">
        <v>0.0</v>
      </c>
      <c r="AM1911" s="1">
        <v>3207.0</v>
      </c>
      <c r="AN1911" s="1">
        <v>3207.0</v>
      </c>
      <c r="AO1911" s="1">
        <v>3207.0</v>
      </c>
      <c r="AP1911" s="1">
        <v>1.229</v>
      </c>
      <c r="AR1911" s="1">
        <v>0.0</v>
      </c>
      <c r="AW1911" s="1">
        <v>0.0</v>
      </c>
      <c r="AX1911" s="1">
        <v>4.0</v>
      </c>
      <c r="AY1911" s="1">
        <v>4.0</v>
      </c>
      <c r="BA1911" s="1">
        <v>0.0</v>
      </c>
      <c r="BB1911" s="1">
        <v>0.0</v>
      </c>
      <c r="BC1911" s="1">
        <v>0.0</v>
      </c>
      <c r="BD1911" s="1">
        <v>0.0</v>
      </c>
      <c r="BE1911" s="1">
        <v>0.0</v>
      </c>
      <c r="BF1911" s="1">
        <v>0.0</v>
      </c>
      <c r="BG1911" s="1">
        <v>0.0</v>
      </c>
      <c r="BH1911" s="1">
        <v>0.0</v>
      </c>
      <c r="BI1911" s="1">
        <v>0.0</v>
      </c>
      <c r="BJ1911" s="1">
        <v>0.0</v>
      </c>
      <c r="BP1911" s="1">
        <v>0.273</v>
      </c>
      <c r="BQ1911" s="1" t="s">
        <v>6334</v>
      </c>
      <c r="BV1911" s="1">
        <v>1.1</v>
      </c>
      <c r="EQ1911" s="9" t="s">
        <v>6333</v>
      </c>
      <c r="ER1911" s="21">
        <v>46045.30144675926</v>
      </c>
    </row>
    <row r="1912">
      <c r="A1912" s="9" t="s">
        <v>6335</v>
      </c>
      <c r="B1912" s="20" t="str">
        <f>IFERROR(__xludf.DUMMYFUNCTION("REGEXREPLACE(A1912, ""^https?://[^/]+"", """")"),"/wp-content/uploads/2024/09/Interviewing-Top-Sales-Talent.jpg")</f>
        <v>/wp-content/uploads/2024/09/Interviewing-Top-Sales-Talent.jpg</v>
      </c>
      <c r="F1912" s="1" t="s">
        <v>1004</v>
      </c>
      <c r="G1912" s="1">
        <v>200.0</v>
      </c>
      <c r="H1912" s="1" t="s">
        <v>966</v>
      </c>
      <c r="I1912" s="1" t="s">
        <v>967</v>
      </c>
      <c r="L1912" s="1">
        <v>0.0</v>
      </c>
      <c r="M1912" s="1">
        <v>0.0</v>
      </c>
      <c r="O1912" s="1">
        <v>0.0</v>
      </c>
      <c r="P1912" s="1">
        <v>0.0</v>
      </c>
      <c r="R1912" s="1">
        <v>0.0</v>
      </c>
      <c r="S1912" s="1">
        <v>0.0</v>
      </c>
      <c r="U1912" s="1">
        <v>0.0</v>
      </c>
      <c r="W1912" s="1">
        <v>0.0</v>
      </c>
      <c r="Y1912" s="1">
        <v>0.0</v>
      </c>
      <c r="AA1912" s="1">
        <v>0.0</v>
      </c>
      <c r="AC1912" s="1">
        <v>0.0</v>
      </c>
      <c r="AM1912" s="1">
        <v>238927.0</v>
      </c>
      <c r="AN1912" s="1">
        <v>238927.0</v>
      </c>
      <c r="AO1912" s="1">
        <v>238927.0</v>
      </c>
      <c r="AP1912" s="1">
        <v>91.528</v>
      </c>
      <c r="AR1912" s="1">
        <v>0.0</v>
      </c>
      <c r="AW1912" s="1">
        <v>0.0</v>
      </c>
      <c r="AX1912" s="1">
        <v>4.0</v>
      </c>
      <c r="AY1912" s="1">
        <v>4.0</v>
      </c>
      <c r="BA1912" s="1">
        <v>0.0</v>
      </c>
      <c r="BB1912" s="1">
        <v>0.0</v>
      </c>
      <c r="BC1912" s="1">
        <v>0.0</v>
      </c>
      <c r="BD1912" s="1">
        <v>0.0</v>
      </c>
      <c r="BE1912" s="1">
        <v>0.0</v>
      </c>
      <c r="BF1912" s="1">
        <v>0.0</v>
      </c>
      <c r="BG1912" s="1">
        <v>0.0</v>
      </c>
      <c r="BH1912" s="1">
        <v>0.0</v>
      </c>
      <c r="BI1912" s="1">
        <v>0.0</v>
      </c>
      <c r="BJ1912" s="1">
        <v>0.0</v>
      </c>
      <c r="BP1912" s="1">
        <v>0.272</v>
      </c>
      <c r="BQ1912" s="1" t="s">
        <v>6336</v>
      </c>
      <c r="BV1912" s="1">
        <v>1.1</v>
      </c>
      <c r="EQ1912" s="9" t="s">
        <v>6335</v>
      </c>
      <c r="ER1912" s="21">
        <v>46045.30144675926</v>
      </c>
    </row>
    <row r="1913">
      <c r="A1913" s="9" t="s">
        <v>6337</v>
      </c>
      <c r="B1913" s="20" t="str">
        <f>IFERROR(__xludf.DUMMYFUNCTION("REGEXREPLACE(A1913, ""^https?://[^/]+"", """")"),"/wp-content/uploads/2022/04/Spafford-Chris-275x275-1-100x100.jpg")</f>
        <v>/wp-content/uploads/2022/04/Spafford-Chris-275x275-1-100x100.jpg</v>
      </c>
      <c r="F1913" s="1" t="s">
        <v>1004</v>
      </c>
      <c r="G1913" s="1">
        <v>200.0</v>
      </c>
      <c r="H1913" s="1" t="s">
        <v>966</v>
      </c>
      <c r="I1913" s="1" t="s">
        <v>967</v>
      </c>
      <c r="L1913" s="1">
        <v>0.0</v>
      </c>
      <c r="M1913" s="1">
        <v>0.0</v>
      </c>
      <c r="O1913" s="1">
        <v>0.0</v>
      </c>
      <c r="P1913" s="1">
        <v>0.0</v>
      </c>
      <c r="R1913" s="1">
        <v>0.0</v>
      </c>
      <c r="S1913" s="1">
        <v>0.0</v>
      </c>
      <c r="U1913" s="1">
        <v>0.0</v>
      </c>
      <c r="W1913" s="1">
        <v>0.0</v>
      </c>
      <c r="Y1913" s="1">
        <v>0.0</v>
      </c>
      <c r="AA1913" s="1">
        <v>0.0</v>
      </c>
      <c r="AC1913" s="1">
        <v>0.0</v>
      </c>
      <c r="AM1913" s="1">
        <v>2775.0</v>
      </c>
      <c r="AN1913" s="1">
        <v>2775.0</v>
      </c>
      <c r="AO1913" s="1">
        <v>2775.0</v>
      </c>
      <c r="AP1913" s="1">
        <v>1.063</v>
      </c>
      <c r="AR1913" s="1">
        <v>0.0</v>
      </c>
      <c r="AW1913" s="1">
        <v>0.0</v>
      </c>
      <c r="AX1913" s="1">
        <v>4.0</v>
      </c>
      <c r="AY1913" s="1">
        <v>4.0</v>
      </c>
      <c r="BA1913" s="1">
        <v>0.0</v>
      </c>
      <c r="BB1913" s="1">
        <v>0.0</v>
      </c>
      <c r="BC1913" s="1">
        <v>0.0</v>
      </c>
      <c r="BD1913" s="1">
        <v>0.0</v>
      </c>
      <c r="BE1913" s="1">
        <v>0.0</v>
      </c>
      <c r="BF1913" s="1">
        <v>0.0</v>
      </c>
      <c r="BG1913" s="1">
        <v>0.0</v>
      </c>
      <c r="BH1913" s="1">
        <v>0.0</v>
      </c>
      <c r="BI1913" s="1">
        <v>0.0</v>
      </c>
      <c r="BJ1913" s="1">
        <v>0.0</v>
      </c>
      <c r="BP1913" s="1">
        <v>0.276</v>
      </c>
      <c r="BQ1913" s="1" t="s">
        <v>6338</v>
      </c>
      <c r="BV1913" s="1">
        <v>1.1</v>
      </c>
      <c r="EQ1913" s="9" t="s">
        <v>6337</v>
      </c>
      <c r="ER1913" s="21">
        <v>46045.30144675926</v>
      </c>
    </row>
    <row r="1914">
      <c r="A1914" s="9" t="s">
        <v>6339</v>
      </c>
      <c r="B1914" s="20" t="str">
        <f>IFERROR(__xludf.DUMMYFUNCTION("REGEXREPLACE(A1914, ""^https?://[^/]+"", """")"),"/wp-content/uploads/2025/11/Attracting-Top-Tier-Sales-Professionals.jpg")</f>
        <v>/wp-content/uploads/2025/11/Attracting-Top-Tier-Sales-Professionals.jpg</v>
      </c>
      <c r="F1914" s="1" t="s">
        <v>1004</v>
      </c>
      <c r="G1914" s="1">
        <v>200.0</v>
      </c>
      <c r="H1914" s="1" t="s">
        <v>966</v>
      </c>
      <c r="I1914" s="1" t="s">
        <v>967</v>
      </c>
      <c r="L1914" s="1">
        <v>0.0</v>
      </c>
      <c r="M1914" s="1">
        <v>0.0</v>
      </c>
      <c r="O1914" s="1">
        <v>0.0</v>
      </c>
      <c r="P1914" s="1">
        <v>0.0</v>
      </c>
      <c r="R1914" s="1">
        <v>0.0</v>
      </c>
      <c r="S1914" s="1">
        <v>0.0</v>
      </c>
      <c r="U1914" s="1">
        <v>0.0</v>
      </c>
      <c r="W1914" s="1">
        <v>0.0</v>
      </c>
      <c r="Y1914" s="1">
        <v>0.0</v>
      </c>
      <c r="AA1914" s="1">
        <v>0.0</v>
      </c>
      <c r="AC1914" s="1">
        <v>0.0</v>
      </c>
      <c r="AM1914" s="1">
        <v>74975.0</v>
      </c>
      <c r="AN1914" s="1">
        <v>74975.0</v>
      </c>
      <c r="AO1914" s="1">
        <v>74975.0</v>
      </c>
      <c r="AP1914" s="1">
        <v>28.721</v>
      </c>
      <c r="AR1914" s="1">
        <v>0.0</v>
      </c>
      <c r="AW1914" s="1">
        <v>0.0</v>
      </c>
      <c r="AX1914" s="1">
        <v>4.0</v>
      </c>
      <c r="AY1914" s="1">
        <v>4.0</v>
      </c>
      <c r="BA1914" s="1">
        <v>0.0</v>
      </c>
      <c r="BB1914" s="1">
        <v>0.0</v>
      </c>
      <c r="BC1914" s="1">
        <v>0.0</v>
      </c>
      <c r="BD1914" s="1">
        <v>0.0</v>
      </c>
      <c r="BE1914" s="1">
        <v>0.0</v>
      </c>
      <c r="BF1914" s="1">
        <v>0.0</v>
      </c>
      <c r="BG1914" s="1">
        <v>0.0</v>
      </c>
      <c r="BH1914" s="1">
        <v>0.0</v>
      </c>
      <c r="BI1914" s="1">
        <v>0.0</v>
      </c>
      <c r="BJ1914" s="1">
        <v>0.0</v>
      </c>
      <c r="BP1914" s="1">
        <v>0.269</v>
      </c>
      <c r="BQ1914" s="1" t="s">
        <v>3954</v>
      </c>
      <c r="BV1914" s="1">
        <v>1.1</v>
      </c>
      <c r="EQ1914" s="9" t="s">
        <v>6339</v>
      </c>
      <c r="ER1914" s="21">
        <v>46045.301458333335</v>
      </c>
    </row>
    <row r="1915">
      <c r="A1915" s="9" t="s">
        <v>6340</v>
      </c>
      <c r="B1915" s="20" t="str">
        <f>IFERROR(__xludf.DUMMYFUNCTION("REGEXREPLACE(A1915, ""^https?://[^/]+"", """")"),"/sales-agility-assessment?locationid=29359900")</f>
        <v>/sales-agility-assessment?locationid=29359900</v>
      </c>
      <c r="F1915" s="1" t="s">
        <v>965</v>
      </c>
      <c r="G1915" s="1">
        <v>301.0</v>
      </c>
      <c r="H1915" s="1" t="s">
        <v>1304</v>
      </c>
      <c r="I1915" s="1" t="s">
        <v>1214</v>
      </c>
      <c r="J1915" s="1" t="s">
        <v>1305</v>
      </c>
      <c r="L1915" s="1">
        <v>0.0</v>
      </c>
      <c r="M1915" s="1">
        <v>0.0</v>
      </c>
      <c r="O1915" s="1">
        <v>0.0</v>
      </c>
      <c r="P1915" s="1">
        <v>0.0</v>
      </c>
      <c r="R1915" s="1">
        <v>0.0</v>
      </c>
      <c r="S1915" s="1">
        <v>0.0</v>
      </c>
      <c r="U1915" s="1">
        <v>0.0</v>
      </c>
      <c r="W1915" s="1">
        <v>0.0</v>
      </c>
      <c r="Y1915" s="1">
        <v>0.0</v>
      </c>
      <c r="AA1915" s="1">
        <v>0.0</v>
      </c>
      <c r="AC1915" s="1">
        <v>0.0</v>
      </c>
      <c r="AM1915" s="1">
        <v>0.0</v>
      </c>
      <c r="AN1915" s="1">
        <v>0.0</v>
      </c>
      <c r="AO1915" s="1">
        <v>0.0</v>
      </c>
      <c r="AP1915" s="1">
        <v>0.0</v>
      </c>
      <c r="AR1915" s="1">
        <v>0.0</v>
      </c>
      <c r="AW1915" s="1">
        <v>0.0</v>
      </c>
      <c r="AX1915" s="1">
        <v>4.0</v>
      </c>
      <c r="AY1915" s="1">
        <v>0.0</v>
      </c>
      <c r="BA1915" s="1">
        <v>2.0</v>
      </c>
      <c r="BB1915" s="1">
        <v>2.0</v>
      </c>
      <c r="BC1915" s="1">
        <v>0.0</v>
      </c>
      <c r="BD1915" s="1">
        <v>0.27</v>
      </c>
      <c r="BE1915" s="1">
        <v>0.0</v>
      </c>
      <c r="BF1915" s="1">
        <v>0.0</v>
      </c>
      <c r="BG1915" s="1">
        <v>0.0</v>
      </c>
      <c r="BH1915" s="1">
        <v>0.0</v>
      </c>
      <c r="BI1915" s="1">
        <v>0.0</v>
      </c>
      <c r="BJ1915" s="1">
        <v>0.0</v>
      </c>
      <c r="BP1915" s="1">
        <v>0.556</v>
      </c>
      <c r="BR1915" s="9" t="s">
        <v>6341</v>
      </c>
      <c r="BS1915" s="1" t="s">
        <v>1307</v>
      </c>
      <c r="BV1915" s="1">
        <v>1.1</v>
      </c>
      <c r="EQ1915" s="9" t="s">
        <v>6340</v>
      </c>
      <c r="ER1915" s="21">
        <v>46045.301458333335</v>
      </c>
    </row>
    <row r="1916">
      <c r="A1916" s="9" t="s">
        <v>6342</v>
      </c>
      <c r="B1916" s="20" t="str">
        <f>IFERROR(__xludf.DUMMYFUNCTION("REGEXREPLACE(A1916, ""^https?://[^/]+"", """")"),"/4-signs-it-might-be-time-to-outsource-sales-leadership/")</f>
        <v>/4-signs-it-might-be-time-to-outsource-sales-leadership/</v>
      </c>
      <c r="C1916" s="1" t="s">
        <v>6343</v>
      </c>
      <c r="D1916" s="1" t="s">
        <v>6344</v>
      </c>
      <c r="E1916" s="1" t="s">
        <v>6345</v>
      </c>
      <c r="F1916" s="1" t="s">
        <v>965</v>
      </c>
      <c r="G1916" s="1">
        <v>200.0</v>
      </c>
      <c r="H1916" s="1" t="s">
        <v>966</v>
      </c>
      <c r="I1916" s="1" t="s">
        <v>967</v>
      </c>
      <c r="K1916" s="1" t="s">
        <v>6346</v>
      </c>
      <c r="L1916" s="1">
        <v>89.0</v>
      </c>
      <c r="M1916" s="1">
        <v>815.0</v>
      </c>
      <c r="O1916" s="1">
        <v>0.0</v>
      </c>
      <c r="P1916" s="1">
        <v>0.0</v>
      </c>
      <c r="Q1916" s="1" t="s">
        <v>6347</v>
      </c>
      <c r="R1916" s="1">
        <v>158.0</v>
      </c>
      <c r="S1916" s="1">
        <v>961.0</v>
      </c>
      <c r="U1916" s="1">
        <v>0.0</v>
      </c>
      <c r="V1916" s="1" t="s">
        <v>6343</v>
      </c>
      <c r="W1916" s="1">
        <v>64.0</v>
      </c>
      <c r="Y1916" s="1">
        <v>0.0</v>
      </c>
      <c r="Z1916" s="1" t="s">
        <v>6344</v>
      </c>
      <c r="AA1916" s="1">
        <v>41.0</v>
      </c>
      <c r="AB1916" s="1" t="s">
        <v>6345</v>
      </c>
      <c r="AC1916" s="1">
        <v>38.0</v>
      </c>
      <c r="AD1916" s="1" t="s">
        <v>971</v>
      </c>
      <c r="AG1916" s="9" t="s">
        <v>6342</v>
      </c>
      <c r="AM1916" s="1">
        <v>202301.0</v>
      </c>
      <c r="AN1916" s="1">
        <v>36925.0</v>
      </c>
      <c r="AO1916" s="1">
        <v>36925.0</v>
      </c>
      <c r="AP1916" s="1">
        <v>14.145</v>
      </c>
      <c r="AR1916" s="1">
        <v>1588.0</v>
      </c>
      <c r="AS1916" s="1">
        <v>229.0</v>
      </c>
      <c r="AT1916" s="1">
        <v>6.934</v>
      </c>
      <c r="AU1916" s="1">
        <v>65.172</v>
      </c>
      <c r="AV1916" s="1" t="s">
        <v>990</v>
      </c>
      <c r="AW1916" s="1">
        <v>5.948</v>
      </c>
      <c r="AX1916" s="1">
        <v>4.0</v>
      </c>
      <c r="AY1916" s="1">
        <v>1.0</v>
      </c>
      <c r="AZ1916" s="1">
        <v>1.0</v>
      </c>
      <c r="BA1916" s="1">
        <v>7.0</v>
      </c>
      <c r="BB1916" s="1">
        <v>5.0</v>
      </c>
      <c r="BC1916" s="1">
        <v>0.0</v>
      </c>
      <c r="BD1916" s="1">
        <v>0.66</v>
      </c>
      <c r="BE1916" s="1">
        <v>131.0</v>
      </c>
      <c r="BF1916" s="1">
        <v>48.0</v>
      </c>
      <c r="BG1916" s="1">
        <v>0.0</v>
      </c>
      <c r="BH1916" s="1">
        <v>21.0</v>
      </c>
      <c r="BI1916" s="1">
        <v>13.0</v>
      </c>
      <c r="BJ1916" s="1">
        <v>0.0</v>
      </c>
      <c r="BO1916" s="1" t="s">
        <v>6348</v>
      </c>
      <c r="BP1916" s="1">
        <v>1.044</v>
      </c>
      <c r="BU1916" s="1" t="s">
        <v>974</v>
      </c>
      <c r="BV1916" s="1">
        <v>1.1</v>
      </c>
      <c r="EQ1916" s="9" t="s">
        <v>6342</v>
      </c>
      <c r="ER1916" s="21">
        <v>46045.30144675926</v>
      </c>
    </row>
    <row r="1917">
      <c r="A1917" s="9" t="s">
        <v>6349</v>
      </c>
      <c r="B1917" s="20" t="str">
        <f>IFERROR(__xludf.DUMMYFUNCTION("REGEXREPLACE(A1917, ""^https?://[^/]+"", """")"),"/author/jpila/")</f>
        <v>/author/jpila/</v>
      </c>
      <c r="C1917" s="1" t="s">
        <v>6350</v>
      </c>
      <c r="F1917" s="1" t="s">
        <v>965</v>
      </c>
      <c r="G1917" s="1">
        <v>200.0</v>
      </c>
      <c r="H1917" s="1" t="s">
        <v>966</v>
      </c>
      <c r="I1917" s="1" t="s">
        <v>967</v>
      </c>
      <c r="K1917" s="1" t="s">
        <v>6351</v>
      </c>
      <c r="L1917" s="1">
        <v>37.0</v>
      </c>
      <c r="M1917" s="1">
        <v>323.0</v>
      </c>
      <c r="O1917" s="1">
        <v>0.0</v>
      </c>
      <c r="P1917" s="1">
        <v>0.0</v>
      </c>
      <c r="R1917" s="1">
        <v>0.0</v>
      </c>
      <c r="S1917" s="1">
        <v>0.0</v>
      </c>
      <c r="U1917" s="1">
        <v>0.0</v>
      </c>
      <c r="V1917" s="1" t="s">
        <v>6350</v>
      </c>
      <c r="W1917" s="1">
        <v>8.0</v>
      </c>
      <c r="Y1917" s="1">
        <v>0.0</v>
      </c>
      <c r="AA1917" s="1">
        <v>0.0</v>
      </c>
      <c r="AC1917" s="1">
        <v>0.0</v>
      </c>
      <c r="AD1917" s="1" t="s">
        <v>971</v>
      </c>
      <c r="AG1917" s="9" t="s">
        <v>6349</v>
      </c>
      <c r="AM1917" s="1">
        <v>158927.0</v>
      </c>
      <c r="AN1917" s="1">
        <v>30796.0</v>
      </c>
      <c r="AO1917" s="1">
        <v>30796.0</v>
      </c>
      <c r="AP1917" s="1">
        <v>11.797</v>
      </c>
      <c r="AR1917" s="1">
        <v>719.0</v>
      </c>
      <c r="AS1917" s="1">
        <v>122.0</v>
      </c>
      <c r="AT1917" s="1">
        <v>5.893</v>
      </c>
      <c r="AU1917" s="1">
        <v>58.716</v>
      </c>
      <c r="AV1917" s="1" t="s">
        <v>972</v>
      </c>
      <c r="AW1917" s="1">
        <v>4.345</v>
      </c>
      <c r="AX1917" s="1">
        <v>4.0</v>
      </c>
      <c r="AY1917" s="1">
        <v>2.0</v>
      </c>
      <c r="AZ1917" s="1">
        <v>1.0</v>
      </c>
      <c r="BA1917" s="1">
        <v>6.0</v>
      </c>
      <c r="BB1917" s="1">
        <v>2.0</v>
      </c>
      <c r="BC1917" s="1">
        <v>0.0</v>
      </c>
      <c r="BD1917" s="1">
        <v>0.27</v>
      </c>
      <c r="BE1917" s="1">
        <v>136.0</v>
      </c>
      <c r="BF1917" s="1">
        <v>48.0</v>
      </c>
      <c r="BG1917" s="1">
        <v>0.0</v>
      </c>
      <c r="BH1917" s="1">
        <v>16.0</v>
      </c>
      <c r="BI1917" s="1">
        <v>8.0</v>
      </c>
      <c r="BJ1917" s="1">
        <v>0.0</v>
      </c>
      <c r="BO1917" s="1" t="s">
        <v>6352</v>
      </c>
      <c r="BP1917" s="1">
        <v>1.043</v>
      </c>
      <c r="BU1917" s="1" t="s">
        <v>974</v>
      </c>
      <c r="BV1917" s="1">
        <v>1.1</v>
      </c>
      <c r="EQ1917" s="9" t="s">
        <v>6349</v>
      </c>
      <c r="ER1917" s="21">
        <v>46045.30144675926</v>
      </c>
    </row>
    <row r="1918">
      <c r="A1918" s="9" t="s">
        <v>6353</v>
      </c>
      <c r="B1918" s="20" t="str">
        <f>IFERROR(__xludf.DUMMYFUNCTION("REGEXREPLACE(A1918, ""^https?://[^/]+"", """")"),"/wp-content/uploads/2022/03/Sales-Group-Meeting-300x300.jpg")</f>
        <v>/wp-content/uploads/2022/03/Sales-Group-Meeting-300x300.jpg</v>
      </c>
      <c r="F1918" s="1" t="s">
        <v>1004</v>
      </c>
      <c r="G1918" s="1">
        <v>200.0</v>
      </c>
      <c r="H1918" s="1" t="s">
        <v>966</v>
      </c>
      <c r="I1918" s="1" t="s">
        <v>967</v>
      </c>
      <c r="L1918" s="1">
        <v>0.0</v>
      </c>
      <c r="M1918" s="1">
        <v>0.0</v>
      </c>
      <c r="O1918" s="1">
        <v>0.0</v>
      </c>
      <c r="P1918" s="1">
        <v>0.0</v>
      </c>
      <c r="R1918" s="1">
        <v>0.0</v>
      </c>
      <c r="S1918" s="1">
        <v>0.0</v>
      </c>
      <c r="U1918" s="1">
        <v>0.0</v>
      </c>
      <c r="W1918" s="1">
        <v>0.0</v>
      </c>
      <c r="Y1918" s="1">
        <v>0.0</v>
      </c>
      <c r="AA1918" s="1">
        <v>0.0</v>
      </c>
      <c r="AC1918" s="1">
        <v>0.0</v>
      </c>
      <c r="AM1918" s="1">
        <v>20125.0</v>
      </c>
      <c r="AN1918" s="1">
        <v>20125.0</v>
      </c>
      <c r="AO1918" s="1">
        <v>20125.0</v>
      </c>
      <c r="AP1918" s="1">
        <v>7.71</v>
      </c>
      <c r="AR1918" s="1">
        <v>0.0</v>
      </c>
      <c r="AW1918" s="1">
        <v>0.0</v>
      </c>
      <c r="AX1918" s="1">
        <v>4.0</v>
      </c>
      <c r="AY1918" s="1">
        <v>4.0</v>
      </c>
      <c r="BA1918" s="1">
        <v>0.0</v>
      </c>
      <c r="BB1918" s="1">
        <v>0.0</v>
      </c>
      <c r="BC1918" s="1">
        <v>0.0</v>
      </c>
      <c r="BD1918" s="1">
        <v>0.0</v>
      </c>
      <c r="BE1918" s="1">
        <v>0.0</v>
      </c>
      <c r="BF1918" s="1">
        <v>0.0</v>
      </c>
      <c r="BG1918" s="1">
        <v>0.0</v>
      </c>
      <c r="BH1918" s="1">
        <v>0.0</v>
      </c>
      <c r="BI1918" s="1">
        <v>0.0</v>
      </c>
      <c r="BJ1918" s="1">
        <v>0.0</v>
      </c>
      <c r="BP1918" s="1">
        <v>0.277</v>
      </c>
      <c r="BQ1918" s="1" t="s">
        <v>6354</v>
      </c>
      <c r="BV1918" s="1">
        <v>1.1</v>
      </c>
      <c r="EQ1918" s="9" t="s">
        <v>6353</v>
      </c>
      <c r="ER1918" s="21">
        <v>46045.301458333335</v>
      </c>
    </row>
    <row r="1919">
      <c r="A1919" s="9" t="s">
        <v>6355</v>
      </c>
      <c r="B1919" s="20" t="str">
        <f>IFERROR(__xludf.DUMMYFUNCTION("REGEXREPLACE(A1919, ""^https?://[^/]+"", """")"),"/sales-agility-assessment/?locationid=23153235")</f>
        <v>/sales-agility-assessment/?locationid=23153235</v>
      </c>
      <c r="C1919" s="1" t="s">
        <v>1381</v>
      </c>
      <c r="F1919" s="1" t="s">
        <v>965</v>
      </c>
      <c r="G1919" s="1">
        <v>200.0</v>
      </c>
      <c r="H1919" s="1" t="s">
        <v>966</v>
      </c>
      <c r="I1919" s="1" t="s">
        <v>1214</v>
      </c>
      <c r="J1919" s="1" t="s">
        <v>1215</v>
      </c>
      <c r="K1919" s="1" t="s">
        <v>1382</v>
      </c>
      <c r="L1919" s="1">
        <v>79.0</v>
      </c>
      <c r="M1919" s="1">
        <v>719.0</v>
      </c>
      <c r="O1919" s="1">
        <v>0.0</v>
      </c>
      <c r="P1919" s="1">
        <v>0.0</v>
      </c>
      <c r="Q1919" s="1" t="s">
        <v>1383</v>
      </c>
      <c r="R1919" s="1">
        <v>155.0</v>
      </c>
      <c r="S1919" s="1">
        <v>970.0</v>
      </c>
      <c r="U1919" s="1">
        <v>0.0</v>
      </c>
      <c r="V1919" s="1" t="s">
        <v>1381</v>
      </c>
      <c r="W1919" s="1">
        <v>31.0</v>
      </c>
      <c r="Y1919" s="1">
        <v>0.0</v>
      </c>
      <c r="AA1919" s="1">
        <v>0.0</v>
      </c>
      <c r="AC1919" s="1">
        <v>0.0</v>
      </c>
      <c r="AD1919" s="1" t="s">
        <v>971</v>
      </c>
      <c r="AG1919" s="9" t="s">
        <v>1380</v>
      </c>
      <c r="AM1919" s="1">
        <v>221355.0</v>
      </c>
      <c r="AN1919" s="1">
        <v>43060.0</v>
      </c>
      <c r="AO1919" s="1">
        <v>43060.0</v>
      </c>
      <c r="AP1919" s="1">
        <v>16.495</v>
      </c>
      <c r="AR1919" s="1">
        <v>1077.0</v>
      </c>
      <c r="AS1919" s="1">
        <v>195.0</v>
      </c>
      <c r="AT1919" s="1">
        <v>5.523</v>
      </c>
      <c r="AU1919" s="1">
        <v>72.247</v>
      </c>
      <c r="AV1919" s="1" t="s">
        <v>1264</v>
      </c>
      <c r="AW1919" s="1">
        <v>5.467</v>
      </c>
      <c r="AX1919" s="1">
        <v>4.0</v>
      </c>
      <c r="AY1919" s="1">
        <v>1.0</v>
      </c>
      <c r="BA1919" s="1">
        <v>3.0</v>
      </c>
      <c r="BB1919" s="1">
        <v>3.0</v>
      </c>
      <c r="BC1919" s="1">
        <v>0.0</v>
      </c>
      <c r="BD1919" s="1">
        <v>0.4</v>
      </c>
      <c r="BE1919" s="1">
        <v>121.0</v>
      </c>
      <c r="BF1919" s="1">
        <v>42.0</v>
      </c>
      <c r="BG1919" s="1">
        <v>0.0</v>
      </c>
      <c r="BH1919" s="1">
        <v>16.0</v>
      </c>
      <c r="BI1919" s="1">
        <v>8.0</v>
      </c>
      <c r="BJ1919" s="1">
        <v>0.0</v>
      </c>
      <c r="BO1919" s="1" t="s">
        <v>6356</v>
      </c>
      <c r="BP1919" s="1">
        <v>1.337</v>
      </c>
      <c r="BU1919" s="1" t="s">
        <v>974</v>
      </c>
      <c r="BV1919" s="1">
        <v>1.1</v>
      </c>
      <c r="EQ1919" s="9" t="s">
        <v>6355</v>
      </c>
      <c r="ER1919" s="21">
        <v>46045.30144675926</v>
      </c>
    </row>
    <row r="1920">
      <c r="A1920" s="9" t="s">
        <v>6357</v>
      </c>
      <c r="B1920" s="20" t="str">
        <f>IFERROR(__xludf.DUMMYFUNCTION("REGEXREPLACE(A1920, ""^https?://[^/]+"", """")"),"/author/cspafford/")</f>
        <v>/author/cspafford/</v>
      </c>
      <c r="C1920" s="1" t="s">
        <v>6358</v>
      </c>
      <c r="F1920" s="1" t="s">
        <v>965</v>
      </c>
      <c r="G1920" s="1">
        <v>200.0</v>
      </c>
      <c r="H1920" s="1" t="s">
        <v>966</v>
      </c>
      <c r="I1920" s="1" t="s">
        <v>967</v>
      </c>
      <c r="K1920" s="1" t="s">
        <v>6359</v>
      </c>
      <c r="L1920" s="1">
        <v>43.0</v>
      </c>
      <c r="M1920" s="1">
        <v>381.0</v>
      </c>
      <c r="O1920" s="1">
        <v>0.0</v>
      </c>
      <c r="P1920" s="1">
        <v>0.0</v>
      </c>
      <c r="R1920" s="1">
        <v>0.0</v>
      </c>
      <c r="S1920" s="1">
        <v>0.0</v>
      </c>
      <c r="U1920" s="1">
        <v>0.0</v>
      </c>
      <c r="V1920" s="1" t="s">
        <v>6358</v>
      </c>
      <c r="W1920" s="1">
        <v>14.0</v>
      </c>
      <c r="Y1920" s="1">
        <v>0.0</v>
      </c>
      <c r="AA1920" s="1">
        <v>0.0</v>
      </c>
      <c r="AC1920" s="1">
        <v>0.0</v>
      </c>
      <c r="AD1920" s="1" t="s">
        <v>971</v>
      </c>
      <c r="AG1920" s="9" t="s">
        <v>6357</v>
      </c>
      <c r="AM1920" s="1">
        <v>151684.0</v>
      </c>
      <c r="AN1920" s="1">
        <v>29625.0</v>
      </c>
      <c r="AO1920" s="1">
        <v>29625.0</v>
      </c>
      <c r="AP1920" s="1">
        <v>11.349</v>
      </c>
      <c r="AR1920" s="1">
        <v>594.0</v>
      </c>
      <c r="AS1920" s="1">
        <v>103.0</v>
      </c>
      <c r="AT1920" s="1">
        <v>5.767</v>
      </c>
      <c r="AU1920" s="1">
        <v>59.982</v>
      </c>
      <c r="AV1920" s="1" t="s">
        <v>972</v>
      </c>
      <c r="AW1920" s="1">
        <v>4.029</v>
      </c>
      <c r="AX1920" s="1">
        <v>4.0</v>
      </c>
      <c r="AY1920" s="1">
        <v>2.0</v>
      </c>
      <c r="AZ1920" s="1">
        <v>1.0</v>
      </c>
      <c r="BA1920" s="1">
        <v>3.0</v>
      </c>
      <c r="BB1920" s="1">
        <v>1.0</v>
      </c>
      <c r="BC1920" s="1">
        <v>0.0</v>
      </c>
      <c r="BD1920" s="1">
        <v>0.13</v>
      </c>
      <c r="BE1920" s="1">
        <v>126.0</v>
      </c>
      <c r="BF1920" s="1">
        <v>44.0</v>
      </c>
      <c r="BG1920" s="1">
        <v>0.0</v>
      </c>
      <c r="BH1920" s="1">
        <v>16.0</v>
      </c>
      <c r="BI1920" s="1">
        <v>8.0</v>
      </c>
      <c r="BJ1920" s="1">
        <v>0.0</v>
      </c>
      <c r="BO1920" s="1" t="s">
        <v>6360</v>
      </c>
      <c r="BP1920" s="1">
        <v>0.961</v>
      </c>
      <c r="BU1920" s="1" t="s">
        <v>974</v>
      </c>
      <c r="BV1920" s="1">
        <v>1.1</v>
      </c>
      <c r="EQ1920" s="9" t="s">
        <v>6357</v>
      </c>
      <c r="ER1920" s="21">
        <v>46045.301458333335</v>
      </c>
    </row>
    <row r="1921">
      <c r="A1921" s="9" t="s">
        <v>6361</v>
      </c>
      <c r="B1921" s="20" t="str">
        <f>IFERROR(__xludf.DUMMYFUNCTION("REGEXREPLACE(A1921, ""^https?://[^/]+"", """")"),"/wp-content/uploads/2022/04/Finding-top-sales-talent-300x200.jpg")</f>
        <v>/wp-content/uploads/2022/04/Finding-top-sales-talent-300x200.jpg</v>
      </c>
      <c r="F1921" s="1" t="s">
        <v>1004</v>
      </c>
      <c r="G1921" s="1">
        <v>200.0</v>
      </c>
      <c r="H1921" s="1" t="s">
        <v>966</v>
      </c>
      <c r="I1921" s="1" t="s">
        <v>967</v>
      </c>
      <c r="L1921" s="1">
        <v>0.0</v>
      </c>
      <c r="M1921" s="1">
        <v>0.0</v>
      </c>
      <c r="O1921" s="1">
        <v>0.0</v>
      </c>
      <c r="P1921" s="1">
        <v>0.0</v>
      </c>
      <c r="R1921" s="1">
        <v>0.0</v>
      </c>
      <c r="S1921" s="1">
        <v>0.0</v>
      </c>
      <c r="U1921" s="1">
        <v>0.0</v>
      </c>
      <c r="W1921" s="1">
        <v>0.0</v>
      </c>
      <c r="Y1921" s="1">
        <v>0.0</v>
      </c>
      <c r="AA1921" s="1">
        <v>0.0</v>
      </c>
      <c r="AC1921" s="1">
        <v>0.0</v>
      </c>
      <c r="AM1921" s="1">
        <v>11998.0</v>
      </c>
      <c r="AN1921" s="1">
        <v>11998.0</v>
      </c>
      <c r="AO1921" s="1">
        <v>11998.0</v>
      </c>
      <c r="AP1921" s="1">
        <v>4.596</v>
      </c>
      <c r="AR1921" s="1">
        <v>0.0</v>
      </c>
      <c r="AW1921" s="1">
        <v>0.0</v>
      </c>
      <c r="AX1921" s="1">
        <v>4.0</v>
      </c>
      <c r="AY1921" s="1">
        <v>4.0</v>
      </c>
      <c r="BA1921" s="1">
        <v>0.0</v>
      </c>
      <c r="BB1921" s="1">
        <v>0.0</v>
      </c>
      <c r="BC1921" s="1">
        <v>0.0</v>
      </c>
      <c r="BD1921" s="1">
        <v>0.0</v>
      </c>
      <c r="BE1921" s="1">
        <v>0.0</v>
      </c>
      <c r="BF1921" s="1">
        <v>0.0</v>
      </c>
      <c r="BG1921" s="1">
        <v>0.0</v>
      </c>
      <c r="BH1921" s="1">
        <v>0.0</v>
      </c>
      <c r="BI1921" s="1">
        <v>0.0</v>
      </c>
      <c r="BJ1921" s="1">
        <v>0.0</v>
      </c>
      <c r="BP1921" s="1">
        <v>0.265</v>
      </c>
      <c r="BQ1921" s="1" t="s">
        <v>6362</v>
      </c>
      <c r="BV1921" s="1">
        <v>1.1</v>
      </c>
      <c r="EQ1921" s="9" t="s">
        <v>6361</v>
      </c>
      <c r="ER1921" s="21">
        <v>46045.301469907405</v>
      </c>
    </row>
    <row r="1922">
      <c r="A1922" s="9" t="s">
        <v>6363</v>
      </c>
      <c r="B1922" s="20" t="str">
        <f>IFERROR(__xludf.DUMMYFUNCTION("REGEXREPLACE(A1922, ""^https?://[^/]+"", """")"),"/in-person-vs-virtual-onboarding-which-is-best-for-your-team/")</f>
        <v>/in-person-vs-virtual-onboarding-which-is-best-for-your-team/</v>
      </c>
      <c r="C1922" s="1" t="s">
        <v>6364</v>
      </c>
      <c r="F1922" s="1" t="s">
        <v>965</v>
      </c>
      <c r="G1922" s="1">
        <v>200.0</v>
      </c>
      <c r="H1922" s="1" t="s">
        <v>966</v>
      </c>
      <c r="I1922" s="1" t="s">
        <v>967</v>
      </c>
      <c r="K1922" s="1" t="s">
        <v>6365</v>
      </c>
      <c r="L1922" s="1">
        <v>87.0</v>
      </c>
      <c r="M1922" s="1">
        <v>769.0</v>
      </c>
      <c r="O1922" s="1">
        <v>0.0</v>
      </c>
      <c r="P1922" s="1">
        <v>0.0</v>
      </c>
      <c r="Q1922" s="1" t="s">
        <v>6366</v>
      </c>
      <c r="R1922" s="1">
        <v>114.0</v>
      </c>
      <c r="S1922" s="1">
        <v>676.0</v>
      </c>
      <c r="U1922" s="1">
        <v>0.0</v>
      </c>
      <c r="V1922" s="1" t="s">
        <v>6364</v>
      </c>
      <c r="W1922" s="1">
        <v>62.0</v>
      </c>
      <c r="Y1922" s="1">
        <v>0.0</v>
      </c>
      <c r="AA1922" s="1">
        <v>0.0</v>
      </c>
      <c r="AC1922" s="1">
        <v>0.0</v>
      </c>
      <c r="AD1922" s="1" t="s">
        <v>971</v>
      </c>
      <c r="AG1922" s="9" t="s">
        <v>6363</v>
      </c>
      <c r="AM1922" s="1">
        <v>196539.0</v>
      </c>
      <c r="AN1922" s="1">
        <v>34412.0</v>
      </c>
      <c r="AO1922" s="1">
        <v>34412.0</v>
      </c>
      <c r="AP1922" s="1">
        <v>13.183</v>
      </c>
      <c r="AR1922" s="1">
        <v>760.0</v>
      </c>
      <c r="AS1922" s="1">
        <v>126.0</v>
      </c>
      <c r="AT1922" s="1">
        <v>6.032</v>
      </c>
      <c r="AU1922" s="1">
        <v>63.572</v>
      </c>
      <c r="AV1922" s="1" t="s">
        <v>990</v>
      </c>
      <c r="AW1922" s="1">
        <v>3.596</v>
      </c>
      <c r="AX1922" s="1">
        <v>4.0</v>
      </c>
      <c r="AY1922" s="1">
        <v>1.0</v>
      </c>
      <c r="AZ1922" s="1">
        <v>1.0</v>
      </c>
      <c r="BA1922" s="1">
        <v>7.0</v>
      </c>
      <c r="BB1922" s="1">
        <v>4.0</v>
      </c>
      <c r="BC1922" s="1">
        <v>0.0</v>
      </c>
      <c r="BD1922" s="1">
        <v>0.53</v>
      </c>
      <c r="BE1922" s="1">
        <v>129.0</v>
      </c>
      <c r="BF1922" s="1">
        <v>47.0</v>
      </c>
      <c r="BG1922" s="1">
        <v>0.0</v>
      </c>
      <c r="BH1922" s="1">
        <v>17.0</v>
      </c>
      <c r="BI1922" s="1">
        <v>9.0</v>
      </c>
      <c r="BJ1922" s="1">
        <v>0.0</v>
      </c>
      <c r="BO1922" s="1" t="s">
        <v>6367</v>
      </c>
      <c r="BP1922" s="1">
        <v>1.058</v>
      </c>
      <c r="BU1922" s="1" t="s">
        <v>974</v>
      </c>
      <c r="BV1922" s="1">
        <v>1.1</v>
      </c>
      <c r="EQ1922" s="9" t="s">
        <v>6363</v>
      </c>
      <c r="ER1922" s="21">
        <v>46045.301458333335</v>
      </c>
    </row>
    <row r="1923">
      <c r="A1923" s="9" t="s">
        <v>6368</v>
      </c>
      <c r="B1923" s="20" t="str">
        <f>IFERROR(__xludf.DUMMYFUNCTION("REGEXREPLACE(A1923, ""^https?://[^/]+"", """")"),"/wp-content/uploads/2022/03/Sales-Infrastructure-Meeting-300x300.jpg")</f>
        <v>/wp-content/uploads/2022/03/Sales-Infrastructure-Meeting-300x300.jpg</v>
      </c>
      <c r="F1923" s="1" t="s">
        <v>1004</v>
      </c>
      <c r="G1923" s="1">
        <v>200.0</v>
      </c>
      <c r="H1923" s="1" t="s">
        <v>966</v>
      </c>
      <c r="I1923" s="1" t="s">
        <v>967</v>
      </c>
      <c r="L1923" s="1">
        <v>0.0</v>
      </c>
      <c r="M1923" s="1">
        <v>0.0</v>
      </c>
      <c r="O1923" s="1">
        <v>0.0</v>
      </c>
      <c r="P1923" s="1">
        <v>0.0</v>
      </c>
      <c r="R1923" s="1">
        <v>0.0</v>
      </c>
      <c r="S1923" s="1">
        <v>0.0</v>
      </c>
      <c r="U1923" s="1">
        <v>0.0</v>
      </c>
      <c r="W1923" s="1">
        <v>0.0</v>
      </c>
      <c r="Y1923" s="1">
        <v>0.0</v>
      </c>
      <c r="AA1923" s="1">
        <v>0.0</v>
      </c>
      <c r="AC1923" s="1">
        <v>0.0</v>
      </c>
      <c r="AM1923" s="1">
        <v>20733.0</v>
      </c>
      <c r="AN1923" s="1">
        <v>20733.0</v>
      </c>
      <c r="AO1923" s="1">
        <v>20733.0</v>
      </c>
      <c r="AP1923" s="1">
        <v>7.942</v>
      </c>
      <c r="AR1923" s="1">
        <v>0.0</v>
      </c>
      <c r="AW1923" s="1">
        <v>0.0</v>
      </c>
      <c r="AX1923" s="1">
        <v>4.0</v>
      </c>
      <c r="AY1923" s="1">
        <v>4.0</v>
      </c>
      <c r="BA1923" s="1">
        <v>0.0</v>
      </c>
      <c r="BB1923" s="1">
        <v>0.0</v>
      </c>
      <c r="BC1923" s="1">
        <v>0.0</v>
      </c>
      <c r="BD1923" s="1">
        <v>0.0</v>
      </c>
      <c r="BE1923" s="1">
        <v>0.0</v>
      </c>
      <c r="BF1923" s="1">
        <v>0.0</v>
      </c>
      <c r="BG1923" s="1">
        <v>0.0</v>
      </c>
      <c r="BH1923" s="1">
        <v>0.0</v>
      </c>
      <c r="BI1923" s="1">
        <v>0.0</v>
      </c>
      <c r="BJ1923" s="1">
        <v>0.0</v>
      </c>
      <c r="BP1923" s="1">
        <v>0.265</v>
      </c>
      <c r="BQ1923" s="1" t="s">
        <v>6369</v>
      </c>
      <c r="BV1923" s="1">
        <v>1.1</v>
      </c>
      <c r="EQ1923" s="9" t="s">
        <v>6368</v>
      </c>
      <c r="ER1923" s="21">
        <v>46045.301469907405</v>
      </c>
    </row>
    <row r="1924">
      <c r="A1924" s="9" t="s">
        <v>6370</v>
      </c>
      <c r="B1924" s="20" t="str">
        <f>IFERROR(__xludf.DUMMYFUNCTION("REGEXREPLACE(A1924, ""^https?://[^/]+"", """")"),"/five-sales-recruiting-strategies-for-finding-top-sales-talent/")</f>
        <v>/five-sales-recruiting-strategies-for-finding-top-sales-talent/</v>
      </c>
      <c r="C1924" s="1" t="s">
        <v>6371</v>
      </c>
      <c r="D1924" s="1" t="s">
        <v>6372</v>
      </c>
      <c r="E1924" s="1" t="s">
        <v>6373</v>
      </c>
      <c r="F1924" s="1" t="s">
        <v>965</v>
      </c>
      <c r="G1924" s="1">
        <v>200.0</v>
      </c>
      <c r="H1924" s="1" t="s">
        <v>966</v>
      </c>
      <c r="I1924" s="1" t="s">
        <v>967</v>
      </c>
      <c r="K1924" s="1" t="s">
        <v>6374</v>
      </c>
      <c r="L1924" s="1">
        <v>86.0</v>
      </c>
      <c r="M1924" s="1">
        <v>753.0</v>
      </c>
      <c r="O1924" s="1">
        <v>0.0</v>
      </c>
      <c r="P1924" s="1">
        <v>0.0</v>
      </c>
      <c r="Q1924" s="1" t="s">
        <v>6375</v>
      </c>
      <c r="R1924" s="1">
        <v>138.0</v>
      </c>
      <c r="S1924" s="1">
        <v>816.0</v>
      </c>
      <c r="U1924" s="1">
        <v>0.0</v>
      </c>
      <c r="V1924" s="1" t="s">
        <v>6371</v>
      </c>
      <c r="W1924" s="1">
        <v>61.0</v>
      </c>
      <c r="Y1924" s="1">
        <v>0.0</v>
      </c>
      <c r="Z1924" s="1" t="s">
        <v>6372</v>
      </c>
      <c r="AA1924" s="1">
        <v>49.0</v>
      </c>
      <c r="AB1924" s="1" t="s">
        <v>6373</v>
      </c>
      <c r="AC1924" s="1">
        <v>27.0</v>
      </c>
      <c r="AD1924" s="1" t="s">
        <v>971</v>
      </c>
      <c r="AG1924" s="9" t="s">
        <v>6370</v>
      </c>
      <c r="AM1924" s="1">
        <v>201840.0</v>
      </c>
      <c r="AN1924" s="1">
        <v>35773.0</v>
      </c>
      <c r="AO1924" s="1">
        <v>35773.0</v>
      </c>
      <c r="AP1924" s="1">
        <v>13.704</v>
      </c>
      <c r="AR1924" s="1">
        <v>1293.0</v>
      </c>
      <c r="AS1924" s="1">
        <v>197.0</v>
      </c>
      <c r="AT1924" s="1">
        <v>6.563</v>
      </c>
      <c r="AU1924" s="1">
        <v>62.248</v>
      </c>
      <c r="AV1924" s="1" t="s">
        <v>990</v>
      </c>
      <c r="AW1924" s="1">
        <v>5.15</v>
      </c>
      <c r="AX1924" s="1">
        <v>4.0</v>
      </c>
      <c r="AY1924" s="1">
        <v>1.0</v>
      </c>
      <c r="AZ1924" s="1">
        <v>1.0</v>
      </c>
      <c r="BA1924" s="1">
        <v>5.0</v>
      </c>
      <c r="BB1924" s="1">
        <v>4.0</v>
      </c>
      <c r="BC1924" s="1">
        <v>0.0</v>
      </c>
      <c r="BD1924" s="1">
        <v>0.53</v>
      </c>
      <c r="BE1924" s="1">
        <v>136.0</v>
      </c>
      <c r="BF1924" s="1">
        <v>51.0</v>
      </c>
      <c r="BG1924" s="1">
        <v>0.0</v>
      </c>
      <c r="BH1924" s="1">
        <v>16.0</v>
      </c>
      <c r="BI1924" s="1">
        <v>8.0</v>
      </c>
      <c r="BJ1924" s="1">
        <v>0.0</v>
      </c>
      <c r="BO1924" s="1" t="s">
        <v>6376</v>
      </c>
      <c r="BP1924" s="1">
        <v>1.048</v>
      </c>
      <c r="BU1924" s="1" t="s">
        <v>974</v>
      </c>
      <c r="BV1924" s="1">
        <v>1.1</v>
      </c>
      <c r="EQ1924" s="9" t="s">
        <v>6370</v>
      </c>
      <c r="ER1924" s="21">
        <v>46045.301458333335</v>
      </c>
    </row>
    <row r="1925">
      <c r="A1925" s="9" t="s">
        <v>6377</v>
      </c>
      <c r="B1925" s="20" t="str">
        <f>IFERROR(__xludf.DUMMYFUNCTION("REGEXREPLACE(A1925, ""^https?://[^/]+"", """")"),"/wp-content/themes/salesxceleratione/assets/css/style.css?ver=1769123523")</f>
        <v>/wp-content/themes/salesxceleratione/assets/css/style.css?ver=1769123523</v>
      </c>
      <c r="F1925" s="1" t="s">
        <v>1016</v>
      </c>
      <c r="G1925" s="1">
        <v>200.0</v>
      </c>
      <c r="H1925" s="1" t="s">
        <v>966</v>
      </c>
      <c r="I1925" s="1" t="s">
        <v>967</v>
      </c>
      <c r="L1925" s="1">
        <v>0.0</v>
      </c>
      <c r="M1925" s="1">
        <v>0.0</v>
      </c>
      <c r="O1925" s="1">
        <v>0.0</v>
      </c>
      <c r="P1925" s="1">
        <v>0.0</v>
      </c>
      <c r="R1925" s="1">
        <v>0.0</v>
      </c>
      <c r="S1925" s="1">
        <v>0.0</v>
      </c>
      <c r="U1925" s="1">
        <v>0.0</v>
      </c>
      <c r="W1925" s="1">
        <v>0.0</v>
      </c>
      <c r="Y1925" s="1">
        <v>0.0</v>
      </c>
      <c r="AA1925" s="1">
        <v>0.0</v>
      </c>
      <c r="AC1925" s="1">
        <v>0.0</v>
      </c>
      <c r="AM1925" s="1">
        <v>17704.0</v>
      </c>
      <c r="AN1925" s="1">
        <v>17704.0</v>
      </c>
      <c r="AO1925" s="1">
        <v>17704.0</v>
      </c>
      <c r="AP1925" s="1">
        <v>6.782</v>
      </c>
      <c r="AR1925" s="1">
        <v>0.0</v>
      </c>
      <c r="AW1925" s="1">
        <v>0.0</v>
      </c>
      <c r="AX1925" s="1">
        <v>4.0</v>
      </c>
      <c r="AY1925" s="1">
        <v>5.0</v>
      </c>
      <c r="BA1925" s="1">
        <v>0.0</v>
      </c>
      <c r="BB1925" s="1">
        <v>0.0</v>
      </c>
      <c r="BC1925" s="1">
        <v>0.0</v>
      </c>
      <c r="BD1925" s="1">
        <v>0.0</v>
      </c>
      <c r="BE1925" s="1">
        <v>0.0</v>
      </c>
      <c r="BF1925" s="1">
        <v>0.0</v>
      </c>
      <c r="BG1925" s="1">
        <v>0.0</v>
      </c>
      <c r="BH1925" s="1">
        <v>0.0</v>
      </c>
      <c r="BI1925" s="1">
        <v>0.0</v>
      </c>
      <c r="BJ1925" s="1">
        <v>0.0</v>
      </c>
      <c r="BP1925" s="1">
        <v>0.268</v>
      </c>
      <c r="BQ1925" s="1" t="s">
        <v>6378</v>
      </c>
      <c r="BV1925" s="1">
        <v>1.1</v>
      </c>
      <c r="EQ1925" s="9" t="s">
        <v>6377</v>
      </c>
      <c r="ER1925" s="21">
        <v>46045.30148148148</v>
      </c>
    </row>
    <row r="1926">
      <c r="A1926" s="9" t="s">
        <v>6379</v>
      </c>
      <c r="B1926" s="20" t="str">
        <f>IFERROR(__xludf.DUMMYFUNCTION("REGEXREPLACE(A1926, ""^https?://[^/]+"", """")"),"/wp-content/uploads/2022/12/Job-Hopping-300x200.jpg")</f>
        <v>/wp-content/uploads/2022/12/Job-Hopping-300x200.jpg</v>
      </c>
      <c r="F1926" s="1" t="s">
        <v>1004</v>
      </c>
      <c r="G1926" s="1">
        <v>200.0</v>
      </c>
      <c r="H1926" s="1" t="s">
        <v>966</v>
      </c>
      <c r="I1926" s="1" t="s">
        <v>967</v>
      </c>
      <c r="L1926" s="1">
        <v>0.0</v>
      </c>
      <c r="M1926" s="1">
        <v>0.0</v>
      </c>
      <c r="O1926" s="1">
        <v>0.0</v>
      </c>
      <c r="P1926" s="1">
        <v>0.0</v>
      </c>
      <c r="R1926" s="1">
        <v>0.0</v>
      </c>
      <c r="S1926" s="1">
        <v>0.0</v>
      </c>
      <c r="U1926" s="1">
        <v>0.0</v>
      </c>
      <c r="W1926" s="1">
        <v>0.0</v>
      </c>
      <c r="Y1926" s="1">
        <v>0.0</v>
      </c>
      <c r="AA1926" s="1">
        <v>0.0</v>
      </c>
      <c r="AC1926" s="1">
        <v>0.0</v>
      </c>
      <c r="AM1926" s="1">
        <v>12576.0</v>
      </c>
      <c r="AN1926" s="1">
        <v>12576.0</v>
      </c>
      <c r="AO1926" s="1">
        <v>12576.0</v>
      </c>
      <c r="AP1926" s="1">
        <v>4.818</v>
      </c>
      <c r="AR1926" s="1">
        <v>0.0</v>
      </c>
      <c r="AW1926" s="1">
        <v>0.0</v>
      </c>
      <c r="AX1926" s="1">
        <v>4.0</v>
      </c>
      <c r="AY1926" s="1">
        <v>4.0</v>
      </c>
      <c r="BA1926" s="1">
        <v>0.0</v>
      </c>
      <c r="BB1926" s="1">
        <v>0.0</v>
      </c>
      <c r="BC1926" s="1">
        <v>0.0</v>
      </c>
      <c r="BD1926" s="1">
        <v>0.0</v>
      </c>
      <c r="BE1926" s="1">
        <v>0.0</v>
      </c>
      <c r="BF1926" s="1">
        <v>0.0</v>
      </c>
      <c r="BG1926" s="1">
        <v>0.0</v>
      </c>
      <c r="BH1926" s="1">
        <v>0.0</v>
      </c>
      <c r="BI1926" s="1">
        <v>0.0</v>
      </c>
      <c r="BJ1926" s="1">
        <v>0.0</v>
      </c>
      <c r="BP1926" s="1">
        <v>0.274</v>
      </c>
      <c r="BQ1926" s="1" t="s">
        <v>5579</v>
      </c>
      <c r="BV1926" s="1">
        <v>1.1</v>
      </c>
      <c r="EQ1926" s="9" t="s">
        <v>6379</v>
      </c>
      <c r="ER1926" s="21">
        <v>46045.30148148148</v>
      </c>
    </row>
    <row r="1927">
      <c r="A1927" s="9" t="s">
        <v>6380</v>
      </c>
      <c r="B1927" s="20" t="str">
        <f>IFERROR(__xludf.DUMMYFUNCTION("REGEXREPLACE(A1927, ""^https?://[^/]+"", """")"),"/hiring-a-sales-professional-use-fresh-strategies-to-sell-your-organization-to-top-talent/")</f>
        <v>/hiring-a-sales-professional-use-fresh-strategies-to-sell-your-organization-to-top-talent/</v>
      </c>
      <c r="C1927" s="1" t="s">
        <v>6381</v>
      </c>
      <c r="F1927" s="1" t="s">
        <v>965</v>
      </c>
      <c r="G1927" s="1">
        <v>200.0</v>
      </c>
      <c r="H1927" s="1" t="s">
        <v>966</v>
      </c>
      <c r="I1927" s="1" t="s">
        <v>967</v>
      </c>
      <c r="K1927" s="1" t="s">
        <v>6382</v>
      </c>
      <c r="L1927" s="1">
        <v>116.0</v>
      </c>
      <c r="M1927" s="1">
        <v>1013.0</v>
      </c>
      <c r="O1927" s="1">
        <v>0.0</v>
      </c>
      <c r="P1927" s="1">
        <v>0.0</v>
      </c>
      <c r="Q1927" s="1" t="s">
        <v>6383</v>
      </c>
      <c r="R1927" s="1">
        <v>59.0</v>
      </c>
      <c r="S1927" s="1">
        <v>359.0</v>
      </c>
      <c r="U1927" s="1">
        <v>0.0</v>
      </c>
      <c r="V1927" s="1" t="s">
        <v>6381</v>
      </c>
      <c r="W1927" s="1">
        <v>91.0</v>
      </c>
      <c r="Y1927" s="1">
        <v>0.0</v>
      </c>
      <c r="AA1927" s="1">
        <v>0.0</v>
      </c>
      <c r="AC1927" s="1">
        <v>0.0</v>
      </c>
      <c r="AD1927" s="1" t="s">
        <v>971</v>
      </c>
      <c r="AG1927" s="9" t="s">
        <v>6380</v>
      </c>
      <c r="AM1927" s="1">
        <v>200460.0</v>
      </c>
      <c r="AN1927" s="1">
        <v>34550.0</v>
      </c>
      <c r="AO1927" s="1">
        <v>34550.0</v>
      </c>
      <c r="AP1927" s="1">
        <v>13.235</v>
      </c>
      <c r="AR1927" s="1">
        <v>732.0</v>
      </c>
      <c r="AS1927" s="1">
        <v>122.0</v>
      </c>
      <c r="AT1927" s="1">
        <v>6.0</v>
      </c>
      <c r="AU1927" s="1">
        <v>62.519</v>
      </c>
      <c r="AV1927" s="1" t="s">
        <v>990</v>
      </c>
      <c r="AW1927" s="1">
        <v>3.445</v>
      </c>
      <c r="AX1927" s="1">
        <v>4.0</v>
      </c>
      <c r="AY1927" s="1">
        <v>1.0</v>
      </c>
      <c r="AZ1927" s="1">
        <v>1.0</v>
      </c>
      <c r="BA1927" s="1">
        <v>5.0</v>
      </c>
      <c r="BB1927" s="1">
        <v>2.0</v>
      </c>
      <c r="BC1927" s="1">
        <v>0.0</v>
      </c>
      <c r="BD1927" s="1">
        <v>0.27</v>
      </c>
      <c r="BE1927" s="1">
        <v>130.0</v>
      </c>
      <c r="BF1927" s="1">
        <v>47.0</v>
      </c>
      <c r="BG1927" s="1">
        <v>0.0</v>
      </c>
      <c r="BH1927" s="1">
        <v>19.0</v>
      </c>
      <c r="BI1927" s="1">
        <v>11.0</v>
      </c>
      <c r="BJ1927" s="1">
        <v>0.0</v>
      </c>
      <c r="BO1927" s="1" t="s">
        <v>6384</v>
      </c>
      <c r="BP1927" s="1">
        <v>1.003</v>
      </c>
      <c r="BU1927" s="1" t="s">
        <v>974</v>
      </c>
      <c r="BV1927" s="1">
        <v>1.1</v>
      </c>
      <c r="EQ1927" s="9" t="s">
        <v>6380</v>
      </c>
      <c r="ER1927" s="21">
        <v>46045.301469907405</v>
      </c>
    </row>
    <row r="1928">
      <c r="A1928" s="9" t="s">
        <v>6385</v>
      </c>
      <c r="B1928" s="20" t="str">
        <f>IFERROR(__xludf.DUMMYFUNCTION("REGEXREPLACE(A1928, ""^https?://[^/]+"", """")"),"/wp-content/uploads/2023/02/Hiring-Smarter-300x148.jpg")</f>
        <v>/wp-content/uploads/2023/02/Hiring-Smarter-300x148.jpg</v>
      </c>
      <c r="F1928" s="1" t="s">
        <v>1004</v>
      </c>
      <c r="G1928" s="1">
        <v>200.0</v>
      </c>
      <c r="H1928" s="1" t="s">
        <v>966</v>
      </c>
      <c r="I1928" s="1" t="s">
        <v>967</v>
      </c>
      <c r="L1928" s="1">
        <v>0.0</v>
      </c>
      <c r="M1928" s="1">
        <v>0.0</v>
      </c>
      <c r="O1928" s="1">
        <v>0.0</v>
      </c>
      <c r="P1928" s="1">
        <v>0.0</v>
      </c>
      <c r="R1928" s="1">
        <v>0.0</v>
      </c>
      <c r="S1928" s="1">
        <v>0.0</v>
      </c>
      <c r="U1928" s="1">
        <v>0.0</v>
      </c>
      <c r="W1928" s="1">
        <v>0.0</v>
      </c>
      <c r="Y1928" s="1">
        <v>0.0</v>
      </c>
      <c r="AA1928" s="1">
        <v>0.0</v>
      </c>
      <c r="AC1928" s="1">
        <v>0.0</v>
      </c>
      <c r="AM1928" s="1">
        <v>9070.0</v>
      </c>
      <c r="AN1928" s="1">
        <v>9070.0</v>
      </c>
      <c r="AO1928" s="1">
        <v>9070.0</v>
      </c>
      <c r="AP1928" s="1">
        <v>3.475</v>
      </c>
      <c r="AR1928" s="1">
        <v>0.0</v>
      </c>
      <c r="AW1928" s="1">
        <v>0.0</v>
      </c>
      <c r="AX1928" s="1">
        <v>4.0</v>
      </c>
      <c r="AY1928" s="1">
        <v>4.0</v>
      </c>
      <c r="BA1928" s="1">
        <v>0.0</v>
      </c>
      <c r="BB1928" s="1">
        <v>0.0</v>
      </c>
      <c r="BC1928" s="1">
        <v>0.0</v>
      </c>
      <c r="BD1928" s="1">
        <v>0.0</v>
      </c>
      <c r="BE1928" s="1">
        <v>0.0</v>
      </c>
      <c r="BF1928" s="1">
        <v>0.0</v>
      </c>
      <c r="BG1928" s="1">
        <v>0.0</v>
      </c>
      <c r="BH1928" s="1">
        <v>0.0</v>
      </c>
      <c r="BI1928" s="1">
        <v>0.0</v>
      </c>
      <c r="BJ1928" s="1">
        <v>0.0</v>
      </c>
      <c r="BP1928" s="1">
        <v>0.26</v>
      </c>
      <c r="BQ1928" s="1" t="s">
        <v>6386</v>
      </c>
      <c r="BV1928" s="1">
        <v>1.1</v>
      </c>
      <c r="EQ1928" s="9" t="s">
        <v>6385</v>
      </c>
      <c r="ER1928" s="21">
        <v>46045.30148148148</v>
      </c>
    </row>
    <row r="1929">
      <c r="A1929" s="9" t="s">
        <v>6387</v>
      </c>
      <c r="B1929" s="20" t="str">
        <f>IFERROR(__xludf.DUMMYFUNCTION("REGEXREPLACE(A1929, ""^https?://[^/]+"", """")"),"/fueling-sales-by-building-the-best-sales-engine-part-2/")</f>
        <v>/fueling-sales-by-building-the-best-sales-engine-part-2/</v>
      </c>
      <c r="C1929" s="1" t="s">
        <v>6388</v>
      </c>
      <c r="F1929" s="1" t="s">
        <v>965</v>
      </c>
      <c r="G1929" s="1">
        <v>200.0</v>
      </c>
      <c r="H1929" s="1" t="s">
        <v>966</v>
      </c>
      <c r="I1929" s="1" t="s">
        <v>967</v>
      </c>
      <c r="K1929" s="1" t="s">
        <v>6389</v>
      </c>
      <c r="L1929" s="1">
        <v>81.0</v>
      </c>
      <c r="M1929" s="1">
        <v>706.0</v>
      </c>
      <c r="O1929" s="1">
        <v>0.0</v>
      </c>
      <c r="P1929" s="1">
        <v>0.0</v>
      </c>
      <c r="Q1929" s="1" t="s">
        <v>6390</v>
      </c>
      <c r="R1929" s="1">
        <v>154.0</v>
      </c>
      <c r="S1929" s="1">
        <v>946.0</v>
      </c>
      <c r="U1929" s="1">
        <v>0.0</v>
      </c>
      <c r="V1929" s="1" t="s">
        <v>6388</v>
      </c>
      <c r="W1929" s="1">
        <v>56.0</v>
      </c>
      <c r="Y1929" s="1">
        <v>0.0</v>
      </c>
      <c r="AA1929" s="1">
        <v>0.0</v>
      </c>
      <c r="AC1929" s="1">
        <v>0.0</v>
      </c>
      <c r="AD1929" s="1" t="s">
        <v>971</v>
      </c>
      <c r="AG1929" s="9" t="s">
        <v>6387</v>
      </c>
      <c r="AM1929" s="1">
        <v>201912.0</v>
      </c>
      <c r="AN1929" s="1">
        <v>36482.0</v>
      </c>
      <c r="AO1929" s="1">
        <v>36482.0</v>
      </c>
      <c r="AP1929" s="1">
        <v>13.976</v>
      </c>
      <c r="AR1929" s="1">
        <v>1484.0</v>
      </c>
      <c r="AS1929" s="1">
        <v>220.0</v>
      </c>
      <c r="AT1929" s="1">
        <v>6.745</v>
      </c>
      <c r="AU1929" s="1">
        <v>64.138</v>
      </c>
      <c r="AV1929" s="1" t="s">
        <v>990</v>
      </c>
      <c r="AW1929" s="1">
        <v>5.69</v>
      </c>
      <c r="AX1929" s="1">
        <v>4.0</v>
      </c>
      <c r="AY1929" s="1">
        <v>1.0</v>
      </c>
      <c r="AZ1929" s="1">
        <v>1.0</v>
      </c>
      <c r="BA1929" s="1">
        <v>7.0</v>
      </c>
      <c r="BB1929" s="1">
        <v>4.0</v>
      </c>
      <c r="BC1929" s="1">
        <v>0.0</v>
      </c>
      <c r="BD1929" s="1">
        <v>0.53</v>
      </c>
      <c r="BE1929" s="1">
        <v>134.0</v>
      </c>
      <c r="BF1929" s="1">
        <v>50.0</v>
      </c>
      <c r="BG1929" s="1">
        <v>0.0</v>
      </c>
      <c r="BH1929" s="1">
        <v>16.0</v>
      </c>
      <c r="BI1929" s="1">
        <v>8.0</v>
      </c>
      <c r="BJ1929" s="1">
        <v>0.0</v>
      </c>
      <c r="BO1929" s="1" t="s">
        <v>6391</v>
      </c>
      <c r="BP1929" s="1">
        <v>1.032</v>
      </c>
      <c r="BU1929" s="1" t="s">
        <v>974</v>
      </c>
      <c r="BV1929" s="1">
        <v>1.1</v>
      </c>
      <c r="EQ1929" s="9" t="s">
        <v>6387</v>
      </c>
      <c r="ER1929" s="21">
        <v>46045.301469907405</v>
      </c>
    </row>
    <row r="1930">
      <c r="A1930" s="9" t="s">
        <v>6392</v>
      </c>
      <c r="B1930" s="20" t="str">
        <f>IFERROR(__xludf.DUMMYFUNCTION("REGEXREPLACE(A1930, ""^https?://[^/]+"", """")"),"/hiring-smarter-the-importance-of-understanding-an-ideal-candidate-profile/")</f>
        <v>/hiring-smarter-the-importance-of-understanding-an-ideal-candidate-profile/</v>
      </c>
      <c r="C1930" s="1" t="s">
        <v>6393</v>
      </c>
      <c r="F1930" s="1" t="s">
        <v>965</v>
      </c>
      <c r="G1930" s="1">
        <v>200.0</v>
      </c>
      <c r="H1930" s="1" t="s">
        <v>966</v>
      </c>
      <c r="I1930" s="1" t="s">
        <v>967</v>
      </c>
      <c r="K1930" s="1" t="s">
        <v>6394</v>
      </c>
      <c r="L1930" s="1">
        <v>99.0</v>
      </c>
      <c r="M1930" s="1">
        <v>890.0</v>
      </c>
      <c r="O1930" s="1">
        <v>0.0</v>
      </c>
      <c r="P1930" s="1">
        <v>0.0</v>
      </c>
      <c r="Q1930" s="1" t="s">
        <v>6395</v>
      </c>
      <c r="R1930" s="1">
        <v>89.0</v>
      </c>
      <c r="S1930" s="1">
        <v>530.0</v>
      </c>
      <c r="U1930" s="1">
        <v>0.0</v>
      </c>
      <c r="V1930" s="1" t="s">
        <v>6393</v>
      </c>
      <c r="W1930" s="1">
        <v>74.0</v>
      </c>
      <c r="Y1930" s="1">
        <v>0.0</v>
      </c>
      <c r="AA1930" s="1">
        <v>0.0</v>
      </c>
      <c r="AC1930" s="1">
        <v>0.0</v>
      </c>
      <c r="AD1930" s="1" t="s">
        <v>971</v>
      </c>
      <c r="AG1930" s="9" t="s">
        <v>6392</v>
      </c>
      <c r="AM1930" s="1">
        <v>201898.0</v>
      </c>
      <c r="AN1930" s="1">
        <v>35346.0</v>
      </c>
      <c r="AO1930" s="1">
        <v>35346.0</v>
      </c>
      <c r="AP1930" s="1">
        <v>13.54</v>
      </c>
      <c r="AR1930" s="1">
        <v>1137.0</v>
      </c>
      <c r="AS1930" s="1">
        <v>169.0</v>
      </c>
      <c r="AT1930" s="1">
        <v>6.728</v>
      </c>
      <c r="AU1930" s="1">
        <v>59.75</v>
      </c>
      <c r="AV1930" s="1" t="s">
        <v>972</v>
      </c>
      <c r="AW1930" s="1">
        <v>4.678</v>
      </c>
      <c r="AX1930" s="1">
        <v>4.0</v>
      </c>
      <c r="AY1930" s="1">
        <v>1.0</v>
      </c>
      <c r="AZ1930" s="1">
        <v>1.0</v>
      </c>
      <c r="BA1930" s="1">
        <v>5.0</v>
      </c>
      <c r="BB1930" s="1">
        <v>2.0</v>
      </c>
      <c r="BC1930" s="1">
        <v>0.0</v>
      </c>
      <c r="BD1930" s="1">
        <v>0.27</v>
      </c>
      <c r="BE1930" s="1">
        <v>132.0</v>
      </c>
      <c r="BF1930" s="1">
        <v>49.0</v>
      </c>
      <c r="BG1930" s="1">
        <v>0.0</v>
      </c>
      <c r="BH1930" s="1">
        <v>16.0</v>
      </c>
      <c r="BI1930" s="1">
        <v>8.0</v>
      </c>
      <c r="BJ1930" s="1">
        <v>0.0</v>
      </c>
      <c r="BO1930" s="1" t="s">
        <v>6396</v>
      </c>
      <c r="BP1930" s="1">
        <v>1.015</v>
      </c>
      <c r="BU1930" s="1" t="s">
        <v>974</v>
      </c>
      <c r="BV1930" s="1">
        <v>1.1</v>
      </c>
      <c r="EQ1930" s="9" t="s">
        <v>6392</v>
      </c>
      <c r="ER1930" s="21">
        <v>46045.30148148148</v>
      </c>
    </row>
    <row r="1931">
      <c r="A1931" s="9" t="s">
        <v>6397</v>
      </c>
      <c r="B1931" s="20" t="str">
        <f>IFERROR(__xludf.DUMMYFUNCTION("REGEXREPLACE(A1931, ""^https?://[^/]+"", """")"),"/sales-jobs-are-changing-how-to-keep-up-and-keep-talent/")</f>
        <v>/sales-jobs-are-changing-how-to-keep-up-and-keep-talent/</v>
      </c>
      <c r="C1931" s="1" t="s">
        <v>6398</v>
      </c>
      <c r="F1931" s="1" t="s">
        <v>965</v>
      </c>
      <c r="G1931" s="1">
        <v>200.0</v>
      </c>
      <c r="H1931" s="1" t="s">
        <v>966</v>
      </c>
      <c r="I1931" s="1" t="s">
        <v>967</v>
      </c>
      <c r="K1931" s="1" t="s">
        <v>6399</v>
      </c>
      <c r="L1931" s="1">
        <v>80.0</v>
      </c>
      <c r="M1931" s="1">
        <v>739.0</v>
      </c>
      <c r="O1931" s="1">
        <v>0.0</v>
      </c>
      <c r="P1931" s="1">
        <v>0.0</v>
      </c>
      <c r="Q1931" s="1" t="s">
        <v>6400</v>
      </c>
      <c r="R1931" s="1">
        <v>101.0</v>
      </c>
      <c r="S1931" s="1">
        <v>605.0</v>
      </c>
      <c r="U1931" s="1">
        <v>0.0</v>
      </c>
      <c r="V1931" s="1" t="s">
        <v>6398</v>
      </c>
      <c r="W1931" s="1">
        <v>55.0</v>
      </c>
      <c r="Y1931" s="1">
        <v>0.0</v>
      </c>
      <c r="AA1931" s="1">
        <v>0.0</v>
      </c>
      <c r="AC1931" s="1">
        <v>0.0</v>
      </c>
      <c r="AD1931" s="1" t="s">
        <v>971</v>
      </c>
      <c r="AG1931" s="9" t="s">
        <v>6397</v>
      </c>
      <c r="AM1931" s="1">
        <v>199227.0</v>
      </c>
      <c r="AN1931" s="1">
        <v>34583.0</v>
      </c>
      <c r="AO1931" s="1">
        <v>34583.0</v>
      </c>
      <c r="AP1931" s="1">
        <v>13.248</v>
      </c>
      <c r="AR1931" s="1">
        <v>768.0</v>
      </c>
      <c r="AS1931" s="1">
        <v>125.0</v>
      </c>
      <c r="AT1931" s="1">
        <v>6.144</v>
      </c>
      <c r="AU1931" s="1">
        <v>62.022</v>
      </c>
      <c r="AV1931" s="1" t="s">
        <v>990</v>
      </c>
      <c r="AW1931" s="1">
        <v>3.583</v>
      </c>
      <c r="AX1931" s="1">
        <v>4.0</v>
      </c>
      <c r="AY1931" s="1">
        <v>1.0</v>
      </c>
      <c r="AZ1931" s="1">
        <v>1.0</v>
      </c>
      <c r="BA1931" s="1">
        <v>5.0</v>
      </c>
      <c r="BB1931" s="1">
        <v>2.0</v>
      </c>
      <c r="BC1931" s="1">
        <v>0.0</v>
      </c>
      <c r="BD1931" s="1">
        <v>0.27</v>
      </c>
      <c r="BE1931" s="1">
        <v>131.0</v>
      </c>
      <c r="BF1931" s="1">
        <v>47.0</v>
      </c>
      <c r="BG1931" s="1">
        <v>0.0</v>
      </c>
      <c r="BH1931" s="1">
        <v>19.0</v>
      </c>
      <c r="BI1931" s="1">
        <v>11.0</v>
      </c>
      <c r="BJ1931" s="1">
        <v>0.0</v>
      </c>
      <c r="BO1931" s="1" t="s">
        <v>6401</v>
      </c>
      <c r="BP1931" s="1">
        <v>1.143</v>
      </c>
      <c r="BU1931" s="1" t="s">
        <v>974</v>
      </c>
      <c r="BV1931" s="1">
        <v>1.1</v>
      </c>
      <c r="EQ1931" s="9" t="s">
        <v>6397</v>
      </c>
      <c r="ER1931" s="21">
        <v>46045.30148148148</v>
      </c>
    </row>
    <row r="1932">
      <c r="A1932" s="9" t="s">
        <v>6402</v>
      </c>
      <c r="B1932" s="20" t="str">
        <f>IFERROR(__xludf.DUMMYFUNCTION("REGEXREPLACE(A1932, ""^https?://[^/]+"", """")"),"/how-to-secure-sales-talent-by-talking-compensation-during-recruiting/")</f>
        <v>/how-to-secure-sales-talent-by-talking-compensation-during-recruiting/</v>
      </c>
      <c r="C1932" s="1" t="s">
        <v>6403</v>
      </c>
      <c r="F1932" s="1" t="s">
        <v>965</v>
      </c>
      <c r="G1932" s="1">
        <v>200.0</v>
      </c>
      <c r="H1932" s="1" t="s">
        <v>966</v>
      </c>
      <c r="I1932" s="1" t="s">
        <v>967</v>
      </c>
      <c r="K1932" s="1" t="s">
        <v>6404</v>
      </c>
      <c r="L1932" s="1">
        <v>93.0</v>
      </c>
      <c r="M1932" s="1">
        <v>849.0</v>
      </c>
      <c r="O1932" s="1">
        <v>0.0</v>
      </c>
      <c r="P1932" s="1">
        <v>0.0</v>
      </c>
      <c r="Q1932" s="1" t="s">
        <v>6405</v>
      </c>
      <c r="R1932" s="1">
        <v>72.0</v>
      </c>
      <c r="S1932" s="1">
        <v>446.0</v>
      </c>
      <c r="U1932" s="1">
        <v>0.0</v>
      </c>
      <c r="V1932" s="1" t="s">
        <v>6403</v>
      </c>
      <c r="W1932" s="1">
        <v>68.0</v>
      </c>
      <c r="Y1932" s="1">
        <v>0.0</v>
      </c>
      <c r="AA1932" s="1">
        <v>0.0</v>
      </c>
      <c r="AC1932" s="1">
        <v>0.0</v>
      </c>
      <c r="AD1932" s="1" t="s">
        <v>971</v>
      </c>
      <c r="AG1932" s="9" t="s">
        <v>6402</v>
      </c>
      <c r="AM1932" s="1">
        <v>194759.0</v>
      </c>
      <c r="AN1932" s="1">
        <v>34115.0</v>
      </c>
      <c r="AO1932" s="1">
        <v>34115.0</v>
      </c>
      <c r="AP1932" s="1">
        <v>13.069</v>
      </c>
      <c r="AR1932" s="1">
        <v>705.0</v>
      </c>
      <c r="AS1932" s="1">
        <v>122.0</v>
      </c>
      <c r="AT1932" s="1">
        <v>5.779</v>
      </c>
      <c r="AU1932" s="1">
        <v>62.49</v>
      </c>
      <c r="AV1932" s="1" t="s">
        <v>990</v>
      </c>
      <c r="AW1932" s="1">
        <v>3.445</v>
      </c>
      <c r="AX1932" s="1">
        <v>4.0</v>
      </c>
      <c r="AY1932" s="1">
        <v>1.0</v>
      </c>
      <c r="AZ1932" s="1">
        <v>1.0</v>
      </c>
      <c r="BA1932" s="1">
        <v>7.0</v>
      </c>
      <c r="BB1932" s="1">
        <v>4.0</v>
      </c>
      <c r="BC1932" s="1">
        <v>0.0</v>
      </c>
      <c r="BD1932" s="1">
        <v>0.53</v>
      </c>
      <c r="BE1932" s="1">
        <v>129.0</v>
      </c>
      <c r="BF1932" s="1">
        <v>47.0</v>
      </c>
      <c r="BG1932" s="1">
        <v>0.0</v>
      </c>
      <c r="BH1932" s="1">
        <v>20.0</v>
      </c>
      <c r="BI1932" s="1">
        <v>12.0</v>
      </c>
      <c r="BJ1932" s="1">
        <v>0.0</v>
      </c>
      <c r="BO1932" s="1" t="s">
        <v>6406</v>
      </c>
      <c r="BP1932" s="1">
        <v>1.076</v>
      </c>
      <c r="BU1932" s="1" t="s">
        <v>974</v>
      </c>
      <c r="BV1932" s="1">
        <v>1.1</v>
      </c>
      <c r="EQ1932" s="9" t="s">
        <v>6402</v>
      </c>
      <c r="ER1932" s="21">
        <v>46045.30148148148</v>
      </c>
    </row>
    <row r="1933">
      <c r="A1933" s="9" t="s">
        <v>6407</v>
      </c>
      <c r="B1933" s="20" t="str">
        <f>IFERROR(__xludf.DUMMYFUNCTION("REGEXREPLACE(A1933, ""^https?://[^/]+"", """")"),"/is-poor-onboarding-sabotaging-your-sales-teams-success/")</f>
        <v>/is-poor-onboarding-sabotaging-your-sales-teams-success/</v>
      </c>
      <c r="C1933" s="1" t="s">
        <v>6408</v>
      </c>
      <c r="D1933" s="1" t="s">
        <v>6409</v>
      </c>
      <c r="E1933" s="1" t="s">
        <v>6410</v>
      </c>
      <c r="F1933" s="1" t="s">
        <v>965</v>
      </c>
      <c r="G1933" s="1">
        <v>200.0</v>
      </c>
      <c r="H1933" s="1" t="s">
        <v>966</v>
      </c>
      <c r="I1933" s="1" t="s">
        <v>967</v>
      </c>
      <c r="K1933" s="1" t="s">
        <v>6411</v>
      </c>
      <c r="L1933" s="1">
        <v>81.0</v>
      </c>
      <c r="M1933" s="1">
        <v>749.0</v>
      </c>
      <c r="O1933" s="1">
        <v>0.0</v>
      </c>
      <c r="P1933" s="1">
        <v>0.0</v>
      </c>
      <c r="Q1933" s="1" t="s">
        <v>6412</v>
      </c>
      <c r="R1933" s="1">
        <v>150.0</v>
      </c>
      <c r="S1933" s="1">
        <v>935.0</v>
      </c>
      <c r="U1933" s="1">
        <v>0.0</v>
      </c>
      <c r="V1933" s="1" t="s">
        <v>6408</v>
      </c>
      <c r="W1933" s="1">
        <v>56.0</v>
      </c>
      <c r="Y1933" s="1">
        <v>0.0</v>
      </c>
      <c r="Z1933" s="1" t="s">
        <v>6409</v>
      </c>
      <c r="AA1933" s="1">
        <v>39.0</v>
      </c>
      <c r="AB1933" s="1" t="s">
        <v>6410</v>
      </c>
      <c r="AC1933" s="1">
        <v>28.0</v>
      </c>
      <c r="AD1933" s="1" t="s">
        <v>971</v>
      </c>
      <c r="AG1933" s="9" t="s">
        <v>6407</v>
      </c>
      <c r="AM1933" s="1">
        <v>200395.0</v>
      </c>
      <c r="AN1933" s="1">
        <v>35289.0</v>
      </c>
      <c r="AO1933" s="1">
        <v>35289.0</v>
      </c>
      <c r="AP1933" s="1">
        <v>13.519</v>
      </c>
      <c r="AR1933" s="1">
        <v>1071.0</v>
      </c>
      <c r="AS1933" s="1">
        <v>160.0</v>
      </c>
      <c r="AT1933" s="1">
        <v>6.694</v>
      </c>
      <c r="AU1933" s="1">
        <v>62.516</v>
      </c>
      <c r="AV1933" s="1" t="s">
        <v>990</v>
      </c>
      <c r="AW1933" s="1">
        <v>4.496</v>
      </c>
      <c r="AX1933" s="1">
        <v>4.0</v>
      </c>
      <c r="AY1933" s="1">
        <v>1.0</v>
      </c>
      <c r="AZ1933" s="1">
        <v>1.0</v>
      </c>
      <c r="BA1933" s="1">
        <v>5.0</v>
      </c>
      <c r="BB1933" s="1">
        <v>2.0</v>
      </c>
      <c r="BC1933" s="1">
        <v>0.0</v>
      </c>
      <c r="BD1933" s="1">
        <v>0.27</v>
      </c>
      <c r="BE1933" s="1">
        <v>133.0</v>
      </c>
      <c r="BF1933" s="1">
        <v>50.0</v>
      </c>
      <c r="BG1933" s="1">
        <v>0.0</v>
      </c>
      <c r="BH1933" s="1">
        <v>16.0</v>
      </c>
      <c r="BI1933" s="1">
        <v>8.0</v>
      </c>
      <c r="BJ1933" s="1">
        <v>0.0</v>
      </c>
      <c r="BO1933" s="1" t="s">
        <v>6413</v>
      </c>
      <c r="BP1933" s="1">
        <v>0.998</v>
      </c>
      <c r="BU1933" s="1" t="s">
        <v>974</v>
      </c>
      <c r="BV1933" s="1">
        <v>1.1</v>
      </c>
      <c r="EQ1933" s="9" t="s">
        <v>6407</v>
      </c>
      <c r="ER1933" s="21">
        <v>46045.30148148148</v>
      </c>
    </row>
    <row r="1934">
      <c r="A1934" s="9" t="s">
        <v>6414</v>
      </c>
      <c r="B1934" s="20" t="str">
        <f>IFERROR(__xludf.DUMMYFUNCTION("REGEXREPLACE(A1934, ""^https?://[^/]+"", """")"),"/wp-content/uploads/2023/04/Onboarding-for-Sales-Success-300x199.jpg")</f>
        <v>/wp-content/uploads/2023/04/Onboarding-for-Sales-Success-300x199.jpg</v>
      </c>
      <c r="F1934" s="1" t="s">
        <v>1004</v>
      </c>
      <c r="G1934" s="1">
        <v>200.0</v>
      </c>
      <c r="H1934" s="1" t="s">
        <v>966</v>
      </c>
      <c r="I1934" s="1" t="s">
        <v>967</v>
      </c>
      <c r="L1934" s="1">
        <v>0.0</v>
      </c>
      <c r="M1934" s="1">
        <v>0.0</v>
      </c>
      <c r="O1934" s="1">
        <v>0.0</v>
      </c>
      <c r="P1934" s="1">
        <v>0.0</v>
      </c>
      <c r="R1934" s="1">
        <v>0.0</v>
      </c>
      <c r="S1934" s="1">
        <v>0.0</v>
      </c>
      <c r="U1934" s="1">
        <v>0.0</v>
      </c>
      <c r="W1934" s="1">
        <v>0.0</v>
      </c>
      <c r="Y1934" s="1">
        <v>0.0</v>
      </c>
      <c r="AA1934" s="1">
        <v>0.0</v>
      </c>
      <c r="AC1934" s="1">
        <v>0.0</v>
      </c>
      <c r="AM1934" s="1">
        <v>17129.0</v>
      </c>
      <c r="AN1934" s="1">
        <v>17129.0</v>
      </c>
      <c r="AO1934" s="1">
        <v>17129.0</v>
      </c>
      <c r="AP1934" s="1">
        <v>6.562</v>
      </c>
      <c r="AR1934" s="1">
        <v>0.0</v>
      </c>
      <c r="AW1934" s="1">
        <v>0.0</v>
      </c>
      <c r="AX1934" s="1">
        <v>4.0</v>
      </c>
      <c r="AY1934" s="1">
        <v>4.0</v>
      </c>
      <c r="BA1934" s="1">
        <v>0.0</v>
      </c>
      <c r="BB1934" s="1">
        <v>0.0</v>
      </c>
      <c r="BC1934" s="1">
        <v>0.0</v>
      </c>
      <c r="BD1934" s="1">
        <v>0.0</v>
      </c>
      <c r="BE1934" s="1">
        <v>0.0</v>
      </c>
      <c r="BF1934" s="1">
        <v>0.0</v>
      </c>
      <c r="BG1934" s="1">
        <v>0.0</v>
      </c>
      <c r="BH1934" s="1">
        <v>0.0</v>
      </c>
      <c r="BI1934" s="1">
        <v>0.0</v>
      </c>
      <c r="BJ1934" s="1">
        <v>0.0</v>
      </c>
      <c r="BP1934" s="1">
        <v>0.273</v>
      </c>
      <c r="BQ1934" s="1" t="s">
        <v>6415</v>
      </c>
      <c r="BV1934" s="1">
        <v>1.1</v>
      </c>
      <c r="EQ1934" s="9" t="s">
        <v>6414</v>
      </c>
      <c r="ER1934" s="21">
        <v>46045.30149305556</v>
      </c>
    </row>
    <row r="1935">
      <c r="A1935" s="9" t="s">
        <v>6416</v>
      </c>
      <c r="B1935" s="20" t="str">
        <f>IFERROR(__xludf.DUMMYFUNCTION("REGEXREPLACE(A1935, ""^https?://[^/]+"", """")"),"/wp-content/uploads/2022/10/Onboarding-300x300.jpg")</f>
        <v>/wp-content/uploads/2022/10/Onboarding-300x300.jpg</v>
      </c>
      <c r="F1935" s="1" t="s">
        <v>1004</v>
      </c>
      <c r="G1935" s="1">
        <v>200.0</v>
      </c>
      <c r="H1935" s="1" t="s">
        <v>966</v>
      </c>
      <c r="I1935" s="1" t="s">
        <v>967</v>
      </c>
      <c r="L1935" s="1">
        <v>0.0</v>
      </c>
      <c r="M1935" s="1">
        <v>0.0</v>
      </c>
      <c r="O1935" s="1">
        <v>0.0</v>
      </c>
      <c r="P1935" s="1">
        <v>0.0</v>
      </c>
      <c r="R1935" s="1">
        <v>0.0</v>
      </c>
      <c r="S1935" s="1">
        <v>0.0</v>
      </c>
      <c r="U1935" s="1">
        <v>0.0</v>
      </c>
      <c r="W1935" s="1">
        <v>0.0</v>
      </c>
      <c r="Y1935" s="1">
        <v>0.0</v>
      </c>
      <c r="AA1935" s="1">
        <v>0.0</v>
      </c>
      <c r="AC1935" s="1">
        <v>0.0</v>
      </c>
      <c r="AM1935" s="1">
        <v>10964.0</v>
      </c>
      <c r="AN1935" s="1">
        <v>10964.0</v>
      </c>
      <c r="AO1935" s="1">
        <v>10964.0</v>
      </c>
      <c r="AP1935" s="1">
        <v>4.2</v>
      </c>
      <c r="AR1935" s="1">
        <v>0.0</v>
      </c>
      <c r="AW1935" s="1">
        <v>0.0</v>
      </c>
      <c r="AX1935" s="1">
        <v>4.0</v>
      </c>
      <c r="AY1935" s="1">
        <v>4.0</v>
      </c>
      <c r="BA1935" s="1">
        <v>0.0</v>
      </c>
      <c r="BB1935" s="1">
        <v>0.0</v>
      </c>
      <c r="BC1935" s="1">
        <v>0.0</v>
      </c>
      <c r="BD1935" s="1">
        <v>0.0</v>
      </c>
      <c r="BE1935" s="1">
        <v>0.0</v>
      </c>
      <c r="BF1935" s="1">
        <v>0.0</v>
      </c>
      <c r="BG1935" s="1">
        <v>0.0</v>
      </c>
      <c r="BH1935" s="1">
        <v>0.0</v>
      </c>
      <c r="BI1935" s="1">
        <v>0.0</v>
      </c>
      <c r="BJ1935" s="1">
        <v>0.0</v>
      </c>
      <c r="BP1935" s="1">
        <v>0.27</v>
      </c>
      <c r="BQ1935" s="1" t="s">
        <v>6417</v>
      </c>
      <c r="BV1935" s="1">
        <v>1.1</v>
      </c>
      <c r="EQ1935" s="9" t="s">
        <v>6416</v>
      </c>
      <c r="ER1935" s="21">
        <v>46045.30149305556</v>
      </c>
    </row>
    <row r="1936">
      <c r="A1936" s="9" t="s">
        <v>6418</v>
      </c>
      <c r="B1936" s="20" t="str">
        <f>IFERROR(__xludf.DUMMYFUNCTION("REGEXREPLACE(A1936, ""^https?://[^/]+"", """")"),"/wp-content/uploads/2022/12/hiring-in-a-recession-300x180.jpg")</f>
        <v>/wp-content/uploads/2022/12/hiring-in-a-recession-300x180.jpg</v>
      </c>
      <c r="F1936" s="1" t="s">
        <v>1004</v>
      </c>
      <c r="G1936" s="1">
        <v>200.0</v>
      </c>
      <c r="H1936" s="1" t="s">
        <v>966</v>
      </c>
      <c r="I1936" s="1" t="s">
        <v>967</v>
      </c>
      <c r="L1936" s="1">
        <v>0.0</v>
      </c>
      <c r="M1936" s="1">
        <v>0.0</v>
      </c>
      <c r="O1936" s="1">
        <v>0.0</v>
      </c>
      <c r="P1936" s="1">
        <v>0.0</v>
      </c>
      <c r="R1936" s="1">
        <v>0.0</v>
      </c>
      <c r="S1936" s="1">
        <v>0.0</v>
      </c>
      <c r="U1936" s="1">
        <v>0.0</v>
      </c>
      <c r="W1936" s="1">
        <v>0.0</v>
      </c>
      <c r="Y1936" s="1">
        <v>0.0</v>
      </c>
      <c r="AA1936" s="1">
        <v>0.0</v>
      </c>
      <c r="AC1936" s="1">
        <v>0.0</v>
      </c>
      <c r="AM1936" s="1">
        <v>12240.0</v>
      </c>
      <c r="AN1936" s="1">
        <v>12240.0</v>
      </c>
      <c r="AO1936" s="1">
        <v>12240.0</v>
      </c>
      <c r="AP1936" s="1">
        <v>4.689</v>
      </c>
      <c r="AR1936" s="1">
        <v>0.0</v>
      </c>
      <c r="AW1936" s="1">
        <v>0.0</v>
      </c>
      <c r="AX1936" s="1">
        <v>4.0</v>
      </c>
      <c r="AY1936" s="1">
        <v>4.0</v>
      </c>
      <c r="BA1936" s="1">
        <v>0.0</v>
      </c>
      <c r="BB1936" s="1">
        <v>0.0</v>
      </c>
      <c r="BC1936" s="1">
        <v>0.0</v>
      </c>
      <c r="BD1936" s="1">
        <v>0.0</v>
      </c>
      <c r="BE1936" s="1">
        <v>0.0</v>
      </c>
      <c r="BF1936" s="1">
        <v>0.0</v>
      </c>
      <c r="BG1936" s="1">
        <v>0.0</v>
      </c>
      <c r="BH1936" s="1">
        <v>0.0</v>
      </c>
      <c r="BI1936" s="1">
        <v>0.0</v>
      </c>
      <c r="BJ1936" s="1">
        <v>0.0</v>
      </c>
      <c r="BP1936" s="1">
        <v>0.266</v>
      </c>
      <c r="BQ1936" s="1" t="s">
        <v>6419</v>
      </c>
      <c r="BV1936" s="1">
        <v>1.1</v>
      </c>
      <c r="EQ1936" s="9" t="s">
        <v>6418</v>
      </c>
      <c r="ER1936" s="21">
        <v>46045.30150462963</v>
      </c>
    </row>
    <row r="1937">
      <c r="A1937" s="9" t="s">
        <v>6420</v>
      </c>
      <c r="B1937" s="20" t="str">
        <f>IFERROR(__xludf.DUMMYFUNCTION("REGEXREPLACE(A1937, ""^https?://[^/]+"", """")"),"/wp-content/uploads/2022/06/Proactive-Hiring-300x189.jpg")</f>
        <v>/wp-content/uploads/2022/06/Proactive-Hiring-300x189.jpg</v>
      </c>
      <c r="F1937" s="1" t="s">
        <v>1004</v>
      </c>
      <c r="G1937" s="1">
        <v>200.0</v>
      </c>
      <c r="H1937" s="1" t="s">
        <v>966</v>
      </c>
      <c r="I1937" s="1" t="s">
        <v>967</v>
      </c>
      <c r="L1937" s="1">
        <v>0.0</v>
      </c>
      <c r="M1937" s="1">
        <v>0.0</v>
      </c>
      <c r="O1937" s="1">
        <v>0.0</v>
      </c>
      <c r="P1937" s="1">
        <v>0.0</v>
      </c>
      <c r="R1937" s="1">
        <v>0.0</v>
      </c>
      <c r="S1937" s="1">
        <v>0.0</v>
      </c>
      <c r="U1937" s="1">
        <v>0.0</v>
      </c>
      <c r="W1937" s="1">
        <v>0.0</v>
      </c>
      <c r="Y1937" s="1">
        <v>0.0</v>
      </c>
      <c r="AA1937" s="1">
        <v>0.0</v>
      </c>
      <c r="AC1937" s="1">
        <v>0.0</v>
      </c>
      <c r="AM1937" s="1">
        <v>19295.0</v>
      </c>
      <c r="AN1937" s="1">
        <v>19295.0</v>
      </c>
      <c r="AO1937" s="1">
        <v>19295.0</v>
      </c>
      <c r="AP1937" s="1">
        <v>7.392</v>
      </c>
      <c r="AR1937" s="1">
        <v>0.0</v>
      </c>
      <c r="AW1937" s="1">
        <v>0.0</v>
      </c>
      <c r="AX1937" s="1">
        <v>4.0</v>
      </c>
      <c r="AY1937" s="1">
        <v>4.0</v>
      </c>
      <c r="BA1937" s="1">
        <v>0.0</v>
      </c>
      <c r="BB1937" s="1">
        <v>0.0</v>
      </c>
      <c r="BC1937" s="1">
        <v>0.0</v>
      </c>
      <c r="BD1937" s="1">
        <v>0.0</v>
      </c>
      <c r="BE1937" s="1">
        <v>0.0</v>
      </c>
      <c r="BF1937" s="1">
        <v>0.0</v>
      </c>
      <c r="BG1937" s="1">
        <v>0.0</v>
      </c>
      <c r="BH1937" s="1">
        <v>0.0</v>
      </c>
      <c r="BI1937" s="1">
        <v>0.0</v>
      </c>
      <c r="BJ1937" s="1">
        <v>0.0</v>
      </c>
      <c r="BP1937" s="1">
        <v>0.26</v>
      </c>
      <c r="BQ1937" s="1" t="s">
        <v>6421</v>
      </c>
      <c r="BV1937" s="1">
        <v>1.1</v>
      </c>
      <c r="EQ1937" s="9" t="s">
        <v>6420</v>
      </c>
      <c r="ER1937" s="21">
        <v>46045.30150462963</v>
      </c>
    </row>
    <row r="1938">
      <c r="A1938" s="9" t="s">
        <v>6422</v>
      </c>
      <c r="B1938" s="20" t="str">
        <f>IFERROR(__xludf.DUMMYFUNCTION("REGEXREPLACE(A1938, ""^https?://[^/]+"", """")"),"/wp-content/uploads/2022/08/sales-jobs-are-changing-300x300.jpg")</f>
        <v>/wp-content/uploads/2022/08/sales-jobs-are-changing-300x300.jpg</v>
      </c>
      <c r="F1938" s="1" t="s">
        <v>1004</v>
      </c>
      <c r="G1938" s="1">
        <v>200.0</v>
      </c>
      <c r="H1938" s="1" t="s">
        <v>966</v>
      </c>
      <c r="I1938" s="1" t="s">
        <v>967</v>
      </c>
      <c r="L1938" s="1">
        <v>0.0</v>
      </c>
      <c r="M1938" s="1">
        <v>0.0</v>
      </c>
      <c r="O1938" s="1">
        <v>0.0</v>
      </c>
      <c r="P1938" s="1">
        <v>0.0</v>
      </c>
      <c r="R1938" s="1">
        <v>0.0</v>
      </c>
      <c r="S1938" s="1">
        <v>0.0</v>
      </c>
      <c r="U1938" s="1">
        <v>0.0</v>
      </c>
      <c r="W1938" s="1">
        <v>0.0</v>
      </c>
      <c r="Y1938" s="1">
        <v>0.0</v>
      </c>
      <c r="AA1938" s="1">
        <v>0.0</v>
      </c>
      <c r="AC1938" s="1">
        <v>0.0</v>
      </c>
      <c r="AM1938" s="1">
        <v>15773.0</v>
      </c>
      <c r="AN1938" s="1">
        <v>15773.0</v>
      </c>
      <c r="AO1938" s="1">
        <v>15773.0</v>
      </c>
      <c r="AP1938" s="1">
        <v>6.042</v>
      </c>
      <c r="AR1938" s="1">
        <v>0.0</v>
      </c>
      <c r="AW1938" s="1">
        <v>0.0</v>
      </c>
      <c r="AX1938" s="1">
        <v>4.0</v>
      </c>
      <c r="AY1938" s="1">
        <v>4.0</v>
      </c>
      <c r="BA1938" s="1">
        <v>0.0</v>
      </c>
      <c r="BB1938" s="1">
        <v>0.0</v>
      </c>
      <c r="BC1938" s="1">
        <v>0.0</v>
      </c>
      <c r="BD1938" s="1">
        <v>0.0</v>
      </c>
      <c r="BE1938" s="1">
        <v>0.0</v>
      </c>
      <c r="BF1938" s="1">
        <v>0.0</v>
      </c>
      <c r="BG1938" s="1">
        <v>0.0</v>
      </c>
      <c r="BH1938" s="1">
        <v>0.0</v>
      </c>
      <c r="BI1938" s="1">
        <v>0.0</v>
      </c>
      <c r="BJ1938" s="1">
        <v>0.0</v>
      </c>
      <c r="BP1938" s="1">
        <v>0.269</v>
      </c>
      <c r="BQ1938" s="1" t="s">
        <v>6423</v>
      </c>
      <c r="BV1938" s="1">
        <v>1.1</v>
      </c>
      <c r="EQ1938" s="9" t="s">
        <v>6422</v>
      </c>
      <c r="ER1938" s="21">
        <v>46045.30150462963</v>
      </c>
    </row>
    <row r="1939">
      <c r="A1939" s="9" t="s">
        <v>6424</v>
      </c>
      <c r="B1939" s="20" t="str">
        <f>IFERROR(__xludf.DUMMYFUNCTION("REGEXREPLACE(A1939, ""^https?://[^/]+"", """")"),"/wp-content/uploads/2022/04/Recruiting-Candidate-300x300.jpg")</f>
        <v>/wp-content/uploads/2022/04/Recruiting-Candidate-300x300.jpg</v>
      </c>
      <c r="F1939" s="1" t="s">
        <v>1004</v>
      </c>
      <c r="G1939" s="1">
        <v>200.0</v>
      </c>
      <c r="H1939" s="1" t="s">
        <v>966</v>
      </c>
      <c r="I1939" s="1" t="s">
        <v>967</v>
      </c>
      <c r="L1939" s="1">
        <v>0.0</v>
      </c>
      <c r="M1939" s="1">
        <v>0.0</v>
      </c>
      <c r="O1939" s="1">
        <v>0.0</v>
      </c>
      <c r="P1939" s="1">
        <v>0.0</v>
      </c>
      <c r="R1939" s="1">
        <v>0.0</v>
      </c>
      <c r="S1939" s="1">
        <v>0.0</v>
      </c>
      <c r="U1939" s="1">
        <v>0.0</v>
      </c>
      <c r="W1939" s="1">
        <v>0.0</v>
      </c>
      <c r="Y1939" s="1">
        <v>0.0</v>
      </c>
      <c r="AA1939" s="1">
        <v>0.0</v>
      </c>
      <c r="AC1939" s="1">
        <v>0.0</v>
      </c>
      <c r="AM1939" s="1">
        <v>9495.0</v>
      </c>
      <c r="AN1939" s="1">
        <v>9495.0</v>
      </c>
      <c r="AO1939" s="1">
        <v>9495.0</v>
      </c>
      <c r="AP1939" s="1">
        <v>3.637</v>
      </c>
      <c r="AR1939" s="1">
        <v>0.0</v>
      </c>
      <c r="AW1939" s="1">
        <v>0.0</v>
      </c>
      <c r="AX1939" s="1">
        <v>4.0</v>
      </c>
      <c r="AY1939" s="1">
        <v>4.0</v>
      </c>
      <c r="BA1939" s="1">
        <v>0.0</v>
      </c>
      <c r="BB1939" s="1">
        <v>0.0</v>
      </c>
      <c r="BC1939" s="1">
        <v>0.0</v>
      </c>
      <c r="BD1939" s="1">
        <v>0.0</v>
      </c>
      <c r="BE1939" s="1">
        <v>0.0</v>
      </c>
      <c r="BF1939" s="1">
        <v>0.0</v>
      </c>
      <c r="BG1939" s="1">
        <v>0.0</v>
      </c>
      <c r="BH1939" s="1">
        <v>0.0</v>
      </c>
      <c r="BI1939" s="1">
        <v>0.0</v>
      </c>
      <c r="BJ1939" s="1">
        <v>0.0</v>
      </c>
      <c r="BP1939" s="1">
        <v>0.258</v>
      </c>
      <c r="BQ1939" s="1" t="s">
        <v>6425</v>
      </c>
      <c r="BV1939" s="1">
        <v>1.1</v>
      </c>
      <c r="EQ1939" s="9" t="s">
        <v>6424</v>
      </c>
      <c r="ER1939" s="21">
        <v>46045.30150462963</v>
      </c>
    </row>
    <row r="1940">
      <c r="A1940" s="9" t="s">
        <v>6426</v>
      </c>
      <c r="B1940" s="20" t="str">
        <f>IFERROR(__xludf.DUMMYFUNCTION("REGEXREPLACE(A1940, ""^https?://[^/]+"", """")"),"/how-job-hopping-is-hurting-your-sales/")</f>
        <v>/how-job-hopping-is-hurting-your-sales/</v>
      </c>
      <c r="C1940" s="1" t="s">
        <v>6427</v>
      </c>
      <c r="D1940" s="1" t="s">
        <v>6428</v>
      </c>
      <c r="E1940" s="1" t="s">
        <v>6429</v>
      </c>
      <c r="F1940" s="1" t="s">
        <v>965</v>
      </c>
      <c r="G1940" s="1">
        <v>200.0</v>
      </c>
      <c r="H1940" s="1" t="s">
        <v>966</v>
      </c>
      <c r="I1940" s="1" t="s">
        <v>967</v>
      </c>
      <c r="K1940" s="1" t="s">
        <v>6430</v>
      </c>
      <c r="L1940" s="1">
        <v>59.0</v>
      </c>
      <c r="M1940" s="1">
        <v>543.0</v>
      </c>
      <c r="O1940" s="1">
        <v>0.0</v>
      </c>
      <c r="P1940" s="1">
        <v>0.0</v>
      </c>
      <c r="Q1940" s="1" t="s">
        <v>6431</v>
      </c>
      <c r="R1940" s="1">
        <v>157.0</v>
      </c>
      <c r="S1940" s="1">
        <v>953.0</v>
      </c>
      <c r="U1940" s="1">
        <v>0.0</v>
      </c>
      <c r="V1940" s="1" t="s">
        <v>6427</v>
      </c>
      <c r="W1940" s="1">
        <v>37.0</v>
      </c>
      <c r="Y1940" s="1">
        <v>0.0</v>
      </c>
      <c r="Z1940" s="1" t="s">
        <v>6428</v>
      </c>
      <c r="AA1940" s="1">
        <v>16.0</v>
      </c>
      <c r="AB1940" s="1" t="s">
        <v>6429</v>
      </c>
      <c r="AC1940" s="1">
        <v>46.0</v>
      </c>
      <c r="AD1940" s="1" t="s">
        <v>971</v>
      </c>
      <c r="AG1940" s="9" t="s">
        <v>6426</v>
      </c>
      <c r="AM1940" s="1">
        <v>207453.0</v>
      </c>
      <c r="AN1940" s="1">
        <v>38187.0</v>
      </c>
      <c r="AO1940" s="1">
        <v>38187.0</v>
      </c>
      <c r="AP1940" s="1">
        <v>14.629</v>
      </c>
      <c r="AR1940" s="1">
        <v>1901.0</v>
      </c>
      <c r="AS1940" s="1">
        <v>291.0</v>
      </c>
      <c r="AT1940" s="1">
        <v>6.533</v>
      </c>
      <c r="AU1940" s="1">
        <v>64.871</v>
      </c>
      <c r="AV1940" s="1" t="s">
        <v>990</v>
      </c>
      <c r="AW1940" s="1">
        <v>6.798</v>
      </c>
      <c r="AX1940" s="1">
        <v>4.0</v>
      </c>
      <c r="AY1940" s="1">
        <v>1.0</v>
      </c>
      <c r="AZ1940" s="1">
        <v>1.0</v>
      </c>
      <c r="BA1940" s="1">
        <v>7.0</v>
      </c>
      <c r="BB1940" s="1">
        <v>4.0</v>
      </c>
      <c r="BC1940" s="1">
        <v>0.0</v>
      </c>
      <c r="BD1940" s="1">
        <v>0.53</v>
      </c>
      <c r="BE1940" s="1">
        <v>133.0</v>
      </c>
      <c r="BF1940" s="1">
        <v>47.0</v>
      </c>
      <c r="BG1940" s="1">
        <v>0.0</v>
      </c>
      <c r="BH1940" s="1">
        <v>30.0</v>
      </c>
      <c r="BI1940" s="1">
        <v>21.0</v>
      </c>
      <c r="BJ1940" s="1">
        <v>0.0</v>
      </c>
      <c r="BO1940" s="1" t="s">
        <v>6432</v>
      </c>
      <c r="BP1940" s="1">
        <v>1.03</v>
      </c>
      <c r="BU1940" s="1" t="s">
        <v>974</v>
      </c>
      <c r="BV1940" s="1">
        <v>1.1</v>
      </c>
      <c r="EQ1940" s="9" t="s">
        <v>6426</v>
      </c>
      <c r="ER1940" s="21">
        <v>46045.30149305556</v>
      </c>
    </row>
    <row r="1941">
      <c r="A1941" s="9" t="s">
        <v>6433</v>
      </c>
      <c r="B1941" s="20" t="str">
        <f>IFERROR(__xludf.DUMMYFUNCTION("REGEXREPLACE(A1941, ""^https?://[^/]+"", """")"),"/wp-content/uploads/2022/04/hiring-sales-talent-500-1-300x300.jpeg")</f>
        <v>/wp-content/uploads/2022/04/hiring-sales-talent-500-1-300x300.jpeg</v>
      </c>
      <c r="F1941" s="1" t="s">
        <v>1004</v>
      </c>
      <c r="G1941" s="1">
        <v>200.0</v>
      </c>
      <c r="H1941" s="1" t="s">
        <v>966</v>
      </c>
      <c r="I1941" s="1" t="s">
        <v>967</v>
      </c>
      <c r="L1941" s="1">
        <v>0.0</v>
      </c>
      <c r="M1941" s="1">
        <v>0.0</v>
      </c>
      <c r="O1941" s="1">
        <v>0.0</v>
      </c>
      <c r="P1941" s="1">
        <v>0.0</v>
      </c>
      <c r="R1941" s="1">
        <v>0.0</v>
      </c>
      <c r="S1941" s="1">
        <v>0.0</v>
      </c>
      <c r="U1941" s="1">
        <v>0.0</v>
      </c>
      <c r="W1941" s="1">
        <v>0.0</v>
      </c>
      <c r="Y1941" s="1">
        <v>0.0</v>
      </c>
      <c r="AA1941" s="1">
        <v>0.0</v>
      </c>
      <c r="AC1941" s="1">
        <v>0.0</v>
      </c>
      <c r="AM1941" s="1">
        <v>24803.0</v>
      </c>
      <c r="AN1941" s="1">
        <v>24803.0</v>
      </c>
      <c r="AO1941" s="1">
        <v>24803.0</v>
      </c>
      <c r="AP1941" s="1">
        <v>9.502</v>
      </c>
      <c r="AR1941" s="1">
        <v>0.0</v>
      </c>
      <c r="AW1941" s="1">
        <v>0.0</v>
      </c>
      <c r="AX1941" s="1">
        <v>4.0</v>
      </c>
      <c r="AY1941" s="1">
        <v>4.0</v>
      </c>
      <c r="BA1941" s="1">
        <v>0.0</v>
      </c>
      <c r="BB1941" s="1">
        <v>0.0</v>
      </c>
      <c r="BC1941" s="1">
        <v>0.0</v>
      </c>
      <c r="BD1941" s="1">
        <v>0.0</v>
      </c>
      <c r="BE1941" s="1">
        <v>0.0</v>
      </c>
      <c r="BF1941" s="1">
        <v>0.0</v>
      </c>
      <c r="BG1941" s="1">
        <v>0.0</v>
      </c>
      <c r="BH1941" s="1">
        <v>0.0</v>
      </c>
      <c r="BI1941" s="1">
        <v>0.0</v>
      </c>
      <c r="BJ1941" s="1">
        <v>0.0</v>
      </c>
      <c r="BP1941" s="1">
        <v>0.262</v>
      </c>
      <c r="BQ1941" s="1" t="s">
        <v>6434</v>
      </c>
      <c r="BV1941" s="1">
        <v>1.1</v>
      </c>
      <c r="EQ1941" s="9" t="s">
        <v>6433</v>
      </c>
      <c r="ER1941" s="21">
        <v>46045.30150462963</v>
      </c>
    </row>
    <row r="1942">
      <c r="A1942" s="9" t="s">
        <v>6435</v>
      </c>
      <c r="B1942" s="20" t="str">
        <f>IFERROR(__xludf.DUMMYFUNCTION("REGEXREPLACE(A1942, ""^https?://[^/]+"", """")"),"/how-sales-teams-can-practice-proactive-rather-than-reactive-hiring/")</f>
        <v>/how-sales-teams-can-practice-proactive-rather-than-reactive-hiring/</v>
      </c>
      <c r="C1942" s="1" t="s">
        <v>6436</v>
      </c>
      <c r="F1942" s="1" t="s">
        <v>965</v>
      </c>
      <c r="G1942" s="1">
        <v>200.0</v>
      </c>
      <c r="H1942" s="1" t="s">
        <v>966</v>
      </c>
      <c r="I1942" s="1" t="s">
        <v>967</v>
      </c>
      <c r="K1942" s="1" t="s">
        <v>6437</v>
      </c>
      <c r="L1942" s="1">
        <v>48.0</v>
      </c>
      <c r="M1942" s="1">
        <v>419.0</v>
      </c>
      <c r="O1942" s="1">
        <v>0.0</v>
      </c>
      <c r="P1942" s="1">
        <v>0.0</v>
      </c>
      <c r="Q1942" s="1" t="s">
        <v>6438</v>
      </c>
      <c r="R1942" s="1">
        <v>155.0</v>
      </c>
      <c r="S1942" s="1">
        <v>934.0</v>
      </c>
      <c r="U1942" s="1">
        <v>0.0</v>
      </c>
      <c r="V1942" s="1" t="s">
        <v>6436</v>
      </c>
      <c r="W1942" s="1">
        <v>66.0</v>
      </c>
      <c r="Y1942" s="1">
        <v>0.0</v>
      </c>
      <c r="AA1942" s="1">
        <v>0.0</v>
      </c>
      <c r="AC1942" s="1">
        <v>0.0</v>
      </c>
      <c r="AD1942" s="1" t="s">
        <v>971</v>
      </c>
      <c r="AG1942" s="9" t="s">
        <v>6435</v>
      </c>
      <c r="AM1942" s="1">
        <v>206741.0</v>
      </c>
      <c r="AN1942" s="1">
        <v>37602.0</v>
      </c>
      <c r="AO1942" s="1">
        <v>37602.0</v>
      </c>
      <c r="AP1942" s="1">
        <v>14.405</v>
      </c>
      <c r="AR1942" s="1">
        <v>1909.0</v>
      </c>
      <c r="AS1942" s="1">
        <v>254.0</v>
      </c>
      <c r="AT1942" s="1">
        <v>7.516</v>
      </c>
      <c r="AU1942" s="1">
        <v>62.579</v>
      </c>
      <c r="AV1942" s="1" t="s">
        <v>990</v>
      </c>
      <c r="AW1942" s="1">
        <v>6.833</v>
      </c>
      <c r="AX1942" s="1">
        <v>4.0</v>
      </c>
      <c r="AY1942" s="1">
        <v>1.0</v>
      </c>
      <c r="AZ1942" s="1">
        <v>1.0</v>
      </c>
      <c r="BA1942" s="1">
        <v>2.0</v>
      </c>
      <c r="BB1942" s="1">
        <v>1.0</v>
      </c>
      <c r="BC1942" s="1">
        <v>0.0</v>
      </c>
      <c r="BD1942" s="1">
        <v>0.13</v>
      </c>
      <c r="BE1942" s="1">
        <v>133.0</v>
      </c>
      <c r="BF1942" s="1">
        <v>50.0</v>
      </c>
      <c r="BG1942" s="1">
        <v>0.0</v>
      </c>
      <c r="BH1942" s="1">
        <v>19.0</v>
      </c>
      <c r="BI1942" s="1">
        <v>11.0</v>
      </c>
      <c r="BJ1942" s="1">
        <v>0.0</v>
      </c>
      <c r="BO1942" s="1" t="s">
        <v>6439</v>
      </c>
      <c r="BP1942" s="1">
        <v>1.007</v>
      </c>
      <c r="BU1942" s="1" t="s">
        <v>974</v>
      </c>
      <c r="BV1942" s="1">
        <v>1.1</v>
      </c>
      <c r="EQ1942" s="9" t="s">
        <v>6435</v>
      </c>
      <c r="ER1942" s="21">
        <v>46045.30149305556</v>
      </c>
    </row>
    <row r="1943">
      <c r="A1943" s="9" t="s">
        <v>6440</v>
      </c>
      <c r="B1943" s="20" t="str">
        <f>IFERROR(__xludf.DUMMYFUNCTION("REGEXREPLACE(A1943, ""^https?://[^/]+"", """")"),"/wp-content/uploads/2021/01/Businessman-Taking-Time-to-Relax-scaled-1-300x200.jpg")</f>
        <v>/wp-content/uploads/2021/01/Businessman-Taking-Time-to-Relax-scaled-1-300x200.jpg</v>
      </c>
      <c r="F1943" s="1" t="s">
        <v>1004</v>
      </c>
      <c r="G1943" s="1">
        <v>200.0</v>
      </c>
      <c r="H1943" s="1" t="s">
        <v>966</v>
      </c>
      <c r="I1943" s="1" t="s">
        <v>967</v>
      </c>
      <c r="L1943" s="1">
        <v>0.0</v>
      </c>
      <c r="M1943" s="1">
        <v>0.0</v>
      </c>
      <c r="O1943" s="1">
        <v>0.0</v>
      </c>
      <c r="P1943" s="1">
        <v>0.0</v>
      </c>
      <c r="R1943" s="1">
        <v>0.0</v>
      </c>
      <c r="S1943" s="1">
        <v>0.0</v>
      </c>
      <c r="U1943" s="1">
        <v>0.0</v>
      </c>
      <c r="W1943" s="1">
        <v>0.0</v>
      </c>
      <c r="Y1943" s="1">
        <v>0.0</v>
      </c>
      <c r="AA1943" s="1">
        <v>0.0</v>
      </c>
      <c r="AC1943" s="1">
        <v>0.0</v>
      </c>
      <c r="AM1943" s="1">
        <v>13047.0</v>
      </c>
      <c r="AN1943" s="1">
        <v>13047.0</v>
      </c>
      <c r="AO1943" s="1">
        <v>13047.0</v>
      </c>
      <c r="AP1943" s="1">
        <v>4.998</v>
      </c>
      <c r="AR1943" s="1">
        <v>0.0</v>
      </c>
      <c r="AW1943" s="1">
        <v>0.0</v>
      </c>
      <c r="AX1943" s="1">
        <v>4.0</v>
      </c>
      <c r="AY1943" s="1">
        <v>4.0</v>
      </c>
      <c r="BA1943" s="1">
        <v>0.0</v>
      </c>
      <c r="BB1943" s="1">
        <v>0.0</v>
      </c>
      <c r="BC1943" s="1">
        <v>0.0</v>
      </c>
      <c r="BD1943" s="1">
        <v>0.0</v>
      </c>
      <c r="BE1943" s="1">
        <v>0.0</v>
      </c>
      <c r="BF1943" s="1">
        <v>0.0</v>
      </c>
      <c r="BG1943" s="1">
        <v>0.0</v>
      </c>
      <c r="BH1943" s="1">
        <v>0.0</v>
      </c>
      <c r="BI1943" s="1">
        <v>0.0</v>
      </c>
      <c r="BJ1943" s="1">
        <v>0.0</v>
      </c>
      <c r="BP1943" s="1">
        <v>0.276</v>
      </c>
      <c r="BQ1943" s="1" t="s">
        <v>6441</v>
      </c>
      <c r="BV1943" s="1">
        <v>1.1</v>
      </c>
      <c r="EQ1943" s="9" t="s">
        <v>6440</v>
      </c>
      <c r="ER1943" s="21">
        <v>46045.301516203705</v>
      </c>
    </row>
    <row r="1944">
      <c r="A1944" s="9" t="s">
        <v>6442</v>
      </c>
      <c r="B1944" s="20" t="str">
        <f>IFERROR(__xludf.DUMMYFUNCTION("REGEXREPLACE(A1944, ""^https?://[^/]+"", """")"),"/fueling-sales-by-building-the-best-sales-engine-part-1/")</f>
        <v>/fueling-sales-by-building-the-best-sales-engine-part-1/</v>
      </c>
      <c r="C1944" s="1" t="s">
        <v>6443</v>
      </c>
      <c r="F1944" s="1" t="s">
        <v>965</v>
      </c>
      <c r="G1944" s="1">
        <v>200.0</v>
      </c>
      <c r="H1944" s="1" t="s">
        <v>966</v>
      </c>
      <c r="I1944" s="1" t="s">
        <v>967</v>
      </c>
      <c r="K1944" s="1" t="s">
        <v>6444</v>
      </c>
      <c r="L1944" s="1">
        <v>81.0</v>
      </c>
      <c r="M1944" s="1">
        <v>706.0</v>
      </c>
      <c r="O1944" s="1">
        <v>0.0</v>
      </c>
      <c r="P1944" s="1">
        <v>0.0</v>
      </c>
      <c r="Q1944" s="1" t="s">
        <v>6445</v>
      </c>
      <c r="R1944" s="1">
        <v>145.0</v>
      </c>
      <c r="S1944" s="1">
        <v>898.0</v>
      </c>
      <c r="U1944" s="1">
        <v>0.0</v>
      </c>
      <c r="V1944" s="1" t="s">
        <v>6443</v>
      </c>
      <c r="W1944" s="1">
        <v>56.0</v>
      </c>
      <c r="Y1944" s="1">
        <v>0.0</v>
      </c>
      <c r="AA1944" s="1">
        <v>0.0</v>
      </c>
      <c r="AC1944" s="1">
        <v>0.0</v>
      </c>
      <c r="AD1944" s="1" t="s">
        <v>971</v>
      </c>
      <c r="AG1944" s="9" t="s">
        <v>6442</v>
      </c>
      <c r="AM1944" s="1">
        <v>201434.0</v>
      </c>
      <c r="AN1944" s="1">
        <v>36288.0</v>
      </c>
      <c r="AO1944" s="1">
        <v>36288.0</v>
      </c>
      <c r="AP1944" s="1">
        <v>13.901</v>
      </c>
      <c r="AR1944" s="1">
        <v>1420.0</v>
      </c>
      <c r="AS1944" s="1">
        <v>204.0</v>
      </c>
      <c r="AT1944" s="1">
        <v>6.961</v>
      </c>
      <c r="AU1944" s="1">
        <v>67.627</v>
      </c>
      <c r="AV1944" s="1" t="s">
        <v>990</v>
      </c>
      <c r="AW1944" s="1">
        <v>5.421</v>
      </c>
      <c r="AX1944" s="1">
        <v>4.0</v>
      </c>
      <c r="AY1944" s="1">
        <v>1.0</v>
      </c>
      <c r="AZ1944" s="1">
        <v>1.0</v>
      </c>
      <c r="BA1944" s="1">
        <v>7.0</v>
      </c>
      <c r="BB1944" s="1">
        <v>4.0</v>
      </c>
      <c r="BC1944" s="1">
        <v>0.0</v>
      </c>
      <c r="BD1944" s="1">
        <v>0.53</v>
      </c>
      <c r="BE1944" s="1">
        <v>132.0</v>
      </c>
      <c r="BF1944" s="1">
        <v>49.0</v>
      </c>
      <c r="BG1944" s="1">
        <v>0.0</v>
      </c>
      <c r="BH1944" s="1">
        <v>16.0</v>
      </c>
      <c r="BI1944" s="1">
        <v>8.0</v>
      </c>
      <c r="BJ1944" s="1">
        <v>0.0</v>
      </c>
      <c r="BO1944" s="1" t="s">
        <v>6446</v>
      </c>
      <c r="BP1944" s="1">
        <v>1.044</v>
      </c>
      <c r="BU1944" s="1" t="s">
        <v>974</v>
      </c>
      <c r="BV1944" s="1">
        <v>1.1</v>
      </c>
      <c r="EQ1944" s="9" t="s">
        <v>6442</v>
      </c>
      <c r="ER1944" s="21">
        <v>46045.30149305556</v>
      </c>
    </row>
    <row r="1945">
      <c r="A1945" s="9" t="s">
        <v>6447</v>
      </c>
      <c r="B1945" s="20" t="str">
        <f>IFERROR(__xludf.DUMMYFUNCTION("REGEXREPLACE(A1945, ""^https?://[^/]+"", """")"),"/wp-content/uploads/2020/11/Happy-Sales-Leader-Leading-a-Meeting-scaled-1-300x300.jpg")</f>
        <v>/wp-content/uploads/2020/11/Happy-Sales-Leader-Leading-a-Meeting-scaled-1-300x300.jpg</v>
      </c>
      <c r="F1945" s="1" t="s">
        <v>1004</v>
      </c>
      <c r="G1945" s="1">
        <v>200.0</v>
      </c>
      <c r="H1945" s="1" t="s">
        <v>966</v>
      </c>
      <c r="I1945" s="1" t="s">
        <v>967</v>
      </c>
      <c r="L1945" s="1">
        <v>0.0</v>
      </c>
      <c r="M1945" s="1">
        <v>0.0</v>
      </c>
      <c r="O1945" s="1">
        <v>0.0</v>
      </c>
      <c r="P1945" s="1">
        <v>0.0</v>
      </c>
      <c r="R1945" s="1">
        <v>0.0</v>
      </c>
      <c r="S1945" s="1">
        <v>0.0</v>
      </c>
      <c r="U1945" s="1">
        <v>0.0</v>
      </c>
      <c r="W1945" s="1">
        <v>0.0</v>
      </c>
      <c r="Y1945" s="1">
        <v>0.0</v>
      </c>
      <c r="AA1945" s="1">
        <v>0.0</v>
      </c>
      <c r="AC1945" s="1">
        <v>0.0</v>
      </c>
      <c r="AM1945" s="1">
        <v>15220.0</v>
      </c>
      <c r="AN1945" s="1">
        <v>15220.0</v>
      </c>
      <c r="AO1945" s="1">
        <v>15220.0</v>
      </c>
      <c r="AP1945" s="1">
        <v>5.83</v>
      </c>
      <c r="AR1945" s="1">
        <v>0.0</v>
      </c>
      <c r="AW1945" s="1">
        <v>0.0</v>
      </c>
      <c r="AX1945" s="1">
        <v>4.0</v>
      </c>
      <c r="AY1945" s="1">
        <v>4.0</v>
      </c>
      <c r="BA1945" s="1">
        <v>0.0</v>
      </c>
      <c r="BB1945" s="1">
        <v>0.0</v>
      </c>
      <c r="BC1945" s="1">
        <v>0.0</v>
      </c>
      <c r="BD1945" s="1">
        <v>0.0</v>
      </c>
      <c r="BE1945" s="1">
        <v>0.0</v>
      </c>
      <c r="BF1945" s="1">
        <v>0.0</v>
      </c>
      <c r="BG1945" s="1">
        <v>0.0</v>
      </c>
      <c r="BH1945" s="1">
        <v>0.0</v>
      </c>
      <c r="BI1945" s="1">
        <v>0.0</v>
      </c>
      <c r="BJ1945" s="1">
        <v>0.0</v>
      </c>
      <c r="BP1945" s="1">
        <v>0.269</v>
      </c>
      <c r="BQ1945" s="1" t="s">
        <v>6448</v>
      </c>
      <c r="BV1945" s="1">
        <v>1.1</v>
      </c>
      <c r="EQ1945" s="9" t="s">
        <v>6447</v>
      </c>
      <c r="ER1945" s="21">
        <v>46045.301516203705</v>
      </c>
    </row>
    <row r="1946">
      <c r="A1946" s="9" t="s">
        <v>6449</v>
      </c>
      <c r="B1946" s="20" t="str">
        <f>IFERROR(__xludf.DUMMYFUNCTION("REGEXREPLACE(A1946, ""^https?://[^/]+"", """")"),"/what-you-need-to-know-about-hiring-during-a-recession/")</f>
        <v>/what-you-need-to-know-about-hiring-during-a-recession/</v>
      </c>
      <c r="C1946" s="1" t="s">
        <v>6450</v>
      </c>
      <c r="D1946" s="1" t="s">
        <v>6451</v>
      </c>
      <c r="E1946" s="1" t="s">
        <v>6452</v>
      </c>
      <c r="F1946" s="1" t="s">
        <v>965</v>
      </c>
      <c r="G1946" s="1">
        <v>200.0</v>
      </c>
      <c r="H1946" s="1" t="s">
        <v>966</v>
      </c>
      <c r="I1946" s="1" t="s">
        <v>967</v>
      </c>
      <c r="K1946" s="1" t="s">
        <v>6453</v>
      </c>
      <c r="L1946" s="1">
        <v>78.0</v>
      </c>
      <c r="M1946" s="1">
        <v>722.0</v>
      </c>
      <c r="O1946" s="1">
        <v>0.0</v>
      </c>
      <c r="P1946" s="1">
        <v>0.0</v>
      </c>
      <c r="Q1946" s="1" t="s">
        <v>6454</v>
      </c>
      <c r="R1946" s="1">
        <v>154.0</v>
      </c>
      <c r="S1946" s="1">
        <v>910.0</v>
      </c>
      <c r="U1946" s="1">
        <v>0.0</v>
      </c>
      <c r="V1946" s="1" t="s">
        <v>6450</v>
      </c>
      <c r="W1946" s="1">
        <v>53.0</v>
      </c>
      <c r="Y1946" s="1">
        <v>0.0</v>
      </c>
      <c r="Z1946" s="1" t="s">
        <v>6451</v>
      </c>
      <c r="AA1946" s="1">
        <v>86.0</v>
      </c>
      <c r="AB1946" s="1" t="s">
        <v>6452</v>
      </c>
      <c r="AC1946" s="1">
        <v>47.0</v>
      </c>
      <c r="AD1946" s="1" t="s">
        <v>971</v>
      </c>
      <c r="AG1946" s="9" t="s">
        <v>6449</v>
      </c>
      <c r="AM1946" s="1">
        <v>209504.0</v>
      </c>
      <c r="AN1946" s="1">
        <v>38450.0</v>
      </c>
      <c r="AO1946" s="1">
        <v>38450.0</v>
      </c>
      <c r="AP1946" s="1">
        <v>14.729</v>
      </c>
      <c r="AR1946" s="1">
        <v>2363.0</v>
      </c>
      <c r="AS1946" s="1">
        <v>324.0</v>
      </c>
      <c r="AT1946" s="1">
        <v>7.293</v>
      </c>
      <c r="AU1946" s="1">
        <v>67.359</v>
      </c>
      <c r="AV1946" s="1" t="s">
        <v>990</v>
      </c>
      <c r="AW1946" s="1">
        <v>7.909</v>
      </c>
      <c r="AX1946" s="1">
        <v>4.0</v>
      </c>
      <c r="AY1946" s="1">
        <v>1.0</v>
      </c>
      <c r="AZ1946" s="1">
        <v>1.0</v>
      </c>
      <c r="BA1946" s="1">
        <v>5.0</v>
      </c>
      <c r="BB1946" s="1">
        <v>2.0</v>
      </c>
      <c r="BC1946" s="1">
        <v>0.0</v>
      </c>
      <c r="BD1946" s="1">
        <v>0.27</v>
      </c>
      <c r="BE1946" s="1">
        <v>130.0</v>
      </c>
      <c r="BF1946" s="1">
        <v>47.0</v>
      </c>
      <c r="BG1946" s="1">
        <v>0.0</v>
      </c>
      <c r="BH1946" s="1">
        <v>28.0</v>
      </c>
      <c r="BI1946" s="1">
        <v>20.0</v>
      </c>
      <c r="BJ1946" s="1">
        <v>0.0</v>
      </c>
      <c r="BO1946" s="1" t="s">
        <v>6455</v>
      </c>
      <c r="BP1946" s="1">
        <v>1.046</v>
      </c>
      <c r="BU1946" s="1" t="s">
        <v>974</v>
      </c>
      <c r="BV1946" s="1">
        <v>1.1</v>
      </c>
      <c r="EQ1946" s="9" t="s">
        <v>6449</v>
      </c>
      <c r="ER1946" s="21">
        <v>46045.30150462963</v>
      </c>
    </row>
    <row r="1947">
      <c r="A1947" s="9" t="s">
        <v>6456</v>
      </c>
      <c r="B1947" s="20" t="str">
        <f>IFERROR(__xludf.DUMMYFUNCTION("REGEXREPLACE(A1947, ""^https?://[^/]+"", """")"),"/will-you-spring-forward-to-seize-the-day-in-your-sales-leadership-career/")</f>
        <v>/will-you-spring-forward-to-seize-the-day-in-your-sales-leadership-career/</v>
      </c>
      <c r="C1947" s="1" t="s">
        <v>6457</v>
      </c>
      <c r="D1947" s="1" t="s">
        <v>6458</v>
      </c>
      <c r="E1947" s="1" t="s">
        <v>6459</v>
      </c>
      <c r="F1947" s="1" t="s">
        <v>965</v>
      </c>
      <c r="G1947" s="1">
        <v>200.0</v>
      </c>
      <c r="H1947" s="1" t="s">
        <v>966</v>
      </c>
      <c r="I1947" s="1" t="s">
        <v>967</v>
      </c>
      <c r="K1947" s="1" t="s">
        <v>6460</v>
      </c>
      <c r="L1947" s="1">
        <v>98.0</v>
      </c>
      <c r="M1947" s="1">
        <v>875.0</v>
      </c>
      <c r="O1947" s="1">
        <v>0.0</v>
      </c>
      <c r="P1947" s="1">
        <v>0.0</v>
      </c>
      <c r="Q1947" s="1" t="s">
        <v>6461</v>
      </c>
      <c r="R1947" s="1">
        <v>147.0</v>
      </c>
      <c r="S1947" s="1">
        <v>910.0</v>
      </c>
      <c r="U1947" s="1">
        <v>0.0</v>
      </c>
      <c r="V1947" s="1" t="s">
        <v>6457</v>
      </c>
      <c r="W1947" s="1">
        <v>73.0</v>
      </c>
      <c r="Y1947" s="1">
        <v>0.0</v>
      </c>
      <c r="Z1947" s="1" t="s">
        <v>6458</v>
      </c>
      <c r="AA1947" s="1">
        <v>29.0</v>
      </c>
      <c r="AB1947" s="1" t="s">
        <v>6459</v>
      </c>
      <c r="AC1947" s="1">
        <v>13.0</v>
      </c>
      <c r="AD1947" s="1" t="s">
        <v>971</v>
      </c>
      <c r="AG1947" s="9" t="s">
        <v>6456</v>
      </c>
      <c r="AM1947" s="1">
        <v>201531.0</v>
      </c>
      <c r="AN1947" s="1">
        <v>35846.0</v>
      </c>
      <c r="AO1947" s="1">
        <v>35846.0</v>
      </c>
      <c r="AP1947" s="1">
        <v>13.732</v>
      </c>
      <c r="AR1947" s="1">
        <v>1242.0</v>
      </c>
      <c r="AS1947" s="1">
        <v>188.0</v>
      </c>
      <c r="AT1947" s="1">
        <v>6.606</v>
      </c>
      <c r="AU1947" s="1">
        <v>66.282</v>
      </c>
      <c r="AV1947" s="1" t="s">
        <v>990</v>
      </c>
      <c r="AW1947" s="1">
        <v>4.977</v>
      </c>
      <c r="AX1947" s="1">
        <v>4.0</v>
      </c>
      <c r="AY1947" s="1">
        <v>1.0</v>
      </c>
      <c r="AZ1947" s="1">
        <v>1.0</v>
      </c>
      <c r="BA1947" s="1">
        <v>4.0</v>
      </c>
      <c r="BB1947" s="1">
        <v>2.0</v>
      </c>
      <c r="BC1947" s="1">
        <v>0.0</v>
      </c>
      <c r="BD1947" s="1">
        <v>0.27</v>
      </c>
      <c r="BE1947" s="1">
        <v>133.0</v>
      </c>
      <c r="BF1947" s="1">
        <v>48.0</v>
      </c>
      <c r="BG1947" s="1">
        <v>0.0</v>
      </c>
      <c r="BH1947" s="1">
        <v>16.0</v>
      </c>
      <c r="BI1947" s="1">
        <v>8.0</v>
      </c>
      <c r="BJ1947" s="1">
        <v>0.0</v>
      </c>
      <c r="BO1947" s="1" t="s">
        <v>6462</v>
      </c>
      <c r="BP1947" s="1">
        <v>0.981</v>
      </c>
      <c r="BU1947" s="1" t="s">
        <v>974</v>
      </c>
      <c r="BV1947" s="1">
        <v>1.1</v>
      </c>
      <c r="EQ1947" s="9" t="s">
        <v>6456</v>
      </c>
      <c r="ER1947" s="21">
        <v>46045.30150462963</v>
      </c>
    </row>
    <row r="1948">
      <c r="A1948" s="9" t="s">
        <v>6463</v>
      </c>
      <c r="B1948" s="20" t="str">
        <f>IFERROR(__xludf.DUMMYFUNCTION("REGEXREPLACE(A1948, ""^https?://[^/]+"", """")"),"/wp-content/uploads/2021/01/scrabble-4958237_1280-820x550-1-300x300.jpg")</f>
        <v>/wp-content/uploads/2021/01/scrabble-4958237_1280-820x550-1-300x300.jpg</v>
      </c>
      <c r="F1948" s="1" t="s">
        <v>1004</v>
      </c>
      <c r="G1948" s="1">
        <v>200.0</v>
      </c>
      <c r="H1948" s="1" t="s">
        <v>966</v>
      </c>
      <c r="I1948" s="1" t="s">
        <v>967</v>
      </c>
      <c r="L1948" s="1">
        <v>0.0</v>
      </c>
      <c r="M1948" s="1">
        <v>0.0</v>
      </c>
      <c r="O1948" s="1">
        <v>0.0</v>
      </c>
      <c r="P1948" s="1">
        <v>0.0</v>
      </c>
      <c r="R1948" s="1">
        <v>0.0</v>
      </c>
      <c r="S1948" s="1">
        <v>0.0</v>
      </c>
      <c r="U1948" s="1">
        <v>0.0</v>
      </c>
      <c r="W1948" s="1">
        <v>0.0</v>
      </c>
      <c r="Y1948" s="1">
        <v>0.0</v>
      </c>
      <c r="AA1948" s="1">
        <v>0.0</v>
      </c>
      <c r="AC1948" s="1">
        <v>0.0</v>
      </c>
      <c r="AM1948" s="1">
        <v>10517.0</v>
      </c>
      <c r="AN1948" s="1">
        <v>10517.0</v>
      </c>
      <c r="AO1948" s="1">
        <v>10517.0</v>
      </c>
      <c r="AP1948" s="1">
        <v>4.029</v>
      </c>
      <c r="AR1948" s="1">
        <v>0.0</v>
      </c>
      <c r="AW1948" s="1">
        <v>0.0</v>
      </c>
      <c r="AX1948" s="1">
        <v>4.0</v>
      </c>
      <c r="AY1948" s="1">
        <v>4.0</v>
      </c>
      <c r="BA1948" s="1">
        <v>0.0</v>
      </c>
      <c r="BB1948" s="1">
        <v>0.0</v>
      </c>
      <c r="BC1948" s="1">
        <v>0.0</v>
      </c>
      <c r="BD1948" s="1">
        <v>0.0</v>
      </c>
      <c r="BE1948" s="1">
        <v>0.0</v>
      </c>
      <c r="BF1948" s="1">
        <v>0.0</v>
      </c>
      <c r="BG1948" s="1">
        <v>0.0</v>
      </c>
      <c r="BH1948" s="1">
        <v>0.0</v>
      </c>
      <c r="BI1948" s="1">
        <v>0.0</v>
      </c>
      <c r="BJ1948" s="1">
        <v>0.0</v>
      </c>
      <c r="BP1948" s="1">
        <v>0.268</v>
      </c>
      <c r="BQ1948" s="1" t="s">
        <v>6464</v>
      </c>
      <c r="BV1948" s="1">
        <v>1.1</v>
      </c>
      <c r="EQ1948" s="9" t="s">
        <v>6463</v>
      </c>
      <c r="ER1948" s="21">
        <v>46045.301516203705</v>
      </c>
    </row>
    <row r="1949">
      <c r="A1949" s="9" t="s">
        <v>6465</v>
      </c>
      <c r="B1949" s="20" t="str">
        <f>IFERROR(__xludf.DUMMYFUNCTION("REGEXREPLACE(A1949, ""^https?://[^/]+"", """")"),"/wp-content/uploads/2021/02/Time-for-Change-scaled-1-300x200.jpg")</f>
        <v>/wp-content/uploads/2021/02/Time-for-Change-scaled-1-300x200.jpg</v>
      </c>
      <c r="F1949" s="1" t="s">
        <v>1004</v>
      </c>
      <c r="G1949" s="1">
        <v>200.0</v>
      </c>
      <c r="H1949" s="1" t="s">
        <v>966</v>
      </c>
      <c r="I1949" s="1" t="s">
        <v>967</v>
      </c>
      <c r="L1949" s="1">
        <v>0.0</v>
      </c>
      <c r="M1949" s="1">
        <v>0.0</v>
      </c>
      <c r="O1949" s="1">
        <v>0.0</v>
      </c>
      <c r="P1949" s="1">
        <v>0.0</v>
      </c>
      <c r="R1949" s="1">
        <v>0.0</v>
      </c>
      <c r="S1949" s="1">
        <v>0.0</v>
      </c>
      <c r="U1949" s="1">
        <v>0.0</v>
      </c>
      <c r="W1949" s="1">
        <v>0.0</v>
      </c>
      <c r="Y1949" s="1">
        <v>0.0</v>
      </c>
      <c r="AA1949" s="1">
        <v>0.0</v>
      </c>
      <c r="AC1949" s="1">
        <v>0.0</v>
      </c>
      <c r="AM1949" s="1">
        <v>5526.0</v>
      </c>
      <c r="AN1949" s="1">
        <v>5526.0</v>
      </c>
      <c r="AO1949" s="1">
        <v>5526.0</v>
      </c>
      <c r="AP1949" s="1">
        <v>2.117</v>
      </c>
      <c r="AR1949" s="1">
        <v>0.0</v>
      </c>
      <c r="AW1949" s="1">
        <v>0.0</v>
      </c>
      <c r="AX1949" s="1">
        <v>4.0</v>
      </c>
      <c r="AY1949" s="1">
        <v>4.0</v>
      </c>
      <c r="BA1949" s="1">
        <v>0.0</v>
      </c>
      <c r="BB1949" s="1">
        <v>0.0</v>
      </c>
      <c r="BC1949" s="1">
        <v>0.0</v>
      </c>
      <c r="BD1949" s="1">
        <v>0.0</v>
      </c>
      <c r="BE1949" s="1">
        <v>0.0</v>
      </c>
      <c r="BF1949" s="1">
        <v>0.0</v>
      </c>
      <c r="BG1949" s="1">
        <v>0.0</v>
      </c>
      <c r="BH1949" s="1">
        <v>0.0</v>
      </c>
      <c r="BI1949" s="1">
        <v>0.0</v>
      </c>
      <c r="BJ1949" s="1">
        <v>0.0</v>
      </c>
      <c r="BP1949" s="1">
        <v>0.272</v>
      </c>
      <c r="BQ1949" s="1" t="s">
        <v>6466</v>
      </c>
      <c r="BV1949" s="1">
        <v>1.1</v>
      </c>
      <c r="EQ1949" s="9" t="s">
        <v>6465</v>
      </c>
      <c r="ER1949" s="21">
        <v>46045.30152777778</v>
      </c>
    </row>
    <row r="1950">
      <c r="A1950" s="9" t="s">
        <v>6467</v>
      </c>
      <c r="B1950" s="20" t="str">
        <f>IFERROR(__xludf.DUMMYFUNCTION("REGEXREPLACE(A1950, ""^https?://[^/]+"", """")"),"/why-the-remote-work-revolution-should-squash-the-stigma-surrounding-part-time-leaders/")</f>
        <v>/why-the-remote-work-revolution-should-squash-the-stigma-surrounding-part-time-leaders/</v>
      </c>
      <c r="C1950" s="1" t="s">
        <v>6468</v>
      </c>
      <c r="F1950" s="1" t="s">
        <v>965</v>
      </c>
      <c r="G1950" s="1">
        <v>200.0</v>
      </c>
      <c r="H1950" s="1" t="s">
        <v>966</v>
      </c>
      <c r="I1950" s="1" t="s">
        <v>967</v>
      </c>
      <c r="K1950" s="1" t="s">
        <v>6469</v>
      </c>
      <c r="L1950" s="1">
        <v>126.0</v>
      </c>
      <c r="M1950" s="1">
        <v>1165.0</v>
      </c>
      <c r="O1950" s="1">
        <v>0.0</v>
      </c>
      <c r="P1950" s="1">
        <v>0.0</v>
      </c>
      <c r="Q1950" s="1" t="s">
        <v>6470</v>
      </c>
      <c r="R1950" s="1">
        <v>150.0</v>
      </c>
      <c r="S1950" s="1">
        <v>898.0</v>
      </c>
      <c r="U1950" s="1">
        <v>0.0</v>
      </c>
      <c r="V1950" s="1" t="s">
        <v>6468</v>
      </c>
      <c r="W1950" s="1">
        <v>101.0</v>
      </c>
      <c r="Y1950" s="1">
        <v>0.0</v>
      </c>
      <c r="AA1950" s="1">
        <v>0.0</v>
      </c>
      <c r="AC1950" s="1">
        <v>0.0</v>
      </c>
      <c r="AD1950" s="1" t="s">
        <v>971</v>
      </c>
      <c r="AG1950" s="9" t="s">
        <v>6467</v>
      </c>
      <c r="AM1950" s="1">
        <v>197358.0</v>
      </c>
      <c r="AN1950" s="1">
        <v>34389.0</v>
      </c>
      <c r="AO1950" s="1">
        <v>34389.0</v>
      </c>
      <c r="AP1950" s="1">
        <v>13.174</v>
      </c>
      <c r="AR1950" s="1">
        <v>752.0</v>
      </c>
      <c r="AS1950" s="1">
        <v>122.0</v>
      </c>
      <c r="AT1950" s="1">
        <v>6.164</v>
      </c>
      <c r="AU1950" s="1">
        <v>62.316</v>
      </c>
      <c r="AV1950" s="1" t="s">
        <v>990</v>
      </c>
      <c r="AW1950" s="1">
        <v>3.575</v>
      </c>
      <c r="AX1950" s="1">
        <v>4.0</v>
      </c>
      <c r="AY1950" s="1">
        <v>1.0</v>
      </c>
      <c r="AZ1950" s="1">
        <v>1.0</v>
      </c>
      <c r="BA1950" s="1">
        <v>5.0</v>
      </c>
      <c r="BB1950" s="1">
        <v>3.0</v>
      </c>
      <c r="BC1950" s="1">
        <v>0.0</v>
      </c>
      <c r="BD1950" s="1">
        <v>0.4</v>
      </c>
      <c r="BE1950" s="1">
        <v>129.0</v>
      </c>
      <c r="BF1950" s="1">
        <v>47.0</v>
      </c>
      <c r="BG1950" s="1">
        <v>0.0</v>
      </c>
      <c r="BH1950" s="1">
        <v>18.0</v>
      </c>
      <c r="BI1950" s="1">
        <v>10.0</v>
      </c>
      <c r="BJ1950" s="1">
        <v>0.0</v>
      </c>
      <c r="BO1950" s="1" t="s">
        <v>6471</v>
      </c>
      <c r="BP1950" s="1">
        <v>1.014</v>
      </c>
      <c r="BU1950" s="1" t="s">
        <v>974</v>
      </c>
      <c r="BV1950" s="1">
        <v>1.1</v>
      </c>
      <c r="EQ1950" s="9" t="s">
        <v>6467</v>
      </c>
      <c r="ER1950" s="21">
        <v>46045.30150462963</v>
      </c>
    </row>
    <row r="1951">
      <c r="A1951" s="9" t="s">
        <v>6472</v>
      </c>
      <c r="B1951" s="20" t="str">
        <f>IFERROR(__xludf.DUMMYFUNCTION("REGEXREPLACE(A1951, ""^https?://[^/]+"", """")"),"/wp-content/uploads/2020/12/shutterstock_633365168-scaled-1-300x300.jpg")</f>
        <v>/wp-content/uploads/2020/12/shutterstock_633365168-scaled-1-300x300.jpg</v>
      </c>
      <c r="F1951" s="1" t="s">
        <v>1004</v>
      </c>
      <c r="G1951" s="1">
        <v>200.0</v>
      </c>
      <c r="H1951" s="1" t="s">
        <v>966</v>
      </c>
      <c r="I1951" s="1" t="s">
        <v>967</v>
      </c>
      <c r="L1951" s="1">
        <v>0.0</v>
      </c>
      <c r="M1951" s="1">
        <v>0.0</v>
      </c>
      <c r="O1951" s="1">
        <v>0.0</v>
      </c>
      <c r="P1951" s="1">
        <v>0.0</v>
      </c>
      <c r="R1951" s="1">
        <v>0.0</v>
      </c>
      <c r="S1951" s="1">
        <v>0.0</v>
      </c>
      <c r="U1951" s="1">
        <v>0.0</v>
      </c>
      <c r="W1951" s="1">
        <v>0.0</v>
      </c>
      <c r="Y1951" s="1">
        <v>0.0</v>
      </c>
      <c r="AA1951" s="1">
        <v>0.0</v>
      </c>
      <c r="AC1951" s="1">
        <v>0.0</v>
      </c>
      <c r="AM1951" s="1">
        <v>19291.0</v>
      </c>
      <c r="AN1951" s="1">
        <v>19291.0</v>
      </c>
      <c r="AO1951" s="1">
        <v>19291.0</v>
      </c>
      <c r="AP1951" s="1">
        <v>7.39</v>
      </c>
      <c r="AR1951" s="1">
        <v>0.0</v>
      </c>
      <c r="AW1951" s="1">
        <v>0.0</v>
      </c>
      <c r="AX1951" s="1">
        <v>4.0</v>
      </c>
      <c r="AY1951" s="1">
        <v>4.0</v>
      </c>
      <c r="BA1951" s="1">
        <v>0.0</v>
      </c>
      <c r="BB1951" s="1">
        <v>0.0</v>
      </c>
      <c r="BC1951" s="1">
        <v>0.0</v>
      </c>
      <c r="BD1951" s="1">
        <v>0.0</v>
      </c>
      <c r="BE1951" s="1">
        <v>0.0</v>
      </c>
      <c r="BF1951" s="1">
        <v>0.0</v>
      </c>
      <c r="BG1951" s="1">
        <v>0.0</v>
      </c>
      <c r="BH1951" s="1">
        <v>0.0</v>
      </c>
      <c r="BI1951" s="1">
        <v>0.0</v>
      </c>
      <c r="BJ1951" s="1">
        <v>0.0</v>
      </c>
      <c r="BP1951" s="1">
        <v>0.265</v>
      </c>
      <c r="BQ1951" s="1" t="s">
        <v>6325</v>
      </c>
      <c r="BV1951" s="1">
        <v>1.1</v>
      </c>
      <c r="EQ1951" s="9" t="s">
        <v>6472</v>
      </c>
      <c r="ER1951" s="21">
        <v>46045.30152777778</v>
      </c>
    </row>
    <row r="1952">
      <c r="A1952" s="9" t="s">
        <v>6473</v>
      </c>
      <c r="B1952" s="20" t="str">
        <f>IFERROR(__xludf.DUMMYFUNCTION("REGEXREPLACE(A1952, ""^https?://[^/]+"", """")"),"/turning-thanks-into-giving-how-an-attitude-of-gratitude-creates-career-altitude/")</f>
        <v>/turning-thanks-into-giving-how-an-attitude-of-gratitude-creates-career-altitude/</v>
      </c>
      <c r="C1952" s="1" t="s">
        <v>6474</v>
      </c>
      <c r="D1952" s="1" t="s">
        <v>6475</v>
      </c>
      <c r="E1952" s="1" t="s">
        <v>6476</v>
      </c>
      <c r="F1952" s="1" t="s">
        <v>965</v>
      </c>
      <c r="G1952" s="1">
        <v>200.0</v>
      </c>
      <c r="H1952" s="1" t="s">
        <v>966</v>
      </c>
      <c r="I1952" s="1" t="s">
        <v>967</v>
      </c>
      <c r="K1952" s="1" t="s">
        <v>6477</v>
      </c>
      <c r="L1952" s="1">
        <v>105.0</v>
      </c>
      <c r="M1952" s="1">
        <v>934.0</v>
      </c>
      <c r="O1952" s="1">
        <v>0.0</v>
      </c>
      <c r="P1952" s="1">
        <v>0.0</v>
      </c>
      <c r="Q1952" s="1" t="s">
        <v>6478</v>
      </c>
      <c r="R1952" s="1">
        <v>117.0</v>
      </c>
      <c r="S1952" s="1">
        <v>733.0</v>
      </c>
      <c r="U1952" s="1">
        <v>0.0</v>
      </c>
      <c r="V1952" s="1" t="s">
        <v>6474</v>
      </c>
      <c r="W1952" s="1">
        <v>80.0</v>
      </c>
      <c r="Y1952" s="1">
        <v>0.0</v>
      </c>
      <c r="Z1952" s="1" t="s">
        <v>6475</v>
      </c>
      <c r="AA1952" s="1">
        <v>47.0</v>
      </c>
      <c r="AB1952" s="1" t="s">
        <v>6476</v>
      </c>
      <c r="AC1952" s="1">
        <v>29.0</v>
      </c>
      <c r="AD1952" s="1" t="s">
        <v>971</v>
      </c>
      <c r="AG1952" s="9" t="s">
        <v>6473</v>
      </c>
      <c r="AM1952" s="1">
        <v>200313.0</v>
      </c>
      <c r="AN1952" s="1">
        <v>35428.0</v>
      </c>
      <c r="AO1952" s="1">
        <v>35428.0</v>
      </c>
      <c r="AP1952" s="1">
        <v>13.572</v>
      </c>
      <c r="AR1952" s="1">
        <v>1242.0</v>
      </c>
      <c r="AS1952" s="1">
        <v>182.0</v>
      </c>
      <c r="AT1952" s="1">
        <v>6.824</v>
      </c>
      <c r="AU1952" s="1">
        <v>67.423</v>
      </c>
      <c r="AV1952" s="1" t="s">
        <v>990</v>
      </c>
      <c r="AW1952" s="1">
        <v>4.947</v>
      </c>
      <c r="AX1952" s="1">
        <v>4.0</v>
      </c>
      <c r="AY1952" s="1">
        <v>1.0</v>
      </c>
      <c r="AZ1952" s="1">
        <v>1.0</v>
      </c>
      <c r="BA1952" s="1">
        <v>5.0</v>
      </c>
      <c r="BB1952" s="1">
        <v>3.0</v>
      </c>
      <c r="BC1952" s="1">
        <v>0.0</v>
      </c>
      <c r="BD1952" s="1">
        <v>0.4</v>
      </c>
      <c r="BE1952" s="1">
        <v>133.0</v>
      </c>
      <c r="BF1952" s="1">
        <v>49.0</v>
      </c>
      <c r="BG1952" s="1">
        <v>0.0</v>
      </c>
      <c r="BH1952" s="1">
        <v>16.0</v>
      </c>
      <c r="BI1952" s="1">
        <v>8.0</v>
      </c>
      <c r="BJ1952" s="1">
        <v>0.0</v>
      </c>
      <c r="BO1952" s="1" t="s">
        <v>6479</v>
      </c>
      <c r="BP1952" s="1">
        <v>1.019</v>
      </c>
      <c r="BU1952" s="1" t="s">
        <v>974</v>
      </c>
      <c r="BV1952" s="1">
        <v>1.1</v>
      </c>
      <c r="EQ1952" s="9" t="s">
        <v>6473</v>
      </c>
      <c r="ER1952" s="21">
        <v>46045.301516203705</v>
      </c>
    </row>
    <row r="1953">
      <c r="A1953" s="9" t="s">
        <v>6480</v>
      </c>
      <c r="B1953" s="20" t="str">
        <f>IFERROR(__xludf.DUMMYFUNCTION("REGEXREPLACE(A1953, ""^https?://[^/]+"", """")"),"/wp-content/uploads/2021/01/Businessman-Climing-the-Steps-scaled-1-300x200.jpg")</f>
        <v>/wp-content/uploads/2021/01/Businessman-Climing-the-Steps-scaled-1-300x200.jpg</v>
      </c>
      <c r="F1953" s="1" t="s">
        <v>1004</v>
      </c>
      <c r="G1953" s="1">
        <v>200.0</v>
      </c>
      <c r="H1953" s="1" t="s">
        <v>966</v>
      </c>
      <c r="I1953" s="1" t="s">
        <v>967</v>
      </c>
      <c r="L1953" s="1">
        <v>0.0</v>
      </c>
      <c r="M1953" s="1">
        <v>0.0</v>
      </c>
      <c r="O1953" s="1">
        <v>0.0</v>
      </c>
      <c r="P1953" s="1">
        <v>0.0</v>
      </c>
      <c r="R1953" s="1">
        <v>0.0</v>
      </c>
      <c r="S1953" s="1">
        <v>0.0</v>
      </c>
      <c r="U1953" s="1">
        <v>0.0</v>
      </c>
      <c r="W1953" s="1">
        <v>0.0</v>
      </c>
      <c r="Y1953" s="1">
        <v>0.0</v>
      </c>
      <c r="AA1953" s="1">
        <v>0.0</v>
      </c>
      <c r="AC1953" s="1">
        <v>0.0</v>
      </c>
      <c r="AM1953" s="1">
        <v>6711.0</v>
      </c>
      <c r="AN1953" s="1">
        <v>6711.0</v>
      </c>
      <c r="AO1953" s="1">
        <v>6711.0</v>
      </c>
      <c r="AP1953" s="1">
        <v>2.571</v>
      </c>
      <c r="AR1953" s="1">
        <v>0.0</v>
      </c>
      <c r="AW1953" s="1">
        <v>0.0</v>
      </c>
      <c r="AX1953" s="1">
        <v>4.0</v>
      </c>
      <c r="AY1953" s="1">
        <v>4.0</v>
      </c>
      <c r="BA1953" s="1">
        <v>0.0</v>
      </c>
      <c r="BB1953" s="1">
        <v>0.0</v>
      </c>
      <c r="BC1953" s="1">
        <v>0.0</v>
      </c>
      <c r="BD1953" s="1">
        <v>0.0</v>
      </c>
      <c r="BE1953" s="1">
        <v>0.0</v>
      </c>
      <c r="BF1953" s="1">
        <v>0.0</v>
      </c>
      <c r="BG1953" s="1">
        <v>0.0</v>
      </c>
      <c r="BH1953" s="1">
        <v>0.0</v>
      </c>
      <c r="BI1953" s="1">
        <v>0.0</v>
      </c>
      <c r="BJ1953" s="1">
        <v>0.0</v>
      </c>
      <c r="BP1953" s="1">
        <v>0.318</v>
      </c>
      <c r="BQ1953" s="1" t="s">
        <v>6481</v>
      </c>
      <c r="BV1953" s="1">
        <v>1.1</v>
      </c>
      <c r="EQ1953" s="9" t="s">
        <v>6480</v>
      </c>
      <c r="ER1953" s="21">
        <v>46045.30152777778</v>
      </c>
    </row>
    <row r="1954">
      <c r="A1954" s="9" t="s">
        <v>6482</v>
      </c>
      <c r="B1954" s="20" t="str">
        <f>IFERROR(__xludf.DUMMYFUNCTION("REGEXREPLACE(A1954, ""^https?://[^/]+"", """")"),"/every-enlightened-journey-and-every-meaningful-climb-begins-with-a-single-step/")</f>
        <v>/every-enlightened-journey-and-every-meaningful-climb-begins-with-a-single-step/</v>
      </c>
      <c r="C1954" s="1" t="s">
        <v>6483</v>
      </c>
      <c r="D1954" s="1" t="s">
        <v>6484</v>
      </c>
      <c r="E1954" s="1" t="s">
        <v>6485</v>
      </c>
      <c r="F1954" s="1" t="s">
        <v>965</v>
      </c>
      <c r="G1954" s="1">
        <v>200.0</v>
      </c>
      <c r="H1954" s="1" t="s">
        <v>966</v>
      </c>
      <c r="I1954" s="1" t="s">
        <v>967</v>
      </c>
      <c r="K1954" s="1" t="s">
        <v>6486</v>
      </c>
      <c r="L1954" s="1">
        <v>103.0</v>
      </c>
      <c r="M1954" s="1">
        <v>932.0</v>
      </c>
      <c r="O1954" s="1">
        <v>0.0</v>
      </c>
      <c r="P1954" s="1">
        <v>0.0</v>
      </c>
      <c r="Q1954" s="1" t="s">
        <v>6487</v>
      </c>
      <c r="R1954" s="1">
        <v>143.0</v>
      </c>
      <c r="S1954" s="1">
        <v>863.0</v>
      </c>
      <c r="U1954" s="1">
        <v>0.0</v>
      </c>
      <c r="V1954" s="1" t="s">
        <v>6483</v>
      </c>
      <c r="W1954" s="1">
        <v>78.0</v>
      </c>
      <c r="Y1954" s="1">
        <v>0.0</v>
      </c>
      <c r="Z1954" s="1" t="s">
        <v>6484</v>
      </c>
      <c r="AA1954" s="1">
        <v>13.0</v>
      </c>
      <c r="AB1954" s="1" t="s">
        <v>6485</v>
      </c>
      <c r="AC1954" s="1">
        <v>25.0</v>
      </c>
      <c r="AD1954" s="1" t="s">
        <v>971</v>
      </c>
      <c r="AG1954" s="9" t="s">
        <v>6482</v>
      </c>
      <c r="AM1954" s="1">
        <v>202781.0</v>
      </c>
      <c r="AN1954" s="1">
        <v>36302.0</v>
      </c>
      <c r="AO1954" s="1">
        <v>36302.0</v>
      </c>
      <c r="AP1954" s="1">
        <v>13.907</v>
      </c>
      <c r="AR1954" s="1">
        <v>1302.0</v>
      </c>
      <c r="AS1954" s="1">
        <v>206.0</v>
      </c>
      <c r="AT1954" s="1">
        <v>6.32</v>
      </c>
      <c r="AU1954" s="1">
        <v>72.415</v>
      </c>
      <c r="AV1954" s="1" t="s">
        <v>1264</v>
      </c>
      <c r="AW1954" s="1">
        <v>4.959</v>
      </c>
      <c r="AX1954" s="1">
        <v>4.0</v>
      </c>
      <c r="AY1954" s="1">
        <v>1.0</v>
      </c>
      <c r="AZ1954" s="1">
        <v>1.0</v>
      </c>
      <c r="BA1954" s="1">
        <v>4.0</v>
      </c>
      <c r="BB1954" s="1">
        <v>2.0</v>
      </c>
      <c r="BC1954" s="1">
        <v>0.0</v>
      </c>
      <c r="BD1954" s="1">
        <v>0.27</v>
      </c>
      <c r="BE1954" s="1">
        <v>133.0</v>
      </c>
      <c r="BF1954" s="1">
        <v>49.0</v>
      </c>
      <c r="BG1954" s="1">
        <v>0.0</v>
      </c>
      <c r="BH1954" s="1">
        <v>17.0</v>
      </c>
      <c r="BI1954" s="1">
        <v>9.0</v>
      </c>
      <c r="BJ1954" s="1">
        <v>0.0</v>
      </c>
      <c r="BO1954" s="1" t="s">
        <v>6488</v>
      </c>
      <c r="BP1954" s="1">
        <v>0.99</v>
      </c>
      <c r="BU1954" s="1" t="s">
        <v>974</v>
      </c>
      <c r="BV1954" s="1">
        <v>1.1</v>
      </c>
      <c r="EQ1954" s="9" t="s">
        <v>6482</v>
      </c>
      <c r="ER1954" s="21">
        <v>46045.301516203705</v>
      </c>
    </row>
    <row r="1955">
      <c r="A1955" s="9" t="s">
        <v>6489</v>
      </c>
      <c r="B1955" s="20" t="str">
        <f>IFERROR(__xludf.DUMMYFUNCTION("REGEXREPLACE(A1955, ""^https?://[^/]+"", """")"),"/wp-content/uploads/2020/11/Stressed-Sales-Leader-scaled-1-300x200.jpg")</f>
        <v>/wp-content/uploads/2020/11/Stressed-Sales-Leader-scaled-1-300x200.jpg</v>
      </c>
      <c r="F1955" s="1" t="s">
        <v>1004</v>
      </c>
      <c r="G1955" s="1">
        <v>200.0</v>
      </c>
      <c r="H1955" s="1" t="s">
        <v>966</v>
      </c>
      <c r="I1955" s="1" t="s">
        <v>967</v>
      </c>
      <c r="L1955" s="1">
        <v>0.0</v>
      </c>
      <c r="M1955" s="1">
        <v>0.0</v>
      </c>
      <c r="O1955" s="1">
        <v>0.0</v>
      </c>
      <c r="P1955" s="1">
        <v>0.0</v>
      </c>
      <c r="R1955" s="1">
        <v>0.0</v>
      </c>
      <c r="S1955" s="1">
        <v>0.0</v>
      </c>
      <c r="U1955" s="1">
        <v>0.0</v>
      </c>
      <c r="W1955" s="1">
        <v>0.0</v>
      </c>
      <c r="Y1955" s="1">
        <v>0.0</v>
      </c>
      <c r="AA1955" s="1">
        <v>0.0</v>
      </c>
      <c r="AC1955" s="1">
        <v>0.0</v>
      </c>
      <c r="AM1955" s="1">
        <v>11345.0</v>
      </c>
      <c r="AN1955" s="1">
        <v>11345.0</v>
      </c>
      <c r="AO1955" s="1">
        <v>11345.0</v>
      </c>
      <c r="AP1955" s="1">
        <v>4.346</v>
      </c>
      <c r="AR1955" s="1">
        <v>0.0</v>
      </c>
      <c r="AW1955" s="1">
        <v>0.0</v>
      </c>
      <c r="AX1955" s="1">
        <v>4.0</v>
      </c>
      <c r="AY1955" s="1">
        <v>4.0</v>
      </c>
      <c r="BA1955" s="1">
        <v>0.0</v>
      </c>
      <c r="BB1955" s="1">
        <v>0.0</v>
      </c>
      <c r="BC1955" s="1">
        <v>0.0</v>
      </c>
      <c r="BD1955" s="1">
        <v>0.0</v>
      </c>
      <c r="BE1955" s="1">
        <v>0.0</v>
      </c>
      <c r="BF1955" s="1">
        <v>0.0</v>
      </c>
      <c r="BG1955" s="1">
        <v>0.0</v>
      </c>
      <c r="BH1955" s="1">
        <v>0.0</v>
      </c>
      <c r="BI1955" s="1">
        <v>0.0</v>
      </c>
      <c r="BJ1955" s="1">
        <v>0.0</v>
      </c>
      <c r="BP1955" s="1">
        <v>0.271</v>
      </c>
      <c r="BQ1955" s="1" t="s">
        <v>6490</v>
      </c>
      <c r="BV1955" s="1">
        <v>1.1</v>
      </c>
      <c r="EQ1955" s="9" t="s">
        <v>6489</v>
      </c>
      <c r="ER1955" s="21">
        <v>46045.30152777778</v>
      </c>
    </row>
    <row r="1956">
      <c r="A1956" s="9" t="s">
        <v>6491</v>
      </c>
      <c r="B1956" s="20" t="str">
        <f>IFERROR(__xludf.DUMMYFUNCTION("REGEXREPLACE(A1956, ""^https?://[^/]+"", """")"),"/wp-content/uploads/2021/01/960x0-300x300.jpg")</f>
        <v>/wp-content/uploads/2021/01/960x0-300x300.jpg</v>
      </c>
      <c r="F1956" s="1" t="s">
        <v>1004</v>
      </c>
      <c r="G1956" s="1">
        <v>200.0</v>
      </c>
      <c r="H1956" s="1" t="s">
        <v>966</v>
      </c>
      <c r="I1956" s="1" t="s">
        <v>967</v>
      </c>
      <c r="L1956" s="1">
        <v>0.0</v>
      </c>
      <c r="M1956" s="1">
        <v>0.0</v>
      </c>
      <c r="O1956" s="1">
        <v>0.0</v>
      </c>
      <c r="P1956" s="1">
        <v>0.0</v>
      </c>
      <c r="R1956" s="1">
        <v>0.0</v>
      </c>
      <c r="S1956" s="1">
        <v>0.0</v>
      </c>
      <c r="U1956" s="1">
        <v>0.0</v>
      </c>
      <c r="W1956" s="1">
        <v>0.0</v>
      </c>
      <c r="Y1956" s="1">
        <v>0.0</v>
      </c>
      <c r="AA1956" s="1">
        <v>0.0</v>
      </c>
      <c r="AC1956" s="1">
        <v>0.0</v>
      </c>
      <c r="AM1956" s="1">
        <v>14065.0</v>
      </c>
      <c r="AN1956" s="1">
        <v>14065.0</v>
      </c>
      <c r="AO1956" s="1">
        <v>14065.0</v>
      </c>
      <c r="AP1956" s="1">
        <v>5.388</v>
      </c>
      <c r="AR1956" s="1">
        <v>0.0</v>
      </c>
      <c r="AW1956" s="1">
        <v>0.0</v>
      </c>
      <c r="AX1956" s="1">
        <v>4.0</v>
      </c>
      <c r="AY1956" s="1">
        <v>4.0</v>
      </c>
      <c r="BA1956" s="1">
        <v>0.0</v>
      </c>
      <c r="BB1956" s="1">
        <v>0.0</v>
      </c>
      <c r="BC1956" s="1">
        <v>0.0</v>
      </c>
      <c r="BD1956" s="1">
        <v>0.0</v>
      </c>
      <c r="BE1956" s="1">
        <v>0.0</v>
      </c>
      <c r="BF1956" s="1">
        <v>0.0</v>
      </c>
      <c r="BG1956" s="1">
        <v>0.0</v>
      </c>
      <c r="BH1956" s="1">
        <v>0.0</v>
      </c>
      <c r="BI1956" s="1">
        <v>0.0</v>
      </c>
      <c r="BJ1956" s="1">
        <v>0.0</v>
      </c>
      <c r="BP1956" s="1">
        <v>0.276</v>
      </c>
      <c r="BQ1956" s="1" t="s">
        <v>6492</v>
      </c>
      <c r="BV1956" s="1">
        <v>1.1</v>
      </c>
      <c r="EQ1956" s="9" t="s">
        <v>6491</v>
      </c>
      <c r="ER1956" s="21">
        <v>46045.30152777778</v>
      </c>
    </row>
    <row r="1957">
      <c r="A1957" s="9" t="s">
        <v>6493</v>
      </c>
      <c r="B1957" s="20" t="str">
        <f>IFERROR(__xludf.DUMMYFUNCTION("REGEXREPLACE(A1957, ""^https?://[^/]+"", """")"),"/no-time-like-the-present-to-give-yourself-the-present-of-time/")</f>
        <v>/no-time-like-the-present-to-give-yourself-the-present-of-time/</v>
      </c>
      <c r="C1957" s="1" t="s">
        <v>6494</v>
      </c>
      <c r="D1957" s="1" t="s">
        <v>6495</v>
      </c>
      <c r="E1957" s="1" t="s">
        <v>6496</v>
      </c>
      <c r="F1957" s="1" t="s">
        <v>965</v>
      </c>
      <c r="G1957" s="1">
        <v>200.0</v>
      </c>
      <c r="H1957" s="1" t="s">
        <v>966</v>
      </c>
      <c r="I1957" s="1" t="s">
        <v>967</v>
      </c>
      <c r="K1957" s="1" t="s">
        <v>6497</v>
      </c>
      <c r="L1957" s="1">
        <v>86.0</v>
      </c>
      <c r="M1957" s="1">
        <v>772.0</v>
      </c>
      <c r="O1957" s="1">
        <v>0.0</v>
      </c>
      <c r="P1957" s="1">
        <v>0.0</v>
      </c>
      <c r="Q1957" s="1" t="s">
        <v>6498</v>
      </c>
      <c r="R1957" s="1">
        <v>154.0</v>
      </c>
      <c r="S1957" s="1">
        <v>934.0</v>
      </c>
      <c r="U1957" s="1">
        <v>0.0</v>
      </c>
      <c r="V1957" s="1" t="s">
        <v>6494</v>
      </c>
      <c r="W1957" s="1">
        <v>61.0</v>
      </c>
      <c r="Y1957" s="1">
        <v>0.0</v>
      </c>
      <c r="Z1957" s="1" t="s">
        <v>6495</v>
      </c>
      <c r="AA1957" s="1">
        <v>45.0</v>
      </c>
      <c r="AB1957" s="1" t="s">
        <v>6496</v>
      </c>
      <c r="AC1957" s="1">
        <v>45.0</v>
      </c>
      <c r="AD1957" s="1" t="s">
        <v>971</v>
      </c>
      <c r="AG1957" s="9" t="s">
        <v>6493</v>
      </c>
      <c r="AM1957" s="1">
        <v>201507.0</v>
      </c>
      <c r="AN1957" s="1">
        <v>35630.0</v>
      </c>
      <c r="AO1957" s="1">
        <v>35630.0</v>
      </c>
      <c r="AP1957" s="1">
        <v>13.649</v>
      </c>
      <c r="AR1957" s="1">
        <v>1219.0</v>
      </c>
      <c r="AS1957" s="1">
        <v>189.0</v>
      </c>
      <c r="AT1957" s="1">
        <v>6.45</v>
      </c>
      <c r="AU1957" s="1">
        <v>69.953</v>
      </c>
      <c r="AV1957" s="1" t="s">
        <v>990</v>
      </c>
      <c r="AW1957" s="1">
        <v>4.808</v>
      </c>
      <c r="AX1957" s="1">
        <v>4.0</v>
      </c>
      <c r="AY1957" s="1">
        <v>1.0</v>
      </c>
      <c r="AZ1957" s="1">
        <v>1.0</v>
      </c>
      <c r="BA1957" s="1">
        <v>4.0</v>
      </c>
      <c r="BB1957" s="1">
        <v>2.0</v>
      </c>
      <c r="BC1957" s="1">
        <v>0.0</v>
      </c>
      <c r="BD1957" s="1">
        <v>0.27</v>
      </c>
      <c r="BE1957" s="1">
        <v>133.0</v>
      </c>
      <c r="BF1957" s="1">
        <v>49.0</v>
      </c>
      <c r="BG1957" s="1">
        <v>0.0</v>
      </c>
      <c r="BH1957" s="1">
        <v>16.0</v>
      </c>
      <c r="BI1957" s="1">
        <v>8.0</v>
      </c>
      <c r="BJ1957" s="1">
        <v>0.0</v>
      </c>
      <c r="BO1957" s="1" t="s">
        <v>6499</v>
      </c>
      <c r="BP1957" s="1">
        <v>0.973</v>
      </c>
      <c r="BU1957" s="1" t="s">
        <v>974</v>
      </c>
      <c r="BV1957" s="1">
        <v>1.1</v>
      </c>
      <c r="EQ1957" s="9" t="s">
        <v>6493</v>
      </c>
      <c r="ER1957" s="21">
        <v>46045.30152777778</v>
      </c>
    </row>
    <row r="1958">
      <c r="A1958" s="9" t="s">
        <v>6500</v>
      </c>
      <c r="B1958" s="20" t="str">
        <f>IFERROR(__xludf.DUMMYFUNCTION("REGEXREPLACE(A1958, ""^https?://[^/]+"", """")"),"/a-new-beginning-after-all-these-years/")</f>
        <v>/a-new-beginning-after-all-these-years/</v>
      </c>
      <c r="C1958" s="1" t="s">
        <v>6501</v>
      </c>
      <c r="D1958" s="1" t="s">
        <v>6502</v>
      </c>
      <c r="E1958" s="1" t="s">
        <v>6503</v>
      </c>
      <c r="F1958" s="1" t="s">
        <v>965</v>
      </c>
      <c r="G1958" s="1">
        <v>200.0</v>
      </c>
      <c r="H1958" s="1" t="s">
        <v>966</v>
      </c>
      <c r="I1958" s="1" t="s">
        <v>967</v>
      </c>
      <c r="K1958" s="1" t="s">
        <v>6504</v>
      </c>
      <c r="L1958" s="1">
        <v>63.0</v>
      </c>
      <c r="M1958" s="1">
        <v>569.0</v>
      </c>
      <c r="O1958" s="1">
        <v>0.0</v>
      </c>
      <c r="P1958" s="1">
        <v>0.0</v>
      </c>
      <c r="Q1958" s="1" t="s">
        <v>6505</v>
      </c>
      <c r="R1958" s="1">
        <v>169.0</v>
      </c>
      <c r="S1958" s="1">
        <v>1033.0</v>
      </c>
      <c r="U1958" s="1">
        <v>0.0</v>
      </c>
      <c r="V1958" s="1" t="s">
        <v>6501</v>
      </c>
      <c r="W1958" s="1">
        <v>38.0</v>
      </c>
      <c r="Y1958" s="1">
        <v>0.0</v>
      </c>
      <c r="Z1958" s="1" t="s">
        <v>6502</v>
      </c>
      <c r="AA1958" s="1">
        <v>48.0</v>
      </c>
      <c r="AB1958" s="1" t="s">
        <v>6503</v>
      </c>
      <c r="AC1958" s="1">
        <v>24.0</v>
      </c>
      <c r="AD1958" s="1" t="s">
        <v>971</v>
      </c>
      <c r="AG1958" s="9" t="s">
        <v>6500</v>
      </c>
      <c r="AM1958" s="1">
        <v>199720.0</v>
      </c>
      <c r="AN1958" s="1">
        <v>35607.0</v>
      </c>
      <c r="AO1958" s="1">
        <v>35607.0</v>
      </c>
      <c r="AP1958" s="1">
        <v>13.64</v>
      </c>
      <c r="AR1958" s="1">
        <v>1242.0</v>
      </c>
      <c r="AS1958" s="1">
        <v>189.0</v>
      </c>
      <c r="AT1958" s="1">
        <v>6.571</v>
      </c>
      <c r="AU1958" s="1">
        <v>67.066</v>
      </c>
      <c r="AV1958" s="1" t="s">
        <v>990</v>
      </c>
      <c r="AW1958" s="1">
        <v>4.97</v>
      </c>
      <c r="AX1958" s="1">
        <v>4.0</v>
      </c>
      <c r="AY1958" s="1">
        <v>1.0</v>
      </c>
      <c r="AZ1958" s="1">
        <v>1.0</v>
      </c>
      <c r="BA1958" s="1">
        <v>5.0</v>
      </c>
      <c r="BB1958" s="1">
        <v>3.0</v>
      </c>
      <c r="BC1958" s="1">
        <v>0.0</v>
      </c>
      <c r="BD1958" s="1">
        <v>0.4</v>
      </c>
      <c r="BE1958" s="1">
        <v>134.0</v>
      </c>
      <c r="BF1958" s="1">
        <v>49.0</v>
      </c>
      <c r="BG1958" s="1">
        <v>0.0</v>
      </c>
      <c r="BH1958" s="1">
        <v>17.0</v>
      </c>
      <c r="BI1958" s="1">
        <v>9.0</v>
      </c>
      <c r="BJ1958" s="1">
        <v>0.0</v>
      </c>
      <c r="BO1958" s="1" t="s">
        <v>6506</v>
      </c>
      <c r="BP1958" s="1">
        <v>0.974</v>
      </c>
      <c r="BU1958" s="1" t="s">
        <v>974</v>
      </c>
      <c r="BV1958" s="1">
        <v>1.1</v>
      </c>
      <c r="EQ1958" s="9" t="s">
        <v>6500</v>
      </c>
      <c r="ER1958" s="21">
        <v>46045.30152777778</v>
      </c>
    </row>
    <row r="1959">
      <c r="A1959" s="9" t="s">
        <v>6507</v>
      </c>
      <c r="B1959" s="20" t="str">
        <f>IFERROR(__xludf.DUMMYFUNCTION("REGEXREPLACE(A1959, ""^https?://[^/]+"", """")"),"/wp-content/uploads/2020/10/Sales-Leadership-Consultant-Leading-a-Sales-Meeting-scaled-1-300x300.jpg")</f>
        <v>/wp-content/uploads/2020/10/Sales-Leadership-Consultant-Leading-a-Sales-Meeting-scaled-1-300x300.jpg</v>
      </c>
      <c r="F1959" s="1" t="s">
        <v>1004</v>
      </c>
      <c r="G1959" s="1">
        <v>200.0</v>
      </c>
      <c r="H1959" s="1" t="s">
        <v>966</v>
      </c>
      <c r="I1959" s="1" t="s">
        <v>967</v>
      </c>
      <c r="L1959" s="1">
        <v>0.0</v>
      </c>
      <c r="M1959" s="1">
        <v>0.0</v>
      </c>
      <c r="O1959" s="1">
        <v>0.0</v>
      </c>
      <c r="P1959" s="1">
        <v>0.0</v>
      </c>
      <c r="R1959" s="1">
        <v>0.0</v>
      </c>
      <c r="S1959" s="1">
        <v>0.0</v>
      </c>
      <c r="U1959" s="1">
        <v>0.0</v>
      </c>
      <c r="W1959" s="1">
        <v>0.0</v>
      </c>
      <c r="Y1959" s="1">
        <v>0.0</v>
      </c>
      <c r="AA1959" s="1">
        <v>0.0</v>
      </c>
      <c r="AC1959" s="1">
        <v>0.0</v>
      </c>
      <c r="AM1959" s="1">
        <v>18084.0</v>
      </c>
      <c r="AN1959" s="1">
        <v>18084.0</v>
      </c>
      <c r="AO1959" s="1">
        <v>18084.0</v>
      </c>
      <c r="AP1959" s="1">
        <v>6.928</v>
      </c>
      <c r="AR1959" s="1">
        <v>0.0</v>
      </c>
      <c r="AW1959" s="1">
        <v>0.0</v>
      </c>
      <c r="AX1959" s="1">
        <v>4.0</v>
      </c>
      <c r="AY1959" s="1">
        <v>4.0</v>
      </c>
      <c r="BA1959" s="1">
        <v>0.0</v>
      </c>
      <c r="BB1959" s="1">
        <v>0.0</v>
      </c>
      <c r="BC1959" s="1">
        <v>0.0</v>
      </c>
      <c r="BD1959" s="1">
        <v>0.0</v>
      </c>
      <c r="BE1959" s="1">
        <v>0.0</v>
      </c>
      <c r="BF1959" s="1">
        <v>0.0</v>
      </c>
      <c r="BG1959" s="1">
        <v>0.0</v>
      </c>
      <c r="BH1959" s="1">
        <v>0.0</v>
      </c>
      <c r="BI1959" s="1">
        <v>0.0</v>
      </c>
      <c r="BJ1959" s="1">
        <v>0.0</v>
      </c>
      <c r="BP1959" s="1">
        <v>0.264</v>
      </c>
      <c r="BQ1959" s="1" t="s">
        <v>6508</v>
      </c>
      <c r="BV1959" s="1">
        <v>1.1</v>
      </c>
      <c r="EQ1959" s="9" t="s">
        <v>6507</v>
      </c>
      <c r="ER1959" s="21">
        <v>46045.30153935185</v>
      </c>
    </row>
    <row r="1960">
      <c r="A1960" s="9" t="s">
        <v>6509</v>
      </c>
      <c r="B1960" s="20" t="str">
        <f>IFERROR(__xludf.DUMMYFUNCTION("REGEXREPLACE(A1960, ""^https?://[^/]+"", """")"),"/wp-content/uploads/2020/09/Career-Crossroads-scaled-1-300x300.jpg")</f>
        <v>/wp-content/uploads/2020/09/Career-Crossroads-scaled-1-300x300.jpg</v>
      </c>
      <c r="F1960" s="1" t="s">
        <v>1004</v>
      </c>
      <c r="G1960" s="1">
        <v>200.0</v>
      </c>
      <c r="H1960" s="1" t="s">
        <v>966</v>
      </c>
      <c r="I1960" s="1" t="s">
        <v>967</v>
      </c>
      <c r="L1960" s="1">
        <v>0.0</v>
      </c>
      <c r="M1960" s="1">
        <v>0.0</v>
      </c>
      <c r="O1960" s="1">
        <v>0.0</v>
      </c>
      <c r="P1960" s="1">
        <v>0.0</v>
      </c>
      <c r="R1960" s="1">
        <v>0.0</v>
      </c>
      <c r="S1960" s="1">
        <v>0.0</v>
      </c>
      <c r="U1960" s="1">
        <v>0.0</v>
      </c>
      <c r="W1960" s="1">
        <v>0.0</v>
      </c>
      <c r="Y1960" s="1">
        <v>0.0</v>
      </c>
      <c r="AA1960" s="1">
        <v>0.0</v>
      </c>
      <c r="AC1960" s="1">
        <v>0.0</v>
      </c>
      <c r="AM1960" s="1">
        <v>11786.0</v>
      </c>
      <c r="AN1960" s="1">
        <v>11786.0</v>
      </c>
      <c r="AO1960" s="1">
        <v>11786.0</v>
      </c>
      <c r="AP1960" s="1">
        <v>4.515</v>
      </c>
      <c r="AR1960" s="1">
        <v>0.0</v>
      </c>
      <c r="AW1960" s="1">
        <v>0.0</v>
      </c>
      <c r="AX1960" s="1">
        <v>4.0</v>
      </c>
      <c r="AY1960" s="1">
        <v>4.0</v>
      </c>
      <c r="BA1960" s="1">
        <v>0.0</v>
      </c>
      <c r="BB1960" s="1">
        <v>0.0</v>
      </c>
      <c r="BC1960" s="1">
        <v>0.0</v>
      </c>
      <c r="BD1960" s="1">
        <v>0.0</v>
      </c>
      <c r="BE1960" s="1">
        <v>0.0</v>
      </c>
      <c r="BF1960" s="1">
        <v>0.0</v>
      </c>
      <c r="BG1960" s="1">
        <v>0.0</v>
      </c>
      <c r="BH1960" s="1">
        <v>0.0</v>
      </c>
      <c r="BI1960" s="1">
        <v>0.0</v>
      </c>
      <c r="BJ1960" s="1">
        <v>0.0</v>
      </c>
      <c r="BP1960" s="1">
        <v>0.265</v>
      </c>
      <c r="BQ1960" s="1" t="s">
        <v>6510</v>
      </c>
      <c r="BV1960" s="1">
        <v>1.1</v>
      </c>
      <c r="EQ1960" s="9" t="s">
        <v>6509</v>
      </c>
      <c r="ER1960" s="21">
        <v>46045.30153935185</v>
      </c>
    </row>
    <row r="1961">
      <c r="A1961" s="9" t="s">
        <v>6511</v>
      </c>
      <c r="B1961" s="20" t="str">
        <f>IFERROR(__xludf.DUMMYFUNCTION("REGEXREPLACE(A1961, ""^https?://[^/]+"", """")"),"/feeling-out-of-control-take-charge-of-your-next-career-act/")</f>
        <v>/feeling-out-of-control-take-charge-of-your-next-career-act/</v>
      </c>
      <c r="C1961" s="1" t="s">
        <v>6512</v>
      </c>
      <c r="D1961" s="1" t="s">
        <v>6513</v>
      </c>
      <c r="E1961" s="1" t="s">
        <v>6514</v>
      </c>
      <c r="F1961" s="1" t="s">
        <v>965</v>
      </c>
      <c r="G1961" s="1">
        <v>200.0</v>
      </c>
      <c r="H1961" s="1" t="s">
        <v>966</v>
      </c>
      <c r="I1961" s="1" t="s">
        <v>967</v>
      </c>
      <c r="K1961" s="1" t="s">
        <v>6515</v>
      </c>
      <c r="L1961" s="1">
        <v>85.0</v>
      </c>
      <c r="M1961" s="1">
        <v>758.0</v>
      </c>
      <c r="O1961" s="1">
        <v>0.0</v>
      </c>
      <c r="P1961" s="1">
        <v>0.0</v>
      </c>
      <c r="Q1961" s="1" t="s">
        <v>6516</v>
      </c>
      <c r="R1961" s="1">
        <v>164.0</v>
      </c>
      <c r="S1961" s="1">
        <v>1058.0</v>
      </c>
      <c r="U1961" s="1">
        <v>0.0</v>
      </c>
      <c r="V1961" s="1" t="s">
        <v>6512</v>
      </c>
      <c r="W1961" s="1">
        <v>60.0</v>
      </c>
      <c r="Y1961" s="1">
        <v>0.0</v>
      </c>
      <c r="Z1961" s="1" t="s">
        <v>6513</v>
      </c>
      <c r="AA1961" s="1">
        <v>17.0</v>
      </c>
      <c r="AB1961" s="1" t="s">
        <v>6514</v>
      </c>
      <c r="AC1961" s="1">
        <v>13.0</v>
      </c>
      <c r="AD1961" s="1" t="s">
        <v>971</v>
      </c>
      <c r="AG1961" s="9" t="s">
        <v>6511</v>
      </c>
      <c r="AM1961" s="1">
        <v>201859.0</v>
      </c>
      <c r="AN1961" s="1">
        <v>36022.0</v>
      </c>
      <c r="AO1961" s="1">
        <v>36022.0</v>
      </c>
      <c r="AP1961" s="1">
        <v>13.799</v>
      </c>
      <c r="AR1961" s="1">
        <v>1357.0</v>
      </c>
      <c r="AS1961" s="1">
        <v>203.0</v>
      </c>
      <c r="AT1961" s="1">
        <v>6.685</v>
      </c>
      <c r="AU1961" s="1">
        <v>71.997</v>
      </c>
      <c r="AV1961" s="1" t="s">
        <v>1264</v>
      </c>
      <c r="AW1961" s="1">
        <v>5.174</v>
      </c>
      <c r="AX1961" s="1">
        <v>4.0</v>
      </c>
      <c r="AY1961" s="1">
        <v>1.0</v>
      </c>
      <c r="AZ1961" s="1">
        <v>1.0</v>
      </c>
      <c r="BA1961" s="1">
        <v>4.0</v>
      </c>
      <c r="BB1961" s="1">
        <v>2.0</v>
      </c>
      <c r="BC1961" s="1">
        <v>0.0</v>
      </c>
      <c r="BD1961" s="1">
        <v>0.27</v>
      </c>
      <c r="BE1961" s="1">
        <v>133.0</v>
      </c>
      <c r="BF1961" s="1">
        <v>49.0</v>
      </c>
      <c r="BG1961" s="1">
        <v>0.0</v>
      </c>
      <c r="BH1961" s="1">
        <v>16.0</v>
      </c>
      <c r="BI1961" s="1">
        <v>8.0</v>
      </c>
      <c r="BJ1961" s="1">
        <v>0.0</v>
      </c>
      <c r="BO1961" s="1" t="s">
        <v>6517</v>
      </c>
      <c r="BP1961" s="1">
        <v>1.02</v>
      </c>
      <c r="BU1961" s="1" t="s">
        <v>974</v>
      </c>
      <c r="BV1961" s="1">
        <v>1.1</v>
      </c>
      <c r="EQ1961" s="9" t="s">
        <v>6511</v>
      </c>
      <c r="ER1961" s="21">
        <v>46045.30152777778</v>
      </c>
    </row>
    <row r="1962">
      <c r="A1962" s="9" t="s">
        <v>6518</v>
      </c>
      <c r="B1962" s="20" t="str">
        <f>IFERROR(__xludf.DUMMYFUNCTION("REGEXREPLACE(A1962, ""^https?://[^/]+"", """")"),"/give-yourself-the-gift-of-making-a-difference/")</f>
        <v>/give-yourself-the-gift-of-making-a-difference/</v>
      </c>
      <c r="C1962" s="1" t="s">
        <v>6519</v>
      </c>
      <c r="D1962" s="1" t="s">
        <v>6520</v>
      </c>
      <c r="E1962" s="1" t="s">
        <v>6521</v>
      </c>
      <c r="F1962" s="1" t="s">
        <v>965</v>
      </c>
      <c r="G1962" s="1">
        <v>200.0</v>
      </c>
      <c r="H1962" s="1" t="s">
        <v>966</v>
      </c>
      <c r="I1962" s="1" t="s">
        <v>967</v>
      </c>
      <c r="K1962" s="1" t="s">
        <v>6522</v>
      </c>
      <c r="L1962" s="1">
        <v>58.0</v>
      </c>
      <c r="M1962" s="1">
        <v>521.0</v>
      </c>
      <c r="O1962" s="1">
        <v>0.0</v>
      </c>
      <c r="P1962" s="1">
        <v>0.0</v>
      </c>
      <c r="Q1962" s="1" t="s">
        <v>6523</v>
      </c>
      <c r="R1962" s="1">
        <v>157.0</v>
      </c>
      <c r="S1962" s="1">
        <v>958.0</v>
      </c>
      <c r="U1962" s="1">
        <v>0.0</v>
      </c>
      <c r="V1962" s="1" t="s">
        <v>6519</v>
      </c>
      <c r="W1962" s="1">
        <v>45.0</v>
      </c>
      <c r="Y1962" s="1">
        <v>0.0</v>
      </c>
      <c r="Z1962" s="1" t="s">
        <v>6520</v>
      </c>
      <c r="AA1962" s="1">
        <v>36.0</v>
      </c>
      <c r="AB1962" s="1" t="s">
        <v>6521</v>
      </c>
      <c r="AC1962" s="1">
        <v>30.0</v>
      </c>
      <c r="AD1962" s="1" t="s">
        <v>971</v>
      </c>
      <c r="AG1962" s="9" t="s">
        <v>6518</v>
      </c>
      <c r="AM1962" s="1">
        <v>200140.0</v>
      </c>
      <c r="AN1962" s="1">
        <v>35786.0</v>
      </c>
      <c r="AO1962" s="1">
        <v>35786.0</v>
      </c>
      <c r="AP1962" s="1">
        <v>13.709</v>
      </c>
      <c r="AR1962" s="1">
        <v>1316.0</v>
      </c>
      <c r="AS1962" s="1">
        <v>211.0</v>
      </c>
      <c r="AT1962" s="1">
        <v>6.237</v>
      </c>
      <c r="AU1962" s="1">
        <v>67.047</v>
      </c>
      <c r="AV1962" s="1" t="s">
        <v>990</v>
      </c>
      <c r="AW1962" s="1">
        <v>5.195</v>
      </c>
      <c r="AX1962" s="1">
        <v>4.0</v>
      </c>
      <c r="AY1962" s="1">
        <v>1.0</v>
      </c>
      <c r="AZ1962" s="1">
        <v>1.0</v>
      </c>
      <c r="BA1962" s="1">
        <v>5.0</v>
      </c>
      <c r="BB1962" s="1">
        <v>3.0</v>
      </c>
      <c r="BC1962" s="1">
        <v>0.0</v>
      </c>
      <c r="BD1962" s="1">
        <v>0.4</v>
      </c>
      <c r="BE1962" s="1">
        <v>133.0</v>
      </c>
      <c r="BF1962" s="1">
        <v>49.0</v>
      </c>
      <c r="BG1962" s="1">
        <v>0.0</v>
      </c>
      <c r="BH1962" s="1">
        <v>16.0</v>
      </c>
      <c r="BI1962" s="1">
        <v>8.0</v>
      </c>
      <c r="BJ1962" s="1">
        <v>0.0</v>
      </c>
      <c r="BO1962" s="1" t="s">
        <v>6524</v>
      </c>
      <c r="BP1962" s="1">
        <v>0.999</v>
      </c>
      <c r="BU1962" s="1" t="s">
        <v>974</v>
      </c>
      <c r="BV1962" s="1">
        <v>1.1</v>
      </c>
      <c r="EQ1962" s="9" t="s">
        <v>6518</v>
      </c>
      <c r="ER1962" s="21">
        <v>46045.30152777778</v>
      </c>
    </row>
    <row r="1963">
      <c r="A1963" s="9" t="s">
        <v>6525</v>
      </c>
      <c r="B1963" s="20" t="str">
        <f>IFERROR(__xludf.DUMMYFUNCTION("REGEXREPLACE(A1963, ""^https?://[^/]+"", """")"),"/wp-content/uploads/2020/12/Woman-Sales-VP-Thinking-About-the-Future-scaled-1-300x300.jpg")</f>
        <v>/wp-content/uploads/2020/12/Woman-Sales-VP-Thinking-About-the-Future-scaled-1-300x300.jpg</v>
      </c>
      <c r="F1963" s="1" t="s">
        <v>1004</v>
      </c>
      <c r="G1963" s="1">
        <v>200.0</v>
      </c>
      <c r="H1963" s="1" t="s">
        <v>966</v>
      </c>
      <c r="I1963" s="1" t="s">
        <v>967</v>
      </c>
      <c r="L1963" s="1">
        <v>0.0</v>
      </c>
      <c r="M1963" s="1">
        <v>0.0</v>
      </c>
      <c r="O1963" s="1">
        <v>0.0</v>
      </c>
      <c r="P1963" s="1">
        <v>0.0</v>
      </c>
      <c r="R1963" s="1">
        <v>0.0</v>
      </c>
      <c r="S1963" s="1">
        <v>0.0</v>
      </c>
      <c r="U1963" s="1">
        <v>0.0</v>
      </c>
      <c r="W1963" s="1">
        <v>0.0</v>
      </c>
      <c r="Y1963" s="1">
        <v>0.0</v>
      </c>
      <c r="AA1963" s="1">
        <v>0.0</v>
      </c>
      <c r="AC1963" s="1">
        <v>0.0</v>
      </c>
      <c r="AM1963" s="1">
        <v>9902.0</v>
      </c>
      <c r="AN1963" s="1">
        <v>9902.0</v>
      </c>
      <c r="AO1963" s="1">
        <v>9902.0</v>
      </c>
      <c r="AP1963" s="1">
        <v>3.793</v>
      </c>
      <c r="AR1963" s="1">
        <v>0.0</v>
      </c>
      <c r="AW1963" s="1">
        <v>0.0</v>
      </c>
      <c r="AX1963" s="1">
        <v>4.0</v>
      </c>
      <c r="AY1963" s="1">
        <v>4.0</v>
      </c>
      <c r="BA1963" s="1">
        <v>0.0</v>
      </c>
      <c r="BB1963" s="1">
        <v>0.0</v>
      </c>
      <c r="BC1963" s="1">
        <v>0.0</v>
      </c>
      <c r="BD1963" s="1">
        <v>0.0</v>
      </c>
      <c r="BE1963" s="1">
        <v>0.0</v>
      </c>
      <c r="BF1963" s="1">
        <v>0.0</v>
      </c>
      <c r="BG1963" s="1">
        <v>0.0</v>
      </c>
      <c r="BH1963" s="1">
        <v>0.0</v>
      </c>
      <c r="BI1963" s="1">
        <v>0.0</v>
      </c>
      <c r="BJ1963" s="1">
        <v>0.0</v>
      </c>
      <c r="BP1963" s="1">
        <v>0.283</v>
      </c>
      <c r="BQ1963" s="1" t="s">
        <v>6526</v>
      </c>
      <c r="BV1963" s="1">
        <v>1.1</v>
      </c>
      <c r="EQ1963" s="9" t="s">
        <v>6525</v>
      </c>
      <c r="ER1963" s="21">
        <v>46045.30155092593</v>
      </c>
    </row>
    <row r="1964">
      <c r="A1964" s="9" t="s">
        <v>6527</v>
      </c>
      <c r="B1964" s="20" t="str">
        <f>IFERROR(__xludf.DUMMYFUNCTION("REGEXREPLACE(A1964, ""^https?://[^/]+"", """")"),"/turn-turn-turn-making-the-pivot-to-a-new-season-in-your-professional-life/")</f>
        <v>/turn-turn-turn-making-the-pivot-to-a-new-season-in-your-professional-life/</v>
      </c>
      <c r="C1964" s="1" t="s">
        <v>6528</v>
      </c>
      <c r="D1964" s="1" t="s">
        <v>6529</v>
      </c>
      <c r="E1964" s="1" t="s">
        <v>6530</v>
      </c>
      <c r="F1964" s="1" t="s">
        <v>965</v>
      </c>
      <c r="G1964" s="1">
        <v>200.0</v>
      </c>
      <c r="H1964" s="1" t="s">
        <v>966</v>
      </c>
      <c r="I1964" s="1" t="s">
        <v>967</v>
      </c>
      <c r="K1964" s="1" t="s">
        <v>6531</v>
      </c>
      <c r="L1964" s="1">
        <v>101.0</v>
      </c>
      <c r="M1964" s="1">
        <v>894.0</v>
      </c>
      <c r="O1964" s="1">
        <v>0.0</v>
      </c>
      <c r="P1964" s="1">
        <v>0.0</v>
      </c>
      <c r="Q1964" s="1" t="s">
        <v>6532</v>
      </c>
      <c r="R1964" s="1">
        <v>179.0</v>
      </c>
      <c r="S1964" s="1">
        <v>1105.0</v>
      </c>
      <c r="U1964" s="1">
        <v>0.0</v>
      </c>
      <c r="V1964" s="1" t="s">
        <v>6528</v>
      </c>
      <c r="W1964" s="1">
        <v>76.0</v>
      </c>
      <c r="Y1964" s="1">
        <v>0.0</v>
      </c>
      <c r="Z1964" s="1" t="s">
        <v>6529</v>
      </c>
      <c r="AA1964" s="1">
        <v>49.0</v>
      </c>
      <c r="AB1964" s="1" t="s">
        <v>6530</v>
      </c>
      <c r="AC1964" s="1">
        <v>28.0</v>
      </c>
      <c r="AD1964" s="1" t="s">
        <v>971</v>
      </c>
      <c r="AG1964" s="9" t="s">
        <v>6527</v>
      </c>
      <c r="AM1964" s="1">
        <v>201038.0</v>
      </c>
      <c r="AN1964" s="1">
        <v>35796.0</v>
      </c>
      <c r="AO1964" s="1">
        <v>35796.0</v>
      </c>
      <c r="AP1964" s="1">
        <v>13.713</v>
      </c>
      <c r="AR1964" s="1">
        <v>1366.0</v>
      </c>
      <c r="AS1964" s="1">
        <v>215.0</v>
      </c>
      <c r="AT1964" s="1">
        <v>6.353</v>
      </c>
      <c r="AU1964" s="1">
        <v>62.153</v>
      </c>
      <c r="AV1964" s="1" t="s">
        <v>990</v>
      </c>
      <c r="AW1964" s="1">
        <v>5.413</v>
      </c>
      <c r="AX1964" s="1">
        <v>4.0</v>
      </c>
      <c r="AY1964" s="1">
        <v>1.0</v>
      </c>
      <c r="AZ1964" s="1">
        <v>1.0</v>
      </c>
      <c r="BA1964" s="1">
        <v>5.0</v>
      </c>
      <c r="BB1964" s="1">
        <v>3.0</v>
      </c>
      <c r="BC1964" s="1">
        <v>0.0</v>
      </c>
      <c r="BD1964" s="1">
        <v>0.4</v>
      </c>
      <c r="BE1964" s="1">
        <v>133.0</v>
      </c>
      <c r="BF1964" s="1">
        <v>48.0</v>
      </c>
      <c r="BG1964" s="1">
        <v>0.0</v>
      </c>
      <c r="BH1964" s="1">
        <v>16.0</v>
      </c>
      <c r="BI1964" s="1">
        <v>8.0</v>
      </c>
      <c r="BJ1964" s="1">
        <v>0.0</v>
      </c>
      <c r="BO1964" s="1" t="s">
        <v>6533</v>
      </c>
      <c r="BP1964" s="1">
        <v>1.025</v>
      </c>
      <c r="BU1964" s="1" t="s">
        <v>974</v>
      </c>
      <c r="BV1964" s="1">
        <v>1.1</v>
      </c>
      <c r="EQ1964" s="9" t="s">
        <v>6527</v>
      </c>
      <c r="ER1964" s="21">
        <v>46045.30152777778</v>
      </c>
    </row>
    <row r="1965">
      <c r="A1965" s="9" t="s">
        <v>6534</v>
      </c>
      <c r="B1965" s="20" t="str">
        <f>IFERROR(__xludf.DUMMYFUNCTION("REGEXREPLACE(A1965, ""^https?://[^/]+"", """")"),"/wp-content/uploads/2025/11/hire-outside-of-industry-1030x579-1-1024x576-1.jpg")</f>
        <v>/wp-content/uploads/2025/11/hire-outside-of-industry-1030x579-1-1024x576-1.jpg</v>
      </c>
      <c r="F1965" s="1" t="s">
        <v>1004</v>
      </c>
      <c r="G1965" s="1">
        <v>200.0</v>
      </c>
      <c r="H1965" s="1" t="s">
        <v>966</v>
      </c>
      <c r="I1965" s="1" t="s">
        <v>967</v>
      </c>
      <c r="L1965" s="1">
        <v>0.0</v>
      </c>
      <c r="M1965" s="1">
        <v>0.0</v>
      </c>
      <c r="O1965" s="1">
        <v>0.0</v>
      </c>
      <c r="P1965" s="1">
        <v>0.0</v>
      </c>
      <c r="R1965" s="1">
        <v>0.0</v>
      </c>
      <c r="S1965" s="1">
        <v>0.0</v>
      </c>
      <c r="U1965" s="1">
        <v>0.0</v>
      </c>
      <c r="W1965" s="1">
        <v>0.0</v>
      </c>
      <c r="Y1965" s="1">
        <v>0.0</v>
      </c>
      <c r="AA1965" s="1">
        <v>0.0</v>
      </c>
      <c r="AC1965" s="1">
        <v>0.0</v>
      </c>
      <c r="AM1965" s="1">
        <v>93929.0</v>
      </c>
      <c r="AN1965" s="1">
        <v>93929.0</v>
      </c>
      <c r="AO1965" s="1">
        <v>93929.0</v>
      </c>
      <c r="AP1965" s="1">
        <v>35.982</v>
      </c>
      <c r="AR1965" s="1">
        <v>0.0</v>
      </c>
      <c r="AW1965" s="1">
        <v>0.0</v>
      </c>
      <c r="AX1965" s="1">
        <v>4.0</v>
      </c>
      <c r="AY1965" s="1">
        <v>4.0</v>
      </c>
      <c r="BA1965" s="1">
        <v>0.0</v>
      </c>
      <c r="BB1965" s="1">
        <v>0.0</v>
      </c>
      <c r="BC1965" s="1">
        <v>0.0</v>
      </c>
      <c r="BD1965" s="1">
        <v>0.0</v>
      </c>
      <c r="BE1965" s="1">
        <v>0.0</v>
      </c>
      <c r="BF1965" s="1">
        <v>0.0</v>
      </c>
      <c r="BG1965" s="1">
        <v>0.0</v>
      </c>
      <c r="BH1965" s="1">
        <v>0.0</v>
      </c>
      <c r="BI1965" s="1">
        <v>0.0</v>
      </c>
      <c r="BJ1965" s="1">
        <v>0.0</v>
      </c>
      <c r="BP1965" s="1">
        <v>0.268</v>
      </c>
      <c r="BQ1965" s="1" t="s">
        <v>4017</v>
      </c>
      <c r="BV1965" s="1">
        <v>1.1</v>
      </c>
      <c r="EQ1965" s="9" t="s">
        <v>6534</v>
      </c>
      <c r="ER1965" s="21">
        <v>46045.30155092593</v>
      </c>
    </row>
    <row r="1966">
      <c r="A1966" s="9" t="s">
        <v>6535</v>
      </c>
      <c r="B1966" s="20" t="str">
        <f>IFERROR(__xludf.DUMMYFUNCTION("REGEXREPLACE(A1966, ""^https?://[^/]+"", """")"),"/wp-content/themes/salesxceleratione/assets/css/style.css?ver=1769123524")</f>
        <v>/wp-content/themes/salesxceleratione/assets/css/style.css?ver=1769123524</v>
      </c>
      <c r="F1966" s="1" t="s">
        <v>1016</v>
      </c>
      <c r="G1966" s="1">
        <v>200.0</v>
      </c>
      <c r="H1966" s="1" t="s">
        <v>966</v>
      </c>
      <c r="I1966" s="1" t="s">
        <v>967</v>
      </c>
      <c r="L1966" s="1">
        <v>0.0</v>
      </c>
      <c r="M1966" s="1">
        <v>0.0</v>
      </c>
      <c r="O1966" s="1">
        <v>0.0</v>
      </c>
      <c r="P1966" s="1">
        <v>0.0</v>
      </c>
      <c r="R1966" s="1">
        <v>0.0</v>
      </c>
      <c r="S1966" s="1">
        <v>0.0</v>
      </c>
      <c r="U1966" s="1">
        <v>0.0</v>
      </c>
      <c r="W1966" s="1">
        <v>0.0</v>
      </c>
      <c r="Y1966" s="1">
        <v>0.0</v>
      </c>
      <c r="AA1966" s="1">
        <v>0.0</v>
      </c>
      <c r="AC1966" s="1">
        <v>0.0</v>
      </c>
      <c r="AM1966" s="1">
        <v>17704.0</v>
      </c>
      <c r="AN1966" s="1">
        <v>17704.0</v>
      </c>
      <c r="AO1966" s="1">
        <v>17704.0</v>
      </c>
      <c r="AP1966" s="1">
        <v>6.782</v>
      </c>
      <c r="AR1966" s="1">
        <v>0.0</v>
      </c>
      <c r="AW1966" s="1">
        <v>0.0</v>
      </c>
      <c r="AX1966" s="1">
        <v>4.0</v>
      </c>
      <c r="AY1966" s="1">
        <v>5.0</v>
      </c>
      <c r="BA1966" s="1">
        <v>0.0</v>
      </c>
      <c r="BB1966" s="1">
        <v>0.0</v>
      </c>
      <c r="BC1966" s="1">
        <v>0.0</v>
      </c>
      <c r="BD1966" s="1">
        <v>0.0</v>
      </c>
      <c r="BE1966" s="1">
        <v>0.0</v>
      </c>
      <c r="BF1966" s="1">
        <v>0.0</v>
      </c>
      <c r="BG1966" s="1">
        <v>0.0</v>
      </c>
      <c r="BH1966" s="1">
        <v>0.0</v>
      </c>
      <c r="BI1966" s="1">
        <v>0.0</v>
      </c>
      <c r="BJ1966" s="1">
        <v>0.0</v>
      </c>
      <c r="BP1966" s="1">
        <v>0.268</v>
      </c>
      <c r="BQ1966" s="1" t="s">
        <v>6536</v>
      </c>
      <c r="BV1966" s="1">
        <v>1.1</v>
      </c>
      <c r="EQ1966" s="9" t="s">
        <v>6535</v>
      </c>
      <c r="ER1966" s="21">
        <v>46045.30155092593</v>
      </c>
    </row>
    <row r="1967">
      <c r="A1967" s="9" t="s">
        <v>6537</v>
      </c>
      <c r="B1967" s="20" t="str">
        <f>IFERROR(__xludf.DUMMYFUNCTION("REGEXREPLACE(A1967, ""^https?://[^/]+"", """")"),"/wp-content/uploads/2025/11/61-of-companies-do-not-provide-performance-reviews-1024x536-1.jpg")</f>
        <v>/wp-content/uploads/2025/11/61-of-companies-do-not-provide-performance-reviews-1024x536-1.jpg</v>
      </c>
      <c r="F1967" s="1" t="s">
        <v>1004</v>
      </c>
      <c r="G1967" s="1">
        <v>200.0</v>
      </c>
      <c r="H1967" s="1" t="s">
        <v>966</v>
      </c>
      <c r="I1967" s="1" t="s">
        <v>967</v>
      </c>
      <c r="L1967" s="1">
        <v>0.0</v>
      </c>
      <c r="M1967" s="1">
        <v>0.0</v>
      </c>
      <c r="O1967" s="1">
        <v>0.0</v>
      </c>
      <c r="P1967" s="1">
        <v>0.0</v>
      </c>
      <c r="R1967" s="1">
        <v>0.0</v>
      </c>
      <c r="S1967" s="1">
        <v>0.0</v>
      </c>
      <c r="U1967" s="1">
        <v>0.0</v>
      </c>
      <c r="W1967" s="1">
        <v>0.0</v>
      </c>
      <c r="Y1967" s="1">
        <v>0.0</v>
      </c>
      <c r="AA1967" s="1">
        <v>0.0</v>
      </c>
      <c r="AC1967" s="1">
        <v>0.0</v>
      </c>
      <c r="AM1967" s="1">
        <v>75115.0</v>
      </c>
      <c r="AN1967" s="1">
        <v>75115.0</v>
      </c>
      <c r="AO1967" s="1">
        <v>75115.0</v>
      </c>
      <c r="AP1967" s="1">
        <v>28.775</v>
      </c>
      <c r="AR1967" s="1">
        <v>0.0</v>
      </c>
      <c r="AW1967" s="1">
        <v>0.0</v>
      </c>
      <c r="AX1967" s="1">
        <v>4.0</v>
      </c>
      <c r="AY1967" s="1">
        <v>4.0</v>
      </c>
      <c r="BA1967" s="1">
        <v>0.0</v>
      </c>
      <c r="BB1967" s="1">
        <v>0.0</v>
      </c>
      <c r="BC1967" s="1">
        <v>0.0</v>
      </c>
      <c r="BD1967" s="1">
        <v>0.0</v>
      </c>
      <c r="BE1967" s="1">
        <v>0.0</v>
      </c>
      <c r="BF1967" s="1">
        <v>0.0</v>
      </c>
      <c r="BG1967" s="1">
        <v>0.0</v>
      </c>
      <c r="BH1967" s="1">
        <v>0.0</v>
      </c>
      <c r="BI1967" s="1">
        <v>0.0</v>
      </c>
      <c r="BJ1967" s="1">
        <v>0.0</v>
      </c>
      <c r="BP1967" s="1">
        <v>0.281</v>
      </c>
      <c r="BQ1967" s="1" t="s">
        <v>6538</v>
      </c>
      <c r="BV1967" s="1">
        <v>1.1</v>
      </c>
      <c r="EQ1967" s="9" t="s">
        <v>6537</v>
      </c>
      <c r="ER1967" s="21">
        <v>46045.30155092593</v>
      </c>
    </row>
    <row r="1968">
      <c r="A1968" s="9" t="s">
        <v>6539</v>
      </c>
      <c r="B1968" s="20" t="str">
        <f>IFERROR(__xludf.DUMMYFUNCTION("REGEXREPLACE(A1968, ""^https?://[^/]+"", """")"),"/wp-content/uploads/2025/11/91-of-companies-do-not-offer-any-sales-training-1024x536-1.jpg")</f>
        <v>/wp-content/uploads/2025/11/91-of-companies-do-not-offer-any-sales-training-1024x536-1.jpg</v>
      </c>
      <c r="F1968" s="1" t="s">
        <v>1004</v>
      </c>
      <c r="G1968" s="1">
        <v>200.0</v>
      </c>
      <c r="H1968" s="1" t="s">
        <v>966</v>
      </c>
      <c r="I1968" s="1" t="s">
        <v>967</v>
      </c>
      <c r="L1968" s="1">
        <v>0.0</v>
      </c>
      <c r="M1968" s="1">
        <v>0.0</v>
      </c>
      <c r="O1968" s="1">
        <v>0.0</v>
      </c>
      <c r="P1968" s="1">
        <v>0.0</v>
      </c>
      <c r="R1968" s="1">
        <v>0.0</v>
      </c>
      <c r="S1968" s="1">
        <v>0.0</v>
      </c>
      <c r="U1968" s="1">
        <v>0.0</v>
      </c>
      <c r="W1968" s="1">
        <v>0.0</v>
      </c>
      <c r="Y1968" s="1">
        <v>0.0</v>
      </c>
      <c r="AA1968" s="1">
        <v>0.0</v>
      </c>
      <c r="AC1968" s="1">
        <v>0.0</v>
      </c>
      <c r="AM1968" s="1">
        <v>82892.0</v>
      </c>
      <c r="AN1968" s="1">
        <v>82892.0</v>
      </c>
      <c r="AO1968" s="1">
        <v>82892.0</v>
      </c>
      <c r="AP1968" s="1">
        <v>31.754</v>
      </c>
      <c r="AR1968" s="1">
        <v>0.0</v>
      </c>
      <c r="AW1968" s="1">
        <v>0.0</v>
      </c>
      <c r="AX1968" s="1">
        <v>4.0</v>
      </c>
      <c r="AY1968" s="1">
        <v>4.0</v>
      </c>
      <c r="BA1968" s="1">
        <v>0.0</v>
      </c>
      <c r="BB1968" s="1">
        <v>0.0</v>
      </c>
      <c r="BC1968" s="1">
        <v>0.0</v>
      </c>
      <c r="BD1968" s="1">
        <v>0.0</v>
      </c>
      <c r="BE1968" s="1">
        <v>0.0</v>
      </c>
      <c r="BF1968" s="1">
        <v>0.0</v>
      </c>
      <c r="BG1968" s="1">
        <v>0.0</v>
      </c>
      <c r="BH1968" s="1">
        <v>0.0</v>
      </c>
      <c r="BI1968" s="1">
        <v>0.0</v>
      </c>
      <c r="BJ1968" s="1">
        <v>0.0</v>
      </c>
      <c r="BP1968" s="1">
        <v>0.271</v>
      </c>
      <c r="BQ1968" s="1" t="s">
        <v>6540</v>
      </c>
      <c r="BV1968" s="1">
        <v>1.1</v>
      </c>
      <c r="EQ1968" s="9" t="s">
        <v>6539</v>
      </c>
      <c r="ER1968" s="21">
        <v>46045.30155092593</v>
      </c>
    </row>
    <row r="1969">
      <c r="A1969" s="9" t="s">
        <v>6541</v>
      </c>
      <c r="B1969" s="20" t="str">
        <f>IFERROR(__xludf.DUMMYFUNCTION("REGEXREPLACE(A1969, ""^https?://[^/]+"", """")"),"/resources/state-of-sales/?__hstc=264954448.5a75b0ce6ded236b1a525ae32d6f058b.1762363628984.1762363628984.1762460367118.2&amp;__hssc=264954448.17.1762460367118&amp;__hsfp=1415230760")</f>
        <v>/resources/state-of-sales/?__hstc=264954448.5a75b0ce6ded236b1a525ae32d6f058b.1762363628984.1762363628984.1762460367118.2&amp;__hssc=264954448.17.1762460367118&amp;__hsfp=1415230760</v>
      </c>
      <c r="F1969" s="1" t="s">
        <v>965</v>
      </c>
      <c r="G1969" s="1">
        <v>301.0</v>
      </c>
      <c r="H1969" s="1" t="s">
        <v>1304</v>
      </c>
      <c r="I1969" s="1" t="s">
        <v>1214</v>
      </c>
      <c r="J1969" s="1" t="s">
        <v>1305</v>
      </c>
      <c r="L1969" s="1">
        <v>0.0</v>
      </c>
      <c r="M1969" s="1">
        <v>0.0</v>
      </c>
      <c r="O1969" s="1">
        <v>0.0</v>
      </c>
      <c r="P1969" s="1">
        <v>0.0</v>
      </c>
      <c r="R1969" s="1">
        <v>0.0</v>
      </c>
      <c r="S1969" s="1">
        <v>0.0</v>
      </c>
      <c r="U1969" s="1">
        <v>0.0</v>
      </c>
      <c r="W1969" s="1">
        <v>0.0</v>
      </c>
      <c r="Y1969" s="1">
        <v>0.0</v>
      </c>
      <c r="AA1969" s="1">
        <v>0.0</v>
      </c>
      <c r="AC1969" s="1">
        <v>0.0</v>
      </c>
      <c r="AM1969" s="1">
        <v>0.0</v>
      </c>
      <c r="AN1969" s="1">
        <v>0.0</v>
      </c>
      <c r="AO1969" s="1">
        <v>0.0</v>
      </c>
      <c r="AP1969" s="1">
        <v>0.0</v>
      </c>
      <c r="AR1969" s="1">
        <v>0.0</v>
      </c>
      <c r="AW1969" s="1">
        <v>0.0</v>
      </c>
      <c r="AX1969" s="1">
        <v>4.0</v>
      </c>
      <c r="AY1969" s="1">
        <v>2.0</v>
      </c>
      <c r="BA1969" s="1">
        <v>1.0</v>
      </c>
      <c r="BB1969" s="1">
        <v>1.0</v>
      </c>
      <c r="BC1969" s="1">
        <v>0.0</v>
      </c>
      <c r="BD1969" s="1">
        <v>0.13</v>
      </c>
      <c r="BE1969" s="1">
        <v>0.0</v>
      </c>
      <c r="BF1969" s="1">
        <v>0.0</v>
      </c>
      <c r="BG1969" s="1">
        <v>0.0</v>
      </c>
      <c r="BH1969" s="1">
        <v>0.0</v>
      </c>
      <c r="BI1969" s="1">
        <v>0.0</v>
      </c>
      <c r="BJ1969" s="1">
        <v>0.0</v>
      </c>
      <c r="BP1969" s="1">
        <v>0.598</v>
      </c>
      <c r="BR1969" s="9" t="s">
        <v>6542</v>
      </c>
      <c r="BS1969" s="1" t="s">
        <v>1307</v>
      </c>
      <c r="BV1969" s="1">
        <v>1.1</v>
      </c>
      <c r="EQ1969" s="9" t="s">
        <v>6541</v>
      </c>
      <c r="ER1969" s="21">
        <v>46045.30155092593</v>
      </c>
    </row>
    <row r="1970">
      <c r="A1970" s="9" t="s">
        <v>6543</v>
      </c>
      <c r="B1970" s="20" t="str">
        <f>IFERROR(__xludf.DUMMYFUNCTION("REGEXREPLACE(A1970, ""^https?://[^/]+"", """")"),"/wp-content/uploads/2025/12/how-firing-your-topsales.jpg")</f>
        <v>/wp-content/uploads/2025/12/how-firing-your-topsales.jpg</v>
      </c>
      <c r="F1970" s="1" t="s">
        <v>1004</v>
      </c>
      <c r="G1970" s="1">
        <v>200.0</v>
      </c>
      <c r="H1970" s="1" t="s">
        <v>966</v>
      </c>
      <c r="I1970" s="1" t="s">
        <v>967</v>
      </c>
      <c r="L1970" s="1">
        <v>0.0</v>
      </c>
      <c r="M1970" s="1">
        <v>0.0</v>
      </c>
      <c r="O1970" s="1">
        <v>0.0</v>
      </c>
      <c r="P1970" s="1">
        <v>0.0</v>
      </c>
      <c r="R1970" s="1">
        <v>0.0</v>
      </c>
      <c r="S1970" s="1">
        <v>0.0</v>
      </c>
      <c r="U1970" s="1">
        <v>0.0</v>
      </c>
      <c r="W1970" s="1">
        <v>0.0</v>
      </c>
      <c r="Y1970" s="1">
        <v>0.0</v>
      </c>
      <c r="AA1970" s="1">
        <v>0.0</v>
      </c>
      <c r="AC1970" s="1">
        <v>0.0</v>
      </c>
      <c r="AM1970" s="1">
        <v>510670.0</v>
      </c>
      <c r="AN1970" s="1">
        <v>510670.0</v>
      </c>
      <c r="AO1970" s="1">
        <v>510670.0</v>
      </c>
      <c r="AP1970" s="1">
        <v>195.628</v>
      </c>
      <c r="AR1970" s="1">
        <v>0.0</v>
      </c>
      <c r="AW1970" s="1">
        <v>0.0</v>
      </c>
      <c r="AX1970" s="1">
        <v>4.0</v>
      </c>
      <c r="AY1970" s="1">
        <v>4.0</v>
      </c>
      <c r="BA1970" s="1">
        <v>0.0</v>
      </c>
      <c r="BB1970" s="1">
        <v>0.0</v>
      </c>
      <c r="BC1970" s="1">
        <v>0.0</v>
      </c>
      <c r="BD1970" s="1">
        <v>0.0</v>
      </c>
      <c r="BE1970" s="1">
        <v>0.0</v>
      </c>
      <c r="BF1970" s="1">
        <v>0.0</v>
      </c>
      <c r="BG1970" s="1">
        <v>0.0</v>
      </c>
      <c r="BH1970" s="1">
        <v>0.0</v>
      </c>
      <c r="BI1970" s="1">
        <v>0.0</v>
      </c>
      <c r="BJ1970" s="1">
        <v>0.0</v>
      </c>
      <c r="BP1970" s="1">
        <v>0.287</v>
      </c>
      <c r="BQ1970" s="1" t="s">
        <v>4009</v>
      </c>
      <c r="BV1970" s="1">
        <v>1.1</v>
      </c>
      <c r="EQ1970" s="9" t="s">
        <v>6543</v>
      </c>
      <c r="ER1970" s="21">
        <v>46045.3015625</v>
      </c>
    </row>
    <row r="1971">
      <c r="A1971" s="9" t="s">
        <v>6544</v>
      </c>
      <c r="B1971" s="20" t="str">
        <f>IFERROR(__xludf.DUMMYFUNCTION("REGEXREPLACE(A1971, ""^https?://[^/]+"", """")"),"/wp-content/themes/salesxceleratione/assets/css/style.css?ver=1769123525")</f>
        <v>/wp-content/themes/salesxceleratione/assets/css/style.css?ver=1769123525</v>
      </c>
      <c r="F1971" s="1" t="s">
        <v>1016</v>
      </c>
      <c r="G1971" s="1">
        <v>200.0</v>
      </c>
      <c r="H1971" s="1" t="s">
        <v>966</v>
      </c>
      <c r="I1971" s="1" t="s">
        <v>967</v>
      </c>
      <c r="L1971" s="1">
        <v>0.0</v>
      </c>
      <c r="M1971" s="1">
        <v>0.0</v>
      </c>
      <c r="O1971" s="1">
        <v>0.0</v>
      </c>
      <c r="P1971" s="1">
        <v>0.0</v>
      </c>
      <c r="R1971" s="1">
        <v>0.0</v>
      </c>
      <c r="S1971" s="1">
        <v>0.0</v>
      </c>
      <c r="U1971" s="1">
        <v>0.0</v>
      </c>
      <c r="W1971" s="1">
        <v>0.0</v>
      </c>
      <c r="Y1971" s="1">
        <v>0.0</v>
      </c>
      <c r="AA1971" s="1">
        <v>0.0</v>
      </c>
      <c r="AC1971" s="1">
        <v>0.0</v>
      </c>
      <c r="AM1971" s="1">
        <v>17704.0</v>
      </c>
      <c r="AN1971" s="1">
        <v>17704.0</v>
      </c>
      <c r="AO1971" s="1">
        <v>17704.0</v>
      </c>
      <c r="AP1971" s="1">
        <v>6.782</v>
      </c>
      <c r="AR1971" s="1">
        <v>0.0</v>
      </c>
      <c r="AW1971" s="1">
        <v>0.0</v>
      </c>
      <c r="AX1971" s="1">
        <v>4.0</v>
      </c>
      <c r="AY1971" s="1">
        <v>5.0</v>
      </c>
      <c r="BA1971" s="1">
        <v>0.0</v>
      </c>
      <c r="BB1971" s="1">
        <v>0.0</v>
      </c>
      <c r="BC1971" s="1">
        <v>0.0</v>
      </c>
      <c r="BD1971" s="1">
        <v>0.0</v>
      </c>
      <c r="BE1971" s="1">
        <v>0.0</v>
      </c>
      <c r="BF1971" s="1">
        <v>0.0</v>
      </c>
      <c r="BG1971" s="1">
        <v>0.0</v>
      </c>
      <c r="BH1971" s="1">
        <v>0.0</v>
      </c>
      <c r="BI1971" s="1">
        <v>0.0</v>
      </c>
      <c r="BJ1971" s="1">
        <v>0.0</v>
      </c>
      <c r="BP1971" s="1">
        <v>0.281</v>
      </c>
      <c r="BQ1971" s="1" t="s">
        <v>6545</v>
      </c>
      <c r="BV1971" s="1">
        <v>1.1</v>
      </c>
      <c r="EQ1971" s="9" t="s">
        <v>6544</v>
      </c>
      <c r="ER1971" s="21">
        <v>46045.3015625</v>
      </c>
    </row>
    <row r="1972">
      <c r="A1972" s="9" t="s">
        <v>6546</v>
      </c>
      <c r="B1972" s="20" t="str">
        <f>IFERROR(__xludf.DUMMYFUNCTION("REGEXREPLACE(A1972, ""^https?://[^/]+"", """")"),"/the-business-process-outsourcing-trend-how-bpo-benefits-businesses-of-all-sizes/")</f>
        <v>/the-business-process-outsourcing-trend-how-bpo-benefits-businesses-of-all-sizes/</v>
      </c>
      <c r="C1972" s="1" t="s">
        <v>6547</v>
      </c>
      <c r="F1972" s="1" t="s">
        <v>965</v>
      </c>
      <c r="G1972" s="1">
        <v>200.0</v>
      </c>
      <c r="H1972" s="1" t="s">
        <v>966</v>
      </c>
      <c r="I1972" s="1" t="s">
        <v>967</v>
      </c>
      <c r="K1972" s="1" t="s">
        <v>6548</v>
      </c>
      <c r="L1972" s="1">
        <v>114.0</v>
      </c>
      <c r="M1972" s="1">
        <v>1041.0</v>
      </c>
      <c r="O1972" s="1">
        <v>0.0</v>
      </c>
      <c r="P1972" s="1">
        <v>0.0</v>
      </c>
      <c r="Q1972" s="1" t="s">
        <v>6549</v>
      </c>
      <c r="R1972" s="1">
        <v>101.0</v>
      </c>
      <c r="S1972" s="1">
        <v>622.0</v>
      </c>
      <c r="U1972" s="1">
        <v>0.0</v>
      </c>
      <c r="V1972" s="1" t="s">
        <v>6547</v>
      </c>
      <c r="W1972" s="1">
        <v>89.0</v>
      </c>
      <c r="Y1972" s="1">
        <v>0.0</v>
      </c>
      <c r="AA1972" s="1">
        <v>0.0</v>
      </c>
      <c r="AC1972" s="1">
        <v>0.0</v>
      </c>
      <c r="AD1972" s="1" t="s">
        <v>971</v>
      </c>
      <c r="AG1972" s="9" t="s">
        <v>6546</v>
      </c>
      <c r="AM1972" s="1">
        <v>196977.0</v>
      </c>
      <c r="AN1972" s="1">
        <v>34023.0</v>
      </c>
      <c r="AO1972" s="1">
        <v>34023.0</v>
      </c>
      <c r="AP1972" s="1">
        <v>13.034</v>
      </c>
      <c r="AR1972" s="1">
        <v>661.0</v>
      </c>
      <c r="AS1972" s="1">
        <v>115.0</v>
      </c>
      <c r="AT1972" s="1">
        <v>5.748</v>
      </c>
      <c r="AU1972" s="1">
        <v>59.19</v>
      </c>
      <c r="AV1972" s="1" t="s">
        <v>972</v>
      </c>
      <c r="AW1972" s="1">
        <v>3.316</v>
      </c>
      <c r="AX1972" s="1">
        <v>4.0</v>
      </c>
      <c r="AY1972" s="1">
        <v>1.0</v>
      </c>
      <c r="AZ1972" s="1">
        <v>1.0</v>
      </c>
      <c r="BA1972" s="1">
        <v>5.0</v>
      </c>
      <c r="BB1972" s="1">
        <v>3.0</v>
      </c>
      <c r="BC1972" s="1">
        <v>0.0</v>
      </c>
      <c r="BD1972" s="1">
        <v>0.4</v>
      </c>
      <c r="BE1972" s="1">
        <v>129.0</v>
      </c>
      <c r="BF1972" s="1">
        <v>47.0</v>
      </c>
      <c r="BG1972" s="1">
        <v>0.0</v>
      </c>
      <c r="BH1972" s="1">
        <v>18.0</v>
      </c>
      <c r="BI1972" s="1">
        <v>10.0</v>
      </c>
      <c r="BJ1972" s="1">
        <v>0.0</v>
      </c>
      <c r="BO1972" s="1" t="s">
        <v>6550</v>
      </c>
      <c r="BP1972" s="1">
        <v>0.972</v>
      </c>
      <c r="BU1972" s="1" t="s">
        <v>974</v>
      </c>
      <c r="BV1972" s="1">
        <v>1.1</v>
      </c>
      <c r="EQ1972" s="9" t="s">
        <v>6546</v>
      </c>
      <c r="ER1972" s="21">
        <v>46045.30155092593</v>
      </c>
    </row>
    <row r="1973">
      <c r="A1973" s="9" t="s">
        <v>6551</v>
      </c>
      <c r="B1973" s="20" t="str">
        <f>IFERROR(__xludf.DUMMYFUNCTION("REGEXREPLACE(A1973, ""^https?://[^/]+"", """")"),"/5-tips-to-sales-leaders-to-kickstart-hiring/")</f>
        <v>/5-tips-to-sales-leaders-to-kickstart-hiring/</v>
      </c>
      <c r="C1973" s="1" t="s">
        <v>6552</v>
      </c>
      <c r="D1973" s="1" t="s">
        <v>3959</v>
      </c>
      <c r="E1973" s="1" t="s">
        <v>3960</v>
      </c>
      <c r="F1973" s="1" t="s">
        <v>965</v>
      </c>
      <c r="G1973" s="1">
        <v>200.0</v>
      </c>
      <c r="H1973" s="1" t="s">
        <v>966</v>
      </c>
      <c r="I1973" s="1" t="s">
        <v>967</v>
      </c>
      <c r="K1973" s="1" t="s">
        <v>6553</v>
      </c>
      <c r="L1973" s="1">
        <v>68.0</v>
      </c>
      <c r="M1973" s="1">
        <v>589.0</v>
      </c>
      <c r="O1973" s="1">
        <v>0.0</v>
      </c>
      <c r="P1973" s="1">
        <v>0.0</v>
      </c>
      <c r="Q1973" s="1" t="s">
        <v>1480</v>
      </c>
      <c r="R1973" s="1">
        <v>144.0</v>
      </c>
      <c r="S1973" s="1">
        <v>864.0</v>
      </c>
      <c r="U1973" s="1">
        <v>0.0</v>
      </c>
      <c r="V1973" s="1" t="s">
        <v>6552</v>
      </c>
      <c r="W1973" s="1">
        <v>43.0</v>
      </c>
      <c r="Y1973" s="1">
        <v>0.0</v>
      </c>
      <c r="Z1973" s="1" t="s">
        <v>3959</v>
      </c>
      <c r="AA1973" s="1">
        <v>27.0</v>
      </c>
      <c r="AB1973" s="1" t="s">
        <v>3960</v>
      </c>
      <c r="AC1973" s="1">
        <v>37.0</v>
      </c>
      <c r="AD1973" s="1" t="s">
        <v>971</v>
      </c>
      <c r="AG1973" s="9" t="s">
        <v>6551</v>
      </c>
      <c r="AM1973" s="1">
        <v>194862.0</v>
      </c>
      <c r="AN1973" s="1">
        <v>35579.0</v>
      </c>
      <c r="AO1973" s="1">
        <v>35579.0</v>
      </c>
      <c r="AP1973" s="1">
        <v>13.63</v>
      </c>
      <c r="AR1973" s="1">
        <v>1188.0</v>
      </c>
      <c r="AS1973" s="1">
        <v>186.0</v>
      </c>
      <c r="AT1973" s="1">
        <v>6.387</v>
      </c>
      <c r="AU1973" s="1">
        <v>58.569</v>
      </c>
      <c r="AV1973" s="1" t="s">
        <v>972</v>
      </c>
      <c r="AW1973" s="1">
        <v>5.095</v>
      </c>
      <c r="AX1973" s="1">
        <v>4.0</v>
      </c>
      <c r="AY1973" s="1">
        <v>1.0</v>
      </c>
      <c r="AZ1973" s="1">
        <v>1.0</v>
      </c>
      <c r="BA1973" s="1">
        <v>2.0</v>
      </c>
      <c r="BB1973" s="1">
        <v>1.0</v>
      </c>
      <c r="BC1973" s="1">
        <v>0.0</v>
      </c>
      <c r="BD1973" s="1">
        <v>0.13</v>
      </c>
      <c r="BE1973" s="1">
        <v>132.0</v>
      </c>
      <c r="BF1973" s="1">
        <v>49.0</v>
      </c>
      <c r="BG1973" s="1">
        <v>0.0</v>
      </c>
      <c r="BH1973" s="1">
        <v>23.0</v>
      </c>
      <c r="BI1973" s="1">
        <v>14.0</v>
      </c>
      <c r="BJ1973" s="1">
        <v>0.0</v>
      </c>
      <c r="BO1973" s="1" t="s">
        <v>6554</v>
      </c>
      <c r="BP1973" s="1">
        <v>1.043</v>
      </c>
      <c r="BU1973" s="1" t="s">
        <v>974</v>
      </c>
      <c r="BV1973" s="1">
        <v>1.1</v>
      </c>
      <c r="EQ1973" s="9" t="s">
        <v>6551</v>
      </c>
      <c r="ER1973" s="21">
        <v>46045.30155092593</v>
      </c>
    </row>
    <row r="1974">
      <c r="A1974" s="9" t="s">
        <v>6555</v>
      </c>
      <c r="B1974" s="20" t="str">
        <f>IFERROR(__xludf.DUMMYFUNCTION("REGEXREPLACE(A1974, ""^https?://[^/]+"", """")"),"/wp-content/themes/salesxceleratione/assets/css/style.css?ver=1769123526")</f>
        <v>/wp-content/themes/salesxceleratione/assets/css/style.css?ver=1769123526</v>
      </c>
      <c r="F1974" s="1" t="s">
        <v>1016</v>
      </c>
      <c r="G1974" s="1">
        <v>200.0</v>
      </c>
      <c r="H1974" s="1" t="s">
        <v>966</v>
      </c>
      <c r="I1974" s="1" t="s">
        <v>967</v>
      </c>
      <c r="L1974" s="1">
        <v>0.0</v>
      </c>
      <c r="M1974" s="1">
        <v>0.0</v>
      </c>
      <c r="O1974" s="1">
        <v>0.0</v>
      </c>
      <c r="P1974" s="1">
        <v>0.0</v>
      </c>
      <c r="R1974" s="1">
        <v>0.0</v>
      </c>
      <c r="S1974" s="1">
        <v>0.0</v>
      </c>
      <c r="U1974" s="1">
        <v>0.0</v>
      </c>
      <c r="W1974" s="1">
        <v>0.0</v>
      </c>
      <c r="Y1974" s="1">
        <v>0.0</v>
      </c>
      <c r="AA1974" s="1">
        <v>0.0</v>
      </c>
      <c r="AC1974" s="1">
        <v>0.0</v>
      </c>
      <c r="AM1974" s="1">
        <v>17704.0</v>
      </c>
      <c r="AN1974" s="1">
        <v>17704.0</v>
      </c>
      <c r="AO1974" s="1">
        <v>17704.0</v>
      </c>
      <c r="AP1974" s="1">
        <v>6.782</v>
      </c>
      <c r="AR1974" s="1">
        <v>0.0</v>
      </c>
      <c r="AW1974" s="1">
        <v>0.0</v>
      </c>
      <c r="AX1974" s="1">
        <v>4.0</v>
      </c>
      <c r="AY1974" s="1">
        <v>5.0</v>
      </c>
      <c r="BA1974" s="1">
        <v>0.0</v>
      </c>
      <c r="BB1974" s="1">
        <v>0.0</v>
      </c>
      <c r="BC1974" s="1">
        <v>0.0</v>
      </c>
      <c r="BD1974" s="1">
        <v>0.0</v>
      </c>
      <c r="BE1974" s="1">
        <v>0.0</v>
      </c>
      <c r="BF1974" s="1">
        <v>0.0</v>
      </c>
      <c r="BG1974" s="1">
        <v>0.0</v>
      </c>
      <c r="BH1974" s="1">
        <v>0.0</v>
      </c>
      <c r="BI1974" s="1">
        <v>0.0</v>
      </c>
      <c r="BJ1974" s="1">
        <v>0.0</v>
      </c>
      <c r="BP1974" s="1">
        <v>0.259</v>
      </c>
      <c r="BQ1974" s="1" t="s">
        <v>6556</v>
      </c>
      <c r="BV1974" s="1">
        <v>1.1</v>
      </c>
      <c r="EQ1974" s="9" t="s">
        <v>6555</v>
      </c>
      <c r="ER1974" s="21">
        <v>46045.3015625</v>
      </c>
    </row>
    <row r="1975">
      <c r="A1975" s="9" t="s">
        <v>6557</v>
      </c>
      <c r="B1975" s="20" t="str">
        <f>IFERROR(__xludf.DUMMYFUNCTION("REGEXREPLACE(A1975, ""^https?://[^/]+"", """")"),"/wp-content/uploads/2023/10/Harness-the-Power-of-AI.jpg")</f>
        <v>/wp-content/uploads/2023/10/Harness-the-Power-of-AI.jpg</v>
      </c>
      <c r="F1975" s="1" t="s">
        <v>1004</v>
      </c>
      <c r="G1975" s="1">
        <v>200.0</v>
      </c>
      <c r="H1975" s="1" t="s">
        <v>966</v>
      </c>
      <c r="I1975" s="1" t="s">
        <v>967</v>
      </c>
      <c r="L1975" s="1">
        <v>0.0</v>
      </c>
      <c r="M1975" s="1">
        <v>0.0</v>
      </c>
      <c r="O1975" s="1">
        <v>0.0</v>
      </c>
      <c r="P1975" s="1">
        <v>0.0</v>
      </c>
      <c r="R1975" s="1">
        <v>0.0</v>
      </c>
      <c r="S1975" s="1">
        <v>0.0</v>
      </c>
      <c r="U1975" s="1">
        <v>0.0</v>
      </c>
      <c r="W1975" s="1">
        <v>0.0</v>
      </c>
      <c r="Y1975" s="1">
        <v>0.0</v>
      </c>
      <c r="AA1975" s="1">
        <v>0.0</v>
      </c>
      <c r="AC1975" s="1">
        <v>0.0</v>
      </c>
      <c r="AM1975" s="1">
        <v>145189.0</v>
      </c>
      <c r="AN1975" s="1">
        <v>145189.0</v>
      </c>
      <c r="AO1975" s="1">
        <v>145189.0</v>
      </c>
      <c r="AP1975" s="1">
        <v>55.619</v>
      </c>
      <c r="AR1975" s="1">
        <v>0.0</v>
      </c>
      <c r="AW1975" s="1">
        <v>0.0</v>
      </c>
      <c r="AX1975" s="1">
        <v>4.0</v>
      </c>
      <c r="AY1975" s="1">
        <v>4.0</v>
      </c>
      <c r="BA1975" s="1">
        <v>0.0</v>
      </c>
      <c r="BB1975" s="1">
        <v>0.0</v>
      </c>
      <c r="BC1975" s="1">
        <v>0.0</v>
      </c>
      <c r="BD1975" s="1">
        <v>0.0</v>
      </c>
      <c r="BE1975" s="1">
        <v>0.0</v>
      </c>
      <c r="BF1975" s="1">
        <v>0.0</v>
      </c>
      <c r="BG1975" s="1">
        <v>0.0</v>
      </c>
      <c r="BH1975" s="1">
        <v>0.0</v>
      </c>
      <c r="BI1975" s="1">
        <v>0.0</v>
      </c>
      <c r="BJ1975" s="1">
        <v>0.0</v>
      </c>
      <c r="BP1975" s="1">
        <v>0.271</v>
      </c>
      <c r="BQ1975" s="1" t="s">
        <v>6558</v>
      </c>
      <c r="BV1975" s="1">
        <v>1.1</v>
      </c>
      <c r="EQ1975" s="9" t="s">
        <v>6557</v>
      </c>
      <c r="ER1975" s="21">
        <v>46045.3015625</v>
      </c>
    </row>
    <row r="1976">
      <c r="A1976" s="9" t="s">
        <v>6559</v>
      </c>
      <c r="B1976" s="20" t="str">
        <f>IFERROR(__xludf.DUMMYFUNCTION("REGEXREPLACE(A1976, ""^https?://[^/]+"", """")"),"/wp-content/uploads/2023/05/How-AI-can-change-the-sales-game.png")</f>
        <v>/wp-content/uploads/2023/05/How-AI-can-change-the-sales-game.png</v>
      </c>
      <c r="F1976" s="1" t="s">
        <v>1047</v>
      </c>
      <c r="G1976" s="1">
        <v>200.0</v>
      </c>
      <c r="H1976" s="1" t="s">
        <v>966</v>
      </c>
      <c r="I1976" s="1" t="s">
        <v>967</v>
      </c>
      <c r="L1976" s="1">
        <v>0.0</v>
      </c>
      <c r="M1976" s="1">
        <v>0.0</v>
      </c>
      <c r="O1976" s="1">
        <v>0.0</v>
      </c>
      <c r="P1976" s="1">
        <v>0.0</v>
      </c>
      <c r="R1976" s="1">
        <v>0.0</v>
      </c>
      <c r="S1976" s="1">
        <v>0.0</v>
      </c>
      <c r="U1976" s="1">
        <v>0.0</v>
      </c>
      <c r="W1976" s="1">
        <v>0.0</v>
      </c>
      <c r="Y1976" s="1">
        <v>0.0</v>
      </c>
      <c r="AA1976" s="1">
        <v>0.0</v>
      </c>
      <c r="AC1976" s="1">
        <v>0.0</v>
      </c>
      <c r="AM1976" s="1">
        <v>173651.0</v>
      </c>
      <c r="AN1976" s="1">
        <v>173651.0</v>
      </c>
      <c r="AO1976" s="1">
        <v>173651.0</v>
      </c>
      <c r="AP1976" s="1">
        <v>66.522</v>
      </c>
      <c r="AR1976" s="1">
        <v>0.0</v>
      </c>
      <c r="AW1976" s="1">
        <v>0.0</v>
      </c>
      <c r="AX1976" s="1">
        <v>4.0</v>
      </c>
      <c r="AY1976" s="1">
        <v>4.0</v>
      </c>
      <c r="BA1976" s="1">
        <v>0.0</v>
      </c>
      <c r="BB1976" s="1">
        <v>0.0</v>
      </c>
      <c r="BC1976" s="1">
        <v>0.0</v>
      </c>
      <c r="BD1976" s="1">
        <v>0.0</v>
      </c>
      <c r="BE1976" s="1">
        <v>0.0</v>
      </c>
      <c r="BF1976" s="1">
        <v>0.0</v>
      </c>
      <c r="BG1976" s="1">
        <v>0.0</v>
      </c>
      <c r="BH1976" s="1">
        <v>0.0</v>
      </c>
      <c r="BI1976" s="1">
        <v>0.0</v>
      </c>
      <c r="BJ1976" s="1">
        <v>0.0</v>
      </c>
      <c r="BP1976" s="1">
        <v>0.359</v>
      </c>
      <c r="BQ1976" s="1" t="s">
        <v>6560</v>
      </c>
      <c r="BV1976" s="1">
        <v>1.1</v>
      </c>
      <c r="EQ1976" s="9" t="s">
        <v>6559</v>
      </c>
      <c r="ER1976" s="21">
        <v>46045.301574074074</v>
      </c>
    </row>
    <row r="1977">
      <c r="A1977" s="9" t="s">
        <v>6561</v>
      </c>
      <c r="B1977" s="20" t="str">
        <f>IFERROR(__xludf.DUMMYFUNCTION("REGEXREPLACE(A1977, ""^https?://[^/]+"", """")"),"/harness-the-power-of-artificial-intelligence-to-drive-sales/")</f>
        <v>/harness-the-power-of-artificial-intelligence-to-drive-sales/</v>
      </c>
      <c r="C1977" s="1" t="s">
        <v>6562</v>
      </c>
      <c r="D1977" s="1" t="s">
        <v>6563</v>
      </c>
      <c r="E1977" s="1" t="s">
        <v>6564</v>
      </c>
      <c r="F1977" s="1" t="s">
        <v>965</v>
      </c>
      <c r="G1977" s="1">
        <v>200.0</v>
      </c>
      <c r="H1977" s="1" t="s">
        <v>966</v>
      </c>
      <c r="I1977" s="1" t="s">
        <v>967</v>
      </c>
      <c r="K1977" s="1" t="s">
        <v>6565</v>
      </c>
      <c r="L1977" s="1">
        <v>84.0</v>
      </c>
      <c r="M1977" s="1">
        <v>724.0</v>
      </c>
      <c r="O1977" s="1">
        <v>0.0</v>
      </c>
      <c r="P1977" s="1">
        <v>0.0</v>
      </c>
      <c r="Q1977" s="1" t="s">
        <v>6566</v>
      </c>
      <c r="R1977" s="1">
        <v>125.0</v>
      </c>
      <c r="S1977" s="1">
        <v>758.0</v>
      </c>
      <c r="U1977" s="1">
        <v>0.0</v>
      </c>
      <c r="V1977" s="1" t="s">
        <v>6562</v>
      </c>
      <c r="W1977" s="1">
        <v>59.0</v>
      </c>
      <c r="Y1977" s="1">
        <v>0.0</v>
      </c>
      <c r="Z1977" s="1" t="s">
        <v>6563</v>
      </c>
      <c r="AA1977" s="1">
        <v>37.0</v>
      </c>
      <c r="AB1977" s="1" t="s">
        <v>6564</v>
      </c>
      <c r="AC1977" s="1">
        <v>24.0</v>
      </c>
      <c r="AD1977" s="1" t="s">
        <v>971</v>
      </c>
      <c r="AG1977" s="9" t="s">
        <v>6561</v>
      </c>
      <c r="AM1977" s="1">
        <v>199843.0</v>
      </c>
      <c r="AN1977" s="1">
        <v>35013.0</v>
      </c>
      <c r="AO1977" s="1">
        <v>35013.0</v>
      </c>
      <c r="AP1977" s="1">
        <v>13.413</v>
      </c>
      <c r="AR1977" s="1">
        <v>1201.0</v>
      </c>
      <c r="AS1977" s="1">
        <v>194.0</v>
      </c>
      <c r="AT1977" s="1">
        <v>6.191</v>
      </c>
      <c r="AU1977" s="1">
        <v>40.931</v>
      </c>
      <c r="AV1977" s="1" t="s">
        <v>1075</v>
      </c>
      <c r="AW1977" s="1">
        <v>5.283</v>
      </c>
      <c r="AX1977" s="1">
        <v>4.0</v>
      </c>
      <c r="AY1977" s="1">
        <v>1.0</v>
      </c>
      <c r="AZ1977" s="1">
        <v>1.0</v>
      </c>
      <c r="BA1977" s="1">
        <v>8.0</v>
      </c>
      <c r="BB1977" s="1">
        <v>4.0</v>
      </c>
      <c r="BC1977" s="1">
        <v>0.0</v>
      </c>
      <c r="BD1977" s="1">
        <v>0.53</v>
      </c>
      <c r="BE1977" s="1">
        <v>132.0</v>
      </c>
      <c r="BF1977" s="1">
        <v>48.0</v>
      </c>
      <c r="BG1977" s="1">
        <v>0.0</v>
      </c>
      <c r="BH1977" s="1">
        <v>17.0</v>
      </c>
      <c r="BI1977" s="1">
        <v>9.0</v>
      </c>
      <c r="BJ1977" s="1">
        <v>0.0</v>
      </c>
      <c r="BO1977" s="1" t="s">
        <v>6567</v>
      </c>
      <c r="BP1977" s="1">
        <v>0.948</v>
      </c>
      <c r="BU1977" s="1" t="s">
        <v>974</v>
      </c>
      <c r="BV1977" s="1">
        <v>1.1</v>
      </c>
      <c r="EQ1977" s="9" t="s">
        <v>6561</v>
      </c>
      <c r="ER1977" s="21">
        <v>46045.3015625</v>
      </c>
    </row>
    <row r="1978">
      <c r="A1978" s="9" t="s">
        <v>6568</v>
      </c>
      <c r="B1978" s="20" t="str">
        <f>IFERROR(__xludf.DUMMYFUNCTION("REGEXREPLACE(A1978, ""^https?://[^/]+"", """")"),"/wp-content/uploads/2015/03/CRM.jpg")</f>
        <v>/wp-content/uploads/2015/03/CRM.jpg</v>
      </c>
      <c r="F1978" s="1" t="s">
        <v>1004</v>
      </c>
      <c r="G1978" s="1">
        <v>200.0</v>
      </c>
      <c r="H1978" s="1" t="s">
        <v>966</v>
      </c>
      <c r="I1978" s="1" t="s">
        <v>967</v>
      </c>
      <c r="L1978" s="1">
        <v>0.0</v>
      </c>
      <c r="M1978" s="1">
        <v>0.0</v>
      </c>
      <c r="O1978" s="1">
        <v>0.0</v>
      </c>
      <c r="P1978" s="1">
        <v>0.0</v>
      </c>
      <c r="R1978" s="1">
        <v>0.0</v>
      </c>
      <c r="S1978" s="1">
        <v>0.0</v>
      </c>
      <c r="U1978" s="1">
        <v>0.0</v>
      </c>
      <c r="W1978" s="1">
        <v>0.0</v>
      </c>
      <c r="Y1978" s="1">
        <v>0.0</v>
      </c>
      <c r="AA1978" s="1">
        <v>0.0</v>
      </c>
      <c r="AC1978" s="1">
        <v>0.0</v>
      </c>
      <c r="AM1978" s="1">
        <v>18131.0</v>
      </c>
      <c r="AN1978" s="1">
        <v>18131.0</v>
      </c>
      <c r="AO1978" s="1">
        <v>18131.0</v>
      </c>
      <c r="AP1978" s="1">
        <v>6.946</v>
      </c>
      <c r="AR1978" s="1">
        <v>0.0</v>
      </c>
      <c r="AW1978" s="1">
        <v>0.0</v>
      </c>
      <c r="AX1978" s="1">
        <v>4.0</v>
      </c>
      <c r="AY1978" s="1">
        <v>4.0</v>
      </c>
      <c r="BA1978" s="1">
        <v>0.0</v>
      </c>
      <c r="BB1978" s="1">
        <v>0.0</v>
      </c>
      <c r="BC1978" s="1">
        <v>0.0</v>
      </c>
      <c r="BD1978" s="1">
        <v>0.0</v>
      </c>
      <c r="BE1978" s="1">
        <v>0.0</v>
      </c>
      <c r="BF1978" s="1">
        <v>0.0</v>
      </c>
      <c r="BG1978" s="1">
        <v>0.0</v>
      </c>
      <c r="BH1978" s="1">
        <v>0.0</v>
      </c>
      <c r="BI1978" s="1">
        <v>0.0</v>
      </c>
      <c r="BJ1978" s="1">
        <v>0.0</v>
      </c>
      <c r="BP1978" s="1">
        <v>0.276</v>
      </c>
      <c r="BQ1978" s="1" t="s">
        <v>6569</v>
      </c>
      <c r="BV1978" s="1">
        <v>1.1</v>
      </c>
      <c r="EQ1978" s="9" t="s">
        <v>6568</v>
      </c>
      <c r="ER1978" s="21">
        <v>46045.301574074074</v>
      </c>
    </row>
    <row r="1979">
      <c r="A1979" s="9" t="s">
        <v>6570</v>
      </c>
      <c r="B1979" s="20" t="str">
        <f>IFERROR(__xludf.DUMMYFUNCTION("REGEXREPLACE(A1979, ""^https?://[^/]+"", """")"),"/wp-content/uploads/2015/03/CRM-Sales-xceleration.png")</f>
        <v>/wp-content/uploads/2015/03/CRM-Sales-xceleration.png</v>
      </c>
      <c r="F1979" s="1" t="s">
        <v>1047</v>
      </c>
      <c r="G1979" s="1">
        <v>200.0</v>
      </c>
      <c r="H1979" s="1" t="s">
        <v>966</v>
      </c>
      <c r="I1979" s="1" t="s">
        <v>967</v>
      </c>
      <c r="L1979" s="1">
        <v>0.0</v>
      </c>
      <c r="M1979" s="1">
        <v>0.0</v>
      </c>
      <c r="O1979" s="1">
        <v>0.0</v>
      </c>
      <c r="P1979" s="1">
        <v>0.0</v>
      </c>
      <c r="R1979" s="1">
        <v>0.0</v>
      </c>
      <c r="S1979" s="1">
        <v>0.0</v>
      </c>
      <c r="U1979" s="1">
        <v>0.0</v>
      </c>
      <c r="W1979" s="1">
        <v>0.0</v>
      </c>
      <c r="Y1979" s="1">
        <v>0.0</v>
      </c>
      <c r="AA1979" s="1">
        <v>0.0</v>
      </c>
      <c r="AC1979" s="1">
        <v>0.0</v>
      </c>
      <c r="AM1979" s="1">
        <v>264669.0</v>
      </c>
      <c r="AN1979" s="1">
        <v>264669.0</v>
      </c>
      <c r="AO1979" s="1">
        <v>264669.0</v>
      </c>
      <c r="AP1979" s="1">
        <v>101.39</v>
      </c>
      <c r="AR1979" s="1">
        <v>0.0</v>
      </c>
      <c r="AW1979" s="1">
        <v>0.0</v>
      </c>
      <c r="AX1979" s="1">
        <v>4.0</v>
      </c>
      <c r="AY1979" s="1">
        <v>4.0</v>
      </c>
      <c r="BA1979" s="1">
        <v>0.0</v>
      </c>
      <c r="BB1979" s="1">
        <v>0.0</v>
      </c>
      <c r="BC1979" s="1">
        <v>0.0</v>
      </c>
      <c r="BD1979" s="1">
        <v>0.0</v>
      </c>
      <c r="BE1979" s="1">
        <v>0.0</v>
      </c>
      <c r="BF1979" s="1">
        <v>0.0</v>
      </c>
      <c r="BG1979" s="1">
        <v>0.0</v>
      </c>
      <c r="BH1979" s="1">
        <v>0.0</v>
      </c>
      <c r="BI1979" s="1">
        <v>0.0</v>
      </c>
      <c r="BJ1979" s="1">
        <v>0.0</v>
      </c>
      <c r="BP1979" s="1">
        <v>0.27</v>
      </c>
      <c r="BQ1979" s="1" t="s">
        <v>6571</v>
      </c>
      <c r="BV1979" s="1">
        <v>1.1</v>
      </c>
      <c r="EQ1979" s="9" t="s">
        <v>6570</v>
      </c>
      <c r="ER1979" s="21">
        <v>46045.301574074074</v>
      </c>
    </row>
    <row r="1980">
      <c r="A1980" s="9" t="s">
        <v>6572</v>
      </c>
      <c r="B1980" s="20" t="str">
        <f>IFERROR(__xludf.DUMMYFUNCTION("REGEXREPLACE(A1980, ""^https?://[^/]+"", """")"),"/wp-content/themes/salesxceleratione/assets/css/style.css?ver=1769123527")</f>
        <v>/wp-content/themes/salesxceleratione/assets/css/style.css?ver=1769123527</v>
      </c>
      <c r="F1980" s="1" t="s">
        <v>1016</v>
      </c>
      <c r="G1980" s="1">
        <v>200.0</v>
      </c>
      <c r="H1980" s="1" t="s">
        <v>966</v>
      </c>
      <c r="I1980" s="1" t="s">
        <v>967</v>
      </c>
      <c r="L1980" s="1">
        <v>0.0</v>
      </c>
      <c r="M1980" s="1">
        <v>0.0</v>
      </c>
      <c r="O1980" s="1">
        <v>0.0</v>
      </c>
      <c r="P1980" s="1">
        <v>0.0</v>
      </c>
      <c r="R1980" s="1">
        <v>0.0</v>
      </c>
      <c r="S1980" s="1">
        <v>0.0</v>
      </c>
      <c r="U1980" s="1">
        <v>0.0</v>
      </c>
      <c r="W1980" s="1">
        <v>0.0</v>
      </c>
      <c r="Y1980" s="1">
        <v>0.0</v>
      </c>
      <c r="AA1980" s="1">
        <v>0.0</v>
      </c>
      <c r="AC1980" s="1">
        <v>0.0</v>
      </c>
      <c r="AM1980" s="1">
        <v>17704.0</v>
      </c>
      <c r="AN1980" s="1">
        <v>17704.0</v>
      </c>
      <c r="AO1980" s="1">
        <v>17704.0</v>
      </c>
      <c r="AP1980" s="1">
        <v>6.782</v>
      </c>
      <c r="AR1980" s="1">
        <v>0.0</v>
      </c>
      <c r="AW1980" s="1">
        <v>0.0</v>
      </c>
      <c r="AX1980" s="1">
        <v>4.0</v>
      </c>
      <c r="AY1980" s="1">
        <v>5.0</v>
      </c>
      <c r="BA1980" s="1">
        <v>0.0</v>
      </c>
      <c r="BB1980" s="1">
        <v>0.0</v>
      </c>
      <c r="BC1980" s="1">
        <v>0.0</v>
      </c>
      <c r="BD1980" s="1">
        <v>0.0</v>
      </c>
      <c r="BE1980" s="1">
        <v>0.0</v>
      </c>
      <c r="BF1980" s="1">
        <v>0.0</v>
      </c>
      <c r="BG1980" s="1">
        <v>0.0</v>
      </c>
      <c r="BH1980" s="1">
        <v>0.0</v>
      </c>
      <c r="BI1980" s="1">
        <v>0.0</v>
      </c>
      <c r="BJ1980" s="1">
        <v>0.0</v>
      </c>
      <c r="BP1980" s="1">
        <v>0.276</v>
      </c>
      <c r="BQ1980" s="1" t="s">
        <v>6573</v>
      </c>
      <c r="BV1980" s="1">
        <v>1.1</v>
      </c>
      <c r="EQ1980" s="9" t="s">
        <v>6572</v>
      </c>
      <c r="ER1980" s="21">
        <v>46045.30158564815</v>
      </c>
    </row>
    <row r="1981">
      <c r="A1981" s="9" t="s">
        <v>6574</v>
      </c>
      <c r="B1981" s="20" t="str">
        <f>IFERROR(__xludf.DUMMYFUNCTION("REGEXREPLACE(A1981, ""^https?://[^/]+"", """")"),"/wp-content/themes/salesxceleratione/assets/css/style.css?ver=1769123528")</f>
        <v>/wp-content/themes/salesxceleratione/assets/css/style.css?ver=1769123528</v>
      </c>
      <c r="F1981" s="1" t="s">
        <v>1016</v>
      </c>
      <c r="G1981" s="1">
        <v>200.0</v>
      </c>
      <c r="H1981" s="1" t="s">
        <v>966</v>
      </c>
      <c r="I1981" s="1" t="s">
        <v>967</v>
      </c>
      <c r="L1981" s="1">
        <v>0.0</v>
      </c>
      <c r="M1981" s="1">
        <v>0.0</v>
      </c>
      <c r="O1981" s="1">
        <v>0.0</v>
      </c>
      <c r="P1981" s="1">
        <v>0.0</v>
      </c>
      <c r="R1981" s="1">
        <v>0.0</v>
      </c>
      <c r="S1981" s="1">
        <v>0.0</v>
      </c>
      <c r="U1981" s="1">
        <v>0.0</v>
      </c>
      <c r="W1981" s="1">
        <v>0.0</v>
      </c>
      <c r="Y1981" s="1">
        <v>0.0</v>
      </c>
      <c r="AA1981" s="1">
        <v>0.0</v>
      </c>
      <c r="AC1981" s="1">
        <v>0.0</v>
      </c>
      <c r="AM1981" s="1">
        <v>17704.0</v>
      </c>
      <c r="AN1981" s="1">
        <v>17704.0</v>
      </c>
      <c r="AO1981" s="1">
        <v>17704.0</v>
      </c>
      <c r="AP1981" s="1">
        <v>6.782</v>
      </c>
      <c r="AR1981" s="1">
        <v>0.0</v>
      </c>
      <c r="AW1981" s="1">
        <v>0.0</v>
      </c>
      <c r="AX1981" s="1">
        <v>4.0</v>
      </c>
      <c r="AY1981" s="1">
        <v>5.0</v>
      </c>
      <c r="BA1981" s="1">
        <v>0.0</v>
      </c>
      <c r="BB1981" s="1">
        <v>0.0</v>
      </c>
      <c r="BC1981" s="1">
        <v>0.0</v>
      </c>
      <c r="BD1981" s="1">
        <v>0.0</v>
      </c>
      <c r="BE1981" s="1">
        <v>0.0</v>
      </c>
      <c r="BF1981" s="1">
        <v>0.0</v>
      </c>
      <c r="BG1981" s="1">
        <v>0.0</v>
      </c>
      <c r="BH1981" s="1">
        <v>0.0</v>
      </c>
      <c r="BI1981" s="1">
        <v>0.0</v>
      </c>
      <c r="BJ1981" s="1">
        <v>0.0</v>
      </c>
      <c r="BP1981" s="1">
        <v>0.268</v>
      </c>
      <c r="BQ1981" s="1" t="s">
        <v>6573</v>
      </c>
      <c r="BV1981" s="1">
        <v>1.1</v>
      </c>
      <c r="EQ1981" s="9" t="s">
        <v>6574</v>
      </c>
      <c r="ER1981" s="21">
        <v>46045.30158564815</v>
      </c>
    </row>
    <row r="1982">
      <c r="A1982" s="9" t="s">
        <v>6575</v>
      </c>
      <c r="B1982" s="20" t="str">
        <f>IFERROR(__xludf.DUMMYFUNCTION("REGEXREPLACE(A1982, ""^https?://[^/]+"", """")"),"/wp-content/uploads/2020/03/sales-marketing-meeting-1-2048x2048.jpg")</f>
        <v>/wp-content/uploads/2020/03/sales-marketing-meeting-1-2048x2048.jpg</v>
      </c>
      <c r="F1982" s="1" t="s">
        <v>1004</v>
      </c>
      <c r="G1982" s="1">
        <v>200.0</v>
      </c>
      <c r="H1982" s="1" t="s">
        <v>966</v>
      </c>
      <c r="I1982" s="1" t="s">
        <v>967</v>
      </c>
      <c r="L1982" s="1">
        <v>0.0</v>
      </c>
      <c r="M1982" s="1">
        <v>0.0</v>
      </c>
      <c r="O1982" s="1">
        <v>0.0</v>
      </c>
      <c r="P1982" s="1">
        <v>0.0</v>
      </c>
      <c r="R1982" s="1">
        <v>0.0</v>
      </c>
      <c r="S1982" s="1">
        <v>0.0</v>
      </c>
      <c r="U1982" s="1">
        <v>0.0</v>
      </c>
      <c r="W1982" s="1">
        <v>0.0</v>
      </c>
      <c r="Y1982" s="1">
        <v>0.0</v>
      </c>
      <c r="AA1982" s="1">
        <v>0.0</v>
      </c>
      <c r="AC1982" s="1">
        <v>0.0</v>
      </c>
      <c r="AM1982" s="1">
        <v>235085.0</v>
      </c>
      <c r="AN1982" s="1">
        <v>235085.0</v>
      </c>
      <c r="AO1982" s="1">
        <v>235085.0</v>
      </c>
      <c r="AP1982" s="1">
        <v>90.057</v>
      </c>
      <c r="AR1982" s="1">
        <v>0.0</v>
      </c>
      <c r="AW1982" s="1">
        <v>0.0</v>
      </c>
      <c r="AX1982" s="1">
        <v>4.0</v>
      </c>
      <c r="AY1982" s="1">
        <v>4.0</v>
      </c>
      <c r="BA1982" s="1">
        <v>0.0</v>
      </c>
      <c r="BB1982" s="1">
        <v>0.0</v>
      </c>
      <c r="BC1982" s="1">
        <v>0.0</v>
      </c>
      <c r="BD1982" s="1">
        <v>0.0</v>
      </c>
      <c r="BE1982" s="1">
        <v>0.0</v>
      </c>
      <c r="BF1982" s="1">
        <v>0.0</v>
      </c>
      <c r="BG1982" s="1">
        <v>0.0</v>
      </c>
      <c r="BH1982" s="1">
        <v>0.0</v>
      </c>
      <c r="BI1982" s="1">
        <v>0.0</v>
      </c>
      <c r="BJ1982" s="1">
        <v>0.0</v>
      </c>
      <c r="BP1982" s="1">
        <v>0.267</v>
      </c>
      <c r="BQ1982" s="1" t="s">
        <v>6576</v>
      </c>
      <c r="BV1982" s="1">
        <v>1.1</v>
      </c>
      <c r="EQ1982" s="9" t="s">
        <v>6575</v>
      </c>
      <c r="ER1982" s="21">
        <v>46045.30158564815</v>
      </c>
    </row>
    <row r="1983">
      <c r="A1983" s="9" t="s">
        <v>6577</v>
      </c>
      <c r="B1983" s="20" t="str">
        <f>IFERROR(__xludf.DUMMYFUNCTION("REGEXREPLACE(A1983, ""^https?://[^/]+"", """")"),"/wp-content/uploads/2020/03/Succeeding_as_a_sales_leader-1-2048x2048.jpg")</f>
        <v>/wp-content/uploads/2020/03/Succeeding_as_a_sales_leader-1-2048x2048.jpg</v>
      </c>
      <c r="F1983" s="1" t="s">
        <v>1004</v>
      </c>
      <c r="G1983" s="1">
        <v>200.0</v>
      </c>
      <c r="H1983" s="1" t="s">
        <v>966</v>
      </c>
      <c r="I1983" s="1" t="s">
        <v>967</v>
      </c>
      <c r="L1983" s="1">
        <v>0.0</v>
      </c>
      <c r="M1983" s="1">
        <v>0.0</v>
      </c>
      <c r="O1983" s="1">
        <v>0.0</v>
      </c>
      <c r="P1983" s="1">
        <v>0.0</v>
      </c>
      <c r="R1983" s="1">
        <v>0.0</v>
      </c>
      <c r="S1983" s="1">
        <v>0.0</v>
      </c>
      <c r="U1983" s="1">
        <v>0.0</v>
      </c>
      <c r="W1983" s="1">
        <v>0.0</v>
      </c>
      <c r="Y1983" s="1">
        <v>0.0</v>
      </c>
      <c r="AA1983" s="1">
        <v>0.0</v>
      </c>
      <c r="AC1983" s="1">
        <v>0.0</v>
      </c>
      <c r="AM1983" s="1">
        <v>171340.0</v>
      </c>
      <c r="AN1983" s="1">
        <v>171340.0</v>
      </c>
      <c r="AO1983" s="1">
        <v>171340.0</v>
      </c>
      <c r="AP1983" s="1">
        <v>65.637</v>
      </c>
      <c r="AR1983" s="1">
        <v>0.0</v>
      </c>
      <c r="AW1983" s="1">
        <v>0.0</v>
      </c>
      <c r="AX1983" s="1">
        <v>4.0</v>
      </c>
      <c r="AY1983" s="1">
        <v>4.0</v>
      </c>
      <c r="BA1983" s="1">
        <v>0.0</v>
      </c>
      <c r="BB1983" s="1">
        <v>0.0</v>
      </c>
      <c r="BC1983" s="1">
        <v>0.0</v>
      </c>
      <c r="BD1983" s="1">
        <v>0.0</v>
      </c>
      <c r="BE1983" s="1">
        <v>0.0</v>
      </c>
      <c r="BF1983" s="1">
        <v>0.0</v>
      </c>
      <c r="BG1983" s="1">
        <v>0.0</v>
      </c>
      <c r="BH1983" s="1">
        <v>0.0</v>
      </c>
      <c r="BI1983" s="1">
        <v>0.0</v>
      </c>
      <c r="BJ1983" s="1">
        <v>0.0</v>
      </c>
      <c r="BP1983" s="1">
        <v>0.282</v>
      </c>
      <c r="BQ1983" s="1" t="s">
        <v>6578</v>
      </c>
      <c r="BV1983" s="1">
        <v>1.1</v>
      </c>
      <c r="EQ1983" s="9" t="s">
        <v>6577</v>
      </c>
      <c r="ER1983" s="21">
        <v>46045.30158564815</v>
      </c>
    </row>
    <row r="1984">
      <c r="A1984" s="9" t="s">
        <v>6579</v>
      </c>
      <c r="B1984" s="20" t="str">
        <f>IFERROR(__xludf.DUMMYFUNCTION("REGEXREPLACE(A1984, ""^https?://[^/]+"", """")"),"/3-ways-to-smooth-the-friction-between-sales-and-marketing/")</f>
        <v>/3-ways-to-smooth-the-friction-between-sales-and-marketing/</v>
      </c>
      <c r="C1984" s="1" t="s">
        <v>6580</v>
      </c>
      <c r="D1984" s="1" t="s">
        <v>6581</v>
      </c>
      <c r="F1984" s="1" t="s">
        <v>965</v>
      </c>
      <c r="G1984" s="1">
        <v>200.0</v>
      </c>
      <c r="H1984" s="1" t="s">
        <v>966</v>
      </c>
      <c r="I1984" s="1" t="s">
        <v>967</v>
      </c>
      <c r="K1984" s="1" t="s">
        <v>6582</v>
      </c>
      <c r="L1984" s="1">
        <v>92.0</v>
      </c>
      <c r="M1984" s="1">
        <v>853.0</v>
      </c>
      <c r="O1984" s="1">
        <v>0.0</v>
      </c>
      <c r="P1984" s="1">
        <v>0.0</v>
      </c>
      <c r="Q1984" s="1" t="s">
        <v>6583</v>
      </c>
      <c r="R1984" s="1">
        <v>117.0</v>
      </c>
      <c r="S1984" s="1">
        <v>747.0</v>
      </c>
      <c r="U1984" s="1">
        <v>0.0</v>
      </c>
      <c r="V1984" s="1" t="s">
        <v>6580</v>
      </c>
      <c r="W1984" s="1">
        <v>67.0</v>
      </c>
      <c r="Y1984" s="1">
        <v>0.0</v>
      </c>
      <c r="Z1984" s="1" t="s">
        <v>6581</v>
      </c>
      <c r="AA1984" s="1">
        <v>43.0</v>
      </c>
      <c r="AC1984" s="1">
        <v>0.0</v>
      </c>
      <c r="AD1984" s="1" t="s">
        <v>971</v>
      </c>
      <c r="AG1984" s="9" t="s">
        <v>6579</v>
      </c>
      <c r="AM1984" s="1">
        <v>201807.0</v>
      </c>
      <c r="AN1984" s="1">
        <v>36263.0</v>
      </c>
      <c r="AO1984" s="1">
        <v>36263.0</v>
      </c>
      <c r="AP1984" s="1">
        <v>13.892</v>
      </c>
      <c r="AR1984" s="1">
        <v>1385.0</v>
      </c>
      <c r="AS1984" s="1">
        <v>207.0</v>
      </c>
      <c r="AT1984" s="1">
        <v>6.691</v>
      </c>
      <c r="AU1984" s="1">
        <v>64.867</v>
      </c>
      <c r="AV1984" s="1" t="s">
        <v>990</v>
      </c>
      <c r="AW1984" s="1">
        <v>5.433</v>
      </c>
      <c r="AX1984" s="1">
        <v>4.0</v>
      </c>
      <c r="AY1984" s="1">
        <v>1.0</v>
      </c>
      <c r="AZ1984" s="1">
        <v>1.0</v>
      </c>
      <c r="BA1984" s="1">
        <v>8.0</v>
      </c>
      <c r="BB1984" s="1">
        <v>8.0</v>
      </c>
      <c r="BC1984" s="1">
        <v>0.0</v>
      </c>
      <c r="BD1984" s="1">
        <v>1.06</v>
      </c>
      <c r="BE1984" s="1">
        <v>129.0</v>
      </c>
      <c r="BF1984" s="1">
        <v>47.0</v>
      </c>
      <c r="BG1984" s="1">
        <v>0.0</v>
      </c>
      <c r="BH1984" s="1">
        <v>19.0</v>
      </c>
      <c r="BI1984" s="1">
        <v>11.0</v>
      </c>
      <c r="BJ1984" s="1">
        <v>0.0</v>
      </c>
      <c r="BO1984" s="1" t="s">
        <v>6584</v>
      </c>
      <c r="BP1984" s="1">
        <v>0.985</v>
      </c>
      <c r="BU1984" s="1" t="s">
        <v>974</v>
      </c>
      <c r="BV1984" s="1">
        <v>1.1</v>
      </c>
      <c r="EQ1984" s="9" t="s">
        <v>6579</v>
      </c>
      <c r="ER1984" s="21">
        <v>46045.30158564815</v>
      </c>
    </row>
    <row r="1985">
      <c r="A1985" s="9" t="s">
        <v>6585</v>
      </c>
      <c r="B1985" s="20" t="str">
        <f>IFERROR(__xludf.DUMMYFUNCTION("REGEXREPLACE(A1985, ""^https?://[^/]+"", """")"),"/wp-content/uploads/2018/03/playbook.jpg")</f>
        <v>/wp-content/uploads/2018/03/playbook.jpg</v>
      </c>
      <c r="F1985" s="1" t="s">
        <v>1004</v>
      </c>
      <c r="G1985" s="1">
        <v>200.0</v>
      </c>
      <c r="H1985" s="1" t="s">
        <v>966</v>
      </c>
      <c r="I1985" s="1" t="s">
        <v>967</v>
      </c>
      <c r="L1985" s="1">
        <v>0.0</v>
      </c>
      <c r="M1985" s="1">
        <v>0.0</v>
      </c>
      <c r="O1985" s="1">
        <v>0.0</v>
      </c>
      <c r="P1985" s="1">
        <v>0.0</v>
      </c>
      <c r="R1985" s="1">
        <v>0.0</v>
      </c>
      <c r="S1985" s="1">
        <v>0.0</v>
      </c>
      <c r="U1985" s="1">
        <v>0.0</v>
      </c>
      <c r="W1985" s="1">
        <v>0.0</v>
      </c>
      <c r="Y1985" s="1">
        <v>0.0</v>
      </c>
      <c r="AA1985" s="1">
        <v>0.0</v>
      </c>
      <c r="AC1985" s="1">
        <v>0.0</v>
      </c>
      <c r="AM1985" s="1">
        <v>64630.0</v>
      </c>
      <c r="AN1985" s="1">
        <v>64630.0</v>
      </c>
      <c r="AO1985" s="1">
        <v>64630.0</v>
      </c>
      <c r="AP1985" s="1">
        <v>24.759</v>
      </c>
      <c r="AR1985" s="1">
        <v>0.0</v>
      </c>
      <c r="AW1985" s="1">
        <v>0.0</v>
      </c>
      <c r="AX1985" s="1">
        <v>4.0</v>
      </c>
      <c r="AY1985" s="1">
        <v>4.0</v>
      </c>
      <c r="BA1985" s="1">
        <v>0.0</v>
      </c>
      <c r="BB1985" s="1">
        <v>0.0</v>
      </c>
      <c r="BC1985" s="1">
        <v>0.0</v>
      </c>
      <c r="BD1985" s="1">
        <v>0.0</v>
      </c>
      <c r="BE1985" s="1">
        <v>0.0</v>
      </c>
      <c r="BF1985" s="1">
        <v>0.0</v>
      </c>
      <c r="BG1985" s="1">
        <v>0.0</v>
      </c>
      <c r="BH1985" s="1">
        <v>0.0</v>
      </c>
      <c r="BI1985" s="1">
        <v>0.0</v>
      </c>
      <c r="BJ1985" s="1">
        <v>0.0</v>
      </c>
      <c r="BP1985" s="1">
        <v>0.267</v>
      </c>
      <c r="BQ1985" s="1" t="s">
        <v>6586</v>
      </c>
      <c r="BV1985" s="1">
        <v>1.1</v>
      </c>
      <c r="EQ1985" s="9" t="s">
        <v>6585</v>
      </c>
      <c r="ER1985" s="21">
        <v>46045.30159722222</v>
      </c>
    </row>
    <row r="1986">
      <c r="A1986" s="9" t="s">
        <v>6587</v>
      </c>
      <c r="B1986" s="20" t="str">
        <f>IFERROR(__xludf.DUMMYFUNCTION("REGEXREPLACE(A1986, ""^https?://[^/]+"", """")"),"/wp-content/themes/salesxceleratione/assets/css/style.css?ver=1769123532")</f>
        <v>/wp-content/themes/salesxceleratione/assets/css/style.css?ver=1769123532</v>
      </c>
      <c r="F1986" s="1" t="s">
        <v>1016</v>
      </c>
      <c r="G1986" s="1">
        <v>200.0</v>
      </c>
      <c r="H1986" s="1" t="s">
        <v>966</v>
      </c>
      <c r="I1986" s="1" t="s">
        <v>967</v>
      </c>
      <c r="L1986" s="1">
        <v>0.0</v>
      </c>
      <c r="M1986" s="1">
        <v>0.0</v>
      </c>
      <c r="O1986" s="1">
        <v>0.0</v>
      </c>
      <c r="P1986" s="1">
        <v>0.0</v>
      </c>
      <c r="R1986" s="1">
        <v>0.0</v>
      </c>
      <c r="S1986" s="1">
        <v>0.0</v>
      </c>
      <c r="U1986" s="1">
        <v>0.0</v>
      </c>
      <c r="W1986" s="1">
        <v>0.0</v>
      </c>
      <c r="Y1986" s="1">
        <v>0.0</v>
      </c>
      <c r="AA1986" s="1">
        <v>0.0</v>
      </c>
      <c r="AC1986" s="1">
        <v>0.0</v>
      </c>
      <c r="AM1986" s="1">
        <v>17704.0</v>
      </c>
      <c r="AN1986" s="1">
        <v>17704.0</v>
      </c>
      <c r="AO1986" s="1">
        <v>17704.0</v>
      </c>
      <c r="AP1986" s="1">
        <v>6.782</v>
      </c>
      <c r="AR1986" s="1">
        <v>0.0</v>
      </c>
      <c r="AW1986" s="1">
        <v>0.0</v>
      </c>
      <c r="AX1986" s="1">
        <v>4.0</v>
      </c>
      <c r="AY1986" s="1">
        <v>5.0</v>
      </c>
      <c r="BA1986" s="1">
        <v>0.0</v>
      </c>
      <c r="BB1986" s="1">
        <v>0.0</v>
      </c>
      <c r="BC1986" s="1">
        <v>0.0</v>
      </c>
      <c r="BD1986" s="1">
        <v>0.0</v>
      </c>
      <c r="BE1986" s="1">
        <v>0.0</v>
      </c>
      <c r="BF1986" s="1">
        <v>0.0</v>
      </c>
      <c r="BG1986" s="1">
        <v>0.0</v>
      </c>
      <c r="BH1986" s="1">
        <v>0.0</v>
      </c>
      <c r="BI1986" s="1">
        <v>0.0</v>
      </c>
      <c r="BJ1986" s="1">
        <v>0.0</v>
      </c>
      <c r="BP1986" s="1">
        <v>0.26</v>
      </c>
      <c r="BQ1986" s="1" t="s">
        <v>6588</v>
      </c>
      <c r="BV1986" s="1">
        <v>1.1</v>
      </c>
      <c r="EQ1986" s="9" t="s">
        <v>6587</v>
      </c>
      <c r="ER1986" s="21">
        <v>46045.30159722222</v>
      </c>
    </row>
    <row r="1987">
      <c r="A1987" s="9" t="s">
        <v>6589</v>
      </c>
      <c r="B1987" s="20" t="str">
        <f>IFERROR(__xludf.DUMMYFUNCTION("REGEXREPLACE(A1987, ""^https?://[^/]+"", """")"),"/4-tips-for-succeeding-as-a-new-sales-manager/")</f>
        <v>/4-tips-for-succeeding-as-a-new-sales-manager/</v>
      </c>
      <c r="C1987" s="1" t="s">
        <v>6590</v>
      </c>
      <c r="D1987" s="1" t="s">
        <v>6591</v>
      </c>
      <c r="F1987" s="1" t="s">
        <v>965</v>
      </c>
      <c r="G1987" s="1">
        <v>200.0</v>
      </c>
      <c r="H1987" s="1" t="s">
        <v>966</v>
      </c>
      <c r="I1987" s="1" t="s">
        <v>967</v>
      </c>
      <c r="K1987" s="1" t="s">
        <v>6592</v>
      </c>
      <c r="L1987" s="1">
        <v>82.0</v>
      </c>
      <c r="M1987" s="1">
        <v>745.0</v>
      </c>
      <c r="O1987" s="1">
        <v>0.0</v>
      </c>
      <c r="P1987" s="1">
        <v>0.0</v>
      </c>
      <c r="Q1987" s="1" t="s">
        <v>6593</v>
      </c>
      <c r="R1987" s="1">
        <v>115.0</v>
      </c>
      <c r="S1987" s="1">
        <v>714.0</v>
      </c>
      <c r="U1987" s="1">
        <v>0.0</v>
      </c>
      <c r="V1987" s="1" t="s">
        <v>6590</v>
      </c>
      <c r="W1987" s="1">
        <v>57.0</v>
      </c>
      <c r="Y1987" s="1">
        <v>0.0</v>
      </c>
      <c r="Z1987" s="1" t="s">
        <v>6591</v>
      </c>
      <c r="AA1987" s="1">
        <v>30.0</v>
      </c>
      <c r="AC1987" s="1">
        <v>0.0</v>
      </c>
      <c r="AD1987" s="1" t="s">
        <v>971</v>
      </c>
      <c r="AG1987" s="9" t="s">
        <v>6589</v>
      </c>
      <c r="AM1987" s="1">
        <v>204119.0</v>
      </c>
      <c r="AN1987" s="1">
        <v>36773.0</v>
      </c>
      <c r="AO1987" s="1">
        <v>36773.0</v>
      </c>
      <c r="AP1987" s="1">
        <v>14.087</v>
      </c>
      <c r="AR1987" s="1">
        <v>1327.0</v>
      </c>
      <c r="AS1987" s="1">
        <v>200.0</v>
      </c>
      <c r="AT1987" s="1">
        <v>6.635</v>
      </c>
      <c r="AU1987" s="1">
        <v>64.944</v>
      </c>
      <c r="AV1987" s="1" t="s">
        <v>990</v>
      </c>
      <c r="AW1987" s="1">
        <v>5.137</v>
      </c>
      <c r="AX1987" s="1">
        <v>4.0</v>
      </c>
      <c r="AY1987" s="1">
        <v>1.0</v>
      </c>
      <c r="AZ1987" s="1">
        <v>1.0</v>
      </c>
      <c r="BA1987" s="1">
        <v>6.0</v>
      </c>
      <c r="BB1987" s="1">
        <v>6.0</v>
      </c>
      <c r="BC1987" s="1">
        <v>0.0</v>
      </c>
      <c r="BD1987" s="1">
        <v>0.8</v>
      </c>
      <c r="BE1987" s="1">
        <v>130.0</v>
      </c>
      <c r="BF1987" s="1">
        <v>48.0</v>
      </c>
      <c r="BG1987" s="1">
        <v>0.0</v>
      </c>
      <c r="BH1987" s="1">
        <v>20.0</v>
      </c>
      <c r="BI1987" s="1">
        <v>12.0</v>
      </c>
      <c r="BJ1987" s="1">
        <v>0.0</v>
      </c>
      <c r="BO1987" s="1" t="s">
        <v>6594</v>
      </c>
      <c r="BP1987" s="1">
        <v>1.075</v>
      </c>
      <c r="BU1987" s="1" t="s">
        <v>974</v>
      </c>
      <c r="BV1987" s="1">
        <v>1.1</v>
      </c>
      <c r="EQ1987" s="9" t="s">
        <v>6589</v>
      </c>
      <c r="ER1987" s="21">
        <v>46045.30158564815</v>
      </c>
    </row>
    <row r="1988">
      <c r="A1988" s="9" t="s">
        <v>6595</v>
      </c>
      <c r="B1988" s="20" t="str">
        <f>IFERROR(__xludf.DUMMYFUNCTION("REGEXREPLACE(A1988, ""^https?://[^/]+"", """")"),"/wp-content/themes/salesxceleratione/assets/css/style.css?ver=1769123534")</f>
        <v>/wp-content/themes/salesxceleratione/assets/css/style.css?ver=1769123534</v>
      </c>
      <c r="F1988" s="1" t="s">
        <v>1016</v>
      </c>
      <c r="G1988" s="1">
        <v>200.0</v>
      </c>
      <c r="H1988" s="1" t="s">
        <v>966</v>
      </c>
      <c r="I1988" s="1" t="s">
        <v>967</v>
      </c>
      <c r="L1988" s="1">
        <v>0.0</v>
      </c>
      <c r="M1988" s="1">
        <v>0.0</v>
      </c>
      <c r="O1988" s="1">
        <v>0.0</v>
      </c>
      <c r="P1988" s="1">
        <v>0.0</v>
      </c>
      <c r="R1988" s="1">
        <v>0.0</v>
      </c>
      <c r="S1988" s="1">
        <v>0.0</v>
      </c>
      <c r="U1988" s="1">
        <v>0.0</v>
      </c>
      <c r="W1988" s="1">
        <v>0.0</v>
      </c>
      <c r="Y1988" s="1">
        <v>0.0</v>
      </c>
      <c r="AA1988" s="1">
        <v>0.0</v>
      </c>
      <c r="AC1988" s="1">
        <v>0.0</v>
      </c>
      <c r="AM1988" s="1">
        <v>17704.0</v>
      </c>
      <c r="AN1988" s="1">
        <v>17704.0</v>
      </c>
      <c r="AO1988" s="1">
        <v>17704.0</v>
      </c>
      <c r="AP1988" s="1">
        <v>6.782</v>
      </c>
      <c r="AR1988" s="1">
        <v>0.0</v>
      </c>
      <c r="AW1988" s="1">
        <v>0.0</v>
      </c>
      <c r="AX1988" s="1">
        <v>4.0</v>
      </c>
      <c r="AY1988" s="1">
        <v>5.0</v>
      </c>
      <c r="BA1988" s="1">
        <v>0.0</v>
      </c>
      <c r="BB1988" s="1">
        <v>0.0</v>
      </c>
      <c r="BC1988" s="1">
        <v>0.0</v>
      </c>
      <c r="BD1988" s="1">
        <v>0.0</v>
      </c>
      <c r="BE1988" s="1">
        <v>0.0</v>
      </c>
      <c r="BF1988" s="1">
        <v>0.0</v>
      </c>
      <c r="BG1988" s="1">
        <v>0.0</v>
      </c>
      <c r="BH1988" s="1">
        <v>0.0</v>
      </c>
      <c r="BI1988" s="1">
        <v>0.0</v>
      </c>
      <c r="BJ1988" s="1">
        <v>0.0</v>
      </c>
      <c r="BP1988" s="1">
        <v>0.267</v>
      </c>
      <c r="BQ1988" s="1" t="s">
        <v>4211</v>
      </c>
      <c r="BV1988" s="1">
        <v>1.1</v>
      </c>
      <c r="EQ1988" s="9" t="s">
        <v>6595</v>
      </c>
      <c r="ER1988" s="21">
        <v>46045.30159722222</v>
      </c>
    </row>
    <row r="1989">
      <c r="A1989" s="9" t="s">
        <v>6596</v>
      </c>
      <c r="B1989" s="20" t="str">
        <f>IFERROR(__xludf.DUMMYFUNCTION("REGEXREPLACE(A1989, ""^https?://[^/]+"", """")"),"/wp-content/themes/salesxceleratione/assets/css/style.css?ver=1769123535")</f>
        <v>/wp-content/themes/salesxceleratione/assets/css/style.css?ver=1769123535</v>
      </c>
      <c r="F1989" s="1" t="s">
        <v>1016</v>
      </c>
      <c r="G1989" s="1">
        <v>200.0</v>
      </c>
      <c r="H1989" s="1" t="s">
        <v>966</v>
      </c>
      <c r="I1989" s="1" t="s">
        <v>967</v>
      </c>
      <c r="L1989" s="1">
        <v>0.0</v>
      </c>
      <c r="M1989" s="1">
        <v>0.0</v>
      </c>
      <c r="O1989" s="1">
        <v>0.0</v>
      </c>
      <c r="P1989" s="1">
        <v>0.0</v>
      </c>
      <c r="R1989" s="1">
        <v>0.0</v>
      </c>
      <c r="S1989" s="1">
        <v>0.0</v>
      </c>
      <c r="U1989" s="1">
        <v>0.0</v>
      </c>
      <c r="W1989" s="1">
        <v>0.0</v>
      </c>
      <c r="Y1989" s="1">
        <v>0.0</v>
      </c>
      <c r="AA1989" s="1">
        <v>0.0</v>
      </c>
      <c r="AC1989" s="1">
        <v>0.0</v>
      </c>
      <c r="AM1989" s="1">
        <v>17704.0</v>
      </c>
      <c r="AN1989" s="1">
        <v>17704.0</v>
      </c>
      <c r="AO1989" s="1">
        <v>17704.0</v>
      </c>
      <c r="AP1989" s="1">
        <v>6.782</v>
      </c>
      <c r="AR1989" s="1">
        <v>0.0</v>
      </c>
      <c r="AW1989" s="1">
        <v>0.0</v>
      </c>
      <c r="AX1989" s="1">
        <v>4.0</v>
      </c>
      <c r="AY1989" s="1">
        <v>5.0</v>
      </c>
      <c r="BA1989" s="1">
        <v>0.0</v>
      </c>
      <c r="BB1989" s="1">
        <v>0.0</v>
      </c>
      <c r="BC1989" s="1">
        <v>0.0</v>
      </c>
      <c r="BD1989" s="1">
        <v>0.0</v>
      </c>
      <c r="BE1989" s="1">
        <v>0.0</v>
      </c>
      <c r="BF1989" s="1">
        <v>0.0</v>
      </c>
      <c r="BG1989" s="1">
        <v>0.0</v>
      </c>
      <c r="BH1989" s="1">
        <v>0.0</v>
      </c>
      <c r="BI1989" s="1">
        <v>0.0</v>
      </c>
      <c r="BJ1989" s="1">
        <v>0.0</v>
      </c>
      <c r="BP1989" s="1">
        <v>0.263</v>
      </c>
      <c r="BQ1989" s="1" t="s">
        <v>6597</v>
      </c>
      <c r="BV1989" s="1">
        <v>1.1</v>
      </c>
      <c r="EQ1989" s="9" t="s">
        <v>6596</v>
      </c>
      <c r="ER1989" s="21">
        <v>46045.30159722222</v>
      </c>
    </row>
    <row r="1990">
      <c r="A1990" s="9" t="s">
        <v>4090</v>
      </c>
      <c r="B1990" s="20" t="str">
        <f>IFERROR(__xludf.DUMMYFUNCTION("REGEXREPLACE(A1990, ""^https?://[^/]+"", """")"),"/sales-agility-assessment/?locationid=29820526")</f>
        <v>/sales-agility-assessment/?locationid=29820526</v>
      </c>
      <c r="C1990" s="1" t="s">
        <v>1381</v>
      </c>
      <c r="F1990" s="1" t="s">
        <v>965</v>
      </c>
      <c r="G1990" s="1">
        <v>200.0</v>
      </c>
      <c r="H1990" s="1" t="s">
        <v>966</v>
      </c>
      <c r="I1990" s="1" t="s">
        <v>1214</v>
      </c>
      <c r="J1990" s="1" t="s">
        <v>1215</v>
      </c>
      <c r="K1990" s="1" t="s">
        <v>1382</v>
      </c>
      <c r="L1990" s="1">
        <v>79.0</v>
      </c>
      <c r="M1990" s="1">
        <v>719.0</v>
      </c>
      <c r="O1990" s="1">
        <v>0.0</v>
      </c>
      <c r="P1990" s="1">
        <v>0.0</v>
      </c>
      <c r="Q1990" s="1" t="s">
        <v>1383</v>
      </c>
      <c r="R1990" s="1">
        <v>155.0</v>
      </c>
      <c r="S1990" s="1">
        <v>970.0</v>
      </c>
      <c r="U1990" s="1">
        <v>0.0</v>
      </c>
      <c r="V1990" s="1" t="s">
        <v>1381</v>
      </c>
      <c r="W1990" s="1">
        <v>31.0</v>
      </c>
      <c r="Y1990" s="1">
        <v>0.0</v>
      </c>
      <c r="AA1990" s="1">
        <v>0.0</v>
      </c>
      <c r="AC1990" s="1">
        <v>0.0</v>
      </c>
      <c r="AD1990" s="1" t="s">
        <v>971</v>
      </c>
      <c r="AG1990" s="9" t="s">
        <v>1380</v>
      </c>
      <c r="AM1990" s="1">
        <v>221351.0</v>
      </c>
      <c r="AN1990" s="1">
        <v>43054.0</v>
      </c>
      <c r="AO1990" s="1">
        <v>43054.0</v>
      </c>
      <c r="AP1990" s="1">
        <v>16.493</v>
      </c>
      <c r="AR1990" s="1">
        <v>1077.0</v>
      </c>
      <c r="AS1990" s="1">
        <v>195.0</v>
      </c>
      <c r="AT1990" s="1">
        <v>5.523</v>
      </c>
      <c r="AU1990" s="1">
        <v>72.326</v>
      </c>
      <c r="AV1990" s="1" t="s">
        <v>1264</v>
      </c>
      <c r="AW1990" s="1">
        <v>5.466</v>
      </c>
      <c r="AX1990" s="1">
        <v>4.0</v>
      </c>
      <c r="AY1990" s="1">
        <v>1.0</v>
      </c>
      <c r="BA1990" s="1">
        <v>0.0</v>
      </c>
      <c r="BB1990" s="1">
        <v>0.0</v>
      </c>
      <c r="BC1990" s="1">
        <v>0.0</v>
      </c>
      <c r="BD1990" s="1">
        <v>0.0</v>
      </c>
      <c r="BE1990" s="1">
        <v>121.0</v>
      </c>
      <c r="BF1990" s="1">
        <v>42.0</v>
      </c>
      <c r="BG1990" s="1">
        <v>0.0</v>
      </c>
      <c r="BH1990" s="1">
        <v>16.0</v>
      </c>
      <c r="BI1990" s="1">
        <v>8.0</v>
      </c>
      <c r="BJ1990" s="1">
        <v>0.0</v>
      </c>
      <c r="BO1990" s="1" t="s">
        <v>6598</v>
      </c>
      <c r="BP1990" s="1">
        <v>1.257</v>
      </c>
      <c r="BU1990" s="1" t="s">
        <v>974</v>
      </c>
      <c r="BV1990" s="1">
        <v>1.1</v>
      </c>
      <c r="EQ1990" s="9" t="s">
        <v>4090</v>
      </c>
      <c r="ER1990" s="21">
        <v>46045.30158564815</v>
      </c>
    </row>
    <row r="1991">
      <c r="A1991" s="9" t="s">
        <v>6599</v>
      </c>
      <c r="B1991" s="20" t="str">
        <f>IFERROR(__xludf.DUMMYFUNCTION("REGEXREPLACE(A1991, ""^https?://[^/]+"", """")"),"/wp-content/themes/salesxceleratione/assets/css/style.css?ver=1769123537")</f>
        <v>/wp-content/themes/salesxceleratione/assets/css/style.css?ver=1769123537</v>
      </c>
      <c r="F1991" s="1" t="s">
        <v>1016</v>
      </c>
      <c r="G1991" s="1">
        <v>200.0</v>
      </c>
      <c r="H1991" s="1" t="s">
        <v>966</v>
      </c>
      <c r="I1991" s="1" t="s">
        <v>967</v>
      </c>
      <c r="L1991" s="1">
        <v>0.0</v>
      </c>
      <c r="M1991" s="1">
        <v>0.0</v>
      </c>
      <c r="O1991" s="1">
        <v>0.0</v>
      </c>
      <c r="P1991" s="1">
        <v>0.0</v>
      </c>
      <c r="R1991" s="1">
        <v>0.0</v>
      </c>
      <c r="S1991" s="1">
        <v>0.0</v>
      </c>
      <c r="U1991" s="1">
        <v>0.0</v>
      </c>
      <c r="W1991" s="1">
        <v>0.0</v>
      </c>
      <c r="Y1991" s="1">
        <v>0.0</v>
      </c>
      <c r="AA1991" s="1">
        <v>0.0</v>
      </c>
      <c r="AC1991" s="1">
        <v>0.0</v>
      </c>
      <c r="AM1991" s="1">
        <v>17704.0</v>
      </c>
      <c r="AN1991" s="1">
        <v>17704.0</v>
      </c>
      <c r="AO1991" s="1">
        <v>17704.0</v>
      </c>
      <c r="AP1991" s="1">
        <v>6.782</v>
      </c>
      <c r="AR1991" s="1">
        <v>0.0</v>
      </c>
      <c r="AW1991" s="1">
        <v>0.0</v>
      </c>
      <c r="AX1991" s="1">
        <v>4.0</v>
      </c>
      <c r="AY1991" s="1">
        <v>5.0</v>
      </c>
      <c r="BA1991" s="1">
        <v>0.0</v>
      </c>
      <c r="BB1991" s="1">
        <v>0.0</v>
      </c>
      <c r="BC1991" s="1">
        <v>0.0</v>
      </c>
      <c r="BD1991" s="1">
        <v>0.0</v>
      </c>
      <c r="BE1991" s="1">
        <v>0.0</v>
      </c>
      <c r="BF1991" s="1">
        <v>0.0</v>
      </c>
      <c r="BG1991" s="1">
        <v>0.0</v>
      </c>
      <c r="BH1991" s="1">
        <v>0.0</v>
      </c>
      <c r="BI1991" s="1">
        <v>0.0</v>
      </c>
      <c r="BJ1991" s="1">
        <v>0.0</v>
      </c>
      <c r="BP1991" s="1">
        <v>0.282</v>
      </c>
      <c r="BQ1991" s="1" t="s">
        <v>6597</v>
      </c>
      <c r="BV1991" s="1">
        <v>1.1</v>
      </c>
      <c r="EQ1991" s="9" t="s">
        <v>6599</v>
      </c>
      <c r="ER1991" s="21">
        <v>46045.30159722222</v>
      </c>
    </row>
    <row r="1992">
      <c r="A1992" s="9" t="s">
        <v>6600</v>
      </c>
      <c r="B1992" s="20" t="str">
        <f>IFERROR(__xludf.DUMMYFUNCTION("REGEXREPLACE(A1992, ""^https?://[^/]+"", """")"),"/wp-content/uploads/2022/03/Case-Study_Healthcare_SX-1-thumb-768x429.jpg")</f>
        <v>/wp-content/uploads/2022/03/Case-Study_Healthcare_SX-1-thumb-768x429.jpg</v>
      </c>
      <c r="F1992" s="1" t="s">
        <v>1004</v>
      </c>
      <c r="G1992" s="1">
        <v>200.0</v>
      </c>
      <c r="H1992" s="1" t="s">
        <v>966</v>
      </c>
      <c r="I1992" s="1" t="s">
        <v>967</v>
      </c>
      <c r="L1992" s="1">
        <v>0.0</v>
      </c>
      <c r="M1992" s="1">
        <v>0.0</v>
      </c>
      <c r="O1992" s="1">
        <v>0.0</v>
      </c>
      <c r="P1992" s="1">
        <v>0.0</v>
      </c>
      <c r="R1992" s="1">
        <v>0.0</v>
      </c>
      <c r="S1992" s="1">
        <v>0.0</v>
      </c>
      <c r="U1992" s="1">
        <v>0.0</v>
      </c>
      <c r="W1992" s="1">
        <v>0.0</v>
      </c>
      <c r="Y1992" s="1">
        <v>0.0</v>
      </c>
      <c r="AA1992" s="1">
        <v>0.0</v>
      </c>
      <c r="AC1992" s="1">
        <v>0.0</v>
      </c>
      <c r="AM1992" s="1">
        <v>89702.0</v>
      </c>
      <c r="AN1992" s="1">
        <v>89702.0</v>
      </c>
      <c r="AO1992" s="1">
        <v>89702.0</v>
      </c>
      <c r="AP1992" s="1">
        <v>34.363</v>
      </c>
      <c r="AR1992" s="1">
        <v>0.0</v>
      </c>
      <c r="AW1992" s="1">
        <v>0.0</v>
      </c>
      <c r="AX1992" s="1">
        <v>4.0</v>
      </c>
      <c r="AY1992" s="1">
        <v>4.0</v>
      </c>
      <c r="BA1992" s="1">
        <v>0.0</v>
      </c>
      <c r="BB1992" s="1">
        <v>0.0</v>
      </c>
      <c r="BC1992" s="1">
        <v>0.0</v>
      </c>
      <c r="BD1992" s="1">
        <v>0.0</v>
      </c>
      <c r="BE1992" s="1">
        <v>0.0</v>
      </c>
      <c r="BF1992" s="1">
        <v>0.0</v>
      </c>
      <c r="BG1992" s="1">
        <v>0.0</v>
      </c>
      <c r="BH1992" s="1">
        <v>0.0</v>
      </c>
      <c r="BI1992" s="1">
        <v>0.0</v>
      </c>
      <c r="BJ1992" s="1">
        <v>0.0</v>
      </c>
      <c r="BP1992" s="1">
        <v>0.278</v>
      </c>
      <c r="BQ1992" s="1" t="s">
        <v>6601</v>
      </c>
      <c r="BV1992" s="1">
        <v>1.1</v>
      </c>
      <c r="EQ1992" s="9" t="s">
        <v>6600</v>
      </c>
      <c r="ER1992" s="21">
        <v>46045.30159722222</v>
      </c>
    </row>
    <row r="1993">
      <c r="A1993" s="9" t="s">
        <v>6602</v>
      </c>
      <c r="B1993" s="20" t="str">
        <f>IFERROR(__xludf.DUMMYFUNCTION("REGEXREPLACE(A1993, ""^https?://[^/]+"", """")"),"/wp-content/uploads/2020/01/turning-flat-thumb-768x442.jpg")</f>
        <v>/wp-content/uploads/2020/01/turning-flat-thumb-768x442.jpg</v>
      </c>
      <c r="F1993" s="1" t="s">
        <v>1004</v>
      </c>
      <c r="G1993" s="1">
        <v>200.0</v>
      </c>
      <c r="H1993" s="1" t="s">
        <v>966</v>
      </c>
      <c r="I1993" s="1" t="s">
        <v>967</v>
      </c>
      <c r="L1993" s="1">
        <v>0.0</v>
      </c>
      <c r="M1993" s="1">
        <v>0.0</v>
      </c>
      <c r="O1993" s="1">
        <v>0.0</v>
      </c>
      <c r="P1993" s="1">
        <v>0.0</v>
      </c>
      <c r="R1993" s="1">
        <v>0.0</v>
      </c>
      <c r="S1993" s="1">
        <v>0.0</v>
      </c>
      <c r="U1993" s="1">
        <v>0.0</v>
      </c>
      <c r="W1993" s="1">
        <v>0.0</v>
      </c>
      <c r="Y1993" s="1">
        <v>0.0</v>
      </c>
      <c r="AA1993" s="1">
        <v>0.0</v>
      </c>
      <c r="AC1993" s="1">
        <v>0.0</v>
      </c>
      <c r="AM1993" s="1">
        <v>80073.0</v>
      </c>
      <c r="AN1993" s="1">
        <v>80073.0</v>
      </c>
      <c r="AO1993" s="1">
        <v>80073.0</v>
      </c>
      <c r="AP1993" s="1">
        <v>30.674</v>
      </c>
      <c r="AR1993" s="1">
        <v>0.0</v>
      </c>
      <c r="AW1993" s="1">
        <v>0.0</v>
      </c>
      <c r="AX1993" s="1">
        <v>4.0</v>
      </c>
      <c r="AY1993" s="1">
        <v>4.0</v>
      </c>
      <c r="BA1993" s="1">
        <v>0.0</v>
      </c>
      <c r="BB1993" s="1">
        <v>0.0</v>
      </c>
      <c r="BC1993" s="1">
        <v>0.0</v>
      </c>
      <c r="BD1993" s="1">
        <v>0.0</v>
      </c>
      <c r="BE1993" s="1">
        <v>0.0</v>
      </c>
      <c r="BF1993" s="1">
        <v>0.0</v>
      </c>
      <c r="BG1993" s="1">
        <v>0.0</v>
      </c>
      <c r="BH1993" s="1">
        <v>0.0</v>
      </c>
      <c r="BI1993" s="1">
        <v>0.0</v>
      </c>
      <c r="BJ1993" s="1">
        <v>0.0</v>
      </c>
      <c r="BP1993" s="1">
        <v>0.339</v>
      </c>
      <c r="BQ1993" s="1" t="s">
        <v>3628</v>
      </c>
      <c r="BV1993" s="1">
        <v>1.1</v>
      </c>
      <c r="EQ1993" s="9" t="s">
        <v>6602</v>
      </c>
      <c r="ER1993" s="21">
        <v>46045.30159722222</v>
      </c>
    </row>
    <row r="1994">
      <c r="A1994" s="9" t="s">
        <v>6603</v>
      </c>
      <c r="B1994" s="20" t="str">
        <f>IFERROR(__xludf.DUMMYFUNCTION("REGEXREPLACE(A1994, ""^https?://[^/]+"", """")"),"/wp-content/uploads/2022/05/AI-in-Sales-300x169.jpg")</f>
        <v>/wp-content/uploads/2022/05/AI-in-Sales-300x169.jpg</v>
      </c>
      <c r="F1994" s="1" t="s">
        <v>1004</v>
      </c>
      <c r="G1994" s="1">
        <v>200.0</v>
      </c>
      <c r="H1994" s="1" t="s">
        <v>966</v>
      </c>
      <c r="I1994" s="1" t="s">
        <v>967</v>
      </c>
      <c r="L1994" s="1">
        <v>0.0</v>
      </c>
      <c r="M1994" s="1">
        <v>0.0</v>
      </c>
      <c r="O1994" s="1">
        <v>0.0</v>
      </c>
      <c r="P1994" s="1">
        <v>0.0</v>
      </c>
      <c r="R1994" s="1">
        <v>0.0</v>
      </c>
      <c r="S1994" s="1">
        <v>0.0</v>
      </c>
      <c r="U1994" s="1">
        <v>0.0</v>
      </c>
      <c r="W1994" s="1">
        <v>0.0</v>
      </c>
      <c r="Y1994" s="1">
        <v>0.0</v>
      </c>
      <c r="AA1994" s="1">
        <v>0.0</v>
      </c>
      <c r="AC1994" s="1">
        <v>0.0</v>
      </c>
      <c r="AM1994" s="1">
        <v>14371.0</v>
      </c>
      <c r="AN1994" s="1">
        <v>14371.0</v>
      </c>
      <c r="AO1994" s="1">
        <v>14371.0</v>
      </c>
      <c r="AP1994" s="1">
        <v>5.505</v>
      </c>
      <c r="AR1994" s="1">
        <v>0.0</v>
      </c>
      <c r="AW1994" s="1">
        <v>0.0</v>
      </c>
      <c r="AX1994" s="1">
        <v>4.0</v>
      </c>
      <c r="AY1994" s="1">
        <v>4.0</v>
      </c>
      <c r="BA1994" s="1">
        <v>0.0</v>
      </c>
      <c r="BB1994" s="1">
        <v>0.0</v>
      </c>
      <c r="BC1994" s="1">
        <v>0.0</v>
      </c>
      <c r="BD1994" s="1">
        <v>0.0</v>
      </c>
      <c r="BE1994" s="1">
        <v>0.0</v>
      </c>
      <c r="BF1994" s="1">
        <v>0.0</v>
      </c>
      <c r="BG1994" s="1">
        <v>0.0</v>
      </c>
      <c r="BH1994" s="1">
        <v>0.0</v>
      </c>
      <c r="BI1994" s="1">
        <v>0.0</v>
      </c>
      <c r="BJ1994" s="1">
        <v>0.0</v>
      </c>
      <c r="BP1994" s="1">
        <v>0.264</v>
      </c>
      <c r="BQ1994" s="1" t="s">
        <v>6604</v>
      </c>
      <c r="BV1994" s="1">
        <v>1.1</v>
      </c>
      <c r="EQ1994" s="9" t="s">
        <v>6603</v>
      </c>
      <c r="ER1994" s="21">
        <v>46045.30159722222</v>
      </c>
    </row>
    <row r="1995">
      <c r="A1995" s="9" t="s">
        <v>6605</v>
      </c>
      <c r="B1995" s="20" t="str">
        <f>IFERROR(__xludf.DUMMYFUNCTION("REGEXREPLACE(A1995, ""^https?://[^/]+"", """")"),"/wp-content/uploads/2023/02/Remote-Work-300x200.jpeg")</f>
        <v>/wp-content/uploads/2023/02/Remote-Work-300x200.jpeg</v>
      </c>
      <c r="F1995" s="1" t="s">
        <v>1004</v>
      </c>
      <c r="G1995" s="1">
        <v>200.0</v>
      </c>
      <c r="H1995" s="1" t="s">
        <v>966</v>
      </c>
      <c r="I1995" s="1" t="s">
        <v>967</v>
      </c>
      <c r="L1995" s="1">
        <v>0.0</v>
      </c>
      <c r="M1995" s="1">
        <v>0.0</v>
      </c>
      <c r="O1995" s="1">
        <v>0.0</v>
      </c>
      <c r="P1995" s="1">
        <v>0.0</v>
      </c>
      <c r="R1995" s="1">
        <v>0.0</v>
      </c>
      <c r="S1995" s="1">
        <v>0.0</v>
      </c>
      <c r="U1995" s="1">
        <v>0.0</v>
      </c>
      <c r="W1995" s="1">
        <v>0.0</v>
      </c>
      <c r="Y1995" s="1">
        <v>0.0</v>
      </c>
      <c r="AA1995" s="1">
        <v>0.0</v>
      </c>
      <c r="AC1995" s="1">
        <v>0.0</v>
      </c>
      <c r="AM1995" s="1">
        <v>13314.0</v>
      </c>
      <c r="AN1995" s="1">
        <v>13314.0</v>
      </c>
      <c r="AO1995" s="1">
        <v>13314.0</v>
      </c>
      <c r="AP1995" s="1">
        <v>5.1</v>
      </c>
      <c r="AR1995" s="1">
        <v>0.0</v>
      </c>
      <c r="AW1995" s="1">
        <v>0.0</v>
      </c>
      <c r="AX1995" s="1">
        <v>4.0</v>
      </c>
      <c r="AY1995" s="1">
        <v>4.0</v>
      </c>
      <c r="BA1995" s="1">
        <v>0.0</v>
      </c>
      <c r="BB1995" s="1">
        <v>0.0</v>
      </c>
      <c r="BC1995" s="1">
        <v>0.0</v>
      </c>
      <c r="BD1995" s="1">
        <v>0.0</v>
      </c>
      <c r="BE1995" s="1">
        <v>0.0</v>
      </c>
      <c r="BF1995" s="1">
        <v>0.0</v>
      </c>
      <c r="BG1995" s="1">
        <v>0.0</v>
      </c>
      <c r="BH1995" s="1">
        <v>0.0</v>
      </c>
      <c r="BI1995" s="1">
        <v>0.0</v>
      </c>
      <c r="BJ1995" s="1">
        <v>0.0</v>
      </c>
      <c r="BP1995" s="1">
        <v>0.268</v>
      </c>
      <c r="BQ1995" s="1" t="s">
        <v>6606</v>
      </c>
      <c r="BV1995" s="1">
        <v>1.1</v>
      </c>
      <c r="EQ1995" s="9" t="s">
        <v>6605</v>
      </c>
      <c r="ER1995" s="21">
        <v>46045.3016087963</v>
      </c>
    </row>
    <row r="1996">
      <c r="A1996" s="9" t="s">
        <v>6607</v>
      </c>
      <c r="B1996" s="20" t="str">
        <f>IFERROR(__xludf.DUMMYFUNCTION("REGEXREPLACE(A1996, ""^https?://[^/]+"", """")"),"/wp-content/uploads/2023/03/Future-of-Sales-Disruptors-300x208.jpg")</f>
        <v>/wp-content/uploads/2023/03/Future-of-Sales-Disruptors-300x208.jpg</v>
      </c>
      <c r="F1996" s="1" t="s">
        <v>1004</v>
      </c>
      <c r="G1996" s="1">
        <v>200.0</v>
      </c>
      <c r="H1996" s="1" t="s">
        <v>966</v>
      </c>
      <c r="I1996" s="1" t="s">
        <v>967</v>
      </c>
      <c r="L1996" s="1">
        <v>0.0</v>
      </c>
      <c r="M1996" s="1">
        <v>0.0</v>
      </c>
      <c r="O1996" s="1">
        <v>0.0</v>
      </c>
      <c r="P1996" s="1">
        <v>0.0</v>
      </c>
      <c r="R1996" s="1">
        <v>0.0</v>
      </c>
      <c r="S1996" s="1">
        <v>0.0</v>
      </c>
      <c r="U1996" s="1">
        <v>0.0</v>
      </c>
      <c r="W1996" s="1">
        <v>0.0</v>
      </c>
      <c r="Y1996" s="1">
        <v>0.0</v>
      </c>
      <c r="AA1996" s="1">
        <v>0.0</v>
      </c>
      <c r="AC1996" s="1">
        <v>0.0</v>
      </c>
      <c r="AM1996" s="1">
        <v>9679.0</v>
      </c>
      <c r="AN1996" s="1">
        <v>9679.0</v>
      </c>
      <c r="AO1996" s="1">
        <v>9679.0</v>
      </c>
      <c r="AP1996" s="1">
        <v>3.708</v>
      </c>
      <c r="AR1996" s="1">
        <v>0.0</v>
      </c>
      <c r="AW1996" s="1">
        <v>0.0</v>
      </c>
      <c r="AX1996" s="1">
        <v>4.0</v>
      </c>
      <c r="AY1996" s="1">
        <v>4.0</v>
      </c>
      <c r="BA1996" s="1">
        <v>0.0</v>
      </c>
      <c r="BB1996" s="1">
        <v>0.0</v>
      </c>
      <c r="BC1996" s="1">
        <v>0.0</v>
      </c>
      <c r="BD1996" s="1">
        <v>0.0</v>
      </c>
      <c r="BE1996" s="1">
        <v>0.0</v>
      </c>
      <c r="BF1996" s="1">
        <v>0.0</v>
      </c>
      <c r="BG1996" s="1">
        <v>0.0</v>
      </c>
      <c r="BH1996" s="1">
        <v>0.0</v>
      </c>
      <c r="BI1996" s="1">
        <v>0.0</v>
      </c>
      <c r="BJ1996" s="1">
        <v>0.0</v>
      </c>
      <c r="BP1996" s="1">
        <v>0.26</v>
      </c>
      <c r="BQ1996" s="1" t="s">
        <v>6608</v>
      </c>
      <c r="BV1996" s="1">
        <v>1.1</v>
      </c>
      <c r="EQ1996" s="9" t="s">
        <v>6607</v>
      </c>
      <c r="ER1996" s="21">
        <v>46045.3016087963</v>
      </c>
    </row>
    <row r="1997">
      <c r="A1997" s="9" t="s">
        <v>4193</v>
      </c>
      <c r="B1997" s="20" t="str">
        <f>IFERROR(__xludf.DUMMYFUNCTION("REGEXREPLACE(A1997, ""^https?://[^/]+"", """")"),"/advisors/dan-mahony/")</f>
        <v>/advisors/dan-mahony/</v>
      </c>
      <c r="C1997" s="1" t="s">
        <v>4190</v>
      </c>
      <c r="F1997" s="1" t="s">
        <v>965</v>
      </c>
      <c r="G1997" s="1">
        <v>200.0</v>
      </c>
      <c r="H1997" s="1" t="s">
        <v>966</v>
      </c>
      <c r="I1997" s="1" t="s">
        <v>967</v>
      </c>
      <c r="K1997" s="1" t="s">
        <v>4191</v>
      </c>
      <c r="L1997" s="1">
        <v>35.0</v>
      </c>
      <c r="M1997" s="1">
        <v>326.0</v>
      </c>
      <c r="O1997" s="1">
        <v>0.0</v>
      </c>
      <c r="P1997" s="1">
        <v>0.0</v>
      </c>
      <c r="Q1997" s="1" t="s">
        <v>4192</v>
      </c>
      <c r="R1997" s="1">
        <v>150.0</v>
      </c>
      <c r="S1997" s="1">
        <v>960.0</v>
      </c>
      <c r="U1997" s="1">
        <v>0.0</v>
      </c>
      <c r="V1997" s="1" t="s">
        <v>4190</v>
      </c>
      <c r="W1997" s="1">
        <v>15.0</v>
      </c>
      <c r="Y1997" s="1">
        <v>0.0</v>
      </c>
      <c r="AA1997" s="1">
        <v>0.0</v>
      </c>
      <c r="AC1997" s="1">
        <v>0.0</v>
      </c>
      <c r="AD1997" s="1" t="s">
        <v>971</v>
      </c>
      <c r="AG1997" s="9" t="s">
        <v>4193</v>
      </c>
      <c r="AM1997" s="1">
        <v>149044.0</v>
      </c>
      <c r="AN1997" s="1">
        <v>29100.0</v>
      </c>
      <c r="AO1997" s="1">
        <v>29100.0</v>
      </c>
      <c r="AP1997" s="1">
        <v>11.148</v>
      </c>
      <c r="AR1997" s="1">
        <v>599.0</v>
      </c>
      <c r="AS1997" s="1">
        <v>101.0</v>
      </c>
      <c r="AT1997" s="1">
        <v>5.931</v>
      </c>
      <c r="AU1997" s="1">
        <v>58.026</v>
      </c>
      <c r="AV1997" s="1" t="s">
        <v>972</v>
      </c>
      <c r="AW1997" s="1">
        <v>4.118</v>
      </c>
      <c r="AX1997" s="1">
        <v>4.0</v>
      </c>
      <c r="AY1997" s="1">
        <v>2.0</v>
      </c>
      <c r="AZ1997" s="1">
        <v>1.0</v>
      </c>
      <c r="BA1997" s="1">
        <v>0.0</v>
      </c>
      <c r="BB1997" s="1">
        <v>0.0</v>
      </c>
      <c r="BC1997" s="1">
        <v>0.0</v>
      </c>
      <c r="BD1997" s="1">
        <v>0.0</v>
      </c>
      <c r="BE1997" s="1">
        <v>122.0</v>
      </c>
      <c r="BF1997" s="1">
        <v>42.0</v>
      </c>
      <c r="BG1997" s="1">
        <v>0.0</v>
      </c>
      <c r="BH1997" s="1">
        <v>17.0</v>
      </c>
      <c r="BI1997" s="1">
        <v>9.0</v>
      </c>
      <c r="BJ1997" s="1">
        <v>0.0</v>
      </c>
      <c r="BO1997" s="1" t="s">
        <v>6609</v>
      </c>
      <c r="BP1997" s="1">
        <v>0.942</v>
      </c>
      <c r="BU1997" s="1" t="s">
        <v>974</v>
      </c>
      <c r="BV1997" s="1">
        <v>1.1</v>
      </c>
      <c r="EQ1997" s="9" t="s">
        <v>4193</v>
      </c>
      <c r="ER1997" s="21">
        <v>46045.30159722222</v>
      </c>
    </row>
    <row r="1998">
      <c r="A1998" s="9" t="s">
        <v>6610</v>
      </c>
      <c r="B1998" s="20" t="str">
        <f>IFERROR(__xludf.DUMMYFUNCTION("REGEXREPLACE(A1998, ""^https?://[^/]+"", """")"),"/wp-content/uploads/2023/07/Overcome-Sales-Challenges-300x180.jpg")</f>
        <v>/wp-content/uploads/2023/07/Overcome-Sales-Challenges-300x180.jpg</v>
      </c>
      <c r="F1998" s="1" t="s">
        <v>1004</v>
      </c>
      <c r="G1998" s="1">
        <v>200.0</v>
      </c>
      <c r="H1998" s="1" t="s">
        <v>966</v>
      </c>
      <c r="I1998" s="1" t="s">
        <v>967</v>
      </c>
      <c r="L1998" s="1">
        <v>0.0</v>
      </c>
      <c r="M1998" s="1">
        <v>0.0</v>
      </c>
      <c r="O1998" s="1">
        <v>0.0</v>
      </c>
      <c r="P1998" s="1">
        <v>0.0</v>
      </c>
      <c r="R1998" s="1">
        <v>0.0</v>
      </c>
      <c r="S1998" s="1">
        <v>0.0</v>
      </c>
      <c r="U1998" s="1">
        <v>0.0</v>
      </c>
      <c r="W1998" s="1">
        <v>0.0</v>
      </c>
      <c r="Y1998" s="1">
        <v>0.0</v>
      </c>
      <c r="AA1998" s="1">
        <v>0.0</v>
      </c>
      <c r="AC1998" s="1">
        <v>0.0</v>
      </c>
      <c r="AM1998" s="1">
        <v>11872.0</v>
      </c>
      <c r="AN1998" s="1">
        <v>11872.0</v>
      </c>
      <c r="AO1998" s="1">
        <v>11872.0</v>
      </c>
      <c r="AP1998" s="1">
        <v>4.548</v>
      </c>
      <c r="AR1998" s="1">
        <v>0.0</v>
      </c>
      <c r="AW1998" s="1">
        <v>0.0</v>
      </c>
      <c r="AX1998" s="1">
        <v>4.0</v>
      </c>
      <c r="AY1998" s="1">
        <v>4.0</v>
      </c>
      <c r="BA1998" s="1">
        <v>0.0</v>
      </c>
      <c r="BB1998" s="1">
        <v>0.0</v>
      </c>
      <c r="BC1998" s="1">
        <v>0.0</v>
      </c>
      <c r="BD1998" s="1">
        <v>0.0</v>
      </c>
      <c r="BE1998" s="1">
        <v>0.0</v>
      </c>
      <c r="BF1998" s="1">
        <v>0.0</v>
      </c>
      <c r="BG1998" s="1">
        <v>0.0</v>
      </c>
      <c r="BH1998" s="1">
        <v>0.0</v>
      </c>
      <c r="BI1998" s="1">
        <v>0.0</v>
      </c>
      <c r="BJ1998" s="1">
        <v>0.0</v>
      </c>
      <c r="BP1998" s="1">
        <v>0.272</v>
      </c>
      <c r="BQ1998" s="1" t="s">
        <v>6611</v>
      </c>
      <c r="BV1998" s="1">
        <v>1.1</v>
      </c>
      <c r="EQ1998" s="9" t="s">
        <v>6610</v>
      </c>
      <c r="ER1998" s="21">
        <v>46045.3016087963</v>
      </c>
    </row>
    <row r="1999">
      <c r="A1999" s="9" t="s">
        <v>6612</v>
      </c>
      <c r="B1999" s="20" t="str">
        <f>IFERROR(__xludf.DUMMYFUNCTION("REGEXREPLACE(A1999, ""^https?://[^/]+"", """")"),"/wondering-how-to-overcome-sales-challenges-focus-on-these-3-areas/")</f>
        <v>/wondering-how-to-overcome-sales-challenges-focus-on-these-3-areas/</v>
      </c>
      <c r="C1999" s="1" t="s">
        <v>6613</v>
      </c>
      <c r="D1999" s="1" t="s">
        <v>3859</v>
      </c>
      <c r="E1999" s="1" t="s">
        <v>6614</v>
      </c>
      <c r="F1999" s="1" t="s">
        <v>965</v>
      </c>
      <c r="G1999" s="1">
        <v>200.0</v>
      </c>
      <c r="H1999" s="1" t="s">
        <v>966</v>
      </c>
      <c r="I1999" s="1" t="s">
        <v>967</v>
      </c>
      <c r="K1999" s="1" t="s">
        <v>6615</v>
      </c>
      <c r="L1999" s="1">
        <v>91.0</v>
      </c>
      <c r="M1999" s="1">
        <v>861.0</v>
      </c>
      <c r="O1999" s="1">
        <v>0.0</v>
      </c>
      <c r="P1999" s="1">
        <v>0.0</v>
      </c>
      <c r="Q1999" s="1" t="s">
        <v>6616</v>
      </c>
      <c r="R1999" s="1">
        <v>120.0</v>
      </c>
      <c r="S1999" s="1">
        <v>746.0</v>
      </c>
      <c r="U1999" s="1">
        <v>0.0</v>
      </c>
      <c r="V1999" s="1" t="s">
        <v>6613</v>
      </c>
      <c r="W1999" s="1">
        <v>66.0</v>
      </c>
      <c r="Y1999" s="1">
        <v>0.0</v>
      </c>
      <c r="Z1999" s="1" t="s">
        <v>3859</v>
      </c>
      <c r="AA1999" s="1">
        <v>13.0</v>
      </c>
      <c r="AB1999" s="1" t="s">
        <v>6614</v>
      </c>
      <c r="AC1999" s="1">
        <v>46.0</v>
      </c>
      <c r="AD1999" s="1" t="s">
        <v>971</v>
      </c>
      <c r="AG1999" s="9" t="s">
        <v>6612</v>
      </c>
      <c r="AM1999" s="1">
        <v>207331.0</v>
      </c>
      <c r="AN1999" s="1">
        <v>37553.0</v>
      </c>
      <c r="AO1999" s="1">
        <v>37553.0</v>
      </c>
      <c r="AP1999" s="1">
        <v>14.386</v>
      </c>
      <c r="AR1999" s="1">
        <v>1665.0</v>
      </c>
      <c r="AS1999" s="1">
        <v>245.0</v>
      </c>
      <c r="AT1999" s="1">
        <v>6.796</v>
      </c>
      <c r="AU1999" s="1">
        <v>57.362</v>
      </c>
      <c r="AV1999" s="1" t="s">
        <v>972</v>
      </c>
      <c r="AW1999" s="1">
        <v>6.243</v>
      </c>
      <c r="AX1999" s="1">
        <v>4.0</v>
      </c>
      <c r="AY1999" s="1">
        <v>1.0</v>
      </c>
      <c r="AZ1999" s="1">
        <v>1.0</v>
      </c>
      <c r="BA1999" s="1">
        <v>3.0</v>
      </c>
      <c r="BB1999" s="1">
        <v>1.0</v>
      </c>
      <c r="BC1999" s="1">
        <v>0.0</v>
      </c>
      <c r="BD1999" s="1">
        <v>0.13</v>
      </c>
      <c r="BE1999" s="1">
        <v>131.0</v>
      </c>
      <c r="BF1999" s="1">
        <v>48.0</v>
      </c>
      <c r="BG1999" s="1">
        <v>0.0</v>
      </c>
      <c r="BH1999" s="1">
        <v>28.0</v>
      </c>
      <c r="BI1999" s="1">
        <v>20.0</v>
      </c>
      <c r="BJ1999" s="1">
        <v>0.0</v>
      </c>
      <c r="BO1999" s="1" t="s">
        <v>6617</v>
      </c>
      <c r="BP1999" s="1">
        <v>0.987</v>
      </c>
      <c r="BU1999" s="1" t="s">
        <v>974</v>
      </c>
      <c r="BV1999" s="1">
        <v>1.1</v>
      </c>
      <c r="EQ1999" s="9" t="s">
        <v>6612</v>
      </c>
      <c r="ER1999" s="21">
        <v>46045.30159722222</v>
      </c>
    </row>
    <row r="2000">
      <c r="A2000" s="9" t="s">
        <v>6618</v>
      </c>
      <c r="B2000" s="20" t="str">
        <f>IFERROR(__xludf.DUMMYFUNCTION("REGEXREPLACE(A2000, ""^https?://[^/]+"", """")"),"/wp-content/uploads/2022/08/Remote-Sales-Team-300x300.jpg")</f>
        <v>/wp-content/uploads/2022/08/Remote-Sales-Team-300x300.jpg</v>
      </c>
      <c r="F2000" s="1" t="s">
        <v>1004</v>
      </c>
      <c r="G2000" s="1">
        <v>200.0</v>
      </c>
      <c r="H2000" s="1" t="s">
        <v>966</v>
      </c>
      <c r="I2000" s="1" t="s">
        <v>967</v>
      </c>
      <c r="L2000" s="1">
        <v>0.0</v>
      </c>
      <c r="M2000" s="1">
        <v>0.0</v>
      </c>
      <c r="O2000" s="1">
        <v>0.0</v>
      </c>
      <c r="P2000" s="1">
        <v>0.0</v>
      </c>
      <c r="R2000" s="1">
        <v>0.0</v>
      </c>
      <c r="S2000" s="1">
        <v>0.0</v>
      </c>
      <c r="U2000" s="1">
        <v>0.0</v>
      </c>
      <c r="W2000" s="1">
        <v>0.0</v>
      </c>
      <c r="Y2000" s="1">
        <v>0.0</v>
      </c>
      <c r="AA2000" s="1">
        <v>0.0</v>
      </c>
      <c r="AC2000" s="1">
        <v>0.0</v>
      </c>
      <c r="AM2000" s="1">
        <v>22219.0</v>
      </c>
      <c r="AN2000" s="1">
        <v>22219.0</v>
      </c>
      <c r="AO2000" s="1">
        <v>22219.0</v>
      </c>
      <c r="AP2000" s="1">
        <v>8.512</v>
      </c>
      <c r="AR2000" s="1">
        <v>0.0</v>
      </c>
      <c r="AW2000" s="1">
        <v>0.0</v>
      </c>
      <c r="AX2000" s="1">
        <v>4.0</v>
      </c>
      <c r="AY2000" s="1">
        <v>4.0</v>
      </c>
      <c r="BA2000" s="1">
        <v>0.0</v>
      </c>
      <c r="BB2000" s="1">
        <v>0.0</v>
      </c>
      <c r="BC2000" s="1">
        <v>0.0</v>
      </c>
      <c r="BD2000" s="1">
        <v>0.0</v>
      </c>
      <c r="BE2000" s="1">
        <v>0.0</v>
      </c>
      <c r="BF2000" s="1">
        <v>0.0</v>
      </c>
      <c r="BG2000" s="1">
        <v>0.0</v>
      </c>
      <c r="BH2000" s="1">
        <v>0.0</v>
      </c>
      <c r="BI2000" s="1">
        <v>0.0</v>
      </c>
      <c r="BJ2000" s="1">
        <v>0.0</v>
      </c>
      <c r="BP2000" s="1">
        <v>0.263</v>
      </c>
      <c r="BQ2000" s="1" t="s">
        <v>6619</v>
      </c>
      <c r="BV2000" s="1">
        <v>1.1</v>
      </c>
      <c r="EQ2000" s="9" t="s">
        <v>6618</v>
      </c>
      <c r="ER2000" s="21">
        <v>46045.3016087963</v>
      </c>
    </row>
    <row r="2001">
      <c r="A2001" s="9" t="s">
        <v>6620</v>
      </c>
      <c r="B2001" s="20" t="str">
        <f>IFERROR(__xludf.DUMMYFUNCTION("REGEXREPLACE(A2001, ""^https?://[^/]+"", """")"),"/wp-content/uploads/2022/12/Recession-Proof-Sales-Strategy-300x200.jpg")</f>
        <v>/wp-content/uploads/2022/12/Recession-Proof-Sales-Strategy-300x200.jpg</v>
      </c>
      <c r="F2001" s="1" t="s">
        <v>1004</v>
      </c>
      <c r="G2001" s="1">
        <v>200.0</v>
      </c>
      <c r="H2001" s="1" t="s">
        <v>966</v>
      </c>
      <c r="I2001" s="1" t="s">
        <v>967</v>
      </c>
      <c r="L2001" s="1">
        <v>0.0</v>
      </c>
      <c r="M2001" s="1">
        <v>0.0</v>
      </c>
      <c r="O2001" s="1">
        <v>0.0</v>
      </c>
      <c r="P2001" s="1">
        <v>0.0</v>
      </c>
      <c r="R2001" s="1">
        <v>0.0</v>
      </c>
      <c r="S2001" s="1">
        <v>0.0</v>
      </c>
      <c r="U2001" s="1">
        <v>0.0</v>
      </c>
      <c r="W2001" s="1">
        <v>0.0</v>
      </c>
      <c r="Y2001" s="1">
        <v>0.0</v>
      </c>
      <c r="AA2001" s="1">
        <v>0.0</v>
      </c>
      <c r="AC2001" s="1">
        <v>0.0</v>
      </c>
      <c r="AM2001" s="1">
        <v>14863.0</v>
      </c>
      <c r="AN2001" s="1">
        <v>14863.0</v>
      </c>
      <c r="AO2001" s="1">
        <v>14863.0</v>
      </c>
      <c r="AP2001" s="1">
        <v>5.694</v>
      </c>
      <c r="AR2001" s="1">
        <v>0.0</v>
      </c>
      <c r="AW2001" s="1">
        <v>0.0</v>
      </c>
      <c r="AX2001" s="1">
        <v>4.0</v>
      </c>
      <c r="AY2001" s="1">
        <v>4.0</v>
      </c>
      <c r="BA2001" s="1">
        <v>0.0</v>
      </c>
      <c r="BB2001" s="1">
        <v>0.0</v>
      </c>
      <c r="BC2001" s="1">
        <v>0.0</v>
      </c>
      <c r="BD2001" s="1">
        <v>0.0</v>
      </c>
      <c r="BE2001" s="1">
        <v>0.0</v>
      </c>
      <c r="BF2001" s="1">
        <v>0.0</v>
      </c>
      <c r="BG2001" s="1">
        <v>0.0</v>
      </c>
      <c r="BH2001" s="1">
        <v>0.0</v>
      </c>
      <c r="BI2001" s="1">
        <v>0.0</v>
      </c>
      <c r="BJ2001" s="1">
        <v>0.0</v>
      </c>
      <c r="BP2001" s="1">
        <v>0.27</v>
      </c>
      <c r="BQ2001" s="1" t="s">
        <v>6621</v>
      </c>
      <c r="BV2001" s="1">
        <v>1.1</v>
      </c>
      <c r="EQ2001" s="9" t="s">
        <v>6620</v>
      </c>
      <c r="ER2001" s="21">
        <v>46045.301620370374</v>
      </c>
    </row>
    <row r="2002">
      <c r="A2002" s="9" t="s">
        <v>6622</v>
      </c>
      <c r="B2002" s="20" t="str">
        <f>IFERROR(__xludf.DUMMYFUNCTION("REGEXREPLACE(A2002, ""^https?://[^/]+"", """")"),"/how-ai-can-act-as-the-perfect-complement-to-sales-teams/")</f>
        <v>/how-ai-can-act-as-the-perfect-complement-to-sales-teams/</v>
      </c>
      <c r="C2002" s="1" t="s">
        <v>6623</v>
      </c>
      <c r="F2002" s="1" t="s">
        <v>965</v>
      </c>
      <c r="G2002" s="1">
        <v>200.0</v>
      </c>
      <c r="H2002" s="1" t="s">
        <v>966</v>
      </c>
      <c r="I2002" s="1" t="s">
        <v>967</v>
      </c>
      <c r="K2002" s="1" t="s">
        <v>6624</v>
      </c>
      <c r="L2002" s="1">
        <v>80.0</v>
      </c>
      <c r="M2002" s="1">
        <v>749.0</v>
      </c>
      <c r="O2002" s="1">
        <v>0.0</v>
      </c>
      <c r="P2002" s="1">
        <v>0.0</v>
      </c>
      <c r="Q2002" s="1" t="s">
        <v>6625</v>
      </c>
      <c r="R2002" s="1">
        <v>91.0</v>
      </c>
      <c r="S2002" s="1">
        <v>535.0</v>
      </c>
      <c r="U2002" s="1">
        <v>0.0</v>
      </c>
      <c r="V2002" s="1" t="s">
        <v>6623</v>
      </c>
      <c r="W2002" s="1">
        <v>55.0</v>
      </c>
      <c r="Y2002" s="1">
        <v>0.0</v>
      </c>
      <c r="AA2002" s="1">
        <v>0.0</v>
      </c>
      <c r="AC2002" s="1">
        <v>0.0</v>
      </c>
      <c r="AD2002" s="1" t="s">
        <v>971</v>
      </c>
      <c r="AG2002" s="9" t="s">
        <v>6622</v>
      </c>
      <c r="AM2002" s="1">
        <v>198966.0</v>
      </c>
      <c r="AN2002" s="1">
        <v>34421.0</v>
      </c>
      <c r="AO2002" s="1">
        <v>34421.0</v>
      </c>
      <c r="AP2002" s="1">
        <v>13.186</v>
      </c>
      <c r="AR2002" s="1">
        <v>761.0</v>
      </c>
      <c r="AS2002" s="1">
        <v>124.0</v>
      </c>
      <c r="AT2002" s="1">
        <v>6.137</v>
      </c>
      <c r="AU2002" s="1">
        <v>63.756</v>
      </c>
      <c r="AV2002" s="1" t="s">
        <v>990</v>
      </c>
      <c r="AW2002" s="1">
        <v>3.526</v>
      </c>
      <c r="AX2002" s="1">
        <v>4.0</v>
      </c>
      <c r="AY2002" s="1">
        <v>1.0</v>
      </c>
      <c r="AZ2002" s="1">
        <v>1.0</v>
      </c>
      <c r="BA2002" s="1">
        <v>3.0</v>
      </c>
      <c r="BB2002" s="1">
        <v>1.0</v>
      </c>
      <c r="BC2002" s="1">
        <v>0.0</v>
      </c>
      <c r="BD2002" s="1">
        <v>0.13</v>
      </c>
      <c r="BE2002" s="1">
        <v>129.0</v>
      </c>
      <c r="BF2002" s="1">
        <v>47.0</v>
      </c>
      <c r="BG2002" s="1">
        <v>0.0</v>
      </c>
      <c r="BH2002" s="1">
        <v>18.0</v>
      </c>
      <c r="BI2002" s="1">
        <v>10.0</v>
      </c>
      <c r="BJ2002" s="1">
        <v>0.0</v>
      </c>
      <c r="BO2002" s="1" t="s">
        <v>6626</v>
      </c>
      <c r="BP2002" s="1">
        <v>0.985</v>
      </c>
      <c r="BU2002" s="1" t="s">
        <v>974</v>
      </c>
      <c r="BV2002" s="1">
        <v>1.1</v>
      </c>
      <c r="EQ2002" s="9" t="s">
        <v>6622</v>
      </c>
      <c r="ER2002" s="21">
        <v>46045.3016087963</v>
      </c>
    </row>
    <row r="2003">
      <c r="A2003" s="9" t="s">
        <v>6627</v>
      </c>
      <c r="B2003" s="20" t="str">
        <f>IFERROR(__xludf.DUMMYFUNCTION("REGEXREPLACE(A2003, ""^https?://[^/]+"", """")"),"/how-to-build-a-strong-culture-while-managing-a-remote-sales-team/")</f>
        <v>/how-to-build-a-strong-culture-while-managing-a-remote-sales-team/</v>
      </c>
      <c r="C2003" s="1" t="s">
        <v>6628</v>
      </c>
      <c r="F2003" s="1" t="s">
        <v>965</v>
      </c>
      <c r="G2003" s="1">
        <v>200.0</v>
      </c>
      <c r="H2003" s="1" t="s">
        <v>966</v>
      </c>
      <c r="I2003" s="1" t="s">
        <v>967</v>
      </c>
      <c r="K2003" s="1" t="s">
        <v>6629</v>
      </c>
      <c r="L2003" s="1">
        <v>59.0</v>
      </c>
      <c r="M2003" s="1">
        <v>574.0</v>
      </c>
      <c r="O2003" s="1">
        <v>0.0</v>
      </c>
      <c r="P2003" s="1">
        <v>0.0</v>
      </c>
      <c r="Q2003" s="1" t="s">
        <v>6630</v>
      </c>
      <c r="R2003" s="1">
        <v>155.0</v>
      </c>
      <c r="S2003" s="1">
        <v>966.0</v>
      </c>
      <c r="U2003" s="1">
        <v>0.0</v>
      </c>
      <c r="V2003" s="1" t="s">
        <v>6628</v>
      </c>
      <c r="W2003" s="1">
        <v>64.0</v>
      </c>
      <c r="Y2003" s="1">
        <v>0.0</v>
      </c>
      <c r="AA2003" s="1">
        <v>0.0</v>
      </c>
      <c r="AC2003" s="1">
        <v>0.0</v>
      </c>
      <c r="AD2003" s="1" t="s">
        <v>971</v>
      </c>
      <c r="AG2003" s="9" t="s">
        <v>6627</v>
      </c>
      <c r="AM2003" s="1">
        <v>196371.0</v>
      </c>
      <c r="AN2003" s="1">
        <v>34660.0</v>
      </c>
      <c r="AO2003" s="1">
        <v>34660.0</v>
      </c>
      <c r="AP2003" s="1">
        <v>13.278</v>
      </c>
      <c r="AR2003" s="1">
        <v>825.0</v>
      </c>
      <c r="AS2003" s="1">
        <v>132.0</v>
      </c>
      <c r="AT2003" s="1">
        <v>6.25</v>
      </c>
      <c r="AU2003" s="1">
        <v>60.312</v>
      </c>
      <c r="AV2003" s="1" t="s">
        <v>990</v>
      </c>
      <c r="AW2003" s="1">
        <v>3.832</v>
      </c>
      <c r="AX2003" s="1">
        <v>4.0</v>
      </c>
      <c r="AY2003" s="1">
        <v>1.0</v>
      </c>
      <c r="AZ2003" s="1">
        <v>1.0</v>
      </c>
      <c r="BA2003" s="1">
        <v>4.0</v>
      </c>
      <c r="BB2003" s="1">
        <v>2.0</v>
      </c>
      <c r="BC2003" s="1">
        <v>0.0</v>
      </c>
      <c r="BD2003" s="1">
        <v>0.27</v>
      </c>
      <c r="BE2003" s="1">
        <v>130.0</v>
      </c>
      <c r="BF2003" s="1">
        <v>47.0</v>
      </c>
      <c r="BG2003" s="1">
        <v>0.0</v>
      </c>
      <c r="BH2003" s="1">
        <v>18.0</v>
      </c>
      <c r="BI2003" s="1">
        <v>10.0</v>
      </c>
      <c r="BJ2003" s="1">
        <v>0.0</v>
      </c>
      <c r="BO2003" s="1" t="s">
        <v>6631</v>
      </c>
      <c r="BP2003" s="1">
        <v>1.059</v>
      </c>
      <c r="BU2003" s="1" t="s">
        <v>974</v>
      </c>
      <c r="BV2003" s="1">
        <v>1.1</v>
      </c>
      <c r="EQ2003" s="9" t="s">
        <v>6627</v>
      </c>
      <c r="ER2003" s="21">
        <v>46045.3016087963</v>
      </c>
    </row>
    <row r="2004">
      <c r="A2004" s="9" t="s">
        <v>6632</v>
      </c>
      <c r="B2004" s="20" t="str">
        <f>IFERROR(__xludf.DUMMYFUNCTION("REGEXREPLACE(A2004, ""^https?://[^/]+"", """")"),"/wp-content/uploads/2021/06/competitive-analysis-500-300x300.jpg")</f>
        <v>/wp-content/uploads/2021/06/competitive-analysis-500-300x300.jpg</v>
      </c>
      <c r="F2004" s="1" t="s">
        <v>1004</v>
      </c>
      <c r="G2004" s="1">
        <v>200.0</v>
      </c>
      <c r="H2004" s="1" t="s">
        <v>966</v>
      </c>
      <c r="I2004" s="1" t="s">
        <v>967</v>
      </c>
      <c r="L2004" s="1">
        <v>0.0</v>
      </c>
      <c r="M2004" s="1">
        <v>0.0</v>
      </c>
      <c r="O2004" s="1">
        <v>0.0</v>
      </c>
      <c r="P2004" s="1">
        <v>0.0</v>
      </c>
      <c r="R2004" s="1">
        <v>0.0</v>
      </c>
      <c r="S2004" s="1">
        <v>0.0</v>
      </c>
      <c r="U2004" s="1">
        <v>0.0</v>
      </c>
      <c r="W2004" s="1">
        <v>0.0</v>
      </c>
      <c r="Y2004" s="1">
        <v>0.0</v>
      </c>
      <c r="AA2004" s="1">
        <v>0.0</v>
      </c>
      <c r="AC2004" s="1">
        <v>0.0</v>
      </c>
      <c r="AM2004" s="1">
        <v>21446.0</v>
      </c>
      <c r="AN2004" s="1">
        <v>21446.0</v>
      </c>
      <c r="AO2004" s="1">
        <v>21446.0</v>
      </c>
      <c r="AP2004" s="1">
        <v>8.216</v>
      </c>
      <c r="AR2004" s="1">
        <v>0.0</v>
      </c>
      <c r="AW2004" s="1">
        <v>0.0</v>
      </c>
      <c r="AX2004" s="1">
        <v>4.0</v>
      </c>
      <c r="AY2004" s="1">
        <v>4.0</v>
      </c>
      <c r="BA2004" s="1">
        <v>0.0</v>
      </c>
      <c r="BB2004" s="1">
        <v>0.0</v>
      </c>
      <c r="BC2004" s="1">
        <v>0.0</v>
      </c>
      <c r="BD2004" s="1">
        <v>0.0</v>
      </c>
      <c r="BE2004" s="1">
        <v>0.0</v>
      </c>
      <c r="BF2004" s="1">
        <v>0.0</v>
      </c>
      <c r="BG2004" s="1">
        <v>0.0</v>
      </c>
      <c r="BH2004" s="1">
        <v>0.0</v>
      </c>
      <c r="BI2004" s="1">
        <v>0.0</v>
      </c>
      <c r="BJ2004" s="1">
        <v>0.0</v>
      </c>
      <c r="BP2004" s="1">
        <v>0.267</v>
      </c>
      <c r="BQ2004" s="1" t="s">
        <v>6633</v>
      </c>
      <c r="BV2004" s="1">
        <v>1.1</v>
      </c>
      <c r="EQ2004" s="9" t="s">
        <v>6632</v>
      </c>
      <c r="ER2004" s="21">
        <v>46045.301620370374</v>
      </c>
    </row>
    <row r="2005">
      <c r="A2005" s="9" t="s">
        <v>6634</v>
      </c>
      <c r="B2005" s="20" t="str">
        <f>IFERROR(__xludf.DUMMYFUNCTION("REGEXREPLACE(A2005, ""^https?://[^/]+"", """")"),"/wp-content/themes/salesxceleratione/assets/css/style.css?ver=1769123538")</f>
        <v>/wp-content/themes/salesxceleratione/assets/css/style.css?ver=1769123538</v>
      </c>
      <c r="F2005" s="1" t="s">
        <v>1016</v>
      </c>
      <c r="G2005" s="1">
        <v>200.0</v>
      </c>
      <c r="H2005" s="1" t="s">
        <v>966</v>
      </c>
      <c r="I2005" s="1" t="s">
        <v>967</v>
      </c>
      <c r="L2005" s="1">
        <v>0.0</v>
      </c>
      <c r="M2005" s="1">
        <v>0.0</v>
      </c>
      <c r="O2005" s="1">
        <v>0.0</v>
      </c>
      <c r="P2005" s="1">
        <v>0.0</v>
      </c>
      <c r="R2005" s="1">
        <v>0.0</v>
      </c>
      <c r="S2005" s="1">
        <v>0.0</v>
      </c>
      <c r="U2005" s="1">
        <v>0.0</v>
      </c>
      <c r="W2005" s="1">
        <v>0.0</v>
      </c>
      <c r="Y2005" s="1">
        <v>0.0</v>
      </c>
      <c r="AA2005" s="1">
        <v>0.0</v>
      </c>
      <c r="AC2005" s="1">
        <v>0.0</v>
      </c>
      <c r="AM2005" s="1">
        <v>17704.0</v>
      </c>
      <c r="AN2005" s="1">
        <v>17704.0</v>
      </c>
      <c r="AO2005" s="1">
        <v>17704.0</v>
      </c>
      <c r="AP2005" s="1">
        <v>6.782</v>
      </c>
      <c r="AR2005" s="1">
        <v>0.0</v>
      </c>
      <c r="AW2005" s="1">
        <v>0.0</v>
      </c>
      <c r="AX2005" s="1">
        <v>4.0</v>
      </c>
      <c r="AY2005" s="1">
        <v>5.0</v>
      </c>
      <c r="BA2005" s="1">
        <v>0.0</v>
      </c>
      <c r="BB2005" s="1">
        <v>0.0</v>
      </c>
      <c r="BC2005" s="1">
        <v>0.0</v>
      </c>
      <c r="BD2005" s="1">
        <v>0.0</v>
      </c>
      <c r="BE2005" s="1">
        <v>0.0</v>
      </c>
      <c r="BF2005" s="1">
        <v>0.0</v>
      </c>
      <c r="BG2005" s="1">
        <v>0.0</v>
      </c>
      <c r="BH2005" s="1">
        <v>0.0</v>
      </c>
      <c r="BI2005" s="1">
        <v>0.0</v>
      </c>
      <c r="BJ2005" s="1">
        <v>0.0</v>
      </c>
      <c r="BP2005" s="1">
        <v>0.271</v>
      </c>
      <c r="BQ2005" s="1" t="s">
        <v>4253</v>
      </c>
      <c r="BV2005" s="1">
        <v>1.1</v>
      </c>
      <c r="EQ2005" s="9" t="s">
        <v>6634</v>
      </c>
      <c r="ER2005" s="21">
        <v>46045.301620370374</v>
      </c>
    </row>
    <row r="2006">
      <c r="A2006" s="9" t="s">
        <v>6635</v>
      </c>
      <c r="B2006" s="20" t="str">
        <f>IFERROR(__xludf.DUMMYFUNCTION("REGEXREPLACE(A2006, ""^https?://[^/]+"", """")"),"/top-4-disruptors-in-the-future-of-sales-are-you-ready/")</f>
        <v>/top-4-disruptors-in-the-future-of-sales-are-you-ready/</v>
      </c>
      <c r="C2006" s="1" t="s">
        <v>6636</v>
      </c>
      <c r="D2006" s="1" t="s">
        <v>6637</v>
      </c>
      <c r="E2006" s="1" t="s">
        <v>6638</v>
      </c>
      <c r="F2006" s="1" t="s">
        <v>965</v>
      </c>
      <c r="G2006" s="1">
        <v>200.0</v>
      </c>
      <c r="H2006" s="1" t="s">
        <v>966</v>
      </c>
      <c r="I2006" s="1" t="s">
        <v>967</v>
      </c>
      <c r="K2006" s="1" t="s">
        <v>6639</v>
      </c>
      <c r="L2006" s="1">
        <v>80.0</v>
      </c>
      <c r="M2006" s="1">
        <v>705.0</v>
      </c>
      <c r="O2006" s="1">
        <v>0.0</v>
      </c>
      <c r="P2006" s="1">
        <v>0.0</v>
      </c>
      <c r="Q2006" s="1" t="s">
        <v>6640</v>
      </c>
      <c r="R2006" s="1">
        <v>126.0</v>
      </c>
      <c r="S2006" s="1">
        <v>791.0</v>
      </c>
      <c r="U2006" s="1">
        <v>0.0</v>
      </c>
      <c r="V2006" s="1" t="s">
        <v>6636</v>
      </c>
      <c r="W2006" s="1">
        <v>55.0</v>
      </c>
      <c r="Y2006" s="1">
        <v>0.0</v>
      </c>
      <c r="Z2006" s="1" t="s">
        <v>6637</v>
      </c>
      <c r="AA2006" s="1">
        <v>41.0</v>
      </c>
      <c r="AB2006" s="1" t="s">
        <v>6638</v>
      </c>
      <c r="AC2006" s="1">
        <v>26.0</v>
      </c>
      <c r="AD2006" s="1" t="s">
        <v>971</v>
      </c>
      <c r="AG2006" s="9" t="s">
        <v>6635</v>
      </c>
      <c r="AM2006" s="1">
        <v>204500.0</v>
      </c>
      <c r="AN2006" s="1">
        <v>37153.0</v>
      </c>
      <c r="AO2006" s="1">
        <v>37153.0</v>
      </c>
      <c r="AP2006" s="1">
        <v>14.233</v>
      </c>
      <c r="AR2006" s="1">
        <v>1634.0</v>
      </c>
      <c r="AS2006" s="1">
        <v>239.0</v>
      </c>
      <c r="AT2006" s="1">
        <v>6.837</v>
      </c>
      <c r="AU2006" s="1">
        <v>62.123</v>
      </c>
      <c r="AV2006" s="1" t="s">
        <v>990</v>
      </c>
      <c r="AW2006" s="1">
        <v>6.152</v>
      </c>
      <c r="AX2006" s="1">
        <v>4.0</v>
      </c>
      <c r="AY2006" s="1">
        <v>1.0</v>
      </c>
      <c r="AZ2006" s="1">
        <v>1.0</v>
      </c>
      <c r="BA2006" s="1">
        <v>3.0</v>
      </c>
      <c r="BB2006" s="1">
        <v>1.0</v>
      </c>
      <c r="BC2006" s="1">
        <v>0.0</v>
      </c>
      <c r="BD2006" s="1">
        <v>0.13</v>
      </c>
      <c r="BE2006" s="1">
        <v>129.0</v>
      </c>
      <c r="BF2006" s="1">
        <v>47.0</v>
      </c>
      <c r="BG2006" s="1">
        <v>0.0</v>
      </c>
      <c r="BH2006" s="1">
        <v>22.0</v>
      </c>
      <c r="BI2006" s="1">
        <v>14.0</v>
      </c>
      <c r="BJ2006" s="1">
        <v>0.0</v>
      </c>
      <c r="BO2006" s="1" t="s">
        <v>6641</v>
      </c>
      <c r="BP2006" s="1">
        <v>1.025</v>
      </c>
      <c r="BU2006" s="1" t="s">
        <v>974</v>
      </c>
      <c r="BV2006" s="1">
        <v>1.1</v>
      </c>
      <c r="EQ2006" s="9" t="s">
        <v>6635</v>
      </c>
      <c r="ER2006" s="21">
        <v>46045.3016087963</v>
      </c>
    </row>
    <row r="2007">
      <c r="A2007" s="9" t="s">
        <v>6642</v>
      </c>
      <c r="B2007" s="20" t="str">
        <f>IFERROR(__xludf.DUMMYFUNCTION("REGEXREPLACE(A2007, ""^https?://[^/]+"", """")"),"/wp-content/uploads/2023/09/Technology-is-Creating-New-Ways-to-Sell-to-Prospects-300x158.jpg")</f>
        <v>/wp-content/uploads/2023/09/Technology-is-Creating-New-Ways-to-Sell-to-Prospects-300x158.jpg</v>
      </c>
      <c r="F2007" s="1" t="s">
        <v>1004</v>
      </c>
      <c r="G2007" s="1">
        <v>200.0</v>
      </c>
      <c r="H2007" s="1" t="s">
        <v>966</v>
      </c>
      <c r="I2007" s="1" t="s">
        <v>967</v>
      </c>
      <c r="L2007" s="1">
        <v>0.0</v>
      </c>
      <c r="M2007" s="1">
        <v>0.0</v>
      </c>
      <c r="O2007" s="1">
        <v>0.0</v>
      </c>
      <c r="P2007" s="1">
        <v>0.0</v>
      </c>
      <c r="R2007" s="1">
        <v>0.0</v>
      </c>
      <c r="S2007" s="1">
        <v>0.0</v>
      </c>
      <c r="U2007" s="1">
        <v>0.0</v>
      </c>
      <c r="W2007" s="1">
        <v>0.0</v>
      </c>
      <c r="Y2007" s="1">
        <v>0.0</v>
      </c>
      <c r="AA2007" s="1">
        <v>0.0</v>
      </c>
      <c r="AC2007" s="1">
        <v>0.0</v>
      </c>
      <c r="AM2007" s="1">
        <v>12712.0</v>
      </c>
      <c r="AN2007" s="1">
        <v>12712.0</v>
      </c>
      <c r="AO2007" s="1">
        <v>12712.0</v>
      </c>
      <c r="AP2007" s="1">
        <v>4.87</v>
      </c>
      <c r="AR2007" s="1">
        <v>0.0</v>
      </c>
      <c r="AW2007" s="1">
        <v>0.0</v>
      </c>
      <c r="AX2007" s="1">
        <v>4.0</v>
      </c>
      <c r="AY2007" s="1">
        <v>4.0</v>
      </c>
      <c r="BA2007" s="1">
        <v>0.0</v>
      </c>
      <c r="BB2007" s="1">
        <v>0.0</v>
      </c>
      <c r="BC2007" s="1">
        <v>0.0</v>
      </c>
      <c r="BD2007" s="1">
        <v>0.0</v>
      </c>
      <c r="BE2007" s="1">
        <v>0.0</v>
      </c>
      <c r="BF2007" s="1">
        <v>0.0</v>
      </c>
      <c r="BG2007" s="1">
        <v>0.0</v>
      </c>
      <c r="BH2007" s="1">
        <v>0.0</v>
      </c>
      <c r="BI2007" s="1">
        <v>0.0</v>
      </c>
      <c r="BJ2007" s="1">
        <v>0.0</v>
      </c>
      <c r="BP2007" s="1">
        <v>0.27</v>
      </c>
      <c r="BQ2007" s="1" t="s">
        <v>4061</v>
      </c>
      <c r="BV2007" s="1">
        <v>1.1</v>
      </c>
      <c r="EQ2007" s="9" t="s">
        <v>6642</v>
      </c>
      <c r="ER2007" s="21">
        <v>46045.301620370374</v>
      </c>
    </row>
    <row r="2008">
      <c r="A2008" s="9" t="s">
        <v>6643</v>
      </c>
      <c r="B2008" s="20" t="str">
        <f>IFERROR(__xludf.DUMMYFUNCTION("REGEXREPLACE(A2008, ""^https?://[^/]+"", """")"),"/wp-content/themes/salesxceleratione/assets/css/style.css?ver=1769123539")</f>
        <v>/wp-content/themes/salesxceleratione/assets/css/style.css?ver=1769123539</v>
      </c>
      <c r="F2008" s="1" t="s">
        <v>1016</v>
      </c>
      <c r="G2008" s="1">
        <v>200.0</v>
      </c>
      <c r="H2008" s="1" t="s">
        <v>966</v>
      </c>
      <c r="I2008" s="1" t="s">
        <v>967</v>
      </c>
      <c r="L2008" s="1">
        <v>0.0</v>
      </c>
      <c r="M2008" s="1">
        <v>0.0</v>
      </c>
      <c r="O2008" s="1">
        <v>0.0</v>
      </c>
      <c r="P2008" s="1">
        <v>0.0</v>
      </c>
      <c r="R2008" s="1">
        <v>0.0</v>
      </c>
      <c r="S2008" s="1">
        <v>0.0</v>
      </c>
      <c r="U2008" s="1">
        <v>0.0</v>
      </c>
      <c r="W2008" s="1">
        <v>0.0</v>
      </c>
      <c r="Y2008" s="1">
        <v>0.0</v>
      </c>
      <c r="AA2008" s="1">
        <v>0.0</v>
      </c>
      <c r="AC2008" s="1">
        <v>0.0</v>
      </c>
      <c r="AM2008" s="1">
        <v>17704.0</v>
      </c>
      <c r="AN2008" s="1">
        <v>17704.0</v>
      </c>
      <c r="AO2008" s="1">
        <v>17704.0</v>
      </c>
      <c r="AP2008" s="1">
        <v>6.782</v>
      </c>
      <c r="AR2008" s="1">
        <v>0.0</v>
      </c>
      <c r="AW2008" s="1">
        <v>0.0</v>
      </c>
      <c r="AX2008" s="1">
        <v>4.0</v>
      </c>
      <c r="AY2008" s="1">
        <v>5.0</v>
      </c>
      <c r="BA2008" s="1">
        <v>0.0</v>
      </c>
      <c r="BB2008" s="1">
        <v>0.0</v>
      </c>
      <c r="BC2008" s="1">
        <v>0.0</v>
      </c>
      <c r="BD2008" s="1">
        <v>0.0</v>
      </c>
      <c r="BE2008" s="1">
        <v>0.0</v>
      </c>
      <c r="BF2008" s="1">
        <v>0.0</v>
      </c>
      <c r="BG2008" s="1">
        <v>0.0</v>
      </c>
      <c r="BH2008" s="1">
        <v>0.0</v>
      </c>
      <c r="BI2008" s="1">
        <v>0.0</v>
      </c>
      <c r="BJ2008" s="1">
        <v>0.0</v>
      </c>
      <c r="BP2008" s="1">
        <v>0.274</v>
      </c>
      <c r="BQ2008" s="1" t="s">
        <v>6644</v>
      </c>
      <c r="BV2008" s="1">
        <v>1.1</v>
      </c>
      <c r="EQ2008" s="9" t="s">
        <v>6643</v>
      </c>
      <c r="ER2008" s="21">
        <v>46045.301620370374</v>
      </c>
    </row>
    <row r="2009">
      <c r="A2009" s="9" t="s">
        <v>6645</v>
      </c>
      <c r="B2009" s="20" t="str">
        <f>IFERROR(__xludf.DUMMYFUNCTION("REGEXREPLACE(A2009, ""^https?://[^/]+"", """")"),"/wp-content/themes/salesxceleratione/assets/css/style.css?ver=1769123553")</f>
        <v>/wp-content/themes/salesxceleratione/assets/css/style.css?ver=1769123553</v>
      </c>
      <c r="F2009" s="1" t="s">
        <v>1016</v>
      </c>
      <c r="G2009" s="1">
        <v>200.0</v>
      </c>
      <c r="H2009" s="1" t="s">
        <v>966</v>
      </c>
      <c r="I2009" s="1" t="s">
        <v>967</v>
      </c>
      <c r="L2009" s="1">
        <v>0.0</v>
      </c>
      <c r="M2009" s="1">
        <v>0.0</v>
      </c>
      <c r="O2009" s="1">
        <v>0.0</v>
      </c>
      <c r="P2009" s="1">
        <v>0.0</v>
      </c>
      <c r="R2009" s="1">
        <v>0.0</v>
      </c>
      <c r="S2009" s="1">
        <v>0.0</v>
      </c>
      <c r="U2009" s="1">
        <v>0.0</v>
      </c>
      <c r="W2009" s="1">
        <v>0.0</v>
      </c>
      <c r="Y2009" s="1">
        <v>0.0</v>
      </c>
      <c r="AA2009" s="1">
        <v>0.0</v>
      </c>
      <c r="AC2009" s="1">
        <v>0.0</v>
      </c>
      <c r="AM2009" s="1">
        <v>17704.0</v>
      </c>
      <c r="AN2009" s="1">
        <v>17704.0</v>
      </c>
      <c r="AO2009" s="1">
        <v>17704.0</v>
      </c>
      <c r="AP2009" s="1">
        <v>6.782</v>
      </c>
      <c r="AR2009" s="1">
        <v>0.0</v>
      </c>
      <c r="AW2009" s="1">
        <v>0.0</v>
      </c>
      <c r="AX2009" s="1">
        <v>4.0</v>
      </c>
      <c r="AY2009" s="1">
        <v>5.0</v>
      </c>
      <c r="BA2009" s="1">
        <v>0.0</v>
      </c>
      <c r="BB2009" s="1">
        <v>0.0</v>
      </c>
      <c r="BC2009" s="1">
        <v>0.0</v>
      </c>
      <c r="BD2009" s="1">
        <v>0.0</v>
      </c>
      <c r="BE2009" s="1">
        <v>0.0</v>
      </c>
      <c r="BF2009" s="1">
        <v>0.0</v>
      </c>
      <c r="BG2009" s="1">
        <v>0.0</v>
      </c>
      <c r="BH2009" s="1">
        <v>0.0</v>
      </c>
      <c r="BI2009" s="1">
        <v>0.0</v>
      </c>
      <c r="BJ2009" s="1">
        <v>0.0</v>
      </c>
      <c r="BP2009" s="1">
        <v>0.256</v>
      </c>
      <c r="BQ2009" s="1" t="s">
        <v>4414</v>
      </c>
      <c r="BV2009" s="1">
        <v>1.1</v>
      </c>
      <c r="EQ2009" s="9" t="s">
        <v>6645</v>
      </c>
      <c r="ER2009" s="21">
        <v>46045.301620370374</v>
      </c>
    </row>
    <row r="2010">
      <c r="A2010" s="9" t="s">
        <v>6646</v>
      </c>
      <c r="B2010" s="20" t="str">
        <f>IFERROR(__xludf.DUMMYFUNCTION("REGEXREPLACE(A2010, ""^https?://[^/]+"", """")"),"/professionalism-in-virtual-meetings-how-it-impacts-the-remote-work-debate/")</f>
        <v>/professionalism-in-virtual-meetings-how-it-impacts-the-remote-work-debate/</v>
      </c>
      <c r="C2010" s="1" t="s">
        <v>6647</v>
      </c>
      <c r="D2010" s="1" t="s">
        <v>6648</v>
      </c>
      <c r="E2010" s="1" t="s">
        <v>6649</v>
      </c>
      <c r="F2010" s="1" t="s">
        <v>965</v>
      </c>
      <c r="G2010" s="1">
        <v>200.0</v>
      </c>
      <c r="H2010" s="1" t="s">
        <v>966</v>
      </c>
      <c r="I2010" s="1" t="s">
        <v>967</v>
      </c>
      <c r="K2010" s="1" t="s">
        <v>6650</v>
      </c>
      <c r="L2010" s="1">
        <v>99.0</v>
      </c>
      <c r="M2010" s="1">
        <v>906.0</v>
      </c>
      <c r="O2010" s="1">
        <v>0.0</v>
      </c>
      <c r="P2010" s="1">
        <v>0.0</v>
      </c>
      <c r="Q2010" s="1" t="s">
        <v>6651</v>
      </c>
      <c r="R2010" s="1">
        <v>150.0</v>
      </c>
      <c r="S2010" s="1">
        <v>898.0</v>
      </c>
      <c r="U2010" s="1">
        <v>0.0</v>
      </c>
      <c r="V2010" s="1" t="s">
        <v>6647</v>
      </c>
      <c r="W2010" s="1">
        <v>74.0</v>
      </c>
      <c r="Y2010" s="1">
        <v>0.0</v>
      </c>
      <c r="Z2010" s="1" t="s">
        <v>6648</v>
      </c>
      <c r="AA2010" s="1">
        <v>60.0</v>
      </c>
      <c r="AB2010" s="1" t="s">
        <v>6649</v>
      </c>
      <c r="AC2010" s="1">
        <v>56.0</v>
      </c>
      <c r="AD2010" s="1" t="s">
        <v>971</v>
      </c>
      <c r="AG2010" s="9" t="s">
        <v>6646</v>
      </c>
      <c r="AM2010" s="1">
        <v>202101.0</v>
      </c>
      <c r="AN2010" s="1">
        <v>36617.0</v>
      </c>
      <c r="AO2010" s="1">
        <v>36617.0</v>
      </c>
      <c r="AP2010" s="1">
        <v>14.027</v>
      </c>
      <c r="AR2010" s="1">
        <v>1478.0</v>
      </c>
      <c r="AS2010" s="1">
        <v>218.0</v>
      </c>
      <c r="AT2010" s="1">
        <v>6.78</v>
      </c>
      <c r="AU2010" s="1">
        <v>64.124</v>
      </c>
      <c r="AV2010" s="1" t="s">
        <v>990</v>
      </c>
      <c r="AW2010" s="1">
        <v>5.731</v>
      </c>
      <c r="AX2010" s="1">
        <v>4.0</v>
      </c>
      <c r="AY2010" s="1">
        <v>1.0</v>
      </c>
      <c r="AZ2010" s="1">
        <v>1.0</v>
      </c>
      <c r="BA2010" s="1">
        <v>3.0</v>
      </c>
      <c r="BB2010" s="1">
        <v>1.0</v>
      </c>
      <c r="BC2010" s="1">
        <v>0.0</v>
      </c>
      <c r="BD2010" s="1">
        <v>0.13</v>
      </c>
      <c r="BE2010" s="1">
        <v>130.0</v>
      </c>
      <c r="BF2010" s="1">
        <v>47.0</v>
      </c>
      <c r="BG2010" s="1">
        <v>0.0</v>
      </c>
      <c r="BH2010" s="1">
        <v>22.0</v>
      </c>
      <c r="BI2010" s="1">
        <v>14.0</v>
      </c>
      <c r="BJ2010" s="1">
        <v>0.0</v>
      </c>
      <c r="BO2010" s="1" t="s">
        <v>6652</v>
      </c>
      <c r="BP2010" s="1">
        <v>1.001</v>
      </c>
      <c r="BU2010" s="1" t="s">
        <v>974</v>
      </c>
      <c r="BV2010" s="1">
        <v>1.1</v>
      </c>
      <c r="EQ2010" s="9" t="s">
        <v>6646</v>
      </c>
      <c r="ER2010" s="21">
        <v>46045.301620370374</v>
      </c>
    </row>
    <row r="2011">
      <c r="A2011" s="9" t="s">
        <v>6653</v>
      </c>
      <c r="B2011" s="20" t="str">
        <f>IFERROR(__xludf.DUMMYFUNCTION("REGEXREPLACE(A2011, ""^https?://[^/]+"", """")"),"/how-to-leverage-a-competitor-sales-analysis-to-grow-your-business/")</f>
        <v>/how-to-leverage-a-competitor-sales-analysis-to-grow-your-business/</v>
      </c>
      <c r="C2011" s="1" t="s">
        <v>6654</v>
      </c>
      <c r="F2011" s="1" t="s">
        <v>965</v>
      </c>
      <c r="G2011" s="1">
        <v>200.0</v>
      </c>
      <c r="H2011" s="1" t="s">
        <v>966</v>
      </c>
      <c r="I2011" s="1" t="s">
        <v>967</v>
      </c>
      <c r="K2011" s="1" t="s">
        <v>6655</v>
      </c>
      <c r="L2011" s="1">
        <v>100.0</v>
      </c>
      <c r="M2011" s="1">
        <v>927.0</v>
      </c>
      <c r="O2011" s="1">
        <v>0.0</v>
      </c>
      <c r="P2011" s="1">
        <v>0.0</v>
      </c>
      <c r="Q2011" s="1" t="s">
        <v>6656</v>
      </c>
      <c r="R2011" s="1">
        <v>121.0</v>
      </c>
      <c r="S2011" s="1">
        <v>761.0</v>
      </c>
      <c r="U2011" s="1">
        <v>0.0</v>
      </c>
      <c r="V2011" s="1" t="s">
        <v>6654</v>
      </c>
      <c r="W2011" s="1">
        <v>75.0</v>
      </c>
      <c r="Y2011" s="1">
        <v>0.0</v>
      </c>
      <c r="AA2011" s="1">
        <v>0.0</v>
      </c>
      <c r="AC2011" s="1">
        <v>0.0</v>
      </c>
      <c r="AD2011" s="1" t="s">
        <v>971</v>
      </c>
      <c r="AG2011" s="9" t="s">
        <v>6653</v>
      </c>
      <c r="AM2011" s="1">
        <v>197575.0</v>
      </c>
      <c r="AN2011" s="1">
        <v>34314.0</v>
      </c>
      <c r="AO2011" s="1">
        <v>34314.0</v>
      </c>
      <c r="AP2011" s="1">
        <v>13.145</v>
      </c>
      <c r="AR2011" s="1">
        <v>741.0</v>
      </c>
      <c r="AS2011" s="1">
        <v>126.0</v>
      </c>
      <c r="AT2011" s="1">
        <v>5.881</v>
      </c>
      <c r="AU2011" s="1">
        <v>57.582</v>
      </c>
      <c r="AV2011" s="1" t="s">
        <v>972</v>
      </c>
      <c r="AW2011" s="1">
        <v>3.604</v>
      </c>
      <c r="AX2011" s="1">
        <v>4.0</v>
      </c>
      <c r="AY2011" s="1">
        <v>1.0</v>
      </c>
      <c r="AZ2011" s="1">
        <v>1.0</v>
      </c>
      <c r="BA2011" s="1">
        <v>8.0</v>
      </c>
      <c r="BB2011" s="1">
        <v>6.0</v>
      </c>
      <c r="BC2011" s="1">
        <v>0.0</v>
      </c>
      <c r="BD2011" s="1">
        <v>0.8</v>
      </c>
      <c r="BE2011" s="1">
        <v>129.0</v>
      </c>
      <c r="BF2011" s="1">
        <v>47.0</v>
      </c>
      <c r="BG2011" s="1">
        <v>0.0</v>
      </c>
      <c r="BH2011" s="1">
        <v>17.0</v>
      </c>
      <c r="BI2011" s="1">
        <v>9.0</v>
      </c>
      <c r="BJ2011" s="1">
        <v>0.0</v>
      </c>
      <c r="BO2011" s="1" t="s">
        <v>6657</v>
      </c>
      <c r="BP2011" s="1">
        <v>0.99</v>
      </c>
      <c r="BU2011" s="1" t="s">
        <v>974</v>
      </c>
      <c r="BV2011" s="1">
        <v>1.1</v>
      </c>
      <c r="EQ2011" s="9" t="s">
        <v>6653</v>
      </c>
      <c r="ER2011" s="21">
        <v>46045.301620370374</v>
      </c>
    </row>
    <row r="2012">
      <c r="A2012" s="9" t="s">
        <v>6658</v>
      </c>
      <c r="B2012" s="20" t="str">
        <f>IFERROR(__xludf.DUMMYFUNCTION("REGEXREPLACE(A2012, ""^https?://[^/]+"", """")"),"/how-to-recession-proof-your-sales-strategy/")</f>
        <v>/how-to-recession-proof-your-sales-strategy/</v>
      </c>
      <c r="C2012" s="1" t="s">
        <v>6659</v>
      </c>
      <c r="D2012" s="1" t="s">
        <v>6660</v>
      </c>
      <c r="F2012" s="1" t="s">
        <v>965</v>
      </c>
      <c r="G2012" s="1">
        <v>200.0</v>
      </c>
      <c r="H2012" s="1" t="s">
        <v>966</v>
      </c>
      <c r="I2012" s="1" t="s">
        <v>967</v>
      </c>
      <c r="K2012" s="1" t="s">
        <v>6661</v>
      </c>
      <c r="L2012" s="1">
        <v>67.0</v>
      </c>
      <c r="M2012" s="1">
        <v>609.0</v>
      </c>
      <c r="O2012" s="1">
        <v>0.0</v>
      </c>
      <c r="P2012" s="1">
        <v>0.0</v>
      </c>
      <c r="Q2012" s="1" t="s">
        <v>6662</v>
      </c>
      <c r="R2012" s="1">
        <v>93.0</v>
      </c>
      <c r="S2012" s="1">
        <v>550.0</v>
      </c>
      <c r="U2012" s="1">
        <v>0.0</v>
      </c>
      <c r="V2012" s="1" t="s">
        <v>6659</v>
      </c>
      <c r="W2012" s="1">
        <v>42.0</v>
      </c>
      <c r="Y2012" s="1">
        <v>0.0</v>
      </c>
      <c r="Z2012" s="1" t="s">
        <v>6660</v>
      </c>
      <c r="AA2012" s="1">
        <v>28.0</v>
      </c>
      <c r="AC2012" s="1">
        <v>0.0</v>
      </c>
      <c r="AD2012" s="1" t="s">
        <v>971</v>
      </c>
      <c r="AG2012" s="9" t="s">
        <v>6658</v>
      </c>
      <c r="AM2012" s="1">
        <v>201047.0</v>
      </c>
      <c r="AN2012" s="1">
        <v>35661.0</v>
      </c>
      <c r="AO2012" s="1">
        <v>35661.0</v>
      </c>
      <c r="AP2012" s="1">
        <v>13.661</v>
      </c>
      <c r="AR2012" s="1">
        <v>1251.0</v>
      </c>
      <c r="AS2012" s="1">
        <v>193.0</v>
      </c>
      <c r="AT2012" s="1">
        <v>6.482</v>
      </c>
      <c r="AU2012" s="1">
        <v>66.086</v>
      </c>
      <c r="AV2012" s="1" t="s">
        <v>990</v>
      </c>
      <c r="AW2012" s="1">
        <v>5.001</v>
      </c>
      <c r="AX2012" s="1">
        <v>4.0</v>
      </c>
      <c r="AY2012" s="1">
        <v>1.0</v>
      </c>
      <c r="AZ2012" s="1">
        <v>1.0</v>
      </c>
      <c r="BA2012" s="1">
        <v>3.0</v>
      </c>
      <c r="BB2012" s="1">
        <v>1.0</v>
      </c>
      <c r="BC2012" s="1">
        <v>0.0</v>
      </c>
      <c r="BD2012" s="1">
        <v>0.13</v>
      </c>
      <c r="BE2012" s="1">
        <v>130.0</v>
      </c>
      <c r="BF2012" s="1">
        <v>47.0</v>
      </c>
      <c r="BG2012" s="1">
        <v>0.0</v>
      </c>
      <c r="BH2012" s="1">
        <v>17.0</v>
      </c>
      <c r="BI2012" s="1">
        <v>9.0</v>
      </c>
      <c r="BJ2012" s="1">
        <v>0.0</v>
      </c>
      <c r="BO2012" s="1" t="s">
        <v>6663</v>
      </c>
      <c r="BP2012" s="1">
        <v>1.056</v>
      </c>
      <c r="BU2012" s="1" t="s">
        <v>974</v>
      </c>
      <c r="BV2012" s="1">
        <v>1.1</v>
      </c>
      <c r="EQ2012" s="9" t="s">
        <v>6658</v>
      </c>
      <c r="ER2012" s="21">
        <v>46045.301620370374</v>
      </c>
    </row>
    <row r="2013">
      <c r="A2013" s="9" t="s">
        <v>4454</v>
      </c>
      <c r="B2013" s="20" t="str">
        <f>IFERROR(__xludf.DUMMYFUNCTION("REGEXREPLACE(A2013, ""^https?://[^/]+"", """")"),"/no-access/download-id/66961/")</f>
        <v>/no-access/download-id/66961/</v>
      </c>
      <c r="C2013" s="1" t="s">
        <v>6664</v>
      </c>
      <c r="F2013" s="1" t="s">
        <v>965</v>
      </c>
      <c r="G2013" s="1">
        <v>200.0</v>
      </c>
      <c r="H2013" s="1" t="s">
        <v>966</v>
      </c>
      <c r="I2013" s="1" t="s">
        <v>1214</v>
      </c>
      <c r="J2013" s="1" t="s">
        <v>1215</v>
      </c>
      <c r="K2013" s="1" t="s">
        <v>6665</v>
      </c>
      <c r="L2013" s="1">
        <v>29.0</v>
      </c>
      <c r="M2013" s="1">
        <v>265.0</v>
      </c>
      <c r="O2013" s="1">
        <v>0.0</v>
      </c>
      <c r="P2013" s="1">
        <v>0.0</v>
      </c>
      <c r="R2013" s="1">
        <v>0.0</v>
      </c>
      <c r="S2013" s="1">
        <v>0.0</v>
      </c>
      <c r="U2013" s="1">
        <v>0.0</v>
      </c>
      <c r="V2013" s="1" t="s">
        <v>6664</v>
      </c>
      <c r="W2013" s="1">
        <v>9.0</v>
      </c>
      <c r="Y2013" s="1">
        <v>0.0</v>
      </c>
      <c r="AA2013" s="1">
        <v>0.0</v>
      </c>
      <c r="AC2013" s="1">
        <v>0.0</v>
      </c>
      <c r="AD2013" s="1" t="s">
        <v>971</v>
      </c>
      <c r="AG2013" s="9" t="s">
        <v>6666</v>
      </c>
      <c r="AM2013" s="1">
        <v>145754.0</v>
      </c>
      <c r="AN2013" s="1">
        <v>28289.0</v>
      </c>
      <c r="AO2013" s="1">
        <v>28289.0</v>
      </c>
      <c r="AP2013" s="1">
        <v>10.837</v>
      </c>
      <c r="AR2013" s="1">
        <v>538.0</v>
      </c>
      <c r="AS2013" s="1">
        <v>93.0</v>
      </c>
      <c r="AT2013" s="1">
        <v>5.785</v>
      </c>
      <c r="AU2013" s="1">
        <v>61.483</v>
      </c>
      <c r="AV2013" s="1" t="s">
        <v>990</v>
      </c>
      <c r="AW2013" s="1">
        <v>3.905</v>
      </c>
      <c r="AX2013" s="1">
        <v>4.0</v>
      </c>
      <c r="AY2013" s="1">
        <v>3.0</v>
      </c>
      <c r="BA2013" s="1">
        <v>0.0</v>
      </c>
      <c r="BB2013" s="1">
        <v>0.0</v>
      </c>
      <c r="BC2013" s="1">
        <v>0.0</v>
      </c>
      <c r="BD2013" s="1">
        <v>0.0</v>
      </c>
      <c r="BE2013" s="1">
        <v>123.0</v>
      </c>
      <c r="BF2013" s="1">
        <v>42.0</v>
      </c>
      <c r="BG2013" s="1">
        <v>0.0</v>
      </c>
      <c r="BH2013" s="1">
        <v>16.0</v>
      </c>
      <c r="BI2013" s="1">
        <v>8.0</v>
      </c>
      <c r="BJ2013" s="1">
        <v>0.0</v>
      </c>
      <c r="BO2013" s="1" t="s">
        <v>6667</v>
      </c>
      <c r="BP2013" s="1">
        <v>0.952</v>
      </c>
      <c r="BU2013" s="1" t="s">
        <v>974</v>
      </c>
      <c r="BV2013" s="1">
        <v>1.1</v>
      </c>
      <c r="EQ2013" s="9" t="s">
        <v>4454</v>
      </c>
      <c r="ER2013" s="21">
        <v>46045.30163194444</v>
      </c>
    </row>
    <row r="2014">
      <c r="A2014" s="9" t="s">
        <v>4455</v>
      </c>
      <c r="B2014" s="20" t="str">
        <f>IFERROR(__xludf.DUMMYFUNCTION("REGEXREPLACE(A2014, ""^https?://[^/]+"", """")"),"/no-access/download-id/63802/")</f>
        <v>/no-access/download-id/63802/</v>
      </c>
      <c r="C2014" s="1" t="s">
        <v>6664</v>
      </c>
      <c r="F2014" s="1" t="s">
        <v>965</v>
      </c>
      <c r="G2014" s="1">
        <v>200.0</v>
      </c>
      <c r="H2014" s="1" t="s">
        <v>966</v>
      </c>
      <c r="I2014" s="1" t="s">
        <v>1214</v>
      </c>
      <c r="J2014" s="1" t="s">
        <v>1215</v>
      </c>
      <c r="K2014" s="1" t="s">
        <v>6665</v>
      </c>
      <c r="L2014" s="1">
        <v>29.0</v>
      </c>
      <c r="M2014" s="1">
        <v>265.0</v>
      </c>
      <c r="O2014" s="1">
        <v>0.0</v>
      </c>
      <c r="P2014" s="1">
        <v>0.0</v>
      </c>
      <c r="R2014" s="1">
        <v>0.0</v>
      </c>
      <c r="S2014" s="1">
        <v>0.0</v>
      </c>
      <c r="U2014" s="1">
        <v>0.0</v>
      </c>
      <c r="V2014" s="1" t="s">
        <v>6664</v>
      </c>
      <c r="W2014" s="1">
        <v>9.0</v>
      </c>
      <c r="Y2014" s="1">
        <v>0.0</v>
      </c>
      <c r="AA2014" s="1">
        <v>0.0</v>
      </c>
      <c r="AC2014" s="1">
        <v>0.0</v>
      </c>
      <c r="AD2014" s="1" t="s">
        <v>971</v>
      </c>
      <c r="AG2014" s="9" t="s">
        <v>6666</v>
      </c>
      <c r="AM2014" s="1">
        <v>145754.0</v>
      </c>
      <c r="AN2014" s="1">
        <v>28289.0</v>
      </c>
      <c r="AO2014" s="1">
        <v>28289.0</v>
      </c>
      <c r="AP2014" s="1">
        <v>10.837</v>
      </c>
      <c r="AR2014" s="1">
        <v>538.0</v>
      </c>
      <c r="AS2014" s="1">
        <v>93.0</v>
      </c>
      <c r="AT2014" s="1">
        <v>5.785</v>
      </c>
      <c r="AU2014" s="1">
        <v>61.483</v>
      </c>
      <c r="AV2014" s="1" t="s">
        <v>990</v>
      </c>
      <c r="AW2014" s="1">
        <v>3.905</v>
      </c>
      <c r="AX2014" s="1">
        <v>4.0</v>
      </c>
      <c r="AY2014" s="1">
        <v>3.0</v>
      </c>
      <c r="BA2014" s="1">
        <v>0.0</v>
      </c>
      <c r="BB2014" s="1">
        <v>0.0</v>
      </c>
      <c r="BC2014" s="1">
        <v>0.0</v>
      </c>
      <c r="BD2014" s="1">
        <v>0.0</v>
      </c>
      <c r="BE2014" s="1">
        <v>123.0</v>
      </c>
      <c r="BF2014" s="1">
        <v>42.0</v>
      </c>
      <c r="BG2014" s="1">
        <v>0.0</v>
      </c>
      <c r="BH2014" s="1">
        <v>16.0</v>
      </c>
      <c r="BI2014" s="1">
        <v>8.0</v>
      </c>
      <c r="BJ2014" s="1">
        <v>0.0</v>
      </c>
      <c r="BO2014" s="1" t="s">
        <v>6668</v>
      </c>
      <c r="BP2014" s="1">
        <v>0.979</v>
      </c>
      <c r="BU2014" s="1" t="s">
        <v>974</v>
      </c>
      <c r="BV2014" s="1">
        <v>1.1</v>
      </c>
      <c r="EQ2014" s="9" t="s">
        <v>4455</v>
      </c>
      <c r="ER2014" s="21">
        <v>46045.30163194444</v>
      </c>
    </row>
    <row r="2015">
      <c r="A2015" s="9" t="s">
        <v>4456</v>
      </c>
      <c r="B2015" s="20" t="str">
        <f>IFERROR(__xludf.DUMMYFUNCTION("REGEXREPLACE(A2015, ""^https?://[^/]+"", """")"),"/no-access/download-id/68883/")</f>
        <v>/no-access/download-id/68883/</v>
      </c>
      <c r="C2015" s="1" t="s">
        <v>6664</v>
      </c>
      <c r="F2015" s="1" t="s">
        <v>965</v>
      </c>
      <c r="G2015" s="1">
        <v>200.0</v>
      </c>
      <c r="H2015" s="1" t="s">
        <v>966</v>
      </c>
      <c r="I2015" s="1" t="s">
        <v>1214</v>
      </c>
      <c r="J2015" s="1" t="s">
        <v>1215</v>
      </c>
      <c r="K2015" s="1" t="s">
        <v>6665</v>
      </c>
      <c r="L2015" s="1">
        <v>29.0</v>
      </c>
      <c r="M2015" s="1">
        <v>265.0</v>
      </c>
      <c r="O2015" s="1">
        <v>0.0</v>
      </c>
      <c r="P2015" s="1">
        <v>0.0</v>
      </c>
      <c r="R2015" s="1">
        <v>0.0</v>
      </c>
      <c r="S2015" s="1">
        <v>0.0</v>
      </c>
      <c r="U2015" s="1">
        <v>0.0</v>
      </c>
      <c r="V2015" s="1" t="s">
        <v>6664</v>
      </c>
      <c r="W2015" s="1">
        <v>9.0</v>
      </c>
      <c r="Y2015" s="1">
        <v>0.0</v>
      </c>
      <c r="AA2015" s="1">
        <v>0.0</v>
      </c>
      <c r="AC2015" s="1">
        <v>0.0</v>
      </c>
      <c r="AD2015" s="1" t="s">
        <v>971</v>
      </c>
      <c r="AG2015" s="9" t="s">
        <v>6666</v>
      </c>
      <c r="AM2015" s="1">
        <v>145754.0</v>
      </c>
      <c r="AN2015" s="1">
        <v>28290.0</v>
      </c>
      <c r="AO2015" s="1">
        <v>28290.0</v>
      </c>
      <c r="AP2015" s="1">
        <v>10.837</v>
      </c>
      <c r="AR2015" s="1">
        <v>538.0</v>
      </c>
      <c r="AS2015" s="1">
        <v>93.0</v>
      </c>
      <c r="AT2015" s="1">
        <v>5.785</v>
      </c>
      <c r="AU2015" s="1">
        <v>61.483</v>
      </c>
      <c r="AV2015" s="1" t="s">
        <v>990</v>
      </c>
      <c r="AW2015" s="1">
        <v>3.905</v>
      </c>
      <c r="AX2015" s="1">
        <v>4.0</v>
      </c>
      <c r="AY2015" s="1">
        <v>3.0</v>
      </c>
      <c r="BA2015" s="1">
        <v>0.0</v>
      </c>
      <c r="BB2015" s="1">
        <v>0.0</v>
      </c>
      <c r="BC2015" s="1">
        <v>0.0</v>
      </c>
      <c r="BD2015" s="1">
        <v>0.0</v>
      </c>
      <c r="BE2015" s="1">
        <v>123.0</v>
      </c>
      <c r="BF2015" s="1">
        <v>42.0</v>
      </c>
      <c r="BG2015" s="1">
        <v>0.0</v>
      </c>
      <c r="BH2015" s="1">
        <v>16.0</v>
      </c>
      <c r="BI2015" s="1">
        <v>8.0</v>
      </c>
      <c r="BJ2015" s="1">
        <v>0.0</v>
      </c>
      <c r="BO2015" s="1" t="s">
        <v>6669</v>
      </c>
      <c r="BP2015" s="1">
        <v>0.923</v>
      </c>
      <c r="BU2015" s="1" t="s">
        <v>974</v>
      </c>
      <c r="BV2015" s="1">
        <v>1.1</v>
      </c>
      <c r="EQ2015" s="9" t="s">
        <v>4456</v>
      </c>
      <c r="ER2015" s="21">
        <v>46045.30163194444</v>
      </c>
    </row>
    <row r="2016">
      <c r="A2016" s="9" t="s">
        <v>6670</v>
      </c>
      <c r="B2016" s="20" t="str">
        <f>IFERROR(__xludf.DUMMYFUNCTION("REGEXREPLACE(A2016, ""^https?://[^/]+"", """")"),"/wp-content/uploads/elementor/css/post-70498.css?ver=1768847321")</f>
        <v>/wp-content/uploads/elementor/css/post-70498.css?ver=1768847321</v>
      </c>
      <c r="F2016" s="1" t="s">
        <v>1016</v>
      </c>
      <c r="G2016" s="1">
        <v>200.0</v>
      </c>
      <c r="H2016" s="1" t="s">
        <v>966</v>
      </c>
      <c r="I2016" s="1" t="s">
        <v>967</v>
      </c>
      <c r="L2016" s="1">
        <v>0.0</v>
      </c>
      <c r="M2016" s="1">
        <v>0.0</v>
      </c>
      <c r="O2016" s="1">
        <v>0.0</v>
      </c>
      <c r="P2016" s="1">
        <v>0.0</v>
      </c>
      <c r="R2016" s="1">
        <v>0.0</v>
      </c>
      <c r="S2016" s="1">
        <v>0.0</v>
      </c>
      <c r="U2016" s="1">
        <v>0.0</v>
      </c>
      <c r="W2016" s="1">
        <v>0.0</v>
      </c>
      <c r="Y2016" s="1">
        <v>0.0</v>
      </c>
      <c r="AA2016" s="1">
        <v>0.0</v>
      </c>
      <c r="AC2016" s="1">
        <v>0.0</v>
      </c>
      <c r="AM2016" s="1">
        <v>535.0</v>
      </c>
      <c r="AN2016" s="1">
        <v>535.0</v>
      </c>
      <c r="AO2016" s="1">
        <v>535.0</v>
      </c>
      <c r="AP2016" s="1">
        <v>0.205</v>
      </c>
      <c r="AR2016" s="1">
        <v>0.0</v>
      </c>
      <c r="AW2016" s="1">
        <v>0.0</v>
      </c>
      <c r="AX2016" s="1">
        <v>4.0</v>
      </c>
      <c r="AY2016" s="1">
        <v>4.0</v>
      </c>
      <c r="BA2016" s="1">
        <v>0.0</v>
      </c>
      <c r="BB2016" s="1">
        <v>0.0</v>
      </c>
      <c r="BC2016" s="1">
        <v>0.0</v>
      </c>
      <c r="BD2016" s="1">
        <v>0.0</v>
      </c>
      <c r="BE2016" s="1">
        <v>0.0</v>
      </c>
      <c r="BF2016" s="1">
        <v>0.0</v>
      </c>
      <c r="BG2016" s="1">
        <v>0.0</v>
      </c>
      <c r="BH2016" s="1">
        <v>0.0</v>
      </c>
      <c r="BI2016" s="1">
        <v>0.0</v>
      </c>
      <c r="BJ2016" s="1">
        <v>0.0</v>
      </c>
      <c r="BP2016" s="1">
        <v>0.264</v>
      </c>
      <c r="BQ2016" s="1" t="s">
        <v>6671</v>
      </c>
      <c r="BV2016" s="1">
        <v>1.1</v>
      </c>
      <c r="EQ2016" s="9" t="s">
        <v>6670</v>
      </c>
      <c r="ER2016" s="21">
        <v>46045.30164351852</v>
      </c>
    </row>
    <row r="2017">
      <c r="A2017" s="9" t="s">
        <v>6672</v>
      </c>
      <c r="B2017" s="20" t="str">
        <f>IFERROR(__xludf.DUMMYFUNCTION("REGEXREPLACE(A2017, ""^https?://[^/]+"", """")"),"/wp-content/themes/salesxceleratione/assets/css/style.css?ver=1769123559")</f>
        <v>/wp-content/themes/salesxceleratione/assets/css/style.css?ver=1769123559</v>
      </c>
      <c r="F2017" s="1" t="s">
        <v>1016</v>
      </c>
      <c r="G2017" s="1">
        <v>200.0</v>
      </c>
      <c r="H2017" s="1" t="s">
        <v>966</v>
      </c>
      <c r="I2017" s="1" t="s">
        <v>967</v>
      </c>
      <c r="L2017" s="1">
        <v>0.0</v>
      </c>
      <c r="M2017" s="1">
        <v>0.0</v>
      </c>
      <c r="O2017" s="1">
        <v>0.0</v>
      </c>
      <c r="P2017" s="1">
        <v>0.0</v>
      </c>
      <c r="R2017" s="1">
        <v>0.0</v>
      </c>
      <c r="S2017" s="1">
        <v>0.0</v>
      </c>
      <c r="U2017" s="1">
        <v>0.0</v>
      </c>
      <c r="W2017" s="1">
        <v>0.0</v>
      </c>
      <c r="Y2017" s="1">
        <v>0.0</v>
      </c>
      <c r="AA2017" s="1">
        <v>0.0</v>
      </c>
      <c r="AC2017" s="1">
        <v>0.0</v>
      </c>
      <c r="AM2017" s="1">
        <v>17704.0</v>
      </c>
      <c r="AN2017" s="1">
        <v>17704.0</v>
      </c>
      <c r="AO2017" s="1">
        <v>17704.0</v>
      </c>
      <c r="AP2017" s="1">
        <v>6.782</v>
      </c>
      <c r="AR2017" s="1">
        <v>0.0</v>
      </c>
      <c r="AW2017" s="1">
        <v>0.0</v>
      </c>
      <c r="AX2017" s="1">
        <v>4.0</v>
      </c>
      <c r="AY2017" s="1">
        <v>5.0</v>
      </c>
      <c r="BA2017" s="1">
        <v>0.0</v>
      </c>
      <c r="BB2017" s="1">
        <v>0.0</v>
      </c>
      <c r="BC2017" s="1">
        <v>0.0</v>
      </c>
      <c r="BD2017" s="1">
        <v>0.0</v>
      </c>
      <c r="BE2017" s="1">
        <v>0.0</v>
      </c>
      <c r="BF2017" s="1">
        <v>0.0</v>
      </c>
      <c r="BG2017" s="1">
        <v>0.0</v>
      </c>
      <c r="BH2017" s="1">
        <v>0.0</v>
      </c>
      <c r="BI2017" s="1">
        <v>0.0</v>
      </c>
      <c r="BJ2017" s="1">
        <v>0.0</v>
      </c>
      <c r="BP2017" s="1">
        <v>0.27</v>
      </c>
      <c r="BQ2017" s="1" t="s">
        <v>6673</v>
      </c>
      <c r="BV2017" s="1">
        <v>1.1</v>
      </c>
      <c r="EQ2017" s="9" t="s">
        <v>6672</v>
      </c>
      <c r="ER2017" s="21">
        <v>46045.30164351852</v>
      </c>
    </row>
    <row r="2018">
      <c r="A2018" s="9" t="s">
        <v>4457</v>
      </c>
      <c r="B2018" s="20" t="str">
        <f>IFERROR(__xludf.DUMMYFUNCTION("REGEXREPLACE(A2018, ""^https?://[^/]+"", """")"),"/no-access/download-id/36876/")</f>
        <v>/no-access/download-id/36876/</v>
      </c>
      <c r="C2018" s="1" t="s">
        <v>6664</v>
      </c>
      <c r="F2018" s="1" t="s">
        <v>965</v>
      </c>
      <c r="G2018" s="1">
        <v>200.0</v>
      </c>
      <c r="H2018" s="1" t="s">
        <v>966</v>
      </c>
      <c r="I2018" s="1" t="s">
        <v>1214</v>
      </c>
      <c r="J2018" s="1" t="s">
        <v>1215</v>
      </c>
      <c r="K2018" s="1" t="s">
        <v>6665</v>
      </c>
      <c r="L2018" s="1">
        <v>29.0</v>
      </c>
      <c r="M2018" s="1">
        <v>265.0</v>
      </c>
      <c r="O2018" s="1">
        <v>0.0</v>
      </c>
      <c r="P2018" s="1">
        <v>0.0</v>
      </c>
      <c r="R2018" s="1">
        <v>0.0</v>
      </c>
      <c r="S2018" s="1">
        <v>0.0</v>
      </c>
      <c r="U2018" s="1">
        <v>0.0</v>
      </c>
      <c r="V2018" s="1" t="s">
        <v>6664</v>
      </c>
      <c r="W2018" s="1">
        <v>9.0</v>
      </c>
      <c r="Y2018" s="1">
        <v>0.0</v>
      </c>
      <c r="AA2018" s="1">
        <v>0.0</v>
      </c>
      <c r="AC2018" s="1">
        <v>0.0</v>
      </c>
      <c r="AD2018" s="1" t="s">
        <v>971</v>
      </c>
      <c r="AG2018" s="9" t="s">
        <v>6666</v>
      </c>
      <c r="AM2018" s="1">
        <v>145754.0</v>
      </c>
      <c r="AN2018" s="1">
        <v>28287.0</v>
      </c>
      <c r="AO2018" s="1">
        <v>28287.0</v>
      </c>
      <c r="AP2018" s="1">
        <v>10.836</v>
      </c>
      <c r="AR2018" s="1">
        <v>538.0</v>
      </c>
      <c r="AS2018" s="1">
        <v>93.0</v>
      </c>
      <c r="AT2018" s="1">
        <v>5.785</v>
      </c>
      <c r="AU2018" s="1">
        <v>61.483</v>
      </c>
      <c r="AV2018" s="1" t="s">
        <v>990</v>
      </c>
      <c r="AW2018" s="1">
        <v>3.905</v>
      </c>
      <c r="AX2018" s="1">
        <v>4.0</v>
      </c>
      <c r="AY2018" s="1">
        <v>3.0</v>
      </c>
      <c r="BA2018" s="1">
        <v>0.0</v>
      </c>
      <c r="BB2018" s="1">
        <v>0.0</v>
      </c>
      <c r="BC2018" s="1">
        <v>0.0</v>
      </c>
      <c r="BD2018" s="1">
        <v>0.0</v>
      </c>
      <c r="BE2018" s="1">
        <v>123.0</v>
      </c>
      <c r="BF2018" s="1">
        <v>42.0</v>
      </c>
      <c r="BG2018" s="1">
        <v>0.0</v>
      </c>
      <c r="BH2018" s="1">
        <v>16.0</v>
      </c>
      <c r="BI2018" s="1">
        <v>8.0</v>
      </c>
      <c r="BJ2018" s="1">
        <v>0.0</v>
      </c>
      <c r="BO2018" s="1" t="s">
        <v>6674</v>
      </c>
      <c r="BP2018" s="1">
        <v>1.018</v>
      </c>
      <c r="BU2018" s="1" t="s">
        <v>974</v>
      </c>
      <c r="BV2018" s="1">
        <v>1.1</v>
      </c>
      <c r="EQ2018" s="9" t="s">
        <v>4457</v>
      </c>
      <c r="ER2018" s="21">
        <v>46045.30163194444</v>
      </c>
    </row>
    <row r="2019">
      <c r="A2019" s="9" t="s">
        <v>6675</v>
      </c>
      <c r="B2019" s="20" t="str">
        <f>IFERROR(__xludf.DUMMYFUNCTION("REGEXREPLACE(A2019, ""^https?://[^/]+"", """")"),"/wp-content/uploads/2025/01/A-Real-World-AI-Success-Story.jpg")</f>
        <v>/wp-content/uploads/2025/01/A-Real-World-AI-Success-Story.jpg</v>
      </c>
      <c r="F2019" s="1" t="s">
        <v>1004</v>
      </c>
      <c r="G2019" s="1">
        <v>200.0</v>
      </c>
      <c r="H2019" s="1" t="s">
        <v>966</v>
      </c>
      <c r="I2019" s="1" t="s">
        <v>967</v>
      </c>
      <c r="L2019" s="1">
        <v>0.0</v>
      </c>
      <c r="M2019" s="1">
        <v>0.0</v>
      </c>
      <c r="O2019" s="1">
        <v>0.0</v>
      </c>
      <c r="P2019" s="1">
        <v>0.0</v>
      </c>
      <c r="R2019" s="1">
        <v>0.0</v>
      </c>
      <c r="S2019" s="1">
        <v>0.0</v>
      </c>
      <c r="U2019" s="1">
        <v>0.0</v>
      </c>
      <c r="W2019" s="1">
        <v>0.0</v>
      </c>
      <c r="Y2019" s="1">
        <v>0.0</v>
      </c>
      <c r="AA2019" s="1">
        <v>0.0</v>
      </c>
      <c r="AC2019" s="1">
        <v>0.0</v>
      </c>
      <c r="AM2019" s="1">
        <v>85410.0</v>
      </c>
      <c r="AN2019" s="1">
        <v>85410.0</v>
      </c>
      <c r="AO2019" s="1">
        <v>85410.0</v>
      </c>
      <c r="AP2019" s="1">
        <v>32.719</v>
      </c>
      <c r="AR2019" s="1">
        <v>0.0</v>
      </c>
      <c r="AW2019" s="1">
        <v>0.0</v>
      </c>
      <c r="AX2019" s="1">
        <v>4.0</v>
      </c>
      <c r="AY2019" s="1">
        <v>4.0</v>
      </c>
      <c r="BA2019" s="1">
        <v>0.0</v>
      </c>
      <c r="BB2019" s="1">
        <v>0.0</v>
      </c>
      <c r="BC2019" s="1">
        <v>0.0</v>
      </c>
      <c r="BD2019" s="1">
        <v>0.0</v>
      </c>
      <c r="BE2019" s="1">
        <v>0.0</v>
      </c>
      <c r="BF2019" s="1">
        <v>0.0</v>
      </c>
      <c r="BG2019" s="1">
        <v>0.0</v>
      </c>
      <c r="BH2019" s="1">
        <v>0.0</v>
      </c>
      <c r="BI2019" s="1">
        <v>0.0</v>
      </c>
      <c r="BJ2019" s="1">
        <v>0.0</v>
      </c>
      <c r="BP2019" s="1">
        <v>0.261</v>
      </c>
      <c r="BQ2019" s="1" t="s">
        <v>6676</v>
      </c>
      <c r="BV2019" s="1">
        <v>1.1</v>
      </c>
      <c r="EQ2019" s="9" t="s">
        <v>6675</v>
      </c>
      <c r="ER2019" s="21">
        <v>46045.30164351852</v>
      </c>
    </row>
    <row r="2020">
      <c r="A2020" s="9" t="s">
        <v>4458</v>
      </c>
      <c r="B2020" s="20" t="str">
        <f>IFERROR(__xludf.DUMMYFUNCTION("REGEXREPLACE(A2020, ""^https?://[^/]+"", """")"),"/no-access/download-id/70147/")</f>
        <v>/no-access/download-id/70147/</v>
      </c>
      <c r="C2020" s="1" t="s">
        <v>6664</v>
      </c>
      <c r="F2020" s="1" t="s">
        <v>965</v>
      </c>
      <c r="G2020" s="1">
        <v>200.0</v>
      </c>
      <c r="H2020" s="1" t="s">
        <v>966</v>
      </c>
      <c r="I2020" s="1" t="s">
        <v>1214</v>
      </c>
      <c r="J2020" s="1" t="s">
        <v>1215</v>
      </c>
      <c r="K2020" s="1" t="s">
        <v>6665</v>
      </c>
      <c r="L2020" s="1">
        <v>29.0</v>
      </c>
      <c r="M2020" s="1">
        <v>265.0</v>
      </c>
      <c r="O2020" s="1">
        <v>0.0</v>
      </c>
      <c r="P2020" s="1">
        <v>0.0</v>
      </c>
      <c r="R2020" s="1">
        <v>0.0</v>
      </c>
      <c r="S2020" s="1">
        <v>0.0</v>
      </c>
      <c r="U2020" s="1">
        <v>0.0</v>
      </c>
      <c r="V2020" s="1" t="s">
        <v>6664</v>
      </c>
      <c r="W2020" s="1">
        <v>9.0</v>
      </c>
      <c r="Y2020" s="1">
        <v>0.0</v>
      </c>
      <c r="AA2020" s="1">
        <v>0.0</v>
      </c>
      <c r="AC2020" s="1">
        <v>0.0</v>
      </c>
      <c r="AD2020" s="1" t="s">
        <v>971</v>
      </c>
      <c r="AG2020" s="9" t="s">
        <v>6666</v>
      </c>
      <c r="AM2020" s="1">
        <v>145754.0</v>
      </c>
      <c r="AN2020" s="1">
        <v>28290.0</v>
      </c>
      <c r="AO2020" s="1">
        <v>28290.0</v>
      </c>
      <c r="AP2020" s="1">
        <v>10.837</v>
      </c>
      <c r="AR2020" s="1">
        <v>538.0</v>
      </c>
      <c r="AS2020" s="1">
        <v>93.0</v>
      </c>
      <c r="AT2020" s="1">
        <v>5.785</v>
      </c>
      <c r="AU2020" s="1">
        <v>61.483</v>
      </c>
      <c r="AV2020" s="1" t="s">
        <v>990</v>
      </c>
      <c r="AW2020" s="1">
        <v>3.905</v>
      </c>
      <c r="AX2020" s="1">
        <v>4.0</v>
      </c>
      <c r="AY2020" s="1">
        <v>3.0</v>
      </c>
      <c r="BA2020" s="1">
        <v>0.0</v>
      </c>
      <c r="BB2020" s="1">
        <v>0.0</v>
      </c>
      <c r="BC2020" s="1">
        <v>0.0</v>
      </c>
      <c r="BD2020" s="1">
        <v>0.0</v>
      </c>
      <c r="BE2020" s="1">
        <v>123.0</v>
      </c>
      <c r="BF2020" s="1">
        <v>42.0</v>
      </c>
      <c r="BG2020" s="1">
        <v>0.0</v>
      </c>
      <c r="BH2020" s="1">
        <v>16.0</v>
      </c>
      <c r="BI2020" s="1">
        <v>8.0</v>
      </c>
      <c r="BJ2020" s="1">
        <v>0.0</v>
      </c>
      <c r="BO2020" s="1" t="s">
        <v>6677</v>
      </c>
      <c r="BP2020" s="1">
        <v>0.991</v>
      </c>
      <c r="BU2020" s="1" t="s">
        <v>974</v>
      </c>
      <c r="BV2020" s="1">
        <v>1.1</v>
      </c>
      <c r="EQ2020" s="9" t="s">
        <v>4458</v>
      </c>
      <c r="ER2020" s="21">
        <v>46045.30163194444</v>
      </c>
    </row>
    <row r="2021">
      <c r="A2021" s="9" t="s">
        <v>6678</v>
      </c>
      <c r="B2021" s="20" t="str">
        <f>IFERROR(__xludf.DUMMYFUNCTION("REGEXREPLACE(A2021, ""^https?://[^/]+"", """")"),"/wp-content/themes/salesxceleratione/assets/css/style.css?ver=1769123560")</f>
        <v>/wp-content/themes/salesxceleratione/assets/css/style.css?ver=1769123560</v>
      </c>
      <c r="F2021" s="1" t="s">
        <v>1016</v>
      </c>
      <c r="G2021" s="1">
        <v>200.0</v>
      </c>
      <c r="H2021" s="1" t="s">
        <v>966</v>
      </c>
      <c r="I2021" s="1" t="s">
        <v>967</v>
      </c>
      <c r="L2021" s="1">
        <v>0.0</v>
      </c>
      <c r="M2021" s="1">
        <v>0.0</v>
      </c>
      <c r="O2021" s="1">
        <v>0.0</v>
      </c>
      <c r="P2021" s="1">
        <v>0.0</v>
      </c>
      <c r="R2021" s="1">
        <v>0.0</v>
      </c>
      <c r="S2021" s="1">
        <v>0.0</v>
      </c>
      <c r="U2021" s="1">
        <v>0.0</v>
      </c>
      <c r="W2021" s="1">
        <v>0.0</v>
      </c>
      <c r="Y2021" s="1">
        <v>0.0</v>
      </c>
      <c r="AA2021" s="1">
        <v>0.0</v>
      </c>
      <c r="AC2021" s="1">
        <v>0.0</v>
      </c>
      <c r="AM2021" s="1">
        <v>17704.0</v>
      </c>
      <c r="AN2021" s="1">
        <v>17704.0</v>
      </c>
      <c r="AO2021" s="1">
        <v>17704.0</v>
      </c>
      <c r="AP2021" s="1">
        <v>6.782</v>
      </c>
      <c r="AR2021" s="1">
        <v>0.0</v>
      </c>
      <c r="AW2021" s="1">
        <v>0.0</v>
      </c>
      <c r="AX2021" s="1">
        <v>4.0</v>
      </c>
      <c r="AY2021" s="1">
        <v>5.0</v>
      </c>
      <c r="BA2021" s="1">
        <v>0.0</v>
      </c>
      <c r="BB2021" s="1">
        <v>0.0</v>
      </c>
      <c r="BC2021" s="1">
        <v>0.0</v>
      </c>
      <c r="BD2021" s="1">
        <v>0.0</v>
      </c>
      <c r="BE2021" s="1">
        <v>0.0</v>
      </c>
      <c r="BF2021" s="1">
        <v>0.0</v>
      </c>
      <c r="BG2021" s="1">
        <v>0.0</v>
      </c>
      <c r="BH2021" s="1">
        <v>0.0</v>
      </c>
      <c r="BI2021" s="1">
        <v>0.0</v>
      </c>
      <c r="BJ2021" s="1">
        <v>0.0</v>
      </c>
      <c r="BP2021" s="1">
        <v>0.275</v>
      </c>
      <c r="BQ2021" s="1" t="s">
        <v>4550</v>
      </c>
      <c r="BV2021" s="1">
        <v>1.1</v>
      </c>
      <c r="EQ2021" s="9" t="s">
        <v>6678</v>
      </c>
      <c r="ER2021" s="21">
        <v>46045.30164351852</v>
      </c>
    </row>
    <row r="2022">
      <c r="A2022" s="9" t="s">
        <v>6679</v>
      </c>
      <c r="B2022" s="20" t="str">
        <f>IFERROR(__xludf.DUMMYFUNCTION("REGEXREPLACE(A2022, ""^https?://[^/]+"", """")"),"/wp-content/uploads/2025/01/The-AI-Advantage.jpg")</f>
        <v>/wp-content/uploads/2025/01/The-AI-Advantage.jpg</v>
      </c>
      <c r="F2022" s="1" t="s">
        <v>1004</v>
      </c>
      <c r="G2022" s="1">
        <v>200.0</v>
      </c>
      <c r="H2022" s="1" t="s">
        <v>966</v>
      </c>
      <c r="I2022" s="1" t="s">
        <v>967</v>
      </c>
      <c r="L2022" s="1">
        <v>0.0</v>
      </c>
      <c r="M2022" s="1">
        <v>0.0</v>
      </c>
      <c r="O2022" s="1">
        <v>0.0</v>
      </c>
      <c r="P2022" s="1">
        <v>0.0</v>
      </c>
      <c r="R2022" s="1">
        <v>0.0</v>
      </c>
      <c r="S2022" s="1">
        <v>0.0</v>
      </c>
      <c r="U2022" s="1">
        <v>0.0</v>
      </c>
      <c r="W2022" s="1">
        <v>0.0</v>
      </c>
      <c r="Y2022" s="1">
        <v>0.0</v>
      </c>
      <c r="AA2022" s="1">
        <v>0.0</v>
      </c>
      <c r="AC2022" s="1">
        <v>0.0</v>
      </c>
      <c r="AM2022" s="1">
        <v>164181.0</v>
      </c>
      <c r="AN2022" s="1">
        <v>164181.0</v>
      </c>
      <c r="AO2022" s="1">
        <v>164181.0</v>
      </c>
      <c r="AP2022" s="1">
        <v>62.895</v>
      </c>
      <c r="AR2022" s="1">
        <v>0.0</v>
      </c>
      <c r="AW2022" s="1">
        <v>0.0</v>
      </c>
      <c r="AX2022" s="1">
        <v>4.0</v>
      </c>
      <c r="AY2022" s="1">
        <v>4.0</v>
      </c>
      <c r="BA2022" s="1">
        <v>0.0</v>
      </c>
      <c r="BB2022" s="1">
        <v>0.0</v>
      </c>
      <c r="BC2022" s="1">
        <v>0.0</v>
      </c>
      <c r="BD2022" s="1">
        <v>0.0</v>
      </c>
      <c r="BE2022" s="1">
        <v>0.0</v>
      </c>
      <c r="BF2022" s="1">
        <v>0.0</v>
      </c>
      <c r="BG2022" s="1">
        <v>0.0</v>
      </c>
      <c r="BH2022" s="1">
        <v>0.0</v>
      </c>
      <c r="BI2022" s="1">
        <v>0.0</v>
      </c>
      <c r="BJ2022" s="1">
        <v>0.0</v>
      </c>
      <c r="BP2022" s="1">
        <v>0.29</v>
      </c>
      <c r="BQ2022" s="1" t="s">
        <v>4534</v>
      </c>
      <c r="BV2022" s="1">
        <v>1.1</v>
      </c>
      <c r="EQ2022" s="9" t="s">
        <v>6679</v>
      </c>
      <c r="ER2022" s="21">
        <v>46045.30165509259</v>
      </c>
    </row>
    <row r="2023">
      <c r="A2023" s="9" t="s">
        <v>6680</v>
      </c>
      <c r="B2023" s="20" t="str">
        <f>IFERROR(__xludf.DUMMYFUNCTION("REGEXREPLACE(A2023, ""^https?://[^/]+"", """")"),"/wp-content/uploads/2025/01/Streamlining-Sales-Processes-with-AI.jpg")</f>
        <v>/wp-content/uploads/2025/01/Streamlining-Sales-Processes-with-AI.jpg</v>
      </c>
      <c r="F2023" s="1" t="s">
        <v>1004</v>
      </c>
      <c r="G2023" s="1">
        <v>200.0</v>
      </c>
      <c r="H2023" s="1" t="s">
        <v>966</v>
      </c>
      <c r="I2023" s="1" t="s">
        <v>967</v>
      </c>
      <c r="L2023" s="1">
        <v>0.0</v>
      </c>
      <c r="M2023" s="1">
        <v>0.0</v>
      </c>
      <c r="O2023" s="1">
        <v>0.0</v>
      </c>
      <c r="P2023" s="1">
        <v>0.0</v>
      </c>
      <c r="R2023" s="1">
        <v>0.0</v>
      </c>
      <c r="S2023" s="1">
        <v>0.0</v>
      </c>
      <c r="U2023" s="1">
        <v>0.0</v>
      </c>
      <c r="W2023" s="1">
        <v>0.0</v>
      </c>
      <c r="Y2023" s="1">
        <v>0.0</v>
      </c>
      <c r="AA2023" s="1">
        <v>0.0</v>
      </c>
      <c r="AC2023" s="1">
        <v>0.0</v>
      </c>
      <c r="AM2023" s="1">
        <v>152280.0</v>
      </c>
      <c r="AN2023" s="1">
        <v>152280.0</v>
      </c>
      <c r="AO2023" s="1">
        <v>152280.0</v>
      </c>
      <c r="AP2023" s="1">
        <v>58.336</v>
      </c>
      <c r="AR2023" s="1">
        <v>0.0</v>
      </c>
      <c r="AW2023" s="1">
        <v>0.0</v>
      </c>
      <c r="AX2023" s="1">
        <v>4.0</v>
      </c>
      <c r="AY2023" s="1">
        <v>4.0</v>
      </c>
      <c r="BA2023" s="1">
        <v>0.0</v>
      </c>
      <c r="BB2023" s="1">
        <v>0.0</v>
      </c>
      <c r="BC2023" s="1">
        <v>0.0</v>
      </c>
      <c r="BD2023" s="1">
        <v>0.0</v>
      </c>
      <c r="BE2023" s="1">
        <v>0.0</v>
      </c>
      <c r="BF2023" s="1">
        <v>0.0</v>
      </c>
      <c r="BG2023" s="1">
        <v>0.0</v>
      </c>
      <c r="BH2023" s="1">
        <v>0.0</v>
      </c>
      <c r="BI2023" s="1">
        <v>0.0</v>
      </c>
      <c r="BJ2023" s="1">
        <v>0.0</v>
      </c>
      <c r="BP2023" s="1">
        <v>0.27</v>
      </c>
      <c r="BQ2023" s="1" t="s">
        <v>4521</v>
      </c>
      <c r="BV2023" s="1">
        <v>1.1</v>
      </c>
      <c r="EQ2023" s="9" t="s">
        <v>6680</v>
      </c>
      <c r="ER2023" s="21">
        <v>46045.30165509259</v>
      </c>
    </row>
    <row r="2024">
      <c r="A2024" s="9" t="s">
        <v>6681</v>
      </c>
      <c r="B2024" s="20" t="str">
        <f>IFERROR(__xludf.DUMMYFUNCTION("REGEXREPLACE(A2024, ""^https?://[^/]+"", """")"),"/wp-content/uploads/2024/06/Benefits-of-Virtual-Selling.jpg")</f>
        <v>/wp-content/uploads/2024/06/Benefits-of-Virtual-Selling.jpg</v>
      </c>
      <c r="F2024" s="1" t="s">
        <v>1004</v>
      </c>
      <c r="G2024" s="1">
        <v>200.0</v>
      </c>
      <c r="H2024" s="1" t="s">
        <v>966</v>
      </c>
      <c r="I2024" s="1" t="s">
        <v>967</v>
      </c>
      <c r="L2024" s="1">
        <v>0.0</v>
      </c>
      <c r="M2024" s="1">
        <v>0.0</v>
      </c>
      <c r="O2024" s="1">
        <v>0.0</v>
      </c>
      <c r="P2024" s="1">
        <v>0.0</v>
      </c>
      <c r="R2024" s="1">
        <v>0.0</v>
      </c>
      <c r="S2024" s="1">
        <v>0.0</v>
      </c>
      <c r="U2024" s="1">
        <v>0.0</v>
      </c>
      <c r="W2024" s="1">
        <v>0.0</v>
      </c>
      <c r="Y2024" s="1">
        <v>0.0</v>
      </c>
      <c r="AA2024" s="1">
        <v>0.0</v>
      </c>
      <c r="AC2024" s="1">
        <v>0.0</v>
      </c>
      <c r="AM2024" s="1">
        <v>138280.0</v>
      </c>
      <c r="AN2024" s="1">
        <v>138280.0</v>
      </c>
      <c r="AO2024" s="1">
        <v>138280.0</v>
      </c>
      <c r="AP2024" s="1">
        <v>52.972</v>
      </c>
      <c r="AR2024" s="1">
        <v>0.0</v>
      </c>
      <c r="AW2024" s="1">
        <v>0.0</v>
      </c>
      <c r="AX2024" s="1">
        <v>4.0</v>
      </c>
      <c r="AY2024" s="1">
        <v>4.0</v>
      </c>
      <c r="BA2024" s="1">
        <v>0.0</v>
      </c>
      <c r="BB2024" s="1">
        <v>0.0</v>
      </c>
      <c r="BC2024" s="1">
        <v>0.0</v>
      </c>
      <c r="BD2024" s="1">
        <v>0.0</v>
      </c>
      <c r="BE2024" s="1">
        <v>0.0</v>
      </c>
      <c r="BF2024" s="1">
        <v>0.0</v>
      </c>
      <c r="BG2024" s="1">
        <v>0.0</v>
      </c>
      <c r="BH2024" s="1">
        <v>0.0</v>
      </c>
      <c r="BI2024" s="1">
        <v>0.0</v>
      </c>
      <c r="BJ2024" s="1">
        <v>0.0</v>
      </c>
      <c r="BP2024" s="1">
        <v>0.263</v>
      </c>
      <c r="BQ2024" s="1" t="s">
        <v>6682</v>
      </c>
      <c r="BV2024" s="1">
        <v>1.1</v>
      </c>
      <c r="EQ2024" s="9" t="s">
        <v>6681</v>
      </c>
      <c r="ER2024" s="21">
        <v>46045.30165509259</v>
      </c>
    </row>
    <row r="2025">
      <c r="A2025" s="9" t="s">
        <v>6683</v>
      </c>
      <c r="B2025" s="20" t="str">
        <f>IFERROR(__xludf.DUMMYFUNCTION("REGEXREPLACE(A2025, ""^https?://[^/]+"", """")"),"/wp-content/uploads/elementor/css/post-45180.css?ver=1768857800")</f>
        <v>/wp-content/uploads/elementor/css/post-45180.css?ver=1768857800</v>
      </c>
      <c r="F2025" s="1" t="s">
        <v>1016</v>
      </c>
      <c r="G2025" s="1">
        <v>200.0</v>
      </c>
      <c r="H2025" s="1" t="s">
        <v>966</v>
      </c>
      <c r="I2025" s="1" t="s">
        <v>967</v>
      </c>
      <c r="L2025" s="1">
        <v>0.0</v>
      </c>
      <c r="M2025" s="1">
        <v>0.0</v>
      </c>
      <c r="O2025" s="1">
        <v>0.0</v>
      </c>
      <c r="P2025" s="1">
        <v>0.0</v>
      </c>
      <c r="R2025" s="1">
        <v>0.0</v>
      </c>
      <c r="S2025" s="1">
        <v>0.0</v>
      </c>
      <c r="U2025" s="1">
        <v>0.0</v>
      </c>
      <c r="W2025" s="1">
        <v>0.0</v>
      </c>
      <c r="Y2025" s="1">
        <v>0.0</v>
      </c>
      <c r="AA2025" s="1">
        <v>0.0</v>
      </c>
      <c r="AC2025" s="1">
        <v>0.0</v>
      </c>
      <c r="AM2025" s="1">
        <v>189.0</v>
      </c>
      <c r="AN2025" s="1">
        <v>189.0</v>
      </c>
      <c r="AO2025" s="1">
        <v>189.0</v>
      </c>
      <c r="AP2025" s="1">
        <v>0.072</v>
      </c>
      <c r="AR2025" s="1">
        <v>0.0</v>
      </c>
      <c r="AW2025" s="1">
        <v>0.0</v>
      </c>
      <c r="AX2025" s="1">
        <v>4.0</v>
      </c>
      <c r="AY2025" s="1">
        <v>4.0</v>
      </c>
      <c r="BA2025" s="1">
        <v>0.0</v>
      </c>
      <c r="BB2025" s="1">
        <v>0.0</v>
      </c>
      <c r="BC2025" s="1">
        <v>0.0</v>
      </c>
      <c r="BD2025" s="1">
        <v>0.0</v>
      </c>
      <c r="BE2025" s="1">
        <v>0.0</v>
      </c>
      <c r="BF2025" s="1">
        <v>0.0</v>
      </c>
      <c r="BG2025" s="1">
        <v>0.0</v>
      </c>
      <c r="BH2025" s="1">
        <v>0.0</v>
      </c>
      <c r="BI2025" s="1">
        <v>0.0</v>
      </c>
      <c r="BJ2025" s="1">
        <v>0.0</v>
      </c>
      <c r="BP2025" s="1">
        <v>0.266</v>
      </c>
      <c r="BQ2025" s="1" t="s">
        <v>6684</v>
      </c>
      <c r="BV2025" s="1">
        <v>1.1</v>
      </c>
      <c r="EQ2025" s="9" t="s">
        <v>6683</v>
      </c>
      <c r="ER2025" s="21">
        <v>46045.30165509259</v>
      </c>
    </row>
    <row r="2026">
      <c r="A2026" s="9" t="s">
        <v>6685</v>
      </c>
      <c r="B2026" s="20" t="str">
        <f>IFERROR(__xludf.DUMMYFUNCTION("REGEXREPLACE(A2026, ""^https?://[^/]+"", """")"),"/wp-content/uploads/2024/06/Future-Proof-Your-Sales.jpg")</f>
        <v>/wp-content/uploads/2024/06/Future-Proof-Your-Sales.jpg</v>
      </c>
      <c r="F2026" s="1" t="s">
        <v>1004</v>
      </c>
      <c r="G2026" s="1">
        <v>200.0</v>
      </c>
      <c r="H2026" s="1" t="s">
        <v>966</v>
      </c>
      <c r="I2026" s="1" t="s">
        <v>967</v>
      </c>
      <c r="L2026" s="1">
        <v>0.0</v>
      </c>
      <c r="M2026" s="1">
        <v>0.0</v>
      </c>
      <c r="O2026" s="1">
        <v>0.0</v>
      </c>
      <c r="P2026" s="1">
        <v>0.0</v>
      </c>
      <c r="R2026" s="1">
        <v>0.0</v>
      </c>
      <c r="S2026" s="1">
        <v>0.0</v>
      </c>
      <c r="U2026" s="1">
        <v>0.0</v>
      </c>
      <c r="W2026" s="1">
        <v>0.0</v>
      </c>
      <c r="Y2026" s="1">
        <v>0.0</v>
      </c>
      <c r="AA2026" s="1">
        <v>0.0</v>
      </c>
      <c r="AC2026" s="1">
        <v>0.0</v>
      </c>
      <c r="AM2026" s="1">
        <v>284445.0</v>
      </c>
      <c r="AN2026" s="1">
        <v>284445.0</v>
      </c>
      <c r="AO2026" s="1">
        <v>284445.0</v>
      </c>
      <c r="AP2026" s="1">
        <v>108.965</v>
      </c>
      <c r="AR2026" s="1">
        <v>0.0</v>
      </c>
      <c r="AW2026" s="1">
        <v>0.0</v>
      </c>
      <c r="AX2026" s="1">
        <v>4.0</v>
      </c>
      <c r="AY2026" s="1">
        <v>4.0</v>
      </c>
      <c r="BA2026" s="1">
        <v>0.0</v>
      </c>
      <c r="BB2026" s="1">
        <v>0.0</v>
      </c>
      <c r="BC2026" s="1">
        <v>0.0</v>
      </c>
      <c r="BD2026" s="1">
        <v>0.0</v>
      </c>
      <c r="BE2026" s="1">
        <v>0.0</v>
      </c>
      <c r="BF2026" s="1">
        <v>0.0</v>
      </c>
      <c r="BG2026" s="1">
        <v>0.0</v>
      </c>
      <c r="BH2026" s="1">
        <v>0.0</v>
      </c>
      <c r="BI2026" s="1">
        <v>0.0</v>
      </c>
      <c r="BJ2026" s="1">
        <v>0.0</v>
      </c>
      <c r="BP2026" s="1">
        <v>0.288</v>
      </c>
      <c r="BQ2026" s="1" t="s">
        <v>6686</v>
      </c>
      <c r="BV2026" s="1">
        <v>1.1</v>
      </c>
      <c r="EQ2026" s="9" t="s">
        <v>6685</v>
      </c>
      <c r="ER2026" s="21">
        <v>46045.30165509259</v>
      </c>
    </row>
    <row r="2027">
      <c r="A2027" s="9" t="s">
        <v>6687</v>
      </c>
      <c r="B2027" s="20" t="str">
        <f>IFERROR(__xludf.DUMMYFUNCTION("REGEXREPLACE(A2027, ""^https?://[^/]+"", """")"),"/wp-content/uploads/2024/01/AIChatGPT-Poll-Graphic-1024x1024.jpg")</f>
        <v>/wp-content/uploads/2024/01/AIChatGPT-Poll-Graphic-1024x1024.jpg</v>
      </c>
      <c r="F2027" s="1" t="s">
        <v>1004</v>
      </c>
      <c r="G2027" s="1">
        <v>200.0</v>
      </c>
      <c r="H2027" s="1" t="s">
        <v>966</v>
      </c>
      <c r="I2027" s="1" t="s">
        <v>967</v>
      </c>
      <c r="L2027" s="1">
        <v>0.0</v>
      </c>
      <c r="M2027" s="1">
        <v>0.0</v>
      </c>
      <c r="O2027" s="1">
        <v>0.0</v>
      </c>
      <c r="P2027" s="1">
        <v>0.0</v>
      </c>
      <c r="R2027" s="1">
        <v>0.0</v>
      </c>
      <c r="S2027" s="1">
        <v>0.0</v>
      </c>
      <c r="U2027" s="1">
        <v>0.0</v>
      </c>
      <c r="W2027" s="1">
        <v>0.0</v>
      </c>
      <c r="Y2027" s="1">
        <v>0.0</v>
      </c>
      <c r="AA2027" s="1">
        <v>0.0</v>
      </c>
      <c r="AC2027" s="1">
        <v>0.0</v>
      </c>
      <c r="AM2027" s="1">
        <v>111578.0</v>
      </c>
      <c r="AN2027" s="1">
        <v>111578.0</v>
      </c>
      <c r="AO2027" s="1">
        <v>111578.0</v>
      </c>
      <c r="AP2027" s="1">
        <v>42.743</v>
      </c>
      <c r="AR2027" s="1">
        <v>0.0</v>
      </c>
      <c r="AW2027" s="1">
        <v>0.0</v>
      </c>
      <c r="AX2027" s="1">
        <v>4.0</v>
      </c>
      <c r="AY2027" s="1">
        <v>4.0</v>
      </c>
      <c r="BA2027" s="1">
        <v>0.0</v>
      </c>
      <c r="BB2027" s="1">
        <v>0.0</v>
      </c>
      <c r="BC2027" s="1">
        <v>0.0</v>
      </c>
      <c r="BD2027" s="1">
        <v>0.0</v>
      </c>
      <c r="BE2027" s="1">
        <v>0.0</v>
      </c>
      <c r="BF2027" s="1">
        <v>0.0</v>
      </c>
      <c r="BG2027" s="1">
        <v>0.0</v>
      </c>
      <c r="BH2027" s="1">
        <v>0.0</v>
      </c>
      <c r="BI2027" s="1">
        <v>0.0</v>
      </c>
      <c r="BJ2027" s="1">
        <v>0.0</v>
      </c>
      <c r="BP2027" s="1">
        <v>0.286</v>
      </c>
      <c r="BQ2027" s="1" t="s">
        <v>6688</v>
      </c>
      <c r="BV2027" s="1">
        <v>1.1</v>
      </c>
      <c r="EQ2027" s="9" t="s">
        <v>6687</v>
      </c>
      <c r="ER2027" s="21">
        <v>46045.30165509259</v>
      </c>
    </row>
    <row r="2028">
      <c r="A2028" s="9" t="s">
        <v>4459</v>
      </c>
      <c r="B2028" s="20" t="str">
        <f>IFERROR(__xludf.DUMMYFUNCTION("REGEXREPLACE(A2028, ""^https?://[^/]+"", """")"),"/no-access/download-id/68073/")</f>
        <v>/no-access/download-id/68073/</v>
      </c>
      <c r="C2028" s="1" t="s">
        <v>6664</v>
      </c>
      <c r="F2028" s="1" t="s">
        <v>965</v>
      </c>
      <c r="G2028" s="1">
        <v>200.0</v>
      </c>
      <c r="H2028" s="1" t="s">
        <v>966</v>
      </c>
      <c r="I2028" s="1" t="s">
        <v>1214</v>
      </c>
      <c r="J2028" s="1" t="s">
        <v>1215</v>
      </c>
      <c r="K2028" s="1" t="s">
        <v>6665</v>
      </c>
      <c r="L2028" s="1">
        <v>29.0</v>
      </c>
      <c r="M2028" s="1">
        <v>265.0</v>
      </c>
      <c r="O2028" s="1">
        <v>0.0</v>
      </c>
      <c r="P2028" s="1">
        <v>0.0</v>
      </c>
      <c r="R2028" s="1">
        <v>0.0</v>
      </c>
      <c r="S2028" s="1">
        <v>0.0</v>
      </c>
      <c r="U2028" s="1">
        <v>0.0</v>
      </c>
      <c r="V2028" s="1" t="s">
        <v>6664</v>
      </c>
      <c r="W2028" s="1">
        <v>9.0</v>
      </c>
      <c r="Y2028" s="1">
        <v>0.0</v>
      </c>
      <c r="AA2028" s="1">
        <v>0.0</v>
      </c>
      <c r="AC2028" s="1">
        <v>0.0</v>
      </c>
      <c r="AD2028" s="1" t="s">
        <v>971</v>
      </c>
      <c r="AG2028" s="9" t="s">
        <v>6666</v>
      </c>
      <c r="AM2028" s="1">
        <v>145754.0</v>
      </c>
      <c r="AN2028" s="1">
        <v>28288.0</v>
      </c>
      <c r="AO2028" s="1">
        <v>28288.0</v>
      </c>
      <c r="AP2028" s="1">
        <v>10.837</v>
      </c>
      <c r="AR2028" s="1">
        <v>538.0</v>
      </c>
      <c r="AS2028" s="1">
        <v>93.0</v>
      </c>
      <c r="AT2028" s="1">
        <v>5.785</v>
      </c>
      <c r="AU2028" s="1">
        <v>61.483</v>
      </c>
      <c r="AV2028" s="1" t="s">
        <v>990</v>
      </c>
      <c r="AW2028" s="1">
        <v>3.905</v>
      </c>
      <c r="AX2028" s="1">
        <v>4.0</v>
      </c>
      <c r="AY2028" s="1">
        <v>3.0</v>
      </c>
      <c r="BA2028" s="1">
        <v>0.0</v>
      </c>
      <c r="BB2028" s="1">
        <v>0.0</v>
      </c>
      <c r="BC2028" s="1">
        <v>0.0</v>
      </c>
      <c r="BD2028" s="1">
        <v>0.0</v>
      </c>
      <c r="BE2028" s="1">
        <v>123.0</v>
      </c>
      <c r="BF2028" s="1">
        <v>42.0</v>
      </c>
      <c r="BG2028" s="1">
        <v>0.0</v>
      </c>
      <c r="BH2028" s="1">
        <v>16.0</v>
      </c>
      <c r="BI2028" s="1">
        <v>8.0</v>
      </c>
      <c r="BJ2028" s="1">
        <v>0.0</v>
      </c>
      <c r="BO2028" s="1" t="s">
        <v>6689</v>
      </c>
      <c r="BP2028" s="1">
        <v>0.934</v>
      </c>
      <c r="BU2028" s="1" t="s">
        <v>974</v>
      </c>
      <c r="BV2028" s="1">
        <v>1.1</v>
      </c>
      <c r="EQ2028" s="9" t="s">
        <v>4459</v>
      </c>
      <c r="ER2028" s="21">
        <v>46045.30164351852</v>
      </c>
    </row>
    <row r="2029">
      <c r="A2029" s="9" t="s">
        <v>6690</v>
      </c>
      <c r="B2029" s="20" t="str">
        <f>IFERROR(__xludf.DUMMYFUNCTION("REGEXREPLACE(A2029, ""^https?://[^/]+"", """")"),"/wp-content/uploads/2024/01/logo-selling-power.png")</f>
        <v>/wp-content/uploads/2024/01/logo-selling-power.png</v>
      </c>
      <c r="F2029" s="1" t="s">
        <v>1047</v>
      </c>
      <c r="G2029" s="1">
        <v>200.0</v>
      </c>
      <c r="H2029" s="1" t="s">
        <v>966</v>
      </c>
      <c r="I2029" s="1" t="s">
        <v>967</v>
      </c>
      <c r="L2029" s="1">
        <v>0.0</v>
      </c>
      <c r="M2029" s="1">
        <v>0.0</v>
      </c>
      <c r="O2029" s="1">
        <v>0.0</v>
      </c>
      <c r="P2029" s="1">
        <v>0.0</v>
      </c>
      <c r="R2029" s="1">
        <v>0.0</v>
      </c>
      <c r="S2029" s="1">
        <v>0.0</v>
      </c>
      <c r="U2029" s="1">
        <v>0.0</v>
      </c>
      <c r="W2029" s="1">
        <v>0.0</v>
      </c>
      <c r="Y2029" s="1">
        <v>0.0</v>
      </c>
      <c r="AA2029" s="1">
        <v>0.0</v>
      </c>
      <c r="AC2029" s="1">
        <v>0.0</v>
      </c>
      <c r="AM2029" s="1">
        <v>34383.0</v>
      </c>
      <c r="AN2029" s="1">
        <v>34383.0</v>
      </c>
      <c r="AO2029" s="1">
        <v>34383.0</v>
      </c>
      <c r="AP2029" s="1">
        <v>13.171</v>
      </c>
      <c r="AR2029" s="1">
        <v>0.0</v>
      </c>
      <c r="AW2029" s="1">
        <v>0.0</v>
      </c>
      <c r="AX2029" s="1">
        <v>4.0</v>
      </c>
      <c r="AY2029" s="1">
        <v>4.0</v>
      </c>
      <c r="BA2029" s="1">
        <v>0.0</v>
      </c>
      <c r="BB2029" s="1">
        <v>0.0</v>
      </c>
      <c r="BC2029" s="1">
        <v>0.0</v>
      </c>
      <c r="BD2029" s="1">
        <v>0.0</v>
      </c>
      <c r="BE2029" s="1">
        <v>0.0</v>
      </c>
      <c r="BF2029" s="1">
        <v>0.0</v>
      </c>
      <c r="BG2029" s="1">
        <v>0.0</v>
      </c>
      <c r="BH2029" s="1">
        <v>0.0</v>
      </c>
      <c r="BI2029" s="1">
        <v>0.0</v>
      </c>
      <c r="BJ2029" s="1">
        <v>0.0</v>
      </c>
      <c r="BP2029" s="1">
        <v>0.27</v>
      </c>
      <c r="BQ2029" s="1" t="s">
        <v>6691</v>
      </c>
      <c r="BV2029" s="1">
        <v>1.1</v>
      </c>
      <c r="EQ2029" s="9" t="s">
        <v>6690</v>
      </c>
      <c r="ER2029" s="21">
        <v>46045.30165509259</v>
      </c>
    </row>
    <row r="2030">
      <c r="A2030" s="9" t="s">
        <v>6692</v>
      </c>
      <c r="B2030" s="20" t="str">
        <f>IFERROR(__xludf.DUMMYFUNCTION("REGEXREPLACE(A2030, ""^https?://[^/]+"", """")"),"/wp-content/uploads/elementor/css/post-29314.css?ver=1768910670")</f>
        <v>/wp-content/uploads/elementor/css/post-29314.css?ver=1768910670</v>
      </c>
      <c r="F2030" s="1" t="s">
        <v>1016</v>
      </c>
      <c r="G2030" s="1">
        <v>200.0</v>
      </c>
      <c r="H2030" s="1" t="s">
        <v>966</v>
      </c>
      <c r="I2030" s="1" t="s">
        <v>967</v>
      </c>
      <c r="L2030" s="1">
        <v>0.0</v>
      </c>
      <c r="M2030" s="1">
        <v>0.0</v>
      </c>
      <c r="O2030" s="1">
        <v>0.0</v>
      </c>
      <c r="P2030" s="1">
        <v>0.0</v>
      </c>
      <c r="R2030" s="1">
        <v>0.0</v>
      </c>
      <c r="S2030" s="1">
        <v>0.0</v>
      </c>
      <c r="U2030" s="1">
        <v>0.0</v>
      </c>
      <c r="W2030" s="1">
        <v>0.0</v>
      </c>
      <c r="Y2030" s="1">
        <v>0.0</v>
      </c>
      <c r="AA2030" s="1">
        <v>0.0</v>
      </c>
      <c r="AC2030" s="1">
        <v>0.0</v>
      </c>
      <c r="AM2030" s="1">
        <v>298.0</v>
      </c>
      <c r="AN2030" s="1">
        <v>298.0</v>
      </c>
      <c r="AO2030" s="1">
        <v>298.0</v>
      </c>
      <c r="AP2030" s="1">
        <v>0.114</v>
      </c>
      <c r="AR2030" s="1">
        <v>0.0</v>
      </c>
      <c r="AW2030" s="1">
        <v>0.0</v>
      </c>
      <c r="AX2030" s="1">
        <v>4.0</v>
      </c>
      <c r="AY2030" s="1">
        <v>4.0</v>
      </c>
      <c r="BA2030" s="1">
        <v>0.0</v>
      </c>
      <c r="BB2030" s="1">
        <v>0.0</v>
      </c>
      <c r="BC2030" s="1">
        <v>0.0</v>
      </c>
      <c r="BD2030" s="1">
        <v>0.0</v>
      </c>
      <c r="BE2030" s="1">
        <v>0.0</v>
      </c>
      <c r="BF2030" s="1">
        <v>0.0</v>
      </c>
      <c r="BG2030" s="1">
        <v>0.0</v>
      </c>
      <c r="BH2030" s="1">
        <v>0.0</v>
      </c>
      <c r="BI2030" s="1">
        <v>0.0</v>
      </c>
      <c r="BJ2030" s="1">
        <v>0.0</v>
      </c>
      <c r="BP2030" s="1">
        <v>0.273</v>
      </c>
      <c r="BQ2030" s="1" t="s">
        <v>6693</v>
      </c>
      <c r="BV2030" s="1">
        <v>1.1</v>
      </c>
      <c r="EQ2030" s="9" t="s">
        <v>6692</v>
      </c>
      <c r="ER2030" s="21">
        <v>46045.30165509259</v>
      </c>
    </row>
    <row r="2031">
      <c r="A2031" s="9" t="s">
        <v>6694</v>
      </c>
      <c r="B2031" s="20" t="str">
        <f>IFERROR(__xludf.DUMMYFUNCTION("REGEXREPLACE(A2031, ""^https?://[^/]+"", """")"),"/wp-content/uploads/2024/01/light-150x150.png")</f>
        <v>/wp-content/uploads/2024/01/light-150x150.png</v>
      </c>
      <c r="F2031" s="1" t="s">
        <v>1047</v>
      </c>
      <c r="G2031" s="1">
        <v>200.0</v>
      </c>
      <c r="H2031" s="1" t="s">
        <v>966</v>
      </c>
      <c r="I2031" s="1" t="s">
        <v>967</v>
      </c>
      <c r="L2031" s="1">
        <v>0.0</v>
      </c>
      <c r="M2031" s="1">
        <v>0.0</v>
      </c>
      <c r="O2031" s="1">
        <v>0.0</v>
      </c>
      <c r="P2031" s="1">
        <v>0.0</v>
      </c>
      <c r="R2031" s="1">
        <v>0.0</v>
      </c>
      <c r="S2031" s="1">
        <v>0.0</v>
      </c>
      <c r="U2031" s="1">
        <v>0.0</v>
      </c>
      <c r="W2031" s="1">
        <v>0.0</v>
      </c>
      <c r="Y2031" s="1">
        <v>0.0</v>
      </c>
      <c r="AA2031" s="1">
        <v>0.0</v>
      </c>
      <c r="AC2031" s="1">
        <v>0.0</v>
      </c>
      <c r="AM2031" s="1">
        <v>3566.0</v>
      </c>
      <c r="AN2031" s="1">
        <v>3566.0</v>
      </c>
      <c r="AO2031" s="1">
        <v>3566.0</v>
      </c>
      <c r="AP2031" s="1">
        <v>1.366</v>
      </c>
      <c r="AR2031" s="1">
        <v>0.0</v>
      </c>
      <c r="AW2031" s="1">
        <v>0.0</v>
      </c>
      <c r="AX2031" s="1">
        <v>4.0</v>
      </c>
      <c r="AY2031" s="1">
        <v>4.0</v>
      </c>
      <c r="BA2031" s="1">
        <v>0.0</v>
      </c>
      <c r="BB2031" s="1">
        <v>0.0</v>
      </c>
      <c r="BC2031" s="1">
        <v>0.0</v>
      </c>
      <c r="BD2031" s="1">
        <v>0.0</v>
      </c>
      <c r="BE2031" s="1">
        <v>0.0</v>
      </c>
      <c r="BF2031" s="1">
        <v>0.0</v>
      </c>
      <c r="BG2031" s="1">
        <v>0.0</v>
      </c>
      <c r="BH2031" s="1">
        <v>0.0</v>
      </c>
      <c r="BI2031" s="1">
        <v>0.0</v>
      </c>
      <c r="BJ2031" s="1">
        <v>0.0</v>
      </c>
      <c r="BP2031" s="1">
        <v>0.272</v>
      </c>
      <c r="BQ2031" s="1" t="s">
        <v>6695</v>
      </c>
      <c r="BV2031" s="1">
        <v>1.1</v>
      </c>
      <c r="EQ2031" s="9" t="s">
        <v>6694</v>
      </c>
      <c r="ER2031" s="21">
        <v>46045.30165509259</v>
      </c>
    </row>
    <row r="2032">
      <c r="A2032" s="9" t="s">
        <v>6696</v>
      </c>
      <c r="B2032" s="20" t="str">
        <f>IFERROR(__xludf.DUMMYFUNCTION("REGEXREPLACE(A2032, ""^https?://[^/]+"", """")"),"/wp-content/uploads/2024/01/AI-is-1024x768.jpg")</f>
        <v>/wp-content/uploads/2024/01/AI-is-1024x768.jpg</v>
      </c>
      <c r="F2032" s="1" t="s">
        <v>1004</v>
      </c>
      <c r="G2032" s="1">
        <v>200.0</v>
      </c>
      <c r="H2032" s="1" t="s">
        <v>966</v>
      </c>
      <c r="I2032" s="1" t="s">
        <v>967</v>
      </c>
      <c r="L2032" s="1">
        <v>0.0</v>
      </c>
      <c r="M2032" s="1">
        <v>0.0</v>
      </c>
      <c r="O2032" s="1">
        <v>0.0</v>
      </c>
      <c r="P2032" s="1">
        <v>0.0</v>
      </c>
      <c r="R2032" s="1">
        <v>0.0</v>
      </c>
      <c r="S2032" s="1">
        <v>0.0</v>
      </c>
      <c r="U2032" s="1">
        <v>0.0</v>
      </c>
      <c r="W2032" s="1">
        <v>0.0</v>
      </c>
      <c r="Y2032" s="1">
        <v>0.0</v>
      </c>
      <c r="AA2032" s="1">
        <v>0.0</v>
      </c>
      <c r="AC2032" s="1">
        <v>0.0</v>
      </c>
      <c r="AM2032" s="1">
        <v>125456.0</v>
      </c>
      <c r="AN2032" s="1">
        <v>125456.0</v>
      </c>
      <c r="AO2032" s="1">
        <v>125456.0</v>
      </c>
      <c r="AP2032" s="1">
        <v>48.06</v>
      </c>
      <c r="AR2032" s="1">
        <v>0.0</v>
      </c>
      <c r="AW2032" s="1">
        <v>0.0</v>
      </c>
      <c r="AX2032" s="1">
        <v>4.0</v>
      </c>
      <c r="AY2032" s="1">
        <v>4.0</v>
      </c>
      <c r="BA2032" s="1">
        <v>0.0</v>
      </c>
      <c r="BB2032" s="1">
        <v>0.0</v>
      </c>
      <c r="BC2032" s="1">
        <v>0.0</v>
      </c>
      <c r="BD2032" s="1">
        <v>0.0</v>
      </c>
      <c r="BE2032" s="1">
        <v>0.0</v>
      </c>
      <c r="BF2032" s="1">
        <v>0.0</v>
      </c>
      <c r="BG2032" s="1">
        <v>0.0</v>
      </c>
      <c r="BH2032" s="1">
        <v>0.0</v>
      </c>
      <c r="BI2032" s="1">
        <v>0.0</v>
      </c>
      <c r="BJ2032" s="1">
        <v>0.0</v>
      </c>
      <c r="BP2032" s="1">
        <v>0.262</v>
      </c>
      <c r="BQ2032" s="1" t="s">
        <v>6697</v>
      </c>
      <c r="BV2032" s="1">
        <v>1.1</v>
      </c>
      <c r="EQ2032" s="9" t="s">
        <v>6696</v>
      </c>
      <c r="ER2032" s="21">
        <v>46045.30165509259</v>
      </c>
    </row>
    <row r="2033">
      <c r="A2033" s="9" t="s">
        <v>6698</v>
      </c>
      <c r="B2033" s="20" t="str">
        <f>IFERROR(__xludf.DUMMYFUNCTION("REGEXREPLACE(A2033, ""^https?://[^/]+"", """")"),"/wp-content/uploads/2024/01/New-AI-Sales-Trends.jpg")</f>
        <v>/wp-content/uploads/2024/01/New-AI-Sales-Trends.jpg</v>
      </c>
      <c r="F2033" s="1" t="s">
        <v>1004</v>
      </c>
      <c r="G2033" s="1">
        <v>200.0</v>
      </c>
      <c r="H2033" s="1" t="s">
        <v>966</v>
      </c>
      <c r="I2033" s="1" t="s">
        <v>967</v>
      </c>
      <c r="L2033" s="1">
        <v>0.0</v>
      </c>
      <c r="M2033" s="1">
        <v>0.0</v>
      </c>
      <c r="O2033" s="1">
        <v>0.0</v>
      </c>
      <c r="P2033" s="1">
        <v>0.0</v>
      </c>
      <c r="R2033" s="1">
        <v>0.0</v>
      </c>
      <c r="S2033" s="1">
        <v>0.0</v>
      </c>
      <c r="U2033" s="1">
        <v>0.0</v>
      </c>
      <c r="W2033" s="1">
        <v>0.0</v>
      </c>
      <c r="Y2033" s="1">
        <v>0.0</v>
      </c>
      <c r="AA2033" s="1">
        <v>0.0</v>
      </c>
      <c r="AC2033" s="1">
        <v>0.0</v>
      </c>
      <c r="AM2033" s="1">
        <v>180248.0</v>
      </c>
      <c r="AN2033" s="1">
        <v>180248.0</v>
      </c>
      <c r="AO2033" s="1">
        <v>180248.0</v>
      </c>
      <c r="AP2033" s="1">
        <v>69.05</v>
      </c>
      <c r="AR2033" s="1">
        <v>0.0</v>
      </c>
      <c r="AW2033" s="1">
        <v>0.0</v>
      </c>
      <c r="AX2033" s="1">
        <v>4.0</v>
      </c>
      <c r="AY2033" s="1">
        <v>4.0</v>
      </c>
      <c r="BA2033" s="1">
        <v>0.0</v>
      </c>
      <c r="BB2033" s="1">
        <v>0.0</v>
      </c>
      <c r="BC2033" s="1">
        <v>0.0</v>
      </c>
      <c r="BD2033" s="1">
        <v>0.0</v>
      </c>
      <c r="BE2033" s="1">
        <v>0.0</v>
      </c>
      <c r="BF2033" s="1">
        <v>0.0</v>
      </c>
      <c r="BG2033" s="1">
        <v>0.0</v>
      </c>
      <c r="BH2033" s="1">
        <v>0.0</v>
      </c>
      <c r="BI2033" s="1">
        <v>0.0</v>
      </c>
      <c r="BJ2033" s="1">
        <v>0.0</v>
      </c>
      <c r="BP2033" s="1">
        <v>0.279</v>
      </c>
      <c r="BQ2033" s="1" t="s">
        <v>6699</v>
      </c>
      <c r="BV2033" s="1">
        <v>1.1</v>
      </c>
      <c r="EQ2033" s="9" t="s">
        <v>6698</v>
      </c>
      <c r="ER2033" s="21">
        <v>46045.30165509259</v>
      </c>
    </row>
    <row r="2034">
      <c r="A2034" s="9" t="s">
        <v>6700</v>
      </c>
      <c r="B2034" s="20" t="str">
        <f>IFERROR(__xludf.DUMMYFUNCTION("REGEXREPLACE(A2034, ""^https?://[^/]+"", """")"),"/wp-content/uploads/2023/08/businessman-using-digital-300x156.jpg")</f>
        <v>/wp-content/uploads/2023/08/businessman-using-digital-300x156.jpg</v>
      </c>
      <c r="F2034" s="1" t="s">
        <v>1004</v>
      </c>
      <c r="G2034" s="1">
        <v>200.0</v>
      </c>
      <c r="H2034" s="1" t="s">
        <v>966</v>
      </c>
      <c r="I2034" s="1" t="s">
        <v>967</v>
      </c>
      <c r="L2034" s="1">
        <v>0.0</v>
      </c>
      <c r="M2034" s="1">
        <v>0.0</v>
      </c>
      <c r="O2034" s="1">
        <v>0.0</v>
      </c>
      <c r="P2034" s="1">
        <v>0.0</v>
      </c>
      <c r="R2034" s="1">
        <v>0.0</v>
      </c>
      <c r="S2034" s="1">
        <v>0.0</v>
      </c>
      <c r="U2034" s="1">
        <v>0.0</v>
      </c>
      <c r="W2034" s="1">
        <v>0.0</v>
      </c>
      <c r="Y2034" s="1">
        <v>0.0</v>
      </c>
      <c r="AA2034" s="1">
        <v>0.0</v>
      </c>
      <c r="AC2034" s="1">
        <v>0.0</v>
      </c>
      <c r="AM2034" s="1">
        <v>10552.0</v>
      </c>
      <c r="AN2034" s="1">
        <v>10552.0</v>
      </c>
      <c r="AO2034" s="1">
        <v>10552.0</v>
      </c>
      <c r="AP2034" s="1">
        <v>4.042</v>
      </c>
      <c r="AR2034" s="1">
        <v>0.0</v>
      </c>
      <c r="AW2034" s="1">
        <v>0.0</v>
      </c>
      <c r="AX2034" s="1">
        <v>4.0</v>
      </c>
      <c r="AY2034" s="1">
        <v>4.0</v>
      </c>
      <c r="BA2034" s="1">
        <v>0.0</v>
      </c>
      <c r="BB2034" s="1">
        <v>0.0</v>
      </c>
      <c r="BC2034" s="1">
        <v>0.0</v>
      </c>
      <c r="BD2034" s="1">
        <v>0.0</v>
      </c>
      <c r="BE2034" s="1">
        <v>0.0</v>
      </c>
      <c r="BF2034" s="1">
        <v>0.0</v>
      </c>
      <c r="BG2034" s="1">
        <v>0.0</v>
      </c>
      <c r="BH2034" s="1">
        <v>0.0</v>
      </c>
      <c r="BI2034" s="1">
        <v>0.0</v>
      </c>
      <c r="BJ2034" s="1">
        <v>0.0</v>
      </c>
      <c r="BP2034" s="1">
        <v>0.267</v>
      </c>
      <c r="BQ2034" s="1" t="s">
        <v>6701</v>
      </c>
      <c r="BV2034" s="1">
        <v>1.1</v>
      </c>
      <c r="EQ2034" s="9" t="s">
        <v>6700</v>
      </c>
      <c r="ER2034" s="21">
        <v>46045.30165509259</v>
      </c>
    </row>
    <row r="2035">
      <c r="A2035" s="9" t="s">
        <v>6702</v>
      </c>
      <c r="B2035" s="20" t="str">
        <f>IFERROR(__xludf.DUMMYFUNCTION("REGEXREPLACE(A2035, ""^https?://[^/]+"", """")"),"/wp-content/themes/salesxceleratione/assets/css/style.css?ver=1769123561")</f>
        <v>/wp-content/themes/salesxceleratione/assets/css/style.css?ver=1769123561</v>
      </c>
      <c r="F2035" s="1" t="s">
        <v>1016</v>
      </c>
      <c r="G2035" s="1">
        <v>200.0</v>
      </c>
      <c r="H2035" s="1" t="s">
        <v>966</v>
      </c>
      <c r="I2035" s="1" t="s">
        <v>967</v>
      </c>
      <c r="L2035" s="1">
        <v>0.0</v>
      </c>
      <c r="M2035" s="1">
        <v>0.0</v>
      </c>
      <c r="O2035" s="1">
        <v>0.0</v>
      </c>
      <c r="P2035" s="1">
        <v>0.0</v>
      </c>
      <c r="R2035" s="1">
        <v>0.0</v>
      </c>
      <c r="S2035" s="1">
        <v>0.0</v>
      </c>
      <c r="U2035" s="1">
        <v>0.0</v>
      </c>
      <c r="W2035" s="1">
        <v>0.0</v>
      </c>
      <c r="Y2035" s="1">
        <v>0.0</v>
      </c>
      <c r="AA2035" s="1">
        <v>0.0</v>
      </c>
      <c r="AC2035" s="1">
        <v>0.0</v>
      </c>
      <c r="AM2035" s="1">
        <v>17704.0</v>
      </c>
      <c r="AN2035" s="1">
        <v>17704.0</v>
      </c>
      <c r="AO2035" s="1">
        <v>17704.0</v>
      </c>
      <c r="AP2035" s="1">
        <v>6.782</v>
      </c>
      <c r="AR2035" s="1">
        <v>0.0</v>
      </c>
      <c r="AW2035" s="1">
        <v>0.0</v>
      </c>
      <c r="AX2035" s="1">
        <v>4.0</v>
      </c>
      <c r="AY2035" s="1">
        <v>5.0</v>
      </c>
      <c r="BA2035" s="1">
        <v>0.0</v>
      </c>
      <c r="BB2035" s="1">
        <v>0.0</v>
      </c>
      <c r="BC2035" s="1">
        <v>0.0</v>
      </c>
      <c r="BD2035" s="1">
        <v>0.0</v>
      </c>
      <c r="BE2035" s="1">
        <v>0.0</v>
      </c>
      <c r="BF2035" s="1">
        <v>0.0</v>
      </c>
      <c r="BG2035" s="1">
        <v>0.0</v>
      </c>
      <c r="BH2035" s="1">
        <v>0.0</v>
      </c>
      <c r="BI2035" s="1">
        <v>0.0</v>
      </c>
      <c r="BJ2035" s="1">
        <v>0.0</v>
      </c>
      <c r="BP2035" s="1">
        <v>0.283</v>
      </c>
      <c r="BQ2035" s="1" t="s">
        <v>4582</v>
      </c>
      <c r="BV2035" s="1">
        <v>1.1</v>
      </c>
      <c r="EQ2035" s="9" t="s">
        <v>6702</v>
      </c>
      <c r="ER2035" s="21">
        <v>46045.30165509259</v>
      </c>
    </row>
    <row r="2036">
      <c r="A2036" s="9" t="s">
        <v>6703</v>
      </c>
      <c r="B2036" s="20" t="str">
        <f>IFERROR(__xludf.DUMMYFUNCTION("REGEXREPLACE(A2036, ""^https?://[^/]+"", """")"),"/wp-content/uploads/2023/10/Harness-the-Power-of-AI-300x145.jpg")</f>
        <v>/wp-content/uploads/2023/10/Harness-the-Power-of-AI-300x145.jpg</v>
      </c>
      <c r="F2036" s="1" t="s">
        <v>1004</v>
      </c>
      <c r="G2036" s="1">
        <v>200.0</v>
      </c>
      <c r="H2036" s="1" t="s">
        <v>966</v>
      </c>
      <c r="I2036" s="1" t="s">
        <v>967</v>
      </c>
      <c r="L2036" s="1">
        <v>0.0</v>
      </c>
      <c r="M2036" s="1">
        <v>0.0</v>
      </c>
      <c r="O2036" s="1">
        <v>0.0</v>
      </c>
      <c r="P2036" s="1">
        <v>0.0</v>
      </c>
      <c r="R2036" s="1">
        <v>0.0</v>
      </c>
      <c r="S2036" s="1">
        <v>0.0</v>
      </c>
      <c r="U2036" s="1">
        <v>0.0</v>
      </c>
      <c r="W2036" s="1">
        <v>0.0</v>
      </c>
      <c r="Y2036" s="1">
        <v>0.0</v>
      </c>
      <c r="AA2036" s="1">
        <v>0.0</v>
      </c>
      <c r="AC2036" s="1">
        <v>0.0</v>
      </c>
      <c r="AM2036" s="1">
        <v>7564.0</v>
      </c>
      <c r="AN2036" s="1">
        <v>7564.0</v>
      </c>
      <c r="AO2036" s="1">
        <v>7564.0</v>
      </c>
      <c r="AP2036" s="1">
        <v>2.898</v>
      </c>
      <c r="AR2036" s="1">
        <v>0.0</v>
      </c>
      <c r="AW2036" s="1">
        <v>0.0</v>
      </c>
      <c r="AX2036" s="1">
        <v>4.0</v>
      </c>
      <c r="AY2036" s="1">
        <v>4.0</v>
      </c>
      <c r="BA2036" s="1">
        <v>0.0</v>
      </c>
      <c r="BB2036" s="1">
        <v>0.0</v>
      </c>
      <c r="BC2036" s="1">
        <v>0.0</v>
      </c>
      <c r="BD2036" s="1">
        <v>0.0</v>
      </c>
      <c r="BE2036" s="1">
        <v>0.0</v>
      </c>
      <c r="BF2036" s="1">
        <v>0.0</v>
      </c>
      <c r="BG2036" s="1">
        <v>0.0</v>
      </c>
      <c r="BH2036" s="1">
        <v>0.0</v>
      </c>
      <c r="BI2036" s="1">
        <v>0.0</v>
      </c>
      <c r="BJ2036" s="1">
        <v>0.0</v>
      </c>
      <c r="BP2036" s="1">
        <v>0.281</v>
      </c>
      <c r="BQ2036" s="1" t="s">
        <v>6558</v>
      </c>
      <c r="BV2036" s="1">
        <v>1.1</v>
      </c>
      <c r="EQ2036" s="9" t="s">
        <v>6703</v>
      </c>
      <c r="ER2036" s="21">
        <v>46045.30165509259</v>
      </c>
    </row>
    <row r="2037">
      <c r="A2037" s="9" t="s">
        <v>6704</v>
      </c>
      <c r="B2037" s="20" t="str">
        <f>IFERROR(__xludf.DUMMYFUNCTION("REGEXREPLACE(A2037, ""^https?://[^/]+"", """")"),"/wp-content/uploads/2023/05/AI-for-Sales-300x165.jpg")</f>
        <v>/wp-content/uploads/2023/05/AI-for-Sales-300x165.jpg</v>
      </c>
      <c r="F2037" s="1" t="s">
        <v>1004</v>
      </c>
      <c r="G2037" s="1">
        <v>200.0</v>
      </c>
      <c r="H2037" s="1" t="s">
        <v>966</v>
      </c>
      <c r="I2037" s="1" t="s">
        <v>967</v>
      </c>
      <c r="L2037" s="1">
        <v>0.0</v>
      </c>
      <c r="M2037" s="1">
        <v>0.0</v>
      </c>
      <c r="O2037" s="1">
        <v>0.0</v>
      </c>
      <c r="P2037" s="1">
        <v>0.0</v>
      </c>
      <c r="R2037" s="1">
        <v>0.0</v>
      </c>
      <c r="S2037" s="1">
        <v>0.0</v>
      </c>
      <c r="U2037" s="1">
        <v>0.0</v>
      </c>
      <c r="W2037" s="1">
        <v>0.0</v>
      </c>
      <c r="Y2037" s="1">
        <v>0.0</v>
      </c>
      <c r="AA2037" s="1">
        <v>0.0</v>
      </c>
      <c r="AC2037" s="1">
        <v>0.0</v>
      </c>
      <c r="AM2037" s="1">
        <v>9327.0</v>
      </c>
      <c r="AN2037" s="1">
        <v>9327.0</v>
      </c>
      <c r="AO2037" s="1">
        <v>9327.0</v>
      </c>
      <c r="AP2037" s="1">
        <v>3.573</v>
      </c>
      <c r="AR2037" s="1">
        <v>0.0</v>
      </c>
      <c r="AW2037" s="1">
        <v>0.0</v>
      </c>
      <c r="AX2037" s="1">
        <v>4.0</v>
      </c>
      <c r="AY2037" s="1">
        <v>4.0</v>
      </c>
      <c r="BA2037" s="1">
        <v>0.0</v>
      </c>
      <c r="BB2037" s="1">
        <v>0.0</v>
      </c>
      <c r="BC2037" s="1">
        <v>0.0</v>
      </c>
      <c r="BD2037" s="1">
        <v>0.0</v>
      </c>
      <c r="BE2037" s="1">
        <v>0.0</v>
      </c>
      <c r="BF2037" s="1">
        <v>0.0</v>
      </c>
      <c r="BG2037" s="1">
        <v>0.0</v>
      </c>
      <c r="BH2037" s="1">
        <v>0.0</v>
      </c>
      <c r="BI2037" s="1">
        <v>0.0</v>
      </c>
      <c r="BJ2037" s="1">
        <v>0.0</v>
      </c>
      <c r="BP2037" s="1">
        <v>0.276</v>
      </c>
      <c r="BQ2037" s="1" t="s">
        <v>6705</v>
      </c>
      <c r="BV2037" s="1">
        <v>1.1</v>
      </c>
      <c r="EQ2037" s="9" t="s">
        <v>6704</v>
      </c>
      <c r="ER2037" s="21">
        <v>46045.301666666666</v>
      </c>
    </row>
    <row r="2038">
      <c r="A2038" s="9" t="s">
        <v>6706</v>
      </c>
      <c r="B2038" s="20" t="str">
        <f>IFERROR(__xludf.DUMMYFUNCTION("REGEXREPLACE(A2038, ""^https?://[^/]+"", """")"),"/wp-content/uploads/2025/10/AI-Powered-Sales-Assistant.jpg")</f>
        <v>/wp-content/uploads/2025/10/AI-Powered-Sales-Assistant.jpg</v>
      </c>
      <c r="F2038" s="1" t="s">
        <v>1004</v>
      </c>
      <c r="G2038" s="1">
        <v>200.0</v>
      </c>
      <c r="H2038" s="1" t="s">
        <v>966</v>
      </c>
      <c r="I2038" s="1" t="s">
        <v>967</v>
      </c>
      <c r="L2038" s="1">
        <v>0.0</v>
      </c>
      <c r="M2038" s="1">
        <v>0.0</v>
      </c>
      <c r="O2038" s="1">
        <v>0.0</v>
      </c>
      <c r="P2038" s="1">
        <v>0.0</v>
      </c>
      <c r="R2038" s="1">
        <v>0.0</v>
      </c>
      <c r="S2038" s="1">
        <v>0.0</v>
      </c>
      <c r="U2038" s="1">
        <v>0.0</v>
      </c>
      <c r="W2038" s="1">
        <v>0.0</v>
      </c>
      <c r="Y2038" s="1">
        <v>0.0</v>
      </c>
      <c r="AA2038" s="1">
        <v>0.0</v>
      </c>
      <c r="AC2038" s="1">
        <v>0.0</v>
      </c>
      <c r="AM2038" s="1">
        <v>127711.0</v>
      </c>
      <c r="AN2038" s="1">
        <v>127711.0</v>
      </c>
      <c r="AO2038" s="1">
        <v>127711.0</v>
      </c>
      <c r="AP2038" s="1">
        <v>48.924</v>
      </c>
      <c r="AR2038" s="1">
        <v>0.0</v>
      </c>
      <c r="AW2038" s="1">
        <v>0.0</v>
      </c>
      <c r="AX2038" s="1">
        <v>4.0</v>
      </c>
      <c r="AY2038" s="1">
        <v>4.0</v>
      </c>
      <c r="BA2038" s="1">
        <v>0.0</v>
      </c>
      <c r="BB2038" s="1">
        <v>0.0</v>
      </c>
      <c r="BC2038" s="1">
        <v>0.0</v>
      </c>
      <c r="BD2038" s="1">
        <v>0.0</v>
      </c>
      <c r="BE2038" s="1">
        <v>0.0</v>
      </c>
      <c r="BF2038" s="1">
        <v>0.0</v>
      </c>
      <c r="BG2038" s="1">
        <v>0.0</v>
      </c>
      <c r="BH2038" s="1">
        <v>0.0</v>
      </c>
      <c r="BI2038" s="1">
        <v>0.0</v>
      </c>
      <c r="BJ2038" s="1">
        <v>0.0</v>
      </c>
      <c r="BP2038" s="1">
        <v>0.274</v>
      </c>
      <c r="BQ2038" s="1" t="s">
        <v>6707</v>
      </c>
      <c r="BV2038" s="1">
        <v>1.1</v>
      </c>
      <c r="EQ2038" s="9" t="s">
        <v>6706</v>
      </c>
      <c r="ER2038" s="21">
        <v>46045.301666666666</v>
      </c>
    </row>
    <row r="2039">
      <c r="A2039" s="9" t="s">
        <v>6708</v>
      </c>
      <c r="B2039" s="20" t="str">
        <f>IFERROR(__xludf.DUMMYFUNCTION("REGEXREPLACE(A2039, ""^https?://[^/]+"", """")"),"/wp-content/uploads/2022/04/Tappan-Scott-275x275-1-100x100.jpg")</f>
        <v>/wp-content/uploads/2022/04/Tappan-Scott-275x275-1-100x100.jpg</v>
      </c>
      <c r="F2039" s="1" t="s">
        <v>1004</v>
      </c>
      <c r="G2039" s="1">
        <v>200.0</v>
      </c>
      <c r="H2039" s="1" t="s">
        <v>966</v>
      </c>
      <c r="I2039" s="1" t="s">
        <v>967</v>
      </c>
      <c r="L2039" s="1">
        <v>0.0</v>
      </c>
      <c r="M2039" s="1">
        <v>0.0</v>
      </c>
      <c r="O2039" s="1">
        <v>0.0</v>
      </c>
      <c r="P2039" s="1">
        <v>0.0</v>
      </c>
      <c r="R2039" s="1">
        <v>0.0</v>
      </c>
      <c r="S2039" s="1">
        <v>0.0</v>
      </c>
      <c r="U2039" s="1">
        <v>0.0</v>
      </c>
      <c r="W2039" s="1">
        <v>0.0</v>
      </c>
      <c r="Y2039" s="1">
        <v>0.0</v>
      </c>
      <c r="AA2039" s="1">
        <v>0.0</v>
      </c>
      <c r="AC2039" s="1">
        <v>0.0</v>
      </c>
      <c r="AM2039" s="1">
        <v>2657.0</v>
      </c>
      <c r="AN2039" s="1">
        <v>2657.0</v>
      </c>
      <c r="AO2039" s="1">
        <v>2657.0</v>
      </c>
      <c r="AP2039" s="1">
        <v>1.018</v>
      </c>
      <c r="AR2039" s="1">
        <v>0.0</v>
      </c>
      <c r="AW2039" s="1">
        <v>0.0</v>
      </c>
      <c r="AX2039" s="1">
        <v>4.0</v>
      </c>
      <c r="AY2039" s="1">
        <v>4.0</v>
      </c>
      <c r="BA2039" s="1">
        <v>0.0</v>
      </c>
      <c r="BB2039" s="1">
        <v>0.0</v>
      </c>
      <c r="BC2039" s="1">
        <v>0.0</v>
      </c>
      <c r="BD2039" s="1">
        <v>0.0</v>
      </c>
      <c r="BE2039" s="1">
        <v>0.0</v>
      </c>
      <c r="BF2039" s="1">
        <v>0.0</v>
      </c>
      <c r="BG2039" s="1">
        <v>0.0</v>
      </c>
      <c r="BH2039" s="1">
        <v>0.0</v>
      </c>
      <c r="BI2039" s="1">
        <v>0.0</v>
      </c>
      <c r="BJ2039" s="1">
        <v>0.0</v>
      </c>
      <c r="BP2039" s="1">
        <v>0.263</v>
      </c>
      <c r="BQ2039" s="1" t="s">
        <v>6709</v>
      </c>
      <c r="BV2039" s="1">
        <v>1.1</v>
      </c>
      <c r="EQ2039" s="9" t="s">
        <v>6708</v>
      </c>
      <c r="ER2039" s="21">
        <v>46045.301666666666</v>
      </c>
    </row>
    <row r="2040">
      <c r="A2040" s="9" t="s">
        <v>6710</v>
      </c>
      <c r="B2040" s="20" t="str">
        <f>IFERROR(__xludf.DUMMYFUNCTION("REGEXREPLACE(A2040, ""^https?://[^/]+"", """")"),"/wp-content/uploads/2024/09/Mastering-Personalization-in-Sales.jpg")</f>
        <v>/wp-content/uploads/2024/09/Mastering-Personalization-in-Sales.jpg</v>
      </c>
      <c r="F2040" s="1" t="s">
        <v>1004</v>
      </c>
      <c r="G2040" s="1">
        <v>200.0</v>
      </c>
      <c r="H2040" s="1" t="s">
        <v>966</v>
      </c>
      <c r="I2040" s="1" t="s">
        <v>967</v>
      </c>
      <c r="L2040" s="1">
        <v>0.0</v>
      </c>
      <c r="M2040" s="1">
        <v>0.0</v>
      </c>
      <c r="O2040" s="1">
        <v>0.0</v>
      </c>
      <c r="P2040" s="1">
        <v>0.0</v>
      </c>
      <c r="R2040" s="1">
        <v>0.0</v>
      </c>
      <c r="S2040" s="1">
        <v>0.0</v>
      </c>
      <c r="U2040" s="1">
        <v>0.0</v>
      </c>
      <c r="W2040" s="1">
        <v>0.0</v>
      </c>
      <c r="Y2040" s="1">
        <v>0.0</v>
      </c>
      <c r="AA2040" s="1">
        <v>0.0</v>
      </c>
      <c r="AC2040" s="1">
        <v>0.0</v>
      </c>
      <c r="AM2040" s="1">
        <v>179417.0</v>
      </c>
      <c r="AN2040" s="1">
        <v>179417.0</v>
      </c>
      <c r="AO2040" s="1">
        <v>179417.0</v>
      </c>
      <c r="AP2040" s="1">
        <v>68.731</v>
      </c>
      <c r="AR2040" s="1">
        <v>0.0</v>
      </c>
      <c r="AW2040" s="1">
        <v>0.0</v>
      </c>
      <c r="AX2040" s="1">
        <v>4.0</v>
      </c>
      <c r="AY2040" s="1">
        <v>4.0</v>
      </c>
      <c r="BA2040" s="1">
        <v>0.0</v>
      </c>
      <c r="BB2040" s="1">
        <v>0.0</v>
      </c>
      <c r="BC2040" s="1">
        <v>0.0</v>
      </c>
      <c r="BD2040" s="1">
        <v>0.0</v>
      </c>
      <c r="BE2040" s="1">
        <v>0.0</v>
      </c>
      <c r="BF2040" s="1">
        <v>0.0</v>
      </c>
      <c r="BG2040" s="1">
        <v>0.0</v>
      </c>
      <c r="BH2040" s="1">
        <v>0.0</v>
      </c>
      <c r="BI2040" s="1">
        <v>0.0</v>
      </c>
      <c r="BJ2040" s="1">
        <v>0.0</v>
      </c>
      <c r="BP2040" s="1">
        <v>0.267</v>
      </c>
      <c r="BQ2040" s="1" t="s">
        <v>6711</v>
      </c>
      <c r="BV2040" s="1">
        <v>1.1</v>
      </c>
      <c r="EQ2040" s="9" t="s">
        <v>6710</v>
      </c>
      <c r="ER2040" s="21">
        <v>46045.301666666666</v>
      </c>
    </row>
    <row r="2041">
      <c r="A2041" s="9" t="s">
        <v>6712</v>
      </c>
      <c r="B2041" s="20" t="str">
        <f>IFERROR(__xludf.DUMMYFUNCTION("REGEXREPLACE(A2041, ""^https?://[^/]+"", """")"),"/sales-agility-assessment?locationid=27833113")</f>
        <v>/sales-agility-assessment?locationid=27833113</v>
      </c>
      <c r="F2041" s="1" t="s">
        <v>965</v>
      </c>
      <c r="G2041" s="1">
        <v>301.0</v>
      </c>
      <c r="H2041" s="1" t="s">
        <v>1304</v>
      </c>
      <c r="I2041" s="1" t="s">
        <v>1214</v>
      </c>
      <c r="J2041" s="1" t="s">
        <v>1305</v>
      </c>
      <c r="L2041" s="1">
        <v>0.0</v>
      </c>
      <c r="M2041" s="1">
        <v>0.0</v>
      </c>
      <c r="O2041" s="1">
        <v>0.0</v>
      </c>
      <c r="P2041" s="1">
        <v>0.0</v>
      </c>
      <c r="R2041" s="1">
        <v>0.0</v>
      </c>
      <c r="S2041" s="1">
        <v>0.0</v>
      </c>
      <c r="U2041" s="1">
        <v>0.0</v>
      </c>
      <c r="W2041" s="1">
        <v>0.0</v>
      </c>
      <c r="Y2041" s="1">
        <v>0.0</v>
      </c>
      <c r="AA2041" s="1">
        <v>0.0</v>
      </c>
      <c r="AC2041" s="1">
        <v>0.0</v>
      </c>
      <c r="AM2041" s="1">
        <v>0.0</v>
      </c>
      <c r="AN2041" s="1">
        <v>0.0</v>
      </c>
      <c r="AO2041" s="1">
        <v>0.0</v>
      </c>
      <c r="AP2041" s="1">
        <v>0.0</v>
      </c>
      <c r="AR2041" s="1">
        <v>0.0</v>
      </c>
      <c r="AW2041" s="1">
        <v>0.0</v>
      </c>
      <c r="AX2041" s="1">
        <v>4.0</v>
      </c>
      <c r="AY2041" s="1">
        <v>0.0</v>
      </c>
      <c r="BA2041" s="1">
        <v>2.0</v>
      </c>
      <c r="BB2041" s="1">
        <v>2.0</v>
      </c>
      <c r="BC2041" s="1">
        <v>0.0</v>
      </c>
      <c r="BD2041" s="1">
        <v>0.27</v>
      </c>
      <c r="BE2041" s="1">
        <v>0.0</v>
      </c>
      <c r="BF2041" s="1">
        <v>0.0</v>
      </c>
      <c r="BG2041" s="1">
        <v>0.0</v>
      </c>
      <c r="BH2041" s="1">
        <v>0.0</v>
      </c>
      <c r="BI2041" s="1">
        <v>0.0</v>
      </c>
      <c r="BJ2041" s="1">
        <v>0.0</v>
      </c>
      <c r="BP2041" s="1">
        <v>0.575</v>
      </c>
      <c r="BR2041" s="9" t="s">
        <v>6713</v>
      </c>
      <c r="BS2041" s="1" t="s">
        <v>1307</v>
      </c>
      <c r="BV2041" s="1">
        <v>1.1</v>
      </c>
      <c r="EQ2041" s="9" t="s">
        <v>6712</v>
      </c>
      <c r="ER2041" s="21">
        <v>46045.301666666666</v>
      </c>
    </row>
    <row r="2042">
      <c r="A2042" s="9" t="s">
        <v>6714</v>
      </c>
      <c r="B2042" s="20" t="str">
        <f>IFERROR(__xludf.DUMMYFUNCTION("REGEXREPLACE(A2042, ""^https?://[^/]+"", """")"),"/wp-content/themes/salesxceleratione/assets/css/style.css?ver=1769123562")</f>
        <v>/wp-content/themes/salesxceleratione/assets/css/style.css?ver=1769123562</v>
      </c>
      <c r="F2042" s="1" t="s">
        <v>1016</v>
      </c>
      <c r="G2042" s="1">
        <v>200.0</v>
      </c>
      <c r="H2042" s="1" t="s">
        <v>966</v>
      </c>
      <c r="I2042" s="1" t="s">
        <v>967</v>
      </c>
      <c r="L2042" s="1">
        <v>0.0</v>
      </c>
      <c r="M2042" s="1">
        <v>0.0</v>
      </c>
      <c r="O2042" s="1">
        <v>0.0</v>
      </c>
      <c r="P2042" s="1">
        <v>0.0</v>
      </c>
      <c r="R2042" s="1">
        <v>0.0</v>
      </c>
      <c r="S2042" s="1">
        <v>0.0</v>
      </c>
      <c r="U2042" s="1">
        <v>0.0</v>
      </c>
      <c r="W2042" s="1">
        <v>0.0</v>
      </c>
      <c r="Y2042" s="1">
        <v>0.0</v>
      </c>
      <c r="AA2042" s="1">
        <v>0.0</v>
      </c>
      <c r="AC2042" s="1">
        <v>0.0</v>
      </c>
      <c r="AM2042" s="1">
        <v>17704.0</v>
      </c>
      <c r="AN2042" s="1">
        <v>17704.0</v>
      </c>
      <c r="AO2042" s="1">
        <v>17704.0</v>
      </c>
      <c r="AP2042" s="1">
        <v>6.782</v>
      </c>
      <c r="AR2042" s="1">
        <v>0.0</v>
      </c>
      <c r="AW2042" s="1">
        <v>0.0</v>
      </c>
      <c r="AX2042" s="1">
        <v>4.0</v>
      </c>
      <c r="AY2042" s="1">
        <v>5.0</v>
      </c>
      <c r="BA2042" s="1">
        <v>0.0</v>
      </c>
      <c r="BB2042" s="1">
        <v>0.0</v>
      </c>
      <c r="BC2042" s="1">
        <v>0.0</v>
      </c>
      <c r="BD2042" s="1">
        <v>0.0</v>
      </c>
      <c r="BE2042" s="1">
        <v>0.0</v>
      </c>
      <c r="BF2042" s="1">
        <v>0.0</v>
      </c>
      <c r="BG2042" s="1">
        <v>0.0</v>
      </c>
      <c r="BH2042" s="1">
        <v>0.0</v>
      </c>
      <c r="BI2042" s="1">
        <v>0.0</v>
      </c>
      <c r="BJ2042" s="1">
        <v>0.0</v>
      </c>
      <c r="BP2042" s="1">
        <v>0.296</v>
      </c>
      <c r="BQ2042" s="1" t="s">
        <v>6715</v>
      </c>
      <c r="BV2042" s="1">
        <v>1.1</v>
      </c>
      <c r="EQ2042" s="9" t="s">
        <v>6714</v>
      </c>
      <c r="ER2042" s="21">
        <v>46045.301666666666</v>
      </c>
    </row>
    <row r="2043">
      <c r="A2043" s="9" t="s">
        <v>6716</v>
      </c>
      <c r="B2043" s="20" t="str">
        <f>IFERROR(__xludf.DUMMYFUNCTION("REGEXREPLACE(A2043, ""^https?://[^/]+"", """")"),"/wp-content/uploads/2024/09/5-Steps-to-Master-Personalization-in-Sales.jpg")</f>
        <v>/wp-content/uploads/2024/09/5-Steps-to-Master-Personalization-in-Sales.jpg</v>
      </c>
      <c r="F2043" s="1" t="s">
        <v>1004</v>
      </c>
      <c r="G2043" s="1">
        <v>200.0</v>
      </c>
      <c r="H2043" s="1" t="s">
        <v>966</v>
      </c>
      <c r="I2043" s="1" t="s">
        <v>967</v>
      </c>
      <c r="L2043" s="1">
        <v>0.0</v>
      </c>
      <c r="M2043" s="1">
        <v>0.0</v>
      </c>
      <c r="O2043" s="1">
        <v>0.0</v>
      </c>
      <c r="P2043" s="1">
        <v>0.0</v>
      </c>
      <c r="R2043" s="1">
        <v>0.0</v>
      </c>
      <c r="S2043" s="1">
        <v>0.0</v>
      </c>
      <c r="U2043" s="1">
        <v>0.0</v>
      </c>
      <c r="W2043" s="1">
        <v>0.0</v>
      </c>
      <c r="Y2043" s="1">
        <v>0.0</v>
      </c>
      <c r="AA2043" s="1">
        <v>0.0</v>
      </c>
      <c r="AC2043" s="1">
        <v>0.0</v>
      </c>
      <c r="AM2043" s="1">
        <v>125272.0</v>
      </c>
      <c r="AN2043" s="1">
        <v>125272.0</v>
      </c>
      <c r="AO2043" s="1">
        <v>125272.0</v>
      </c>
      <c r="AP2043" s="1">
        <v>47.989</v>
      </c>
      <c r="AR2043" s="1">
        <v>0.0</v>
      </c>
      <c r="AW2043" s="1">
        <v>0.0</v>
      </c>
      <c r="AX2043" s="1">
        <v>4.0</v>
      </c>
      <c r="AY2043" s="1">
        <v>4.0</v>
      </c>
      <c r="BA2043" s="1">
        <v>0.0</v>
      </c>
      <c r="BB2043" s="1">
        <v>0.0</v>
      </c>
      <c r="BC2043" s="1">
        <v>0.0</v>
      </c>
      <c r="BD2043" s="1">
        <v>0.0</v>
      </c>
      <c r="BE2043" s="1">
        <v>0.0</v>
      </c>
      <c r="BF2043" s="1">
        <v>0.0</v>
      </c>
      <c r="BG2043" s="1">
        <v>0.0</v>
      </c>
      <c r="BH2043" s="1">
        <v>0.0</v>
      </c>
      <c r="BI2043" s="1">
        <v>0.0</v>
      </c>
      <c r="BJ2043" s="1">
        <v>0.0</v>
      </c>
      <c r="BP2043" s="1">
        <v>0.278</v>
      </c>
      <c r="BQ2043" s="1" t="s">
        <v>6717</v>
      </c>
      <c r="BV2043" s="1">
        <v>1.1</v>
      </c>
      <c r="EQ2043" s="9" t="s">
        <v>6716</v>
      </c>
      <c r="ER2043" s="21">
        <v>46045.301666666666</v>
      </c>
    </row>
    <row r="2044">
      <c r="A2044" s="9" t="s">
        <v>6718</v>
      </c>
      <c r="B2044" s="20" t="str">
        <f>IFERROR(__xludf.DUMMYFUNCTION("REGEXREPLACE(A2044, ""^https?://[^/]+"", """")"),"/author/scott-tappan/")</f>
        <v>/author/scott-tappan/</v>
      </c>
      <c r="C2044" s="1" t="s">
        <v>6719</v>
      </c>
      <c r="F2044" s="1" t="s">
        <v>965</v>
      </c>
      <c r="G2044" s="1">
        <v>200.0</v>
      </c>
      <c r="H2044" s="1" t="s">
        <v>966</v>
      </c>
      <c r="I2044" s="1" t="s">
        <v>967</v>
      </c>
      <c r="K2044" s="1" t="s">
        <v>6720</v>
      </c>
      <c r="L2044" s="1">
        <v>41.0</v>
      </c>
      <c r="M2044" s="1">
        <v>372.0</v>
      </c>
      <c r="O2044" s="1">
        <v>0.0</v>
      </c>
      <c r="P2044" s="1">
        <v>0.0</v>
      </c>
      <c r="R2044" s="1">
        <v>0.0</v>
      </c>
      <c r="S2044" s="1">
        <v>0.0</v>
      </c>
      <c r="U2044" s="1">
        <v>0.0</v>
      </c>
      <c r="V2044" s="1" t="s">
        <v>6719</v>
      </c>
      <c r="W2044" s="1">
        <v>12.0</v>
      </c>
      <c r="Y2044" s="1">
        <v>0.0</v>
      </c>
      <c r="AA2044" s="1">
        <v>0.0</v>
      </c>
      <c r="AC2044" s="1">
        <v>0.0</v>
      </c>
      <c r="AD2044" s="1" t="s">
        <v>971</v>
      </c>
      <c r="AG2044" s="9" t="s">
        <v>6718</v>
      </c>
      <c r="AM2044" s="1">
        <v>151936.0</v>
      </c>
      <c r="AN2044" s="1">
        <v>29839.0</v>
      </c>
      <c r="AO2044" s="1">
        <v>29839.0</v>
      </c>
      <c r="AP2044" s="1">
        <v>11.431</v>
      </c>
      <c r="AR2044" s="1">
        <v>611.0</v>
      </c>
      <c r="AS2044" s="1">
        <v>104.0</v>
      </c>
      <c r="AT2044" s="1">
        <v>5.875</v>
      </c>
      <c r="AU2044" s="1">
        <v>58.118</v>
      </c>
      <c r="AV2044" s="1" t="s">
        <v>972</v>
      </c>
      <c r="AW2044" s="1">
        <v>4.121</v>
      </c>
      <c r="AX2044" s="1">
        <v>4.0</v>
      </c>
      <c r="AY2044" s="1">
        <v>2.0</v>
      </c>
      <c r="AZ2044" s="1">
        <v>1.0</v>
      </c>
      <c r="BA2044" s="1">
        <v>3.0</v>
      </c>
      <c r="BB2044" s="1">
        <v>1.0</v>
      </c>
      <c r="BC2044" s="1">
        <v>0.0</v>
      </c>
      <c r="BD2044" s="1">
        <v>0.13</v>
      </c>
      <c r="BE2044" s="1">
        <v>127.0</v>
      </c>
      <c r="BF2044" s="1">
        <v>45.0</v>
      </c>
      <c r="BG2044" s="1">
        <v>0.0</v>
      </c>
      <c r="BH2044" s="1">
        <v>16.0</v>
      </c>
      <c r="BI2044" s="1">
        <v>8.0</v>
      </c>
      <c r="BJ2044" s="1">
        <v>0.0</v>
      </c>
      <c r="BO2044" s="1" t="s">
        <v>6721</v>
      </c>
      <c r="BP2044" s="1">
        <v>1.051</v>
      </c>
      <c r="BU2044" s="1" t="s">
        <v>974</v>
      </c>
      <c r="BV2044" s="1">
        <v>1.1</v>
      </c>
      <c r="EQ2044" s="9" t="s">
        <v>6718</v>
      </c>
      <c r="ER2044" s="21">
        <v>46045.301666666666</v>
      </c>
    </row>
    <row r="2045">
      <c r="A2045" s="9" t="s">
        <v>6722</v>
      </c>
      <c r="B2045" s="20" t="str">
        <f>IFERROR(__xludf.DUMMYFUNCTION("REGEXREPLACE(A2045, ""^https?://[^/]+"", """")"),"/wp-content/themes/salesxceleratione/assets/css/style.css?ver=1769123563")</f>
        <v>/wp-content/themes/salesxceleratione/assets/css/style.css?ver=1769123563</v>
      </c>
      <c r="F2045" s="1" t="s">
        <v>1016</v>
      </c>
      <c r="G2045" s="1">
        <v>200.0</v>
      </c>
      <c r="H2045" s="1" t="s">
        <v>966</v>
      </c>
      <c r="I2045" s="1" t="s">
        <v>967</v>
      </c>
      <c r="L2045" s="1">
        <v>0.0</v>
      </c>
      <c r="M2045" s="1">
        <v>0.0</v>
      </c>
      <c r="O2045" s="1">
        <v>0.0</v>
      </c>
      <c r="P2045" s="1">
        <v>0.0</v>
      </c>
      <c r="R2045" s="1">
        <v>0.0</v>
      </c>
      <c r="S2045" s="1">
        <v>0.0</v>
      </c>
      <c r="U2045" s="1">
        <v>0.0</v>
      </c>
      <c r="W2045" s="1">
        <v>0.0</v>
      </c>
      <c r="Y2045" s="1">
        <v>0.0</v>
      </c>
      <c r="AA2045" s="1">
        <v>0.0</v>
      </c>
      <c r="AC2045" s="1">
        <v>0.0</v>
      </c>
      <c r="AM2045" s="1">
        <v>17704.0</v>
      </c>
      <c r="AN2045" s="1">
        <v>17704.0</v>
      </c>
      <c r="AO2045" s="1">
        <v>17704.0</v>
      </c>
      <c r="AP2045" s="1">
        <v>6.782</v>
      </c>
      <c r="AR2045" s="1">
        <v>0.0</v>
      </c>
      <c r="AW2045" s="1">
        <v>0.0</v>
      </c>
      <c r="AX2045" s="1">
        <v>4.0</v>
      </c>
      <c r="AY2045" s="1">
        <v>5.0</v>
      </c>
      <c r="BA2045" s="1">
        <v>0.0</v>
      </c>
      <c r="BB2045" s="1">
        <v>0.0</v>
      </c>
      <c r="BC2045" s="1">
        <v>0.0</v>
      </c>
      <c r="BD2045" s="1">
        <v>0.0</v>
      </c>
      <c r="BE2045" s="1">
        <v>0.0</v>
      </c>
      <c r="BF2045" s="1">
        <v>0.0</v>
      </c>
      <c r="BG2045" s="1">
        <v>0.0</v>
      </c>
      <c r="BH2045" s="1">
        <v>0.0</v>
      </c>
      <c r="BI2045" s="1">
        <v>0.0</v>
      </c>
      <c r="BJ2045" s="1">
        <v>0.0</v>
      </c>
      <c r="BP2045" s="1">
        <v>0.277</v>
      </c>
      <c r="BQ2045" s="1" t="s">
        <v>6723</v>
      </c>
      <c r="BV2045" s="1">
        <v>1.1</v>
      </c>
      <c r="EQ2045" s="9" t="s">
        <v>6722</v>
      </c>
      <c r="ER2045" s="21">
        <v>46045.30167824074</v>
      </c>
    </row>
    <row r="2046">
      <c r="A2046" s="9" t="s">
        <v>6724</v>
      </c>
      <c r="B2046" s="20" t="str">
        <f>IFERROR(__xludf.DUMMYFUNCTION("REGEXREPLACE(A2046, ""^https?://[^/]+"", """")"),"/wp-content/uploads/2026/01/Why-68-of-Companies-Cant-Trust-Their-Sales-Forecasts.jpg")</f>
        <v>/wp-content/uploads/2026/01/Why-68-of-Companies-Cant-Trust-Their-Sales-Forecasts.jpg</v>
      </c>
      <c r="F2046" s="1" t="s">
        <v>1004</v>
      </c>
      <c r="G2046" s="1">
        <v>200.0</v>
      </c>
      <c r="H2046" s="1" t="s">
        <v>966</v>
      </c>
      <c r="I2046" s="1" t="s">
        <v>967</v>
      </c>
      <c r="L2046" s="1">
        <v>0.0</v>
      </c>
      <c r="M2046" s="1">
        <v>0.0</v>
      </c>
      <c r="O2046" s="1">
        <v>0.0</v>
      </c>
      <c r="P2046" s="1">
        <v>0.0</v>
      </c>
      <c r="R2046" s="1">
        <v>0.0</v>
      </c>
      <c r="S2046" s="1">
        <v>0.0</v>
      </c>
      <c r="U2046" s="1">
        <v>0.0</v>
      </c>
      <c r="W2046" s="1">
        <v>0.0</v>
      </c>
      <c r="Y2046" s="1">
        <v>0.0</v>
      </c>
      <c r="AA2046" s="1">
        <v>0.0</v>
      </c>
      <c r="AC2046" s="1">
        <v>0.0</v>
      </c>
      <c r="AM2046" s="1">
        <v>339488.0</v>
      </c>
      <c r="AN2046" s="1">
        <v>339488.0</v>
      </c>
      <c r="AO2046" s="1">
        <v>339488.0</v>
      </c>
      <c r="AP2046" s="1">
        <v>130.051</v>
      </c>
      <c r="AR2046" s="1">
        <v>0.0</v>
      </c>
      <c r="AW2046" s="1">
        <v>0.0</v>
      </c>
      <c r="AX2046" s="1">
        <v>4.0</v>
      </c>
      <c r="AY2046" s="1">
        <v>4.0</v>
      </c>
      <c r="BA2046" s="1">
        <v>0.0</v>
      </c>
      <c r="BB2046" s="1">
        <v>0.0</v>
      </c>
      <c r="BC2046" s="1">
        <v>0.0</v>
      </c>
      <c r="BD2046" s="1">
        <v>0.0</v>
      </c>
      <c r="BE2046" s="1">
        <v>0.0</v>
      </c>
      <c r="BF2046" s="1">
        <v>0.0</v>
      </c>
      <c r="BG2046" s="1">
        <v>0.0</v>
      </c>
      <c r="BH2046" s="1">
        <v>0.0</v>
      </c>
      <c r="BI2046" s="1">
        <v>0.0</v>
      </c>
      <c r="BJ2046" s="1">
        <v>0.0</v>
      </c>
      <c r="BP2046" s="1">
        <v>0.27</v>
      </c>
      <c r="BQ2046" s="1" t="s">
        <v>6725</v>
      </c>
      <c r="BV2046" s="1">
        <v>1.1</v>
      </c>
      <c r="EQ2046" s="9" t="s">
        <v>6724</v>
      </c>
      <c r="ER2046" s="21">
        <v>46045.30167824074</v>
      </c>
    </row>
    <row r="2047">
      <c r="A2047" s="9" t="s">
        <v>6726</v>
      </c>
      <c r="B2047" s="20" t="str">
        <f>IFERROR(__xludf.DUMMYFUNCTION("REGEXREPLACE(A2047, ""^https?://[^/]+"", """")"),"/how-to-define-and-analyze-your-target-market-for-growth/")</f>
        <v>/how-to-define-and-analyze-your-target-market-for-growth/</v>
      </c>
      <c r="C2047" s="1" t="s">
        <v>6727</v>
      </c>
      <c r="D2047" s="1" t="s">
        <v>6728</v>
      </c>
      <c r="E2047" s="1" t="s">
        <v>6729</v>
      </c>
      <c r="F2047" s="1" t="s">
        <v>965</v>
      </c>
      <c r="G2047" s="1">
        <v>200.0</v>
      </c>
      <c r="H2047" s="1" t="s">
        <v>966</v>
      </c>
      <c r="I2047" s="1" t="s">
        <v>967</v>
      </c>
      <c r="K2047" s="1" t="s">
        <v>6730</v>
      </c>
      <c r="L2047" s="1">
        <v>80.0</v>
      </c>
      <c r="M2047" s="1">
        <v>732.0</v>
      </c>
      <c r="O2047" s="1">
        <v>0.0</v>
      </c>
      <c r="P2047" s="1">
        <v>0.0</v>
      </c>
      <c r="Q2047" s="1" t="s">
        <v>6731</v>
      </c>
      <c r="R2047" s="1">
        <v>153.0</v>
      </c>
      <c r="S2047" s="1">
        <v>951.0</v>
      </c>
      <c r="U2047" s="1">
        <v>0.0</v>
      </c>
      <c r="V2047" s="1" t="s">
        <v>6727</v>
      </c>
      <c r="W2047" s="1">
        <v>55.0</v>
      </c>
      <c r="Y2047" s="1">
        <v>0.0</v>
      </c>
      <c r="Z2047" s="1" t="s">
        <v>6728</v>
      </c>
      <c r="AA2047" s="1">
        <v>22.0</v>
      </c>
      <c r="AB2047" s="1" t="s">
        <v>6729</v>
      </c>
      <c r="AC2047" s="1">
        <v>22.0</v>
      </c>
      <c r="AD2047" s="1" t="s">
        <v>971</v>
      </c>
      <c r="AG2047" s="9" t="s">
        <v>6726</v>
      </c>
      <c r="AM2047" s="1">
        <v>206028.0</v>
      </c>
      <c r="AN2047" s="1">
        <v>36484.0</v>
      </c>
      <c r="AO2047" s="1">
        <v>36484.0</v>
      </c>
      <c r="AP2047" s="1">
        <v>13.976</v>
      </c>
      <c r="AR2047" s="1">
        <v>1306.0</v>
      </c>
      <c r="AS2047" s="1">
        <v>211.0</v>
      </c>
      <c r="AT2047" s="1">
        <v>6.19</v>
      </c>
      <c r="AU2047" s="1">
        <v>56.163</v>
      </c>
      <c r="AV2047" s="1" t="s">
        <v>972</v>
      </c>
      <c r="AW2047" s="1">
        <v>5.193</v>
      </c>
      <c r="AX2047" s="1">
        <v>4.0</v>
      </c>
      <c r="AY2047" s="1">
        <v>1.0</v>
      </c>
      <c r="AZ2047" s="1">
        <v>1.0</v>
      </c>
      <c r="BA2047" s="1">
        <v>1.0</v>
      </c>
      <c r="BB2047" s="1">
        <v>1.0</v>
      </c>
      <c r="BC2047" s="1">
        <v>0.0</v>
      </c>
      <c r="BD2047" s="1">
        <v>0.13</v>
      </c>
      <c r="BE2047" s="1">
        <v>135.0</v>
      </c>
      <c r="BF2047" s="1">
        <v>51.0</v>
      </c>
      <c r="BG2047" s="1">
        <v>0.0</v>
      </c>
      <c r="BH2047" s="1">
        <v>16.0</v>
      </c>
      <c r="BI2047" s="1">
        <v>8.0</v>
      </c>
      <c r="BJ2047" s="1">
        <v>0.0</v>
      </c>
      <c r="BO2047" s="1" t="s">
        <v>6732</v>
      </c>
      <c r="BP2047" s="1">
        <v>0.984</v>
      </c>
      <c r="BU2047" s="1" t="s">
        <v>974</v>
      </c>
      <c r="BV2047" s="1">
        <v>1.1</v>
      </c>
      <c r="EQ2047" s="9" t="s">
        <v>6726</v>
      </c>
      <c r="ER2047" s="21">
        <v>46045.301666666666</v>
      </c>
    </row>
    <row r="2048">
      <c r="A2048" s="9" t="s">
        <v>6733</v>
      </c>
      <c r="B2048" s="20" t="str">
        <f>IFERROR(__xludf.DUMMYFUNCTION("REGEXREPLACE(A2048, ""^https?://[^/]+"", """")"),"/wp-content/uploads/2026/01/Most-Sales-Teams-Are-Flying-Blind.png")</f>
        <v>/wp-content/uploads/2026/01/Most-Sales-Teams-Are-Flying-Blind.png</v>
      </c>
      <c r="F2048" s="1" t="s">
        <v>1047</v>
      </c>
      <c r="G2048" s="1">
        <v>200.0</v>
      </c>
      <c r="H2048" s="1" t="s">
        <v>966</v>
      </c>
      <c r="I2048" s="1" t="s">
        <v>967</v>
      </c>
      <c r="L2048" s="1">
        <v>0.0</v>
      </c>
      <c r="M2048" s="1">
        <v>0.0</v>
      </c>
      <c r="O2048" s="1">
        <v>0.0</v>
      </c>
      <c r="P2048" s="1">
        <v>0.0</v>
      </c>
      <c r="R2048" s="1">
        <v>0.0</v>
      </c>
      <c r="S2048" s="1">
        <v>0.0</v>
      </c>
      <c r="U2048" s="1">
        <v>0.0</v>
      </c>
      <c r="W2048" s="1">
        <v>0.0</v>
      </c>
      <c r="Y2048" s="1">
        <v>0.0</v>
      </c>
      <c r="AA2048" s="1">
        <v>0.0</v>
      </c>
      <c r="AC2048" s="1">
        <v>0.0</v>
      </c>
      <c r="AM2048" s="1">
        <v>124225.0</v>
      </c>
      <c r="AN2048" s="1">
        <v>124225.0</v>
      </c>
      <c r="AO2048" s="1">
        <v>124225.0</v>
      </c>
      <c r="AP2048" s="1">
        <v>47.588</v>
      </c>
      <c r="AR2048" s="1">
        <v>0.0</v>
      </c>
      <c r="AW2048" s="1">
        <v>0.0</v>
      </c>
      <c r="AX2048" s="1">
        <v>4.0</v>
      </c>
      <c r="AY2048" s="1">
        <v>4.0</v>
      </c>
      <c r="BA2048" s="1">
        <v>0.0</v>
      </c>
      <c r="BB2048" s="1">
        <v>0.0</v>
      </c>
      <c r="BC2048" s="1">
        <v>0.0</v>
      </c>
      <c r="BD2048" s="1">
        <v>0.0</v>
      </c>
      <c r="BE2048" s="1">
        <v>0.0</v>
      </c>
      <c r="BF2048" s="1">
        <v>0.0</v>
      </c>
      <c r="BG2048" s="1">
        <v>0.0</v>
      </c>
      <c r="BH2048" s="1">
        <v>0.0</v>
      </c>
      <c r="BI2048" s="1">
        <v>0.0</v>
      </c>
      <c r="BJ2048" s="1">
        <v>0.0</v>
      </c>
      <c r="BP2048" s="1">
        <v>0.297</v>
      </c>
      <c r="BQ2048" s="1" t="s">
        <v>6734</v>
      </c>
      <c r="BV2048" s="1">
        <v>1.1</v>
      </c>
      <c r="EQ2048" s="9" t="s">
        <v>6733</v>
      </c>
      <c r="ER2048" s="21">
        <v>46045.30167824074</v>
      </c>
    </row>
    <row r="2049">
      <c r="A2049" s="9" t="s">
        <v>6735</v>
      </c>
      <c r="B2049" s="20" t="str">
        <f>IFERROR(__xludf.DUMMYFUNCTION("REGEXREPLACE(A2049, ""^https?://[^/]+"", """")"),"/wp-content/themes/salesxceleratione/assets/css/style.css?ver=1769123572")</f>
        <v>/wp-content/themes/salesxceleratione/assets/css/style.css?ver=1769123572</v>
      </c>
      <c r="F2049" s="1" t="s">
        <v>1016</v>
      </c>
      <c r="G2049" s="1">
        <v>200.0</v>
      </c>
      <c r="H2049" s="1" t="s">
        <v>966</v>
      </c>
      <c r="I2049" s="1" t="s">
        <v>967</v>
      </c>
      <c r="L2049" s="1">
        <v>0.0</v>
      </c>
      <c r="M2049" s="1">
        <v>0.0</v>
      </c>
      <c r="O2049" s="1">
        <v>0.0</v>
      </c>
      <c r="P2049" s="1">
        <v>0.0</v>
      </c>
      <c r="R2049" s="1">
        <v>0.0</v>
      </c>
      <c r="S2049" s="1">
        <v>0.0</v>
      </c>
      <c r="U2049" s="1">
        <v>0.0</v>
      </c>
      <c r="W2049" s="1">
        <v>0.0</v>
      </c>
      <c r="Y2049" s="1">
        <v>0.0</v>
      </c>
      <c r="AA2049" s="1">
        <v>0.0</v>
      </c>
      <c r="AC2049" s="1">
        <v>0.0</v>
      </c>
      <c r="AM2049" s="1">
        <v>17704.0</v>
      </c>
      <c r="AN2049" s="1">
        <v>17704.0</v>
      </c>
      <c r="AO2049" s="1">
        <v>17704.0</v>
      </c>
      <c r="AP2049" s="1">
        <v>6.782</v>
      </c>
      <c r="AR2049" s="1">
        <v>0.0</v>
      </c>
      <c r="AW2049" s="1">
        <v>0.0</v>
      </c>
      <c r="AX2049" s="1">
        <v>4.0</v>
      </c>
      <c r="AY2049" s="1">
        <v>5.0</v>
      </c>
      <c r="BA2049" s="1">
        <v>0.0</v>
      </c>
      <c r="BB2049" s="1">
        <v>0.0</v>
      </c>
      <c r="BC2049" s="1">
        <v>0.0</v>
      </c>
      <c r="BD2049" s="1">
        <v>0.0</v>
      </c>
      <c r="BE2049" s="1">
        <v>0.0</v>
      </c>
      <c r="BF2049" s="1">
        <v>0.0</v>
      </c>
      <c r="BG2049" s="1">
        <v>0.0</v>
      </c>
      <c r="BH2049" s="1">
        <v>0.0</v>
      </c>
      <c r="BI2049" s="1">
        <v>0.0</v>
      </c>
      <c r="BJ2049" s="1">
        <v>0.0</v>
      </c>
      <c r="BP2049" s="1">
        <v>0.25</v>
      </c>
      <c r="BQ2049" s="1" t="s">
        <v>6736</v>
      </c>
      <c r="BV2049" s="1">
        <v>1.1</v>
      </c>
      <c r="EQ2049" s="9" t="s">
        <v>6735</v>
      </c>
      <c r="ER2049" s="21">
        <v>46045.30168981481</v>
      </c>
    </row>
    <row r="2050">
      <c r="A2050" s="9" t="s">
        <v>6737</v>
      </c>
      <c r="B2050" s="20" t="str">
        <f>IFERROR(__xludf.DUMMYFUNCTION("REGEXREPLACE(A2050, ""^https?://[^/]+"", """")"),"/wp-content/uploads/2015/03/fishing-grandpa-sales-lessons-family-wisdom-2048x2048.png")</f>
        <v>/wp-content/uploads/2015/03/fishing-grandpa-sales-lessons-family-wisdom-2048x2048.png</v>
      </c>
      <c r="F2050" s="1" t="s">
        <v>1047</v>
      </c>
      <c r="G2050" s="1">
        <v>200.0</v>
      </c>
      <c r="H2050" s="1" t="s">
        <v>966</v>
      </c>
      <c r="I2050" s="1" t="s">
        <v>967</v>
      </c>
      <c r="L2050" s="1">
        <v>0.0</v>
      </c>
      <c r="M2050" s="1">
        <v>0.0</v>
      </c>
      <c r="O2050" s="1">
        <v>0.0</v>
      </c>
      <c r="P2050" s="1">
        <v>0.0</v>
      </c>
      <c r="R2050" s="1">
        <v>0.0</v>
      </c>
      <c r="S2050" s="1">
        <v>0.0</v>
      </c>
      <c r="U2050" s="1">
        <v>0.0</v>
      </c>
      <c r="W2050" s="1">
        <v>0.0</v>
      </c>
      <c r="Y2050" s="1">
        <v>0.0</v>
      </c>
      <c r="AA2050" s="1">
        <v>0.0</v>
      </c>
      <c r="AC2050" s="1">
        <v>0.0</v>
      </c>
      <c r="AM2050" s="1">
        <v>965903.0</v>
      </c>
      <c r="AN2050" s="1">
        <v>965903.0</v>
      </c>
      <c r="AO2050" s="1">
        <v>965903.0</v>
      </c>
      <c r="AP2050" s="1">
        <v>370.019</v>
      </c>
      <c r="AR2050" s="1">
        <v>0.0</v>
      </c>
      <c r="AW2050" s="1">
        <v>0.0</v>
      </c>
      <c r="AX2050" s="1">
        <v>4.0</v>
      </c>
      <c r="AY2050" s="1">
        <v>4.0</v>
      </c>
      <c r="BA2050" s="1">
        <v>0.0</v>
      </c>
      <c r="BB2050" s="1">
        <v>0.0</v>
      </c>
      <c r="BC2050" s="1">
        <v>0.0</v>
      </c>
      <c r="BD2050" s="1">
        <v>0.0</v>
      </c>
      <c r="BE2050" s="1">
        <v>0.0</v>
      </c>
      <c r="BF2050" s="1">
        <v>0.0</v>
      </c>
      <c r="BG2050" s="1">
        <v>0.0</v>
      </c>
      <c r="BH2050" s="1">
        <v>0.0</v>
      </c>
      <c r="BI2050" s="1">
        <v>0.0</v>
      </c>
      <c r="BJ2050" s="1">
        <v>0.0</v>
      </c>
      <c r="BP2050" s="1">
        <v>0.26</v>
      </c>
      <c r="BQ2050" s="1" t="s">
        <v>6738</v>
      </c>
      <c r="BV2050" s="1">
        <v>1.1</v>
      </c>
      <c r="EQ2050" s="9" t="s">
        <v>6737</v>
      </c>
      <c r="ER2050" s="21">
        <v>46045.30168981481</v>
      </c>
    </row>
    <row r="2051">
      <c r="A2051" s="9" t="s">
        <v>6739</v>
      </c>
      <c r="B2051" s="20" t="str">
        <f>IFERROR(__xludf.DUMMYFUNCTION("REGEXREPLACE(A2051, ""^https?://[^/]+"", """")"),"/wp-content/uploads/2015/03/Three-Cs-Sales-xceleration-2048x2048.png")</f>
        <v>/wp-content/uploads/2015/03/Three-Cs-Sales-xceleration-2048x2048.png</v>
      </c>
      <c r="F2051" s="1" t="s">
        <v>1047</v>
      </c>
      <c r="G2051" s="1">
        <v>200.0</v>
      </c>
      <c r="H2051" s="1" t="s">
        <v>966</v>
      </c>
      <c r="I2051" s="1" t="s">
        <v>967</v>
      </c>
      <c r="L2051" s="1">
        <v>0.0</v>
      </c>
      <c r="M2051" s="1">
        <v>0.0</v>
      </c>
      <c r="O2051" s="1">
        <v>0.0</v>
      </c>
      <c r="P2051" s="1">
        <v>0.0</v>
      </c>
      <c r="R2051" s="1">
        <v>0.0</v>
      </c>
      <c r="S2051" s="1">
        <v>0.0</v>
      </c>
      <c r="U2051" s="1">
        <v>0.0</v>
      </c>
      <c r="W2051" s="1">
        <v>0.0</v>
      </c>
      <c r="Y2051" s="1">
        <v>0.0</v>
      </c>
      <c r="AA2051" s="1">
        <v>0.0</v>
      </c>
      <c r="AC2051" s="1">
        <v>0.0</v>
      </c>
      <c r="AM2051" s="1">
        <v>1204957.0</v>
      </c>
      <c r="AN2051" s="1">
        <v>1204957.0</v>
      </c>
      <c r="AO2051" s="1">
        <v>1204957.0</v>
      </c>
      <c r="AP2051" s="1">
        <v>461.596</v>
      </c>
      <c r="AR2051" s="1">
        <v>0.0</v>
      </c>
      <c r="AW2051" s="1">
        <v>0.0</v>
      </c>
      <c r="AX2051" s="1">
        <v>4.0</v>
      </c>
      <c r="AY2051" s="1">
        <v>4.0</v>
      </c>
      <c r="BA2051" s="1">
        <v>0.0</v>
      </c>
      <c r="BB2051" s="1">
        <v>0.0</v>
      </c>
      <c r="BC2051" s="1">
        <v>0.0</v>
      </c>
      <c r="BD2051" s="1">
        <v>0.0</v>
      </c>
      <c r="BE2051" s="1">
        <v>0.0</v>
      </c>
      <c r="BF2051" s="1">
        <v>0.0</v>
      </c>
      <c r="BG2051" s="1">
        <v>0.0</v>
      </c>
      <c r="BH2051" s="1">
        <v>0.0</v>
      </c>
      <c r="BI2051" s="1">
        <v>0.0</v>
      </c>
      <c r="BJ2051" s="1">
        <v>0.0</v>
      </c>
      <c r="BP2051" s="1">
        <v>0.263</v>
      </c>
      <c r="BQ2051" s="1" t="s">
        <v>6740</v>
      </c>
      <c r="BV2051" s="1">
        <v>1.1</v>
      </c>
      <c r="EQ2051" s="9" t="s">
        <v>6739</v>
      </c>
      <c r="ER2051" s="21">
        <v>46045.30168981481</v>
      </c>
    </row>
    <row r="2052">
      <c r="A2052" s="9" t="s">
        <v>6741</v>
      </c>
      <c r="B2052" s="20" t="str">
        <f>IFERROR(__xludf.DUMMYFUNCTION("REGEXREPLACE(A2052, ""^https?://[^/]+"", """")"),"/wp-content/uploads/2015/03/Sales-rollercoaster-go-fishing-sales-xceleration-2048x2048.png")</f>
        <v>/wp-content/uploads/2015/03/Sales-rollercoaster-go-fishing-sales-xceleration-2048x2048.png</v>
      </c>
      <c r="F2052" s="1" t="s">
        <v>1047</v>
      </c>
      <c r="G2052" s="1">
        <v>200.0</v>
      </c>
      <c r="H2052" s="1" t="s">
        <v>966</v>
      </c>
      <c r="I2052" s="1" t="s">
        <v>967</v>
      </c>
      <c r="L2052" s="1">
        <v>0.0</v>
      </c>
      <c r="M2052" s="1">
        <v>0.0</v>
      </c>
      <c r="O2052" s="1">
        <v>0.0</v>
      </c>
      <c r="P2052" s="1">
        <v>0.0</v>
      </c>
      <c r="R2052" s="1">
        <v>0.0</v>
      </c>
      <c r="S2052" s="1">
        <v>0.0</v>
      </c>
      <c r="U2052" s="1">
        <v>0.0</v>
      </c>
      <c r="W2052" s="1">
        <v>0.0</v>
      </c>
      <c r="Y2052" s="1">
        <v>0.0</v>
      </c>
      <c r="AA2052" s="1">
        <v>0.0</v>
      </c>
      <c r="AC2052" s="1">
        <v>0.0</v>
      </c>
      <c r="AM2052" s="1">
        <v>1539963.0</v>
      </c>
      <c r="AN2052" s="1">
        <v>1539963.0</v>
      </c>
      <c r="AO2052" s="1">
        <v>1539963.0</v>
      </c>
      <c r="AP2052" s="1">
        <v>589.931</v>
      </c>
      <c r="AR2052" s="1">
        <v>0.0</v>
      </c>
      <c r="AW2052" s="1">
        <v>0.0</v>
      </c>
      <c r="AX2052" s="1">
        <v>4.0</v>
      </c>
      <c r="AY2052" s="1">
        <v>4.0</v>
      </c>
      <c r="BA2052" s="1">
        <v>0.0</v>
      </c>
      <c r="BB2052" s="1">
        <v>0.0</v>
      </c>
      <c r="BC2052" s="1">
        <v>0.0</v>
      </c>
      <c r="BD2052" s="1">
        <v>0.0</v>
      </c>
      <c r="BE2052" s="1">
        <v>0.0</v>
      </c>
      <c r="BF2052" s="1">
        <v>0.0</v>
      </c>
      <c r="BG2052" s="1">
        <v>0.0</v>
      </c>
      <c r="BH2052" s="1">
        <v>0.0</v>
      </c>
      <c r="BI2052" s="1">
        <v>0.0</v>
      </c>
      <c r="BJ2052" s="1">
        <v>0.0</v>
      </c>
      <c r="BP2052" s="1">
        <v>0.299</v>
      </c>
      <c r="BQ2052" s="1" t="s">
        <v>6742</v>
      </c>
      <c r="BV2052" s="1">
        <v>1.1</v>
      </c>
      <c r="EQ2052" s="9" t="s">
        <v>6741</v>
      </c>
      <c r="ER2052" s="21">
        <v>46045.30168981481</v>
      </c>
    </row>
    <row r="2053">
      <c r="A2053" s="9" t="s">
        <v>6743</v>
      </c>
      <c r="B2053" s="20" t="str">
        <f>IFERROR(__xludf.DUMMYFUNCTION("REGEXREPLACE(A2053, ""^https?://[^/]+"", """")"),"/wp-content/uploads/2017/08/shutterstock_421484053.jpg")</f>
        <v>/wp-content/uploads/2017/08/shutterstock_421484053.jpg</v>
      </c>
      <c r="F2053" s="1" t="s">
        <v>1004</v>
      </c>
      <c r="G2053" s="1">
        <v>200.0</v>
      </c>
      <c r="H2053" s="1" t="s">
        <v>966</v>
      </c>
      <c r="I2053" s="1" t="s">
        <v>967</v>
      </c>
      <c r="L2053" s="1">
        <v>0.0</v>
      </c>
      <c r="M2053" s="1">
        <v>0.0</v>
      </c>
      <c r="O2053" s="1">
        <v>0.0</v>
      </c>
      <c r="P2053" s="1">
        <v>0.0</v>
      </c>
      <c r="R2053" s="1">
        <v>0.0</v>
      </c>
      <c r="S2053" s="1">
        <v>0.0</v>
      </c>
      <c r="U2053" s="1">
        <v>0.0</v>
      </c>
      <c r="W2053" s="1">
        <v>0.0</v>
      </c>
      <c r="Y2053" s="1">
        <v>0.0</v>
      </c>
      <c r="AA2053" s="1">
        <v>0.0</v>
      </c>
      <c r="AC2053" s="1">
        <v>0.0</v>
      </c>
      <c r="AM2053" s="1">
        <v>29386.0</v>
      </c>
      <c r="AN2053" s="1">
        <v>29386.0</v>
      </c>
      <c r="AO2053" s="1">
        <v>29386.0</v>
      </c>
      <c r="AP2053" s="1">
        <v>11.257</v>
      </c>
      <c r="AR2053" s="1">
        <v>0.0</v>
      </c>
      <c r="AW2053" s="1">
        <v>0.0</v>
      </c>
      <c r="AX2053" s="1">
        <v>4.0</v>
      </c>
      <c r="AY2053" s="1">
        <v>4.0</v>
      </c>
      <c r="BA2053" s="1">
        <v>0.0</v>
      </c>
      <c r="BB2053" s="1">
        <v>0.0</v>
      </c>
      <c r="BC2053" s="1">
        <v>0.0</v>
      </c>
      <c r="BD2053" s="1">
        <v>0.0</v>
      </c>
      <c r="BE2053" s="1">
        <v>0.0</v>
      </c>
      <c r="BF2053" s="1">
        <v>0.0</v>
      </c>
      <c r="BG2053" s="1">
        <v>0.0</v>
      </c>
      <c r="BH2053" s="1">
        <v>0.0</v>
      </c>
      <c r="BI2053" s="1">
        <v>0.0</v>
      </c>
      <c r="BJ2053" s="1">
        <v>0.0</v>
      </c>
      <c r="BP2053" s="1">
        <v>0.301</v>
      </c>
      <c r="BQ2053" s="1" t="s">
        <v>6744</v>
      </c>
      <c r="BV2053" s="1">
        <v>1.1</v>
      </c>
      <c r="EQ2053" s="9" t="s">
        <v>6743</v>
      </c>
      <c r="ER2053" s="21">
        <v>46045.30168981481</v>
      </c>
    </row>
    <row r="2054">
      <c r="A2054" s="9" t="s">
        <v>6745</v>
      </c>
      <c r="B2054" s="20" t="str">
        <f>IFERROR(__xludf.DUMMYFUNCTION("REGEXREPLACE(A2054, ""^https?://[^/]+"", """")"),"/wp-content/uploads/2015/03/When-Why-Sales-Manager-Should-Simply-Be-Quiet-Sales-Xceleration-2048x2048.png")</f>
        <v>/wp-content/uploads/2015/03/When-Why-Sales-Manager-Should-Simply-Be-Quiet-Sales-Xceleration-2048x2048.png</v>
      </c>
      <c r="F2054" s="1" t="s">
        <v>1047</v>
      </c>
      <c r="G2054" s="1">
        <v>200.0</v>
      </c>
      <c r="H2054" s="1" t="s">
        <v>966</v>
      </c>
      <c r="I2054" s="1" t="s">
        <v>967</v>
      </c>
      <c r="L2054" s="1">
        <v>0.0</v>
      </c>
      <c r="M2054" s="1">
        <v>0.0</v>
      </c>
      <c r="O2054" s="1">
        <v>0.0</v>
      </c>
      <c r="P2054" s="1">
        <v>0.0</v>
      </c>
      <c r="R2054" s="1">
        <v>0.0</v>
      </c>
      <c r="S2054" s="1">
        <v>0.0</v>
      </c>
      <c r="U2054" s="1">
        <v>0.0</v>
      </c>
      <c r="W2054" s="1">
        <v>0.0</v>
      </c>
      <c r="Y2054" s="1">
        <v>0.0</v>
      </c>
      <c r="AA2054" s="1">
        <v>0.0</v>
      </c>
      <c r="AC2054" s="1">
        <v>0.0</v>
      </c>
      <c r="AM2054" s="1">
        <v>969257.0</v>
      </c>
      <c r="AN2054" s="1">
        <v>969257.0</v>
      </c>
      <c r="AO2054" s="1">
        <v>969257.0</v>
      </c>
      <c r="AP2054" s="1">
        <v>371.304</v>
      </c>
      <c r="AR2054" s="1">
        <v>0.0</v>
      </c>
      <c r="AW2054" s="1">
        <v>0.0</v>
      </c>
      <c r="AX2054" s="1">
        <v>4.0</v>
      </c>
      <c r="AY2054" s="1">
        <v>4.0</v>
      </c>
      <c r="BA2054" s="1">
        <v>0.0</v>
      </c>
      <c r="BB2054" s="1">
        <v>0.0</v>
      </c>
      <c r="BC2054" s="1">
        <v>0.0</v>
      </c>
      <c r="BD2054" s="1">
        <v>0.0</v>
      </c>
      <c r="BE2054" s="1">
        <v>0.0</v>
      </c>
      <c r="BF2054" s="1">
        <v>0.0</v>
      </c>
      <c r="BG2054" s="1">
        <v>0.0</v>
      </c>
      <c r="BH2054" s="1">
        <v>0.0</v>
      </c>
      <c r="BI2054" s="1">
        <v>0.0</v>
      </c>
      <c r="BJ2054" s="1">
        <v>0.0</v>
      </c>
      <c r="BP2054" s="1">
        <v>0.278</v>
      </c>
      <c r="BQ2054" s="1" t="s">
        <v>6746</v>
      </c>
      <c r="BV2054" s="1">
        <v>1.1</v>
      </c>
      <c r="EQ2054" s="9" t="s">
        <v>6745</v>
      </c>
      <c r="ER2054" s="21">
        <v>46045.30168981481</v>
      </c>
    </row>
    <row r="2055">
      <c r="A2055" s="9" t="s">
        <v>6747</v>
      </c>
      <c r="B2055" s="20" t="str">
        <f>IFERROR(__xludf.DUMMYFUNCTION("REGEXREPLACE(A2055, ""^https?://[^/]+"", """")"),"/want-off-the-sales-roller-coaster-go-fishing/")</f>
        <v>/want-off-the-sales-roller-coaster-go-fishing/</v>
      </c>
      <c r="C2055" s="1" t="s">
        <v>6748</v>
      </c>
      <c r="F2055" s="1" t="s">
        <v>965</v>
      </c>
      <c r="G2055" s="1">
        <v>200.0</v>
      </c>
      <c r="H2055" s="1" t="s">
        <v>966</v>
      </c>
      <c r="I2055" s="1" t="s">
        <v>967</v>
      </c>
      <c r="K2055" s="1" t="s">
        <v>6749</v>
      </c>
      <c r="L2055" s="1">
        <v>71.0</v>
      </c>
      <c r="M2055" s="1">
        <v>627.0</v>
      </c>
      <c r="O2055" s="1">
        <v>0.0</v>
      </c>
      <c r="P2055" s="1">
        <v>0.0</v>
      </c>
      <c r="Q2055" s="1" t="s">
        <v>6750</v>
      </c>
      <c r="R2055" s="1">
        <v>130.0</v>
      </c>
      <c r="S2055" s="1">
        <v>758.0</v>
      </c>
      <c r="U2055" s="1">
        <v>0.0</v>
      </c>
      <c r="V2055" s="1" t="s">
        <v>6748</v>
      </c>
      <c r="W2055" s="1">
        <v>46.0</v>
      </c>
      <c r="Y2055" s="1">
        <v>0.0</v>
      </c>
      <c r="AA2055" s="1">
        <v>0.0</v>
      </c>
      <c r="AC2055" s="1">
        <v>0.0</v>
      </c>
      <c r="AD2055" s="1" t="s">
        <v>971</v>
      </c>
      <c r="AG2055" s="9" t="s">
        <v>6747</v>
      </c>
      <c r="AM2055" s="1">
        <v>202462.0</v>
      </c>
      <c r="AN2055" s="1">
        <v>36116.0</v>
      </c>
      <c r="AO2055" s="1">
        <v>36116.0</v>
      </c>
      <c r="AP2055" s="1">
        <v>13.835</v>
      </c>
      <c r="AR2055" s="1">
        <v>1440.0</v>
      </c>
      <c r="AS2055" s="1">
        <v>214.0</v>
      </c>
      <c r="AT2055" s="1">
        <v>6.729</v>
      </c>
      <c r="AU2055" s="1">
        <v>71.284</v>
      </c>
      <c r="AV2055" s="1" t="s">
        <v>1264</v>
      </c>
      <c r="AW2055" s="1">
        <v>5.396</v>
      </c>
      <c r="AX2055" s="1">
        <v>4.0</v>
      </c>
      <c r="AY2055" s="1">
        <v>1.0</v>
      </c>
      <c r="AZ2055" s="1">
        <v>1.0</v>
      </c>
      <c r="BA2055" s="1">
        <v>17.0</v>
      </c>
      <c r="BB2055" s="1">
        <v>17.0</v>
      </c>
      <c r="BC2055" s="1">
        <v>0.0</v>
      </c>
      <c r="BD2055" s="1">
        <v>2.25</v>
      </c>
      <c r="BE2055" s="1">
        <v>130.0</v>
      </c>
      <c r="BF2055" s="1">
        <v>48.0</v>
      </c>
      <c r="BG2055" s="1">
        <v>0.0</v>
      </c>
      <c r="BH2055" s="1">
        <v>16.0</v>
      </c>
      <c r="BI2055" s="1">
        <v>8.0</v>
      </c>
      <c r="BJ2055" s="1">
        <v>0.0</v>
      </c>
      <c r="BO2055" s="1" t="s">
        <v>6751</v>
      </c>
      <c r="BP2055" s="1">
        <v>0.975</v>
      </c>
      <c r="BU2055" s="1" t="s">
        <v>974</v>
      </c>
      <c r="BV2055" s="1">
        <v>1.1</v>
      </c>
      <c r="EQ2055" s="9" t="s">
        <v>6747</v>
      </c>
      <c r="ER2055" s="21">
        <v>46045.30167824074</v>
      </c>
    </row>
    <row r="2056">
      <c r="A2056" s="9" t="s">
        <v>6752</v>
      </c>
      <c r="B2056" s="20" t="str">
        <f>IFERROR(__xludf.DUMMYFUNCTION("REGEXREPLACE(A2056, ""^https?://[^/]+"", """")"),"/wp-content/uploads/2024/05/Download-Building-a-Sales-Pipeline-with-AI.jpg")</f>
        <v>/wp-content/uploads/2024/05/Download-Building-a-Sales-Pipeline-with-AI.jpg</v>
      </c>
      <c r="F2056" s="1" t="s">
        <v>1004</v>
      </c>
      <c r="G2056" s="1">
        <v>200.0</v>
      </c>
      <c r="H2056" s="1" t="s">
        <v>966</v>
      </c>
      <c r="I2056" s="1" t="s">
        <v>967</v>
      </c>
      <c r="L2056" s="1">
        <v>0.0</v>
      </c>
      <c r="M2056" s="1">
        <v>0.0</v>
      </c>
      <c r="O2056" s="1">
        <v>0.0</v>
      </c>
      <c r="P2056" s="1">
        <v>0.0</v>
      </c>
      <c r="R2056" s="1">
        <v>0.0</v>
      </c>
      <c r="S2056" s="1">
        <v>0.0</v>
      </c>
      <c r="U2056" s="1">
        <v>0.0</v>
      </c>
      <c r="W2056" s="1">
        <v>0.0</v>
      </c>
      <c r="Y2056" s="1">
        <v>0.0</v>
      </c>
      <c r="AA2056" s="1">
        <v>0.0</v>
      </c>
      <c r="AC2056" s="1">
        <v>0.0</v>
      </c>
      <c r="AM2056" s="1">
        <v>94062.0</v>
      </c>
      <c r="AN2056" s="1">
        <v>94062.0</v>
      </c>
      <c r="AO2056" s="1">
        <v>94062.0</v>
      </c>
      <c r="AP2056" s="1">
        <v>36.033</v>
      </c>
      <c r="AR2056" s="1">
        <v>0.0</v>
      </c>
      <c r="AW2056" s="1">
        <v>0.0</v>
      </c>
      <c r="AX2056" s="1">
        <v>4.0</v>
      </c>
      <c r="AY2056" s="1">
        <v>4.0</v>
      </c>
      <c r="BA2056" s="1">
        <v>0.0</v>
      </c>
      <c r="BB2056" s="1">
        <v>0.0</v>
      </c>
      <c r="BC2056" s="1">
        <v>0.0</v>
      </c>
      <c r="BD2056" s="1">
        <v>0.0</v>
      </c>
      <c r="BE2056" s="1">
        <v>0.0</v>
      </c>
      <c r="BF2056" s="1">
        <v>0.0</v>
      </c>
      <c r="BG2056" s="1">
        <v>0.0</v>
      </c>
      <c r="BH2056" s="1">
        <v>0.0</v>
      </c>
      <c r="BI2056" s="1">
        <v>0.0</v>
      </c>
      <c r="BJ2056" s="1">
        <v>0.0</v>
      </c>
      <c r="BP2056" s="1">
        <v>0.266</v>
      </c>
      <c r="BQ2056" s="1" t="s">
        <v>6753</v>
      </c>
      <c r="BV2056" s="1">
        <v>1.1</v>
      </c>
      <c r="EQ2056" s="9" t="s">
        <v>6752</v>
      </c>
      <c r="ER2056" s="21">
        <v>46045.30170138889</v>
      </c>
    </row>
    <row r="2057">
      <c r="A2057" s="9" t="s">
        <v>6754</v>
      </c>
      <c r="B2057" s="20" t="str">
        <f>IFERROR(__xludf.DUMMYFUNCTION("REGEXREPLACE(A2057, ""^https?://[^/]+"", """")"),"/wp-content/themes/salesxceleratione/assets/css/style.css?ver=1769123573")</f>
        <v>/wp-content/themes/salesxceleratione/assets/css/style.css?ver=1769123573</v>
      </c>
      <c r="F2057" s="1" t="s">
        <v>1016</v>
      </c>
      <c r="G2057" s="1">
        <v>200.0</v>
      </c>
      <c r="H2057" s="1" t="s">
        <v>966</v>
      </c>
      <c r="I2057" s="1" t="s">
        <v>967</v>
      </c>
      <c r="L2057" s="1">
        <v>0.0</v>
      </c>
      <c r="M2057" s="1">
        <v>0.0</v>
      </c>
      <c r="O2057" s="1">
        <v>0.0</v>
      </c>
      <c r="P2057" s="1">
        <v>0.0</v>
      </c>
      <c r="R2057" s="1">
        <v>0.0</v>
      </c>
      <c r="S2057" s="1">
        <v>0.0</v>
      </c>
      <c r="U2057" s="1">
        <v>0.0</v>
      </c>
      <c r="W2057" s="1">
        <v>0.0</v>
      </c>
      <c r="Y2057" s="1">
        <v>0.0</v>
      </c>
      <c r="AA2057" s="1">
        <v>0.0</v>
      </c>
      <c r="AC2057" s="1">
        <v>0.0</v>
      </c>
      <c r="AM2057" s="1">
        <v>17704.0</v>
      </c>
      <c r="AN2057" s="1">
        <v>17704.0</v>
      </c>
      <c r="AO2057" s="1">
        <v>17704.0</v>
      </c>
      <c r="AP2057" s="1">
        <v>6.782</v>
      </c>
      <c r="AR2057" s="1">
        <v>0.0</v>
      </c>
      <c r="AW2057" s="1">
        <v>0.0</v>
      </c>
      <c r="AX2057" s="1">
        <v>4.0</v>
      </c>
      <c r="AY2057" s="1">
        <v>5.0</v>
      </c>
      <c r="BA2057" s="1">
        <v>0.0</v>
      </c>
      <c r="BB2057" s="1">
        <v>0.0</v>
      </c>
      <c r="BC2057" s="1">
        <v>0.0</v>
      </c>
      <c r="BD2057" s="1">
        <v>0.0</v>
      </c>
      <c r="BE2057" s="1">
        <v>0.0</v>
      </c>
      <c r="BF2057" s="1">
        <v>0.0</v>
      </c>
      <c r="BG2057" s="1">
        <v>0.0</v>
      </c>
      <c r="BH2057" s="1">
        <v>0.0</v>
      </c>
      <c r="BI2057" s="1">
        <v>0.0</v>
      </c>
      <c r="BJ2057" s="1">
        <v>0.0</v>
      </c>
      <c r="BP2057" s="1">
        <v>0.285</v>
      </c>
      <c r="BQ2057" s="1" t="s">
        <v>6755</v>
      </c>
      <c r="BV2057" s="1">
        <v>1.1</v>
      </c>
      <c r="EQ2057" s="9" t="s">
        <v>6754</v>
      </c>
      <c r="ER2057" s="21">
        <v>46045.30170138889</v>
      </c>
    </row>
    <row r="2058">
      <c r="A2058" s="9" t="s">
        <v>6756</v>
      </c>
      <c r="B2058" s="20" t="str">
        <f>IFERROR(__xludf.DUMMYFUNCTION("REGEXREPLACE(A2058, ""^https?://[^/]+"", """")"),"/wp-content/uploads/2024/05/Building-a-Sales-Pipeline.jpg")</f>
        <v>/wp-content/uploads/2024/05/Building-a-Sales-Pipeline.jpg</v>
      </c>
      <c r="F2058" s="1" t="s">
        <v>1004</v>
      </c>
      <c r="G2058" s="1">
        <v>200.0</v>
      </c>
      <c r="H2058" s="1" t="s">
        <v>966</v>
      </c>
      <c r="I2058" s="1" t="s">
        <v>967</v>
      </c>
      <c r="L2058" s="1">
        <v>0.0</v>
      </c>
      <c r="M2058" s="1">
        <v>0.0</v>
      </c>
      <c r="O2058" s="1">
        <v>0.0</v>
      </c>
      <c r="P2058" s="1">
        <v>0.0</v>
      </c>
      <c r="R2058" s="1">
        <v>0.0</v>
      </c>
      <c r="S2058" s="1">
        <v>0.0</v>
      </c>
      <c r="U2058" s="1">
        <v>0.0</v>
      </c>
      <c r="W2058" s="1">
        <v>0.0</v>
      </c>
      <c r="Y2058" s="1">
        <v>0.0</v>
      </c>
      <c r="AA2058" s="1">
        <v>0.0</v>
      </c>
      <c r="AC2058" s="1">
        <v>0.0</v>
      </c>
      <c r="AM2058" s="1">
        <v>89180.0</v>
      </c>
      <c r="AN2058" s="1">
        <v>89180.0</v>
      </c>
      <c r="AO2058" s="1">
        <v>89180.0</v>
      </c>
      <c r="AP2058" s="1">
        <v>34.163</v>
      </c>
      <c r="AR2058" s="1">
        <v>0.0</v>
      </c>
      <c r="AW2058" s="1">
        <v>0.0</v>
      </c>
      <c r="AX2058" s="1">
        <v>4.0</v>
      </c>
      <c r="AY2058" s="1">
        <v>4.0</v>
      </c>
      <c r="BA2058" s="1">
        <v>0.0</v>
      </c>
      <c r="BB2058" s="1">
        <v>0.0</v>
      </c>
      <c r="BC2058" s="1">
        <v>0.0</v>
      </c>
      <c r="BD2058" s="1">
        <v>0.0</v>
      </c>
      <c r="BE2058" s="1">
        <v>0.0</v>
      </c>
      <c r="BF2058" s="1">
        <v>0.0</v>
      </c>
      <c r="BG2058" s="1">
        <v>0.0</v>
      </c>
      <c r="BH2058" s="1">
        <v>0.0</v>
      </c>
      <c r="BI2058" s="1">
        <v>0.0</v>
      </c>
      <c r="BJ2058" s="1">
        <v>0.0</v>
      </c>
      <c r="BP2058" s="1">
        <v>0.274</v>
      </c>
      <c r="BQ2058" s="1" t="s">
        <v>6757</v>
      </c>
      <c r="BV2058" s="1">
        <v>1.1</v>
      </c>
      <c r="EQ2058" s="9" t="s">
        <v>6756</v>
      </c>
      <c r="ER2058" s="21">
        <v>46045.30170138889</v>
      </c>
    </row>
    <row r="2059">
      <c r="A2059" s="9" t="s">
        <v>6758</v>
      </c>
      <c r="B2059" s="20" t="str">
        <f>IFERROR(__xludf.DUMMYFUNCTION("REGEXREPLACE(A2059, ""^https?://[^/]+"", """")"),"/when-and-why-the-sales-manager-should-simply-be-quiet/")</f>
        <v>/when-and-why-the-sales-manager-should-simply-be-quiet/</v>
      </c>
      <c r="C2059" s="1" t="s">
        <v>6759</v>
      </c>
      <c r="F2059" s="1" t="s">
        <v>965</v>
      </c>
      <c r="G2059" s="1">
        <v>200.0</v>
      </c>
      <c r="H2059" s="1" t="s">
        <v>966</v>
      </c>
      <c r="I2059" s="1" t="s">
        <v>967</v>
      </c>
      <c r="K2059" s="1" t="s">
        <v>6760</v>
      </c>
      <c r="L2059" s="1">
        <v>80.0</v>
      </c>
      <c r="M2059" s="1">
        <v>745.0</v>
      </c>
      <c r="O2059" s="1">
        <v>0.0</v>
      </c>
      <c r="P2059" s="1">
        <v>0.0</v>
      </c>
      <c r="Q2059" s="1" t="s">
        <v>6761</v>
      </c>
      <c r="R2059" s="1">
        <v>118.0</v>
      </c>
      <c r="S2059" s="1">
        <v>705.0</v>
      </c>
      <c r="U2059" s="1">
        <v>0.0</v>
      </c>
      <c r="V2059" s="1" t="s">
        <v>6759</v>
      </c>
      <c r="W2059" s="1">
        <v>55.0</v>
      </c>
      <c r="Y2059" s="1">
        <v>0.0</v>
      </c>
      <c r="AA2059" s="1">
        <v>0.0</v>
      </c>
      <c r="AC2059" s="1">
        <v>0.0</v>
      </c>
      <c r="AD2059" s="1" t="s">
        <v>971</v>
      </c>
      <c r="AG2059" s="9" t="s">
        <v>6758</v>
      </c>
      <c r="AM2059" s="1">
        <v>203367.0</v>
      </c>
      <c r="AN2059" s="1">
        <v>36328.0</v>
      </c>
      <c r="AO2059" s="1">
        <v>36328.0</v>
      </c>
      <c r="AP2059" s="1">
        <v>13.917</v>
      </c>
      <c r="AR2059" s="1">
        <v>1487.0</v>
      </c>
      <c r="AS2059" s="1">
        <v>221.0</v>
      </c>
      <c r="AT2059" s="1">
        <v>6.729</v>
      </c>
      <c r="AU2059" s="1">
        <v>71.029</v>
      </c>
      <c r="AV2059" s="1" t="s">
        <v>1264</v>
      </c>
      <c r="AW2059" s="1">
        <v>5.557</v>
      </c>
      <c r="AX2059" s="1">
        <v>4.0</v>
      </c>
      <c r="AY2059" s="1">
        <v>1.0</v>
      </c>
      <c r="AZ2059" s="1">
        <v>1.0</v>
      </c>
      <c r="BA2059" s="1">
        <v>32.0</v>
      </c>
      <c r="BB2059" s="1">
        <v>32.0</v>
      </c>
      <c r="BC2059" s="1">
        <v>0.0</v>
      </c>
      <c r="BD2059" s="1">
        <v>4.24</v>
      </c>
      <c r="BE2059" s="1">
        <v>130.0</v>
      </c>
      <c r="BF2059" s="1">
        <v>48.0</v>
      </c>
      <c r="BG2059" s="1">
        <v>0.0</v>
      </c>
      <c r="BH2059" s="1">
        <v>16.0</v>
      </c>
      <c r="BI2059" s="1">
        <v>8.0</v>
      </c>
      <c r="BJ2059" s="1">
        <v>0.0</v>
      </c>
      <c r="BO2059" s="1" t="s">
        <v>6762</v>
      </c>
      <c r="BP2059" s="1">
        <v>0.998</v>
      </c>
      <c r="BU2059" s="1" t="s">
        <v>974</v>
      </c>
      <c r="BV2059" s="1">
        <v>1.1</v>
      </c>
      <c r="EQ2059" s="9" t="s">
        <v>6758</v>
      </c>
      <c r="ER2059" s="21">
        <v>46045.30168981481</v>
      </c>
    </row>
    <row r="2060">
      <c r="A2060" s="9" t="s">
        <v>6763</v>
      </c>
      <c r="B2060" s="20" t="str">
        <f>IFERROR(__xludf.DUMMYFUNCTION("REGEXREPLACE(A2060, ""^https?://[^/]+"", """")"),"/using-the-3-cs-to-improve-sales-performance/")</f>
        <v>/using-the-3-cs-to-improve-sales-performance/</v>
      </c>
      <c r="C2060" s="1" t="s">
        <v>6764</v>
      </c>
      <c r="F2060" s="1" t="s">
        <v>965</v>
      </c>
      <c r="G2060" s="1">
        <v>200.0</v>
      </c>
      <c r="H2060" s="1" t="s">
        <v>966</v>
      </c>
      <c r="I2060" s="1" t="s">
        <v>967</v>
      </c>
      <c r="K2060" s="1" t="s">
        <v>6765</v>
      </c>
      <c r="L2060" s="1">
        <v>68.0</v>
      </c>
      <c r="M2060" s="1">
        <v>620.0</v>
      </c>
      <c r="O2060" s="1">
        <v>0.0</v>
      </c>
      <c r="P2060" s="1">
        <v>0.0</v>
      </c>
      <c r="Q2060" s="1" t="s">
        <v>6766</v>
      </c>
      <c r="R2060" s="1">
        <v>103.0</v>
      </c>
      <c r="S2060" s="1">
        <v>658.0</v>
      </c>
      <c r="U2060" s="1">
        <v>0.0</v>
      </c>
      <c r="V2060" s="1" t="s">
        <v>6764</v>
      </c>
      <c r="W2060" s="1">
        <v>43.0</v>
      </c>
      <c r="Y2060" s="1">
        <v>0.0</v>
      </c>
      <c r="AA2060" s="1">
        <v>0.0</v>
      </c>
      <c r="AC2060" s="1">
        <v>0.0</v>
      </c>
      <c r="AD2060" s="1" t="s">
        <v>971</v>
      </c>
      <c r="AG2060" s="9" t="s">
        <v>6763</v>
      </c>
      <c r="AM2060" s="1">
        <v>201333.0</v>
      </c>
      <c r="AN2060" s="1">
        <v>35821.0</v>
      </c>
      <c r="AO2060" s="1">
        <v>35821.0</v>
      </c>
      <c r="AP2060" s="1">
        <v>13.722</v>
      </c>
      <c r="AR2060" s="1">
        <v>1442.0</v>
      </c>
      <c r="AS2060" s="1">
        <v>221.0</v>
      </c>
      <c r="AT2060" s="1">
        <v>6.525</v>
      </c>
      <c r="AU2060" s="1">
        <v>70.261</v>
      </c>
      <c r="AV2060" s="1" t="s">
        <v>1264</v>
      </c>
      <c r="AW2060" s="1">
        <v>5.446</v>
      </c>
      <c r="AX2060" s="1">
        <v>4.0</v>
      </c>
      <c r="AY2060" s="1">
        <v>1.0</v>
      </c>
      <c r="AZ2060" s="1">
        <v>1.0</v>
      </c>
      <c r="BA2060" s="1">
        <v>30.0</v>
      </c>
      <c r="BB2060" s="1">
        <v>30.0</v>
      </c>
      <c r="BC2060" s="1">
        <v>0.0</v>
      </c>
      <c r="BD2060" s="1">
        <v>3.98</v>
      </c>
      <c r="BE2060" s="1">
        <v>130.0</v>
      </c>
      <c r="BF2060" s="1">
        <v>48.0</v>
      </c>
      <c r="BG2060" s="1">
        <v>0.0</v>
      </c>
      <c r="BH2060" s="1">
        <v>16.0</v>
      </c>
      <c r="BI2060" s="1">
        <v>8.0</v>
      </c>
      <c r="BJ2060" s="1">
        <v>0.0</v>
      </c>
      <c r="BO2060" s="1" t="s">
        <v>6767</v>
      </c>
      <c r="BP2060" s="1">
        <v>1.025</v>
      </c>
      <c r="BU2060" s="1" t="s">
        <v>974</v>
      </c>
      <c r="BV2060" s="1">
        <v>1.1</v>
      </c>
      <c r="EQ2060" s="9" t="s">
        <v>6763</v>
      </c>
      <c r="ER2060" s="21">
        <v>46045.30168981481</v>
      </c>
    </row>
    <row r="2061">
      <c r="A2061" s="9" t="s">
        <v>6768</v>
      </c>
      <c r="B2061" s="20" t="str">
        <f>IFERROR(__xludf.DUMMYFUNCTION("REGEXREPLACE(A2061, ""^https?://[^/]+"", """")"),"/wp-content/uploads/2014/09/Leading-lagging-sales.jpg")</f>
        <v>/wp-content/uploads/2014/09/Leading-lagging-sales.jpg</v>
      </c>
      <c r="F2061" s="1" t="s">
        <v>1004</v>
      </c>
      <c r="G2061" s="1">
        <v>200.0</v>
      </c>
      <c r="H2061" s="1" t="s">
        <v>966</v>
      </c>
      <c r="I2061" s="1" t="s">
        <v>967</v>
      </c>
      <c r="L2061" s="1">
        <v>0.0</v>
      </c>
      <c r="M2061" s="1">
        <v>0.0</v>
      </c>
      <c r="O2061" s="1">
        <v>0.0</v>
      </c>
      <c r="P2061" s="1">
        <v>0.0</v>
      </c>
      <c r="R2061" s="1">
        <v>0.0</v>
      </c>
      <c r="S2061" s="1">
        <v>0.0</v>
      </c>
      <c r="U2061" s="1">
        <v>0.0</v>
      </c>
      <c r="W2061" s="1">
        <v>0.0</v>
      </c>
      <c r="Y2061" s="1">
        <v>0.0</v>
      </c>
      <c r="AA2061" s="1">
        <v>0.0</v>
      </c>
      <c r="AC2061" s="1">
        <v>0.0</v>
      </c>
      <c r="AM2061" s="1">
        <v>126465.0</v>
      </c>
      <c r="AN2061" s="1">
        <v>126465.0</v>
      </c>
      <c r="AO2061" s="1">
        <v>126465.0</v>
      </c>
      <c r="AP2061" s="1">
        <v>48.446</v>
      </c>
      <c r="AR2061" s="1">
        <v>0.0</v>
      </c>
      <c r="AW2061" s="1">
        <v>0.0</v>
      </c>
      <c r="AX2061" s="1">
        <v>4.0</v>
      </c>
      <c r="AY2061" s="1">
        <v>4.0</v>
      </c>
      <c r="BA2061" s="1">
        <v>0.0</v>
      </c>
      <c r="BB2061" s="1">
        <v>0.0</v>
      </c>
      <c r="BC2061" s="1">
        <v>0.0</v>
      </c>
      <c r="BD2061" s="1">
        <v>0.0</v>
      </c>
      <c r="BE2061" s="1">
        <v>0.0</v>
      </c>
      <c r="BF2061" s="1">
        <v>0.0</v>
      </c>
      <c r="BG2061" s="1">
        <v>0.0</v>
      </c>
      <c r="BH2061" s="1">
        <v>0.0</v>
      </c>
      <c r="BI2061" s="1">
        <v>0.0</v>
      </c>
      <c r="BJ2061" s="1">
        <v>0.0</v>
      </c>
      <c r="BP2061" s="1">
        <v>0.261</v>
      </c>
      <c r="BQ2061" s="1" t="s">
        <v>6769</v>
      </c>
      <c r="BV2061" s="1">
        <v>1.1</v>
      </c>
      <c r="EQ2061" s="9" t="s">
        <v>6768</v>
      </c>
      <c r="ER2061" s="21">
        <v>46045.30170138889</v>
      </c>
    </row>
    <row r="2062">
      <c r="A2062" s="9" t="s">
        <v>6770</v>
      </c>
      <c r="B2062" s="20" t="str">
        <f>IFERROR(__xludf.DUMMYFUNCTION("REGEXREPLACE(A2062, ""^https?://[^/]+"", """")"),"/wp-content/uploads/2025/11/SAO-YT-Thumbnail-Dave-Parker-1.jpg")</f>
        <v>/wp-content/uploads/2025/11/SAO-YT-Thumbnail-Dave-Parker-1.jpg</v>
      </c>
      <c r="F2062" s="1" t="s">
        <v>1004</v>
      </c>
      <c r="G2062" s="1">
        <v>200.0</v>
      </c>
      <c r="H2062" s="1" t="s">
        <v>966</v>
      </c>
      <c r="I2062" s="1" t="s">
        <v>967</v>
      </c>
      <c r="L2062" s="1">
        <v>0.0</v>
      </c>
      <c r="M2062" s="1">
        <v>0.0</v>
      </c>
      <c r="O2062" s="1">
        <v>0.0</v>
      </c>
      <c r="P2062" s="1">
        <v>0.0</v>
      </c>
      <c r="R2062" s="1">
        <v>0.0</v>
      </c>
      <c r="S2062" s="1">
        <v>0.0</v>
      </c>
      <c r="U2062" s="1">
        <v>0.0</v>
      </c>
      <c r="W2062" s="1">
        <v>0.0</v>
      </c>
      <c r="Y2062" s="1">
        <v>0.0</v>
      </c>
      <c r="AA2062" s="1">
        <v>0.0</v>
      </c>
      <c r="AC2062" s="1">
        <v>0.0</v>
      </c>
      <c r="AM2062" s="1">
        <v>1892457.0</v>
      </c>
      <c r="AN2062" s="1">
        <v>1892457.0</v>
      </c>
      <c r="AO2062" s="1">
        <v>1892457.0</v>
      </c>
      <c r="AP2062" s="1">
        <v>724.964</v>
      </c>
      <c r="AR2062" s="1">
        <v>0.0</v>
      </c>
      <c r="AW2062" s="1">
        <v>0.0</v>
      </c>
      <c r="AX2062" s="1">
        <v>4.0</v>
      </c>
      <c r="AY2062" s="1">
        <v>4.0</v>
      </c>
      <c r="BA2062" s="1">
        <v>0.0</v>
      </c>
      <c r="BB2062" s="1">
        <v>0.0</v>
      </c>
      <c r="BC2062" s="1">
        <v>0.0</v>
      </c>
      <c r="BD2062" s="1">
        <v>0.0</v>
      </c>
      <c r="BE2062" s="1">
        <v>0.0</v>
      </c>
      <c r="BF2062" s="1">
        <v>0.0</v>
      </c>
      <c r="BG2062" s="1">
        <v>0.0</v>
      </c>
      <c r="BH2062" s="1">
        <v>0.0</v>
      </c>
      <c r="BI2062" s="1">
        <v>0.0</v>
      </c>
      <c r="BJ2062" s="1">
        <v>0.0</v>
      </c>
      <c r="BP2062" s="1">
        <v>0.27</v>
      </c>
      <c r="BQ2062" s="1" t="s">
        <v>6771</v>
      </c>
      <c r="BV2062" s="1">
        <v>1.1</v>
      </c>
      <c r="EQ2062" s="9" t="s">
        <v>6770</v>
      </c>
      <c r="ER2062" s="21">
        <v>46045.30170138889</v>
      </c>
    </row>
    <row r="2063">
      <c r="A2063" s="9" t="s">
        <v>6772</v>
      </c>
      <c r="B2063" s="20" t="str">
        <f>IFERROR(__xludf.DUMMYFUNCTION("REGEXREPLACE(A2063, ""^https?://[^/]+"", """")"),"/wp-content/uploads/elementor/css/post-71931.css?ver=1768855592")</f>
        <v>/wp-content/uploads/elementor/css/post-71931.css?ver=1768855592</v>
      </c>
      <c r="F2063" s="1" t="s">
        <v>1016</v>
      </c>
      <c r="G2063" s="1">
        <v>200.0</v>
      </c>
      <c r="H2063" s="1" t="s">
        <v>966</v>
      </c>
      <c r="I2063" s="1" t="s">
        <v>967</v>
      </c>
      <c r="L2063" s="1">
        <v>0.0</v>
      </c>
      <c r="M2063" s="1">
        <v>0.0</v>
      </c>
      <c r="O2063" s="1">
        <v>0.0</v>
      </c>
      <c r="P2063" s="1">
        <v>0.0</v>
      </c>
      <c r="R2063" s="1">
        <v>0.0</v>
      </c>
      <c r="S2063" s="1">
        <v>0.0</v>
      </c>
      <c r="U2063" s="1">
        <v>0.0</v>
      </c>
      <c r="W2063" s="1">
        <v>0.0</v>
      </c>
      <c r="Y2063" s="1">
        <v>0.0</v>
      </c>
      <c r="AA2063" s="1">
        <v>0.0</v>
      </c>
      <c r="AC2063" s="1">
        <v>0.0</v>
      </c>
      <c r="AM2063" s="1">
        <v>410.0</v>
      </c>
      <c r="AN2063" s="1">
        <v>410.0</v>
      </c>
      <c r="AO2063" s="1">
        <v>410.0</v>
      </c>
      <c r="AP2063" s="1">
        <v>0.157</v>
      </c>
      <c r="AR2063" s="1">
        <v>0.0</v>
      </c>
      <c r="AW2063" s="1">
        <v>0.0</v>
      </c>
      <c r="AX2063" s="1">
        <v>4.0</v>
      </c>
      <c r="AY2063" s="1">
        <v>4.0</v>
      </c>
      <c r="BA2063" s="1">
        <v>0.0</v>
      </c>
      <c r="BB2063" s="1">
        <v>0.0</v>
      </c>
      <c r="BC2063" s="1">
        <v>0.0</v>
      </c>
      <c r="BD2063" s="1">
        <v>0.0</v>
      </c>
      <c r="BE2063" s="1">
        <v>0.0</v>
      </c>
      <c r="BF2063" s="1">
        <v>0.0</v>
      </c>
      <c r="BG2063" s="1">
        <v>0.0</v>
      </c>
      <c r="BH2063" s="1">
        <v>0.0</v>
      </c>
      <c r="BI2063" s="1">
        <v>0.0</v>
      </c>
      <c r="BJ2063" s="1">
        <v>0.0</v>
      </c>
      <c r="BP2063" s="1">
        <v>0.281</v>
      </c>
      <c r="BQ2063" s="1" t="s">
        <v>6773</v>
      </c>
      <c r="BV2063" s="1">
        <v>1.1</v>
      </c>
      <c r="EQ2063" s="9" t="s">
        <v>6772</v>
      </c>
      <c r="ER2063" s="21">
        <v>46045.30170138889</v>
      </c>
    </row>
    <row r="2064">
      <c r="A2064" s="9" t="s">
        <v>6774</v>
      </c>
      <c r="B2064" s="20" t="str">
        <f>IFERROR(__xludf.DUMMYFUNCTION("REGEXREPLACE(A2064, ""^https?://[^/]+"", """")"),"/fishing-with-grandpa-7-sales-lessons-from-family-wisdom/")</f>
        <v>/fishing-with-grandpa-7-sales-lessons-from-family-wisdom/</v>
      </c>
      <c r="C2064" s="1" t="s">
        <v>6775</v>
      </c>
      <c r="F2064" s="1" t="s">
        <v>965</v>
      </c>
      <c r="G2064" s="1">
        <v>200.0</v>
      </c>
      <c r="H2064" s="1" t="s">
        <v>966</v>
      </c>
      <c r="I2064" s="1" t="s">
        <v>967</v>
      </c>
      <c r="K2064" s="1" t="s">
        <v>6776</v>
      </c>
      <c r="L2064" s="1">
        <v>81.0</v>
      </c>
      <c r="M2064" s="1">
        <v>747.0</v>
      </c>
      <c r="O2064" s="1">
        <v>0.0</v>
      </c>
      <c r="P2064" s="1">
        <v>0.0</v>
      </c>
      <c r="Q2064" s="1" t="s">
        <v>6777</v>
      </c>
      <c r="R2064" s="1">
        <v>127.0</v>
      </c>
      <c r="S2064" s="1">
        <v>765.0</v>
      </c>
      <c r="U2064" s="1">
        <v>0.0</v>
      </c>
      <c r="V2064" s="1" t="s">
        <v>6775</v>
      </c>
      <c r="W2064" s="1">
        <v>56.0</v>
      </c>
      <c r="Y2064" s="1">
        <v>0.0</v>
      </c>
      <c r="AA2064" s="1">
        <v>0.0</v>
      </c>
      <c r="AC2064" s="1">
        <v>0.0</v>
      </c>
      <c r="AD2064" s="1" t="s">
        <v>971</v>
      </c>
      <c r="AG2064" s="9" t="s">
        <v>6774</v>
      </c>
      <c r="AM2064" s="1">
        <v>202725.0</v>
      </c>
      <c r="AN2064" s="1">
        <v>36028.0</v>
      </c>
      <c r="AO2064" s="1">
        <v>36028.0</v>
      </c>
      <c r="AP2064" s="1">
        <v>13.802</v>
      </c>
      <c r="AR2064" s="1">
        <v>1396.0</v>
      </c>
      <c r="AS2064" s="1">
        <v>212.0</v>
      </c>
      <c r="AT2064" s="1">
        <v>6.585</v>
      </c>
      <c r="AU2064" s="1">
        <v>75.312</v>
      </c>
      <c r="AV2064" s="1" t="s">
        <v>1264</v>
      </c>
      <c r="AW2064" s="1">
        <v>5.223</v>
      </c>
      <c r="AX2064" s="1">
        <v>4.0</v>
      </c>
      <c r="AY2064" s="1">
        <v>1.0</v>
      </c>
      <c r="AZ2064" s="1">
        <v>1.0</v>
      </c>
      <c r="BA2064" s="1">
        <v>16.0</v>
      </c>
      <c r="BB2064" s="1">
        <v>16.0</v>
      </c>
      <c r="BC2064" s="1">
        <v>0.0</v>
      </c>
      <c r="BD2064" s="1">
        <v>2.12</v>
      </c>
      <c r="BE2064" s="1">
        <v>130.0</v>
      </c>
      <c r="BF2064" s="1">
        <v>48.0</v>
      </c>
      <c r="BG2064" s="1">
        <v>0.0</v>
      </c>
      <c r="BH2064" s="1">
        <v>16.0</v>
      </c>
      <c r="BI2064" s="1">
        <v>8.0</v>
      </c>
      <c r="BJ2064" s="1">
        <v>0.0</v>
      </c>
      <c r="BO2064" s="1" t="s">
        <v>6778</v>
      </c>
      <c r="BP2064" s="1">
        <v>1.026</v>
      </c>
      <c r="BU2064" s="1" t="s">
        <v>974</v>
      </c>
      <c r="BV2064" s="1">
        <v>1.1</v>
      </c>
      <c r="EQ2064" s="9" t="s">
        <v>6774</v>
      </c>
      <c r="ER2064" s="21">
        <v>46045.30168981481</v>
      </c>
    </row>
    <row r="2065">
      <c r="A2065" s="9" t="s">
        <v>6779</v>
      </c>
      <c r="B2065" s="20" t="str">
        <f>IFERROR(__xludf.DUMMYFUNCTION("REGEXREPLACE(A2065, ""^https?://[^/]+"", """")"),"/wp-content/uploads/2025/10/Sales-Against-The-Odds-Promo-Graphic.jpg")</f>
        <v>/wp-content/uploads/2025/10/Sales-Against-The-Odds-Promo-Graphic.jpg</v>
      </c>
      <c r="F2065" s="1" t="s">
        <v>1004</v>
      </c>
      <c r="G2065" s="1">
        <v>200.0</v>
      </c>
      <c r="H2065" s="1" t="s">
        <v>966</v>
      </c>
      <c r="I2065" s="1" t="s">
        <v>967</v>
      </c>
      <c r="L2065" s="1">
        <v>0.0</v>
      </c>
      <c r="M2065" s="1">
        <v>0.0</v>
      </c>
      <c r="O2065" s="1">
        <v>0.0</v>
      </c>
      <c r="P2065" s="1">
        <v>0.0</v>
      </c>
      <c r="R2065" s="1">
        <v>0.0</v>
      </c>
      <c r="S2065" s="1">
        <v>0.0</v>
      </c>
      <c r="U2065" s="1">
        <v>0.0</v>
      </c>
      <c r="W2065" s="1">
        <v>0.0</v>
      </c>
      <c r="Y2065" s="1">
        <v>0.0</v>
      </c>
      <c r="AA2065" s="1">
        <v>0.0</v>
      </c>
      <c r="AC2065" s="1">
        <v>0.0</v>
      </c>
      <c r="AM2065" s="1">
        <v>1679983.0</v>
      </c>
      <c r="AN2065" s="1">
        <v>1679983.0</v>
      </c>
      <c r="AO2065" s="1">
        <v>1679983.0</v>
      </c>
      <c r="AP2065" s="1">
        <v>643.57</v>
      </c>
      <c r="AR2065" s="1">
        <v>0.0</v>
      </c>
      <c r="AW2065" s="1">
        <v>0.0</v>
      </c>
      <c r="AX2065" s="1">
        <v>4.0</v>
      </c>
      <c r="AY2065" s="1">
        <v>4.0</v>
      </c>
      <c r="BA2065" s="1">
        <v>0.0</v>
      </c>
      <c r="BB2065" s="1">
        <v>0.0</v>
      </c>
      <c r="BC2065" s="1">
        <v>0.0</v>
      </c>
      <c r="BD2065" s="1">
        <v>0.0</v>
      </c>
      <c r="BE2065" s="1">
        <v>0.0</v>
      </c>
      <c r="BF2065" s="1">
        <v>0.0</v>
      </c>
      <c r="BG2065" s="1">
        <v>0.0</v>
      </c>
      <c r="BH2065" s="1">
        <v>0.0</v>
      </c>
      <c r="BI2065" s="1">
        <v>0.0</v>
      </c>
      <c r="BJ2065" s="1">
        <v>0.0</v>
      </c>
      <c r="BP2065" s="1">
        <v>0.28</v>
      </c>
      <c r="BQ2065" s="1" t="s">
        <v>6780</v>
      </c>
      <c r="BV2065" s="1">
        <v>1.1</v>
      </c>
      <c r="EQ2065" s="9" t="s">
        <v>6779</v>
      </c>
      <c r="ER2065" s="21">
        <v>46045.301712962966</v>
      </c>
    </row>
    <row r="2066">
      <c r="A2066" s="9" t="s">
        <v>6781</v>
      </c>
      <c r="B2066" s="20" t="str">
        <f>IFERROR(__xludf.DUMMYFUNCTION("REGEXREPLACE(A2066, ""^https?://[^/]+"", """")"),"/wp-content/themes/salesxceleratione/assets/css/style.css?ver=1769123574")</f>
        <v>/wp-content/themes/salesxceleratione/assets/css/style.css?ver=1769123574</v>
      </c>
      <c r="F2066" s="1" t="s">
        <v>1016</v>
      </c>
      <c r="G2066" s="1">
        <v>200.0</v>
      </c>
      <c r="H2066" s="1" t="s">
        <v>966</v>
      </c>
      <c r="I2066" s="1" t="s">
        <v>967</v>
      </c>
      <c r="L2066" s="1">
        <v>0.0</v>
      </c>
      <c r="M2066" s="1">
        <v>0.0</v>
      </c>
      <c r="O2066" s="1">
        <v>0.0</v>
      </c>
      <c r="P2066" s="1">
        <v>0.0</v>
      </c>
      <c r="R2066" s="1">
        <v>0.0</v>
      </c>
      <c r="S2066" s="1">
        <v>0.0</v>
      </c>
      <c r="U2066" s="1">
        <v>0.0</v>
      </c>
      <c r="W2066" s="1">
        <v>0.0</v>
      </c>
      <c r="Y2066" s="1">
        <v>0.0</v>
      </c>
      <c r="AA2066" s="1">
        <v>0.0</v>
      </c>
      <c r="AC2066" s="1">
        <v>0.0</v>
      </c>
      <c r="AM2066" s="1">
        <v>17704.0</v>
      </c>
      <c r="AN2066" s="1">
        <v>17704.0</v>
      </c>
      <c r="AO2066" s="1">
        <v>17704.0</v>
      </c>
      <c r="AP2066" s="1">
        <v>6.782</v>
      </c>
      <c r="AR2066" s="1">
        <v>0.0</v>
      </c>
      <c r="AW2066" s="1">
        <v>0.0</v>
      </c>
      <c r="AX2066" s="1">
        <v>4.0</v>
      </c>
      <c r="AY2066" s="1">
        <v>5.0</v>
      </c>
      <c r="BA2066" s="1">
        <v>0.0</v>
      </c>
      <c r="BB2066" s="1">
        <v>0.0</v>
      </c>
      <c r="BC2066" s="1">
        <v>0.0</v>
      </c>
      <c r="BD2066" s="1">
        <v>0.0</v>
      </c>
      <c r="BE2066" s="1">
        <v>0.0</v>
      </c>
      <c r="BF2066" s="1">
        <v>0.0</v>
      </c>
      <c r="BG2066" s="1">
        <v>0.0</v>
      </c>
      <c r="BH2066" s="1">
        <v>0.0</v>
      </c>
      <c r="BI2066" s="1">
        <v>0.0</v>
      </c>
      <c r="BJ2066" s="1">
        <v>0.0</v>
      </c>
      <c r="BP2066" s="1">
        <v>0.283</v>
      </c>
      <c r="BQ2066" s="1" t="s">
        <v>6782</v>
      </c>
      <c r="BV2066" s="1">
        <v>1.1</v>
      </c>
      <c r="EQ2066" s="9" t="s">
        <v>6781</v>
      </c>
      <c r="ER2066" s="21">
        <v>46045.301712962966</v>
      </c>
    </row>
    <row r="2067">
      <c r="A2067" s="9" t="s">
        <v>6783</v>
      </c>
      <c r="B2067" s="20" t="str">
        <f>IFERROR(__xludf.DUMMYFUNCTION("REGEXREPLACE(A2067, ""^https?://[^/]+"", """")"),"/wp-content/uploads/2020/04/Man-Working-in-Home-Office1-2048x2048.jpg")</f>
        <v>/wp-content/uploads/2020/04/Man-Working-in-Home-Office1-2048x2048.jpg</v>
      </c>
      <c r="F2067" s="1" t="s">
        <v>1004</v>
      </c>
      <c r="G2067" s="1">
        <v>200.0</v>
      </c>
      <c r="H2067" s="1" t="s">
        <v>966</v>
      </c>
      <c r="I2067" s="1" t="s">
        <v>967</v>
      </c>
      <c r="L2067" s="1">
        <v>0.0</v>
      </c>
      <c r="M2067" s="1">
        <v>0.0</v>
      </c>
      <c r="O2067" s="1">
        <v>0.0</v>
      </c>
      <c r="P2067" s="1">
        <v>0.0</v>
      </c>
      <c r="R2067" s="1">
        <v>0.0</v>
      </c>
      <c r="S2067" s="1">
        <v>0.0</v>
      </c>
      <c r="U2067" s="1">
        <v>0.0</v>
      </c>
      <c r="W2067" s="1">
        <v>0.0</v>
      </c>
      <c r="Y2067" s="1">
        <v>0.0</v>
      </c>
      <c r="AA2067" s="1">
        <v>0.0</v>
      </c>
      <c r="AC2067" s="1">
        <v>0.0</v>
      </c>
      <c r="AM2067" s="1">
        <v>271357.0</v>
      </c>
      <c r="AN2067" s="1">
        <v>271357.0</v>
      </c>
      <c r="AO2067" s="1">
        <v>271357.0</v>
      </c>
      <c r="AP2067" s="1">
        <v>103.952</v>
      </c>
      <c r="AR2067" s="1">
        <v>0.0</v>
      </c>
      <c r="AW2067" s="1">
        <v>0.0</v>
      </c>
      <c r="AX2067" s="1">
        <v>4.0</v>
      </c>
      <c r="AY2067" s="1">
        <v>4.0</v>
      </c>
      <c r="BA2067" s="1">
        <v>0.0</v>
      </c>
      <c r="BB2067" s="1">
        <v>0.0</v>
      </c>
      <c r="BC2067" s="1">
        <v>0.0</v>
      </c>
      <c r="BD2067" s="1">
        <v>0.0</v>
      </c>
      <c r="BE2067" s="1">
        <v>0.0</v>
      </c>
      <c r="BF2067" s="1">
        <v>0.0</v>
      </c>
      <c r="BG2067" s="1">
        <v>0.0</v>
      </c>
      <c r="BH2067" s="1">
        <v>0.0</v>
      </c>
      <c r="BI2067" s="1">
        <v>0.0</v>
      </c>
      <c r="BJ2067" s="1">
        <v>0.0</v>
      </c>
      <c r="BP2067" s="1">
        <v>0.274</v>
      </c>
      <c r="BQ2067" s="1" t="s">
        <v>6784</v>
      </c>
      <c r="BV2067" s="1">
        <v>1.1</v>
      </c>
      <c r="EQ2067" s="9" t="s">
        <v>6783</v>
      </c>
      <c r="ER2067" s="21">
        <v>46045.301712962966</v>
      </c>
    </row>
    <row r="2068">
      <c r="A2068" s="9" t="s">
        <v>6785</v>
      </c>
      <c r="B2068" s="20" t="str">
        <f>IFERROR(__xludf.DUMMYFUNCTION("REGEXREPLACE(A2068, ""^https?://[^/]+"", """")"),"/wp-content/uploads/2015/03/top-20-percent-sales-xceleration.png")</f>
        <v>/wp-content/uploads/2015/03/top-20-percent-sales-xceleration.png</v>
      </c>
      <c r="F2068" s="1" t="s">
        <v>1047</v>
      </c>
      <c r="G2068" s="1">
        <v>200.0</v>
      </c>
      <c r="H2068" s="1" t="s">
        <v>966</v>
      </c>
      <c r="I2068" s="1" t="s">
        <v>967</v>
      </c>
      <c r="L2068" s="1">
        <v>0.0</v>
      </c>
      <c r="M2068" s="1">
        <v>0.0</v>
      </c>
      <c r="O2068" s="1">
        <v>0.0</v>
      </c>
      <c r="P2068" s="1">
        <v>0.0</v>
      </c>
      <c r="R2068" s="1">
        <v>0.0</v>
      </c>
      <c r="S2068" s="1">
        <v>0.0</v>
      </c>
      <c r="U2068" s="1">
        <v>0.0</v>
      </c>
      <c r="W2068" s="1">
        <v>0.0</v>
      </c>
      <c r="Y2068" s="1">
        <v>0.0</v>
      </c>
      <c r="AA2068" s="1">
        <v>0.0</v>
      </c>
      <c r="AC2068" s="1">
        <v>0.0</v>
      </c>
      <c r="AM2068" s="1">
        <v>134948.0</v>
      </c>
      <c r="AN2068" s="1">
        <v>134948.0</v>
      </c>
      <c r="AO2068" s="1">
        <v>134948.0</v>
      </c>
      <c r="AP2068" s="1">
        <v>51.696</v>
      </c>
      <c r="AR2068" s="1">
        <v>0.0</v>
      </c>
      <c r="AW2068" s="1">
        <v>0.0</v>
      </c>
      <c r="AX2068" s="1">
        <v>4.0</v>
      </c>
      <c r="AY2068" s="1">
        <v>4.0</v>
      </c>
      <c r="BA2068" s="1">
        <v>0.0</v>
      </c>
      <c r="BB2068" s="1">
        <v>0.0</v>
      </c>
      <c r="BC2068" s="1">
        <v>0.0</v>
      </c>
      <c r="BD2068" s="1">
        <v>0.0</v>
      </c>
      <c r="BE2068" s="1">
        <v>0.0</v>
      </c>
      <c r="BF2068" s="1">
        <v>0.0</v>
      </c>
      <c r="BG2068" s="1">
        <v>0.0</v>
      </c>
      <c r="BH2068" s="1">
        <v>0.0</v>
      </c>
      <c r="BI2068" s="1">
        <v>0.0</v>
      </c>
      <c r="BJ2068" s="1">
        <v>0.0</v>
      </c>
      <c r="BP2068" s="1">
        <v>0.263</v>
      </c>
      <c r="BQ2068" s="1" t="s">
        <v>6786</v>
      </c>
      <c r="BV2068" s="1">
        <v>1.1</v>
      </c>
      <c r="EQ2068" s="9" t="s">
        <v>6785</v>
      </c>
      <c r="ER2068" s="21">
        <v>46045.301712962966</v>
      </c>
    </row>
    <row r="2069">
      <c r="A2069" s="9" t="s">
        <v>6787</v>
      </c>
      <c r="B2069" s="20" t="str">
        <f>IFERROR(__xludf.DUMMYFUNCTION("REGEXREPLACE(A2069, ""^https?://[^/]+"", """")"),"/wp-content/uploads/2020/05/Satisfied-Happy-Businessman-scaled-1-2048x2048.jpg")</f>
        <v>/wp-content/uploads/2020/05/Satisfied-Happy-Businessman-scaled-1-2048x2048.jpg</v>
      </c>
      <c r="F2069" s="1" t="s">
        <v>1004</v>
      </c>
      <c r="G2069" s="1">
        <v>200.0</v>
      </c>
      <c r="H2069" s="1" t="s">
        <v>966</v>
      </c>
      <c r="I2069" s="1" t="s">
        <v>967</v>
      </c>
      <c r="L2069" s="1">
        <v>0.0</v>
      </c>
      <c r="M2069" s="1">
        <v>0.0</v>
      </c>
      <c r="O2069" s="1">
        <v>0.0</v>
      </c>
      <c r="P2069" s="1">
        <v>0.0</v>
      </c>
      <c r="R2069" s="1">
        <v>0.0</v>
      </c>
      <c r="S2069" s="1">
        <v>0.0</v>
      </c>
      <c r="U2069" s="1">
        <v>0.0</v>
      </c>
      <c r="W2069" s="1">
        <v>0.0</v>
      </c>
      <c r="Y2069" s="1">
        <v>0.0</v>
      </c>
      <c r="AA2069" s="1">
        <v>0.0</v>
      </c>
      <c r="AC2069" s="1">
        <v>0.0</v>
      </c>
      <c r="AM2069" s="1">
        <v>309180.0</v>
      </c>
      <c r="AN2069" s="1">
        <v>309180.0</v>
      </c>
      <c r="AO2069" s="1">
        <v>309180.0</v>
      </c>
      <c r="AP2069" s="1">
        <v>118.441</v>
      </c>
      <c r="AR2069" s="1">
        <v>0.0</v>
      </c>
      <c r="AW2069" s="1">
        <v>0.0</v>
      </c>
      <c r="AX2069" s="1">
        <v>4.0</v>
      </c>
      <c r="AY2069" s="1">
        <v>4.0</v>
      </c>
      <c r="BA2069" s="1">
        <v>0.0</v>
      </c>
      <c r="BB2069" s="1">
        <v>0.0</v>
      </c>
      <c r="BC2069" s="1">
        <v>0.0</v>
      </c>
      <c r="BD2069" s="1">
        <v>0.0</v>
      </c>
      <c r="BE2069" s="1">
        <v>0.0</v>
      </c>
      <c r="BF2069" s="1">
        <v>0.0</v>
      </c>
      <c r="BG2069" s="1">
        <v>0.0</v>
      </c>
      <c r="BH2069" s="1">
        <v>0.0</v>
      </c>
      <c r="BI2069" s="1">
        <v>0.0</v>
      </c>
      <c r="BJ2069" s="1">
        <v>0.0</v>
      </c>
      <c r="BP2069" s="1">
        <v>0.27</v>
      </c>
      <c r="BQ2069" s="1" t="s">
        <v>6788</v>
      </c>
      <c r="BV2069" s="1">
        <v>1.1</v>
      </c>
      <c r="EQ2069" s="9" t="s">
        <v>6787</v>
      </c>
      <c r="ER2069" s="21">
        <v>46045.301712962966</v>
      </c>
    </row>
    <row r="2070">
      <c r="A2070" s="9" t="s">
        <v>6789</v>
      </c>
      <c r="B2070" s="20" t="str">
        <f>IFERROR(__xludf.DUMMYFUNCTION("REGEXREPLACE(A2070, ""^https?://[^/]+"", """")"),"/wp-content/uploads/2020/12/Woman-Sales-VP-Thinking-About-the-Future-scaled-1-2048x2048.jpg")</f>
        <v>/wp-content/uploads/2020/12/Woman-Sales-VP-Thinking-About-the-Future-scaled-1-2048x2048.jpg</v>
      </c>
      <c r="F2070" s="1" t="s">
        <v>1004</v>
      </c>
      <c r="G2070" s="1">
        <v>200.0</v>
      </c>
      <c r="H2070" s="1" t="s">
        <v>966</v>
      </c>
      <c r="I2070" s="1" t="s">
        <v>967</v>
      </c>
      <c r="L2070" s="1">
        <v>0.0</v>
      </c>
      <c r="M2070" s="1">
        <v>0.0</v>
      </c>
      <c r="O2070" s="1">
        <v>0.0</v>
      </c>
      <c r="P2070" s="1">
        <v>0.0</v>
      </c>
      <c r="R2070" s="1">
        <v>0.0</v>
      </c>
      <c r="S2070" s="1">
        <v>0.0</v>
      </c>
      <c r="U2070" s="1">
        <v>0.0</v>
      </c>
      <c r="W2070" s="1">
        <v>0.0</v>
      </c>
      <c r="Y2070" s="1">
        <v>0.0</v>
      </c>
      <c r="AA2070" s="1">
        <v>0.0</v>
      </c>
      <c r="AC2070" s="1">
        <v>0.0</v>
      </c>
      <c r="AM2070" s="1">
        <v>195595.0</v>
      </c>
      <c r="AN2070" s="1">
        <v>195595.0</v>
      </c>
      <c r="AO2070" s="1">
        <v>195595.0</v>
      </c>
      <c r="AP2070" s="1">
        <v>74.929</v>
      </c>
      <c r="AR2070" s="1">
        <v>0.0</v>
      </c>
      <c r="AW2070" s="1">
        <v>0.0</v>
      </c>
      <c r="AX2070" s="1">
        <v>4.0</v>
      </c>
      <c r="AY2070" s="1">
        <v>4.0</v>
      </c>
      <c r="BA2070" s="1">
        <v>0.0</v>
      </c>
      <c r="BB2070" s="1">
        <v>0.0</v>
      </c>
      <c r="BC2070" s="1">
        <v>0.0</v>
      </c>
      <c r="BD2070" s="1">
        <v>0.0</v>
      </c>
      <c r="BE2070" s="1">
        <v>0.0</v>
      </c>
      <c r="BF2070" s="1">
        <v>0.0</v>
      </c>
      <c r="BG2070" s="1">
        <v>0.0</v>
      </c>
      <c r="BH2070" s="1">
        <v>0.0</v>
      </c>
      <c r="BI2070" s="1">
        <v>0.0</v>
      </c>
      <c r="BJ2070" s="1">
        <v>0.0</v>
      </c>
      <c r="BP2070" s="1">
        <v>0.431</v>
      </c>
      <c r="BQ2070" s="1" t="s">
        <v>6526</v>
      </c>
      <c r="BV2070" s="1">
        <v>1.1</v>
      </c>
      <c r="EQ2070" s="9" t="s">
        <v>6789</v>
      </c>
      <c r="ER2070" s="21">
        <v>46045.301712962966</v>
      </c>
    </row>
    <row r="2071">
      <c r="A2071" s="9" t="s">
        <v>6790</v>
      </c>
      <c r="B2071" s="20" t="str">
        <f>IFERROR(__xludf.DUMMYFUNCTION("REGEXREPLACE(A2071, ""^https?://[^/]+"", """")"),"/introducing-sales-against-the-odds/")</f>
        <v>/introducing-sales-against-the-odds/</v>
      </c>
      <c r="C2071" s="1" t="s">
        <v>6791</v>
      </c>
      <c r="F2071" s="1" t="s">
        <v>965</v>
      </c>
      <c r="G2071" s="1">
        <v>200.0</v>
      </c>
      <c r="H2071" s="1" t="s">
        <v>966</v>
      </c>
      <c r="I2071" s="1" t="s">
        <v>967</v>
      </c>
      <c r="K2071" s="1" t="s">
        <v>6792</v>
      </c>
      <c r="L2071" s="1">
        <v>59.0</v>
      </c>
      <c r="M2071" s="1">
        <v>532.0</v>
      </c>
      <c r="O2071" s="1">
        <v>0.0</v>
      </c>
      <c r="P2071" s="1">
        <v>0.0</v>
      </c>
      <c r="Q2071" s="1" t="s">
        <v>6793</v>
      </c>
      <c r="R2071" s="1">
        <v>277.0</v>
      </c>
      <c r="S2071" s="1">
        <v>1670.0</v>
      </c>
      <c r="U2071" s="1">
        <v>0.0</v>
      </c>
      <c r="V2071" s="1" t="s">
        <v>6791</v>
      </c>
      <c r="W2071" s="1">
        <v>34.0</v>
      </c>
      <c r="Y2071" s="1">
        <v>0.0</v>
      </c>
      <c r="AA2071" s="1">
        <v>0.0</v>
      </c>
      <c r="AC2071" s="1">
        <v>0.0</v>
      </c>
      <c r="AD2071" s="1" t="s">
        <v>971</v>
      </c>
      <c r="AG2071" s="9" t="s">
        <v>6790</v>
      </c>
      <c r="AM2071" s="1">
        <v>192783.0</v>
      </c>
      <c r="AN2071" s="1">
        <v>33515.0</v>
      </c>
      <c r="AO2071" s="1">
        <v>33515.0</v>
      </c>
      <c r="AP2071" s="1">
        <v>12.839</v>
      </c>
      <c r="AR2071" s="1">
        <v>671.0</v>
      </c>
      <c r="AS2071" s="1">
        <v>110.0</v>
      </c>
      <c r="AT2071" s="1">
        <v>6.1</v>
      </c>
      <c r="AU2071" s="1">
        <v>62.207</v>
      </c>
      <c r="AV2071" s="1" t="s">
        <v>990</v>
      </c>
      <c r="AW2071" s="1">
        <v>3.386</v>
      </c>
      <c r="AX2071" s="1">
        <v>4.0</v>
      </c>
      <c r="AY2071" s="1">
        <v>1.0</v>
      </c>
      <c r="AZ2071" s="1">
        <v>1.0</v>
      </c>
      <c r="BA2071" s="1">
        <v>1.0</v>
      </c>
      <c r="BB2071" s="1">
        <v>1.0</v>
      </c>
      <c r="BC2071" s="1">
        <v>0.0</v>
      </c>
      <c r="BD2071" s="1">
        <v>0.13</v>
      </c>
      <c r="BE2071" s="1">
        <v>129.0</v>
      </c>
      <c r="BF2071" s="1">
        <v>47.0</v>
      </c>
      <c r="BG2071" s="1">
        <v>0.0</v>
      </c>
      <c r="BH2071" s="1">
        <v>16.0</v>
      </c>
      <c r="BI2071" s="1">
        <v>8.0</v>
      </c>
      <c r="BJ2071" s="1">
        <v>0.0</v>
      </c>
      <c r="BO2071" s="1" t="s">
        <v>6794</v>
      </c>
      <c r="BP2071" s="1">
        <v>1.212</v>
      </c>
      <c r="BU2071" s="1" t="s">
        <v>974</v>
      </c>
      <c r="BV2071" s="1">
        <v>1.1</v>
      </c>
      <c r="EQ2071" s="9" t="s">
        <v>6790</v>
      </c>
      <c r="ER2071" s="21">
        <v>46045.30170138889</v>
      </c>
    </row>
    <row r="2072">
      <c r="A2072" s="9" t="s">
        <v>6795</v>
      </c>
      <c r="B2072" s="20" t="str">
        <f>IFERROR(__xludf.DUMMYFUNCTION("REGEXREPLACE(A2072, ""^https?://[^/]+"", """")"),"/the-sales-strategy-shift-most-founders-miss/")</f>
        <v>/the-sales-strategy-shift-most-founders-miss/</v>
      </c>
      <c r="C2072" s="1" t="s">
        <v>6796</v>
      </c>
      <c r="D2072" s="1" t="s">
        <v>4871</v>
      </c>
      <c r="E2072" s="1" t="s">
        <v>4872</v>
      </c>
      <c r="F2072" s="1" t="s">
        <v>965</v>
      </c>
      <c r="G2072" s="1">
        <v>200.0</v>
      </c>
      <c r="H2072" s="1" t="s">
        <v>966</v>
      </c>
      <c r="I2072" s="1" t="s">
        <v>967</v>
      </c>
      <c r="K2072" s="1" t="s">
        <v>6797</v>
      </c>
      <c r="L2072" s="1">
        <v>68.0</v>
      </c>
      <c r="M2072" s="1">
        <v>615.0</v>
      </c>
      <c r="O2072" s="1">
        <v>0.0</v>
      </c>
      <c r="P2072" s="1">
        <v>0.0</v>
      </c>
      <c r="Q2072" s="1" t="s">
        <v>6798</v>
      </c>
      <c r="R2072" s="1">
        <v>147.0</v>
      </c>
      <c r="S2072" s="1">
        <v>893.0</v>
      </c>
      <c r="U2072" s="1">
        <v>0.0</v>
      </c>
      <c r="V2072" s="1" t="s">
        <v>6796</v>
      </c>
      <c r="W2072" s="1">
        <v>43.0</v>
      </c>
      <c r="Y2072" s="1">
        <v>0.0</v>
      </c>
      <c r="Z2072" s="1" t="s">
        <v>4871</v>
      </c>
      <c r="AA2072" s="1">
        <v>14.0</v>
      </c>
      <c r="AB2072" s="1" t="s">
        <v>4872</v>
      </c>
      <c r="AC2072" s="1">
        <v>19.0</v>
      </c>
      <c r="AD2072" s="1" t="s">
        <v>971</v>
      </c>
      <c r="AG2072" s="9" t="s">
        <v>6795</v>
      </c>
      <c r="AM2072" s="1">
        <v>251414.0</v>
      </c>
      <c r="AN2072" s="1">
        <v>51433.0</v>
      </c>
      <c r="AO2072" s="1">
        <v>51433.0</v>
      </c>
      <c r="AP2072" s="1">
        <v>19.703</v>
      </c>
      <c r="AR2072" s="1">
        <v>9595.0</v>
      </c>
      <c r="AS2072" s="1">
        <v>1352.0</v>
      </c>
      <c r="AT2072" s="1">
        <v>7.097</v>
      </c>
      <c r="AU2072" s="1">
        <v>86.552</v>
      </c>
      <c r="AV2072" s="1" t="s">
        <v>1129</v>
      </c>
      <c r="AW2072" s="1">
        <v>22.235</v>
      </c>
      <c r="AX2072" s="1">
        <v>4.0</v>
      </c>
      <c r="AY2072" s="1">
        <v>1.0</v>
      </c>
      <c r="AZ2072" s="1">
        <v>1.0</v>
      </c>
      <c r="BA2072" s="1">
        <v>2.0</v>
      </c>
      <c r="BB2072" s="1">
        <v>2.0</v>
      </c>
      <c r="BC2072" s="1">
        <v>0.0</v>
      </c>
      <c r="BD2072" s="1">
        <v>0.27</v>
      </c>
      <c r="BE2072" s="1">
        <v>129.0</v>
      </c>
      <c r="BF2072" s="1">
        <v>47.0</v>
      </c>
      <c r="BG2072" s="1">
        <v>0.0</v>
      </c>
      <c r="BH2072" s="1">
        <v>18.0</v>
      </c>
      <c r="BI2072" s="1">
        <v>10.0</v>
      </c>
      <c r="BJ2072" s="1">
        <v>0.0</v>
      </c>
      <c r="BO2072" s="1" t="s">
        <v>6799</v>
      </c>
      <c r="BP2072" s="1">
        <v>1.032</v>
      </c>
      <c r="BU2072" s="1" t="s">
        <v>974</v>
      </c>
      <c r="BV2072" s="1">
        <v>1.1</v>
      </c>
      <c r="EQ2072" s="9" t="s">
        <v>6795</v>
      </c>
      <c r="ER2072" s="21">
        <v>46045.30170138889</v>
      </c>
    </row>
    <row r="2073">
      <c r="A2073" s="9" t="s">
        <v>6800</v>
      </c>
      <c r="B2073" s="20" t="str">
        <f>IFERROR(__xludf.DUMMYFUNCTION("REGEXREPLACE(A2073, ""^https?://[^/]+"", """")"),"/wp-content/uploads/2020/05/Woman-Sales-Leader-Leading-a-Team-scaled-1-2048x2048.jpg")</f>
        <v>/wp-content/uploads/2020/05/Woman-Sales-Leader-Leading-a-Team-scaled-1-2048x2048.jpg</v>
      </c>
      <c r="F2073" s="1" t="s">
        <v>1004</v>
      </c>
      <c r="G2073" s="1">
        <v>200.0</v>
      </c>
      <c r="H2073" s="1" t="s">
        <v>966</v>
      </c>
      <c r="I2073" s="1" t="s">
        <v>967</v>
      </c>
      <c r="L2073" s="1">
        <v>0.0</v>
      </c>
      <c r="M2073" s="1">
        <v>0.0</v>
      </c>
      <c r="O2073" s="1">
        <v>0.0</v>
      </c>
      <c r="P2073" s="1">
        <v>0.0</v>
      </c>
      <c r="R2073" s="1">
        <v>0.0</v>
      </c>
      <c r="S2073" s="1">
        <v>0.0</v>
      </c>
      <c r="U2073" s="1">
        <v>0.0</v>
      </c>
      <c r="W2073" s="1">
        <v>0.0</v>
      </c>
      <c r="Y2073" s="1">
        <v>0.0</v>
      </c>
      <c r="AA2073" s="1">
        <v>0.0</v>
      </c>
      <c r="AC2073" s="1">
        <v>0.0</v>
      </c>
      <c r="AM2073" s="1">
        <v>302131.0</v>
      </c>
      <c r="AN2073" s="1">
        <v>302131.0</v>
      </c>
      <c r="AO2073" s="1">
        <v>302131.0</v>
      </c>
      <c r="AP2073" s="1">
        <v>115.741</v>
      </c>
      <c r="AR2073" s="1">
        <v>0.0</v>
      </c>
      <c r="AW2073" s="1">
        <v>0.0</v>
      </c>
      <c r="AX2073" s="1">
        <v>4.0</v>
      </c>
      <c r="AY2073" s="1">
        <v>4.0</v>
      </c>
      <c r="BA2073" s="1">
        <v>0.0</v>
      </c>
      <c r="BB2073" s="1">
        <v>0.0</v>
      </c>
      <c r="BC2073" s="1">
        <v>0.0</v>
      </c>
      <c r="BD2073" s="1">
        <v>0.0</v>
      </c>
      <c r="BE2073" s="1">
        <v>0.0</v>
      </c>
      <c r="BF2073" s="1">
        <v>0.0</v>
      </c>
      <c r="BG2073" s="1">
        <v>0.0</v>
      </c>
      <c r="BH2073" s="1">
        <v>0.0</v>
      </c>
      <c r="BI2073" s="1">
        <v>0.0</v>
      </c>
      <c r="BJ2073" s="1">
        <v>0.0</v>
      </c>
      <c r="BP2073" s="1">
        <v>0.265</v>
      </c>
      <c r="BQ2073" s="1" t="s">
        <v>6801</v>
      </c>
      <c r="BV2073" s="1">
        <v>1.1</v>
      </c>
      <c r="EQ2073" s="9" t="s">
        <v>6800</v>
      </c>
      <c r="ER2073" s="21">
        <v>46045.301724537036</v>
      </c>
    </row>
    <row r="2074">
      <c r="A2074" s="9" t="s">
        <v>6802</v>
      </c>
      <c r="B2074" s="20" t="str">
        <f>IFERROR(__xludf.DUMMYFUNCTION("REGEXREPLACE(A2074, ""^https?://[^/]+"", """")"),"/wp-content/uploads/2017/10/Senior-Advisor-2048x2048.jpg")</f>
        <v>/wp-content/uploads/2017/10/Senior-Advisor-2048x2048.jpg</v>
      </c>
      <c r="F2074" s="1" t="s">
        <v>1004</v>
      </c>
      <c r="G2074" s="1">
        <v>200.0</v>
      </c>
      <c r="H2074" s="1" t="s">
        <v>966</v>
      </c>
      <c r="I2074" s="1" t="s">
        <v>967</v>
      </c>
      <c r="L2074" s="1">
        <v>0.0</v>
      </c>
      <c r="M2074" s="1">
        <v>0.0</v>
      </c>
      <c r="O2074" s="1">
        <v>0.0</v>
      </c>
      <c r="P2074" s="1">
        <v>0.0</v>
      </c>
      <c r="R2074" s="1">
        <v>0.0</v>
      </c>
      <c r="S2074" s="1">
        <v>0.0</v>
      </c>
      <c r="U2074" s="1">
        <v>0.0</v>
      </c>
      <c r="W2074" s="1">
        <v>0.0</v>
      </c>
      <c r="Y2074" s="1">
        <v>0.0</v>
      </c>
      <c r="AA2074" s="1">
        <v>0.0</v>
      </c>
      <c r="AC2074" s="1">
        <v>0.0</v>
      </c>
      <c r="AM2074" s="1">
        <v>210950.0</v>
      </c>
      <c r="AN2074" s="1">
        <v>210950.0</v>
      </c>
      <c r="AO2074" s="1">
        <v>210950.0</v>
      </c>
      <c r="AP2074" s="1">
        <v>80.811</v>
      </c>
      <c r="AR2074" s="1">
        <v>0.0</v>
      </c>
      <c r="AW2074" s="1">
        <v>0.0</v>
      </c>
      <c r="AX2074" s="1">
        <v>4.0</v>
      </c>
      <c r="AY2074" s="1">
        <v>4.0</v>
      </c>
      <c r="BA2074" s="1">
        <v>0.0</v>
      </c>
      <c r="BB2074" s="1">
        <v>0.0</v>
      </c>
      <c r="BC2074" s="1">
        <v>0.0</v>
      </c>
      <c r="BD2074" s="1">
        <v>0.0</v>
      </c>
      <c r="BE2074" s="1">
        <v>0.0</v>
      </c>
      <c r="BF2074" s="1">
        <v>0.0</v>
      </c>
      <c r="BG2074" s="1">
        <v>0.0</v>
      </c>
      <c r="BH2074" s="1">
        <v>0.0</v>
      </c>
      <c r="BI2074" s="1">
        <v>0.0</v>
      </c>
      <c r="BJ2074" s="1">
        <v>0.0</v>
      </c>
      <c r="BP2074" s="1">
        <v>0.285</v>
      </c>
      <c r="BQ2074" s="1" t="s">
        <v>6803</v>
      </c>
      <c r="BV2074" s="1">
        <v>1.1</v>
      </c>
      <c r="EQ2074" s="9" t="s">
        <v>6802</v>
      </c>
      <c r="ER2074" s="21">
        <v>46045.301724537036</v>
      </c>
    </row>
    <row r="2075">
      <c r="A2075" s="9" t="s">
        <v>6804</v>
      </c>
      <c r="B2075" s="20" t="str">
        <f>IFERROR(__xludf.DUMMYFUNCTION("REGEXREPLACE(A2075, ""^https?://[^/]+"", """")"),"/why-sales-leadership-consultants-often-thrive-during-hard-economic-times/")</f>
        <v>/why-sales-leadership-consultants-often-thrive-during-hard-economic-times/</v>
      </c>
      <c r="C2075" s="1" t="s">
        <v>6805</v>
      </c>
      <c r="F2075" s="1" t="s">
        <v>965</v>
      </c>
      <c r="G2075" s="1">
        <v>200.0</v>
      </c>
      <c r="H2075" s="1" t="s">
        <v>966</v>
      </c>
      <c r="I2075" s="1" t="s">
        <v>1214</v>
      </c>
      <c r="J2075" s="1" t="s">
        <v>1215</v>
      </c>
      <c r="K2075" s="1" t="s">
        <v>6806</v>
      </c>
      <c r="L2075" s="1">
        <v>92.0</v>
      </c>
      <c r="M2075" s="1">
        <v>859.0</v>
      </c>
      <c r="O2075" s="1">
        <v>0.0</v>
      </c>
      <c r="P2075" s="1">
        <v>0.0</v>
      </c>
      <c r="Q2075" s="1" t="s">
        <v>6807</v>
      </c>
      <c r="R2075" s="1">
        <v>158.0</v>
      </c>
      <c r="S2075" s="1">
        <v>989.0</v>
      </c>
      <c r="U2075" s="1">
        <v>0.0</v>
      </c>
      <c r="V2075" s="1" t="s">
        <v>6805</v>
      </c>
      <c r="W2075" s="1">
        <v>72.0</v>
      </c>
      <c r="Y2075" s="1">
        <v>0.0</v>
      </c>
      <c r="AA2075" s="1">
        <v>0.0</v>
      </c>
      <c r="AC2075" s="1">
        <v>0.0</v>
      </c>
      <c r="AD2075" s="1" t="s">
        <v>971</v>
      </c>
      <c r="AG2075" s="9" t="s">
        <v>6226</v>
      </c>
      <c r="AM2075" s="1">
        <v>202226.0</v>
      </c>
      <c r="AN2075" s="1">
        <v>36232.0</v>
      </c>
      <c r="AO2075" s="1">
        <v>36232.0</v>
      </c>
      <c r="AP2075" s="1">
        <v>13.88</v>
      </c>
      <c r="AR2075" s="1">
        <v>1337.0</v>
      </c>
      <c r="AS2075" s="1">
        <v>197.0</v>
      </c>
      <c r="AT2075" s="1">
        <v>6.787</v>
      </c>
      <c r="AU2075" s="1">
        <v>56.436</v>
      </c>
      <c r="AV2075" s="1" t="s">
        <v>972</v>
      </c>
      <c r="AW2075" s="1">
        <v>5.391</v>
      </c>
      <c r="AX2075" s="1">
        <v>4.0</v>
      </c>
      <c r="AY2075" s="1">
        <v>1.0</v>
      </c>
      <c r="BA2075" s="1">
        <v>1.0</v>
      </c>
      <c r="BB2075" s="1">
        <v>1.0</v>
      </c>
      <c r="BC2075" s="1">
        <v>0.0</v>
      </c>
      <c r="BD2075" s="1">
        <v>0.13</v>
      </c>
      <c r="BE2075" s="1">
        <v>132.0</v>
      </c>
      <c r="BF2075" s="1">
        <v>48.0</v>
      </c>
      <c r="BG2075" s="1">
        <v>0.0</v>
      </c>
      <c r="BH2075" s="1">
        <v>16.0</v>
      </c>
      <c r="BI2075" s="1">
        <v>8.0</v>
      </c>
      <c r="BJ2075" s="1">
        <v>0.0</v>
      </c>
      <c r="BO2075" s="1" t="s">
        <v>6808</v>
      </c>
      <c r="BP2075" s="1">
        <v>1.146</v>
      </c>
      <c r="BU2075" s="1" t="s">
        <v>974</v>
      </c>
      <c r="BV2075" s="1">
        <v>1.1</v>
      </c>
      <c r="EQ2075" s="9" t="s">
        <v>6804</v>
      </c>
      <c r="ER2075" s="21">
        <v>46045.301712962966</v>
      </c>
    </row>
    <row r="2076">
      <c r="A2076" s="9" t="s">
        <v>6809</v>
      </c>
      <c r="B2076" s="20" t="str">
        <f>IFERROR(__xludf.DUMMYFUNCTION("REGEXREPLACE(A2076, ""^https?://[^/]+"", """")"),"/home-is-where-the-heart-is-and-where-the-consulting-clients-are/")</f>
        <v>/home-is-where-the-heart-is-and-where-the-consulting-clients-are/</v>
      </c>
      <c r="C2076" s="1" t="s">
        <v>6810</v>
      </c>
      <c r="F2076" s="1" t="s">
        <v>965</v>
      </c>
      <c r="G2076" s="1">
        <v>200.0</v>
      </c>
      <c r="H2076" s="1" t="s">
        <v>966</v>
      </c>
      <c r="I2076" s="1" t="s">
        <v>1214</v>
      </c>
      <c r="J2076" s="1" t="s">
        <v>1215</v>
      </c>
      <c r="K2076" s="1" t="s">
        <v>6811</v>
      </c>
      <c r="L2076" s="1">
        <v>90.0</v>
      </c>
      <c r="M2076" s="1">
        <v>813.0</v>
      </c>
      <c r="O2076" s="1">
        <v>0.0</v>
      </c>
      <c r="P2076" s="1">
        <v>0.0</v>
      </c>
      <c r="Q2076" s="1" t="s">
        <v>6812</v>
      </c>
      <c r="R2076" s="1">
        <v>145.0</v>
      </c>
      <c r="S2076" s="1">
        <v>878.0</v>
      </c>
      <c r="U2076" s="1">
        <v>0.0</v>
      </c>
      <c r="V2076" s="1" t="s">
        <v>6810</v>
      </c>
      <c r="W2076" s="1">
        <v>65.0</v>
      </c>
      <c r="Y2076" s="1">
        <v>0.0</v>
      </c>
      <c r="AA2076" s="1">
        <v>0.0</v>
      </c>
      <c r="AC2076" s="1">
        <v>0.0</v>
      </c>
      <c r="AD2076" s="1" t="s">
        <v>971</v>
      </c>
      <c r="AG2076" s="9" t="s">
        <v>6226</v>
      </c>
      <c r="AM2076" s="1">
        <v>201914.0</v>
      </c>
      <c r="AN2076" s="1">
        <v>36466.0</v>
      </c>
      <c r="AO2076" s="1">
        <v>36466.0</v>
      </c>
      <c r="AP2076" s="1">
        <v>13.969</v>
      </c>
      <c r="AR2076" s="1">
        <v>1414.0</v>
      </c>
      <c r="AS2076" s="1">
        <v>211.0</v>
      </c>
      <c r="AT2076" s="1">
        <v>6.701</v>
      </c>
      <c r="AU2076" s="1">
        <v>69.902</v>
      </c>
      <c r="AV2076" s="1" t="s">
        <v>990</v>
      </c>
      <c r="AW2076" s="1">
        <v>5.38</v>
      </c>
      <c r="AX2076" s="1">
        <v>4.0</v>
      </c>
      <c r="AY2076" s="1">
        <v>1.0</v>
      </c>
      <c r="BA2076" s="1">
        <v>1.0</v>
      </c>
      <c r="BB2076" s="1">
        <v>1.0</v>
      </c>
      <c r="BC2076" s="1">
        <v>0.0</v>
      </c>
      <c r="BD2076" s="1">
        <v>0.13</v>
      </c>
      <c r="BE2076" s="1">
        <v>132.0</v>
      </c>
      <c r="BF2076" s="1">
        <v>48.0</v>
      </c>
      <c r="BG2076" s="1">
        <v>0.0</v>
      </c>
      <c r="BH2076" s="1">
        <v>16.0</v>
      </c>
      <c r="BI2076" s="1">
        <v>8.0</v>
      </c>
      <c r="BJ2076" s="1">
        <v>0.0</v>
      </c>
      <c r="BO2076" s="1" t="s">
        <v>6813</v>
      </c>
      <c r="BP2076" s="1">
        <v>0.972</v>
      </c>
      <c r="BU2076" s="1" t="s">
        <v>974</v>
      </c>
      <c r="BV2076" s="1">
        <v>1.1</v>
      </c>
      <c r="EQ2076" s="9" t="s">
        <v>6809</v>
      </c>
      <c r="ER2076" s="21">
        <v>46045.301724537036</v>
      </c>
    </row>
    <row r="2077">
      <c r="A2077" s="9" t="s">
        <v>6814</v>
      </c>
      <c r="B2077" s="20" t="str">
        <f>IFERROR(__xludf.DUMMYFUNCTION("REGEXREPLACE(A2077, ""^https?://[^/]+"", """")"),"/wp-content/uploads/2022/02/It-is-my-passion.jpg")</f>
        <v>/wp-content/uploads/2022/02/It-is-my-passion.jpg</v>
      </c>
      <c r="F2077" s="1" t="s">
        <v>1004</v>
      </c>
      <c r="G2077" s="1">
        <v>200.0</v>
      </c>
      <c r="H2077" s="1" t="s">
        <v>966</v>
      </c>
      <c r="I2077" s="1" t="s">
        <v>967</v>
      </c>
      <c r="L2077" s="1">
        <v>0.0</v>
      </c>
      <c r="M2077" s="1">
        <v>0.0</v>
      </c>
      <c r="O2077" s="1">
        <v>0.0</v>
      </c>
      <c r="P2077" s="1">
        <v>0.0</v>
      </c>
      <c r="R2077" s="1">
        <v>0.0</v>
      </c>
      <c r="S2077" s="1">
        <v>0.0</v>
      </c>
      <c r="U2077" s="1">
        <v>0.0</v>
      </c>
      <c r="W2077" s="1">
        <v>0.0</v>
      </c>
      <c r="Y2077" s="1">
        <v>0.0</v>
      </c>
      <c r="AA2077" s="1">
        <v>0.0</v>
      </c>
      <c r="AC2077" s="1">
        <v>0.0</v>
      </c>
      <c r="AM2077" s="1">
        <v>268851.0</v>
      </c>
      <c r="AN2077" s="1">
        <v>268851.0</v>
      </c>
      <c r="AO2077" s="1">
        <v>268851.0</v>
      </c>
      <c r="AP2077" s="1">
        <v>102.992</v>
      </c>
      <c r="AR2077" s="1">
        <v>0.0</v>
      </c>
      <c r="AW2077" s="1">
        <v>0.0</v>
      </c>
      <c r="AX2077" s="1">
        <v>4.0</v>
      </c>
      <c r="AY2077" s="1">
        <v>4.0</v>
      </c>
      <c r="BA2077" s="1">
        <v>0.0</v>
      </c>
      <c r="BB2077" s="1">
        <v>0.0</v>
      </c>
      <c r="BC2077" s="1">
        <v>0.0</v>
      </c>
      <c r="BD2077" s="1">
        <v>0.0</v>
      </c>
      <c r="BE2077" s="1">
        <v>0.0</v>
      </c>
      <c r="BF2077" s="1">
        <v>0.0</v>
      </c>
      <c r="BG2077" s="1">
        <v>0.0</v>
      </c>
      <c r="BH2077" s="1">
        <v>0.0</v>
      </c>
      <c r="BI2077" s="1">
        <v>0.0</v>
      </c>
      <c r="BJ2077" s="1">
        <v>0.0</v>
      </c>
      <c r="BP2077" s="1">
        <v>0.267</v>
      </c>
      <c r="BQ2077" s="1" t="s">
        <v>6815</v>
      </c>
      <c r="BV2077" s="1">
        <v>1.1</v>
      </c>
      <c r="EQ2077" s="9" t="s">
        <v>6814</v>
      </c>
      <c r="ER2077" s="21">
        <v>46045.30173611111</v>
      </c>
    </row>
    <row r="2078">
      <c r="A2078" s="9" t="s">
        <v>6816</v>
      </c>
      <c r="B2078" s="20" t="str">
        <f>IFERROR(__xludf.DUMMYFUNCTION("REGEXREPLACE(A2078, ""^https?://[^/]+"", """")"),"/you-can-make-your-professional-dreams-come-true-if-you-have-these-five-fundamentals/")</f>
        <v>/you-can-make-your-professional-dreams-come-true-if-you-have-these-five-fundamentals/</v>
      </c>
      <c r="C2078" s="1" t="s">
        <v>6817</v>
      </c>
      <c r="F2078" s="1" t="s">
        <v>965</v>
      </c>
      <c r="G2078" s="1">
        <v>200.0</v>
      </c>
      <c r="H2078" s="1" t="s">
        <v>966</v>
      </c>
      <c r="I2078" s="1" t="s">
        <v>1214</v>
      </c>
      <c r="J2078" s="1" t="s">
        <v>1215</v>
      </c>
      <c r="K2078" s="1" t="s">
        <v>6818</v>
      </c>
      <c r="L2078" s="1">
        <v>110.0</v>
      </c>
      <c r="M2078" s="1">
        <v>1046.0</v>
      </c>
      <c r="O2078" s="1">
        <v>0.0</v>
      </c>
      <c r="P2078" s="1">
        <v>0.0</v>
      </c>
      <c r="Q2078" s="1" t="s">
        <v>6819</v>
      </c>
      <c r="R2078" s="1">
        <v>154.0</v>
      </c>
      <c r="S2078" s="1">
        <v>937.0</v>
      </c>
      <c r="U2078" s="1">
        <v>0.0</v>
      </c>
      <c r="V2078" s="1" t="s">
        <v>6817</v>
      </c>
      <c r="W2078" s="1">
        <v>85.0</v>
      </c>
      <c r="Y2078" s="1">
        <v>0.0</v>
      </c>
      <c r="AA2078" s="1">
        <v>0.0</v>
      </c>
      <c r="AC2078" s="1">
        <v>0.0</v>
      </c>
      <c r="AD2078" s="1" t="s">
        <v>971</v>
      </c>
      <c r="AG2078" s="9" t="s">
        <v>6226</v>
      </c>
      <c r="AM2078" s="1">
        <v>202205.0</v>
      </c>
      <c r="AN2078" s="1">
        <v>36405.0</v>
      </c>
      <c r="AO2078" s="1">
        <v>36405.0</v>
      </c>
      <c r="AP2078" s="1">
        <v>13.946</v>
      </c>
      <c r="AR2078" s="1">
        <v>1347.0</v>
      </c>
      <c r="AS2078" s="1">
        <v>205.0</v>
      </c>
      <c r="AT2078" s="1">
        <v>6.571</v>
      </c>
      <c r="AU2078" s="1">
        <v>64.944</v>
      </c>
      <c r="AV2078" s="1" t="s">
        <v>990</v>
      </c>
      <c r="AW2078" s="1">
        <v>5.292</v>
      </c>
      <c r="AX2078" s="1">
        <v>4.0</v>
      </c>
      <c r="AY2078" s="1">
        <v>1.0</v>
      </c>
      <c r="BA2078" s="1">
        <v>1.0</v>
      </c>
      <c r="BB2078" s="1">
        <v>1.0</v>
      </c>
      <c r="BC2078" s="1">
        <v>0.0</v>
      </c>
      <c r="BD2078" s="1">
        <v>0.13</v>
      </c>
      <c r="BE2078" s="1">
        <v>132.0</v>
      </c>
      <c r="BF2078" s="1">
        <v>48.0</v>
      </c>
      <c r="BG2078" s="1">
        <v>0.0</v>
      </c>
      <c r="BH2078" s="1">
        <v>16.0</v>
      </c>
      <c r="BI2078" s="1">
        <v>8.0</v>
      </c>
      <c r="BJ2078" s="1">
        <v>0.0</v>
      </c>
      <c r="BO2078" s="1" t="s">
        <v>6820</v>
      </c>
      <c r="BP2078" s="1">
        <v>0.978</v>
      </c>
      <c r="BU2078" s="1" t="s">
        <v>974</v>
      </c>
      <c r="BV2078" s="1">
        <v>1.1</v>
      </c>
      <c r="EQ2078" s="9" t="s">
        <v>6816</v>
      </c>
      <c r="ER2078" s="21">
        <v>46045.301724537036</v>
      </c>
    </row>
    <row r="2079">
      <c r="A2079" s="9" t="s">
        <v>6821</v>
      </c>
      <c r="B2079" s="20" t="str">
        <f>IFERROR(__xludf.DUMMYFUNCTION("REGEXREPLACE(A2079, ""^https?://[^/]+"", """")"),"/wp-content/uploads/2022/03/Corporate-Travel.jpg")</f>
        <v>/wp-content/uploads/2022/03/Corporate-Travel.jpg</v>
      </c>
      <c r="F2079" s="1" t="s">
        <v>1004</v>
      </c>
      <c r="G2079" s="1">
        <v>200.0</v>
      </c>
      <c r="H2079" s="1" t="s">
        <v>966</v>
      </c>
      <c r="I2079" s="1" t="s">
        <v>967</v>
      </c>
      <c r="L2079" s="1">
        <v>0.0</v>
      </c>
      <c r="M2079" s="1">
        <v>0.0</v>
      </c>
      <c r="O2079" s="1">
        <v>0.0</v>
      </c>
      <c r="P2079" s="1">
        <v>0.0</v>
      </c>
      <c r="R2079" s="1">
        <v>0.0</v>
      </c>
      <c r="S2079" s="1">
        <v>0.0</v>
      </c>
      <c r="U2079" s="1">
        <v>0.0</v>
      </c>
      <c r="W2079" s="1">
        <v>0.0</v>
      </c>
      <c r="Y2079" s="1">
        <v>0.0</v>
      </c>
      <c r="AA2079" s="1">
        <v>0.0</v>
      </c>
      <c r="AC2079" s="1">
        <v>0.0</v>
      </c>
      <c r="AM2079" s="1">
        <v>336421.0</v>
      </c>
      <c r="AN2079" s="1">
        <v>336421.0</v>
      </c>
      <c r="AO2079" s="1">
        <v>336421.0</v>
      </c>
      <c r="AP2079" s="1">
        <v>128.876</v>
      </c>
      <c r="AR2079" s="1">
        <v>0.0</v>
      </c>
      <c r="AW2079" s="1">
        <v>0.0</v>
      </c>
      <c r="AX2079" s="1">
        <v>4.0</v>
      </c>
      <c r="AY2079" s="1">
        <v>4.0</v>
      </c>
      <c r="BA2079" s="1">
        <v>0.0</v>
      </c>
      <c r="BB2079" s="1">
        <v>0.0</v>
      </c>
      <c r="BC2079" s="1">
        <v>0.0</v>
      </c>
      <c r="BD2079" s="1">
        <v>0.0</v>
      </c>
      <c r="BE2079" s="1">
        <v>0.0</v>
      </c>
      <c r="BF2079" s="1">
        <v>0.0</v>
      </c>
      <c r="BG2079" s="1">
        <v>0.0</v>
      </c>
      <c r="BH2079" s="1">
        <v>0.0</v>
      </c>
      <c r="BI2079" s="1">
        <v>0.0</v>
      </c>
      <c r="BJ2079" s="1">
        <v>0.0</v>
      </c>
      <c r="BP2079" s="1">
        <v>0.27</v>
      </c>
      <c r="BQ2079" s="1" t="s">
        <v>6822</v>
      </c>
      <c r="BV2079" s="1">
        <v>1.1</v>
      </c>
      <c r="EQ2079" s="9" t="s">
        <v>6821</v>
      </c>
      <c r="ER2079" s="21">
        <v>46045.30173611111</v>
      </c>
    </row>
    <row r="2080">
      <c r="A2080" s="9" t="s">
        <v>6823</v>
      </c>
      <c r="B2080" s="20" t="str">
        <f>IFERROR(__xludf.DUMMYFUNCTION("REGEXREPLACE(A2080, ""^https?://[^/]+"", """")"),"/wp-content/themes/salesxceleratione/assets/css/style.css?ver=1769123575")</f>
        <v>/wp-content/themes/salesxceleratione/assets/css/style.css?ver=1769123575</v>
      </c>
      <c r="F2080" s="1" t="s">
        <v>1016</v>
      </c>
      <c r="G2080" s="1">
        <v>200.0</v>
      </c>
      <c r="H2080" s="1" t="s">
        <v>966</v>
      </c>
      <c r="I2080" s="1" t="s">
        <v>967</v>
      </c>
      <c r="L2080" s="1">
        <v>0.0</v>
      </c>
      <c r="M2080" s="1">
        <v>0.0</v>
      </c>
      <c r="O2080" s="1">
        <v>0.0</v>
      </c>
      <c r="P2080" s="1">
        <v>0.0</v>
      </c>
      <c r="R2080" s="1">
        <v>0.0</v>
      </c>
      <c r="S2080" s="1">
        <v>0.0</v>
      </c>
      <c r="U2080" s="1">
        <v>0.0</v>
      </c>
      <c r="W2080" s="1">
        <v>0.0</v>
      </c>
      <c r="Y2080" s="1">
        <v>0.0</v>
      </c>
      <c r="AA2080" s="1">
        <v>0.0</v>
      </c>
      <c r="AC2080" s="1">
        <v>0.0</v>
      </c>
      <c r="AM2080" s="1">
        <v>17704.0</v>
      </c>
      <c r="AN2080" s="1">
        <v>17704.0</v>
      </c>
      <c r="AO2080" s="1">
        <v>17704.0</v>
      </c>
      <c r="AP2080" s="1">
        <v>6.782</v>
      </c>
      <c r="AR2080" s="1">
        <v>0.0</v>
      </c>
      <c r="AW2080" s="1">
        <v>0.0</v>
      </c>
      <c r="AX2080" s="1">
        <v>4.0</v>
      </c>
      <c r="AY2080" s="1">
        <v>5.0</v>
      </c>
      <c r="BA2080" s="1">
        <v>0.0</v>
      </c>
      <c r="BB2080" s="1">
        <v>0.0</v>
      </c>
      <c r="BC2080" s="1">
        <v>0.0</v>
      </c>
      <c r="BD2080" s="1">
        <v>0.0</v>
      </c>
      <c r="BE2080" s="1">
        <v>0.0</v>
      </c>
      <c r="BF2080" s="1">
        <v>0.0</v>
      </c>
      <c r="BG2080" s="1">
        <v>0.0</v>
      </c>
      <c r="BH2080" s="1">
        <v>0.0</v>
      </c>
      <c r="BI2080" s="1">
        <v>0.0</v>
      </c>
      <c r="BJ2080" s="1">
        <v>0.0</v>
      </c>
      <c r="BP2080" s="1">
        <v>0.273</v>
      </c>
      <c r="BQ2080" s="1" t="s">
        <v>6824</v>
      </c>
      <c r="BV2080" s="1">
        <v>1.1</v>
      </c>
      <c r="EQ2080" s="9" t="s">
        <v>6823</v>
      </c>
      <c r="ER2080" s="21">
        <v>46045.30173611111</v>
      </c>
    </row>
    <row r="2081">
      <c r="A2081" s="9" t="s">
        <v>6825</v>
      </c>
      <c r="B2081" s="20" t="str">
        <f>IFERROR(__xludf.DUMMYFUNCTION("REGEXREPLACE(A2081, ""^https?://[^/]+"", """")"),"/contact-us/become-a-sales-consultant/")</f>
        <v>/contact-us/become-a-sales-consultant/</v>
      </c>
      <c r="F2081" s="1" t="s">
        <v>965</v>
      </c>
      <c r="G2081" s="1">
        <v>301.0</v>
      </c>
      <c r="H2081" s="1" t="s">
        <v>1304</v>
      </c>
      <c r="I2081" s="1" t="s">
        <v>1214</v>
      </c>
      <c r="J2081" s="1" t="s">
        <v>1305</v>
      </c>
      <c r="L2081" s="1">
        <v>0.0</v>
      </c>
      <c r="M2081" s="1">
        <v>0.0</v>
      </c>
      <c r="O2081" s="1">
        <v>0.0</v>
      </c>
      <c r="P2081" s="1">
        <v>0.0</v>
      </c>
      <c r="R2081" s="1">
        <v>0.0</v>
      </c>
      <c r="S2081" s="1">
        <v>0.0</v>
      </c>
      <c r="U2081" s="1">
        <v>0.0</v>
      </c>
      <c r="W2081" s="1">
        <v>0.0</v>
      </c>
      <c r="Y2081" s="1">
        <v>0.0</v>
      </c>
      <c r="AA2081" s="1">
        <v>0.0</v>
      </c>
      <c r="AC2081" s="1">
        <v>0.0</v>
      </c>
      <c r="AM2081" s="1">
        <v>0.0</v>
      </c>
      <c r="AN2081" s="1">
        <v>0.0</v>
      </c>
      <c r="AO2081" s="1">
        <v>0.0</v>
      </c>
      <c r="AP2081" s="1">
        <v>0.0</v>
      </c>
      <c r="AR2081" s="1">
        <v>0.0</v>
      </c>
      <c r="AW2081" s="1">
        <v>0.0</v>
      </c>
      <c r="AX2081" s="1">
        <v>4.0</v>
      </c>
      <c r="AY2081" s="1">
        <v>2.0</v>
      </c>
      <c r="BA2081" s="1">
        <v>49.0</v>
      </c>
      <c r="BB2081" s="1">
        <v>49.0</v>
      </c>
      <c r="BC2081" s="1">
        <v>0.0</v>
      </c>
      <c r="BD2081" s="1">
        <v>6.5</v>
      </c>
      <c r="BE2081" s="1">
        <v>0.0</v>
      </c>
      <c r="BF2081" s="1">
        <v>0.0</v>
      </c>
      <c r="BG2081" s="1">
        <v>0.0</v>
      </c>
      <c r="BH2081" s="1">
        <v>0.0</v>
      </c>
      <c r="BI2081" s="1">
        <v>0.0</v>
      </c>
      <c r="BJ2081" s="1">
        <v>0.0</v>
      </c>
      <c r="BP2081" s="1">
        <v>0.538</v>
      </c>
      <c r="BR2081" s="9" t="s">
        <v>1135</v>
      </c>
      <c r="BS2081" s="1" t="s">
        <v>1307</v>
      </c>
      <c r="BV2081" s="1">
        <v>1.1</v>
      </c>
      <c r="EQ2081" s="9" t="s">
        <v>6825</v>
      </c>
      <c r="ER2081" s="21">
        <v>46045.30173611111</v>
      </c>
    </row>
    <row r="2082">
      <c r="A2082" s="9" t="s">
        <v>6826</v>
      </c>
      <c r="B2082" s="20" t="str">
        <f>IFERROR(__xludf.DUMMYFUNCTION("REGEXREPLACE(A2082, ""^https?://[^/]+"", """")"),"/wp-content/uploads/2022/05/Business-Lifeline.jpg")</f>
        <v>/wp-content/uploads/2022/05/Business-Lifeline.jpg</v>
      </c>
      <c r="F2082" s="1" t="s">
        <v>1004</v>
      </c>
      <c r="G2082" s="1">
        <v>200.0</v>
      </c>
      <c r="H2082" s="1" t="s">
        <v>966</v>
      </c>
      <c r="I2082" s="1" t="s">
        <v>967</v>
      </c>
      <c r="L2082" s="1">
        <v>0.0</v>
      </c>
      <c r="M2082" s="1">
        <v>0.0</v>
      </c>
      <c r="O2082" s="1">
        <v>0.0</v>
      </c>
      <c r="P2082" s="1">
        <v>0.0</v>
      </c>
      <c r="R2082" s="1">
        <v>0.0</v>
      </c>
      <c r="S2082" s="1">
        <v>0.0</v>
      </c>
      <c r="U2082" s="1">
        <v>0.0</v>
      </c>
      <c r="W2082" s="1">
        <v>0.0</v>
      </c>
      <c r="Y2082" s="1">
        <v>0.0</v>
      </c>
      <c r="AA2082" s="1">
        <v>0.0</v>
      </c>
      <c r="AC2082" s="1">
        <v>0.0</v>
      </c>
      <c r="AM2082" s="1">
        <v>215289.0</v>
      </c>
      <c r="AN2082" s="1">
        <v>215289.0</v>
      </c>
      <c r="AO2082" s="1">
        <v>215289.0</v>
      </c>
      <c r="AP2082" s="1">
        <v>82.473</v>
      </c>
      <c r="AR2082" s="1">
        <v>0.0</v>
      </c>
      <c r="AW2082" s="1">
        <v>0.0</v>
      </c>
      <c r="AX2082" s="1">
        <v>4.0</v>
      </c>
      <c r="AY2082" s="1">
        <v>4.0</v>
      </c>
      <c r="BA2082" s="1">
        <v>0.0</v>
      </c>
      <c r="BB2082" s="1">
        <v>0.0</v>
      </c>
      <c r="BC2082" s="1">
        <v>0.0</v>
      </c>
      <c r="BD2082" s="1">
        <v>0.0</v>
      </c>
      <c r="BE2082" s="1">
        <v>0.0</v>
      </c>
      <c r="BF2082" s="1">
        <v>0.0</v>
      </c>
      <c r="BG2082" s="1">
        <v>0.0</v>
      </c>
      <c r="BH2082" s="1">
        <v>0.0</v>
      </c>
      <c r="BI2082" s="1">
        <v>0.0</v>
      </c>
      <c r="BJ2082" s="1">
        <v>0.0</v>
      </c>
      <c r="BP2082" s="1">
        <v>0.273</v>
      </c>
      <c r="BQ2082" s="1" t="s">
        <v>6827</v>
      </c>
      <c r="BV2082" s="1">
        <v>1.1</v>
      </c>
      <c r="EQ2082" s="9" t="s">
        <v>6826</v>
      </c>
      <c r="ER2082" s="21">
        <v>46045.30173611111</v>
      </c>
    </row>
    <row r="2083">
      <c r="A2083" s="9" t="s">
        <v>6828</v>
      </c>
      <c r="B2083" s="20" t="str">
        <f>IFERROR(__xludf.DUMMYFUNCTION("REGEXREPLACE(A2083, ""^https?://[^/]+"", """")"),"/wp-content/uploads/2014/09/Sales-Growth-accountability.jpg")</f>
        <v>/wp-content/uploads/2014/09/Sales-Growth-accountability.jpg</v>
      </c>
      <c r="F2083" s="1" t="s">
        <v>1004</v>
      </c>
      <c r="G2083" s="1">
        <v>200.0</v>
      </c>
      <c r="H2083" s="1" t="s">
        <v>966</v>
      </c>
      <c r="I2083" s="1" t="s">
        <v>967</v>
      </c>
      <c r="L2083" s="1">
        <v>0.0</v>
      </c>
      <c r="M2083" s="1">
        <v>0.0</v>
      </c>
      <c r="O2083" s="1">
        <v>0.0</v>
      </c>
      <c r="P2083" s="1">
        <v>0.0</v>
      </c>
      <c r="R2083" s="1">
        <v>0.0</v>
      </c>
      <c r="S2083" s="1">
        <v>0.0</v>
      </c>
      <c r="U2083" s="1">
        <v>0.0</v>
      </c>
      <c r="W2083" s="1">
        <v>0.0</v>
      </c>
      <c r="Y2083" s="1">
        <v>0.0</v>
      </c>
      <c r="AA2083" s="1">
        <v>0.0</v>
      </c>
      <c r="AC2083" s="1">
        <v>0.0</v>
      </c>
      <c r="AM2083" s="1">
        <v>141014.0</v>
      </c>
      <c r="AN2083" s="1">
        <v>141014.0</v>
      </c>
      <c r="AO2083" s="1">
        <v>141014.0</v>
      </c>
      <c r="AP2083" s="1">
        <v>54.02</v>
      </c>
      <c r="AR2083" s="1">
        <v>0.0</v>
      </c>
      <c r="AW2083" s="1">
        <v>0.0</v>
      </c>
      <c r="AX2083" s="1">
        <v>4.0</v>
      </c>
      <c r="AY2083" s="1">
        <v>4.0</v>
      </c>
      <c r="BA2083" s="1">
        <v>0.0</v>
      </c>
      <c r="BB2083" s="1">
        <v>0.0</v>
      </c>
      <c r="BC2083" s="1">
        <v>0.0</v>
      </c>
      <c r="BD2083" s="1">
        <v>0.0</v>
      </c>
      <c r="BE2083" s="1">
        <v>0.0</v>
      </c>
      <c r="BF2083" s="1">
        <v>0.0</v>
      </c>
      <c r="BG2083" s="1">
        <v>0.0</v>
      </c>
      <c r="BH2083" s="1">
        <v>0.0</v>
      </c>
      <c r="BI2083" s="1">
        <v>0.0</v>
      </c>
      <c r="BJ2083" s="1">
        <v>0.0</v>
      </c>
      <c r="BP2083" s="1">
        <v>0.272</v>
      </c>
      <c r="BQ2083" s="1" t="s">
        <v>6829</v>
      </c>
      <c r="BV2083" s="1">
        <v>1.1</v>
      </c>
      <c r="EQ2083" s="9" t="s">
        <v>6828</v>
      </c>
      <c r="ER2083" s="21">
        <v>46045.30173611111</v>
      </c>
    </row>
    <row r="2084">
      <c r="A2084" s="9" t="s">
        <v>6830</v>
      </c>
      <c r="B2084" s="20" t="str">
        <f>IFERROR(__xludf.DUMMYFUNCTION("REGEXREPLACE(A2084, ""^https?://[^/]+"", """")"),"/becoming-senior-entrepreneur-gain/")</f>
        <v>/becoming-senior-entrepreneur-gain/</v>
      </c>
      <c r="C2084" s="1" t="s">
        <v>6831</v>
      </c>
      <c r="F2084" s="1" t="s">
        <v>965</v>
      </c>
      <c r="G2084" s="1">
        <v>200.0</v>
      </c>
      <c r="H2084" s="1" t="s">
        <v>966</v>
      </c>
      <c r="I2084" s="1" t="s">
        <v>967</v>
      </c>
      <c r="K2084" s="1" t="s">
        <v>6832</v>
      </c>
      <c r="L2084" s="1">
        <v>82.0</v>
      </c>
      <c r="M2084" s="1">
        <v>757.0</v>
      </c>
      <c r="O2084" s="1">
        <v>0.0</v>
      </c>
      <c r="P2084" s="1">
        <v>0.0</v>
      </c>
      <c r="Q2084" s="1" t="s">
        <v>6833</v>
      </c>
      <c r="R2084" s="1">
        <v>154.0</v>
      </c>
      <c r="S2084" s="1">
        <v>965.0</v>
      </c>
      <c r="U2084" s="1">
        <v>0.0</v>
      </c>
      <c r="V2084" s="1" t="s">
        <v>6831</v>
      </c>
      <c r="W2084" s="1">
        <v>57.0</v>
      </c>
      <c r="Y2084" s="1">
        <v>0.0</v>
      </c>
      <c r="AA2084" s="1">
        <v>0.0</v>
      </c>
      <c r="AC2084" s="1">
        <v>0.0</v>
      </c>
      <c r="AD2084" s="1" t="s">
        <v>971</v>
      </c>
      <c r="AG2084" s="9" t="s">
        <v>6830</v>
      </c>
      <c r="AM2084" s="1">
        <v>202163.0</v>
      </c>
      <c r="AN2084" s="1">
        <v>36738.0</v>
      </c>
      <c r="AO2084" s="1">
        <v>36738.0</v>
      </c>
      <c r="AP2084" s="1">
        <v>14.074</v>
      </c>
      <c r="AR2084" s="1">
        <v>1584.0</v>
      </c>
      <c r="AS2084" s="1">
        <v>233.0</v>
      </c>
      <c r="AT2084" s="1">
        <v>6.798</v>
      </c>
      <c r="AU2084" s="1">
        <v>63.902</v>
      </c>
      <c r="AV2084" s="1" t="s">
        <v>990</v>
      </c>
      <c r="AW2084" s="1">
        <v>6.036</v>
      </c>
      <c r="AX2084" s="1">
        <v>4.0</v>
      </c>
      <c r="AY2084" s="1">
        <v>1.0</v>
      </c>
      <c r="AZ2084" s="1">
        <v>1.0</v>
      </c>
      <c r="BA2084" s="1">
        <v>42.0</v>
      </c>
      <c r="BB2084" s="1">
        <v>42.0</v>
      </c>
      <c r="BC2084" s="1">
        <v>0.0</v>
      </c>
      <c r="BD2084" s="1">
        <v>5.57</v>
      </c>
      <c r="BE2084" s="1">
        <v>132.0</v>
      </c>
      <c r="BF2084" s="1">
        <v>49.0</v>
      </c>
      <c r="BG2084" s="1">
        <v>0.0</v>
      </c>
      <c r="BH2084" s="1">
        <v>18.0</v>
      </c>
      <c r="BI2084" s="1">
        <v>10.0</v>
      </c>
      <c r="BJ2084" s="1">
        <v>0.0</v>
      </c>
      <c r="BO2084" s="1" t="s">
        <v>6834</v>
      </c>
      <c r="BP2084" s="1">
        <v>1.013</v>
      </c>
      <c r="BU2084" s="1" t="s">
        <v>974</v>
      </c>
      <c r="BV2084" s="1">
        <v>1.1</v>
      </c>
      <c r="EQ2084" s="9" t="s">
        <v>6830</v>
      </c>
      <c r="ER2084" s="21">
        <v>46045.301724537036</v>
      </c>
    </row>
    <row r="2085">
      <c r="A2085" s="9" t="s">
        <v>6835</v>
      </c>
      <c r="B2085" s="20" t="str">
        <f>IFERROR(__xludf.DUMMYFUNCTION("REGEXREPLACE(A2085, ""^https?://[^/]+"", """")"),"/wp-content/uploads/2023/03/Fractional-Sales-Leadership-Consultants.jpg")</f>
        <v>/wp-content/uploads/2023/03/Fractional-Sales-Leadership-Consultants.jpg</v>
      </c>
      <c r="F2085" s="1" t="s">
        <v>1004</v>
      </c>
      <c r="G2085" s="1">
        <v>200.0</v>
      </c>
      <c r="H2085" s="1" t="s">
        <v>966</v>
      </c>
      <c r="I2085" s="1" t="s">
        <v>967</v>
      </c>
      <c r="L2085" s="1">
        <v>0.0</v>
      </c>
      <c r="M2085" s="1">
        <v>0.0</v>
      </c>
      <c r="O2085" s="1">
        <v>0.0</v>
      </c>
      <c r="P2085" s="1">
        <v>0.0</v>
      </c>
      <c r="R2085" s="1">
        <v>0.0</v>
      </c>
      <c r="S2085" s="1">
        <v>0.0</v>
      </c>
      <c r="U2085" s="1">
        <v>0.0</v>
      </c>
      <c r="W2085" s="1">
        <v>0.0</v>
      </c>
      <c r="Y2085" s="1">
        <v>0.0</v>
      </c>
      <c r="AA2085" s="1">
        <v>0.0</v>
      </c>
      <c r="AC2085" s="1">
        <v>0.0</v>
      </c>
      <c r="AM2085" s="1">
        <v>207745.0</v>
      </c>
      <c r="AN2085" s="1">
        <v>207745.0</v>
      </c>
      <c r="AO2085" s="1">
        <v>207745.0</v>
      </c>
      <c r="AP2085" s="1">
        <v>79.583</v>
      </c>
      <c r="AR2085" s="1">
        <v>0.0</v>
      </c>
      <c r="AW2085" s="1">
        <v>0.0</v>
      </c>
      <c r="AX2085" s="1">
        <v>4.0</v>
      </c>
      <c r="AY2085" s="1">
        <v>4.0</v>
      </c>
      <c r="BA2085" s="1">
        <v>0.0</v>
      </c>
      <c r="BB2085" s="1">
        <v>0.0</v>
      </c>
      <c r="BC2085" s="1">
        <v>0.0</v>
      </c>
      <c r="BD2085" s="1">
        <v>0.0</v>
      </c>
      <c r="BE2085" s="1">
        <v>0.0</v>
      </c>
      <c r="BF2085" s="1">
        <v>0.0</v>
      </c>
      <c r="BG2085" s="1">
        <v>0.0</v>
      </c>
      <c r="BH2085" s="1">
        <v>0.0</v>
      </c>
      <c r="BI2085" s="1">
        <v>0.0</v>
      </c>
      <c r="BJ2085" s="1">
        <v>0.0</v>
      </c>
      <c r="BP2085" s="1">
        <v>0.263</v>
      </c>
      <c r="BQ2085" s="1" t="s">
        <v>6836</v>
      </c>
      <c r="BV2085" s="1">
        <v>1.1</v>
      </c>
      <c r="EQ2085" s="9" t="s">
        <v>6835</v>
      </c>
      <c r="ER2085" s="21">
        <v>46045.30173611111</v>
      </c>
    </row>
    <row r="2086">
      <c r="A2086" s="9" t="s">
        <v>6837</v>
      </c>
      <c r="B2086" s="20" t="str">
        <f>IFERROR(__xludf.DUMMYFUNCTION("REGEXREPLACE(A2086, ""^https?://[^/]+"", """")"),"/wp-content/themes/salesxceleratione/assets/css/style.css?ver=1769123578")</f>
        <v>/wp-content/themes/salesxceleratione/assets/css/style.css?ver=1769123578</v>
      </c>
      <c r="F2086" s="1" t="s">
        <v>1016</v>
      </c>
      <c r="G2086" s="1">
        <v>200.0</v>
      </c>
      <c r="H2086" s="1" t="s">
        <v>966</v>
      </c>
      <c r="I2086" s="1" t="s">
        <v>967</v>
      </c>
      <c r="L2086" s="1">
        <v>0.0</v>
      </c>
      <c r="M2086" s="1">
        <v>0.0</v>
      </c>
      <c r="O2086" s="1">
        <v>0.0</v>
      </c>
      <c r="P2086" s="1">
        <v>0.0</v>
      </c>
      <c r="R2086" s="1">
        <v>0.0</v>
      </c>
      <c r="S2086" s="1">
        <v>0.0</v>
      </c>
      <c r="U2086" s="1">
        <v>0.0</v>
      </c>
      <c r="W2086" s="1">
        <v>0.0</v>
      </c>
      <c r="Y2086" s="1">
        <v>0.0</v>
      </c>
      <c r="AA2086" s="1">
        <v>0.0</v>
      </c>
      <c r="AC2086" s="1">
        <v>0.0</v>
      </c>
      <c r="AM2086" s="1">
        <v>17704.0</v>
      </c>
      <c r="AN2086" s="1">
        <v>17704.0</v>
      </c>
      <c r="AO2086" s="1">
        <v>17704.0</v>
      </c>
      <c r="AP2086" s="1">
        <v>6.782</v>
      </c>
      <c r="AR2086" s="1">
        <v>0.0</v>
      </c>
      <c r="AW2086" s="1">
        <v>0.0</v>
      </c>
      <c r="AX2086" s="1">
        <v>4.0</v>
      </c>
      <c r="AY2086" s="1">
        <v>5.0</v>
      </c>
      <c r="BA2086" s="1">
        <v>0.0</v>
      </c>
      <c r="BB2086" s="1">
        <v>0.0</v>
      </c>
      <c r="BC2086" s="1">
        <v>0.0</v>
      </c>
      <c r="BD2086" s="1">
        <v>0.0</v>
      </c>
      <c r="BE2086" s="1">
        <v>0.0</v>
      </c>
      <c r="BF2086" s="1">
        <v>0.0</v>
      </c>
      <c r="BG2086" s="1">
        <v>0.0</v>
      </c>
      <c r="BH2086" s="1">
        <v>0.0</v>
      </c>
      <c r="BI2086" s="1">
        <v>0.0</v>
      </c>
      <c r="BJ2086" s="1">
        <v>0.0</v>
      </c>
      <c r="BP2086" s="1">
        <v>0.277</v>
      </c>
      <c r="BQ2086" s="1" t="s">
        <v>6838</v>
      </c>
      <c r="BV2086" s="1">
        <v>1.1</v>
      </c>
      <c r="EQ2086" s="9" t="s">
        <v>6837</v>
      </c>
      <c r="ER2086" s="21">
        <v>46045.30174768518</v>
      </c>
    </row>
    <row r="2087">
      <c r="A2087" s="9" t="s">
        <v>4949</v>
      </c>
      <c r="B2087" s="20" t="str">
        <f>IFERROR(__xludf.DUMMYFUNCTION("REGEXREPLACE(A2087, ""^https?://[^/]+"", """")"),"/contact-us")</f>
        <v>/contact-us</v>
      </c>
      <c r="F2087" s="1" t="s">
        <v>965</v>
      </c>
      <c r="G2087" s="1">
        <v>301.0</v>
      </c>
      <c r="H2087" s="1" t="s">
        <v>1304</v>
      </c>
      <c r="I2087" s="1" t="s">
        <v>1214</v>
      </c>
      <c r="J2087" s="1" t="s">
        <v>1305</v>
      </c>
      <c r="L2087" s="1">
        <v>0.0</v>
      </c>
      <c r="M2087" s="1">
        <v>0.0</v>
      </c>
      <c r="O2087" s="1">
        <v>0.0</v>
      </c>
      <c r="P2087" s="1">
        <v>0.0</v>
      </c>
      <c r="R2087" s="1">
        <v>0.0</v>
      </c>
      <c r="S2087" s="1">
        <v>0.0</v>
      </c>
      <c r="U2087" s="1">
        <v>0.0</v>
      </c>
      <c r="W2087" s="1">
        <v>0.0</v>
      </c>
      <c r="Y2087" s="1">
        <v>0.0</v>
      </c>
      <c r="AA2087" s="1">
        <v>0.0</v>
      </c>
      <c r="AC2087" s="1">
        <v>0.0</v>
      </c>
      <c r="AM2087" s="1">
        <v>0.0</v>
      </c>
      <c r="AN2087" s="1">
        <v>0.0</v>
      </c>
      <c r="AO2087" s="1">
        <v>0.0</v>
      </c>
      <c r="AP2087" s="1">
        <v>0.0</v>
      </c>
      <c r="AR2087" s="1">
        <v>0.0</v>
      </c>
      <c r="AW2087" s="1">
        <v>0.0</v>
      </c>
      <c r="AX2087" s="1">
        <v>4.0</v>
      </c>
      <c r="AY2087" s="1">
        <v>0.0</v>
      </c>
      <c r="BA2087" s="1">
        <v>0.0</v>
      </c>
      <c r="BB2087" s="1">
        <v>0.0</v>
      </c>
      <c r="BC2087" s="1">
        <v>0.0</v>
      </c>
      <c r="BD2087" s="1">
        <v>0.0</v>
      </c>
      <c r="BE2087" s="1">
        <v>0.0</v>
      </c>
      <c r="BF2087" s="1">
        <v>0.0</v>
      </c>
      <c r="BG2087" s="1">
        <v>0.0</v>
      </c>
      <c r="BH2087" s="1">
        <v>0.0</v>
      </c>
      <c r="BI2087" s="1">
        <v>0.0</v>
      </c>
      <c r="BJ2087" s="1">
        <v>0.0</v>
      </c>
      <c r="BP2087" s="1">
        <v>0.552</v>
      </c>
      <c r="BR2087" s="9" t="s">
        <v>1338</v>
      </c>
      <c r="BS2087" s="1" t="s">
        <v>1307</v>
      </c>
      <c r="BV2087" s="1">
        <v>1.1</v>
      </c>
      <c r="EQ2087" s="9" t="s">
        <v>4949</v>
      </c>
      <c r="ER2087" s="21">
        <v>46045.30173611111</v>
      </c>
    </row>
    <row r="2088">
      <c r="A2088" s="9" t="s">
        <v>6839</v>
      </c>
      <c r="B2088" s="20" t="str">
        <f>IFERROR(__xludf.DUMMYFUNCTION("REGEXREPLACE(A2088, ""^https?://[^/]+"", """")"),"/wp-content/uploads/2022/12/Business-Opportunity.jpg")</f>
        <v>/wp-content/uploads/2022/12/Business-Opportunity.jpg</v>
      </c>
      <c r="F2088" s="1" t="s">
        <v>1004</v>
      </c>
      <c r="G2088" s="1">
        <v>200.0</v>
      </c>
      <c r="H2088" s="1" t="s">
        <v>966</v>
      </c>
      <c r="I2088" s="1" t="s">
        <v>967</v>
      </c>
      <c r="L2088" s="1">
        <v>0.0</v>
      </c>
      <c r="M2088" s="1">
        <v>0.0</v>
      </c>
      <c r="O2088" s="1">
        <v>0.0</v>
      </c>
      <c r="P2088" s="1">
        <v>0.0</v>
      </c>
      <c r="R2088" s="1">
        <v>0.0</v>
      </c>
      <c r="S2088" s="1">
        <v>0.0</v>
      </c>
      <c r="U2088" s="1">
        <v>0.0</v>
      </c>
      <c r="W2088" s="1">
        <v>0.0</v>
      </c>
      <c r="Y2088" s="1">
        <v>0.0</v>
      </c>
      <c r="AA2088" s="1">
        <v>0.0</v>
      </c>
      <c r="AC2088" s="1">
        <v>0.0</v>
      </c>
      <c r="AM2088" s="1">
        <v>340100.0</v>
      </c>
      <c r="AN2088" s="1">
        <v>340100.0</v>
      </c>
      <c r="AO2088" s="1">
        <v>340100.0</v>
      </c>
      <c r="AP2088" s="1">
        <v>130.286</v>
      </c>
      <c r="AR2088" s="1">
        <v>0.0</v>
      </c>
      <c r="AW2088" s="1">
        <v>0.0</v>
      </c>
      <c r="AX2088" s="1">
        <v>4.0</v>
      </c>
      <c r="AY2088" s="1">
        <v>4.0</v>
      </c>
      <c r="BA2088" s="1">
        <v>0.0</v>
      </c>
      <c r="BB2088" s="1">
        <v>0.0</v>
      </c>
      <c r="BC2088" s="1">
        <v>0.0</v>
      </c>
      <c r="BD2088" s="1">
        <v>0.0</v>
      </c>
      <c r="BE2088" s="1">
        <v>0.0</v>
      </c>
      <c r="BF2088" s="1">
        <v>0.0</v>
      </c>
      <c r="BG2088" s="1">
        <v>0.0</v>
      </c>
      <c r="BH2088" s="1">
        <v>0.0</v>
      </c>
      <c r="BI2088" s="1">
        <v>0.0</v>
      </c>
      <c r="BJ2088" s="1">
        <v>0.0</v>
      </c>
      <c r="BP2088" s="1">
        <v>0.28</v>
      </c>
      <c r="BQ2088" s="1" t="s">
        <v>6840</v>
      </c>
      <c r="BV2088" s="1">
        <v>1.1</v>
      </c>
      <c r="EQ2088" s="9" t="s">
        <v>6839</v>
      </c>
      <c r="ER2088" s="21">
        <v>46045.30174768518</v>
      </c>
    </row>
    <row r="2089">
      <c r="A2089" s="9" t="s">
        <v>6841</v>
      </c>
      <c r="B2089" s="20" t="str">
        <f>IFERROR(__xludf.DUMMYFUNCTION("REGEXREPLACE(A2089, ""^https?://[^/]+"", """")"),"/wp-content/uploads/2022/12/resilience-1024x316.jpg")</f>
        <v>/wp-content/uploads/2022/12/resilience-1024x316.jpg</v>
      </c>
      <c r="F2089" s="1" t="s">
        <v>1004</v>
      </c>
      <c r="G2089" s="1">
        <v>200.0</v>
      </c>
      <c r="H2089" s="1" t="s">
        <v>966</v>
      </c>
      <c r="I2089" s="1" t="s">
        <v>967</v>
      </c>
      <c r="L2089" s="1">
        <v>0.0</v>
      </c>
      <c r="M2089" s="1">
        <v>0.0</v>
      </c>
      <c r="O2089" s="1">
        <v>0.0</v>
      </c>
      <c r="P2089" s="1">
        <v>0.0</v>
      </c>
      <c r="R2089" s="1">
        <v>0.0</v>
      </c>
      <c r="S2089" s="1">
        <v>0.0</v>
      </c>
      <c r="U2089" s="1">
        <v>0.0</v>
      </c>
      <c r="W2089" s="1">
        <v>0.0</v>
      </c>
      <c r="Y2089" s="1">
        <v>0.0</v>
      </c>
      <c r="AA2089" s="1">
        <v>0.0</v>
      </c>
      <c r="AC2089" s="1">
        <v>0.0</v>
      </c>
      <c r="AM2089" s="1">
        <v>42541.0</v>
      </c>
      <c r="AN2089" s="1">
        <v>42541.0</v>
      </c>
      <c r="AO2089" s="1">
        <v>42541.0</v>
      </c>
      <c r="AP2089" s="1">
        <v>16.297</v>
      </c>
      <c r="AR2089" s="1">
        <v>0.0</v>
      </c>
      <c r="AW2089" s="1">
        <v>0.0</v>
      </c>
      <c r="AX2089" s="1">
        <v>4.0</v>
      </c>
      <c r="AY2089" s="1">
        <v>4.0</v>
      </c>
      <c r="BA2089" s="1">
        <v>0.0</v>
      </c>
      <c r="BB2089" s="1">
        <v>0.0</v>
      </c>
      <c r="BC2089" s="1">
        <v>0.0</v>
      </c>
      <c r="BD2089" s="1">
        <v>0.0</v>
      </c>
      <c r="BE2089" s="1">
        <v>0.0</v>
      </c>
      <c r="BF2089" s="1">
        <v>0.0</v>
      </c>
      <c r="BG2089" s="1">
        <v>0.0</v>
      </c>
      <c r="BH2089" s="1">
        <v>0.0</v>
      </c>
      <c r="BI2089" s="1">
        <v>0.0</v>
      </c>
      <c r="BJ2089" s="1">
        <v>0.0</v>
      </c>
      <c r="BP2089" s="1">
        <v>0.276</v>
      </c>
      <c r="BQ2089" s="1" t="s">
        <v>6842</v>
      </c>
      <c r="BV2089" s="1">
        <v>1.1</v>
      </c>
      <c r="EQ2089" s="9" t="s">
        <v>6841</v>
      </c>
      <c r="ER2089" s="21">
        <v>46045.30174768518</v>
      </c>
    </row>
    <row r="2090">
      <c r="A2090" s="9" t="s">
        <v>6843</v>
      </c>
      <c r="B2090" s="20" t="str">
        <f>IFERROR(__xludf.DUMMYFUNCTION("REGEXREPLACE(A2090, ""^https?://[^/]+"", """")"),"/wp-content/uploads/2025/02/Podcast-Episode_Transforming-Sales-for-Growth.png")</f>
        <v>/wp-content/uploads/2025/02/Podcast-Episode_Transforming-Sales-for-Growth.png</v>
      </c>
      <c r="F2090" s="1" t="s">
        <v>1047</v>
      </c>
      <c r="G2090" s="1">
        <v>200.0</v>
      </c>
      <c r="H2090" s="1" t="s">
        <v>966</v>
      </c>
      <c r="I2090" s="1" t="s">
        <v>967</v>
      </c>
      <c r="L2090" s="1">
        <v>0.0</v>
      </c>
      <c r="M2090" s="1">
        <v>0.0</v>
      </c>
      <c r="O2090" s="1">
        <v>0.0</v>
      </c>
      <c r="P2090" s="1">
        <v>0.0</v>
      </c>
      <c r="R2090" s="1">
        <v>0.0</v>
      </c>
      <c r="S2090" s="1">
        <v>0.0</v>
      </c>
      <c r="U2090" s="1">
        <v>0.0</v>
      </c>
      <c r="W2090" s="1">
        <v>0.0</v>
      </c>
      <c r="Y2090" s="1">
        <v>0.0</v>
      </c>
      <c r="AA2090" s="1">
        <v>0.0</v>
      </c>
      <c r="AC2090" s="1">
        <v>0.0</v>
      </c>
      <c r="AM2090" s="1">
        <v>345956.0</v>
      </c>
      <c r="AN2090" s="1">
        <v>345956.0</v>
      </c>
      <c r="AO2090" s="1">
        <v>345956.0</v>
      </c>
      <c r="AP2090" s="1">
        <v>132.529</v>
      </c>
      <c r="AR2090" s="1">
        <v>0.0</v>
      </c>
      <c r="AW2090" s="1">
        <v>0.0</v>
      </c>
      <c r="AX2090" s="1">
        <v>4.0</v>
      </c>
      <c r="AY2090" s="1">
        <v>4.0</v>
      </c>
      <c r="BA2090" s="1">
        <v>0.0</v>
      </c>
      <c r="BB2090" s="1">
        <v>0.0</v>
      </c>
      <c r="BC2090" s="1">
        <v>0.0</v>
      </c>
      <c r="BD2090" s="1">
        <v>0.0</v>
      </c>
      <c r="BE2090" s="1">
        <v>0.0</v>
      </c>
      <c r="BF2090" s="1">
        <v>0.0</v>
      </c>
      <c r="BG2090" s="1">
        <v>0.0</v>
      </c>
      <c r="BH2090" s="1">
        <v>0.0</v>
      </c>
      <c r="BI2090" s="1">
        <v>0.0</v>
      </c>
      <c r="BJ2090" s="1">
        <v>0.0</v>
      </c>
      <c r="BP2090" s="1">
        <v>0.268</v>
      </c>
      <c r="BQ2090" s="1" t="s">
        <v>6844</v>
      </c>
      <c r="BV2090" s="1">
        <v>1.1</v>
      </c>
      <c r="EQ2090" s="9" t="s">
        <v>6843</v>
      </c>
      <c r="ER2090" s="21">
        <v>46045.30174768518</v>
      </c>
    </row>
    <row r="2091">
      <c r="A2091" s="9" t="s">
        <v>6845</v>
      </c>
      <c r="B2091" s="20" t="str">
        <f>IFERROR(__xludf.DUMMYFUNCTION("REGEXREPLACE(A2091, ""^https?://[^/]+"", """")"),"/author/hdanz/")</f>
        <v>/author/hdanz/</v>
      </c>
      <c r="C2091" s="1" t="s">
        <v>6846</v>
      </c>
      <c r="F2091" s="1" t="s">
        <v>965</v>
      </c>
      <c r="G2091" s="1">
        <v>200.0</v>
      </c>
      <c r="H2091" s="1" t="s">
        <v>966</v>
      </c>
      <c r="I2091" s="1" t="s">
        <v>967</v>
      </c>
      <c r="K2091" s="1" t="s">
        <v>6847</v>
      </c>
      <c r="L2091" s="1">
        <v>39.0</v>
      </c>
      <c r="M2091" s="1">
        <v>351.0</v>
      </c>
      <c r="O2091" s="1">
        <v>0.0</v>
      </c>
      <c r="P2091" s="1">
        <v>0.0</v>
      </c>
      <c r="R2091" s="1">
        <v>0.0</v>
      </c>
      <c r="S2091" s="1">
        <v>0.0</v>
      </c>
      <c r="U2091" s="1">
        <v>0.0</v>
      </c>
      <c r="V2091" s="1" t="s">
        <v>6846</v>
      </c>
      <c r="W2091" s="1">
        <v>10.0</v>
      </c>
      <c r="Y2091" s="1">
        <v>0.0</v>
      </c>
      <c r="AA2091" s="1">
        <v>0.0</v>
      </c>
      <c r="AC2091" s="1">
        <v>0.0</v>
      </c>
      <c r="AD2091" s="1" t="s">
        <v>971</v>
      </c>
      <c r="AG2091" s="9" t="s">
        <v>6845</v>
      </c>
      <c r="AM2091" s="1">
        <v>161412.0</v>
      </c>
      <c r="AN2091" s="1">
        <v>31132.0</v>
      </c>
      <c r="AO2091" s="1">
        <v>31132.0</v>
      </c>
      <c r="AP2091" s="1">
        <v>11.926</v>
      </c>
      <c r="AR2091" s="1">
        <v>761.0</v>
      </c>
      <c r="AS2091" s="1">
        <v>129.0</v>
      </c>
      <c r="AT2091" s="1">
        <v>5.899</v>
      </c>
      <c r="AU2091" s="1">
        <v>66.11</v>
      </c>
      <c r="AV2091" s="1" t="s">
        <v>990</v>
      </c>
      <c r="AW2091" s="1">
        <v>4.347</v>
      </c>
      <c r="AX2091" s="1">
        <v>4.0</v>
      </c>
      <c r="AY2091" s="1">
        <v>2.0</v>
      </c>
      <c r="AZ2091" s="1">
        <v>1.0</v>
      </c>
      <c r="BA2091" s="1">
        <v>18.0</v>
      </c>
      <c r="BB2091" s="1">
        <v>6.0</v>
      </c>
      <c r="BC2091" s="1">
        <v>0.0</v>
      </c>
      <c r="BD2091" s="1">
        <v>0.8</v>
      </c>
      <c r="BE2091" s="1">
        <v>140.0</v>
      </c>
      <c r="BF2091" s="1">
        <v>48.0</v>
      </c>
      <c r="BG2091" s="1">
        <v>0.0</v>
      </c>
      <c r="BH2091" s="1">
        <v>16.0</v>
      </c>
      <c r="BI2091" s="1">
        <v>8.0</v>
      </c>
      <c r="BJ2091" s="1">
        <v>0.0</v>
      </c>
      <c r="BO2091" s="1" t="s">
        <v>6848</v>
      </c>
      <c r="BP2091" s="1">
        <v>0.986</v>
      </c>
      <c r="BU2091" s="1" t="s">
        <v>974</v>
      </c>
      <c r="BV2091" s="1">
        <v>1.1</v>
      </c>
      <c r="EQ2091" s="9" t="s">
        <v>6845</v>
      </c>
      <c r="ER2091" s="21">
        <v>46045.30173611111</v>
      </c>
    </row>
    <row r="2092">
      <c r="A2092" s="9" t="s">
        <v>6849</v>
      </c>
      <c r="B2092" s="20" t="str">
        <f>IFERROR(__xludf.DUMMYFUNCTION("REGEXREPLACE(A2092, ""^https?://[^/]+"", """")"),"/wp-content/uploads/2024/01/Leading-with-Heart_Podcast.jpg")</f>
        <v>/wp-content/uploads/2024/01/Leading-with-Heart_Podcast.jpg</v>
      </c>
      <c r="F2092" s="1" t="s">
        <v>1004</v>
      </c>
      <c r="G2092" s="1">
        <v>200.0</v>
      </c>
      <c r="H2092" s="1" t="s">
        <v>966</v>
      </c>
      <c r="I2092" s="1" t="s">
        <v>967</v>
      </c>
      <c r="L2092" s="1">
        <v>0.0</v>
      </c>
      <c r="M2092" s="1">
        <v>0.0</v>
      </c>
      <c r="O2092" s="1">
        <v>0.0</v>
      </c>
      <c r="P2092" s="1">
        <v>0.0</v>
      </c>
      <c r="R2092" s="1">
        <v>0.0</v>
      </c>
      <c r="S2092" s="1">
        <v>0.0</v>
      </c>
      <c r="U2092" s="1">
        <v>0.0</v>
      </c>
      <c r="W2092" s="1">
        <v>0.0</v>
      </c>
      <c r="Y2092" s="1">
        <v>0.0</v>
      </c>
      <c r="AA2092" s="1">
        <v>0.0</v>
      </c>
      <c r="AC2092" s="1">
        <v>0.0</v>
      </c>
      <c r="AM2092" s="1">
        <v>170792.0</v>
      </c>
      <c r="AN2092" s="1">
        <v>170792.0</v>
      </c>
      <c r="AO2092" s="1">
        <v>170792.0</v>
      </c>
      <c r="AP2092" s="1">
        <v>65.427</v>
      </c>
      <c r="AR2092" s="1">
        <v>0.0</v>
      </c>
      <c r="AW2092" s="1">
        <v>0.0</v>
      </c>
      <c r="AX2092" s="1">
        <v>4.0</v>
      </c>
      <c r="AY2092" s="1">
        <v>4.0</v>
      </c>
      <c r="BA2092" s="1">
        <v>0.0</v>
      </c>
      <c r="BB2092" s="1">
        <v>0.0</v>
      </c>
      <c r="BC2092" s="1">
        <v>0.0</v>
      </c>
      <c r="BD2092" s="1">
        <v>0.0</v>
      </c>
      <c r="BE2092" s="1">
        <v>0.0</v>
      </c>
      <c r="BF2092" s="1">
        <v>0.0</v>
      </c>
      <c r="BG2092" s="1">
        <v>0.0</v>
      </c>
      <c r="BH2092" s="1">
        <v>0.0</v>
      </c>
      <c r="BI2092" s="1">
        <v>0.0</v>
      </c>
      <c r="BJ2092" s="1">
        <v>0.0</v>
      </c>
      <c r="BP2092" s="1">
        <v>0.277</v>
      </c>
      <c r="BQ2092" s="1" t="s">
        <v>6850</v>
      </c>
      <c r="BV2092" s="1">
        <v>1.1</v>
      </c>
      <c r="EQ2092" s="9" t="s">
        <v>6849</v>
      </c>
      <c r="ER2092" s="21">
        <v>46045.30174768518</v>
      </c>
    </row>
    <row r="2093">
      <c r="A2093" s="9" t="s">
        <v>6851</v>
      </c>
      <c r="B2093" s="20" t="str">
        <f>IFERROR(__xludf.DUMMYFUNCTION("REGEXREPLACE(A2093, ""^https?://[^/]+"", """")"),"/wp-content/uploads/2024/02/Thriving-with-Outsourced-Leadership-1024x576.jpg")</f>
        <v>/wp-content/uploads/2024/02/Thriving-with-Outsourced-Leadership-1024x576.jpg</v>
      </c>
      <c r="F2093" s="1" t="s">
        <v>1004</v>
      </c>
      <c r="G2093" s="1">
        <v>200.0</v>
      </c>
      <c r="H2093" s="1" t="s">
        <v>966</v>
      </c>
      <c r="I2093" s="1" t="s">
        <v>967</v>
      </c>
      <c r="L2093" s="1">
        <v>0.0</v>
      </c>
      <c r="M2093" s="1">
        <v>0.0</v>
      </c>
      <c r="O2093" s="1">
        <v>0.0</v>
      </c>
      <c r="P2093" s="1">
        <v>0.0</v>
      </c>
      <c r="R2093" s="1">
        <v>0.0</v>
      </c>
      <c r="S2093" s="1">
        <v>0.0</v>
      </c>
      <c r="U2093" s="1">
        <v>0.0</v>
      </c>
      <c r="W2093" s="1">
        <v>0.0</v>
      </c>
      <c r="Y2093" s="1">
        <v>0.0</v>
      </c>
      <c r="AA2093" s="1">
        <v>0.0</v>
      </c>
      <c r="AC2093" s="1">
        <v>0.0</v>
      </c>
      <c r="AM2093" s="1">
        <v>94773.0</v>
      </c>
      <c r="AN2093" s="1">
        <v>94773.0</v>
      </c>
      <c r="AO2093" s="1">
        <v>94773.0</v>
      </c>
      <c r="AP2093" s="1">
        <v>36.306</v>
      </c>
      <c r="AR2093" s="1">
        <v>0.0</v>
      </c>
      <c r="AW2093" s="1">
        <v>0.0</v>
      </c>
      <c r="AX2093" s="1">
        <v>4.0</v>
      </c>
      <c r="AY2093" s="1">
        <v>4.0</v>
      </c>
      <c r="BA2093" s="1">
        <v>0.0</v>
      </c>
      <c r="BB2093" s="1">
        <v>0.0</v>
      </c>
      <c r="BC2093" s="1">
        <v>0.0</v>
      </c>
      <c r="BD2093" s="1">
        <v>0.0</v>
      </c>
      <c r="BE2093" s="1">
        <v>0.0</v>
      </c>
      <c r="BF2093" s="1">
        <v>0.0</v>
      </c>
      <c r="BG2093" s="1">
        <v>0.0</v>
      </c>
      <c r="BH2093" s="1">
        <v>0.0</v>
      </c>
      <c r="BI2093" s="1">
        <v>0.0</v>
      </c>
      <c r="BJ2093" s="1">
        <v>0.0</v>
      </c>
      <c r="BP2093" s="1">
        <v>0.278</v>
      </c>
      <c r="BQ2093" s="1" t="s">
        <v>6852</v>
      </c>
      <c r="BV2093" s="1">
        <v>1.1</v>
      </c>
      <c r="EQ2093" s="9" t="s">
        <v>6851</v>
      </c>
      <c r="ER2093" s="21">
        <v>46045.30174768518</v>
      </c>
    </row>
    <row r="2094">
      <c r="A2094" s="9" t="s">
        <v>6853</v>
      </c>
      <c r="B2094" s="20" t="str">
        <f>IFERROR(__xludf.DUMMYFUNCTION("REGEXREPLACE(A2094, ""^https?://[^/]+"", """")"),"/wp-content/uploads/2024/02/Outsourced-Sales-Leadership.jpg")</f>
        <v>/wp-content/uploads/2024/02/Outsourced-Sales-Leadership.jpg</v>
      </c>
      <c r="F2094" s="1" t="s">
        <v>1004</v>
      </c>
      <c r="G2094" s="1">
        <v>200.0</v>
      </c>
      <c r="H2094" s="1" t="s">
        <v>966</v>
      </c>
      <c r="I2094" s="1" t="s">
        <v>967</v>
      </c>
      <c r="L2094" s="1">
        <v>0.0</v>
      </c>
      <c r="M2094" s="1">
        <v>0.0</v>
      </c>
      <c r="O2094" s="1">
        <v>0.0</v>
      </c>
      <c r="P2094" s="1">
        <v>0.0</v>
      </c>
      <c r="R2094" s="1">
        <v>0.0</v>
      </c>
      <c r="S2094" s="1">
        <v>0.0</v>
      </c>
      <c r="U2094" s="1">
        <v>0.0</v>
      </c>
      <c r="W2094" s="1">
        <v>0.0</v>
      </c>
      <c r="Y2094" s="1">
        <v>0.0</v>
      </c>
      <c r="AA2094" s="1">
        <v>0.0</v>
      </c>
      <c r="AC2094" s="1">
        <v>0.0</v>
      </c>
      <c r="AM2094" s="1">
        <v>263244.0</v>
      </c>
      <c r="AN2094" s="1">
        <v>263244.0</v>
      </c>
      <c r="AO2094" s="1">
        <v>263244.0</v>
      </c>
      <c r="AP2094" s="1">
        <v>100.844</v>
      </c>
      <c r="AR2094" s="1">
        <v>0.0</v>
      </c>
      <c r="AW2094" s="1">
        <v>0.0</v>
      </c>
      <c r="AX2094" s="1">
        <v>4.0</v>
      </c>
      <c r="AY2094" s="1">
        <v>4.0</v>
      </c>
      <c r="BA2094" s="1">
        <v>0.0</v>
      </c>
      <c r="BB2094" s="1">
        <v>0.0</v>
      </c>
      <c r="BC2094" s="1">
        <v>0.0</v>
      </c>
      <c r="BD2094" s="1">
        <v>0.0</v>
      </c>
      <c r="BE2094" s="1">
        <v>0.0</v>
      </c>
      <c r="BF2094" s="1">
        <v>0.0</v>
      </c>
      <c r="BG2094" s="1">
        <v>0.0</v>
      </c>
      <c r="BH2094" s="1">
        <v>0.0</v>
      </c>
      <c r="BI2094" s="1">
        <v>0.0</v>
      </c>
      <c r="BJ2094" s="1">
        <v>0.0</v>
      </c>
      <c r="BP2094" s="1">
        <v>0.274</v>
      </c>
      <c r="BQ2094" s="1" t="s">
        <v>6854</v>
      </c>
      <c r="BV2094" s="1">
        <v>1.1</v>
      </c>
      <c r="EQ2094" s="9" t="s">
        <v>6853</v>
      </c>
      <c r="ER2094" s="21">
        <v>46045.30174768518</v>
      </c>
    </row>
    <row r="2095">
      <c r="A2095" s="9" t="s">
        <v>6855</v>
      </c>
      <c r="B2095" s="20" t="str">
        <f>IFERROR(__xludf.DUMMYFUNCTION("REGEXREPLACE(A2095, ""^https?://[^/]+"", """")"),"/wp-content/uploads/2024/08/Fractional-Sales-Leadership.jpg")</f>
        <v>/wp-content/uploads/2024/08/Fractional-Sales-Leadership.jpg</v>
      </c>
      <c r="F2095" s="1" t="s">
        <v>1004</v>
      </c>
      <c r="G2095" s="1">
        <v>200.0</v>
      </c>
      <c r="H2095" s="1" t="s">
        <v>966</v>
      </c>
      <c r="I2095" s="1" t="s">
        <v>967</v>
      </c>
      <c r="L2095" s="1">
        <v>0.0</v>
      </c>
      <c r="M2095" s="1">
        <v>0.0</v>
      </c>
      <c r="O2095" s="1">
        <v>0.0</v>
      </c>
      <c r="P2095" s="1">
        <v>0.0</v>
      </c>
      <c r="R2095" s="1">
        <v>0.0</v>
      </c>
      <c r="S2095" s="1">
        <v>0.0</v>
      </c>
      <c r="U2095" s="1">
        <v>0.0</v>
      </c>
      <c r="W2095" s="1">
        <v>0.0</v>
      </c>
      <c r="Y2095" s="1">
        <v>0.0</v>
      </c>
      <c r="AA2095" s="1">
        <v>0.0</v>
      </c>
      <c r="AC2095" s="1">
        <v>0.0</v>
      </c>
      <c r="AM2095" s="1">
        <v>260182.0</v>
      </c>
      <c r="AN2095" s="1">
        <v>260182.0</v>
      </c>
      <c r="AO2095" s="1">
        <v>260182.0</v>
      </c>
      <c r="AP2095" s="1">
        <v>99.671</v>
      </c>
      <c r="AR2095" s="1">
        <v>0.0</v>
      </c>
      <c r="AW2095" s="1">
        <v>0.0</v>
      </c>
      <c r="AX2095" s="1">
        <v>4.0</v>
      </c>
      <c r="AY2095" s="1">
        <v>4.0</v>
      </c>
      <c r="BA2095" s="1">
        <v>0.0</v>
      </c>
      <c r="BB2095" s="1">
        <v>0.0</v>
      </c>
      <c r="BC2095" s="1">
        <v>0.0</v>
      </c>
      <c r="BD2095" s="1">
        <v>0.0</v>
      </c>
      <c r="BE2095" s="1">
        <v>0.0</v>
      </c>
      <c r="BF2095" s="1">
        <v>0.0</v>
      </c>
      <c r="BG2095" s="1">
        <v>0.0</v>
      </c>
      <c r="BH2095" s="1">
        <v>0.0</v>
      </c>
      <c r="BI2095" s="1">
        <v>0.0</v>
      </c>
      <c r="BJ2095" s="1">
        <v>0.0</v>
      </c>
      <c r="BP2095" s="1">
        <v>0.26</v>
      </c>
      <c r="BQ2095" s="1" t="s">
        <v>6856</v>
      </c>
      <c r="BV2095" s="1">
        <v>1.1</v>
      </c>
      <c r="EQ2095" s="9" t="s">
        <v>6855</v>
      </c>
      <c r="ER2095" s="21">
        <v>46045.30175925926</v>
      </c>
    </row>
    <row r="2096">
      <c r="A2096" s="9" t="s">
        <v>6857</v>
      </c>
      <c r="B2096" s="20" t="str">
        <f>IFERROR(__xludf.DUMMYFUNCTION("REGEXREPLACE(A2096, ""^https?://[^/]+"", """")"),"/wp-content/themes/salesxceleratione/assets/css/style.css?ver=1769123579")</f>
        <v>/wp-content/themes/salesxceleratione/assets/css/style.css?ver=1769123579</v>
      </c>
      <c r="F2096" s="1" t="s">
        <v>1016</v>
      </c>
      <c r="G2096" s="1">
        <v>200.0</v>
      </c>
      <c r="H2096" s="1" t="s">
        <v>966</v>
      </c>
      <c r="I2096" s="1" t="s">
        <v>967</v>
      </c>
      <c r="L2096" s="1">
        <v>0.0</v>
      </c>
      <c r="M2096" s="1">
        <v>0.0</v>
      </c>
      <c r="O2096" s="1">
        <v>0.0</v>
      </c>
      <c r="P2096" s="1">
        <v>0.0</v>
      </c>
      <c r="R2096" s="1">
        <v>0.0</v>
      </c>
      <c r="S2096" s="1">
        <v>0.0</v>
      </c>
      <c r="U2096" s="1">
        <v>0.0</v>
      </c>
      <c r="W2096" s="1">
        <v>0.0</v>
      </c>
      <c r="Y2096" s="1">
        <v>0.0</v>
      </c>
      <c r="AA2096" s="1">
        <v>0.0</v>
      </c>
      <c r="AC2096" s="1">
        <v>0.0</v>
      </c>
      <c r="AM2096" s="1">
        <v>17704.0</v>
      </c>
      <c r="AN2096" s="1">
        <v>17704.0</v>
      </c>
      <c r="AO2096" s="1">
        <v>17704.0</v>
      </c>
      <c r="AP2096" s="1">
        <v>6.782</v>
      </c>
      <c r="AR2096" s="1">
        <v>0.0</v>
      </c>
      <c r="AW2096" s="1">
        <v>0.0</v>
      </c>
      <c r="AX2096" s="1">
        <v>4.0</v>
      </c>
      <c r="AY2096" s="1">
        <v>5.0</v>
      </c>
      <c r="BA2096" s="1">
        <v>0.0</v>
      </c>
      <c r="BB2096" s="1">
        <v>0.0</v>
      </c>
      <c r="BC2096" s="1">
        <v>0.0</v>
      </c>
      <c r="BD2096" s="1">
        <v>0.0</v>
      </c>
      <c r="BE2096" s="1">
        <v>0.0</v>
      </c>
      <c r="BF2096" s="1">
        <v>0.0</v>
      </c>
      <c r="BG2096" s="1">
        <v>0.0</v>
      </c>
      <c r="BH2096" s="1">
        <v>0.0</v>
      </c>
      <c r="BI2096" s="1">
        <v>0.0</v>
      </c>
      <c r="BJ2096" s="1">
        <v>0.0</v>
      </c>
      <c r="BP2096" s="1">
        <v>0.303</v>
      </c>
      <c r="BQ2096" s="1" t="s">
        <v>6858</v>
      </c>
      <c r="BV2096" s="1">
        <v>1.1</v>
      </c>
      <c r="EQ2096" s="9" t="s">
        <v>6857</v>
      </c>
      <c r="ER2096" s="21">
        <v>46045.30175925926</v>
      </c>
    </row>
    <row r="2097">
      <c r="A2097" s="9" t="s">
        <v>6859</v>
      </c>
      <c r="B2097" s="20" t="str">
        <f>IFERROR(__xludf.DUMMYFUNCTION("REGEXREPLACE(A2097, ""^https?://[^/]+"", """")"),"/wp-content/themes/salesxceleratione/assets/css/style.css?ver=1769123594")</f>
        <v>/wp-content/themes/salesxceleratione/assets/css/style.css?ver=1769123594</v>
      </c>
      <c r="F2097" s="1" t="s">
        <v>1016</v>
      </c>
      <c r="G2097" s="1">
        <v>200.0</v>
      </c>
      <c r="H2097" s="1" t="s">
        <v>966</v>
      </c>
      <c r="I2097" s="1" t="s">
        <v>967</v>
      </c>
      <c r="L2097" s="1">
        <v>0.0</v>
      </c>
      <c r="M2097" s="1">
        <v>0.0</v>
      </c>
      <c r="O2097" s="1">
        <v>0.0</v>
      </c>
      <c r="P2097" s="1">
        <v>0.0</v>
      </c>
      <c r="R2097" s="1">
        <v>0.0</v>
      </c>
      <c r="S2097" s="1">
        <v>0.0</v>
      </c>
      <c r="U2097" s="1">
        <v>0.0</v>
      </c>
      <c r="W2097" s="1">
        <v>0.0</v>
      </c>
      <c r="Y2097" s="1">
        <v>0.0</v>
      </c>
      <c r="AA2097" s="1">
        <v>0.0</v>
      </c>
      <c r="AC2097" s="1">
        <v>0.0</v>
      </c>
      <c r="AM2097" s="1">
        <v>17704.0</v>
      </c>
      <c r="AN2097" s="1">
        <v>17704.0</v>
      </c>
      <c r="AO2097" s="1">
        <v>17704.0</v>
      </c>
      <c r="AP2097" s="1">
        <v>6.782</v>
      </c>
      <c r="AR2097" s="1">
        <v>0.0</v>
      </c>
      <c r="AW2097" s="1">
        <v>0.0</v>
      </c>
      <c r="AX2097" s="1">
        <v>5.0</v>
      </c>
      <c r="AY2097" s="1">
        <v>5.0</v>
      </c>
      <c r="BA2097" s="1">
        <v>0.0</v>
      </c>
      <c r="BB2097" s="1">
        <v>0.0</v>
      </c>
      <c r="BC2097" s="1">
        <v>0.0</v>
      </c>
      <c r="BD2097" s="1">
        <v>0.0</v>
      </c>
      <c r="BE2097" s="1">
        <v>0.0</v>
      </c>
      <c r="BF2097" s="1">
        <v>0.0</v>
      </c>
      <c r="BG2097" s="1">
        <v>0.0</v>
      </c>
      <c r="BH2097" s="1">
        <v>0.0</v>
      </c>
      <c r="BI2097" s="1">
        <v>0.0</v>
      </c>
      <c r="BJ2097" s="1">
        <v>0.0</v>
      </c>
      <c r="BP2097" s="1">
        <v>0.276</v>
      </c>
      <c r="BQ2097" s="1" t="s">
        <v>6858</v>
      </c>
      <c r="BV2097" s="1">
        <v>1.1</v>
      </c>
      <c r="EQ2097" s="9" t="s">
        <v>6859</v>
      </c>
      <c r="ER2097" s="21">
        <v>46045.30175925926</v>
      </c>
    </row>
    <row r="2098">
      <c r="A2098" s="9" t="s">
        <v>6860</v>
      </c>
      <c r="B2098" s="20" t="str">
        <f>IFERROR(__xludf.DUMMYFUNCTION("REGEXREPLACE(A2098, ""^https?://[^/]+"", """")"),"/wp-content/uploads/2018/07/sales-consulting-opportunity-2048x2048.jpg")</f>
        <v>/wp-content/uploads/2018/07/sales-consulting-opportunity-2048x2048.jpg</v>
      </c>
      <c r="F2098" s="1" t="s">
        <v>1004</v>
      </c>
      <c r="G2098" s="1">
        <v>200.0</v>
      </c>
      <c r="H2098" s="1" t="s">
        <v>966</v>
      </c>
      <c r="I2098" s="1" t="s">
        <v>967</v>
      </c>
      <c r="L2098" s="1">
        <v>0.0</v>
      </c>
      <c r="M2098" s="1">
        <v>0.0</v>
      </c>
      <c r="O2098" s="1">
        <v>0.0</v>
      </c>
      <c r="P2098" s="1">
        <v>0.0</v>
      </c>
      <c r="R2098" s="1">
        <v>0.0</v>
      </c>
      <c r="S2098" s="1">
        <v>0.0</v>
      </c>
      <c r="U2098" s="1">
        <v>0.0</v>
      </c>
      <c r="W2098" s="1">
        <v>0.0</v>
      </c>
      <c r="Y2098" s="1">
        <v>0.0</v>
      </c>
      <c r="AA2098" s="1">
        <v>0.0</v>
      </c>
      <c r="AC2098" s="1">
        <v>0.0</v>
      </c>
      <c r="AM2098" s="1">
        <v>239802.0</v>
      </c>
      <c r="AN2098" s="1">
        <v>239802.0</v>
      </c>
      <c r="AO2098" s="1">
        <v>239802.0</v>
      </c>
      <c r="AP2098" s="1">
        <v>91.864</v>
      </c>
      <c r="AR2098" s="1">
        <v>0.0</v>
      </c>
      <c r="AW2098" s="1">
        <v>0.0</v>
      </c>
      <c r="AX2098" s="1">
        <v>5.0</v>
      </c>
      <c r="AY2098" s="1">
        <v>4.0</v>
      </c>
      <c r="BA2098" s="1">
        <v>0.0</v>
      </c>
      <c r="BB2098" s="1">
        <v>0.0</v>
      </c>
      <c r="BC2098" s="1">
        <v>0.0</v>
      </c>
      <c r="BD2098" s="1">
        <v>0.0</v>
      </c>
      <c r="BE2098" s="1">
        <v>0.0</v>
      </c>
      <c r="BF2098" s="1">
        <v>0.0</v>
      </c>
      <c r="BG2098" s="1">
        <v>0.0</v>
      </c>
      <c r="BH2098" s="1">
        <v>0.0</v>
      </c>
      <c r="BI2098" s="1">
        <v>0.0</v>
      </c>
      <c r="BJ2098" s="1">
        <v>0.0</v>
      </c>
      <c r="BP2098" s="1">
        <v>0.276</v>
      </c>
      <c r="BQ2098" s="1" t="s">
        <v>6861</v>
      </c>
      <c r="BV2098" s="1">
        <v>1.1</v>
      </c>
      <c r="EQ2098" s="9" t="s">
        <v>6860</v>
      </c>
      <c r="ER2098" s="21">
        <v>46045.30175925926</v>
      </c>
    </row>
    <row r="2099">
      <c r="A2099" s="9" t="s">
        <v>6862</v>
      </c>
      <c r="B2099" s="20" t="str">
        <f>IFERROR(__xludf.DUMMYFUNCTION("REGEXREPLACE(A2099, ""^https?://[^/]+"", """")"),"/wp-content/uploads/2021/12/Business-man-and-woman-ready-to-walk-through-large-door-scaled.jpg")</f>
        <v>/wp-content/uploads/2021/12/Business-man-and-woman-ready-to-walk-through-large-door-scaled.jpg</v>
      </c>
      <c r="F2099" s="1" t="s">
        <v>1004</v>
      </c>
      <c r="G2099" s="1">
        <v>200.0</v>
      </c>
      <c r="H2099" s="1" t="s">
        <v>966</v>
      </c>
      <c r="I2099" s="1" t="s">
        <v>967</v>
      </c>
      <c r="L2099" s="1">
        <v>0.0</v>
      </c>
      <c r="M2099" s="1">
        <v>0.0</v>
      </c>
      <c r="O2099" s="1">
        <v>0.0</v>
      </c>
      <c r="P2099" s="1">
        <v>0.0</v>
      </c>
      <c r="R2099" s="1">
        <v>0.0</v>
      </c>
      <c r="S2099" s="1">
        <v>0.0</v>
      </c>
      <c r="U2099" s="1">
        <v>0.0</v>
      </c>
      <c r="W2099" s="1">
        <v>0.0</v>
      </c>
      <c r="Y2099" s="1">
        <v>0.0</v>
      </c>
      <c r="AA2099" s="1">
        <v>0.0</v>
      </c>
      <c r="AC2099" s="1">
        <v>0.0</v>
      </c>
      <c r="AM2099" s="1">
        <v>80018.0</v>
      </c>
      <c r="AN2099" s="1">
        <v>80018.0</v>
      </c>
      <c r="AO2099" s="1">
        <v>80018.0</v>
      </c>
      <c r="AP2099" s="1">
        <v>30.653</v>
      </c>
      <c r="AR2099" s="1">
        <v>0.0</v>
      </c>
      <c r="AW2099" s="1">
        <v>0.0</v>
      </c>
      <c r="AX2099" s="1">
        <v>5.0</v>
      </c>
      <c r="AY2099" s="1">
        <v>4.0</v>
      </c>
      <c r="BA2099" s="1">
        <v>0.0</v>
      </c>
      <c r="BB2099" s="1">
        <v>0.0</v>
      </c>
      <c r="BC2099" s="1">
        <v>0.0</v>
      </c>
      <c r="BD2099" s="1">
        <v>0.0</v>
      </c>
      <c r="BE2099" s="1">
        <v>0.0</v>
      </c>
      <c r="BF2099" s="1">
        <v>0.0</v>
      </c>
      <c r="BG2099" s="1">
        <v>0.0</v>
      </c>
      <c r="BH2099" s="1">
        <v>0.0</v>
      </c>
      <c r="BI2099" s="1">
        <v>0.0</v>
      </c>
      <c r="BJ2099" s="1">
        <v>0.0</v>
      </c>
      <c r="BP2099" s="1">
        <v>0.248</v>
      </c>
      <c r="BQ2099" s="1" t="s">
        <v>6863</v>
      </c>
      <c r="BV2099" s="1">
        <v>1.1</v>
      </c>
      <c r="EQ2099" s="9" t="s">
        <v>6862</v>
      </c>
      <c r="ER2099" s="21">
        <v>46045.30175925926</v>
      </c>
    </row>
    <row r="2100">
      <c r="A2100" s="9" t="s">
        <v>6864</v>
      </c>
      <c r="B2100" s="20" t="str">
        <f>IFERROR(__xludf.DUMMYFUNCTION("REGEXREPLACE(A2100, ""^https?://[^/]+"", """")"),"/wp-content/uploads/2019/07/shutterstock_536212654-1-2048x2048.jpg")</f>
        <v>/wp-content/uploads/2019/07/shutterstock_536212654-1-2048x2048.jpg</v>
      </c>
      <c r="F2100" s="1" t="s">
        <v>1004</v>
      </c>
      <c r="G2100" s="1">
        <v>200.0</v>
      </c>
      <c r="H2100" s="1" t="s">
        <v>966</v>
      </c>
      <c r="I2100" s="1" t="s">
        <v>967</v>
      </c>
      <c r="L2100" s="1">
        <v>0.0</v>
      </c>
      <c r="M2100" s="1">
        <v>0.0</v>
      </c>
      <c r="O2100" s="1">
        <v>0.0</v>
      </c>
      <c r="P2100" s="1">
        <v>0.0</v>
      </c>
      <c r="R2100" s="1">
        <v>0.0</v>
      </c>
      <c r="S2100" s="1">
        <v>0.0</v>
      </c>
      <c r="U2100" s="1">
        <v>0.0</v>
      </c>
      <c r="W2100" s="1">
        <v>0.0</v>
      </c>
      <c r="Y2100" s="1">
        <v>0.0</v>
      </c>
      <c r="AA2100" s="1">
        <v>0.0</v>
      </c>
      <c r="AC2100" s="1">
        <v>0.0</v>
      </c>
      <c r="AM2100" s="1">
        <v>264742.0</v>
      </c>
      <c r="AN2100" s="1">
        <v>264742.0</v>
      </c>
      <c r="AO2100" s="1">
        <v>264742.0</v>
      </c>
      <c r="AP2100" s="1">
        <v>101.418</v>
      </c>
      <c r="AR2100" s="1">
        <v>0.0</v>
      </c>
      <c r="AW2100" s="1">
        <v>0.0</v>
      </c>
      <c r="AX2100" s="1">
        <v>5.0</v>
      </c>
      <c r="AY2100" s="1">
        <v>4.0</v>
      </c>
      <c r="BA2100" s="1">
        <v>0.0</v>
      </c>
      <c r="BB2100" s="1">
        <v>0.0</v>
      </c>
      <c r="BC2100" s="1">
        <v>0.0</v>
      </c>
      <c r="BD2100" s="1">
        <v>0.0</v>
      </c>
      <c r="BE2100" s="1">
        <v>0.0</v>
      </c>
      <c r="BF2100" s="1">
        <v>0.0</v>
      </c>
      <c r="BG2100" s="1">
        <v>0.0</v>
      </c>
      <c r="BH2100" s="1">
        <v>0.0</v>
      </c>
      <c r="BI2100" s="1">
        <v>0.0</v>
      </c>
      <c r="BJ2100" s="1">
        <v>0.0</v>
      </c>
      <c r="BP2100" s="1">
        <v>0.282</v>
      </c>
      <c r="BQ2100" s="1" t="s">
        <v>6746</v>
      </c>
      <c r="BV2100" s="1">
        <v>1.1</v>
      </c>
      <c r="EQ2100" s="9" t="s">
        <v>6864</v>
      </c>
      <c r="ER2100" s="21">
        <v>46045.30175925926</v>
      </c>
    </row>
    <row r="2101">
      <c r="A2101" s="9" t="s">
        <v>6865</v>
      </c>
      <c r="B2101" s="20" t="str">
        <f>IFERROR(__xludf.DUMMYFUNCTION("REGEXREPLACE(A2101, ""^https?://[^/]+"", """")"),"/wp-content/themes/salesxceleratione/assets/css/style.css?ver=1769123595")</f>
        <v>/wp-content/themes/salesxceleratione/assets/css/style.css?ver=1769123595</v>
      </c>
      <c r="F2101" s="1" t="s">
        <v>1016</v>
      </c>
      <c r="G2101" s="1">
        <v>200.0</v>
      </c>
      <c r="H2101" s="1" t="s">
        <v>966</v>
      </c>
      <c r="I2101" s="1" t="s">
        <v>967</v>
      </c>
      <c r="L2101" s="1">
        <v>0.0</v>
      </c>
      <c r="M2101" s="1">
        <v>0.0</v>
      </c>
      <c r="O2101" s="1">
        <v>0.0</v>
      </c>
      <c r="P2101" s="1">
        <v>0.0</v>
      </c>
      <c r="R2101" s="1">
        <v>0.0</v>
      </c>
      <c r="S2101" s="1">
        <v>0.0</v>
      </c>
      <c r="U2101" s="1">
        <v>0.0</v>
      </c>
      <c r="W2101" s="1">
        <v>0.0</v>
      </c>
      <c r="Y2101" s="1">
        <v>0.0</v>
      </c>
      <c r="AA2101" s="1">
        <v>0.0</v>
      </c>
      <c r="AC2101" s="1">
        <v>0.0</v>
      </c>
      <c r="AM2101" s="1">
        <v>17704.0</v>
      </c>
      <c r="AN2101" s="1">
        <v>17704.0</v>
      </c>
      <c r="AO2101" s="1">
        <v>17704.0</v>
      </c>
      <c r="AP2101" s="1">
        <v>6.782</v>
      </c>
      <c r="AR2101" s="1">
        <v>0.0</v>
      </c>
      <c r="AW2101" s="1">
        <v>0.0</v>
      </c>
      <c r="AX2101" s="1">
        <v>5.0</v>
      </c>
      <c r="AY2101" s="1">
        <v>5.0</v>
      </c>
      <c r="BA2101" s="1">
        <v>0.0</v>
      </c>
      <c r="BB2101" s="1">
        <v>0.0</v>
      </c>
      <c r="BC2101" s="1">
        <v>0.0</v>
      </c>
      <c r="BD2101" s="1">
        <v>0.0</v>
      </c>
      <c r="BE2101" s="1">
        <v>0.0</v>
      </c>
      <c r="BF2101" s="1">
        <v>0.0</v>
      </c>
      <c r="BG2101" s="1">
        <v>0.0</v>
      </c>
      <c r="BH2101" s="1">
        <v>0.0</v>
      </c>
      <c r="BI2101" s="1">
        <v>0.0</v>
      </c>
      <c r="BJ2101" s="1">
        <v>0.0</v>
      </c>
      <c r="BP2101" s="1">
        <v>0.267</v>
      </c>
      <c r="BQ2101" s="1" t="s">
        <v>5273</v>
      </c>
      <c r="BV2101" s="1">
        <v>1.1</v>
      </c>
      <c r="EQ2101" s="9" t="s">
        <v>6865</v>
      </c>
      <c r="ER2101" s="21">
        <v>46045.30175925926</v>
      </c>
    </row>
    <row r="2102">
      <c r="A2102" s="9" t="s">
        <v>6866</v>
      </c>
      <c r="B2102" s="20" t="str">
        <f>IFERROR(__xludf.DUMMYFUNCTION("REGEXREPLACE(A2102, ""^https?://[^/]+"", """")"),"/infographics/benefits-of-outsourcing/")</f>
        <v>/infographics/benefits-of-outsourcing/</v>
      </c>
      <c r="F2102" s="1" t="s">
        <v>965</v>
      </c>
      <c r="G2102" s="1">
        <v>302.0</v>
      </c>
      <c r="H2102" s="1" t="s">
        <v>2980</v>
      </c>
      <c r="I2102" s="1" t="s">
        <v>1214</v>
      </c>
      <c r="J2102" s="1" t="s">
        <v>1305</v>
      </c>
      <c r="L2102" s="1">
        <v>0.0</v>
      </c>
      <c r="M2102" s="1">
        <v>0.0</v>
      </c>
      <c r="O2102" s="1">
        <v>0.0</v>
      </c>
      <c r="P2102" s="1">
        <v>0.0</v>
      </c>
      <c r="R2102" s="1">
        <v>0.0</v>
      </c>
      <c r="S2102" s="1">
        <v>0.0</v>
      </c>
      <c r="U2102" s="1">
        <v>0.0</v>
      </c>
      <c r="W2102" s="1">
        <v>0.0</v>
      </c>
      <c r="Y2102" s="1">
        <v>0.0</v>
      </c>
      <c r="AA2102" s="1">
        <v>0.0</v>
      </c>
      <c r="AC2102" s="1">
        <v>0.0</v>
      </c>
      <c r="AM2102" s="1">
        <v>0.0</v>
      </c>
      <c r="AN2102" s="1">
        <v>0.0</v>
      </c>
      <c r="AO2102" s="1">
        <v>0.0</v>
      </c>
      <c r="AP2102" s="1">
        <v>0.0</v>
      </c>
      <c r="AR2102" s="1">
        <v>0.0</v>
      </c>
      <c r="AW2102" s="1">
        <v>0.0</v>
      </c>
      <c r="AX2102" s="1">
        <v>5.0</v>
      </c>
      <c r="AY2102" s="1">
        <v>2.0</v>
      </c>
      <c r="BA2102" s="1">
        <v>1.0</v>
      </c>
      <c r="BB2102" s="1">
        <v>1.0</v>
      </c>
      <c r="BC2102" s="1">
        <v>0.0</v>
      </c>
      <c r="BD2102" s="1">
        <v>0.13</v>
      </c>
      <c r="BE2102" s="1">
        <v>0.0</v>
      </c>
      <c r="BF2102" s="1">
        <v>0.0</v>
      </c>
      <c r="BG2102" s="1">
        <v>0.0</v>
      </c>
      <c r="BH2102" s="1">
        <v>0.0</v>
      </c>
      <c r="BI2102" s="1">
        <v>0.0</v>
      </c>
      <c r="BJ2102" s="1">
        <v>0.0</v>
      </c>
      <c r="BP2102" s="1">
        <v>0.565</v>
      </c>
      <c r="BR2102" s="9" t="s">
        <v>6867</v>
      </c>
      <c r="BS2102" s="1" t="s">
        <v>1307</v>
      </c>
      <c r="BV2102" s="1">
        <v>1.1</v>
      </c>
      <c r="EQ2102" s="9" t="s">
        <v>6866</v>
      </c>
      <c r="ER2102" s="21">
        <v>46045.30175925926</v>
      </c>
    </row>
    <row r="2103">
      <c r="A2103" s="9" t="s">
        <v>6868</v>
      </c>
      <c r="B2103" s="20" t="str">
        <f>IFERROR(__xludf.DUMMYFUNCTION("REGEXREPLACE(A2103, ""^https?://[^/]+"", """")"),"/the-sales-consulting-opportunity-why-quitting-your-job-might-not-be-risky/")</f>
        <v>/the-sales-consulting-opportunity-why-quitting-your-job-might-not-be-risky/</v>
      </c>
      <c r="C2103" s="1" t="s">
        <v>6869</v>
      </c>
      <c r="F2103" s="1" t="s">
        <v>965</v>
      </c>
      <c r="G2103" s="1">
        <v>200.0</v>
      </c>
      <c r="H2103" s="1" t="s">
        <v>966</v>
      </c>
      <c r="I2103" s="1" t="s">
        <v>967</v>
      </c>
      <c r="K2103" s="1" t="s">
        <v>6870</v>
      </c>
      <c r="L2103" s="1">
        <v>99.0</v>
      </c>
      <c r="M2103" s="1">
        <v>892.0</v>
      </c>
      <c r="O2103" s="1">
        <v>0.0</v>
      </c>
      <c r="P2103" s="1">
        <v>0.0</v>
      </c>
      <c r="Q2103" s="1" t="s">
        <v>6871</v>
      </c>
      <c r="R2103" s="1">
        <v>114.0</v>
      </c>
      <c r="S2103" s="1">
        <v>704.0</v>
      </c>
      <c r="U2103" s="1">
        <v>0.0</v>
      </c>
      <c r="V2103" s="1" t="s">
        <v>6869</v>
      </c>
      <c r="W2103" s="1">
        <v>74.0</v>
      </c>
      <c r="Y2103" s="1">
        <v>0.0</v>
      </c>
      <c r="AA2103" s="1">
        <v>0.0</v>
      </c>
      <c r="AC2103" s="1">
        <v>0.0</v>
      </c>
      <c r="AD2103" s="1" t="s">
        <v>971</v>
      </c>
      <c r="AG2103" s="9" t="s">
        <v>6868</v>
      </c>
      <c r="AM2103" s="1">
        <v>200250.0</v>
      </c>
      <c r="AN2103" s="1">
        <v>35776.0</v>
      </c>
      <c r="AO2103" s="1">
        <v>35776.0</v>
      </c>
      <c r="AP2103" s="1">
        <v>13.705</v>
      </c>
      <c r="AR2103" s="1">
        <v>1312.0</v>
      </c>
      <c r="AS2103" s="1">
        <v>205.0</v>
      </c>
      <c r="AT2103" s="1">
        <v>6.4</v>
      </c>
      <c r="AU2103" s="1">
        <v>59.769</v>
      </c>
      <c r="AV2103" s="1" t="s">
        <v>972</v>
      </c>
      <c r="AW2103" s="1">
        <v>5.275</v>
      </c>
      <c r="AX2103" s="1">
        <v>5.0</v>
      </c>
      <c r="AY2103" s="1">
        <v>1.0</v>
      </c>
      <c r="AZ2103" s="1">
        <v>1.0</v>
      </c>
      <c r="BA2103" s="1">
        <v>2.0</v>
      </c>
      <c r="BB2103" s="1">
        <v>2.0</v>
      </c>
      <c r="BC2103" s="1">
        <v>0.0</v>
      </c>
      <c r="BD2103" s="1">
        <v>0.27</v>
      </c>
      <c r="BE2103" s="1">
        <v>132.0</v>
      </c>
      <c r="BF2103" s="1">
        <v>49.0</v>
      </c>
      <c r="BG2103" s="1">
        <v>0.0</v>
      </c>
      <c r="BH2103" s="1">
        <v>18.0</v>
      </c>
      <c r="BI2103" s="1">
        <v>10.0</v>
      </c>
      <c r="BJ2103" s="1">
        <v>0.0</v>
      </c>
      <c r="BO2103" s="1" t="s">
        <v>6872</v>
      </c>
      <c r="BP2103" s="1">
        <v>1.051</v>
      </c>
      <c r="BU2103" s="1" t="s">
        <v>974</v>
      </c>
      <c r="BV2103" s="1">
        <v>1.1</v>
      </c>
      <c r="EQ2103" s="9" t="s">
        <v>6868</v>
      </c>
      <c r="ER2103" s="21">
        <v>46045.30175925926</v>
      </c>
    </row>
    <row r="2104">
      <c r="A2104" s="9" t="s">
        <v>6873</v>
      </c>
      <c r="B2104" s="20" t="str">
        <f>IFERROR(__xludf.DUMMYFUNCTION("REGEXREPLACE(A2104, ""^https?://[^/]+"", """")"),"/wp-content/uploads/2021/12/Outsourcing-scaled.jpg")</f>
        <v>/wp-content/uploads/2021/12/Outsourcing-scaled.jpg</v>
      </c>
      <c r="F2104" s="1" t="s">
        <v>1004</v>
      </c>
      <c r="G2104" s="1">
        <v>200.0</v>
      </c>
      <c r="H2104" s="1" t="s">
        <v>966</v>
      </c>
      <c r="I2104" s="1" t="s">
        <v>967</v>
      </c>
      <c r="L2104" s="1">
        <v>0.0</v>
      </c>
      <c r="M2104" s="1">
        <v>0.0</v>
      </c>
      <c r="O2104" s="1">
        <v>0.0</v>
      </c>
      <c r="P2104" s="1">
        <v>0.0</v>
      </c>
      <c r="R2104" s="1">
        <v>0.0</v>
      </c>
      <c r="S2104" s="1">
        <v>0.0</v>
      </c>
      <c r="U2104" s="1">
        <v>0.0</v>
      </c>
      <c r="W2104" s="1">
        <v>0.0</v>
      </c>
      <c r="Y2104" s="1">
        <v>0.0</v>
      </c>
      <c r="AA2104" s="1">
        <v>0.0</v>
      </c>
      <c r="AC2104" s="1">
        <v>0.0</v>
      </c>
      <c r="AM2104" s="1">
        <v>245977.0</v>
      </c>
      <c r="AN2104" s="1">
        <v>245977.0</v>
      </c>
      <c r="AO2104" s="1">
        <v>245977.0</v>
      </c>
      <c r="AP2104" s="1">
        <v>94.229</v>
      </c>
      <c r="AR2104" s="1">
        <v>0.0</v>
      </c>
      <c r="AW2104" s="1">
        <v>0.0</v>
      </c>
      <c r="AX2104" s="1">
        <v>5.0</v>
      </c>
      <c r="AY2104" s="1">
        <v>4.0</v>
      </c>
      <c r="BA2104" s="1">
        <v>0.0</v>
      </c>
      <c r="BB2104" s="1">
        <v>0.0</v>
      </c>
      <c r="BC2104" s="1">
        <v>0.0</v>
      </c>
      <c r="BD2104" s="1">
        <v>0.0</v>
      </c>
      <c r="BE2104" s="1">
        <v>0.0</v>
      </c>
      <c r="BF2104" s="1">
        <v>0.0</v>
      </c>
      <c r="BG2104" s="1">
        <v>0.0</v>
      </c>
      <c r="BH2104" s="1">
        <v>0.0</v>
      </c>
      <c r="BI2104" s="1">
        <v>0.0</v>
      </c>
      <c r="BJ2104" s="1">
        <v>0.0</v>
      </c>
      <c r="BP2104" s="1">
        <v>0.281</v>
      </c>
      <c r="BQ2104" s="1" t="s">
        <v>5204</v>
      </c>
      <c r="BV2104" s="1">
        <v>1.1</v>
      </c>
      <c r="EQ2104" s="9" t="s">
        <v>6873</v>
      </c>
      <c r="ER2104" s="21">
        <v>46045.301770833335</v>
      </c>
    </row>
    <row r="2105">
      <c r="A2105" s="9" t="s">
        <v>6874</v>
      </c>
      <c r="B2105" s="20" t="str">
        <f>IFERROR(__xludf.DUMMYFUNCTION("REGEXREPLACE(A2105, ""^https?://[^/]+"", """")"),"/how-sales-management-consultants-help-business-owners/")</f>
        <v>/how-sales-management-consultants-help-business-owners/</v>
      </c>
      <c r="C2105" s="1" t="s">
        <v>6875</v>
      </c>
      <c r="F2105" s="1" t="s">
        <v>965</v>
      </c>
      <c r="G2105" s="1">
        <v>200.0</v>
      </c>
      <c r="H2105" s="1" t="s">
        <v>966</v>
      </c>
      <c r="I2105" s="1" t="s">
        <v>967</v>
      </c>
      <c r="K2105" s="1" t="s">
        <v>6876</v>
      </c>
      <c r="L2105" s="1">
        <v>54.0</v>
      </c>
      <c r="M2105" s="1">
        <v>515.0</v>
      </c>
      <c r="O2105" s="1">
        <v>0.0</v>
      </c>
      <c r="P2105" s="1">
        <v>0.0</v>
      </c>
      <c r="Q2105" s="1" t="s">
        <v>6877</v>
      </c>
      <c r="R2105" s="1">
        <v>160.0</v>
      </c>
      <c r="S2105" s="1">
        <v>1013.0</v>
      </c>
      <c r="U2105" s="1">
        <v>0.0</v>
      </c>
      <c r="V2105" s="1" t="s">
        <v>6875</v>
      </c>
      <c r="W2105" s="1">
        <v>73.0</v>
      </c>
      <c r="Y2105" s="1">
        <v>0.0</v>
      </c>
      <c r="AA2105" s="1">
        <v>0.0</v>
      </c>
      <c r="AC2105" s="1">
        <v>0.0</v>
      </c>
      <c r="AD2105" s="1" t="s">
        <v>971</v>
      </c>
      <c r="AG2105" s="9" t="s">
        <v>6874</v>
      </c>
      <c r="AM2105" s="1">
        <v>202496.0</v>
      </c>
      <c r="AN2105" s="1">
        <v>35965.0</v>
      </c>
      <c r="AO2105" s="1">
        <v>35965.0</v>
      </c>
      <c r="AP2105" s="1">
        <v>13.778</v>
      </c>
      <c r="AR2105" s="1">
        <v>1263.0</v>
      </c>
      <c r="AS2105" s="1">
        <v>185.0</v>
      </c>
      <c r="AT2105" s="1">
        <v>6.827</v>
      </c>
      <c r="AU2105" s="1">
        <v>59.776</v>
      </c>
      <c r="AV2105" s="1" t="s">
        <v>972</v>
      </c>
      <c r="AW2105" s="1">
        <v>5.063</v>
      </c>
      <c r="AX2105" s="1">
        <v>5.0</v>
      </c>
      <c r="AY2105" s="1">
        <v>1.0</v>
      </c>
      <c r="AZ2105" s="1">
        <v>1.0</v>
      </c>
      <c r="BA2105" s="1">
        <v>36.0</v>
      </c>
      <c r="BB2105" s="1">
        <v>36.0</v>
      </c>
      <c r="BC2105" s="1">
        <v>0.0</v>
      </c>
      <c r="BD2105" s="1">
        <v>4.77</v>
      </c>
      <c r="BE2105" s="1">
        <v>133.0</v>
      </c>
      <c r="BF2105" s="1">
        <v>48.0</v>
      </c>
      <c r="BG2105" s="1">
        <v>0.0</v>
      </c>
      <c r="BH2105" s="1">
        <v>18.0</v>
      </c>
      <c r="BI2105" s="1">
        <v>9.0</v>
      </c>
      <c r="BJ2105" s="1">
        <v>0.0</v>
      </c>
      <c r="BO2105" s="1" t="s">
        <v>6878</v>
      </c>
      <c r="BP2105" s="1">
        <v>1.035</v>
      </c>
      <c r="BU2105" s="1" t="s">
        <v>974</v>
      </c>
      <c r="BV2105" s="1">
        <v>1.1</v>
      </c>
      <c r="EQ2105" s="9" t="s">
        <v>6874</v>
      </c>
      <c r="ER2105" s="21">
        <v>46045.30175925926</v>
      </c>
    </row>
    <row r="2106">
      <c r="A2106" s="9" t="s">
        <v>6879</v>
      </c>
      <c r="B2106" s="20" t="str">
        <f>IFERROR(__xludf.DUMMYFUNCTION("REGEXREPLACE(A2106, ""^https?://[^/]+"", """")"),"/wp-content/uploads/2021/11/Business-Woman-Contemplating-New-Career-Path-scaled.jpeg")</f>
        <v>/wp-content/uploads/2021/11/Business-Woman-Contemplating-New-Career-Path-scaled.jpeg</v>
      </c>
      <c r="F2106" s="1" t="s">
        <v>1004</v>
      </c>
      <c r="G2106" s="1">
        <v>200.0</v>
      </c>
      <c r="H2106" s="1" t="s">
        <v>966</v>
      </c>
      <c r="I2106" s="1" t="s">
        <v>967</v>
      </c>
      <c r="L2106" s="1">
        <v>0.0</v>
      </c>
      <c r="M2106" s="1">
        <v>0.0</v>
      </c>
      <c r="O2106" s="1">
        <v>0.0</v>
      </c>
      <c r="P2106" s="1">
        <v>0.0</v>
      </c>
      <c r="R2106" s="1">
        <v>0.0</v>
      </c>
      <c r="S2106" s="1">
        <v>0.0</v>
      </c>
      <c r="U2106" s="1">
        <v>0.0</v>
      </c>
      <c r="W2106" s="1">
        <v>0.0</v>
      </c>
      <c r="Y2106" s="1">
        <v>0.0</v>
      </c>
      <c r="AA2106" s="1">
        <v>0.0</v>
      </c>
      <c r="AC2106" s="1">
        <v>0.0</v>
      </c>
      <c r="AM2106" s="1">
        <v>259865.0</v>
      </c>
      <c r="AN2106" s="1">
        <v>259865.0</v>
      </c>
      <c r="AO2106" s="1">
        <v>259865.0</v>
      </c>
      <c r="AP2106" s="1">
        <v>99.549</v>
      </c>
      <c r="AR2106" s="1">
        <v>0.0</v>
      </c>
      <c r="AW2106" s="1">
        <v>0.0</v>
      </c>
      <c r="AX2106" s="1">
        <v>5.0</v>
      </c>
      <c r="AY2106" s="1">
        <v>4.0</v>
      </c>
      <c r="BA2106" s="1">
        <v>0.0</v>
      </c>
      <c r="BB2106" s="1">
        <v>0.0</v>
      </c>
      <c r="BC2106" s="1">
        <v>0.0</v>
      </c>
      <c r="BD2106" s="1">
        <v>0.0</v>
      </c>
      <c r="BE2106" s="1">
        <v>0.0</v>
      </c>
      <c r="BF2106" s="1">
        <v>0.0</v>
      </c>
      <c r="BG2106" s="1">
        <v>0.0</v>
      </c>
      <c r="BH2106" s="1">
        <v>0.0</v>
      </c>
      <c r="BI2106" s="1">
        <v>0.0</v>
      </c>
      <c r="BJ2106" s="1">
        <v>0.0</v>
      </c>
      <c r="BP2106" s="1">
        <v>0.265</v>
      </c>
      <c r="BQ2106" s="1" t="s">
        <v>6880</v>
      </c>
      <c r="BV2106" s="1">
        <v>1.1</v>
      </c>
      <c r="EQ2106" s="9" t="s">
        <v>6879</v>
      </c>
      <c r="ER2106" s="21">
        <v>46045.301770833335</v>
      </c>
    </row>
    <row r="2107">
      <c r="A2107" s="9" t="s">
        <v>6881</v>
      </c>
      <c r="B2107" s="20" t="str">
        <f>IFERROR(__xludf.DUMMYFUNCTION("REGEXREPLACE(A2107, ""^https?://[^/]+"", """")"),"/wp-content/uploads/2021/11/p-2-how-interim-executives-can-be-a-surprising-benefit-to-your-company.jpeg")</f>
        <v>/wp-content/uploads/2021/11/p-2-how-interim-executives-can-be-a-surprising-benefit-to-your-company.jpeg</v>
      </c>
      <c r="F2107" s="1" t="s">
        <v>1004</v>
      </c>
      <c r="G2107" s="1">
        <v>200.0</v>
      </c>
      <c r="H2107" s="1" t="s">
        <v>966</v>
      </c>
      <c r="I2107" s="1" t="s">
        <v>967</v>
      </c>
      <c r="L2107" s="1">
        <v>0.0</v>
      </c>
      <c r="M2107" s="1">
        <v>0.0</v>
      </c>
      <c r="O2107" s="1">
        <v>0.0</v>
      </c>
      <c r="P2107" s="1">
        <v>0.0</v>
      </c>
      <c r="R2107" s="1">
        <v>0.0</v>
      </c>
      <c r="S2107" s="1">
        <v>0.0</v>
      </c>
      <c r="U2107" s="1">
        <v>0.0</v>
      </c>
      <c r="W2107" s="1">
        <v>0.0</v>
      </c>
      <c r="Y2107" s="1">
        <v>0.0</v>
      </c>
      <c r="AA2107" s="1">
        <v>0.0</v>
      </c>
      <c r="AC2107" s="1">
        <v>0.0</v>
      </c>
      <c r="AM2107" s="1">
        <v>69686.0</v>
      </c>
      <c r="AN2107" s="1">
        <v>69686.0</v>
      </c>
      <c r="AO2107" s="1">
        <v>69686.0</v>
      </c>
      <c r="AP2107" s="1">
        <v>26.695</v>
      </c>
      <c r="AR2107" s="1">
        <v>0.0</v>
      </c>
      <c r="AW2107" s="1">
        <v>0.0</v>
      </c>
      <c r="AX2107" s="1">
        <v>5.0</v>
      </c>
      <c r="AY2107" s="1">
        <v>4.0</v>
      </c>
      <c r="BA2107" s="1">
        <v>0.0</v>
      </c>
      <c r="BB2107" s="1">
        <v>0.0</v>
      </c>
      <c r="BC2107" s="1">
        <v>0.0</v>
      </c>
      <c r="BD2107" s="1">
        <v>0.0</v>
      </c>
      <c r="BE2107" s="1">
        <v>0.0</v>
      </c>
      <c r="BF2107" s="1">
        <v>0.0</v>
      </c>
      <c r="BG2107" s="1">
        <v>0.0</v>
      </c>
      <c r="BH2107" s="1">
        <v>0.0</v>
      </c>
      <c r="BI2107" s="1">
        <v>0.0</v>
      </c>
      <c r="BJ2107" s="1">
        <v>0.0</v>
      </c>
      <c r="BP2107" s="1">
        <v>0.263</v>
      </c>
      <c r="BQ2107" s="1" t="s">
        <v>6882</v>
      </c>
      <c r="BV2107" s="1">
        <v>1.1</v>
      </c>
      <c r="EQ2107" s="9" t="s">
        <v>6881</v>
      </c>
      <c r="ER2107" s="21">
        <v>46045.301770833335</v>
      </c>
    </row>
    <row r="2108">
      <c r="A2108" s="9" t="s">
        <v>6883</v>
      </c>
      <c r="B2108" s="20" t="str">
        <f>IFERROR(__xludf.DUMMYFUNCTION("REGEXREPLACE(A2108, ""^https?://[^/]+"", """")"),"/wp-content/themes/salesxceleratione/assets/css/style.css?ver=1769123596")</f>
        <v>/wp-content/themes/salesxceleratione/assets/css/style.css?ver=1769123596</v>
      </c>
      <c r="F2108" s="1" t="s">
        <v>1016</v>
      </c>
      <c r="G2108" s="1">
        <v>200.0</v>
      </c>
      <c r="H2108" s="1" t="s">
        <v>966</v>
      </c>
      <c r="I2108" s="1" t="s">
        <v>967</v>
      </c>
      <c r="L2108" s="1">
        <v>0.0</v>
      </c>
      <c r="M2108" s="1">
        <v>0.0</v>
      </c>
      <c r="O2108" s="1">
        <v>0.0</v>
      </c>
      <c r="P2108" s="1">
        <v>0.0</v>
      </c>
      <c r="R2108" s="1">
        <v>0.0</v>
      </c>
      <c r="S2108" s="1">
        <v>0.0</v>
      </c>
      <c r="U2108" s="1">
        <v>0.0</v>
      </c>
      <c r="W2108" s="1">
        <v>0.0</v>
      </c>
      <c r="Y2108" s="1">
        <v>0.0</v>
      </c>
      <c r="AA2108" s="1">
        <v>0.0</v>
      </c>
      <c r="AC2108" s="1">
        <v>0.0</v>
      </c>
      <c r="AM2108" s="1">
        <v>17704.0</v>
      </c>
      <c r="AN2108" s="1">
        <v>17704.0</v>
      </c>
      <c r="AO2108" s="1">
        <v>17704.0</v>
      </c>
      <c r="AP2108" s="1">
        <v>6.782</v>
      </c>
      <c r="AR2108" s="1">
        <v>0.0</v>
      </c>
      <c r="AW2108" s="1">
        <v>0.0</v>
      </c>
      <c r="AX2108" s="1">
        <v>5.0</v>
      </c>
      <c r="AY2108" s="1">
        <v>5.0</v>
      </c>
      <c r="BA2108" s="1">
        <v>0.0</v>
      </c>
      <c r="BB2108" s="1">
        <v>0.0</v>
      </c>
      <c r="BC2108" s="1">
        <v>0.0</v>
      </c>
      <c r="BD2108" s="1">
        <v>0.0</v>
      </c>
      <c r="BE2108" s="1">
        <v>0.0</v>
      </c>
      <c r="BF2108" s="1">
        <v>0.0</v>
      </c>
      <c r="BG2108" s="1">
        <v>0.0</v>
      </c>
      <c r="BH2108" s="1">
        <v>0.0</v>
      </c>
      <c r="BI2108" s="1">
        <v>0.0</v>
      </c>
      <c r="BJ2108" s="1">
        <v>0.0</v>
      </c>
      <c r="BP2108" s="1">
        <v>0.252</v>
      </c>
      <c r="BQ2108" s="1" t="s">
        <v>6884</v>
      </c>
      <c r="BV2108" s="1">
        <v>1.1</v>
      </c>
      <c r="EQ2108" s="9" t="s">
        <v>6883</v>
      </c>
      <c r="ER2108" s="21">
        <v>46045.301770833335</v>
      </c>
    </row>
    <row r="2109">
      <c r="A2109" s="9" t="s">
        <v>6885</v>
      </c>
      <c r="B2109" s="20" t="str">
        <f>IFERROR(__xludf.DUMMYFUNCTION("REGEXREPLACE(A2109, ""^https?://[^/]+"", """")"),"/wp-content/uploads/2022/01/businesswoman-superhero-shadow-symbol.jpg")</f>
        <v>/wp-content/uploads/2022/01/businesswoman-superhero-shadow-symbol.jpg</v>
      </c>
      <c r="F2109" s="1" t="s">
        <v>1004</v>
      </c>
      <c r="G2109" s="1">
        <v>200.0</v>
      </c>
      <c r="H2109" s="1" t="s">
        <v>966</v>
      </c>
      <c r="I2109" s="1" t="s">
        <v>967</v>
      </c>
      <c r="L2109" s="1">
        <v>0.0</v>
      </c>
      <c r="M2109" s="1">
        <v>0.0</v>
      </c>
      <c r="O2109" s="1">
        <v>0.0</v>
      </c>
      <c r="P2109" s="1">
        <v>0.0</v>
      </c>
      <c r="R2109" s="1">
        <v>0.0</v>
      </c>
      <c r="S2109" s="1">
        <v>0.0</v>
      </c>
      <c r="U2109" s="1">
        <v>0.0</v>
      </c>
      <c r="W2109" s="1">
        <v>0.0</v>
      </c>
      <c r="Y2109" s="1">
        <v>0.0</v>
      </c>
      <c r="AA2109" s="1">
        <v>0.0</v>
      </c>
      <c r="AC2109" s="1">
        <v>0.0</v>
      </c>
      <c r="AM2109" s="1">
        <v>56784.0</v>
      </c>
      <c r="AN2109" s="1">
        <v>56784.0</v>
      </c>
      <c r="AO2109" s="1">
        <v>56784.0</v>
      </c>
      <c r="AP2109" s="1">
        <v>21.753</v>
      </c>
      <c r="AR2109" s="1">
        <v>0.0</v>
      </c>
      <c r="AW2109" s="1">
        <v>0.0</v>
      </c>
      <c r="AX2109" s="1">
        <v>5.0</v>
      </c>
      <c r="AY2109" s="1">
        <v>4.0</v>
      </c>
      <c r="BA2109" s="1">
        <v>0.0</v>
      </c>
      <c r="BB2109" s="1">
        <v>0.0</v>
      </c>
      <c r="BC2109" s="1">
        <v>0.0</v>
      </c>
      <c r="BD2109" s="1">
        <v>0.0</v>
      </c>
      <c r="BE2109" s="1">
        <v>0.0</v>
      </c>
      <c r="BF2109" s="1">
        <v>0.0</v>
      </c>
      <c r="BG2109" s="1">
        <v>0.0</v>
      </c>
      <c r="BH2109" s="1">
        <v>0.0</v>
      </c>
      <c r="BI2109" s="1">
        <v>0.0</v>
      </c>
      <c r="BJ2109" s="1">
        <v>0.0</v>
      </c>
      <c r="BP2109" s="1">
        <v>0.264</v>
      </c>
      <c r="BQ2109" s="1" t="s">
        <v>6886</v>
      </c>
      <c r="BV2109" s="1">
        <v>1.1</v>
      </c>
      <c r="EQ2109" s="9" t="s">
        <v>6885</v>
      </c>
      <c r="ER2109" s="21">
        <v>46045.301770833335</v>
      </c>
    </row>
    <row r="2110">
      <c r="A2110" s="9" t="s">
        <v>6887</v>
      </c>
      <c r="B2110" s="20" t="str">
        <f>IFERROR(__xludf.DUMMYFUNCTION("REGEXREPLACE(A2110, ""^https?://[^/]+"", """")"),"/wp-content/uploads/2019/08/shutterstock_1009393072-2048x2048.jpg")</f>
        <v>/wp-content/uploads/2019/08/shutterstock_1009393072-2048x2048.jpg</v>
      </c>
      <c r="F2110" s="1" t="s">
        <v>1004</v>
      </c>
      <c r="G2110" s="1">
        <v>200.0</v>
      </c>
      <c r="H2110" s="1" t="s">
        <v>966</v>
      </c>
      <c r="I2110" s="1" t="s">
        <v>967</v>
      </c>
      <c r="L2110" s="1">
        <v>0.0</v>
      </c>
      <c r="M2110" s="1">
        <v>0.0</v>
      </c>
      <c r="O2110" s="1">
        <v>0.0</v>
      </c>
      <c r="P2110" s="1">
        <v>0.0</v>
      </c>
      <c r="R2110" s="1">
        <v>0.0</v>
      </c>
      <c r="S2110" s="1">
        <v>0.0</v>
      </c>
      <c r="U2110" s="1">
        <v>0.0</v>
      </c>
      <c r="W2110" s="1">
        <v>0.0</v>
      </c>
      <c r="Y2110" s="1">
        <v>0.0</v>
      </c>
      <c r="AA2110" s="1">
        <v>0.0</v>
      </c>
      <c r="AC2110" s="1">
        <v>0.0</v>
      </c>
      <c r="AM2110" s="1">
        <v>150292.0</v>
      </c>
      <c r="AN2110" s="1">
        <v>150292.0</v>
      </c>
      <c r="AO2110" s="1">
        <v>150292.0</v>
      </c>
      <c r="AP2110" s="1">
        <v>57.574</v>
      </c>
      <c r="AR2110" s="1">
        <v>0.0</v>
      </c>
      <c r="AW2110" s="1">
        <v>0.0</v>
      </c>
      <c r="AX2110" s="1">
        <v>5.0</v>
      </c>
      <c r="AY2110" s="1">
        <v>4.0</v>
      </c>
      <c r="BA2110" s="1">
        <v>0.0</v>
      </c>
      <c r="BB2110" s="1">
        <v>0.0</v>
      </c>
      <c r="BC2110" s="1">
        <v>0.0</v>
      </c>
      <c r="BD2110" s="1">
        <v>0.0</v>
      </c>
      <c r="BE2110" s="1">
        <v>0.0</v>
      </c>
      <c r="BF2110" s="1">
        <v>0.0</v>
      </c>
      <c r="BG2110" s="1">
        <v>0.0</v>
      </c>
      <c r="BH2110" s="1">
        <v>0.0</v>
      </c>
      <c r="BI2110" s="1">
        <v>0.0</v>
      </c>
      <c r="BJ2110" s="1">
        <v>0.0</v>
      </c>
      <c r="BP2110" s="1">
        <v>0.263</v>
      </c>
      <c r="BQ2110" s="1" t="s">
        <v>6888</v>
      </c>
      <c r="BV2110" s="1">
        <v>1.1</v>
      </c>
      <c r="EQ2110" s="9" t="s">
        <v>6887</v>
      </c>
      <c r="ER2110" s="21">
        <v>46045.301770833335</v>
      </c>
    </row>
    <row r="2111">
      <c r="A2111" s="9" t="s">
        <v>6889</v>
      </c>
      <c r="B2111" s="20" t="str">
        <f>IFERROR(__xludf.DUMMYFUNCTION("REGEXREPLACE(A2111, ""^https?://[^/]+"", """")"),"/wp-content/uploads/2022/01/Hand-Holding-Lighbulb.jpg")</f>
        <v>/wp-content/uploads/2022/01/Hand-Holding-Lighbulb.jpg</v>
      </c>
      <c r="F2111" s="1" t="s">
        <v>1004</v>
      </c>
      <c r="G2111" s="1">
        <v>200.0</v>
      </c>
      <c r="H2111" s="1" t="s">
        <v>966</v>
      </c>
      <c r="I2111" s="1" t="s">
        <v>967</v>
      </c>
      <c r="L2111" s="1">
        <v>0.0</v>
      </c>
      <c r="M2111" s="1">
        <v>0.0</v>
      </c>
      <c r="O2111" s="1">
        <v>0.0</v>
      </c>
      <c r="P2111" s="1">
        <v>0.0</v>
      </c>
      <c r="R2111" s="1">
        <v>0.0</v>
      </c>
      <c r="S2111" s="1">
        <v>0.0</v>
      </c>
      <c r="U2111" s="1">
        <v>0.0</v>
      </c>
      <c r="W2111" s="1">
        <v>0.0</v>
      </c>
      <c r="Y2111" s="1">
        <v>0.0</v>
      </c>
      <c r="AA2111" s="1">
        <v>0.0</v>
      </c>
      <c r="AC2111" s="1">
        <v>0.0</v>
      </c>
      <c r="AM2111" s="1">
        <v>173617.0</v>
      </c>
      <c r="AN2111" s="1">
        <v>173617.0</v>
      </c>
      <c r="AO2111" s="1">
        <v>173617.0</v>
      </c>
      <c r="AP2111" s="1">
        <v>66.509</v>
      </c>
      <c r="AR2111" s="1">
        <v>0.0</v>
      </c>
      <c r="AW2111" s="1">
        <v>0.0</v>
      </c>
      <c r="AX2111" s="1">
        <v>5.0</v>
      </c>
      <c r="AY2111" s="1">
        <v>4.0</v>
      </c>
      <c r="BA2111" s="1">
        <v>0.0</v>
      </c>
      <c r="BB2111" s="1">
        <v>0.0</v>
      </c>
      <c r="BC2111" s="1">
        <v>0.0</v>
      </c>
      <c r="BD2111" s="1">
        <v>0.0</v>
      </c>
      <c r="BE2111" s="1">
        <v>0.0</v>
      </c>
      <c r="BF2111" s="1">
        <v>0.0</v>
      </c>
      <c r="BG2111" s="1">
        <v>0.0</v>
      </c>
      <c r="BH2111" s="1">
        <v>0.0</v>
      </c>
      <c r="BI2111" s="1">
        <v>0.0</v>
      </c>
      <c r="BJ2111" s="1">
        <v>0.0</v>
      </c>
      <c r="BP2111" s="1">
        <v>0.273</v>
      </c>
      <c r="BQ2111" s="1" t="s">
        <v>5208</v>
      </c>
      <c r="BV2111" s="1">
        <v>1.1</v>
      </c>
      <c r="EQ2111" s="9" t="s">
        <v>6889</v>
      </c>
      <c r="ER2111" s="21">
        <v>46045.301782407405</v>
      </c>
    </row>
    <row r="2112">
      <c r="A2112" s="9" t="s">
        <v>6890</v>
      </c>
      <c r="B2112" s="20" t="str">
        <f>IFERROR(__xludf.DUMMYFUNCTION("REGEXREPLACE(A2112, ""^https?://[^/]+"", """")"),"/wp-content/uploads/2022/03/Successful-Business-Woman.jpg")</f>
        <v>/wp-content/uploads/2022/03/Successful-Business-Woman.jpg</v>
      </c>
      <c r="F2112" s="1" t="s">
        <v>1004</v>
      </c>
      <c r="G2112" s="1">
        <v>200.0</v>
      </c>
      <c r="H2112" s="1" t="s">
        <v>966</v>
      </c>
      <c r="I2112" s="1" t="s">
        <v>967</v>
      </c>
      <c r="L2112" s="1">
        <v>0.0</v>
      </c>
      <c r="M2112" s="1">
        <v>0.0</v>
      </c>
      <c r="O2112" s="1">
        <v>0.0</v>
      </c>
      <c r="P2112" s="1">
        <v>0.0</v>
      </c>
      <c r="R2112" s="1">
        <v>0.0</v>
      </c>
      <c r="S2112" s="1">
        <v>0.0</v>
      </c>
      <c r="U2112" s="1">
        <v>0.0</v>
      </c>
      <c r="W2112" s="1">
        <v>0.0</v>
      </c>
      <c r="Y2112" s="1">
        <v>0.0</v>
      </c>
      <c r="AA2112" s="1">
        <v>0.0</v>
      </c>
      <c r="AC2112" s="1">
        <v>0.0</v>
      </c>
      <c r="AM2112" s="1">
        <v>136459.0</v>
      </c>
      <c r="AN2112" s="1">
        <v>136459.0</v>
      </c>
      <c r="AO2112" s="1">
        <v>136459.0</v>
      </c>
      <c r="AP2112" s="1">
        <v>52.275</v>
      </c>
      <c r="AR2112" s="1">
        <v>0.0</v>
      </c>
      <c r="AW2112" s="1">
        <v>0.0</v>
      </c>
      <c r="AX2112" s="1">
        <v>5.0</v>
      </c>
      <c r="AY2112" s="1">
        <v>4.0</v>
      </c>
      <c r="BA2112" s="1">
        <v>0.0</v>
      </c>
      <c r="BB2112" s="1">
        <v>0.0</v>
      </c>
      <c r="BC2112" s="1">
        <v>0.0</v>
      </c>
      <c r="BD2112" s="1">
        <v>0.0</v>
      </c>
      <c r="BE2112" s="1">
        <v>0.0</v>
      </c>
      <c r="BF2112" s="1">
        <v>0.0</v>
      </c>
      <c r="BG2112" s="1">
        <v>0.0</v>
      </c>
      <c r="BH2112" s="1">
        <v>0.0</v>
      </c>
      <c r="BI2112" s="1">
        <v>0.0</v>
      </c>
      <c r="BJ2112" s="1">
        <v>0.0</v>
      </c>
      <c r="BP2112" s="1">
        <v>0.276</v>
      </c>
      <c r="BQ2112" s="1" t="s">
        <v>6891</v>
      </c>
      <c r="BV2112" s="1">
        <v>1.1</v>
      </c>
      <c r="EQ2112" s="9" t="s">
        <v>6890</v>
      </c>
      <c r="ER2112" s="21">
        <v>46045.301782407405</v>
      </c>
    </row>
    <row r="2113">
      <c r="A2113" s="9" t="s">
        <v>6892</v>
      </c>
      <c r="B2113" s="20" t="str">
        <f>IFERROR(__xludf.DUMMYFUNCTION("REGEXREPLACE(A2113, ""^https?://[^/]+"", """")"),"/wp-content/uploads/2021/01/shutterstock_633351611-scaled-1.jpg")</f>
        <v>/wp-content/uploads/2021/01/shutterstock_633351611-scaled-1.jpg</v>
      </c>
      <c r="F2113" s="1" t="s">
        <v>1004</v>
      </c>
      <c r="G2113" s="1">
        <v>200.0</v>
      </c>
      <c r="H2113" s="1" t="s">
        <v>966</v>
      </c>
      <c r="I2113" s="1" t="s">
        <v>967</v>
      </c>
      <c r="L2113" s="1">
        <v>0.0</v>
      </c>
      <c r="M2113" s="1">
        <v>0.0</v>
      </c>
      <c r="O2113" s="1">
        <v>0.0</v>
      </c>
      <c r="P2113" s="1">
        <v>0.0</v>
      </c>
      <c r="R2113" s="1">
        <v>0.0</v>
      </c>
      <c r="S2113" s="1">
        <v>0.0</v>
      </c>
      <c r="U2113" s="1">
        <v>0.0</v>
      </c>
      <c r="W2113" s="1">
        <v>0.0</v>
      </c>
      <c r="Y2113" s="1">
        <v>0.0</v>
      </c>
      <c r="AA2113" s="1">
        <v>0.0</v>
      </c>
      <c r="AC2113" s="1">
        <v>0.0</v>
      </c>
      <c r="AM2113" s="1">
        <v>225282.0</v>
      </c>
      <c r="AN2113" s="1">
        <v>225282.0</v>
      </c>
      <c r="AO2113" s="1">
        <v>225282.0</v>
      </c>
      <c r="AP2113" s="1">
        <v>86.301</v>
      </c>
      <c r="AR2113" s="1">
        <v>0.0</v>
      </c>
      <c r="AW2113" s="1">
        <v>0.0</v>
      </c>
      <c r="AX2113" s="1">
        <v>5.0</v>
      </c>
      <c r="AY2113" s="1">
        <v>4.0</v>
      </c>
      <c r="BA2113" s="1">
        <v>0.0</v>
      </c>
      <c r="BB2113" s="1">
        <v>0.0</v>
      </c>
      <c r="BC2113" s="1">
        <v>0.0</v>
      </c>
      <c r="BD2113" s="1">
        <v>0.0</v>
      </c>
      <c r="BE2113" s="1">
        <v>0.0</v>
      </c>
      <c r="BF2113" s="1">
        <v>0.0</v>
      </c>
      <c r="BG2113" s="1">
        <v>0.0</v>
      </c>
      <c r="BH2113" s="1">
        <v>0.0</v>
      </c>
      <c r="BI2113" s="1">
        <v>0.0</v>
      </c>
      <c r="BJ2113" s="1">
        <v>0.0</v>
      </c>
      <c r="BP2113" s="1">
        <v>0.283</v>
      </c>
      <c r="BQ2113" s="1" t="s">
        <v>6893</v>
      </c>
      <c r="BV2113" s="1">
        <v>1.1</v>
      </c>
      <c r="EQ2113" s="9" t="s">
        <v>6892</v>
      </c>
      <c r="ER2113" s="21">
        <v>46045.301782407405</v>
      </c>
    </row>
    <row r="2114">
      <c r="A2114" s="9" t="s">
        <v>6894</v>
      </c>
      <c r="B2114" s="20" t="str">
        <f>IFERROR(__xludf.DUMMYFUNCTION("REGEXREPLACE(A2114, ""^https?://[^/]+"", """")"),"/wp-content/uploads/2016/02/Dollarphotoclub_80668580-Outsource-Sign-RS-72-2048x2048.jpg")</f>
        <v>/wp-content/uploads/2016/02/Dollarphotoclub_80668580-Outsource-Sign-RS-72-2048x2048.jpg</v>
      </c>
      <c r="F2114" s="1" t="s">
        <v>1004</v>
      </c>
      <c r="G2114" s="1">
        <v>200.0</v>
      </c>
      <c r="H2114" s="1" t="s">
        <v>966</v>
      </c>
      <c r="I2114" s="1" t="s">
        <v>967</v>
      </c>
      <c r="L2114" s="1">
        <v>0.0</v>
      </c>
      <c r="M2114" s="1">
        <v>0.0</v>
      </c>
      <c r="O2114" s="1">
        <v>0.0</v>
      </c>
      <c r="P2114" s="1">
        <v>0.0</v>
      </c>
      <c r="R2114" s="1">
        <v>0.0</v>
      </c>
      <c r="S2114" s="1">
        <v>0.0</v>
      </c>
      <c r="U2114" s="1">
        <v>0.0</v>
      </c>
      <c r="W2114" s="1">
        <v>0.0</v>
      </c>
      <c r="Y2114" s="1">
        <v>0.0</v>
      </c>
      <c r="AA2114" s="1">
        <v>0.0</v>
      </c>
      <c r="AC2114" s="1">
        <v>0.0</v>
      </c>
      <c r="AM2114" s="1">
        <v>348756.0</v>
      </c>
      <c r="AN2114" s="1">
        <v>348756.0</v>
      </c>
      <c r="AO2114" s="1">
        <v>348756.0</v>
      </c>
      <c r="AP2114" s="1">
        <v>133.602</v>
      </c>
      <c r="AR2114" s="1">
        <v>0.0</v>
      </c>
      <c r="AW2114" s="1">
        <v>0.0</v>
      </c>
      <c r="AX2114" s="1">
        <v>5.0</v>
      </c>
      <c r="AY2114" s="1">
        <v>4.0</v>
      </c>
      <c r="BA2114" s="1">
        <v>0.0</v>
      </c>
      <c r="BB2114" s="1">
        <v>0.0</v>
      </c>
      <c r="BC2114" s="1">
        <v>0.0</v>
      </c>
      <c r="BD2114" s="1">
        <v>0.0</v>
      </c>
      <c r="BE2114" s="1">
        <v>0.0</v>
      </c>
      <c r="BF2114" s="1">
        <v>0.0</v>
      </c>
      <c r="BG2114" s="1">
        <v>0.0</v>
      </c>
      <c r="BH2114" s="1">
        <v>0.0</v>
      </c>
      <c r="BI2114" s="1">
        <v>0.0</v>
      </c>
      <c r="BJ2114" s="1">
        <v>0.0</v>
      </c>
      <c r="BP2114" s="1">
        <v>0.265</v>
      </c>
      <c r="BQ2114" s="1" t="s">
        <v>6895</v>
      </c>
      <c r="BV2114" s="1">
        <v>1.1</v>
      </c>
      <c r="EQ2114" s="9" t="s">
        <v>6894</v>
      </c>
      <c r="ER2114" s="21">
        <v>46045.301782407405</v>
      </c>
    </row>
    <row r="2115">
      <c r="A2115" s="9" t="s">
        <v>6896</v>
      </c>
      <c r="B2115" s="20" t="str">
        <f>IFERROR(__xludf.DUMMYFUNCTION("REGEXREPLACE(A2115, ""^https?://[^/]+"", """")"),"/wp-content/themes/salesxceleratione/assets/css/style.css?ver=1769123597")</f>
        <v>/wp-content/themes/salesxceleratione/assets/css/style.css?ver=1769123597</v>
      </c>
      <c r="F2115" s="1" t="s">
        <v>1016</v>
      </c>
      <c r="G2115" s="1">
        <v>200.0</v>
      </c>
      <c r="H2115" s="1" t="s">
        <v>966</v>
      </c>
      <c r="I2115" s="1" t="s">
        <v>967</v>
      </c>
      <c r="L2115" s="1">
        <v>0.0</v>
      </c>
      <c r="M2115" s="1">
        <v>0.0</v>
      </c>
      <c r="O2115" s="1">
        <v>0.0</v>
      </c>
      <c r="P2115" s="1">
        <v>0.0</v>
      </c>
      <c r="R2115" s="1">
        <v>0.0</v>
      </c>
      <c r="S2115" s="1">
        <v>0.0</v>
      </c>
      <c r="U2115" s="1">
        <v>0.0</v>
      </c>
      <c r="W2115" s="1">
        <v>0.0</v>
      </c>
      <c r="Y2115" s="1">
        <v>0.0</v>
      </c>
      <c r="AA2115" s="1">
        <v>0.0</v>
      </c>
      <c r="AC2115" s="1">
        <v>0.0</v>
      </c>
      <c r="AM2115" s="1">
        <v>17704.0</v>
      </c>
      <c r="AN2115" s="1">
        <v>17704.0</v>
      </c>
      <c r="AO2115" s="1">
        <v>17704.0</v>
      </c>
      <c r="AP2115" s="1">
        <v>6.782</v>
      </c>
      <c r="AR2115" s="1">
        <v>0.0</v>
      </c>
      <c r="AW2115" s="1">
        <v>0.0</v>
      </c>
      <c r="AX2115" s="1">
        <v>5.0</v>
      </c>
      <c r="AY2115" s="1">
        <v>5.0</v>
      </c>
      <c r="BA2115" s="1">
        <v>0.0</v>
      </c>
      <c r="BB2115" s="1">
        <v>0.0</v>
      </c>
      <c r="BC2115" s="1">
        <v>0.0</v>
      </c>
      <c r="BD2115" s="1">
        <v>0.0</v>
      </c>
      <c r="BE2115" s="1">
        <v>0.0</v>
      </c>
      <c r="BF2115" s="1">
        <v>0.0</v>
      </c>
      <c r="BG2115" s="1">
        <v>0.0</v>
      </c>
      <c r="BH2115" s="1">
        <v>0.0</v>
      </c>
      <c r="BI2115" s="1">
        <v>0.0</v>
      </c>
      <c r="BJ2115" s="1">
        <v>0.0</v>
      </c>
      <c r="BP2115" s="1">
        <v>0.273</v>
      </c>
      <c r="BQ2115" s="1" t="s">
        <v>6897</v>
      </c>
      <c r="BV2115" s="1">
        <v>1.1</v>
      </c>
      <c r="EQ2115" s="9" t="s">
        <v>6896</v>
      </c>
      <c r="ER2115" s="21">
        <v>46045.301782407405</v>
      </c>
    </row>
    <row r="2116">
      <c r="A2116" s="9" t="s">
        <v>6898</v>
      </c>
      <c r="B2116" s="20" t="str">
        <f>IFERROR(__xludf.DUMMYFUNCTION("REGEXREPLACE(A2116, ""^https?://[^/]+"", """")"),"/wp-content/uploads/2019/09/shutterstock_407349148_sm-2048x2048.jpg")</f>
        <v>/wp-content/uploads/2019/09/shutterstock_407349148_sm-2048x2048.jpg</v>
      </c>
      <c r="F2116" s="1" t="s">
        <v>1004</v>
      </c>
      <c r="G2116" s="1">
        <v>200.0</v>
      </c>
      <c r="H2116" s="1" t="s">
        <v>966</v>
      </c>
      <c r="I2116" s="1" t="s">
        <v>967</v>
      </c>
      <c r="L2116" s="1">
        <v>0.0</v>
      </c>
      <c r="M2116" s="1">
        <v>0.0</v>
      </c>
      <c r="O2116" s="1">
        <v>0.0</v>
      </c>
      <c r="P2116" s="1">
        <v>0.0</v>
      </c>
      <c r="R2116" s="1">
        <v>0.0</v>
      </c>
      <c r="S2116" s="1">
        <v>0.0</v>
      </c>
      <c r="U2116" s="1">
        <v>0.0</v>
      </c>
      <c r="W2116" s="1">
        <v>0.0</v>
      </c>
      <c r="Y2116" s="1">
        <v>0.0</v>
      </c>
      <c r="AA2116" s="1">
        <v>0.0</v>
      </c>
      <c r="AC2116" s="1">
        <v>0.0</v>
      </c>
      <c r="AM2116" s="1">
        <v>271283.0</v>
      </c>
      <c r="AN2116" s="1">
        <v>271283.0</v>
      </c>
      <c r="AO2116" s="1">
        <v>271283.0</v>
      </c>
      <c r="AP2116" s="1">
        <v>103.923</v>
      </c>
      <c r="AR2116" s="1">
        <v>0.0</v>
      </c>
      <c r="AW2116" s="1">
        <v>0.0</v>
      </c>
      <c r="AX2116" s="1">
        <v>5.0</v>
      </c>
      <c r="AY2116" s="1">
        <v>4.0</v>
      </c>
      <c r="BA2116" s="1">
        <v>0.0</v>
      </c>
      <c r="BB2116" s="1">
        <v>0.0</v>
      </c>
      <c r="BC2116" s="1">
        <v>0.0</v>
      </c>
      <c r="BD2116" s="1">
        <v>0.0</v>
      </c>
      <c r="BE2116" s="1">
        <v>0.0</v>
      </c>
      <c r="BF2116" s="1">
        <v>0.0</v>
      </c>
      <c r="BG2116" s="1">
        <v>0.0</v>
      </c>
      <c r="BH2116" s="1">
        <v>0.0</v>
      </c>
      <c r="BI2116" s="1">
        <v>0.0</v>
      </c>
      <c r="BJ2116" s="1">
        <v>0.0</v>
      </c>
      <c r="BP2116" s="1">
        <v>0.26</v>
      </c>
      <c r="BQ2116" s="1" t="s">
        <v>6899</v>
      </c>
      <c r="BV2116" s="1">
        <v>1.1</v>
      </c>
      <c r="EQ2116" s="9" t="s">
        <v>6898</v>
      </c>
      <c r="ER2116" s="21">
        <v>46045.301782407405</v>
      </c>
    </row>
    <row r="2117">
      <c r="A2117" s="9" t="s">
        <v>6900</v>
      </c>
      <c r="B2117" s="20" t="str">
        <f>IFERROR(__xludf.DUMMYFUNCTION("REGEXREPLACE(A2117, ""^https?://[^/]+"", """")"),"/from-zero-to-heroes-sales-xceleration-quickly-reaches-100th-advisor-milestone/")</f>
        <v>/from-zero-to-heroes-sales-xceleration-quickly-reaches-100th-advisor-milestone/</v>
      </c>
      <c r="C2117" s="1" t="s">
        <v>6901</v>
      </c>
      <c r="F2117" s="1" t="s">
        <v>965</v>
      </c>
      <c r="G2117" s="1">
        <v>200.0</v>
      </c>
      <c r="H2117" s="1" t="s">
        <v>966</v>
      </c>
      <c r="I2117" s="1" t="s">
        <v>967</v>
      </c>
      <c r="K2117" s="1" t="s">
        <v>6901</v>
      </c>
      <c r="L2117" s="1">
        <v>78.0</v>
      </c>
      <c r="M2117" s="1">
        <v>722.0</v>
      </c>
      <c r="O2117" s="1">
        <v>0.0</v>
      </c>
      <c r="P2117" s="1">
        <v>0.0</v>
      </c>
      <c r="Q2117" s="1" t="s">
        <v>6902</v>
      </c>
      <c r="R2117" s="1">
        <v>145.0</v>
      </c>
      <c r="S2117" s="1">
        <v>889.0</v>
      </c>
      <c r="U2117" s="1">
        <v>0.0</v>
      </c>
      <c r="V2117" s="1" t="s">
        <v>6901</v>
      </c>
      <c r="W2117" s="1">
        <v>78.0</v>
      </c>
      <c r="Y2117" s="1">
        <v>0.0</v>
      </c>
      <c r="AA2117" s="1">
        <v>0.0</v>
      </c>
      <c r="AC2117" s="1">
        <v>0.0</v>
      </c>
      <c r="AD2117" s="1" t="s">
        <v>971</v>
      </c>
      <c r="AG2117" s="9" t="s">
        <v>6900</v>
      </c>
      <c r="AM2117" s="1">
        <v>202372.0</v>
      </c>
      <c r="AN2117" s="1">
        <v>36438.0</v>
      </c>
      <c r="AO2117" s="1">
        <v>36438.0</v>
      </c>
      <c r="AP2117" s="1">
        <v>13.959</v>
      </c>
      <c r="AR2117" s="1">
        <v>1519.0</v>
      </c>
      <c r="AS2117" s="1">
        <v>231.0</v>
      </c>
      <c r="AT2117" s="1">
        <v>6.576</v>
      </c>
      <c r="AU2117" s="1">
        <v>62.484</v>
      </c>
      <c r="AV2117" s="1" t="s">
        <v>990</v>
      </c>
      <c r="AW2117" s="1">
        <v>5.837</v>
      </c>
      <c r="AX2117" s="1">
        <v>5.0</v>
      </c>
      <c r="AY2117" s="1">
        <v>1.0</v>
      </c>
      <c r="AZ2117" s="1">
        <v>1.0</v>
      </c>
      <c r="BA2117" s="1">
        <v>32.0</v>
      </c>
      <c r="BB2117" s="1">
        <v>32.0</v>
      </c>
      <c r="BC2117" s="1">
        <v>0.0</v>
      </c>
      <c r="BD2117" s="1">
        <v>4.24</v>
      </c>
      <c r="BE2117" s="1">
        <v>134.0</v>
      </c>
      <c r="BF2117" s="1">
        <v>48.0</v>
      </c>
      <c r="BG2117" s="1">
        <v>0.0</v>
      </c>
      <c r="BH2117" s="1">
        <v>17.0</v>
      </c>
      <c r="BI2117" s="1">
        <v>9.0</v>
      </c>
      <c r="BJ2117" s="1">
        <v>0.0</v>
      </c>
      <c r="BO2117" s="1" t="s">
        <v>6903</v>
      </c>
      <c r="BP2117" s="1">
        <v>0.968</v>
      </c>
      <c r="BU2117" s="1" t="s">
        <v>974</v>
      </c>
      <c r="BV2117" s="1">
        <v>1.1</v>
      </c>
      <c r="EQ2117" s="9" t="s">
        <v>6900</v>
      </c>
      <c r="ER2117" s="21">
        <v>46045.301770833335</v>
      </c>
    </row>
    <row r="2118">
      <c r="A2118" s="9" t="s">
        <v>6904</v>
      </c>
      <c r="B2118" s="20" t="str">
        <f>IFERROR(__xludf.DUMMYFUNCTION("REGEXREPLACE(A2118, ""^https?://[^/]+"", """")"),"/wp-content/uploads/2022/09/Remote-Work-Life-Balance.jpg")</f>
        <v>/wp-content/uploads/2022/09/Remote-Work-Life-Balance.jpg</v>
      </c>
      <c r="F2118" s="1" t="s">
        <v>1004</v>
      </c>
      <c r="G2118" s="1">
        <v>200.0</v>
      </c>
      <c r="H2118" s="1" t="s">
        <v>966</v>
      </c>
      <c r="I2118" s="1" t="s">
        <v>967</v>
      </c>
      <c r="L2118" s="1">
        <v>0.0</v>
      </c>
      <c r="M2118" s="1">
        <v>0.0</v>
      </c>
      <c r="O2118" s="1">
        <v>0.0</v>
      </c>
      <c r="P2118" s="1">
        <v>0.0</v>
      </c>
      <c r="R2118" s="1">
        <v>0.0</v>
      </c>
      <c r="S2118" s="1">
        <v>0.0</v>
      </c>
      <c r="U2118" s="1">
        <v>0.0</v>
      </c>
      <c r="W2118" s="1">
        <v>0.0</v>
      </c>
      <c r="Y2118" s="1">
        <v>0.0</v>
      </c>
      <c r="AA2118" s="1">
        <v>0.0</v>
      </c>
      <c r="AC2118" s="1">
        <v>0.0</v>
      </c>
      <c r="AM2118" s="1">
        <v>130612.0</v>
      </c>
      <c r="AN2118" s="1">
        <v>130612.0</v>
      </c>
      <c r="AO2118" s="1">
        <v>130612.0</v>
      </c>
      <c r="AP2118" s="1">
        <v>50.035</v>
      </c>
      <c r="AR2118" s="1">
        <v>0.0</v>
      </c>
      <c r="AW2118" s="1">
        <v>0.0</v>
      </c>
      <c r="AX2118" s="1">
        <v>5.0</v>
      </c>
      <c r="AY2118" s="1">
        <v>4.0</v>
      </c>
      <c r="BA2118" s="1">
        <v>0.0</v>
      </c>
      <c r="BB2118" s="1">
        <v>0.0</v>
      </c>
      <c r="BC2118" s="1">
        <v>0.0</v>
      </c>
      <c r="BD2118" s="1">
        <v>0.0</v>
      </c>
      <c r="BE2118" s="1">
        <v>0.0</v>
      </c>
      <c r="BF2118" s="1">
        <v>0.0</v>
      </c>
      <c r="BG2118" s="1">
        <v>0.0</v>
      </c>
      <c r="BH2118" s="1">
        <v>0.0</v>
      </c>
      <c r="BI2118" s="1">
        <v>0.0</v>
      </c>
      <c r="BJ2118" s="1">
        <v>0.0</v>
      </c>
      <c r="BP2118" s="1">
        <v>0.277</v>
      </c>
      <c r="BQ2118" s="1" t="s">
        <v>5321</v>
      </c>
      <c r="BV2118" s="1">
        <v>1.1</v>
      </c>
      <c r="EQ2118" s="9" t="s">
        <v>6904</v>
      </c>
      <c r="ER2118" s="21">
        <v>46045.301782407405</v>
      </c>
    </row>
    <row r="2119">
      <c r="A2119" s="9" t="s">
        <v>6905</v>
      </c>
      <c r="B2119" s="20" t="str">
        <f>IFERROR(__xludf.DUMMYFUNCTION("REGEXREPLACE(A2119, ""^https?://[^/]+"", """")"),"/wp-content/uploads/2022/07/Entrepreneurial-Freedom.jpg")</f>
        <v>/wp-content/uploads/2022/07/Entrepreneurial-Freedom.jpg</v>
      </c>
      <c r="F2119" s="1" t="s">
        <v>1004</v>
      </c>
      <c r="G2119" s="1">
        <v>200.0</v>
      </c>
      <c r="H2119" s="1" t="s">
        <v>966</v>
      </c>
      <c r="I2119" s="1" t="s">
        <v>967</v>
      </c>
      <c r="L2119" s="1">
        <v>0.0</v>
      </c>
      <c r="M2119" s="1">
        <v>0.0</v>
      </c>
      <c r="O2119" s="1">
        <v>0.0</v>
      </c>
      <c r="P2119" s="1">
        <v>0.0</v>
      </c>
      <c r="R2119" s="1">
        <v>0.0</v>
      </c>
      <c r="S2119" s="1">
        <v>0.0</v>
      </c>
      <c r="U2119" s="1">
        <v>0.0</v>
      </c>
      <c r="W2119" s="1">
        <v>0.0</v>
      </c>
      <c r="Y2119" s="1">
        <v>0.0</v>
      </c>
      <c r="AA2119" s="1">
        <v>0.0</v>
      </c>
      <c r="AC2119" s="1">
        <v>0.0</v>
      </c>
      <c r="AM2119" s="1">
        <v>176807.0</v>
      </c>
      <c r="AN2119" s="1">
        <v>176807.0</v>
      </c>
      <c r="AO2119" s="1">
        <v>176807.0</v>
      </c>
      <c r="AP2119" s="1">
        <v>67.731</v>
      </c>
      <c r="AR2119" s="1">
        <v>0.0</v>
      </c>
      <c r="AW2119" s="1">
        <v>0.0</v>
      </c>
      <c r="AX2119" s="1">
        <v>5.0</v>
      </c>
      <c r="AY2119" s="1">
        <v>4.0</v>
      </c>
      <c r="BA2119" s="1">
        <v>0.0</v>
      </c>
      <c r="BB2119" s="1">
        <v>0.0</v>
      </c>
      <c r="BC2119" s="1">
        <v>0.0</v>
      </c>
      <c r="BD2119" s="1">
        <v>0.0</v>
      </c>
      <c r="BE2119" s="1">
        <v>0.0</v>
      </c>
      <c r="BF2119" s="1">
        <v>0.0</v>
      </c>
      <c r="BG2119" s="1">
        <v>0.0</v>
      </c>
      <c r="BH2119" s="1">
        <v>0.0</v>
      </c>
      <c r="BI2119" s="1">
        <v>0.0</v>
      </c>
      <c r="BJ2119" s="1">
        <v>0.0</v>
      </c>
      <c r="BP2119" s="1">
        <v>0.278</v>
      </c>
      <c r="BQ2119" s="1" t="s">
        <v>6906</v>
      </c>
      <c r="BV2119" s="1">
        <v>1.1</v>
      </c>
      <c r="EQ2119" s="9" t="s">
        <v>6905</v>
      </c>
      <c r="ER2119" s="21">
        <v>46045.30179398148</v>
      </c>
    </row>
    <row r="2120">
      <c r="A2120" s="9" t="s">
        <v>6907</v>
      </c>
      <c r="B2120" s="20" t="str">
        <f>IFERROR(__xludf.DUMMYFUNCTION("REGEXREPLACE(A2120, ""^https?://[^/]+"", """")"),"/wp-content/uploads/2016/12/revenue-1704073__180-2048x2048.png")</f>
        <v>/wp-content/uploads/2016/12/revenue-1704073__180-2048x2048.png</v>
      </c>
      <c r="F2120" s="1" t="s">
        <v>1047</v>
      </c>
      <c r="G2120" s="1">
        <v>200.0</v>
      </c>
      <c r="H2120" s="1" t="s">
        <v>966</v>
      </c>
      <c r="I2120" s="1" t="s">
        <v>967</v>
      </c>
      <c r="L2120" s="1">
        <v>0.0</v>
      </c>
      <c r="M2120" s="1">
        <v>0.0</v>
      </c>
      <c r="O2120" s="1">
        <v>0.0</v>
      </c>
      <c r="P2120" s="1">
        <v>0.0</v>
      </c>
      <c r="R2120" s="1">
        <v>0.0</v>
      </c>
      <c r="S2120" s="1">
        <v>0.0</v>
      </c>
      <c r="U2120" s="1">
        <v>0.0</v>
      </c>
      <c r="W2120" s="1">
        <v>0.0</v>
      </c>
      <c r="Y2120" s="1">
        <v>0.0</v>
      </c>
      <c r="AA2120" s="1">
        <v>0.0</v>
      </c>
      <c r="AC2120" s="1">
        <v>0.0</v>
      </c>
      <c r="AM2120" s="1">
        <v>530679.0</v>
      </c>
      <c r="AN2120" s="1">
        <v>530679.0</v>
      </c>
      <c r="AO2120" s="1">
        <v>530679.0</v>
      </c>
      <c r="AP2120" s="1">
        <v>203.293</v>
      </c>
      <c r="AR2120" s="1">
        <v>0.0</v>
      </c>
      <c r="AW2120" s="1">
        <v>0.0</v>
      </c>
      <c r="AX2120" s="1">
        <v>5.0</v>
      </c>
      <c r="AY2120" s="1">
        <v>4.0</v>
      </c>
      <c r="BA2120" s="1">
        <v>0.0</v>
      </c>
      <c r="BB2120" s="1">
        <v>0.0</v>
      </c>
      <c r="BC2120" s="1">
        <v>0.0</v>
      </c>
      <c r="BD2120" s="1">
        <v>0.0</v>
      </c>
      <c r="BE2120" s="1">
        <v>0.0</v>
      </c>
      <c r="BF2120" s="1">
        <v>0.0</v>
      </c>
      <c r="BG2120" s="1">
        <v>0.0</v>
      </c>
      <c r="BH2120" s="1">
        <v>0.0</v>
      </c>
      <c r="BI2120" s="1">
        <v>0.0</v>
      </c>
      <c r="BJ2120" s="1">
        <v>0.0</v>
      </c>
      <c r="BP2120" s="1">
        <v>0.269</v>
      </c>
      <c r="BQ2120" s="1" t="s">
        <v>6908</v>
      </c>
      <c r="BV2120" s="1">
        <v>1.1</v>
      </c>
      <c r="EQ2120" s="9" t="s">
        <v>6907</v>
      </c>
      <c r="ER2120" s="21">
        <v>46045.30179398148</v>
      </c>
    </row>
    <row r="2121">
      <c r="A2121" s="9" t="s">
        <v>6909</v>
      </c>
      <c r="B2121" s="20" t="str">
        <f>IFERROR(__xludf.DUMMYFUNCTION("REGEXREPLACE(A2121, ""^https?://[^/]+"", """")"),"/wp-content/uploads/2016/04/Baby-Boomer-Entrepreneur-2048x2048.jpg")</f>
        <v>/wp-content/uploads/2016/04/Baby-Boomer-Entrepreneur-2048x2048.jpg</v>
      </c>
      <c r="F2121" s="1" t="s">
        <v>1004</v>
      </c>
      <c r="G2121" s="1">
        <v>200.0</v>
      </c>
      <c r="H2121" s="1" t="s">
        <v>966</v>
      </c>
      <c r="I2121" s="1" t="s">
        <v>967</v>
      </c>
      <c r="L2121" s="1">
        <v>0.0</v>
      </c>
      <c r="M2121" s="1">
        <v>0.0</v>
      </c>
      <c r="O2121" s="1">
        <v>0.0</v>
      </c>
      <c r="P2121" s="1">
        <v>0.0</v>
      </c>
      <c r="R2121" s="1">
        <v>0.0</v>
      </c>
      <c r="S2121" s="1">
        <v>0.0</v>
      </c>
      <c r="U2121" s="1">
        <v>0.0</v>
      </c>
      <c r="W2121" s="1">
        <v>0.0</v>
      </c>
      <c r="Y2121" s="1">
        <v>0.0</v>
      </c>
      <c r="AA2121" s="1">
        <v>0.0</v>
      </c>
      <c r="AC2121" s="1">
        <v>0.0</v>
      </c>
      <c r="AM2121" s="1">
        <v>191046.0</v>
      </c>
      <c r="AN2121" s="1">
        <v>191046.0</v>
      </c>
      <c r="AO2121" s="1">
        <v>191046.0</v>
      </c>
      <c r="AP2121" s="1">
        <v>73.186</v>
      </c>
      <c r="AR2121" s="1">
        <v>0.0</v>
      </c>
      <c r="AW2121" s="1">
        <v>0.0</v>
      </c>
      <c r="AX2121" s="1">
        <v>5.0</v>
      </c>
      <c r="AY2121" s="1">
        <v>4.0</v>
      </c>
      <c r="BA2121" s="1">
        <v>0.0</v>
      </c>
      <c r="BB2121" s="1">
        <v>0.0</v>
      </c>
      <c r="BC2121" s="1">
        <v>0.0</v>
      </c>
      <c r="BD2121" s="1">
        <v>0.0</v>
      </c>
      <c r="BE2121" s="1">
        <v>0.0</v>
      </c>
      <c r="BF2121" s="1">
        <v>0.0</v>
      </c>
      <c r="BG2121" s="1">
        <v>0.0</v>
      </c>
      <c r="BH2121" s="1">
        <v>0.0</v>
      </c>
      <c r="BI2121" s="1">
        <v>0.0</v>
      </c>
      <c r="BJ2121" s="1">
        <v>0.0</v>
      </c>
      <c r="BP2121" s="1">
        <v>0.272</v>
      </c>
      <c r="BQ2121" s="1" t="s">
        <v>6910</v>
      </c>
      <c r="BV2121" s="1">
        <v>1.1</v>
      </c>
      <c r="EQ2121" s="9" t="s">
        <v>6909</v>
      </c>
      <c r="ER2121" s="21">
        <v>46045.30179398148</v>
      </c>
    </row>
    <row r="2122">
      <c r="A2122" s="9" t="s">
        <v>6911</v>
      </c>
      <c r="B2122" s="20" t="str">
        <f>IFERROR(__xludf.DUMMYFUNCTION("REGEXREPLACE(A2122, ""^https?://[^/]+"", """")"),"/the-benefits-of-outsourcing-your-sales-executive-function/")</f>
        <v>/the-benefits-of-outsourcing-your-sales-executive-function/</v>
      </c>
      <c r="C2122" s="1" t="s">
        <v>6912</v>
      </c>
      <c r="F2122" s="1" t="s">
        <v>965</v>
      </c>
      <c r="G2122" s="1">
        <v>200.0</v>
      </c>
      <c r="H2122" s="1" t="s">
        <v>966</v>
      </c>
      <c r="I2122" s="1" t="s">
        <v>967</v>
      </c>
      <c r="K2122" s="1" t="s">
        <v>6913</v>
      </c>
      <c r="L2122" s="1">
        <v>53.0</v>
      </c>
      <c r="M2122" s="1">
        <v>483.0</v>
      </c>
      <c r="O2122" s="1">
        <v>0.0</v>
      </c>
      <c r="P2122" s="1">
        <v>0.0</v>
      </c>
      <c r="Q2122" s="1" t="s">
        <v>6914</v>
      </c>
      <c r="R2122" s="1">
        <v>143.0</v>
      </c>
      <c r="S2122" s="1">
        <v>881.0</v>
      </c>
      <c r="U2122" s="1">
        <v>0.0</v>
      </c>
      <c r="V2122" s="1" t="s">
        <v>6912</v>
      </c>
      <c r="W2122" s="1">
        <v>57.0</v>
      </c>
      <c r="Y2122" s="1">
        <v>0.0</v>
      </c>
      <c r="AA2122" s="1">
        <v>0.0</v>
      </c>
      <c r="AC2122" s="1">
        <v>0.0</v>
      </c>
      <c r="AD2122" s="1" t="s">
        <v>971</v>
      </c>
      <c r="AG2122" s="9" t="s">
        <v>6911</v>
      </c>
      <c r="AM2122" s="1">
        <v>203299.0</v>
      </c>
      <c r="AN2122" s="1">
        <v>36173.0</v>
      </c>
      <c r="AO2122" s="1">
        <v>36173.0</v>
      </c>
      <c r="AP2122" s="1">
        <v>13.857</v>
      </c>
      <c r="AR2122" s="1">
        <v>1351.0</v>
      </c>
      <c r="AS2122" s="1">
        <v>203.0</v>
      </c>
      <c r="AT2122" s="1">
        <v>6.655</v>
      </c>
      <c r="AU2122" s="1">
        <v>50.605</v>
      </c>
      <c r="AV2122" s="1" t="s">
        <v>972</v>
      </c>
      <c r="AW2122" s="1">
        <v>5.508</v>
      </c>
      <c r="AX2122" s="1">
        <v>5.0</v>
      </c>
      <c r="AY2122" s="1">
        <v>1.0</v>
      </c>
      <c r="AZ2122" s="1">
        <v>1.0</v>
      </c>
      <c r="BA2122" s="1">
        <v>18.0</v>
      </c>
      <c r="BB2122" s="1">
        <v>17.0</v>
      </c>
      <c r="BC2122" s="1">
        <v>0.0</v>
      </c>
      <c r="BD2122" s="1">
        <v>2.25</v>
      </c>
      <c r="BE2122" s="1">
        <v>131.0</v>
      </c>
      <c r="BF2122" s="1">
        <v>48.0</v>
      </c>
      <c r="BG2122" s="1">
        <v>0.0</v>
      </c>
      <c r="BH2122" s="1">
        <v>16.0</v>
      </c>
      <c r="BI2122" s="1">
        <v>8.0</v>
      </c>
      <c r="BJ2122" s="1">
        <v>0.0</v>
      </c>
      <c r="BO2122" s="1" t="s">
        <v>6915</v>
      </c>
      <c r="BP2122" s="1">
        <v>1.024</v>
      </c>
      <c r="BU2122" s="1" t="s">
        <v>974</v>
      </c>
      <c r="BV2122" s="1">
        <v>1.1</v>
      </c>
      <c r="EQ2122" s="9" t="s">
        <v>6911</v>
      </c>
      <c r="ER2122" s="21">
        <v>46045.301782407405</v>
      </c>
    </row>
    <row r="2123">
      <c r="A2123" s="9" t="s">
        <v>6916</v>
      </c>
      <c r="B2123" s="20" t="str">
        <f>IFERROR(__xludf.DUMMYFUNCTION("REGEXREPLACE(A2123, ""^https?://[^/]+"", """")"),"/wp-content/uploads/2022/06/Balance.jpg")</f>
        <v>/wp-content/uploads/2022/06/Balance.jpg</v>
      </c>
      <c r="F2123" s="1" t="s">
        <v>1004</v>
      </c>
      <c r="G2123" s="1">
        <v>200.0</v>
      </c>
      <c r="H2123" s="1" t="s">
        <v>966</v>
      </c>
      <c r="I2123" s="1" t="s">
        <v>967</v>
      </c>
      <c r="L2123" s="1">
        <v>0.0</v>
      </c>
      <c r="M2123" s="1">
        <v>0.0</v>
      </c>
      <c r="O2123" s="1">
        <v>0.0</v>
      </c>
      <c r="P2123" s="1">
        <v>0.0</v>
      </c>
      <c r="R2123" s="1">
        <v>0.0</v>
      </c>
      <c r="S2123" s="1">
        <v>0.0</v>
      </c>
      <c r="U2123" s="1">
        <v>0.0</v>
      </c>
      <c r="W2123" s="1">
        <v>0.0</v>
      </c>
      <c r="Y2123" s="1">
        <v>0.0</v>
      </c>
      <c r="AA2123" s="1">
        <v>0.0</v>
      </c>
      <c r="AC2123" s="1">
        <v>0.0</v>
      </c>
      <c r="AM2123" s="1">
        <v>608739.0</v>
      </c>
      <c r="AN2123" s="1">
        <v>608739.0</v>
      </c>
      <c r="AO2123" s="1">
        <v>608739.0</v>
      </c>
      <c r="AP2123" s="1">
        <v>233.196</v>
      </c>
      <c r="AR2123" s="1">
        <v>0.0</v>
      </c>
      <c r="AW2123" s="1">
        <v>0.0</v>
      </c>
      <c r="AX2123" s="1">
        <v>5.0</v>
      </c>
      <c r="AY2123" s="1">
        <v>4.0</v>
      </c>
      <c r="BA2123" s="1">
        <v>0.0</v>
      </c>
      <c r="BB2123" s="1">
        <v>0.0</v>
      </c>
      <c r="BC2123" s="1">
        <v>0.0</v>
      </c>
      <c r="BD2123" s="1">
        <v>0.0</v>
      </c>
      <c r="BE2123" s="1">
        <v>0.0</v>
      </c>
      <c r="BF2123" s="1">
        <v>0.0</v>
      </c>
      <c r="BG2123" s="1">
        <v>0.0</v>
      </c>
      <c r="BH2123" s="1">
        <v>0.0</v>
      </c>
      <c r="BI2123" s="1">
        <v>0.0</v>
      </c>
      <c r="BJ2123" s="1">
        <v>0.0</v>
      </c>
      <c r="BP2123" s="1">
        <v>0.284</v>
      </c>
      <c r="BQ2123" s="1" t="s">
        <v>6917</v>
      </c>
      <c r="BV2123" s="1">
        <v>1.1</v>
      </c>
      <c r="EQ2123" s="9" t="s">
        <v>6916</v>
      </c>
      <c r="ER2123" s="21">
        <v>46045.30179398148</v>
      </c>
    </row>
    <row r="2124">
      <c r="A2124" s="9" t="s">
        <v>6918</v>
      </c>
      <c r="B2124" s="20" t="str">
        <f>IFERROR(__xludf.DUMMYFUNCTION("REGEXREPLACE(A2124, ""^https?://[^/]+"", """")"),"/wp-content/uploads/2016/07/New-Chapter-RS-72-560-x-225-2048x2048.jpg")</f>
        <v>/wp-content/uploads/2016/07/New-Chapter-RS-72-560-x-225-2048x2048.jpg</v>
      </c>
      <c r="F2124" s="1" t="s">
        <v>1004</v>
      </c>
      <c r="G2124" s="1">
        <v>200.0</v>
      </c>
      <c r="H2124" s="1" t="s">
        <v>966</v>
      </c>
      <c r="I2124" s="1" t="s">
        <v>967</v>
      </c>
      <c r="L2124" s="1">
        <v>0.0</v>
      </c>
      <c r="M2124" s="1">
        <v>0.0</v>
      </c>
      <c r="O2124" s="1">
        <v>0.0</v>
      </c>
      <c r="P2124" s="1">
        <v>0.0</v>
      </c>
      <c r="R2124" s="1">
        <v>0.0</v>
      </c>
      <c r="S2124" s="1">
        <v>0.0</v>
      </c>
      <c r="U2124" s="1">
        <v>0.0</v>
      </c>
      <c r="W2124" s="1">
        <v>0.0</v>
      </c>
      <c r="Y2124" s="1">
        <v>0.0</v>
      </c>
      <c r="AA2124" s="1">
        <v>0.0</v>
      </c>
      <c r="AC2124" s="1">
        <v>0.0</v>
      </c>
      <c r="AM2124" s="1">
        <v>168072.0</v>
      </c>
      <c r="AN2124" s="1">
        <v>168072.0</v>
      </c>
      <c r="AO2124" s="1">
        <v>168072.0</v>
      </c>
      <c r="AP2124" s="1">
        <v>64.385</v>
      </c>
      <c r="AR2124" s="1">
        <v>0.0</v>
      </c>
      <c r="AW2124" s="1">
        <v>0.0</v>
      </c>
      <c r="AX2124" s="1">
        <v>5.0</v>
      </c>
      <c r="AY2124" s="1">
        <v>4.0</v>
      </c>
      <c r="BA2124" s="1">
        <v>0.0</v>
      </c>
      <c r="BB2124" s="1">
        <v>0.0</v>
      </c>
      <c r="BC2124" s="1">
        <v>0.0</v>
      </c>
      <c r="BD2124" s="1">
        <v>0.0</v>
      </c>
      <c r="BE2124" s="1">
        <v>0.0</v>
      </c>
      <c r="BF2124" s="1">
        <v>0.0</v>
      </c>
      <c r="BG2124" s="1">
        <v>0.0</v>
      </c>
      <c r="BH2124" s="1">
        <v>0.0</v>
      </c>
      <c r="BI2124" s="1">
        <v>0.0</v>
      </c>
      <c r="BJ2124" s="1">
        <v>0.0</v>
      </c>
      <c r="BP2124" s="1">
        <v>0.258</v>
      </c>
      <c r="BQ2124" s="1" t="s">
        <v>6919</v>
      </c>
      <c r="BV2124" s="1">
        <v>1.1</v>
      </c>
      <c r="EQ2124" s="9" t="s">
        <v>6918</v>
      </c>
      <c r="ER2124" s="21">
        <v>46045.30179398148</v>
      </c>
    </row>
    <row r="2125">
      <c r="A2125" s="9" t="s">
        <v>6920</v>
      </c>
      <c r="B2125" s="20" t="str">
        <f>IFERROR(__xludf.DUMMYFUNCTION("REGEXREPLACE(A2125, ""^https?://[^/]+"", """")"),"/wp-content/uploads/2022/10/shutterstock_641424211.jpg")</f>
        <v>/wp-content/uploads/2022/10/shutterstock_641424211.jpg</v>
      </c>
      <c r="F2125" s="1" t="s">
        <v>1004</v>
      </c>
      <c r="G2125" s="1">
        <v>200.0</v>
      </c>
      <c r="H2125" s="1" t="s">
        <v>966</v>
      </c>
      <c r="I2125" s="1" t="s">
        <v>967</v>
      </c>
      <c r="L2125" s="1">
        <v>0.0</v>
      </c>
      <c r="M2125" s="1">
        <v>0.0</v>
      </c>
      <c r="O2125" s="1">
        <v>0.0</v>
      </c>
      <c r="P2125" s="1">
        <v>0.0</v>
      </c>
      <c r="R2125" s="1">
        <v>0.0</v>
      </c>
      <c r="S2125" s="1">
        <v>0.0</v>
      </c>
      <c r="U2125" s="1">
        <v>0.0</v>
      </c>
      <c r="W2125" s="1">
        <v>0.0</v>
      </c>
      <c r="Y2125" s="1">
        <v>0.0</v>
      </c>
      <c r="AA2125" s="1">
        <v>0.0</v>
      </c>
      <c r="AC2125" s="1">
        <v>0.0</v>
      </c>
      <c r="AM2125" s="1">
        <v>267439.0</v>
      </c>
      <c r="AN2125" s="1">
        <v>267439.0</v>
      </c>
      <c r="AO2125" s="1">
        <v>267439.0</v>
      </c>
      <c r="AP2125" s="1">
        <v>102.451</v>
      </c>
      <c r="AR2125" s="1">
        <v>0.0</v>
      </c>
      <c r="AW2125" s="1">
        <v>0.0</v>
      </c>
      <c r="AX2125" s="1">
        <v>5.0</v>
      </c>
      <c r="AY2125" s="1">
        <v>4.0</v>
      </c>
      <c r="BA2125" s="1">
        <v>0.0</v>
      </c>
      <c r="BB2125" s="1">
        <v>0.0</v>
      </c>
      <c r="BC2125" s="1">
        <v>0.0</v>
      </c>
      <c r="BD2125" s="1">
        <v>0.0</v>
      </c>
      <c r="BE2125" s="1">
        <v>0.0</v>
      </c>
      <c r="BF2125" s="1">
        <v>0.0</v>
      </c>
      <c r="BG2125" s="1">
        <v>0.0</v>
      </c>
      <c r="BH2125" s="1">
        <v>0.0</v>
      </c>
      <c r="BI2125" s="1">
        <v>0.0</v>
      </c>
      <c r="BJ2125" s="1">
        <v>0.0</v>
      </c>
      <c r="BP2125" s="1">
        <v>0.274</v>
      </c>
      <c r="BQ2125" s="1" t="s">
        <v>6921</v>
      </c>
      <c r="BV2125" s="1">
        <v>1.1</v>
      </c>
      <c r="EQ2125" s="9" t="s">
        <v>6920</v>
      </c>
      <c r="ER2125" s="21">
        <v>46045.30179398148</v>
      </c>
    </row>
    <row r="2126">
      <c r="A2126" s="9" t="s">
        <v>6922</v>
      </c>
      <c r="B2126" s="20" t="str">
        <f>IFERROR(__xludf.DUMMYFUNCTION("REGEXREPLACE(A2126, ""^https?://[^/]+"", """")"),"/sales-leadership-training-risks-rewards-and-significant-roi-impact/")</f>
        <v>/sales-leadership-training-risks-rewards-and-significant-roi-impact/</v>
      </c>
      <c r="C2126" s="1" t="s">
        <v>6923</v>
      </c>
      <c r="D2126" s="1" t="s">
        <v>6924</v>
      </c>
      <c r="F2126" s="1" t="s">
        <v>965</v>
      </c>
      <c r="G2126" s="1">
        <v>200.0</v>
      </c>
      <c r="H2126" s="1" t="s">
        <v>966</v>
      </c>
      <c r="I2126" s="1" t="s">
        <v>967</v>
      </c>
      <c r="K2126" s="1" t="s">
        <v>6925</v>
      </c>
      <c r="L2126" s="1">
        <v>93.0</v>
      </c>
      <c r="M2126" s="1">
        <v>830.0</v>
      </c>
      <c r="O2126" s="1">
        <v>0.0</v>
      </c>
      <c r="P2126" s="1">
        <v>0.0</v>
      </c>
      <c r="Q2126" s="1" t="s">
        <v>6926</v>
      </c>
      <c r="R2126" s="1">
        <v>110.0</v>
      </c>
      <c r="S2126" s="1">
        <v>690.0</v>
      </c>
      <c r="U2126" s="1">
        <v>0.0</v>
      </c>
      <c r="V2126" s="1" t="s">
        <v>6923</v>
      </c>
      <c r="W2126" s="1">
        <v>68.0</v>
      </c>
      <c r="Y2126" s="1">
        <v>0.0</v>
      </c>
      <c r="Z2126" s="1" t="s">
        <v>6924</v>
      </c>
      <c r="AA2126" s="1">
        <v>55.0</v>
      </c>
      <c r="AC2126" s="1">
        <v>0.0</v>
      </c>
      <c r="AD2126" s="1" t="s">
        <v>971</v>
      </c>
      <c r="AG2126" s="9" t="s">
        <v>6922</v>
      </c>
      <c r="AM2126" s="1">
        <v>202532.0</v>
      </c>
      <c r="AN2126" s="1">
        <v>36543.0</v>
      </c>
      <c r="AO2126" s="1">
        <v>36543.0</v>
      </c>
      <c r="AP2126" s="1">
        <v>13.999</v>
      </c>
      <c r="AR2126" s="1">
        <v>1516.0</v>
      </c>
      <c r="AS2126" s="1">
        <v>231.0</v>
      </c>
      <c r="AT2126" s="1">
        <v>6.563</v>
      </c>
      <c r="AU2126" s="1">
        <v>56.03</v>
      </c>
      <c r="AV2126" s="1" t="s">
        <v>972</v>
      </c>
      <c r="AW2126" s="1">
        <v>5.975</v>
      </c>
      <c r="AX2126" s="1">
        <v>5.0</v>
      </c>
      <c r="AY2126" s="1">
        <v>1.0</v>
      </c>
      <c r="AZ2126" s="1">
        <v>1.0</v>
      </c>
      <c r="BA2126" s="1">
        <v>17.0</v>
      </c>
      <c r="BB2126" s="1">
        <v>17.0</v>
      </c>
      <c r="BC2126" s="1">
        <v>0.0</v>
      </c>
      <c r="BD2126" s="1">
        <v>2.25</v>
      </c>
      <c r="BE2126" s="1">
        <v>134.0</v>
      </c>
      <c r="BF2126" s="1">
        <v>47.0</v>
      </c>
      <c r="BG2126" s="1">
        <v>0.0</v>
      </c>
      <c r="BH2126" s="1">
        <v>17.0</v>
      </c>
      <c r="BI2126" s="1">
        <v>9.0</v>
      </c>
      <c r="BJ2126" s="1">
        <v>0.0</v>
      </c>
      <c r="BO2126" s="1" t="s">
        <v>6927</v>
      </c>
      <c r="BP2126" s="1">
        <v>0.978</v>
      </c>
      <c r="BU2126" s="1" t="s">
        <v>974</v>
      </c>
      <c r="BV2126" s="1">
        <v>1.1</v>
      </c>
      <c r="EQ2126" s="9" t="s">
        <v>6922</v>
      </c>
      <c r="ER2126" s="21">
        <v>46045.301782407405</v>
      </c>
    </row>
    <row r="2127">
      <c r="A2127" s="9" t="s">
        <v>6928</v>
      </c>
      <c r="B2127" s="20" t="str">
        <f>IFERROR(__xludf.DUMMYFUNCTION("REGEXREPLACE(A2127, ""^https?://[^/]+"", """")"),"/wp-content/themes/salesxceleratione/assets/css/style.css?ver=1769123598")</f>
        <v>/wp-content/themes/salesxceleratione/assets/css/style.css?ver=1769123598</v>
      </c>
      <c r="F2127" s="1" t="s">
        <v>1016</v>
      </c>
      <c r="G2127" s="1">
        <v>200.0</v>
      </c>
      <c r="H2127" s="1" t="s">
        <v>966</v>
      </c>
      <c r="I2127" s="1" t="s">
        <v>967</v>
      </c>
      <c r="L2127" s="1">
        <v>0.0</v>
      </c>
      <c r="M2127" s="1">
        <v>0.0</v>
      </c>
      <c r="O2127" s="1">
        <v>0.0</v>
      </c>
      <c r="P2127" s="1">
        <v>0.0</v>
      </c>
      <c r="R2127" s="1">
        <v>0.0</v>
      </c>
      <c r="S2127" s="1">
        <v>0.0</v>
      </c>
      <c r="U2127" s="1">
        <v>0.0</v>
      </c>
      <c r="W2127" s="1">
        <v>0.0</v>
      </c>
      <c r="Y2127" s="1">
        <v>0.0</v>
      </c>
      <c r="AA2127" s="1">
        <v>0.0</v>
      </c>
      <c r="AC2127" s="1">
        <v>0.0</v>
      </c>
      <c r="AM2127" s="1">
        <v>17704.0</v>
      </c>
      <c r="AN2127" s="1">
        <v>17704.0</v>
      </c>
      <c r="AO2127" s="1">
        <v>17704.0</v>
      </c>
      <c r="AP2127" s="1">
        <v>6.782</v>
      </c>
      <c r="AR2127" s="1">
        <v>0.0</v>
      </c>
      <c r="AW2127" s="1">
        <v>0.0</v>
      </c>
      <c r="AX2127" s="1">
        <v>5.0</v>
      </c>
      <c r="AY2127" s="1">
        <v>5.0</v>
      </c>
      <c r="BA2127" s="1">
        <v>0.0</v>
      </c>
      <c r="BB2127" s="1">
        <v>0.0</v>
      </c>
      <c r="BC2127" s="1">
        <v>0.0</v>
      </c>
      <c r="BD2127" s="1">
        <v>0.0</v>
      </c>
      <c r="BE2127" s="1">
        <v>0.0</v>
      </c>
      <c r="BF2127" s="1">
        <v>0.0</v>
      </c>
      <c r="BG2127" s="1">
        <v>0.0</v>
      </c>
      <c r="BH2127" s="1">
        <v>0.0</v>
      </c>
      <c r="BI2127" s="1">
        <v>0.0</v>
      </c>
      <c r="BJ2127" s="1">
        <v>0.0</v>
      </c>
      <c r="BP2127" s="1">
        <v>0.254</v>
      </c>
      <c r="BQ2127" s="1" t="s">
        <v>6929</v>
      </c>
      <c r="BV2127" s="1">
        <v>1.1</v>
      </c>
      <c r="EQ2127" s="9" t="s">
        <v>6928</v>
      </c>
      <c r="ER2127" s="21">
        <v>46045.30180555556</v>
      </c>
    </row>
    <row r="2128">
      <c r="A2128" s="9" t="s">
        <v>6930</v>
      </c>
      <c r="B2128" s="20" t="str">
        <f>IFERROR(__xludf.DUMMYFUNCTION("REGEXREPLACE(A2128, ""^https?://[^/]+"", """")"),"/life-changes-propel-sales-outsourcing/")</f>
        <v>/life-changes-propel-sales-outsourcing/</v>
      </c>
      <c r="C2128" s="1" t="s">
        <v>6931</v>
      </c>
      <c r="F2128" s="1" t="s">
        <v>965</v>
      </c>
      <c r="G2128" s="1">
        <v>200.0</v>
      </c>
      <c r="H2128" s="1" t="s">
        <v>966</v>
      </c>
      <c r="I2128" s="1" t="s">
        <v>967</v>
      </c>
      <c r="K2128" s="1" t="s">
        <v>6932</v>
      </c>
      <c r="L2128" s="1">
        <v>70.0</v>
      </c>
      <c r="M2128" s="1">
        <v>657.0</v>
      </c>
      <c r="O2128" s="1">
        <v>0.0</v>
      </c>
      <c r="P2128" s="1">
        <v>0.0</v>
      </c>
      <c r="Q2128" s="1" t="s">
        <v>6933</v>
      </c>
      <c r="R2128" s="1">
        <v>133.0</v>
      </c>
      <c r="S2128" s="1">
        <v>800.0</v>
      </c>
      <c r="U2128" s="1">
        <v>0.0</v>
      </c>
      <c r="V2128" s="1" t="s">
        <v>6931</v>
      </c>
      <c r="W2128" s="1">
        <v>57.0</v>
      </c>
      <c r="Y2128" s="1">
        <v>0.0</v>
      </c>
      <c r="AA2128" s="1">
        <v>0.0</v>
      </c>
      <c r="AC2128" s="1">
        <v>0.0</v>
      </c>
      <c r="AD2128" s="1" t="s">
        <v>971</v>
      </c>
      <c r="AG2128" s="9" t="s">
        <v>6930</v>
      </c>
      <c r="AM2128" s="1">
        <v>199660.0</v>
      </c>
      <c r="AN2128" s="1">
        <v>35650.0</v>
      </c>
      <c r="AO2128" s="1">
        <v>35650.0</v>
      </c>
      <c r="AP2128" s="1">
        <v>13.657</v>
      </c>
      <c r="AR2128" s="1">
        <v>1344.0</v>
      </c>
      <c r="AS2128" s="1">
        <v>202.0</v>
      </c>
      <c r="AT2128" s="1">
        <v>6.653</v>
      </c>
      <c r="AU2128" s="1">
        <v>69.405</v>
      </c>
      <c r="AV2128" s="1" t="s">
        <v>990</v>
      </c>
      <c r="AW2128" s="1">
        <v>5.201</v>
      </c>
      <c r="AX2128" s="1">
        <v>5.0</v>
      </c>
      <c r="AY2128" s="1">
        <v>1.0</v>
      </c>
      <c r="AZ2128" s="1">
        <v>1.0</v>
      </c>
      <c r="BA2128" s="1">
        <v>3.0</v>
      </c>
      <c r="BB2128" s="1">
        <v>3.0</v>
      </c>
      <c r="BC2128" s="1">
        <v>0.0</v>
      </c>
      <c r="BD2128" s="1">
        <v>0.4</v>
      </c>
      <c r="BE2128" s="1">
        <v>131.0</v>
      </c>
      <c r="BF2128" s="1">
        <v>48.0</v>
      </c>
      <c r="BG2128" s="1">
        <v>0.0</v>
      </c>
      <c r="BH2128" s="1">
        <v>16.0</v>
      </c>
      <c r="BI2128" s="1">
        <v>8.0</v>
      </c>
      <c r="BJ2128" s="1">
        <v>0.0</v>
      </c>
      <c r="BO2128" s="1" t="s">
        <v>6934</v>
      </c>
      <c r="BP2128" s="1">
        <v>1.005</v>
      </c>
      <c r="BU2128" s="1" t="s">
        <v>974</v>
      </c>
      <c r="BV2128" s="1">
        <v>1.1</v>
      </c>
      <c r="EQ2128" s="9" t="s">
        <v>6930</v>
      </c>
      <c r="ER2128" s="21">
        <v>46045.30179398148</v>
      </c>
    </row>
    <row r="2129">
      <c r="A2129" s="9" t="s">
        <v>6935</v>
      </c>
      <c r="B2129" s="20" t="str">
        <f>IFERROR(__xludf.DUMMYFUNCTION("REGEXREPLACE(A2129, ""^https?://[^/]+"", """")"),"/wp-content/uploads/2022/11/Outsourced-sales-leader-meeting-with-CEO.jpg")</f>
        <v>/wp-content/uploads/2022/11/Outsourced-sales-leader-meeting-with-CEO.jpg</v>
      </c>
      <c r="F2129" s="1" t="s">
        <v>1004</v>
      </c>
      <c r="G2129" s="1">
        <v>200.0</v>
      </c>
      <c r="H2129" s="1" t="s">
        <v>966</v>
      </c>
      <c r="I2129" s="1" t="s">
        <v>967</v>
      </c>
      <c r="L2129" s="1">
        <v>0.0</v>
      </c>
      <c r="M2129" s="1">
        <v>0.0</v>
      </c>
      <c r="O2129" s="1">
        <v>0.0</v>
      </c>
      <c r="P2129" s="1">
        <v>0.0</v>
      </c>
      <c r="R2129" s="1">
        <v>0.0</v>
      </c>
      <c r="S2129" s="1">
        <v>0.0</v>
      </c>
      <c r="U2129" s="1">
        <v>0.0</v>
      </c>
      <c r="W2129" s="1">
        <v>0.0</v>
      </c>
      <c r="Y2129" s="1">
        <v>0.0</v>
      </c>
      <c r="AA2129" s="1">
        <v>0.0</v>
      </c>
      <c r="AC2129" s="1">
        <v>0.0</v>
      </c>
      <c r="AM2129" s="1">
        <v>215881.0</v>
      </c>
      <c r="AN2129" s="1">
        <v>215881.0</v>
      </c>
      <c r="AO2129" s="1">
        <v>215881.0</v>
      </c>
      <c r="AP2129" s="1">
        <v>82.7</v>
      </c>
      <c r="AR2129" s="1">
        <v>0.0</v>
      </c>
      <c r="AW2129" s="1">
        <v>0.0</v>
      </c>
      <c r="AX2129" s="1">
        <v>5.0</v>
      </c>
      <c r="AY2129" s="1">
        <v>4.0</v>
      </c>
      <c r="BA2129" s="1">
        <v>0.0</v>
      </c>
      <c r="BB2129" s="1">
        <v>0.0</v>
      </c>
      <c r="BC2129" s="1">
        <v>0.0</v>
      </c>
      <c r="BD2129" s="1">
        <v>0.0</v>
      </c>
      <c r="BE2129" s="1">
        <v>0.0</v>
      </c>
      <c r="BF2129" s="1">
        <v>0.0</v>
      </c>
      <c r="BG2129" s="1">
        <v>0.0</v>
      </c>
      <c r="BH2129" s="1">
        <v>0.0</v>
      </c>
      <c r="BI2129" s="1">
        <v>0.0</v>
      </c>
      <c r="BJ2129" s="1">
        <v>0.0</v>
      </c>
      <c r="BP2129" s="1">
        <v>0.276</v>
      </c>
      <c r="BQ2129" s="1" t="s">
        <v>6936</v>
      </c>
      <c r="BV2129" s="1">
        <v>1.1</v>
      </c>
      <c r="EQ2129" s="9" t="s">
        <v>6935</v>
      </c>
      <c r="ER2129" s="21">
        <v>46045.30180555556</v>
      </c>
    </row>
    <row r="2130">
      <c r="A2130" s="9" t="s">
        <v>6937</v>
      </c>
      <c r="B2130" s="20" t="str">
        <f>IFERROR(__xludf.DUMMYFUNCTION("REGEXREPLACE(A2130, ""^https?://[^/]+"", """")"),"/wp-content/themes/salesxceleratione/assets/css/style.css?ver=1769123599")</f>
        <v>/wp-content/themes/salesxceleratione/assets/css/style.css?ver=1769123599</v>
      </c>
      <c r="F2130" s="1" t="s">
        <v>1016</v>
      </c>
      <c r="G2130" s="1">
        <v>200.0</v>
      </c>
      <c r="H2130" s="1" t="s">
        <v>966</v>
      </c>
      <c r="I2130" s="1" t="s">
        <v>967</v>
      </c>
      <c r="L2130" s="1">
        <v>0.0</v>
      </c>
      <c r="M2130" s="1">
        <v>0.0</v>
      </c>
      <c r="O2130" s="1">
        <v>0.0</v>
      </c>
      <c r="P2130" s="1">
        <v>0.0</v>
      </c>
      <c r="R2130" s="1">
        <v>0.0</v>
      </c>
      <c r="S2130" s="1">
        <v>0.0</v>
      </c>
      <c r="U2130" s="1">
        <v>0.0</v>
      </c>
      <c r="W2130" s="1">
        <v>0.0</v>
      </c>
      <c r="Y2130" s="1">
        <v>0.0</v>
      </c>
      <c r="AA2130" s="1">
        <v>0.0</v>
      </c>
      <c r="AC2130" s="1">
        <v>0.0</v>
      </c>
      <c r="AM2130" s="1">
        <v>17704.0</v>
      </c>
      <c r="AN2130" s="1">
        <v>17704.0</v>
      </c>
      <c r="AO2130" s="1">
        <v>17704.0</v>
      </c>
      <c r="AP2130" s="1">
        <v>6.782</v>
      </c>
      <c r="AR2130" s="1">
        <v>0.0</v>
      </c>
      <c r="AW2130" s="1">
        <v>0.0</v>
      </c>
      <c r="AX2130" s="1">
        <v>5.0</v>
      </c>
      <c r="AY2130" s="1">
        <v>5.0</v>
      </c>
      <c r="BA2130" s="1">
        <v>0.0</v>
      </c>
      <c r="BB2130" s="1">
        <v>0.0</v>
      </c>
      <c r="BC2130" s="1">
        <v>0.0</v>
      </c>
      <c r="BD2130" s="1">
        <v>0.0</v>
      </c>
      <c r="BE2130" s="1">
        <v>0.0</v>
      </c>
      <c r="BF2130" s="1">
        <v>0.0</v>
      </c>
      <c r="BG2130" s="1">
        <v>0.0</v>
      </c>
      <c r="BH2130" s="1">
        <v>0.0</v>
      </c>
      <c r="BI2130" s="1">
        <v>0.0</v>
      </c>
      <c r="BJ2130" s="1">
        <v>0.0</v>
      </c>
      <c r="BP2130" s="1">
        <v>0.248</v>
      </c>
      <c r="BQ2130" s="1" t="s">
        <v>5383</v>
      </c>
      <c r="BV2130" s="1">
        <v>1.1</v>
      </c>
      <c r="EQ2130" s="9" t="s">
        <v>6937</v>
      </c>
      <c r="ER2130" s="21">
        <v>46045.30180555556</v>
      </c>
    </row>
    <row r="2131">
      <c r="A2131" s="9" t="s">
        <v>6938</v>
      </c>
      <c r="B2131" s="20" t="str">
        <f>IFERROR(__xludf.DUMMYFUNCTION("REGEXREPLACE(A2131, ""^https?://[^/]+"", """")"),"/wp-content/uploads/2022/10/shutterstock_2025930416.jpg")</f>
        <v>/wp-content/uploads/2022/10/shutterstock_2025930416.jpg</v>
      </c>
      <c r="F2131" s="1" t="s">
        <v>1004</v>
      </c>
      <c r="G2131" s="1">
        <v>200.0</v>
      </c>
      <c r="H2131" s="1" t="s">
        <v>966</v>
      </c>
      <c r="I2131" s="1" t="s">
        <v>967</v>
      </c>
      <c r="L2131" s="1">
        <v>0.0</v>
      </c>
      <c r="M2131" s="1">
        <v>0.0</v>
      </c>
      <c r="O2131" s="1">
        <v>0.0</v>
      </c>
      <c r="P2131" s="1">
        <v>0.0</v>
      </c>
      <c r="R2131" s="1">
        <v>0.0</v>
      </c>
      <c r="S2131" s="1">
        <v>0.0</v>
      </c>
      <c r="U2131" s="1">
        <v>0.0</v>
      </c>
      <c r="W2131" s="1">
        <v>0.0</v>
      </c>
      <c r="Y2131" s="1">
        <v>0.0</v>
      </c>
      <c r="AA2131" s="1">
        <v>0.0</v>
      </c>
      <c r="AC2131" s="1">
        <v>0.0</v>
      </c>
      <c r="AM2131" s="1">
        <v>352388.0</v>
      </c>
      <c r="AN2131" s="1">
        <v>352388.0</v>
      </c>
      <c r="AO2131" s="1">
        <v>352388.0</v>
      </c>
      <c r="AP2131" s="1">
        <v>134.993</v>
      </c>
      <c r="AR2131" s="1">
        <v>0.0</v>
      </c>
      <c r="AW2131" s="1">
        <v>0.0</v>
      </c>
      <c r="AX2131" s="1">
        <v>5.0</v>
      </c>
      <c r="AY2131" s="1">
        <v>4.0</v>
      </c>
      <c r="BA2131" s="1">
        <v>0.0</v>
      </c>
      <c r="BB2131" s="1">
        <v>0.0</v>
      </c>
      <c r="BC2131" s="1">
        <v>0.0</v>
      </c>
      <c r="BD2131" s="1">
        <v>0.0</v>
      </c>
      <c r="BE2131" s="1">
        <v>0.0</v>
      </c>
      <c r="BF2131" s="1">
        <v>0.0</v>
      </c>
      <c r="BG2131" s="1">
        <v>0.0</v>
      </c>
      <c r="BH2131" s="1">
        <v>0.0</v>
      </c>
      <c r="BI2131" s="1">
        <v>0.0</v>
      </c>
      <c r="BJ2131" s="1">
        <v>0.0</v>
      </c>
      <c r="BP2131" s="1">
        <v>0.269</v>
      </c>
      <c r="BQ2131" s="1" t="s">
        <v>6939</v>
      </c>
      <c r="BV2131" s="1">
        <v>1.1</v>
      </c>
      <c r="EQ2131" s="9" t="s">
        <v>6938</v>
      </c>
      <c r="ER2131" s="21">
        <v>46045.30180555556</v>
      </c>
    </row>
    <row r="2132">
      <c r="A2132" s="9" t="s">
        <v>6940</v>
      </c>
      <c r="B2132" s="20" t="str">
        <f>IFERROR(__xludf.DUMMYFUNCTION("REGEXREPLACE(A2132, ""^https?://[^/]+"", """")"),"/wp-content/uploads/2022/06/Door-to-Future.jpg")</f>
        <v>/wp-content/uploads/2022/06/Door-to-Future.jpg</v>
      </c>
      <c r="F2132" s="1" t="s">
        <v>1004</v>
      </c>
      <c r="G2132" s="1">
        <v>200.0</v>
      </c>
      <c r="H2132" s="1" t="s">
        <v>966</v>
      </c>
      <c r="I2132" s="1" t="s">
        <v>967</v>
      </c>
      <c r="L2132" s="1">
        <v>0.0</v>
      </c>
      <c r="M2132" s="1">
        <v>0.0</v>
      </c>
      <c r="O2132" s="1">
        <v>0.0</v>
      </c>
      <c r="P2132" s="1">
        <v>0.0</v>
      </c>
      <c r="R2132" s="1">
        <v>0.0</v>
      </c>
      <c r="S2132" s="1">
        <v>0.0</v>
      </c>
      <c r="U2132" s="1">
        <v>0.0</v>
      </c>
      <c r="W2132" s="1">
        <v>0.0</v>
      </c>
      <c r="Y2132" s="1">
        <v>0.0</v>
      </c>
      <c r="AA2132" s="1">
        <v>0.0</v>
      </c>
      <c r="AC2132" s="1">
        <v>0.0</v>
      </c>
      <c r="AM2132" s="1">
        <v>156936.0</v>
      </c>
      <c r="AN2132" s="1">
        <v>156936.0</v>
      </c>
      <c r="AO2132" s="1">
        <v>156936.0</v>
      </c>
      <c r="AP2132" s="1">
        <v>60.119</v>
      </c>
      <c r="AR2132" s="1">
        <v>0.0</v>
      </c>
      <c r="AW2132" s="1">
        <v>0.0</v>
      </c>
      <c r="AX2132" s="1">
        <v>5.0</v>
      </c>
      <c r="AY2132" s="1">
        <v>4.0</v>
      </c>
      <c r="BA2132" s="1">
        <v>0.0</v>
      </c>
      <c r="BB2132" s="1">
        <v>0.0</v>
      </c>
      <c r="BC2132" s="1">
        <v>0.0</v>
      </c>
      <c r="BD2132" s="1">
        <v>0.0</v>
      </c>
      <c r="BE2132" s="1">
        <v>0.0</v>
      </c>
      <c r="BF2132" s="1">
        <v>0.0</v>
      </c>
      <c r="BG2132" s="1">
        <v>0.0</v>
      </c>
      <c r="BH2132" s="1">
        <v>0.0</v>
      </c>
      <c r="BI2132" s="1">
        <v>0.0</v>
      </c>
      <c r="BJ2132" s="1">
        <v>0.0</v>
      </c>
      <c r="BP2132" s="1">
        <v>0.265</v>
      </c>
      <c r="BQ2132" s="1" t="s">
        <v>6941</v>
      </c>
      <c r="BV2132" s="1">
        <v>1.1</v>
      </c>
      <c r="EQ2132" s="9" t="s">
        <v>6940</v>
      </c>
      <c r="ER2132" s="21">
        <v>46045.30180555556</v>
      </c>
    </row>
    <row r="2133">
      <c r="A2133" s="9" t="s">
        <v>6942</v>
      </c>
      <c r="B2133" s="20" t="str">
        <f>IFERROR(__xludf.DUMMYFUNCTION("REGEXREPLACE(A2133, ""^https?://[^/]+"", """")"),"/wp-content/uploads/2022/10/4-Cornerstones-to-Include-in-Your-Sales-Organization-Blueprint.png")</f>
        <v>/wp-content/uploads/2022/10/4-Cornerstones-to-Include-in-Your-Sales-Organization-Blueprint.png</v>
      </c>
      <c r="F2133" s="1" t="s">
        <v>1047</v>
      </c>
      <c r="G2133" s="1">
        <v>200.0</v>
      </c>
      <c r="H2133" s="1" t="s">
        <v>966</v>
      </c>
      <c r="I2133" s="1" t="s">
        <v>967</v>
      </c>
      <c r="L2133" s="1">
        <v>0.0</v>
      </c>
      <c r="M2133" s="1">
        <v>0.0</v>
      </c>
      <c r="O2133" s="1">
        <v>0.0</v>
      </c>
      <c r="P2133" s="1">
        <v>0.0</v>
      </c>
      <c r="R2133" s="1">
        <v>0.0</v>
      </c>
      <c r="S2133" s="1">
        <v>0.0</v>
      </c>
      <c r="U2133" s="1">
        <v>0.0</v>
      </c>
      <c r="W2133" s="1">
        <v>0.0</v>
      </c>
      <c r="Y2133" s="1">
        <v>0.0</v>
      </c>
      <c r="AA2133" s="1">
        <v>0.0</v>
      </c>
      <c r="AC2133" s="1">
        <v>0.0</v>
      </c>
      <c r="AM2133" s="1">
        <v>101664.0</v>
      </c>
      <c r="AN2133" s="1">
        <v>101664.0</v>
      </c>
      <c r="AO2133" s="1">
        <v>101664.0</v>
      </c>
      <c r="AP2133" s="1">
        <v>38.946</v>
      </c>
      <c r="AR2133" s="1">
        <v>0.0</v>
      </c>
      <c r="AW2133" s="1">
        <v>0.0</v>
      </c>
      <c r="AX2133" s="1">
        <v>5.0</v>
      </c>
      <c r="AY2133" s="1">
        <v>4.0</v>
      </c>
      <c r="BA2133" s="1">
        <v>0.0</v>
      </c>
      <c r="BB2133" s="1">
        <v>0.0</v>
      </c>
      <c r="BC2133" s="1">
        <v>0.0</v>
      </c>
      <c r="BD2133" s="1">
        <v>0.0</v>
      </c>
      <c r="BE2133" s="1">
        <v>0.0</v>
      </c>
      <c r="BF2133" s="1">
        <v>0.0</v>
      </c>
      <c r="BG2133" s="1">
        <v>0.0</v>
      </c>
      <c r="BH2133" s="1">
        <v>0.0</v>
      </c>
      <c r="BI2133" s="1">
        <v>0.0</v>
      </c>
      <c r="BJ2133" s="1">
        <v>0.0</v>
      </c>
      <c r="BP2133" s="1">
        <v>0.281</v>
      </c>
      <c r="BQ2133" s="1" t="s">
        <v>6943</v>
      </c>
      <c r="BV2133" s="1">
        <v>1.1</v>
      </c>
      <c r="EQ2133" s="9" t="s">
        <v>6942</v>
      </c>
      <c r="ER2133" s="21">
        <v>46045.30180555556</v>
      </c>
    </row>
    <row r="2134">
      <c r="A2134" s="9" t="s">
        <v>6944</v>
      </c>
      <c r="B2134" s="20" t="str">
        <f>IFERROR(__xludf.DUMMYFUNCTION("REGEXREPLACE(A2134, ""^https?://[^/]+"", """")"),"/wp-content/uploads/2022/10/Sales-Department-Organizational-Structure-Meeting.jpg")</f>
        <v>/wp-content/uploads/2022/10/Sales-Department-Organizational-Structure-Meeting.jpg</v>
      </c>
      <c r="F2134" s="1" t="s">
        <v>1004</v>
      </c>
      <c r="G2134" s="1">
        <v>200.0</v>
      </c>
      <c r="H2134" s="1" t="s">
        <v>966</v>
      </c>
      <c r="I2134" s="1" t="s">
        <v>967</v>
      </c>
      <c r="L2134" s="1">
        <v>0.0</v>
      </c>
      <c r="M2134" s="1">
        <v>0.0</v>
      </c>
      <c r="O2134" s="1">
        <v>0.0</v>
      </c>
      <c r="P2134" s="1">
        <v>0.0</v>
      </c>
      <c r="R2134" s="1">
        <v>0.0</v>
      </c>
      <c r="S2134" s="1">
        <v>0.0</v>
      </c>
      <c r="U2134" s="1">
        <v>0.0</v>
      </c>
      <c r="W2134" s="1">
        <v>0.0</v>
      </c>
      <c r="Y2134" s="1">
        <v>0.0</v>
      </c>
      <c r="AA2134" s="1">
        <v>0.0</v>
      </c>
      <c r="AC2134" s="1">
        <v>0.0</v>
      </c>
      <c r="AM2134" s="1">
        <v>338857.0</v>
      </c>
      <c r="AN2134" s="1">
        <v>338857.0</v>
      </c>
      <c r="AO2134" s="1">
        <v>338857.0</v>
      </c>
      <c r="AP2134" s="1">
        <v>129.81</v>
      </c>
      <c r="AR2134" s="1">
        <v>0.0</v>
      </c>
      <c r="AW2134" s="1">
        <v>0.0</v>
      </c>
      <c r="AX2134" s="1">
        <v>5.0</v>
      </c>
      <c r="AY2134" s="1">
        <v>4.0</v>
      </c>
      <c r="BA2134" s="1">
        <v>0.0</v>
      </c>
      <c r="BB2134" s="1">
        <v>0.0</v>
      </c>
      <c r="BC2134" s="1">
        <v>0.0</v>
      </c>
      <c r="BD2134" s="1">
        <v>0.0</v>
      </c>
      <c r="BE2134" s="1">
        <v>0.0</v>
      </c>
      <c r="BF2134" s="1">
        <v>0.0</v>
      </c>
      <c r="BG2134" s="1">
        <v>0.0</v>
      </c>
      <c r="BH2134" s="1">
        <v>0.0</v>
      </c>
      <c r="BI2134" s="1">
        <v>0.0</v>
      </c>
      <c r="BJ2134" s="1">
        <v>0.0</v>
      </c>
      <c r="BP2134" s="1">
        <v>0.276</v>
      </c>
      <c r="BQ2134" s="1" t="s">
        <v>6945</v>
      </c>
      <c r="BV2134" s="1">
        <v>1.1</v>
      </c>
      <c r="EQ2134" s="9" t="s">
        <v>6944</v>
      </c>
      <c r="ER2134" s="21">
        <v>46045.30180555556</v>
      </c>
    </row>
    <row r="2135">
      <c r="A2135" s="9" t="s">
        <v>6946</v>
      </c>
      <c r="B2135" s="20" t="str">
        <f>IFERROR(__xludf.DUMMYFUNCTION("REGEXREPLACE(A2135, ""^https?://[^/]+"", """")"),"/now-prime-time-baby-boomer-entrepreneurs/")</f>
        <v>/now-prime-time-baby-boomer-entrepreneurs/</v>
      </c>
      <c r="C2135" s="1" t="s">
        <v>6947</v>
      </c>
      <c r="F2135" s="1" t="s">
        <v>965</v>
      </c>
      <c r="G2135" s="1">
        <v>200.0</v>
      </c>
      <c r="H2135" s="1" t="s">
        <v>966</v>
      </c>
      <c r="I2135" s="1" t="s">
        <v>967</v>
      </c>
      <c r="K2135" s="1" t="s">
        <v>6947</v>
      </c>
      <c r="L2135" s="1">
        <v>51.0</v>
      </c>
      <c r="M2135" s="1">
        <v>497.0</v>
      </c>
      <c r="O2135" s="1">
        <v>0.0</v>
      </c>
      <c r="P2135" s="1">
        <v>0.0</v>
      </c>
      <c r="Q2135" s="1" t="s">
        <v>6948</v>
      </c>
      <c r="R2135" s="1">
        <v>149.0</v>
      </c>
      <c r="S2135" s="1">
        <v>925.0</v>
      </c>
      <c r="U2135" s="1">
        <v>0.0</v>
      </c>
      <c r="V2135" s="1" t="s">
        <v>6947</v>
      </c>
      <c r="W2135" s="1">
        <v>51.0</v>
      </c>
      <c r="Y2135" s="1">
        <v>0.0</v>
      </c>
      <c r="AA2135" s="1">
        <v>0.0</v>
      </c>
      <c r="AC2135" s="1">
        <v>0.0</v>
      </c>
      <c r="AD2135" s="1" t="s">
        <v>971</v>
      </c>
      <c r="AG2135" s="9" t="s">
        <v>6946</v>
      </c>
      <c r="AM2135" s="1">
        <v>200500.0</v>
      </c>
      <c r="AN2135" s="1">
        <v>36020.0</v>
      </c>
      <c r="AO2135" s="1">
        <v>36020.0</v>
      </c>
      <c r="AP2135" s="1">
        <v>13.799</v>
      </c>
      <c r="AR2135" s="1">
        <v>1423.0</v>
      </c>
      <c r="AS2135" s="1">
        <v>210.0</v>
      </c>
      <c r="AT2135" s="1">
        <v>6.776</v>
      </c>
      <c r="AU2135" s="1">
        <v>67.915</v>
      </c>
      <c r="AV2135" s="1" t="s">
        <v>990</v>
      </c>
      <c r="AW2135" s="1">
        <v>5.505</v>
      </c>
      <c r="AX2135" s="1">
        <v>5.0</v>
      </c>
      <c r="AY2135" s="1">
        <v>1.0</v>
      </c>
      <c r="AZ2135" s="1">
        <v>1.0</v>
      </c>
      <c r="BA2135" s="1">
        <v>2.0</v>
      </c>
      <c r="BB2135" s="1">
        <v>2.0</v>
      </c>
      <c r="BC2135" s="1">
        <v>0.0</v>
      </c>
      <c r="BD2135" s="1">
        <v>0.27</v>
      </c>
      <c r="BE2135" s="1">
        <v>132.0</v>
      </c>
      <c r="BF2135" s="1">
        <v>48.0</v>
      </c>
      <c r="BG2135" s="1">
        <v>0.0</v>
      </c>
      <c r="BH2135" s="1">
        <v>16.0</v>
      </c>
      <c r="BI2135" s="1">
        <v>8.0</v>
      </c>
      <c r="BJ2135" s="1">
        <v>0.0</v>
      </c>
      <c r="BO2135" s="1" t="s">
        <v>6949</v>
      </c>
      <c r="BP2135" s="1">
        <v>1.035</v>
      </c>
      <c r="BU2135" s="1" t="s">
        <v>974</v>
      </c>
      <c r="BV2135" s="1">
        <v>1.1</v>
      </c>
      <c r="EQ2135" s="9" t="s">
        <v>6946</v>
      </c>
      <c r="ER2135" s="21">
        <v>46045.30179398148</v>
      </c>
    </row>
    <row r="2136">
      <c r="A2136" s="9" t="s">
        <v>6950</v>
      </c>
      <c r="B2136" s="20" t="str">
        <f>IFERROR(__xludf.DUMMYFUNCTION("REGEXREPLACE(A2136, ""^https?://[^/]+"", """")"),"/wp-content/uploads/elementor/css/post-26232.css?ver=1768848144")</f>
        <v>/wp-content/uploads/elementor/css/post-26232.css?ver=1768848144</v>
      </c>
      <c r="F2136" s="1" t="s">
        <v>1016</v>
      </c>
      <c r="G2136" s="1">
        <v>200.0</v>
      </c>
      <c r="H2136" s="1" t="s">
        <v>966</v>
      </c>
      <c r="I2136" s="1" t="s">
        <v>967</v>
      </c>
      <c r="L2136" s="1">
        <v>0.0</v>
      </c>
      <c r="M2136" s="1">
        <v>0.0</v>
      </c>
      <c r="O2136" s="1">
        <v>0.0</v>
      </c>
      <c r="P2136" s="1">
        <v>0.0</v>
      </c>
      <c r="R2136" s="1">
        <v>0.0</v>
      </c>
      <c r="S2136" s="1">
        <v>0.0</v>
      </c>
      <c r="U2136" s="1">
        <v>0.0</v>
      </c>
      <c r="W2136" s="1">
        <v>0.0</v>
      </c>
      <c r="Y2136" s="1">
        <v>0.0</v>
      </c>
      <c r="AA2136" s="1">
        <v>0.0</v>
      </c>
      <c r="AC2136" s="1">
        <v>0.0</v>
      </c>
      <c r="AM2136" s="1">
        <v>278.0</v>
      </c>
      <c r="AN2136" s="1">
        <v>278.0</v>
      </c>
      <c r="AO2136" s="1">
        <v>278.0</v>
      </c>
      <c r="AP2136" s="1">
        <v>0.106</v>
      </c>
      <c r="AR2136" s="1">
        <v>0.0</v>
      </c>
      <c r="AW2136" s="1">
        <v>0.0</v>
      </c>
      <c r="AX2136" s="1">
        <v>5.0</v>
      </c>
      <c r="AY2136" s="1">
        <v>4.0</v>
      </c>
      <c r="BA2136" s="1">
        <v>0.0</v>
      </c>
      <c r="BB2136" s="1">
        <v>0.0</v>
      </c>
      <c r="BC2136" s="1">
        <v>0.0</v>
      </c>
      <c r="BD2136" s="1">
        <v>0.0</v>
      </c>
      <c r="BE2136" s="1">
        <v>0.0</v>
      </c>
      <c r="BF2136" s="1">
        <v>0.0</v>
      </c>
      <c r="BG2136" s="1">
        <v>0.0</v>
      </c>
      <c r="BH2136" s="1">
        <v>0.0</v>
      </c>
      <c r="BI2136" s="1">
        <v>0.0</v>
      </c>
      <c r="BJ2136" s="1">
        <v>0.0</v>
      </c>
      <c r="BP2136" s="1">
        <v>0.264</v>
      </c>
      <c r="BQ2136" s="1" t="s">
        <v>6951</v>
      </c>
      <c r="BV2136" s="1">
        <v>1.1</v>
      </c>
      <c r="EQ2136" s="9" t="s">
        <v>6950</v>
      </c>
      <c r="ER2136" s="21">
        <v>46045.30180555556</v>
      </c>
    </row>
    <row r="2137">
      <c r="A2137" s="9" t="s">
        <v>6952</v>
      </c>
      <c r="B2137" s="20" t="str">
        <f>IFERROR(__xludf.DUMMYFUNCTION("REGEXREPLACE(A2137, ""^https?://[^/]+"", """")"),"/3-5-ways-jump-start-revenue-growth-sales/")</f>
        <v>/3-5-ways-jump-start-revenue-growth-sales/</v>
      </c>
      <c r="C2137" s="1" t="s">
        <v>6953</v>
      </c>
      <c r="F2137" s="1" t="s">
        <v>965</v>
      </c>
      <c r="G2137" s="1">
        <v>200.0</v>
      </c>
      <c r="H2137" s="1" t="s">
        <v>966</v>
      </c>
      <c r="I2137" s="1" t="s">
        <v>967</v>
      </c>
      <c r="K2137" s="1" t="s">
        <v>6954</v>
      </c>
      <c r="L2137" s="1">
        <v>69.0</v>
      </c>
      <c r="M2137" s="1">
        <v>644.0</v>
      </c>
      <c r="O2137" s="1">
        <v>0.0</v>
      </c>
      <c r="P2137" s="1">
        <v>0.0</v>
      </c>
      <c r="Q2137" s="1" t="s">
        <v>6955</v>
      </c>
      <c r="R2137" s="1">
        <v>155.0</v>
      </c>
      <c r="S2137" s="1">
        <v>918.0</v>
      </c>
      <c r="U2137" s="1">
        <v>0.0</v>
      </c>
      <c r="V2137" s="1" t="s">
        <v>6953</v>
      </c>
      <c r="W2137" s="1">
        <v>47.0</v>
      </c>
      <c r="Y2137" s="1">
        <v>0.0</v>
      </c>
      <c r="AA2137" s="1">
        <v>0.0</v>
      </c>
      <c r="AC2137" s="1">
        <v>0.0</v>
      </c>
      <c r="AD2137" s="1" t="s">
        <v>971</v>
      </c>
      <c r="AG2137" s="9" t="s">
        <v>6952</v>
      </c>
      <c r="AM2137" s="1">
        <v>199223.0</v>
      </c>
      <c r="AN2137" s="1">
        <v>35439.0</v>
      </c>
      <c r="AO2137" s="1">
        <v>35439.0</v>
      </c>
      <c r="AP2137" s="1">
        <v>13.576</v>
      </c>
      <c r="AR2137" s="1">
        <v>1130.0</v>
      </c>
      <c r="AS2137" s="1">
        <v>177.0</v>
      </c>
      <c r="AT2137" s="1">
        <v>6.384</v>
      </c>
      <c r="AU2137" s="1">
        <v>64.845</v>
      </c>
      <c r="AV2137" s="1" t="s">
        <v>990</v>
      </c>
      <c r="AW2137" s="1">
        <v>4.69</v>
      </c>
      <c r="AX2137" s="1">
        <v>5.0</v>
      </c>
      <c r="AY2137" s="1">
        <v>1.0</v>
      </c>
      <c r="AZ2137" s="1">
        <v>1.0</v>
      </c>
      <c r="BA2137" s="1">
        <v>7.0</v>
      </c>
      <c r="BB2137" s="1">
        <v>7.0</v>
      </c>
      <c r="BC2137" s="1">
        <v>0.0</v>
      </c>
      <c r="BD2137" s="1">
        <v>0.93</v>
      </c>
      <c r="BE2137" s="1">
        <v>130.0</v>
      </c>
      <c r="BF2137" s="1">
        <v>48.0</v>
      </c>
      <c r="BG2137" s="1">
        <v>0.0</v>
      </c>
      <c r="BH2137" s="1">
        <v>16.0</v>
      </c>
      <c r="BI2137" s="1">
        <v>8.0</v>
      </c>
      <c r="BJ2137" s="1">
        <v>0.0</v>
      </c>
      <c r="BO2137" s="1" t="s">
        <v>6956</v>
      </c>
      <c r="BP2137" s="1">
        <v>1.1</v>
      </c>
      <c r="BU2137" s="1" t="s">
        <v>974</v>
      </c>
      <c r="BV2137" s="1">
        <v>1.1</v>
      </c>
      <c r="EQ2137" s="9" t="s">
        <v>6952</v>
      </c>
      <c r="ER2137" s="21">
        <v>46045.30179398148</v>
      </c>
    </row>
    <row r="2138">
      <c r="A2138" s="9" t="s">
        <v>6957</v>
      </c>
      <c r="B2138" s="20" t="str">
        <f>IFERROR(__xludf.DUMMYFUNCTION("REGEXREPLACE(A2138, ""^https?://[^/]+"", """")"),"/wp-content/uploads/2022/09/How-Can-Businesses-Prepare-for-Inflation.jpg")</f>
        <v>/wp-content/uploads/2022/09/How-Can-Businesses-Prepare-for-Inflation.jpg</v>
      </c>
      <c r="F2138" s="1" t="s">
        <v>1004</v>
      </c>
      <c r="G2138" s="1">
        <v>200.0</v>
      </c>
      <c r="H2138" s="1" t="s">
        <v>966</v>
      </c>
      <c r="I2138" s="1" t="s">
        <v>967</v>
      </c>
      <c r="L2138" s="1">
        <v>0.0</v>
      </c>
      <c r="M2138" s="1">
        <v>0.0</v>
      </c>
      <c r="O2138" s="1">
        <v>0.0</v>
      </c>
      <c r="P2138" s="1">
        <v>0.0</v>
      </c>
      <c r="R2138" s="1">
        <v>0.0</v>
      </c>
      <c r="S2138" s="1">
        <v>0.0</v>
      </c>
      <c r="U2138" s="1">
        <v>0.0</v>
      </c>
      <c r="W2138" s="1">
        <v>0.0</v>
      </c>
      <c r="Y2138" s="1">
        <v>0.0</v>
      </c>
      <c r="AA2138" s="1">
        <v>0.0</v>
      </c>
      <c r="AC2138" s="1">
        <v>0.0</v>
      </c>
      <c r="AM2138" s="1">
        <v>111828.0</v>
      </c>
      <c r="AN2138" s="1">
        <v>111828.0</v>
      </c>
      <c r="AO2138" s="1">
        <v>111828.0</v>
      </c>
      <c r="AP2138" s="1">
        <v>42.839</v>
      </c>
      <c r="AR2138" s="1">
        <v>0.0</v>
      </c>
      <c r="AW2138" s="1">
        <v>0.0</v>
      </c>
      <c r="AX2138" s="1">
        <v>5.0</v>
      </c>
      <c r="AY2138" s="1">
        <v>4.0</v>
      </c>
      <c r="BA2138" s="1">
        <v>0.0</v>
      </c>
      <c r="BB2138" s="1">
        <v>0.0</v>
      </c>
      <c r="BC2138" s="1">
        <v>0.0</v>
      </c>
      <c r="BD2138" s="1">
        <v>0.0</v>
      </c>
      <c r="BE2138" s="1">
        <v>0.0</v>
      </c>
      <c r="BF2138" s="1">
        <v>0.0</v>
      </c>
      <c r="BG2138" s="1">
        <v>0.0</v>
      </c>
      <c r="BH2138" s="1">
        <v>0.0</v>
      </c>
      <c r="BI2138" s="1">
        <v>0.0</v>
      </c>
      <c r="BJ2138" s="1">
        <v>0.0</v>
      </c>
      <c r="BP2138" s="1">
        <v>0.263</v>
      </c>
      <c r="BQ2138" s="1" t="s">
        <v>5340</v>
      </c>
      <c r="BV2138" s="1">
        <v>1.1</v>
      </c>
      <c r="EQ2138" s="9" t="s">
        <v>6957</v>
      </c>
      <c r="ER2138" s="21">
        <v>46045.30180555556</v>
      </c>
    </row>
    <row r="2139">
      <c r="A2139" s="9" t="s">
        <v>6958</v>
      </c>
      <c r="B2139" s="20" t="str">
        <f>IFERROR(__xludf.DUMMYFUNCTION("REGEXREPLACE(A2139, ""^https?://[^/]+"", """")"),"/wp-content/uploads/2022/09/graphic-inflation-1024x388.jpg")</f>
        <v>/wp-content/uploads/2022/09/graphic-inflation-1024x388.jpg</v>
      </c>
      <c r="F2139" s="1" t="s">
        <v>1004</v>
      </c>
      <c r="G2139" s="1">
        <v>200.0</v>
      </c>
      <c r="H2139" s="1" t="s">
        <v>966</v>
      </c>
      <c r="I2139" s="1" t="s">
        <v>967</v>
      </c>
      <c r="L2139" s="1">
        <v>0.0</v>
      </c>
      <c r="M2139" s="1">
        <v>0.0</v>
      </c>
      <c r="O2139" s="1">
        <v>0.0</v>
      </c>
      <c r="P2139" s="1">
        <v>0.0</v>
      </c>
      <c r="R2139" s="1">
        <v>0.0</v>
      </c>
      <c r="S2139" s="1">
        <v>0.0</v>
      </c>
      <c r="U2139" s="1">
        <v>0.0</v>
      </c>
      <c r="W2139" s="1">
        <v>0.0</v>
      </c>
      <c r="Y2139" s="1">
        <v>0.0</v>
      </c>
      <c r="AA2139" s="1">
        <v>0.0</v>
      </c>
      <c r="AC2139" s="1">
        <v>0.0</v>
      </c>
      <c r="AM2139" s="1">
        <v>81935.0</v>
      </c>
      <c r="AN2139" s="1">
        <v>81935.0</v>
      </c>
      <c r="AO2139" s="1">
        <v>81935.0</v>
      </c>
      <c r="AP2139" s="1">
        <v>31.388</v>
      </c>
      <c r="AR2139" s="1">
        <v>0.0</v>
      </c>
      <c r="AW2139" s="1">
        <v>0.0</v>
      </c>
      <c r="AX2139" s="1">
        <v>5.0</v>
      </c>
      <c r="AY2139" s="1">
        <v>4.0</v>
      </c>
      <c r="BA2139" s="1">
        <v>0.0</v>
      </c>
      <c r="BB2139" s="1">
        <v>0.0</v>
      </c>
      <c r="BC2139" s="1">
        <v>0.0</v>
      </c>
      <c r="BD2139" s="1">
        <v>0.0</v>
      </c>
      <c r="BE2139" s="1">
        <v>0.0</v>
      </c>
      <c r="BF2139" s="1">
        <v>0.0</v>
      </c>
      <c r="BG2139" s="1">
        <v>0.0</v>
      </c>
      <c r="BH2139" s="1">
        <v>0.0</v>
      </c>
      <c r="BI2139" s="1">
        <v>0.0</v>
      </c>
      <c r="BJ2139" s="1">
        <v>0.0</v>
      </c>
      <c r="BP2139" s="1">
        <v>0.27</v>
      </c>
      <c r="BQ2139" s="1" t="s">
        <v>6959</v>
      </c>
      <c r="BV2139" s="1">
        <v>1.1</v>
      </c>
      <c r="EQ2139" s="9" t="s">
        <v>6958</v>
      </c>
      <c r="ER2139" s="21">
        <v>46045.30181712963</v>
      </c>
    </row>
    <row r="2140">
      <c r="A2140" s="9" t="s">
        <v>6960</v>
      </c>
      <c r="B2140" s="20" t="str">
        <f>IFERROR(__xludf.DUMMYFUNCTION("REGEXREPLACE(A2140, ""^https?://[^/]+"", """")"),"/wp-content/themes/salesxceleratione/assets/css/style.css?ver=1769123600")</f>
        <v>/wp-content/themes/salesxceleratione/assets/css/style.css?ver=1769123600</v>
      </c>
      <c r="F2140" s="1" t="s">
        <v>1016</v>
      </c>
      <c r="G2140" s="1">
        <v>200.0</v>
      </c>
      <c r="H2140" s="1" t="s">
        <v>966</v>
      </c>
      <c r="I2140" s="1" t="s">
        <v>967</v>
      </c>
      <c r="L2140" s="1">
        <v>0.0</v>
      </c>
      <c r="M2140" s="1">
        <v>0.0</v>
      </c>
      <c r="O2140" s="1">
        <v>0.0</v>
      </c>
      <c r="P2140" s="1">
        <v>0.0</v>
      </c>
      <c r="R2140" s="1">
        <v>0.0</v>
      </c>
      <c r="S2140" s="1">
        <v>0.0</v>
      </c>
      <c r="U2140" s="1">
        <v>0.0</v>
      </c>
      <c r="W2140" s="1">
        <v>0.0</v>
      </c>
      <c r="Y2140" s="1">
        <v>0.0</v>
      </c>
      <c r="AA2140" s="1">
        <v>0.0</v>
      </c>
      <c r="AC2140" s="1">
        <v>0.0</v>
      </c>
      <c r="AM2140" s="1">
        <v>17704.0</v>
      </c>
      <c r="AN2140" s="1">
        <v>17704.0</v>
      </c>
      <c r="AO2140" s="1">
        <v>17704.0</v>
      </c>
      <c r="AP2140" s="1">
        <v>6.782</v>
      </c>
      <c r="AR2140" s="1">
        <v>0.0</v>
      </c>
      <c r="AW2140" s="1">
        <v>0.0</v>
      </c>
      <c r="AX2140" s="1">
        <v>5.0</v>
      </c>
      <c r="AY2140" s="1">
        <v>5.0</v>
      </c>
      <c r="BA2140" s="1">
        <v>0.0</v>
      </c>
      <c r="BB2140" s="1">
        <v>0.0</v>
      </c>
      <c r="BC2140" s="1">
        <v>0.0</v>
      </c>
      <c r="BD2140" s="1">
        <v>0.0</v>
      </c>
      <c r="BE2140" s="1">
        <v>0.0</v>
      </c>
      <c r="BF2140" s="1">
        <v>0.0</v>
      </c>
      <c r="BG2140" s="1">
        <v>0.0</v>
      </c>
      <c r="BH2140" s="1">
        <v>0.0</v>
      </c>
      <c r="BI2140" s="1">
        <v>0.0</v>
      </c>
      <c r="BJ2140" s="1">
        <v>0.0</v>
      </c>
      <c r="BP2140" s="1">
        <v>0.276</v>
      </c>
      <c r="BQ2140" s="1" t="s">
        <v>6961</v>
      </c>
      <c r="BV2140" s="1">
        <v>1.1</v>
      </c>
      <c r="EQ2140" s="9" t="s">
        <v>6960</v>
      </c>
      <c r="ER2140" s="21">
        <v>46045.30181712963</v>
      </c>
    </row>
    <row r="2141">
      <c r="A2141" s="9" t="s">
        <v>6962</v>
      </c>
      <c r="B2141" s="20" t="str">
        <f>IFERROR(__xludf.DUMMYFUNCTION("REGEXREPLACE(A2141, ""^https?://[^/]+"", """")"),"/infographics/how-does-inflation-impact-your-business/")</f>
        <v>/infographics/how-does-inflation-impact-your-business/</v>
      </c>
      <c r="F2141" s="1" t="s">
        <v>965</v>
      </c>
      <c r="G2141" s="1">
        <v>302.0</v>
      </c>
      <c r="H2141" s="1" t="s">
        <v>2980</v>
      </c>
      <c r="I2141" s="1" t="s">
        <v>1214</v>
      </c>
      <c r="J2141" s="1" t="s">
        <v>1305</v>
      </c>
      <c r="L2141" s="1">
        <v>0.0</v>
      </c>
      <c r="M2141" s="1">
        <v>0.0</v>
      </c>
      <c r="O2141" s="1">
        <v>0.0</v>
      </c>
      <c r="P2141" s="1">
        <v>0.0</v>
      </c>
      <c r="R2141" s="1">
        <v>0.0</v>
      </c>
      <c r="S2141" s="1">
        <v>0.0</v>
      </c>
      <c r="U2141" s="1">
        <v>0.0</v>
      </c>
      <c r="W2141" s="1">
        <v>0.0</v>
      </c>
      <c r="Y2141" s="1">
        <v>0.0</v>
      </c>
      <c r="AA2141" s="1">
        <v>0.0</v>
      </c>
      <c r="AC2141" s="1">
        <v>0.0</v>
      </c>
      <c r="AM2141" s="1">
        <v>0.0</v>
      </c>
      <c r="AN2141" s="1">
        <v>0.0</v>
      </c>
      <c r="AO2141" s="1">
        <v>0.0</v>
      </c>
      <c r="AP2141" s="1">
        <v>0.0</v>
      </c>
      <c r="AR2141" s="1">
        <v>0.0</v>
      </c>
      <c r="AW2141" s="1">
        <v>0.0</v>
      </c>
      <c r="AX2141" s="1">
        <v>5.0</v>
      </c>
      <c r="AY2141" s="1">
        <v>2.0</v>
      </c>
      <c r="BA2141" s="1">
        <v>1.0</v>
      </c>
      <c r="BB2141" s="1">
        <v>1.0</v>
      </c>
      <c r="BC2141" s="1">
        <v>0.0</v>
      </c>
      <c r="BD2141" s="1">
        <v>0.13</v>
      </c>
      <c r="BE2141" s="1">
        <v>0.0</v>
      </c>
      <c r="BF2141" s="1">
        <v>0.0</v>
      </c>
      <c r="BG2141" s="1">
        <v>0.0</v>
      </c>
      <c r="BH2141" s="1">
        <v>0.0</v>
      </c>
      <c r="BI2141" s="1">
        <v>0.0</v>
      </c>
      <c r="BJ2141" s="1">
        <v>0.0</v>
      </c>
      <c r="BP2141" s="1">
        <v>0.58</v>
      </c>
      <c r="BR2141" s="9" t="s">
        <v>6963</v>
      </c>
      <c r="BS2141" s="1" t="s">
        <v>1307</v>
      </c>
      <c r="BV2141" s="1">
        <v>1.1</v>
      </c>
      <c r="EQ2141" s="9" t="s">
        <v>6962</v>
      </c>
      <c r="ER2141" s="21">
        <v>46045.30181712963</v>
      </c>
    </row>
    <row r="2142">
      <c r="A2142" s="9" t="s">
        <v>6964</v>
      </c>
      <c r="B2142" s="20" t="str">
        <f>IFERROR(__xludf.DUMMYFUNCTION("REGEXREPLACE(A2142, ""^https?://[^/]+"", """")"),"/wp-content/uploads/2016/05/Goals-scaled-1-2048x2048.jpg")</f>
        <v>/wp-content/uploads/2016/05/Goals-scaled-1-2048x2048.jpg</v>
      </c>
      <c r="F2142" s="1" t="s">
        <v>1004</v>
      </c>
      <c r="G2142" s="1">
        <v>200.0</v>
      </c>
      <c r="H2142" s="1" t="s">
        <v>966</v>
      </c>
      <c r="I2142" s="1" t="s">
        <v>967</v>
      </c>
      <c r="L2142" s="1">
        <v>0.0</v>
      </c>
      <c r="M2142" s="1">
        <v>0.0</v>
      </c>
      <c r="O2142" s="1">
        <v>0.0</v>
      </c>
      <c r="P2142" s="1">
        <v>0.0</v>
      </c>
      <c r="R2142" s="1">
        <v>0.0</v>
      </c>
      <c r="S2142" s="1">
        <v>0.0</v>
      </c>
      <c r="U2142" s="1">
        <v>0.0</v>
      </c>
      <c r="W2142" s="1">
        <v>0.0</v>
      </c>
      <c r="Y2142" s="1">
        <v>0.0</v>
      </c>
      <c r="AA2142" s="1">
        <v>0.0</v>
      </c>
      <c r="AC2142" s="1">
        <v>0.0</v>
      </c>
      <c r="AM2142" s="1">
        <v>365208.0</v>
      </c>
      <c r="AN2142" s="1">
        <v>365208.0</v>
      </c>
      <c r="AO2142" s="1">
        <v>365208.0</v>
      </c>
      <c r="AP2142" s="1">
        <v>139.904</v>
      </c>
      <c r="AR2142" s="1">
        <v>0.0</v>
      </c>
      <c r="AW2142" s="1">
        <v>0.0</v>
      </c>
      <c r="AX2142" s="1">
        <v>5.0</v>
      </c>
      <c r="AY2142" s="1">
        <v>4.0</v>
      </c>
      <c r="BA2142" s="1">
        <v>0.0</v>
      </c>
      <c r="BB2142" s="1">
        <v>0.0</v>
      </c>
      <c r="BC2142" s="1">
        <v>0.0</v>
      </c>
      <c r="BD2142" s="1">
        <v>0.0</v>
      </c>
      <c r="BE2142" s="1">
        <v>0.0</v>
      </c>
      <c r="BF2142" s="1">
        <v>0.0</v>
      </c>
      <c r="BG2142" s="1">
        <v>0.0</v>
      </c>
      <c r="BH2142" s="1">
        <v>0.0</v>
      </c>
      <c r="BI2142" s="1">
        <v>0.0</v>
      </c>
      <c r="BJ2142" s="1">
        <v>0.0</v>
      </c>
      <c r="BP2142" s="1">
        <v>0.278</v>
      </c>
      <c r="BQ2142" s="1" t="s">
        <v>6965</v>
      </c>
      <c r="BV2142" s="1">
        <v>1.1</v>
      </c>
      <c r="EQ2142" s="9" t="s">
        <v>6964</v>
      </c>
      <c r="ER2142" s="21">
        <v>46045.30181712963</v>
      </c>
    </row>
    <row r="2143">
      <c r="A2143" s="9" t="s">
        <v>6966</v>
      </c>
      <c r="B2143" s="20" t="str">
        <f>IFERROR(__xludf.DUMMYFUNCTION("REGEXREPLACE(A2143, ""^https?://[^/]+"", """")"),"/wp-content/uploads/2020/05/https___specials-images.forbesimg.com_dam_imageserve_1166085433_960x0.jpg")</f>
        <v>/wp-content/uploads/2020/05/https___specials-images.forbesimg.com_dam_imageserve_1166085433_960x0.jpg</v>
      </c>
      <c r="F2143" s="1" t="s">
        <v>1004</v>
      </c>
      <c r="G2143" s="1">
        <v>200.0</v>
      </c>
      <c r="H2143" s="1" t="s">
        <v>966</v>
      </c>
      <c r="I2143" s="1" t="s">
        <v>967</v>
      </c>
      <c r="L2143" s="1">
        <v>0.0</v>
      </c>
      <c r="M2143" s="1">
        <v>0.0</v>
      </c>
      <c r="O2143" s="1">
        <v>0.0</v>
      </c>
      <c r="P2143" s="1">
        <v>0.0</v>
      </c>
      <c r="R2143" s="1">
        <v>0.0</v>
      </c>
      <c r="S2143" s="1">
        <v>0.0</v>
      </c>
      <c r="U2143" s="1">
        <v>0.0</v>
      </c>
      <c r="W2143" s="1">
        <v>0.0</v>
      </c>
      <c r="Y2143" s="1">
        <v>0.0</v>
      </c>
      <c r="AA2143" s="1">
        <v>0.0</v>
      </c>
      <c r="AC2143" s="1">
        <v>0.0</v>
      </c>
      <c r="AM2143" s="1">
        <v>70263.0</v>
      </c>
      <c r="AN2143" s="1">
        <v>70263.0</v>
      </c>
      <c r="AO2143" s="1">
        <v>70263.0</v>
      </c>
      <c r="AP2143" s="1">
        <v>26.916</v>
      </c>
      <c r="AR2143" s="1">
        <v>0.0</v>
      </c>
      <c r="AW2143" s="1">
        <v>0.0</v>
      </c>
      <c r="AX2143" s="1">
        <v>5.0</v>
      </c>
      <c r="AY2143" s="1">
        <v>4.0</v>
      </c>
      <c r="BA2143" s="1">
        <v>0.0</v>
      </c>
      <c r="BB2143" s="1">
        <v>0.0</v>
      </c>
      <c r="BC2143" s="1">
        <v>0.0</v>
      </c>
      <c r="BD2143" s="1">
        <v>0.0</v>
      </c>
      <c r="BE2143" s="1">
        <v>0.0</v>
      </c>
      <c r="BF2143" s="1">
        <v>0.0</v>
      </c>
      <c r="BG2143" s="1">
        <v>0.0</v>
      </c>
      <c r="BH2143" s="1">
        <v>0.0</v>
      </c>
      <c r="BI2143" s="1">
        <v>0.0</v>
      </c>
      <c r="BJ2143" s="1">
        <v>0.0</v>
      </c>
      <c r="BP2143" s="1">
        <v>0.269</v>
      </c>
      <c r="BQ2143" s="1" t="s">
        <v>6967</v>
      </c>
      <c r="BV2143" s="1">
        <v>1.1</v>
      </c>
      <c r="EQ2143" s="9" t="s">
        <v>6966</v>
      </c>
      <c r="ER2143" s="21">
        <v>46045.30181712963</v>
      </c>
    </row>
    <row r="2144">
      <c r="A2144" s="9" t="s">
        <v>6968</v>
      </c>
      <c r="B2144" s="20" t="str">
        <f>IFERROR(__xludf.DUMMYFUNCTION("REGEXREPLACE(A2144, ""^https?://[^/]+"", """")"),"/wp-content/uploads/2016/02/Identifying-problem--2048x2048.jpg")</f>
        <v>/wp-content/uploads/2016/02/Identifying-problem--2048x2048.jpg</v>
      </c>
      <c r="F2144" s="1" t="s">
        <v>1004</v>
      </c>
      <c r="G2144" s="1">
        <v>200.0</v>
      </c>
      <c r="H2144" s="1" t="s">
        <v>966</v>
      </c>
      <c r="I2144" s="1" t="s">
        <v>967</v>
      </c>
      <c r="L2144" s="1">
        <v>0.0</v>
      </c>
      <c r="M2144" s="1">
        <v>0.0</v>
      </c>
      <c r="O2144" s="1">
        <v>0.0</v>
      </c>
      <c r="P2144" s="1">
        <v>0.0</v>
      </c>
      <c r="R2144" s="1">
        <v>0.0</v>
      </c>
      <c r="S2144" s="1">
        <v>0.0</v>
      </c>
      <c r="U2144" s="1">
        <v>0.0</v>
      </c>
      <c r="W2144" s="1">
        <v>0.0</v>
      </c>
      <c r="Y2144" s="1">
        <v>0.0</v>
      </c>
      <c r="AA2144" s="1">
        <v>0.0</v>
      </c>
      <c r="AC2144" s="1">
        <v>0.0</v>
      </c>
      <c r="AM2144" s="1">
        <v>129242.0</v>
      </c>
      <c r="AN2144" s="1">
        <v>129242.0</v>
      </c>
      <c r="AO2144" s="1">
        <v>129242.0</v>
      </c>
      <c r="AP2144" s="1">
        <v>49.51</v>
      </c>
      <c r="AR2144" s="1">
        <v>0.0</v>
      </c>
      <c r="AW2144" s="1">
        <v>0.0</v>
      </c>
      <c r="AX2144" s="1">
        <v>5.0</v>
      </c>
      <c r="AY2144" s="1">
        <v>4.0</v>
      </c>
      <c r="BA2144" s="1">
        <v>0.0</v>
      </c>
      <c r="BB2144" s="1">
        <v>0.0</v>
      </c>
      <c r="BC2144" s="1">
        <v>0.0</v>
      </c>
      <c r="BD2144" s="1">
        <v>0.0</v>
      </c>
      <c r="BE2144" s="1">
        <v>0.0</v>
      </c>
      <c r="BF2144" s="1">
        <v>0.0</v>
      </c>
      <c r="BG2144" s="1">
        <v>0.0</v>
      </c>
      <c r="BH2144" s="1">
        <v>0.0</v>
      </c>
      <c r="BI2144" s="1">
        <v>0.0</v>
      </c>
      <c r="BJ2144" s="1">
        <v>0.0</v>
      </c>
      <c r="BP2144" s="1">
        <v>0.269</v>
      </c>
      <c r="BQ2144" s="1" t="s">
        <v>6969</v>
      </c>
      <c r="BV2144" s="1">
        <v>1.1</v>
      </c>
      <c r="EQ2144" s="9" t="s">
        <v>6968</v>
      </c>
      <c r="ER2144" s="21">
        <v>46045.30181712963</v>
      </c>
    </row>
    <row r="2145">
      <c r="A2145" s="9" t="s">
        <v>6970</v>
      </c>
      <c r="B2145" s="20" t="str">
        <f>IFERROR(__xludf.DUMMYFUNCTION("REGEXREPLACE(A2145, ""^https?://[^/]+"", """")"),"/wp-content/themes/salesxceleratione/assets/css/style.css?ver=1769123601")</f>
        <v>/wp-content/themes/salesxceleratione/assets/css/style.css?ver=1769123601</v>
      </c>
      <c r="F2145" s="1" t="s">
        <v>1016</v>
      </c>
      <c r="G2145" s="1">
        <v>200.0</v>
      </c>
      <c r="H2145" s="1" t="s">
        <v>966</v>
      </c>
      <c r="I2145" s="1" t="s">
        <v>967</v>
      </c>
      <c r="L2145" s="1">
        <v>0.0</v>
      </c>
      <c r="M2145" s="1">
        <v>0.0</v>
      </c>
      <c r="O2145" s="1">
        <v>0.0</v>
      </c>
      <c r="P2145" s="1">
        <v>0.0</v>
      </c>
      <c r="R2145" s="1">
        <v>0.0</v>
      </c>
      <c r="S2145" s="1">
        <v>0.0</v>
      </c>
      <c r="U2145" s="1">
        <v>0.0</v>
      </c>
      <c r="W2145" s="1">
        <v>0.0</v>
      </c>
      <c r="Y2145" s="1">
        <v>0.0</v>
      </c>
      <c r="AA2145" s="1">
        <v>0.0</v>
      </c>
      <c r="AC2145" s="1">
        <v>0.0</v>
      </c>
      <c r="AM2145" s="1">
        <v>17704.0</v>
      </c>
      <c r="AN2145" s="1">
        <v>17704.0</v>
      </c>
      <c r="AO2145" s="1">
        <v>17704.0</v>
      </c>
      <c r="AP2145" s="1">
        <v>6.782</v>
      </c>
      <c r="AR2145" s="1">
        <v>0.0</v>
      </c>
      <c r="AW2145" s="1">
        <v>0.0</v>
      </c>
      <c r="AX2145" s="1">
        <v>5.0</v>
      </c>
      <c r="AY2145" s="1">
        <v>5.0</v>
      </c>
      <c r="BA2145" s="1">
        <v>0.0</v>
      </c>
      <c r="BB2145" s="1">
        <v>0.0</v>
      </c>
      <c r="BC2145" s="1">
        <v>0.0</v>
      </c>
      <c r="BD2145" s="1">
        <v>0.0</v>
      </c>
      <c r="BE2145" s="1">
        <v>0.0</v>
      </c>
      <c r="BF2145" s="1">
        <v>0.0</v>
      </c>
      <c r="BG2145" s="1">
        <v>0.0</v>
      </c>
      <c r="BH2145" s="1">
        <v>0.0</v>
      </c>
      <c r="BI2145" s="1">
        <v>0.0</v>
      </c>
      <c r="BJ2145" s="1">
        <v>0.0</v>
      </c>
      <c r="BP2145" s="1">
        <v>0.262</v>
      </c>
      <c r="BQ2145" s="1" t="s">
        <v>6971</v>
      </c>
      <c r="BV2145" s="1">
        <v>1.1</v>
      </c>
      <c r="EQ2145" s="9" t="s">
        <v>6970</v>
      </c>
      <c r="ER2145" s="21">
        <v>46045.301828703705</v>
      </c>
    </row>
    <row r="2146">
      <c r="A2146" s="9" t="s">
        <v>6972</v>
      </c>
      <c r="B2146" s="20" t="str">
        <f>IFERROR(__xludf.DUMMYFUNCTION("REGEXREPLACE(A2146, ""^https?://[^/]+"", """")"),"/sales-planning-setting-goals-achieve-results/")</f>
        <v>/sales-planning-setting-goals-achieve-results/</v>
      </c>
      <c r="C2146" s="1" t="s">
        <v>6973</v>
      </c>
      <c r="F2146" s="1" t="s">
        <v>965</v>
      </c>
      <c r="G2146" s="1">
        <v>200.0</v>
      </c>
      <c r="H2146" s="1" t="s">
        <v>966</v>
      </c>
      <c r="I2146" s="1" t="s">
        <v>967</v>
      </c>
      <c r="K2146" s="1" t="s">
        <v>6974</v>
      </c>
      <c r="L2146" s="1">
        <v>75.0</v>
      </c>
      <c r="M2146" s="1">
        <v>670.0</v>
      </c>
      <c r="O2146" s="1">
        <v>0.0</v>
      </c>
      <c r="P2146" s="1">
        <v>0.0</v>
      </c>
      <c r="Q2146" s="1" t="s">
        <v>6975</v>
      </c>
      <c r="R2146" s="1">
        <v>152.0</v>
      </c>
      <c r="S2146" s="1">
        <v>937.0</v>
      </c>
      <c r="U2146" s="1">
        <v>0.0</v>
      </c>
      <c r="V2146" s="1" t="s">
        <v>6973</v>
      </c>
      <c r="W2146" s="1">
        <v>50.0</v>
      </c>
      <c r="Y2146" s="1">
        <v>0.0</v>
      </c>
      <c r="AA2146" s="1">
        <v>0.0</v>
      </c>
      <c r="AC2146" s="1">
        <v>0.0</v>
      </c>
      <c r="AD2146" s="1" t="s">
        <v>971</v>
      </c>
      <c r="AG2146" s="9" t="s">
        <v>6972</v>
      </c>
      <c r="AM2146" s="1">
        <v>197100.0</v>
      </c>
      <c r="AN2146" s="1">
        <v>34631.0</v>
      </c>
      <c r="AO2146" s="1">
        <v>34631.0</v>
      </c>
      <c r="AP2146" s="1">
        <v>13.266</v>
      </c>
      <c r="AR2146" s="1">
        <v>946.0</v>
      </c>
      <c r="AS2146" s="1">
        <v>157.0</v>
      </c>
      <c r="AT2146" s="1">
        <v>6.025</v>
      </c>
      <c r="AU2146" s="1">
        <v>71.226</v>
      </c>
      <c r="AV2146" s="1" t="s">
        <v>1264</v>
      </c>
      <c r="AW2146" s="1">
        <v>4.075</v>
      </c>
      <c r="AX2146" s="1">
        <v>5.0</v>
      </c>
      <c r="AY2146" s="1">
        <v>1.0</v>
      </c>
      <c r="AZ2146" s="1">
        <v>1.0</v>
      </c>
      <c r="BA2146" s="1">
        <v>9.0</v>
      </c>
      <c r="BB2146" s="1">
        <v>9.0</v>
      </c>
      <c r="BC2146" s="1">
        <v>0.0</v>
      </c>
      <c r="BD2146" s="1">
        <v>1.19</v>
      </c>
      <c r="BE2146" s="1">
        <v>131.0</v>
      </c>
      <c r="BF2146" s="1">
        <v>49.0</v>
      </c>
      <c r="BG2146" s="1">
        <v>0.0</v>
      </c>
      <c r="BH2146" s="1">
        <v>16.0</v>
      </c>
      <c r="BI2146" s="1">
        <v>8.0</v>
      </c>
      <c r="BJ2146" s="1">
        <v>0.0</v>
      </c>
      <c r="BO2146" s="1" t="s">
        <v>6976</v>
      </c>
      <c r="BP2146" s="1">
        <v>0.965</v>
      </c>
      <c r="BU2146" s="1" t="s">
        <v>974</v>
      </c>
      <c r="BV2146" s="1">
        <v>1.1</v>
      </c>
      <c r="EQ2146" s="9" t="s">
        <v>6972</v>
      </c>
      <c r="ER2146" s="21">
        <v>46045.30181712963</v>
      </c>
    </row>
    <row r="2147">
      <c r="A2147" s="9" t="s">
        <v>6977</v>
      </c>
      <c r="B2147" s="20" t="str">
        <f>IFERROR(__xludf.DUMMYFUNCTION("REGEXREPLACE(A2147, ""^https?://[^/]+"", """")"),"/wp-content/uploads/2015/04/revealed-sales-x-2048x2048.png")</f>
        <v>/wp-content/uploads/2015/04/revealed-sales-x-2048x2048.png</v>
      </c>
      <c r="F2147" s="1" t="s">
        <v>1047</v>
      </c>
      <c r="G2147" s="1">
        <v>200.0</v>
      </c>
      <c r="H2147" s="1" t="s">
        <v>966</v>
      </c>
      <c r="I2147" s="1" t="s">
        <v>967</v>
      </c>
      <c r="L2147" s="1">
        <v>0.0</v>
      </c>
      <c r="M2147" s="1">
        <v>0.0</v>
      </c>
      <c r="O2147" s="1">
        <v>0.0</v>
      </c>
      <c r="P2147" s="1">
        <v>0.0</v>
      </c>
      <c r="R2147" s="1">
        <v>0.0</v>
      </c>
      <c r="S2147" s="1">
        <v>0.0</v>
      </c>
      <c r="U2147" s="1">
        <v>0.0</v>
      </c>
      <c r="W2147" s="1">
        <v>0.0</v>
      </c>
      <c r="Y2147" s="1">
        <v>0.0</v>
      </c>
      <c r="AA2147" s="1">
        <v>0.0</v>
      </c>
      <c r="AC2147" s="1">
        <v>0.0</v>
      </c>
      <c r="AM2147" s="1">
        <v>1443329.0</v>
      </c>
      <c r="AN2147" s="1">
        <v>1443329.0</v>
      </c>
      <c r="AO2147" s="1">
        <v>1443329.0</v>
      </c>
      <c r="AP2147" s="1">
        <v>552.912</v>
      </c>
      <c r="AR2147" s="1">
        <v>0.0</v>
      </c>
      <c r="AW2147" s="1">
        <v>0.0</v>
      </c>
      <c r="AX2147" s="1">
        <v>5.0</v>
      </c>
      <c r="AY2147" s="1">
        <v>4.0</v>
      </c>
      <c r="BA2147" s="1">
        <v>0.0</v>
      </c>
      <c r="BB2147" s="1">
        <v>0.0</v>
      </c>
      <c r="BC2147" s="1">
        <v>0.0</v>
      </c>
      <c r="BD2147" s="1">
        <v>0.0</v>
      </c>
      <c r="BE2147" s="1">
        <v>0.0</v>
      </c>
      <c r="BF2147" s="1">
        <v>0.0</v>
      </c>
      <c r="BG2147" s="1">
        <v>0.0</v>
      </c>
      <c r="BH2147" s="1">
        <v>0.0</v>
      </c>
      <c r="BI2147" s="1">
        <v>0.0</v>
      </c>
      <c r="BJ2147" s="1">
        <v>0.0</v>
      </c>
      <c r="BP2147" s="1">
        <v>0.258</v>
      </c>
      <c r="BQ2147" s="1" t="s">
        <v>6978</v>
      </c>
      <c r="BV2147" s="1">
        <v>1.1</v>
      </c>
      <c r="EQ2147" s="9" t="s">
        <v>6977</v>
      </c>
      <c r="ER2147" s="21">
        <v>46045.301828703705</v>
      </c>
    </row>
    <row r="2148">
      <c r="A2148" s="9" t="s">
        <v>6979</v>
      </c>
      <c r="B2148" s="20" t="str">
        <f>IFERROR(__xludf.DUMMYFUNCTION("REGEXREPLACE(A2148, ""^https?://[^/]+"", """")"),"/strategy-structure-people/")</f>
        <v>/strategy-structure-people/</v>
      </c>
      <c r="C2148" s="1" t="s">
        <v>6980</v>
      </c>
      <c r="D2148" s="1" t="s">
        <v>6981</v>
      </c>
      <c r="E2148" s="1" t="s">
        <v>6982</v>
      </c>
      <c r="F2148" s="1" t="s">
        <v>965</v>
      </c>
      <c r="G2148" s="1">
        <v>200.0</v>
      </c>
      <c r="H2148" s="1" t="s">
        <v>966</v>
      </c>
      <c r="I2148" s="1" t="s">
        <v>967</v>
      </c>
      <c r="K2148" s="1" t="s">
        <v>6983</v>
      </c>
      <c r="L2148" s="1">
        <v>73.0</v>
      </c>
      <c r="M2148" s="1">
        <v>652.0</v>
      </c>
      <c r="O2148" s="1">
        <v>0.0</v>
      </c>
      <c r="P2148" s="1">
        <v>0.0</v>
      </c>
      <c r="Q2148" s="1" t="s">
        <v>6984</v>
      </c>
      <c r="R2148" s="1">
        <v>128.0</v>
      </c>
      <c r="S2148" s="1">
        <v>783.0</v>
      </c>
      <c r="U2148" s="1">
        <v>0.0</v>
      </c>
      <c r="V2148" s="1" t="s">
        <v>6980</v>
      </c>
      <c r="W2148" s="1">
        <v>43.0</v>
      </c>
      <c r="Y2148" s="1">
        <v>0.0</v>
      </c>
      <c r="Z2148" s="1" t="s">
        <v>6981</v>
      </c>
      <c r="AA2148" s="1">
        <v>50.0</v>
      </c>
      <c r="AB2148" s="1" t="s">
        <v>6982</v>
      </c>
      <c r="AC2148" s="1">
        <v>38.0</v>
      </c>
      <c r="AD2148" s="1" t="s">
        <v>971</v>
      </c>
      <c r="AG2148" s="9" t="s">
        <v>6979</v>
      </c>
      <c r="AM2148" s="1">
        <v>197415.0</v>
      </c>
      <c r="AN2148" s="1">
        <v>35104.0</v>
      </c>
      <c r="AO2148" s="1">
        <v>35104.0</v>
      </c>
      <c r="AP2148" s="1">
        <v>13.448</v>
      </c>
      <c r="AR2148" s="1">
        <v>1131.0</v>
      </c>
      <c r="AS2148" s="1">
        <v>171.0</v>
      </c>
      <c r="AT2148" s="1">
        <v>6.614</v>
      </c>
      <c r="AU2148" s="1">
        <v>63.759</v>
      </c>
      <c r="AV2148" s="1" t="s">
        <v>990</v>
      </c>
      <c r="AW2148" s="1">
        <v>4.756</v>
      </c>
      <c r="AX2148" s="1">
        <v>5.0</v>
      </c>
      <c r="AY2148" s="1">
        <v>1.0</v>
      </c>
      <c r="AZ2148" s="1">
        <v>1.0</v>
      </c>
      <c r="BA2148" s="1">
        <v>15.0</v>
      </c>
      <c r="BB2148" s="1">
        <v>15.0</v>
      </c>
      <c r="BC2148" s="1">
        <v>0.0</v>
      </c>
      <c r="BD2148" s="1">
        <v>1.99</v>
      </c>
      <c r="BE2148" s="1">
        <v>133.0</v>
      </c>
      <c r="BF2148" s="1">
        <v>48.0</v>
      </c>
      <c r="BG2148" s="1">
        <v>0.0</v>
      </c>
      <c r="BH2148" s="1">
        <v>16.0</v>
      </c>
      <c r="BI2148" s="1">
        <v>8.0</v>
      </c>
      <c r="BJ2148" s="1">
        <v>0.0</v>
      </c>
      <c r="BO2148" s="1" t="s">
        <v>6985</v>
      </c>
      <c r="BP2148" s="1">
        <v>0.986</v>
      </c>
      <c r="BU2148" s="1" t="s">
        <v>974</v>
      </c>
      <c r="BV2148" s="1">
        <v>1.1</v>
      </c>
      <c r="EQ2148" s="9" t="s">
        <v>6979</v>
      </c>
      <c r="ER2148" s="21">
        <v>46045.30181712963</v>
      </c>
    </row>
    <row r="2149">
      <c r="A2149" s="9" t="s">
        <v>6986</v>
      </c>
      <c r="B2149" s="20" t="str">
        <f>IFERROR(__xludf.DUMMYFUNCTION("REGEXREPLACE(A2149, ""^https?://[^/]+"", """")"),"/wp-content/uploads/2015/03/End-of-year-sales-xceleration.png")</f>
        <v>/wp-content/uploads/2015/03/End-of-year-sales-xceleration.png</v>
      </c>
      <c r="F2149" s="1" t="s">
        <v>1047</v>
      </c>
      <c r="G2149" s="1">
        <v>200.0</v>
      </c>
      <c r="H2149" s="1" t="s">
        <v>966</v>
      </c>
      <c r="I2149" s="1" t="s">
        <v>967</v>
      </c>
      <c r="L2149" s="1">
        <v>0.0</v>
      </c>
      <c r="M2149" s="1">
        <v>0.0</v>
      </c>
      <c r="O2149" s="1">
        <v>0.0</v>
      </c>
      <c r="P2149" s="1">
        <v>0.0</v>
      </c>
      <c r="R2149" s="1">
        <v>0.0</v>
      </c>
      <c r="S2149" s="1">
        <v>0.0</v>
      </c>
      <c r="U2149" s="1">
        <v>0.0</v>
      </c>
      <c r="W2149" s="1">
        <v>0.0</v>
      </c>
      <c r="Y2149" s="1">
        <v>0.0</v>
      </c>
      <c r="AA2149" s="1">
        <v>0.0</v>
      </c>
      <c r="AC2149" s="1">
        <v>0.0</v>
      </c>
      <c r="AM2149" s="1">
        <v>76004.0</v>
      </c>
      <c r="AN2149" s="1">
        <v>76004.0</v>
      </c>
      <c r="AO2149" s="1">
        <v>76004.0</v>
      </c>
      <c r="AP2149" s="1">
        <v>29.116</v>
      </c>
      <c r="AR2149" s="1">
        <v>0.0</v>
      </c>
      <c r="AW2149" s="1">
        <v>0.0</v>
      </c>
      <c r="AX2149" s="1">
        <v>5.0</v>
      </c>
      <c r="AY2149" s="1">
        <v>4.0</v>
      </c>
      <c r="BA2149" s="1">
        <v>0.0</v>
      </c>
      <c r="BB2149" s="1">
        <v>0.0</v>
      </c>
      <c r="BC2149" s="1">
        <v>0.0</v>
      </c>
      <c r="BD2149" s="1">
        <v>0.0</v>
      </c>
      <c r="BE2149" s="1">
        <v>0.0</v>
      </c>
      <c r="BF2149" s="1">
        <v>0.0</v>
      </c>
      <c r="BG2149" s="1">
        <v>0.0</v>
      </c>
      <c r="BH2149" s="1">
        <v>0.0</v>
      </c>
      <c r="BI2149" s="1">
        <v>0.0</v>
      </c>
      <c r="BJ2149" s="1">
        <v>0.0</v>
      </c>
      <c r="BP2149" s="1">
        <v>0.268</v>
      </c>
      <c r="BQ2149" s="1" t="s">
        <v>6987</v>
      </c>
      <c r="BV2149" s="1">
        <v>1.1</v>
      </c>
      <c r="EQ2149" s="9" t="s">
        <v>6986</v>
      </c>
      <c r="ER2149" s="21">
        <v>46045.301828703705</v>
      </c>
    </row>
    <row r="2150">
      <c r="A2150" s="9" t="s">
        <v>6988</v>
      </c>
      <c r="B2150" s="20" t="str">
        <f>IFERROR(__xludf.DUMMYFUNCTION("REGEXREPLACE(A2150, ""^https?://[^/]+"", """")"),"/wp-content/uploads/2015/03/SIlence-Sales-xceleration.png")</f>
        <v>/wp-content/uploads/2015/03/SIlence-Sales-xceleration.png</v>
      </c>
      <c r="F2150" s="1" t="s">
        <v>1047</v>
      </c>
      <c r="G2150" s="1">
        <v>200.0</v>
      </c>
      <c r="H2150" s="1" t="s">
        <v>966</v>
      </c>
      <c r="I2150" s="1" t="s">
        <v>967</v>
      </c>
      <c r="L2150" s="1">
        <v>0.0</v>
      </c>
      <c r="M2150" s="1">
        <v>0.0</v>
      </c>
      <c r="O2150" s="1">
        <v>0.0</v>
      </c>
      <c r="P2150" s="1">
        <v>0.0</v>
      </c>
      <c r="R2150" s="1">
        <v>0.0</v>
      </c>
      <c r="S2150" s="1">
        <v>0.0</v>
      </c>
      <c r="U2150" s="1">
        <v>0.0</v>
      </c>
      <c r="W2150" s="1">
        <v>0.0</v>
      </c>
      <c r="Y2150" s="1">
        <v>0.0</v>
      </c>
      <c r="AA2150" s="1">
        <v>0.0</v>
      </c>
      <c r="AC2150" s="1">
        <v>0.0</v>
      </c>
      <c r="AM2150" s="1">
        <v>91535.0</v>
      </c>
      <c r="AN2150" s="1">
        <v>91535.0</v>
      </c>
      <c r="AO2150" s="1">
        <v>91535.0</v>
      </c>
      <c r="AP2150" s="1">
        <v>35.065</v>
      </c>
      <c r="AR2150" s="1">
        <v>0.0</v>
      </c>
      <c r="AW2150" s="1">
        <v>0.0</v>
      </c>
      <c r="AX2150" s="1">
        <v>5.0</v>
      </c>
      <c r="AY2150" s="1">
        <v>4.0</v>
      </c>
      <c r="BA2150" s="1">
        <v>0.0</v>
      </c>
      <c r="BB2150" s="1">
        <v>0.0</v>
      </c>
      <c r="BC2150" s="1">
        <v>0.0</v>
      </c>
      <c r="BD2150" s="1">
        <v>0.0</v>
      </c>
      <c r="BE2150" s="1">
        <v>0.0</v>
      </c>
      <c r="BF2150" s="1">
        <v>0.0</v>
      </c>
      <c r="BG2150" s="1">
        <v>0.0</v>
      </c>
      <c r="BH2150" s="1">
        <v>0.0</v>
      </c>
      <c r="BI2150" s="1">
        <v>0.0</v>
      </c>
      <c r="BJ2150" s="1">
        <v>0.0</v>
      </c>
      <c r="BP2150" s="1">
        <v>0.272</v>
      </c>
      <c r="BQ2150" s="1" t="s">
        <v>6989</v>
      </c>
      <c r="BV2150" s="1">
        <v>1.1</v>
      </c>
      <c r="EQ2150" s="9" t="s">
        <v>6988</v>
      </c>
      <c r="ER2150" s="21">
        <v>46045.301828703705</v>
      </c>
    </row>
    <row r="2151">
      <c r="A2151" s="9" t="s">
        <v>6990</v>
      </c>
      <c r="B2151" s="20" t="str">
        <f>IFERROR(__xludf.DUMMYFUNCTION("REGEXREPLACE(A2151, ""^https?://[^/]+"", """")"),"/wp-content/themes/salesxceleratione/assets/css/style.css?ver=1769123602")</f>
        <v>/wp-content/themes/salesxceleratione/assets/css/style.css?ver=1769123602</v>
      </c>
      <c r="F2151" s="1" t="s">
        <v>1016</v>
      </c>
      <c r="G2151" s="1">
        <v>200.0</v>
      </c>
      <c r="H2151" s="1" t="s">
        <v>966</v>
      </c>
      <c r="I2151" s="1" t="s">
        <v>967</v>
      </c>
      <c r="L2151" s="1">
        <v>0.0</v>
      </c>
      <c r="M2151" s="1">
        <v>0.0</v>
      </c>
      <c r="O2151" s="1">
        <v>0.0</v>
      </c>
      <c r="P2151" s="1">
        <v>0.0</v>
      </c>
      <c r="R2151" s="1">
        <v>0.0</v>
      </c>
      <c r="S2151" s="1">
        <v>0.0</v>
      </c>
      <c r="U2151" s="1">
        <v>0.0</v>
      </c>
      <c r="W2151" s="1">
        <v>0.0</v>
      </c>
      <c r="Y2151" s="1">
        <v>0.0</v>
      </c>
      <c r="AA2151" s="1">
        <v>0.0</v>
      </c>
      <c r="AC2151" s="1">
        <v>0.0</v>
      </c>
      <c r="AM2151" s="1">
        <v>17704.0</v>
      </c>
      <c r="AN2151" s="1">
        <v>17704.0</v>
      </c>
      <c r="AO2151" s="1">
        <v>17704.0</v>
      </c>
      <c r="AP2151" s="1">
        <v>6.782</v>
      </c>
      <c r="AR2151" s="1">
        <v>0.0</v>
      </c>
      <c r="AW2151" s="1">
        <v>0.0</v>
      </c>
      <c r="AX2151" s="1">
        <v>5.0</v>
      </c>
      <c r="AY2151" s="1">
        <v>5.0</v>
      </c>
      <c r="BA2151" s="1">
        <v>0.0</v>
      </c>
      <c r="BB2151" s="1">
        <v>0.0</v>
      </c>
      <c r="BC2151" s="1">
        <v>0.0</v>
      </c>
      <c r="BD2151" s="1">
        <v>0.0</v>
      </c>
      <c r="BE2151" s="1">
        <v>0.0</v>
      </c>
      <c r="BF2151" s="1">
        <v>0.0</v>
      </c>
      <c r="BG2151" s="1">
        <v>0.0</v>
      </c>
      <c r="BH2151" s="1">
        <v>0.0</v>
      </c>
      <c r="BI2151" s="1">
        <v>0.0</v>
      </c>
      <c r="BJ2151" s="1">
        <v>0.0</v>
      </c>
      <c r="BP2151" s="1">
        <v>0.368</v>
      </c>
      <c r="BQ2151" s="1" t="s">
        <v>5434</v>
      </c>
      <c r="BV2151" s="1">
        <v>1.1</v>
      </c>
      <c r="EQ2151" s="9" t="s">
        <v>6990</v>
      </c>
      <c r="ER2151" s="21">
        <v>46045.301828703705</v>
      </c>
    </row>
    <row r="2152">
      <c r="A2152" s="9" t="s">
        <v>6991</v>
      </c>
      <c r="B2152" s="20" t="str">
        <f>IFERROR(__xludf.DUMMYFUNCTION("REGEXREPLACE(A2152, ""^https?://[^/]+"", """")"),"/wp-content/uploads/2015/03/Silence-for-Selling.jpg")</f>
        <v>/wp-content/uploads/2015/03/Silence-for-Selling.jpg</v>
      </c>
      <c r="F2152" s="1" t="s">
        <v>1004</v>
      </c>
      <c r="G2152" s="1">
        <v>200.0</v>
      </c>
      <c r="H2152" s="1" t="s">
        <v>966</v>
      </c>
      <c r="I2152" s="1" t="s">
        <v>967</v>
      </c>
      <c r="L2152" s="1">
        <v>0.0</v>
      </c>
      <c r="M2152" s="1">
        <v>0.0</v>
      </c>
      <c r="O2152" s="1">
        <v>0.0</v>
      </c>
      <c r="P2152" s="1">
        <v>0.0</v>
      </c>
      <c r="R2152" s="1">
        <v>0.0</v>
      </c>
      <c r="S2152" s="1">
        <v>0.0</v>
      </c>
      <c r="U2152" s="1">
        <v>0.0</v>
      </c>
      <c r="W2152" s="1">
        <v>0.0</v>
      </c>
      <c r="Y2152" s="1">
        <v>0.0</v>
      </c>
      <c r="AA2152" s="1">
        <v>0.0</v>
      </c>
      <c r="AC2152" s="1">
        <v>0.0</v>
      </c>
      <c r="AM2152" s="1">
        <v>18923.0</v>
      </c>
      <c r="AN2152" s="1">
        <v>18923.0</v>
      </c>
      <c r="AO2152" s="1">
        <v>18923.0</v>
      </c>
      <c r="AP2152" s="1">
        <v>7.249</v>
      </c>
      <c r="AR2152" s="1">
        <v>0.0</v>
      </c>
      <c r="AW2152" s="1">
        <v>0.0</v>
      </c>
      <c r="AX2152" s="1">
        <v>5.0</v>
      </c>
      <c r="AY2152" s="1">
        <v>4.0</v>
      </c>
      <c r="AZ2152" s="1">
        <v>1.0</v>
      </c>
      <c r="BA2152" s="1">
        <v>1.0</v>
      </c>
      <c r="BB2152" s="1">
        <v>1.0</v>
      </c>
      <c r="BC2152" s="1">
        <v>0.0</v>
      </c>
      <c r="BD2152" s="1">
        <v>0.13</v>
      </c>
      <c r="BE2152" s="1">
        <v>0.0</v>
      </c>
      <c r="BF2152" s="1">
        <v>0.0</v>
      </c>
      <c r="BG2152" s="1">
        <v>0.0</v>
      </c>
      <c r="BH2152" s="1">
        <v>0.0</v>
      </c>
      <c r="BI2152" s="1">
        <v>0.0</v>
      </c>
      <c r="BJ2152" s="1">
        <v>0.0</v>
      </c>
      <c r="BP2152" s="1">
        <v>0.3</v>
      </c>
      <c r="BQ2152" s="1" t="s">
        <v>6992</v>
      </c>
      <c r="BV2152" s="1">
        <v>1.1</v>
      </c>
      <c r="EQ2152" s="9" t="s">
        <v>6991</v>
      </c>
      <c r="ER2152" s="21">
        <v>46045.301828703705</v>
      </c>
    </row>
    <row r="2153">
      <c r="A2153" s="9" t="s">
        <v>6993</v>
      </c>
      <c r="B2153" s="20" t="str">
        <f>IFERROR(__xludf.DUMMYFUNCTION("REGEXREPLACE(A2153, ""^https?://[^/]+"", """")"),"/revealed-the-surprising-identity-of-your-fiercest-competitor/")</f>
        <v>/revealed-the-surprising-identity-of-your-fiercest-competitor/</v>
      </c>
      <c r="C2153" s="1" t="s">
        <v>6994</v>
      </c>
      <c r="F2153" s="1" t="s">
        <v>965</v>
      </c>
      <c r="G2153" s="1">
        <v>200.0</v>
      </c>
      <c r="H2153" s="1" t="s">
        <v>966</v>
      </c>
      <c r="I2153" s="1" t="s">
        <v>967</v>
      </c>
      <c r="K2153" s="1" t="s">
        <v>6995</v>
      </c>
      <c r="L2153" s="1">
        <v>86.0</v>
      </c>
      <c r="M2153" s="1">
        <v>759.0</v>
      </c>
      <c r="O2153" s="1">
        <v>0.0</v>
      </c>
      <c r="P2153" s="1">
        <v>0.0</v>
      </c>
      <c r="Q2153" s="1" t="s">
        <v>6996</v>
      </c>
      <c r="R2153" s="1">
        <v>149.0</v>
      </c>
      <c r="S2153" s="1">
        <v>914.0</v>
      </c>
      <c r="U2153" s="1">
        <v>0.0</v>
      </c>
      <c r="V2153" s="1" t="s">
        <v>6994</v>
      </c>
      <c r="W2153" s="1">
        <v>61.0</v>
      </c>
      <c r="Y2153" s="1">
        <v>0.0</v>
      </c>
      <c r="AA2153" s="1">
        <v>0.0</v>
      </c>
      <c r="AC2153" s="1">
        <v>0.0</v>
      </c>
      <c r="AD2153" s="1" t="s">
        <v>971</v>
      </c>
      <c r="AG2153" s="9" t="s">
        <v>6993</v>
      </c>
      <c r="AM2153" s="1">
        <v>203910.0</v>
      </c>
      <c r="AN2153" s="1">
        <v>36312.0</v>
      </c>
      <c r="AO2153" s="1">
        <v>36312.0</v>
      </c>
      <c r="AP2153" s="1">
        <v>13.91</v>
      </c>
      <c r="AR2153" s="1">
        <v>1442.0</v>
      </c>
      <c r="AS2153" s="1">
        <v>216.0</v>
      </c>
      <c r="AT2153" s="1">
        <v>6.676</v>
      </c>
      <c r="AU2153" s="1">
        <v>67.644</v>
      </c>
      <c r="AV2153" s="1" t="s">
        <v>990</v>
      </c>
      <c r="AW2153" s="1">
        <v>5.431</v>
      </c>
      <c r="AX2153" s="1">
        <v>5.0</v>
      </c>
      <c r="AY2153" s="1">
        <v>1.0</v>
      </c>
      <c r="AZ2153" s="1">
        <v>1.0</v>
      </c>
      <c r="BA2153" s="1">
        <v>9.0</v>
      </c>
      <c r="BB2153" s="1">
        <v>9.0</v>
      </c>
      <c r="BC2153" s="1">
        <v>0.0</v>
      </c>
      <c r="BD2153" s="1">
        <v>1.19</v>
      </c>
      <c r="BE2153" s="1">
        <v>131.0</v>
      </c>
      <c r="BF2153" s="1">
        <v>49.0</v>
      </c>
      <c r="BG2153" s="1">
        <v>0.0</v>
      </c>
      <c r="BH2153" s="1">
        <v>16.0</v>
      </c>
      <c r="BI2153" s="1">
        <v>8.0</v>
      </c>
      <c r="BJ2153" s="1">
        <v>0.0</v>
      </c>
      <c r="BO2153" s="1" t="s">
        <v>6997</v>
      </c>
      <c r="BP2153" s="1">
        <v>1.128</v>
      </c>
      <c r="BU2153" s="1" t="s">
        <v>974</v>
      </c>
      <c r="BV2153" s="1">
        <v>1.1</v>
      </c>
      <c r="EQ2153" s="9" t="s">
        <v>6993</v>
      </c>
      <c r="ER2153" s="21">
        <v>46045.301828703705</v>
      </c>
    </row>
    <row r="2154">
      <c r="A2154" s="9" t="s">
        <v>6998</v>
      </c>
      <c r="B2154" s="20" t="str">
        <f>IFERROR(__xludf.DUMMYFUNCTION("REGEXREPLACE(A2154, ""^https?://[^/]+"", """")"),"/wp-content/uploads/2015/03/Silence-for-Selling-300x199.jpg")</f>
        <v>/wp-content/uploads/2015/03/Silence-for-Selling-300x199.jpg</v>
      </c>
      <c r="F2154" s="1" t="s">
        <v>1004</v>
      </c>
      <c r="G2154" s="1">
        <v>200.0</v>
      </c>
      <c r="H2154" s="1" t="s">
        <v>966</v>
      </c>
      <c r="I2154" s="1" t="s">
        <v>967</v>
      </c>
      <c r="L2154" s="1">
        <v>0.0</v>
      </c>
      <c r="M2154" s="1">
        <v>0.0</v>
      </c>
      <c r="O2154" s="1">
        <v>0.0</v>
      </c>
      <c r="P2154" s="1">
        <v>0.0</v>
      </c>
      <c r="R2154" s="1">
        <v>0.0</v>
      </c>
      <c r="S2154" s="1">
        <v>0.0</v>
      </c>
      <c r="U2154" s="1">
        <v>0.0</v>
      </c>
      <c r="W2154" s="1">
        <v>0.0</v>
      </c>
      <c r="Y2154" s="1">
        <v>0.0</v>
      </c>
      <c r="AA2154" s="1">
        <v>0.0</v>
      </c>
      <c r="AC2154" s="1">
        <v>0.0</v>
      </c>
      <c r="AM2154" s="1">
        <v>6791.0</v>
      </c>
      <c r="AN2154" s="1">
        <v>6791.0</v>
      </c>
      <c r="AO2154" s="1">
        <v>6791.0</v>
      </c>
      <c r="AP2154" s="1">
        <v>2.602</v>
      </c>
      <c r="AR2154" s="1">
        <v>0.0</v>
      </c>
      <c r="AW2154" s="1">
        <v>0.0</v>
      </c>
      <c r="AX2154" s="1">
        <v>5.0</v>
      </c>
      <c r="AY2154" s="1">
        <v>4.0</v>
      </c>
      <c r="BA2154" s="1">
        <v>0.0</v>
      </c>
      <c r="BB2154" s="1">
        <v>0.0</v>
      </c>
      <c r="BC2154" s="1">
        <v>0.0</v>
      </c>
      <c r="BD2154" s="1">
        <v>0.0</v>
      </c>
      <c r="BE2154" s="1">
        <v>0.0</v>
      </c>
      <c r="BF2154" s="1">
        <v>0.0</v>
      </c>
      <c r="BG2154" s="1">
        <v>0.0</v>
      </c>
      <c r="BH2154" s="1">
        <v>0.0</v>
      </c>
      <c r="BI2154" s="1">
        <v>0.0</v>
      </c>
      <c r="BJ2154" s="1">
        <v>0.0</v>
      </c>
      <c r="BP2154" s="1">
        <v>0.414</v>
      </c>
      <c r="BQ2154" s="1" t="s">
        <v>6999</v>
      </c>
      <c r="BV2154" s="1">
        <v>1.1</v>
      </c>
      <c r="EQ2154" s="9" t="s">
        <v>6998</v>
      </c>
      <c r="ER2154" s="21">
        <v>46045.301840277774</v>
      </c>
    </row>
    <row r="2155">
      <c r="A2155" s="9" t="s">
        <v>7000</v>
      </c>
      <c r="B2155" s="20" t="str">
        <f>IFERROR(__xludf.DUMMYFUNCTION("REGEXREPLACE(A2155, ""^https?://[^/]+"", """")"),"/wp-content/uploads/2015/01/CRM-Resized-for-Web.jpg")</f>
        <v>/wp-content/uploads/2015/01/CRM-Resized-for-Web.jpg</v>
      </c>
      <c r="F2155" s="1" t="s">
        <v>1004</v>
      </c>
      <c r="G2155" s="1">
        <v>200.0</v>
      </c>
      <c r="H2155" s="1" t="s">
        <v>966</v>
      </c>
      <c r="I2155" s="1" t="s">
        <v>967</v>
      </c>
      <c r="L2155" s="1">
        <v>0.0</v>
      </c>
      <c r="M2155" s="1">
        <v>0.0</v>
      </c>
      <c r="O2155" s="1">
        <v>0.0</v>
      </c>
      <c r="P2155" s="1">
        <v>0.0</v>
      </c>
      <c r="R2155" s="1">
        <v>0.0</v>
      </c>
      <c r="S2155" s="1">
        <v>0.0</v>
      </c>
      <c r="U2155" s="1">
        <v>0.0</v>
      </c>
      <c r="W2155" s="1">
        <v>0.0</v>
      </c>
      <c r="Y2155" s="1">
        <v>0.0</v>
      </c>
      <c r="AA2155" s="1">
        <v>0.0</v>
      </c>
      <c r="AC2155" s="1">
        <v>0.0</v>
      </c>
      <c r="AM2155" s="1">
        <v>47330.0</v>
      </c>
      <c r="AN2155" s="1">
        <v>47330.0</v>
      </c>
      <c r="AO2155" s="1">
        <v>47330.0</v>
      </c>
      <c r="AP2155" s="1">
        <v>18.131</v>
      </c>
      <c r="AR2155" s="1">
        <v>0.0</v>
      </c>
      <c r="AW2155" s="1">
        <v>0.0</v>
      </c>
      <c r="AX2155" s="1">
        <v>5.0</v>
      </c>
      <c r="AY2155" s="1">
        <v>4.0</v>
      </c>
      <c r="BA2155" s="1">
        <v>0.0</v>
      </c>
      <c r="BB2155" s="1">
        <v>0.0</v>
      </c>
      <c r="BC2155" s="1">
        <v>0.0</v>
      </c>
      <c r="BD2155" s="1">
        <v>0.0</v>
      </c>
      <c r="BE2155" s="1">
        <v>0.0</v>
      </c>
      <c r="BF2155" s="1">
        <v>0.0</v>
      </c>
      <c r="BG2155" s="1">
        <v>0.0</v>
      </c>
      <c r="BH2155" s="1">
        <v>0.0</v>
      </c>
      <c r="BI2155" s="1">
        <v>0.0</v>
      </c>
      <c r="BJ2155" s="1">
        <v>0.0</v>
      </c>
      <c r="BP2155" s="1">
        <v>0.28</v>
      </c>
      <c r="BQ2155" s="1" t="s">
        <v>7001</v>
      </c>
      <c r="BV2155" s="1">
        <v>1.1</v>
      </c>
      <c r="EQ2155" s="9" t="s">
        <v>7000</v>
      </c>
      <c r="ER2155" s="21">
        <v>46045.301840277774</v>
      </c>
    </row>
    <row r="2156">
      <c r="A2156" s="9" t="s">
        <v>7002</v>
      </c>
      <c r="B2156" s="20" t="str">
        <f>IFERROR(__xludf.DUMMYFUNCTION("REGEXREPLACE(A2156, ""^https?://[^/]+"", """")"),"/wp-content/uploads/2021/07/CRM-scaled-1-2048x2048.jpg")</f>
        <v>/wp-content/uploads/2021/07/CRM-scaled-1-2048x2048.jpg</v>
      </c>
      <c r="F2156" s="1" t="s">
        <v>1004</v>
      </c>
      <c r="G2156" s="1">
        <v>200.0</v>
      </c>
      <c r="H2156" s="1" t="s">
        <v>966</v>
      </c>
      <c r="I2156" s="1" t="s">
        <v>967</v>
      </c>
      <c r="L2156" s="1">
        <v>0.0</v>
      </c>
      <c r="M2156" s="1">
        <v>0.0</v>
      </c>
      <c r="O2156" s="1">
        <v>0.0</v>
      </c>
      <c r="P2156" s="1">
        <v>0.0</v>
      </c>
      <c r="R2156" s="1">
        <v>0.0</v>
      </c>
      <c r="S2156" s="1">
        <v>0.0</v>
      </c>
      <c r="U2156" s="1">
        <v>0.0</v>
      </c>
      <c r="W2156" s="1">
        <v>0.0</v>
      </c>
      <c r="Y2156" s="1">
        <v>0.0</v>
      </c>
      <c r="AA2156" s="1">
        <v>0.0</v>
      </c>
      <c r="AC2156" s="1">
        <v>0.0</v>
      </c>
      <c r="AM2156" s="1">
        <v>288240.0</v>
      </c>
      <c r="AN2156" s="1">
        <v>288240.0</v>
      </c>
      <c r="AO2156" s="1">
        <v>288240.0</v>
      </c>
      <c r="AP2156" s="1">
        <v>110.419</v>
      </c>
      <c r="AR2156" s="1">
        <v>0.0</v>
      </c>
      <c r="AW2156" s="1">
        <v>0.0</v>
      </c>
      <c r="AX2156" s="1">
        <v>5.0</v>
      </c>
      <c r="AY2156" s="1">
        <v>4.0</v>
      </c>
      <c r="BA2156" s="1">
        <v>0.0</v>
      </c>
      <c r="BB2156" s="1">
        <v>0.0</v>
      </c>
      <c r="BC2156" s="1">
        <v>0.0</v>
      </c>
      <c r="BD2156" s="1">
        <v>0.0</v>
      </c>
      <c r="BE2156" s="1">
        <v>0.0</v>
      </c>
      <c r="BF2156" s="1">
        <v>0.0</v>
      </c>
      <c r="BG2156" s="1">
        <v>0.0</v>
      </c>
      <c r="BH2156" s="1">
        <v>0.0</v>
      </c>
      <c r="BI2156" s="1">
        <v>0.0</v>
      </c>
      <c r="BJ2156" s="1">
        <v>0.0</v>
      </c>
      <c r="BP2156" s="1">
        <v>0.256</v>
      </c>
      <c r="BQ2156" s="1" t="s">
        <v>7003</v>
      </c>
      <c r="BV2156" s="1">
        <v>1.1</v>
      </c>
      <c r="EQ2156" s="9" t="s">
        <v>7002</v>
      </c>
      <c r="ER2156" s="21">
        <v>46045.301840277774</v>
      </c>
    </row>
    <row r="2157">
      <c r="A2157" s="9" t="s">
        <v>7004</v>
      </c>
      <c r="B2157" s="20" t="str">
        <f>IFERROR(__xludf.DUMMYFUNCTION("REGEXREPLACE(A2157, ""^https?://[^/]+"", """")"),"/wp-content/themes/salesxceleratione/assets/css/style.css?ver=1769123603")</f>
        <v>/wp-content/themes/salesxceleratione/assets/css/style.css?ver=1769123603</v>
      </c>
      <c r="F2157" s="1" t="s">
        <v>1016</v>
      </c>
      <c r="G2157" s="1">
        <v>200.0</v>
      </c>
      <c r="H2157" s="1" t="s">
        <v>966</v>
      </c>
      <c r="I2157" s="1" t="s">
        <v>967</v>
      </c>
      <c r="L2157" s="1">
        <v>0.0</v>
      </c>
      <c r="M2157" s="1">
        <v>0.0</v>
      </c>
      <c r="O2157" s="1">
        <v>0.0</v>
      </c>
      <c r="P2157" s="1">
        <v>0.0</v>
      </c>
      <c r="R2157" s="1">
        <v>0.0</v>
      </c>
      <c r="S2157" s="1">
        <v>0.0</v>
      </c>
      <c r="U2157" s="1">
        <v>0.0</v>
      </c>
      <c r="W2157" s="1">
        <v>0.0</v>
      </c>
      <c r="Y2157" s="1">
        <v>0.0</v>
      </c>
      <c r="AA2157" s="1">
        <v>0.0</v>
      </c>
      <c r="AC2157" s="1">
        <v>0.0</v>
      </c>
      <c r="AM2157" s="1">
        <v>17704.0</v>
      </c>
      <c r="AN2157" s="1">
        <v>17704.0</v>
      </c>
      <c r="AO2157" s="1">
        <v>17704.0</v>
      </c>
      <c r="AP2157" s="1">
        <v>6.782</v>
      </c>
      <c r="AR2157" s="1">
        <v>0.0</v>
      </c>
      <c r="AW2157" s="1">
        <v>0.0</v>
      </c>
      <c r="AX2157" s="1">
        <v>5.0</v>
      </c>
      <c r="AY2157" s="1">
        <v>5.0</v>
      </c>
      <c r="BA2157" s="1">
        <v>0.0</v>
      </c>
      <c r="BB2157" s="1">
        <v>0.0</v>
      </c>
      <c r="BC2157" s="1">
        <v>0.0</v>
      </c>
      <c r="BD2157" s="1">
        <v>0.0</v>
      </c>
      <c r="BE2157" s="1">
        <v>0.0</v>
      </c>
      <c r="BF2157" s="1">
        <v>0.0</v>
      </c>
      <c r="BG2157" s="1">
        <v>0.0</v>
      </c>
      <c r="BH2157" s="1">
        <v>0.0</v>
      </c>
      <c r="BI2157" s="1">
        <v>0.0</v>
      </c>
      <c r="BJ2157" s="1">
        <v>0.0</v>
      </c>
      <c r="BP2157" s="1">
        <v>0.257</v>
      </c>
      <c r="BQ2157" s="1" t="s">
        <v>7005</v>
      </c>
      <c r="BV2157" s="1">
        <v>1.1</v>
      </c>
      <c r="EQ2157" s="9" t="s">
        <v>7004</v>
      </c>
      <c r="ER2157" s="21">
        <v>46045.301840277774</v>
      </c>
    </row>
    <row r="2158">
      <c r="A2158" s="9" t="s">
        <v>7006</v>
      </c>
      <c r="B2158" s="20" t="str">
        <f>IFERROR(__xludf.DUMMYFUNCTION("REGEXREPLACE(A2158, ""^https?://[^/]+"", """")"),"/do-you-know-the-4-parts-of-a-successful-sales-compensation-plan/")</f>
        <v>/do-you-know-the-4-parts-of-a-successful-sales-compensation-plan/</v>
      </c>
      <c r="C2158" s="1" t="s">
        <v>7007</v>
      </c>
      <c r="F2158" s="1" t="s">
        <v>965</v>
      </c>
      <c r="G2158" s="1">
        <v>200.0</v>
      </c>
      <c r="H2158" s="1" t="s">
        <v>966</v>
      </c>
      <c r="I2158" s="1" t="s">
        <v>967</v>
      </c>
      <c r="K2158" s="1" t="s">
        <v>7008</v>
      </c>
      <c r="L2158" s="1">
        <v>89.0</v>
      </c>
      <c r="M2158" s="1">
        <v>820.0</v>
      </c>
      <c r="O2158" s="1">
        <v>0.0</v>
      </c>
      <c r="P2158" s="1">
        <v>0.0</v>
      </c>
      <c r="Q2158" s="1" t="s">
        <v>7009</v>
      </c>
      <c r="R2158" s="1">
        <v>136.0</v>
      </c>
      <c r="S2158" s="1">
        <v>864.0</v>
      </c>
      <c r="U2158" s="1">
        <v>0.0</v>
      </c>
      <c r="V2158" s="1" t="s">
        <v>7007</v>
      </c>
      <c r="W2158" s="1">
        <v>64.0</v>
      </c>
      <c r="Y2158" s="1">
        <v>0.0</v>
      </c>
      <c r="AA2158" s="1">
        <v>0.0</v>
      </c>
      <c r="AC2158" s="1">
        <v>0.0</v>
      </c>
      <c r="AD2158" s="1" t="s">
        <v>971</v>
      </c>
      <c r="AG2158" s="9" t="s">
        <v>7006</v>
      </c>
      <c r="AM2158" s="1">
        <v>203638.0</v>
      </c>
      <c r="AN2158" s="1">
        <v>36019.0</v>
      </c>
      <c r="AO2158" s="1">
        <v>36019.0</v>
      </c>
      <c r="AP2158" s="1">
        <v>13.798</v>
      </c>
      <c r="AR2158" s="1">
        <v>1328.0</v>
      </c>
      <c r="AS2158" s="1">
        <v>209.0</v>
      </c>
      <c r="AT2158" s="1">
        <v>6.354</v>
      </c>
      <c r="AU2158" s="1">
        <v>63.102</v>
      </c>
      <c r="AV2158" s="1" t="s">
        <v>990</v>
      </c>
      <c r="AW2158" s="1">
        <v>5.202</v>
      </c>
      <c r="AX2158" s="1">
        <v>5.0</v>
      </c>
      <c r="AY2158" s="1">
        <v>1.0</v>
      </c>
      <c r="AZ2158" s="1">
        <v>1.0</v>
      </c>
      <c r="BA2158" s="1">
        <v>3.0</v>
      </c>
      <c r="BB2158" s="1">
        <v>3.0</v>
      </c>
      <c r="BC2158" s="1">
        <v>0.0</v>
      </c>
      <c r="BD2158" s="1">
        <v>0.4</v>
      </c>
      <c r="BE2158" s="1">
        <v>132.0</v>
      </c>
      <c r="BF2158" s="1">
        <v>50.0</v>
      </c>
      <c r="BG2158" s="1">
        <v>0.0</v>
      </c>
      <c r="BH2158" s="1">
        <v>16.0</v>
      </c>
      <c r="BI2158" s="1">
        <v>8.0</v>
      </c>
      <c r="BJ2158" s="1">
        <v>0.0</v>
      </c>
      <c r="BO2158" s="1" t="s">
        <v>7010</v>
      </c>
      <c r="BP2158" s="1">
        <v>1.013</v>
      </c>
      <c r="BU2158" s="1" t="s">
        <v>974</v>
      </c>
      <c r="BV2158" s="1">
        <v>1.1</v>
      </c>
      <c r="EQ2158" s="9" t="s">
        <v>7006</v>
      </c>
      <c r="ER2158" s="21">
        <v>46045.301828703705</v>
      </c>
    </row>
    <row r="2159">
      <c r="A2159" s="9" t="s">
        <v>7011</v>
      </c>
      <c r="B2159" s="20" t="str">
        <f>IFERROR(__xludf.DUMMYFUNCTION("REGEXREPLACE(A2159, ""^https?://[^/]+"", """")"),"/wp-content/uploads/2016/11/road-bikes-1562929__340-2048x2048.jpg")</f>
        <v>/wp-content/uploads/2016/11/road-bikes-1562929__340-2048x2048.jpg</v>
      </c>
      <c r="F2159" s="1" t="s">
        <v>1004</v>
      </c>
      <c r="G2159" s="1">
        <v>200.0</v>
      </c>
      <c r="H2159" s="1" t="s">
        <v>966</v>
      </c>
      <c r="I2159" s="1" t="s">
        <v>967</v>
      </c>
      <c r="L2159" s="1">
        <v>0.0</v>
      </c>
      <c r="M2159" s="1">
        <v>0.0</v>
      </c>
      <c r="O2159" s="1">
        <v>0.0</v>
      </c>
      <c r="P2159" s="1">
        <v>0.0</v>
      </c>
      <c r="R2159" s="1">
        <v>0.0</v>
      </c>
      <c r="S2159" s="1">
        <v>0.0</v>
      </c>
      <c r="U2159" s="1">
        <v>0.0</v>
      </c>
      <c r="W2159" s="1">
        <v>0.0</v>
      </c>
      <c r="Y2159" s="1">
        <v>0.0</v>
      </c>
      <c r="AA2159" s="1">
        <v>0.0</v>
      </c>
      <c r="AC2159" s="1">
        <v>0.0</v>
      </c>
      <c r="AM2159" s="1">
        <v>344404.0</v>
      </c>
      <c r="AN2159" s="1">
        <v>344404.0</v>
      </c>
      <c r="AO2159" s="1">
        <v>344404.0</v>
      </c>
      <c r="AP2159" s="1">
        <v>131.935</v>
      </c>
      <c r="AR2159" s="1">
        <v>0.0</v>
      </c>
      <c r="AW2159" s="1">
        <v>0.0</v>
      </c>
      <c r="AX2159" s="1">
        <v>5.0</v>
      </c>
      <c r="AY2159" s="1">
        <v>4.0</v>
      </c>
      <c r="BA2159" s="1">
        <v>0.0</v>
      </c>
      <c r="BB2159" s="1">
        <v>0.0</v>
      </c>
      <c r="BC2159" s="1">
        <v>0.0</v>
      </c>
      <c r="BD2159" s="1">
        <v>0.0</v>
      </c>
      <c r="BE2159" s="1">
        <v>0.0</v>
      </c>
      <c r="BF2159" s="1">
        <v>0.0</v>
      </c>
      <c r="BG2159" s="1">
        <v>0.0</v>
      </c>
      <c r="BH2159" s="1">
        <v>0.0</v>
      </c>
      <c r="BI2159" s="1">
        <v>0.0</v>
      </c>
      <c r="BJ2159" s="1">
        <v>0.0</v>
      </c>
      <c r="BP2159" s="1">
        <v>0.279</v>
      </c>
      <c r="BQ2159" s="1" t="s">
        <v>7012</v>
      </c>
      <c r="BV2159" s="1">
        <v>1.1</v>
      </c>
      <c r="EQ2159" s="9" t="s">
        <v>7011</v>
      </c>
      <c r="ER2159" s="21">
        <v>46045.301840277774</v>
      </c>
    </row>
    <row r="2160">
      <c r="A2160" s="9" t="s">
        <v>7013</v>
      </c>
      <c r="B2160" s="20" t="str">
        <f>IFERROR(__xludf.DUMMYFUNCTION("REGEXREPLACE(A2160, ""^https?://[^/]+"", """")"),"/wp-content/uploads/2017/01/pie-34974_640-e1485811136122-1-2048x2048.png")</f>
        <v>/wp-content/uploads/2017/01/pie-34974_640-e1485811136122-1-2048x2048.png</v>
      </c>
      <c r="F2160" s="1" t="s">
        <v>1047</v>
      </c>
      <c r="G2160" s="1">
        <v>200.0</v>
      </c>
      <c r="H2160" s="1" t="s">
        <v>966</v>
      </c>
      <c r="I2160" s="1" t="s">
        <v>967</v>
      </c>
      <c r="L2160" s="1">
        <v>0.0</v>
      </c>
      <c r="M2160" s="1">
        <v>0.0</v>
      </c>
      <c r="O2160" s="1">
        <v>0.0</v>
      </c>
      <c r="P2160" s="1">
        <v>0.0</v>
      </c>
      <c r="R2160" s="1">
        <v>0.0</v>
      </c>
      <c r="S2160" s="1">
        <v>0.0</v>
      </c>
      <c r="U2160" s="1">
        <v>0.0</v>
      </c>
      <c r="W2160" s="1">
        <v>0.0</v>
      </c>
      <c r="Y2160" s="1">
        <v>0.0</v>
      </c>
      <c r="AA2160" s="1">
        <v>0.0</v>
      </c>
      <c r="AC2160" s="1">
        <v>0.0</v>
      </c>
      <c r="AM2160" s="1">
        <v>215418.0</v>
      </c>
      <c r="AN2160" s="1">
        <v>215418.0</v>
      </c>
      <c r="AO2160" s="1">
        <v>215418.0</v>
      </c>
      <c r="AP2160" s="1">
        <v>82.523</v>
      </c>
      <c r="AR2160" s="1">
        <v>0.0</v>
      </c>
      <c r="AW2160" s="1">
        <v>0.0</v>
      </c>
      <c r="AX2160" s="1">
        <v>5.0</v>
      </c>
      <c r="AY2160" s="1">
        <v>4.0</v>
      </c>
      <c r="BA2160" s="1">
        <v>0.0</v>
      </c>
      <c r="BB2160" s="1">
        <v>0.0</v>
      </c>
      <c r="BC2160" s="1">
        <v>0.0</v>
      </c>
      <c r="BD2160" s="1">
        <v>0.0</v>
      </c>
      <c r="BE2160" s="1">
        <v>0.0</v>
      </c>
      <c r="BF2160" s="1">
        <v>0.0</v>
      </c>
      <c r="BG2160" s="1">
        <v>0.0</v>
      </c>
      <c r="BH2160" s="1">
        <v>0.0</v>
      </c>
      <c r="BI2160" s="1">
        <v>0.0</v>
      </c>
      <c r="BJ2160" s="1">
        <v>0.0</v>
      </c>
      <c r="BP2160" s="1">
        <v>0.28</v>
      </c>
      <c r="BQ2160" s="1" t="s">
        <v>7014</v>
      </c>
      <c r="BV2160" s="1">
        <v>1.1</v>
      </c>
      <c r="EQ2160" s="9" t="s">
        <v>7013</v>
      </c>
      <c r="ER2160" s="21">
        <v>46045.301840277774</v>
      </c>
    </row>
    <row r="2161">
      <c r="A2161" s="9" t="s">
        <v>7015</v>
      </c>
      <c r="B2161" s="20" t="str">
        <f>IFERROR(__xludf.DUMMYFUNCTION("REGEXREPLACE(A2161, ""^https?://[^/]+"", """")"),"/wp-content/uploads/2015/03/Prescribe.png")</f>
        <v>/wp-content/uploads/2015/03/Prescribe.png</v>
      </c>
      <c r="F2161" s="1" t="s">
        <v>1047</v>
      </c>
      <c r="G2161" s="1">
        <v>200.0</v>
      </c>
      <c r="H2161" s="1" t="s">
        <v>966</v>
      </c>
      <c r="I2161" s="1" t="s">
        <v>967</v>
      </c>
      <c r="L2161" s="1">
        <v>0.0</v>
      </c>
      <c r="M2161" s="1">
        <v>0.0</v>
      </c>
      <c r="O2161" s="1">
        <v>0.0</v>
      </c>
      <c r="P2161" s="1">
        <v>0.0</v>
      </c>
      <c r="R2161" s="1">
        <v>0.0</v>
      </c>
      <c r="S2161" s="1">
        <v>0.0</v>
      </c>
      <c r="U2161" s="1">
        <v>0.0</v>
      </c>
      <c r="W2161" s="1">
        <v>0.0</v>
      </c>
      <c r="Y2161" s="1">
        <v>0.0</v>
      </c>
      <c r="AA2161" s="1">
        <v>0.0</v>
      </c>
      <c r="AC2161" s="1">
        <v>0.0</v>
      </c>
      <c r="AM2161" s="1">
        <v>78128.0</v>
      </c>
      <c r="AN2161" s="1">
        <v>78128.0</v>
      </c>
      <c r="AO2161" s="1">
        <v>78128.0</v>
      </c>
      <c r="AP2161" s="1">
        <v>29.929</v>
      </c>
      <c r="AR2161" s="1">
        <v>0.0</v>
      </c>
      <c r="AW2161" s="1">
        <v>0.0</v>
      </c>
      <c r="AX2161" s="1">
        <v>5.0</v>
      </c>
      <c r="AY2161" s="1">
        <v>4.0</v>
      </c>
      <c r="BA2161" s="1">
        <v>0.0</v>
      </c>
      <c r="BB2161" s="1">
        <v>0.0</v>
      </c>
      <c r="BC2161" s="1">
        <v>0.0</v>
      </c>
      <c r="BD2161" s="1">
        <v>0.0</v>
      </c>
      <c r="BE2161" s="1">
        <v>0.0</v>
      </c>
      <c r="BF2161" s="1">
        <v>0.0</v>
      </c>
      <c r="BG2161" s="1">
        <v>0.0</v>
      </c>
      <c r="BH2161" s="1">
        <v>0.0</v>
      </c>
      <c r="BI2161" s="1">
        <v>0.0</v>
      </c>
      <c r="BJ2161" s="1">
        <v>0.0</v>
      </c>
      <c r="BP2161" s="1">
        <v>0.271</v>
      </c>
      <c r="BQ2161" s="1" t="s">
        <v>7016</v>
      </c>
      <c r="BV2161" s="1">
        <v>1.1</v>
      </c>
      <c r="EQ2161" s="9" t="s">
        <v>7015</v>
      </c>
      <c r="ER2161" s="21">
        <v>46045.301840277774</v>
      </c>
    </row>
    <row r="2162">
      <c r="A2162" s="9" t="s">
        <v>7017</v>
      </c>
      <c r="B2162" s="20" t="str">
        <f>IFERROR(__xludf.DUMMYFUNCTION("REGEXREPLACE(A2162, ""^https?://[^/]+"", """")"),"/wp-content/uploads/2015/04/Jenga-RS-72-dpi-560-w.jpg")</f>
        <v>/wp-content/uploads/2015/04/Jenga-RS-72-dpi-560-w.jpg</v>
      </c>
      <c r="F2162" s="1" t="s">
        <v>1004</v>
      </c>
      <c r="G2162" s="1">
        <v>200.0</v>
      </c>
      <c r="H2162" s="1" t="s">
        <v>966</v>
      </c>
      <c r="I2162" s="1" t="s">
        <v>967</v>
      </c>
      <c r="L2162" s="1">
        <v>0.0</v>
      </c>
      <c r="M2162" s="1">
        <v>0.0</v>
      </c>
      <c r="O2162" s="1">
        <v>0.0</v>
      </c>
      <c r="P2162" s="1">
        <v>0.0</v>
      </c>
      <c r="R2162" s="1">
        <v>0.0</v>
      </c>
      <c r="S2162" s="1">
        <v>0.0</v>
      </c>
      <c r="U2162" s="1">
        <v>0.0</v>
      </c>
      <c r="W2162" s="1">
        <v>0.0</v>
      </c>
      <c r="Y2162" s="1">
        <v>0.0</v>
      </c>
      <c r="AA2162" s="1">
        <v>0.0</v>
      </c>
      <c r="AC2162" s="1">
        <v>0.0</v>
      </c>
      <c r="AM2162" s="1">
        <v>23764.0</v>
      </c>
      <c r="AN2162" s="1">
        <v>23764.0</v>
      </c>
      <c r="AO2162" s="1">
        <v>23764.0</v>
      </c>
      <c r="AP2162" s="1">
        <v>9.104</v>
      </c>
      <c r="AR2162" s="1">
        <v>0.0</v>
      </c>
      <c r="AW2162" s="1">
        <v>0.0</v>
      </c>
      <c r="AX2162" s="1">
        <v>5.0</v>
      </c>
      <c r="AY2162" s="1">
        <v>4.0</v>
      </c>
      <c r="BA2162" s="1">
        <v>0.0</v>
      </c>
      <c r="BB2162" s="1">
        <v>0.0</v>
      </c>
      <c r="BC2162" s="1">
        <v>0.0</v>
      </c>
      <c r="BD2162" s="1">
        <v>0.0</v>
      </c>
      <c r="BE2162" s="1">
        <v>0.0</v>
      </c>
      <c r="BF2162" s="1">
        <v>0.0</v>
      </c>
      <c r="BG2162" s="1">
        <v>0.0</v>
      </c>
      <c r="BH2162" s="1">
        <v>0.0</v>
      </c>
      <c r="BI2162" s="1">
        <v>0.0</v>
      </c>
      <c r="BJ2162" s="1">
        <v>0.0</v>
      </c>
      <c r="BP2162" s="1">
        <v>0.274</v>
      </c>
      <c r="BQ2162" s="1" t="s">
        <v>7018</v>
      </c>
      <c r="BV2162" s="1">
        <v>1.1</v>
      </c>
      <c r="EQ2162" s="9" t="s">
        <v>7017</v>
      </c>
      <c r="ER2162" s="21">
        <v>46045.30185185185</v>
      </c>
    </row>
    <row r="2163">
      <c r="A2163" s="9" t="s">
        <v>7019</v>
      </c>
      <c r="B2163" s="20" t="str">
        <f>IFERROR(__xludf.DUMMYFUNCTION("REGEXREPLACE(A2163, ""^https?://[^/]+"", """")"),"/hiring-fractional-sales-leader/")</f>
        <v>/hiring-fractional-sales-leader/</v>
      </c>
      <c r="C2163" s="1" t="s">
        <v>7020</v>
      </c>
      <c r="F2163" s="1" t="s">
        <v>965</v>
      </c>
      <c r="G2163" s="1">
        <v>200.0</v>
      </c>
      <c r="H2163" s="1" t="s">
        <v>966</v>
      </c>
      <c r="I2163" s="1" t="s">
        <v>967</v>
      </c>
      <c r="K2163" s="1" t="s">
        <v>7021</v>
      </c>
      <c r="L2163" s="1">
        <v>90.0</v>
      </c>
      <c r="M2163" s="1">
        <v>796.0</v>
      </c>
      <c r="O2163" s="1">
        <v>0.0</v>
      </c>
      <c r="P2163" s="1">
        <v>0.0</v>
      </c>
      <c r="Q2163" s="1" t="s">
        <v>7022</v>
      </c>
      <c r="R2163" s="1">
        <v>147.0</v>
      </c>
      <c r="S2163" s="1">
        <v>891.0</v>
      </c>
      <c r="U2163" s="1">
        <v>0.0</v>
      </c>
      <c r="V2163" s="1" t="s">
        <v>7020</v>
      </c>
      <c r="W2163" s="1">
        <v>65.0</v>
      </c>
      <c r="Y2163" s="1">
        <v>0.0</v>
      </c>
      <c r="AA2163" s="1">
        <v>0.0</v>
      </c>
      <c r="AC2163" s="1">
        <v>0.0</v>
      </c>
      <c r="AD2163" s="1" t="s">
        <v>971</v>
      </c>
      <c r="AG2163" s="9" t="s">
        <v>7019</v>
      </c>
      <c r="AM2163" s="1">
        <v>198368.0</v>
      </c>
      <c r="AN2163" s="1">
        <v>35070.0</v>
      </c>
      <c r="AO2163" s="1">
        <v>35070.0</v>
      </c>
      <c r="AP2163" s="1">
        <v>13.435</v>
      </c>
      <c r="AR2163" s="1">
        <v>1092.0</v>
      </c>
      <c r="AS2163" s="1">
        <v>170.0</v>
      </c>
      <c r="AT2163" s="1">
        <v>6.424</v>
      </c>
      <c r="AU2163" s="1">
        <v>63.421</v>
      </c>
      <c r="AV2163" s="1" t="s">
        <v>990</v>
      </c>
      <c r="AW2163" s="1">
        <v>4.611</v>
      </c>
      <c r="AX2163" s="1">
        <v>5.0</v>
      </c>
      <c r="AY2163" s="1">
        <v>1.0</v>
      </c>
      <c r="AZ2163" s="1">
        <v>1.0</v>
      </c>
      <c r="BA2163" s="1">
        <v>12.0</v>
      </c>
      <c r="BB2163" s="1">
        <v>12.0</v>
      </c>
      <c r="BC2163" s="1">
        <v>0.0</v>
      </c>
      <c r="BD2163" s="1">
        <v>1.59</v>
      </c>
      <c r="BE2163" s="1">
        <v>132.0</v>
      </c>
      <c r="BF2163" s="1">
        <v>49.0</v>
      </c>
      <c r="BG2163" s="1">
        <v>0.0</v>
      </c>
      <c r="BH2163" s="1">
        <v>16.0</v>
      </c>
      <c r="BI2163" s="1">
        <v>8.0</v>
      </c>
      <c r="BJ2163" s="1">
        <v>0.0</v>
      </c>
      <c r="BO2163" s="1" t="s">
        <v>7023</v>
      </c>
      <c r="BP2163" s="1">
        <v>0.984</v>
      </c>
      <c r="BU2163" s="1" t="s">
        <v>974</v>
      </c>
      <c r="BV2163" s="1">
        <v>1.1</v>
      </c>
      <c r="EQ2163" s="9" t="s">
        <v>7019</v>
      </c>
      <c r="ER2163" s="21">
        <v>46045.301840277774</v>
      </c>
    </row>
    <row r="2164">
      <c r="A2164" s="9" t="s">
        <v>7024</v>
      </c>
      <c r="B2164" s="20" t="str">
        <f>IFERROR(__xludf.DUMMYFUNCTION("REGEXREPLACE(A2164, ""^https?://[^/]+"", """")"),"/wp-content/uploads/2019/05/fac7f86c-764e-11e9-86e2-f2d3a332a382-1.jpg")</f>
        <v>/wp-content/uploads/2019/05/fac7f86c-764e-11e9-86e2-f2d3a332a382-1.jpg</v>
      </c>
      <c r="F2164" s="1" t="s">
        <v>1004</v>
      </c>
      <c r="G2164" s="1">
        <v>200.0</v>
      </c>
      <c r="H2164" s="1" t="s">
        <v>966</v>
      </c>
      <c r="I2164" s="1" t="s">
        <v>967</v>
      </c>
      <c r="L2164" s="1">
        <v>0.0</v>
      </c>
      <c r="M2164" s="1">
        <v>0.0</v>
      </c>
      <c r="O2164" s="1">
        <v>0.0</v>
      </c>
      <c r="P2164" s="1">
        <v>0.0</v>
      </c>
      <c r="R2164" s="1">
        <v>0.0</v>
      </c>
      <c r="S2164" s="1">
        <v>0.0</v>
      </c>
      <c r="U2164" s="1">
        <v>0.0</v>
      </c>
      <c r="W2164" s="1">
        <v>0.0</v>
      </c>
      <c r="Y2164" s="1">
        <v>0.0</v>
      </c>
      <c r="AA2164" s="1">
        <v>0.0</v>
      </c>
      <c r="AC2164" s="1">
        <v>0.0</v>
      </c>
      <c r="AM2164" s="1">
        <v>23999.0</v>
      </c>
      <c r="AN2164" s="1">
        <v>23999.0</v>
      </c>
      <c r="AO2164" s="1">
        <v>23999.0</v>
      </c>
      <c r="AP2164" s="1">
        <v>9.194</v>
      </c>
      <c r="AR2164" s="1">
        <v>0.0</v>
      </c>
      <c r="AW2164" s="1">
        <v>0.0</v>
      </c>
      <c r="AX2164" s="1">
        <v>5.0</v>
      </c>
      <c r="AY2164" s="1">
        <v>4.0</v>
      </c>
      <c r="BA2164" s="1">
        <v>0.0</v>
      </c>
      <c r="BB2164" s="1">
        <v>0.0</v>
      </c>
      <c r="BC2164" s="1">
        <v>0.0</v>
      </c>
      <c r="BD2164" s="1">
        <v>0.0</v>
      </c>
      <c r="BE2164" s="1">
        <v>0.0</v>
      </c>
      <c r="BF2164" s="1">
        <v>0.0</v>
      </c>
      <c r="BG2164" s="1">
        <v>0.0</v>
      </c>
      <c r="BH2164" s="1">
        <v>0.0</v>
      </c>
      <c r="BI2164" s="1">
        <v>0.0</v>
      </c>
      <c r="BJ2164" s="1">
        <v>0.0</v>
      </c>
      <c r="BP2164" s="1">
        <v>0.265</v>
      </c>
      <c r="BQ2164" s="1" t="s">
        <v>7025</v>
      </c>
      <c r="BV2164" s="1">
        <v>1.1</v>
      </c>
      <c r="EQ2164" s="9" t="s">
        <v>7024</v>
      </c>
      <c r="ER2164" s="21">
        <v>46045.30186342593</v>
      </c>
    </row>
    <row r="2165">
      <c r="A2165" s="9" t="s">
        <v>7026</v>
      </c>
      <c r="B2165" s="20" t="str">
        <f>IFERROR(__xludf.DUMMYFUNCTION("REGEXREPLACE(A2165, ""^https?://[^/]+"", """")"),"/sales-growth-hiring-motivation-summertime/")</f>
        <v>/sales-growth-hiring-motivation-summertime/</v>
      </c>
      <c r="C2165" s="1" t="s">
        <v>7027</v>
      </c>
      <c r="F2165" s="1" t="s">
        <v>965</v>
      </c>
      <c r="G2165" s="1">
        <v>200.0</v>
      </c>
      <c r="H2165" s="1" t="s">
        <v>966</v>
      </c>
      <c r="I2165" s="1" t="s">
        <v>967</v>
      </c>
      <c r="K2165" s="1" t="s">
        <v>7028</v>
      </c>
      <c r="L2165" s="1">
        <v>70.0</v>
      </c>
      <c r="M2165" s="1">
        <v>638.0</v>
      </c>
      <c r="O2165" s="1">
        <v>0.0</v>
      </c>
      <c r="P2165" s="1">
        <v>0.0</v>
      </c>
      <c r="Q2165" s="1" t="s">
        <v>7029</v>
      </c>
      <c r="R2165" s="1">
        <v>149.0</v>
      </c>
      <c r="S2165" s="1">
        <v>920.0</v>
      </c>
      <c r="U2165" s="1">
        <v>0.0</v>
      </c>
      <c r="V2165" s="1" t="s">
        <v>7027</v>
      </c>
      <c r="W2165" s="1">
        <v>45.0</v>
      </c>
      <c r="Y2165" s="1">
        <v>0.0</v>
      </c>
      <c r="AA2165" s="1">
        <v>0.0</v>
      </c>
      <c r="AC2165" s="1">
        <v>0.0</v>
      </c>
      <c r="AD2165" s="1" t="s">
        <v>971</v>
      </c>
      <c r="AG2165" s="9" t="s">
        <v>7026</v>
      </c>
      <c r="AM2165" s="1">
        <v>198721.0</v>
      </c>
      <c r="AN2165" s="1">
        <v>35717.0</v>
      </c>
      <c r="AO2165" s="1">
        <v>35717.0</v>
      </c>
      <c r="AP2165" s="1">
        <v>13.683</v>
      </c>
      <c r="AR2165" s="1">
        <v>1318.0</v>
      </c>
      <c r="AS2165" s="1">
        <v>198.0</v>
      </c>
      <c r="AT2165" s="1">
        <v>6.657</v>
      </c>
      <c r="AU2165" s="1">
        <v>69.712</v>
      </c>
      <c r="AV2165" s="1" t="s">
        <v>990</v>
      </c>
      <c r="AW2165" s="1">
        <v>5.163</v>
      </c>
      <c r="AX2165" s="1">
        <v>5.0</v>
      </c>
      <c r="AY2165" s="1">
        <v>1.0</v>
      </c>
      <c r="AZ2165" s="1">
        <v>1.0</v>
      </c>
      <c r="BA2165" s="1">
        <v>1.0</v>
      </c>
      <c r="BB2165" s="1">
        <v>1.0</v>
      </c>
      <c r="BC2165" s="1">
        <v>0.0</v>
      </c>
      <c r="BD2165" s="1">
        <v>0.13</v>
      </c>
      <c r="BE2165" s="1">
        <v>130.0</v>
      </c>
      <c r="BF2165" s="1">
        <v>48.0</v>
      </c>
      <c r="BG2165" s="1">
        <v>0.0</v>
      </c>
      <c r="BH2165" s="1">
        <v>17.0</v>
      </c>
      <c r="BI2165" s="1">
        <v>9.0</v>
      </c>
      <c r="BJ2165" s="1">
        <v>0.0</v>
      </c>
      <c r="BO2165" s="1" t="s">
        <v>7030</v>
      </c>
      <c r="BP2165" s="1">
        <v>1.009</v>
      </c>
      <c r="BU2165" s="1" t="s">
        <v>974</v>
      </c>
      <c r="BV2165" s="1">
        <v>1.1</v>
      </c>
      <c r="EQ2165" s="9" t="s">
        <v>7026</v>
      </c>
      <c r="ER2165" s="21">
        <v>46045.30185185185</v>
      </c>
    </row>
    <row r="2166">
      <c r="A2166" s="9" t="s">
        <v>7031</v>
      </c>
      <c r="B2166" s="20" t="str">
        <f>IFERROR(__xludf.DUMMYFUNCTION("REGEXREPLACE(A2166, ""^https?://[^/]+"", """")"),"/keeping-pace-todays-selling-environment-can-your-company-compete/")</f>
        <v>/keeping-pace-todays-selling-environment-can-your-company-compete/</v>
      </c>
      <c r="C2166" s="1" t="s">
        <v>7032</v>
      </c>
      <c r="F2166" s="1" t="s">
        <v>965</v>
      </c>
      <c r="G2166" s="1">
        <v>200.0</v>
      </c>
      <c r="H2166" s="1" t="s">
        <v>966</v>
      </c>
      <c r="I2166" s="1" t="s">
        <v>967</v>
      </c>
      <c r="K2166" s="1" t="s">
        <v>7033</v>
      </c>
      <c r="L2166" s="1">
        <v>95.0</v>
      </c>
      <c r="M2166" s="1">
        <v>890.0</v>
      </c>
      <c r="O2166" s="1">
        <v>0.0</v>
      </c>
      <c r="P2166" s="1">
        <v>0.0</v>
      </c>
      <c r="Q2166" s="1" t="s">
        <v>7034</v>
      </c>
      <c r="R2166" s="1">
        <v>154.0</v>
      </c>
      <c r="S2166" s="1">
        <v>932.0</v>
      </c>
      <c r="U2166" s="1">
        <v>0.0</v>
      </c>
      <c r="V2166" s="1" t="s">
        <v>7032</v>
      </c>
      <c r="W2166" s="1">
        <v>70.0</v>
      </c>
      <c r="Y2166" s="1">
        <v>0.0</v>
      </c>
      <c r="AA2166" s="1">
        <v>0.0</v>
      </c>
      <c r="AC2166" s="1">
        <v>0.0</v>
      </c>
      <c r="AD2166" s="1" t="s">
        <v>971</v>
      </c>
      <c r="AG2166" s="9" t="s">
        <v>7031</v>
      </c>
      <c r="AM2166" s="1">
        <v>201183.0</v>
      </c>
      <c r="AN2166" s="1">
        <v>35928.0</v>
      </c>
      <c r="AO2166" s="1">
        <v>35928.0</v>
      </c>
      <c r="AP2166" s="1">
        <v>13.763</v>
      </c>
      <c r="AR2166" s="1">
        <v>1353.0</v>
      </c>
      <c r="AS2166" s="1">
        <v>194.0</v>
      </c>
      <c r="AT2166" s="1">
        <v>6.974</v>
      </c>
      <c r="AU2166" s="1">
        <v>66.009</v>
      </c>
      <c r="AV2166" s="1" t="s">
        <v>990</v>
      </c>
      <c r="AW2166" s="1">
        <v>5.255</v>
      </c>
      <c r="AX2166" s="1">
        <v>5.0</v>
      </c>
      <c r="AY2166" s="1">
        <v>1.0</v>
      </c>
      <c r="AZ2166" s="1">
        <v>1.0</v>
      </c>
      <c r="BA2166" s="1">
        <v>7.0</v>
      </c>
      <c r="BB2166" s="1">
        <v>7.0</v>
      </c>
      <c r="BC2166" s="1">
        <v>0.0</v>
      </c>
      <c r="BD2166" s="1">
        <v>0.93</v>
      </c>
      <c r="BE2166" s="1">
        <v>133.0</v>
      </c>
      <c r="BF2166" s="1">
        <v>49.0</v>
      </c>
      <c r="BG2166" s="1">
        <v>0.0</v>
      </c>
      <c r="BH2166" s="1">
        <v>16.0</v>
      </c>
      <c r="BI2166" s="1">
        <v>8.0</v>
      </c>
      <c r="BJ2166" s="1">
        <v>0.0</v>
      </c>
      <c r="BO2166" s="1" t="s">
        <v>7035</v>
      </c>
      <c r="BP2166" s="1">
        <v>2.009</v>
      </c>
      <c r="BU2166" s="1" t="s">
        <v>974</v>
      </c>
      <c r="BV2166" s="1">
        <v>1.1</v>
      </c>
      <c r="EQ2166" s="9" t="s">
        <v>7031</v>
      </c>
      <c r="ER2166" s="21">
        <v>46045.301840277774</v>
      </c>
    </row>
    <row r="2167">
      <c r="A2167" s="9" t="s">
        <v>7036</v>
      </c>
      <c r="B2167" s="20" t="str">
        <f>IFERROR(__xludf.DUMMYFUNCTION("REGEXREPLACE(A2167, ""^https?://[^/]+"", """")"),"/wp-content/themes/salesxceleratione/assets/css/style.css?ver=1769123604")</f>
        <v>/wp-content/themes/salesxceleratione/assets/css/style.css?ver=1769123604</v>
      </c>
      <c r="F2167" s="1" t="s">
        <v>1016</v>
      </c>
      <c r="G2167" s="1">
        <v>200.0</v>
      </c>
      <c r="H2167" s="1" t="s">
        <v>966</v>
      </c>
      <c r="I2167" s="1" t="s">
        <v>967</v>
      </c>
      <c r="L2167" s="1">
        <v>0.0</v>
      </c>
      <c r="M2167" s="1">
        <v>0.0</v>
      </c>
      <c r="O2167" s="1">
        <v>0.0</v>
      </c>
      <c r="P2167" s="1">
        <v>0.0</v>
      </c>
      <c r="R2167" s="1">
        <v>0.0</v>
      </c>
      <c r="S2167" s="1">
        <v>0.0</v>
      </c>
      <c r="U2167" s="1">
        <v>0.0</v>
      </c>
      <c r="W2167" s="1">
        <v>0.0</v>
      </c>
      <c r="Y2167" s="1">
        <v>0.0</v>
      </c>
      <c r="AA2167" s="1">
        <v>0.0</v>
      </c>
      <c r="AC2167" s="1">
        <v>0.0</v>
      </c>
      <c r="AM2167" s="1">
        <v>17704.0</v>
      </c>
      <c r="AN2167" s="1">
        <v>17704.0</v>
      </c>
      <c r="AO2167" s="1">
        <v>17704.0</v>
      </c>
      <c r="AP2167" s="1">
        <v>6.782</v>
      </c>
      <c r="AR2167" s="1">
        <v>0.0</v>
      </c>
      <c r="AW2167" s="1">
        <v>0.0</v>
      </c>
      <c r="AX2167" s="1">
        <v>5.0</v>
      </c>
      <c r="AY2167" s="1">
        <v>5.0</v>
      </c>
      <c r="BA2167" s="1">
        <v>0.0</v>
      </c>
      <c r="BB2167" s="1">
        <v>0.0</v>
      </c>
      <c r="BC2167" s="1">
        <v>0.0</v>
      </c>
      <c r="BD2167" s="1">
        <v>0.0</v>
      </c>
      <c r="BE2167" s="1">
        <v>0.0</v>
      </c>
      <c r="BF2167" s="1">
        <v>0.0</v>
      </c>
      <c r="BG2167" s="1">
        <v>0.0</v>
      </c>
      <c r="BH2167" s="1">
        <v>0.0</v>
      </c>
      <c r="BI2167" s="1">
        <v>0.0</v>
      </c>
      <c r="BJ2167" s="1">
        <v>0.0</v>
      </c>
      <c r="BP2167" s="1">
        <v>0.268</v>
      </c>
      <c r="BQ2167" s="1" t="s">
        <v>7037</v>
      </c>
      <c r="BV2167" s="1">
        <v>1.1</v>
      </c>
      <c r="EQ2167" s="9" t="s">
        <v>7036</v>
      </c>
      <c r="ER2167" s="21">
        <v>46045.30186342593</v>
      </c>
    </row>
    <row r="2168">
      <c r="A2168" s="9" t="s">
        <v>7038</v>
      </c>
      <c r="B2168" s="20" t="str">
        <f>IFERROR(__xludf.DUMMYFUNCTION("REGEXREPLACE(A2168, ""^https?://[^/]+"", """")"),"/increasing-sales-walking-away/")</f>
        <v>/increasing-sales-walking-away/</v>
      </c>
      <c r="C2168" s="1" t="s">
        <v>7039</v>
      </c>
      <c r="F2168" s="1" t="s">
        <v>965</v>
      </c>
      <c r="G2168" s="1">
        <v>200.0</v>
      </c>
      <c r="H2168" s="1" t="s">
        <v>966</v>
      </c>
      <c r="I2168" s="1" t="s">
        <v>967</v>
      </c>
      <c r="K2168" s="1" t="s">
        <v>7040</v>
      </c>
      <c r="L2168" s="1">
        <v>63.0</v>
      </c>
      <c r="M2168" s="1">
        <v>577.0</v>
      </c>
      <c r="O2168" s="1">
        <v>0.0</v>
      </c>
      <c r="P2168" s="1">
        <v>0.0</v>
      </c>
      <c r="Q2168" s="1" t="s">
        <v>7041</v>
      </c>
      <c r="R2168" s="1">
        <v>137.0</v>
      </c>
      <c r="S2168" s="1">
        <v>846.0</v>
      </c>
      <c r="U2168" s="1">
        <v>0.0</v>
      </c>
      <c r="V2168" s="1" t="s">
        <v>7039</v>
      </c>
      <c r="W2168" s="1">
        <v>43.0</v>
      </c>
      <c r="Y2168" s="1">
        <v>0.0</v>
      </c>
      <c r="AA2168" s="1">
        <v>0.0</v>
      </c>
      <c r="AC2168" s="1">
        <v>0.0</v>
      </c>
      <c r="AD2168" s="1" t="s">
        <v>971</v>
      </c>
      <c r="AG2168" s="9" t="s">
        <v>7038</v>
      </c>
      <c r="AM2168" s="1">
        <v>202219.0</v>
      </c>
      <c r="AN2168" s="1">
        <v>36397.0</v>
      </c>
      <c r="AO2168" s="1">
        <v>36397.0</v>
      </c>
      <c r="AP2168" s="1">
        <v>13.943</v>
      </c>
      <c r="AR2168" s="1">
        <v>1507.0</v>
      </c>
      <c r="AS2168" s="1">
        <v>220.0</v>
      </c>
      <c r="AT2168" s="1">
        <v>6.85</v>
      </c>
      <c r="AU2168" s="1">
        <v>70.933</v>
      </c>
      <c r="AV2168" s="1" t="s">
        <v>1264</v>
      </c>
      <c r="AW2168" s="1">
        <v>5.625</v>
      </c>
      <c r="AX2168" s="1">
        <v>5.0</v>
      </c>
      <c r="AY2168" s="1">
        <v>1.0</v>
      </c>
      <c r="AZ2168" s="1">
        <v>1.0</v>
      </c>
      <c r="BA2168" s="1">
        <v>15.0</v>
      </c>
      <c r="BB2168" s="1">
        <v>15.0</v>
      </c>
      <c r="BC2168" s="1">
        <v>0.0</v>
      </c>
      <c r="BD2168" s="1">
        <v>1.99</v>
      </c>
      <c r="BE2168" s="1">
        <v>131.0</v>
      </c>
      <c r="BF2168" s="1">
        <v>48.0</v>
      </c>
      <c r="BG2168" s="1">
        <v>0.0</v>
      </c>
      <c r="BH2168" s="1">
        <v>16.0</v>
      </c>
      <c r="BI2168" s="1">
        <v>8.0</v>
      </c>
      <c r="BJ2168" s="1">
        <v>0.0</v>
      </c>
      <c r="BO2168" s="1" t="s">
        <v>7042</v>
      </c>
      <c r="BP2168" s="1">
        <v>1.027</v>
      </c>
      <c r="BU2168" s="1" t="s">
        <v>974</v>
      </c>
      <c r="BV2168" s="1">
        <v>1.1</v>
      </c>
      <c r="EQ2168" s="9" t="s">
        <v>7038</v>
      </c>
      <c r="ER2168" s="21">
        <v>46045.30185185185</v>
      </c>
    </row>
    <row r="2169">
      <c r="A2169" s="9" t="s">
        <v>7043</v>
      </c>
      <c r="B2169" s="20" t="str">
        <f>IFERROR(__xludf.DUMMYFUNCTION("REGEXREPLACE(A2169, ""^https?://[^/]+"", """")"),"/wp-content/uploads/2016/06/Sales-Agility-Assessment-blog-cta-button.png")</f>
        <v>/wp-content/uploads/2016/06/Sales-Agility-Assessment-blog-cta-button.png</v>
      </c>
      <c r="F2169" s="1" t="s">
        <v>1047</v>
      </c>
      <c r="G2169" s="1">
        <v>200.0</v>
      </c>
      <c r="H2169" s="1" t="s">
        <v>966</v>
      </c>
      <c r="I2169" s="1" t="s">
        <v>967</v>
      </c>
      <c r="L2169" s="1">
        <v>0.0</v>
      </c>
      <c r="M2169" s="1">
        <v>0.0</v>
      </c>
      <c r="O2169" s="1">
        <v>0.0</v>
      </c>
      <c r="P2169" s="1">
        <v>0.0</v>
      </c>
      <c r="R2169" s="1">
        <v>0.0</v>
      </c>
      <c r="S2169" s="1">
        <v>0.0</v>
      </c>
      <c r="U2169" s="1">
        <v>0.0</v>
      </c>
      <c r="W2169" s="1">
        <v>0.0</v>
      </c>
      <c r="Y2169" s="1">
        <v>0.0</v>
      </c>
      <c r="AA2169" s="1">
        <v>0.0</v>
      </c>
      <c r="AC2169" s="1">
        <v>0.0</v>
      </c>
      <c r="AM2169" s="1">
        <v>13954.0</v>
      </c>
      <c r="AN2169" s="1">
        <v>13954.0</v>
      </c>
      <c r="AO2169" s="1">
        <v>13954.0</v>
      </c>
      <c r="AP2169" s="1">
        <v>5.346</v>
      </c>
      <c r="AR2169" s="1">
        <v>0.0</v>
      </c>
      <c r="AW2169" s="1">
        <v>0.0</v>
      </c>
      <c r="AX2169" s="1">
        <v>5.0</v>
      </c>
      <c r="AY2169" s="1">
        <v>4.0</v>
      </c>
      <c r="BA2169" s="1">
        <v>0.0</v>
      </c>
      <c r="BB2169" s="1">
        <v>0.0</v>
      </c>
      <c r="BC2169" s="1">
        <v>0.0</v>
      </c>
      <c r="BD2169" s="1">
        <v>0.0</v>
      </c>
      <c r="BE2169" s="1">
        <v>0.0</v>
      </c>
      <c r="BF2169" s="1">
        <v>0.0</v>
      </c>
      <c r="BG2169" s="1">
        <v>0.0</v>
      </c>
      <c r="BH2169" s="1">
        <v>0.0</v>
      </c>
      <c r="BI2169" s="1">
        <v>0.0</v>
      </c>
      <c r="BJ2169" s="1">
        <v>0.0</v>
      </c>
      <c r="BP2169" s="1">
        <v>0.272</v>
      </c>
      <c r="BQ2169" s="1" t="s">
        <v>7044</v>
      </c>
      <c r="BV2169" s="1">
        <v>1.1</v>
      </c>
      <c r="EQ2169" s="9" t="s">
        <v>7043</v>
      </c>
      <c r="ER2169" s="21">
        <v>46045.30186342593</v>
      </c>
    </row>
    <row r="2170">
      <c r="A2170" s="9" t="s">
        <v>7045</v>
      </c>
      <c r="B2170" s="20" t="str">
        <f>IFERROR(__xludf.DUMMYFUNCTION("REGEXREPLACE(A2170, ""^https?://[^/]+"", """")"),"/wp-content/uploads/2015/03/sales-action-plans-1.jpg")</f>
        <v>/wp-content/uploads/2015/03/sales-action-plans-1.jpg</v>
      </c>
      <c r="F2170" s="1" t="s">
        <v>1004</v>
      </c>
      <c r="G2170" s="1">
        <v>200.0</v>
      </c>
      <c r="H2170" s="1" t="s">
        <v>966</v>
      </c>
      <c r="I2170" s="1" t="s">
        <v>967</v>
      </c>
      <c r="L2170" s="1">
        <v>0.0</v>
      </c>
      <c r="M2170" s="1">
        <v>0.0</v>
      </c>
      <c r="O2170" s="1">
        <v>0.0</v>
      </c>
      <c r="P2170" s="1">
        <v>0.0</v>
      </c>
      <c r="R2170" s="1">
        <v>0.0</v>
      </c>
      <c r="S2170" s="1">
        <v>0.0</v>
      </c>
      <c r="U2170" s="1">
        <v>0.0</v>
      </c>
      <c r="W2170" s="1">
        <v>0.0</v>
      </c>
      <c r="Y2170" s="1">
        <v>0.0</v>
      </c>
      <c r="AA2170" s="1">
        <v>0.0</v>
      </c>
      <c r="AC2170" s="1">
        <v>0.0</v>
      </c>
      <c r="AM2170" s="1">
        <v>4553.0</v>
      </c>
      <c r="AN2170" s="1">
        <v>4553.0</v>
      </c>
      <c r="AO2170" s="1">
        <v>4553.0</v>
      </c>
      <c r="AP2170" s="1">
        <v>1.744</v>
      </c>
      <c r="AR2170" s="1">
        <v>0.0</v>
      </c>
      <c r="AW2170" s="1">
        <v>0.0</v>
      </c>
      <c r="AX2170" s="1">
        <v>5.0</v>
      </c>
      <c r="AY2170" s="1">
        <v>4.0</v>
      </c>
      <c r="BA2170" s="1">
        <v>0.0</v>
      </c>
      <c r="BB2170" s="1">
        <v>0.0</v>
      </c>
      <c r="BC2170" s="1">
        <v>0.0</v>
      </c>
      <c r="BD2170" s="1">
        <v>0.0</v>
      </c>
      <c r="BE2170" s="1">
        <v>0.0</v>
      </c>
      <c r="BF2170" s="1">
        <v>0.0</v>
      </c>
      <c r="BG2170" s="1">
        <v>0.0</v>
      </c>
      <c r="BH2170" s="1">
        <v>0.0</v>
      </c>
      <c r="BI2170" s="1">
        <v>0.0</v>
      </c>
      <c r="BJ2170" s="1">
        <v>0.0</v>
      </c>
      <c r="BP2170" s="1">
        <v>0.28</v>
      </c>
      <c r="BQ2170" s="1" t="s">
        <v>7046</v>
      </c>
      <c r="BV2170" s="1">
        <v>1.1</v>
      </c>
      <c r="EQ2170" s="9" t="s">
        <v>7045</v>
      </c>
      <c r="ER2170" s="21">
        <v>46045.30186342593</v>
      </c>
    </row>
    <row r="2171">
      <c r="A2171" s="9" t="s">
        <v>7047</v>
      </c>
      <c r="B2171" s="20" t="str">
        <f>IFERROR(__xludf.DUMMYFUNCTION("REGEXREPLACE(A2171, ""^https?://[^/]+"", """")"),"/sales-agility-assessment/?utm_source=sales_action_blog&amp;utm_medium=cta&amp;utm_campaign=sales_action_to_assessment")</f>
        <v>/sales-agility-assessment/?utm_source=sales_action_blog&amp;utm_medium=cta&amp;utm_campaign=sales_action_to_assessment</v>
      </c>
      <c r="C2171" s="1" t="s">
        <v>1381</v>
      </c>
      <c r="F2171" s="1" t="s">
        <v>965</v>
      </c>
      <c r="G2171" s="1">
        <v>200.0</v>
      </c>
      <c r="H2171" s="1" t="s">
        <v>966</v>
      </c>
      <c r="I2171" s="1" t="s">
        <v>1214</v>
      </c>
      <c r="J2171" s="1" t="s">
        <v>1215</v>
      </c>
      <c r="K2171" s="1" t="s">
        <v>1382</v>
      </c>
      <c r="L2171" s="1">
        <v>79.0</v>
      </c>
      <c r="M2171" s="1">
        <v>719.0</v>
      </c>
      <c r="O2171" s="1">
        <v>0.0</v>
      </c>
      <c r="P2171" s="1">
        <v>0.0</v>
      </c>
      <c r="Q2171" s="1" t="s">
        <v>1383</v>
      </c>
      <c r="R2171" s="1">
        <v>155.0</v>
      </c>
      <c r="S2171" s="1">
        <v>970.0</v>
      </c>
      <c r="U2171" s="1">
        <v>0.0</v>
      </c>
      <c r="V2171" s="1" t="s">
        <v>1381</v>
      </c>
      <c r="W2171" s="1">
        <v>31.0</v>
      </c>
      <c r="Y2171" s="1">
        <v>0.0</v>
      </c>
      <c r="AA2171" s="1">
        <v>0.0</v>
      </c>
      <c r="AC2171" s="1">
        <v>0.0</v>
      </c>
      <c r="AD2171" s="1" t="s">
        <v>971</v>
      </c>
      <c r="AG2171" s="9" t="s">
        <v>1380</v>
      </c>
      <c r="AM2171" s="1">
        <v>221400.0</v>
      </c>
      <c r="AN2171" s="1">
        <v>43068.0</v>
      </c>
      <c r="AO2171" s="1">
        <v>43068.0</v>
      </c>
      <c r="AP2171" s="1">
        <v>16.499</v>
      </c>
      <c r="AR2171" s="1">
        <v>1077.0</v>
      </c>
      <c r="AS2171" s="1">
        <v>195.0</v>
      </c>
      <c r="AT2171" s="1">
        <v>5.523</v>
      </c>
      <c r="AU2171" s="1">
        <v>72.326</v>
      </c>
      <c r="AV2171" s="1" t="s">
        <v>1264</v>
      </c>
      <c r="AW2171" s="1">
        <v>5.464</v>
      </c>
      <c r="AX2171" s="1">
        <v>5.0</v>
      </c>
      <c r="AY2171" s="1">
        <v>1.0</v>
      </c>
      <c r="BA2171" s="1">
        <v>1.0</v>
      </c>
      <c r="BB2171" s="1">
        <v>1.0</v>
      </c>
      <c r="BC2171" s="1">
        <v>0.0</v>
      </c>
      <c r="BD2171" s="1">
        <v>0.13</v>
      </c>
      <c r="BE2171" s="1">
        <v>121.0</v>
      </c>
      <c r="BF2171" s="1">
        <v>42.0</v>
      </c>
      <c r="BG2171" s="1">
        <v>0.0</v>
      </c>
      <c r="BH2171" s="1">
        <v>16.0</v>
      </c>
      <c r="BI2171" s="1">
        <v>8.0</v>
      </c>
      <c r="BJ2171" s="1">
        <v>0.0</v>
      </c>
      <c r="BO2171" s="1" t="s">
        <v>7048</v>
      </c>
      <c r="BP2171" s="1">
        <v>1.286</v>
      </c>
      <c r="BU2171" s="1" t="s">
        <v>974</v>
      </c>
      <c r="BV2171" s="1">
        <v>1.1</v>
      </c>
      <c r="EQ2171" s="9" t="s">
        <v>7047</v>
      </c>
      <c r="ER2171" s="21">
        <v>46045.30185185185</v>
      </c>
    </row>
    <row r="2172">
      <c r="A2172" s="9" t="s">
        <v>7049</v>
      </c>
      <c r="B2172" s="20" t="str">
        <f>IFERROR(__xludf.DUMMYFUNCTION("REGEXREPLACE(A2172, ""^https?://[^/]+"", """")"),"/3-5-ways-jump-start-revenue-growth-sales-2017/")</f>
        <v>/3-5-ways-jump-start-revenue-growth-sales-2017/</v>
      </c>
      <c r="F2172" s="1" t="s">
        <v>965</v>
      </c>
      <c r="G2172" s="1">
        <v>301.0</v>
      </c>
      <c r="H2172" s="1" t="s">
        <v>1304</v>
      </c>
      <c r="I2172" s="1" t="s">
        <v>1214</v>
      </c>
      <c r="J2172" s="1" t="s">
        <v>1305</v>
      </c>
      <c r="L2172" s="1">
        <v>0.0</v>
      </c>
      <c r="M2172" s="1">
        <v>0.0</v>
      </c>
      <c r="O2172" s="1">
        <v>0.0</v>
      </c>
      <c r="P2172" s="1">
        <v>0.0</v>
      </c>
      <c r="R2172" s="1">
        <v>0.0</v>
      </c>
      <c r="S2172" s="1">
        <v>0.0</v>
      </c>
      <c r="U2172" s="1">
        <v>0.0</v>
      </c>
      <c r="W2172" s="1">
        <v>0.0</v>
      </c>
      <c r="Y2172" s="1">
        <v>0.0</v>
      </c>
      <c r="AA2172" s="1">
        <v>0.0</v>
      </c>
      <c r="AC2172" s="1">
        <v>0.0</v>
      </c>
      <c r="AM2172" s="1">
        <v>0.0</v>
      </c>
      <c r="AN2172" s="1">
        <v>0.0</v>
      </c>
      <c r="AO2172" s="1">
        <v>0.0</v>
      </c>
      <c r="AP2172" s="1">
        <v>0.0</v>
      </c>
      <c r="AR2172" s="1">
        <v>0.0</v>
      </c>
      <c r="AW2172" s="1">
        <v>0.0</v>
      </c>
      <c r="AX2172" s="1">
        <v>5.0</v>
      </c>
      <c r="AY2172" s="1">
        <v>1.0</v>
      </c>
      <c r="BA2172" s="1">
        <v>1.0</v>
      </c>
      <c r="BB2172" s="1">
        <v>1.0</v>
      </c>
      <c r="BC2172" s="1">
        <v>0.0</v>
      </c>
      <c r="BD2172" s="1">
        <v>0.13</v>
      </c>
      <c r="BE2172" s="1">
        <v>0.0</v>
      </c>
      <c r="BF2172" s="1">
        <v>0.0</v>
      </c>
      <c r="BG2172" s="1">
        <v>0.0</v>
      </c>
      <c r="BH2172" s="1">
        <v>0.0</v>
      </c>
      <c r="BI2172" s="1">
        <v>0.0</v>
      </c>
      <c r="BJ2172" s="1">
        <v>0.0</v>
      </c>
      <c r="BP2172" s="1">
        <v>0.537</v>
      </c>
      <c r="BR2172" s="9" t="s">
        <v>961</v>
      </c>
      <c r="BS2172" s="1" t="s">
        <v>1307</v>
      </c>
      <c r="BV2172" s="1">
        <v>1.1</v>
      </c>
      <c r="EQ2172" s="9" t="s">
        <v>7049</v>
      </c>
      <c r="ER2172" s="21">
        <v>46045.30186342593</v>
      </c>
    </row>
    <row r="2173">
      <c r="A2173" s="9" t="s">
        <v>7050</v>
      </c>
      <c r="B2173" s="20" t="str">
        <f>IFERROR(__xludf.DUMMYFUNCTION("REGEXREPLACE(A2173, ""^https?://[^/]+"", """")"),"/wp-content/uploads/2015/05/Feet-on-Scales-RS-225-High.jpg")</f>
        <v>/wp-content/uploads/2015/05/Feet-on-Scales-RS-225-High.jpg</v>
      </c>
      <c r="F2173" s="1" t="s">
        <v>1004</v>
      </c>
      <c r="G2173" s="1">
        <v>200.0</v>
      </c>
      <c r="H2173" s="1" t="s">
        <v>966</v>
      </c>
      <c r="I2173" s="1" t="s">
        <v>967</v>
      </c>
      <c r="L2173" s="1">
        <v>0.0</v>
      </c>
      <c r="M2173" s="1">
        <v>0.0</v>
      </c>
      <c r="O2173" s="1">
        <v>0.0</v>
      </c>
      <c r="P2173" s="1">
        <v>0.0</v>
      </c>
      <c r="R2173" s="1">
        <v>0.0</v>
      </c>
      <c r="S2173" s="1">
        <v>0.0</v>
      </c>
      <c r="U2173" s="1">
        <v>0.0</v>
      </c>
      <c r="W2173" s="1">
        <v>0.0</v>
      </c>
      <c r="Y2173" s="1">
        <v>0.0</v>
      </c>
      <c r="AA2173" s="1">
        <v>0.0</v>
      </c>
      <c r="AC2173" s="1">
        <v>0.0</v>
      </c>
      <c r="AM2173" s="1">
        <v>17661.0</v>
      </c>
      <c r="AN2173" s="1">
        <v>17661.0</v>
      </c>
      <c r="AO2173" s="1">
        <v>17661.0</v>
      </c>
      <c r="AP2173" s="1">
        <v>6.766</v>
      </c>
      <c r="AR2173" s="1">
        <v>0.0</v>
      </c>
      <c r="AW2173" s="1">
        <v>0.0</v>
      </c>
      <c r="AX2173" s="1">
        <v>5.0</v>
      </c>
      <c r="AY2173" s="1">
        <v>4.0</v>
      </c>
      <c r="BA2173" s="1">
        <v>0.0</v>
      </c>
      <c r="BB2173" s="1">
        <v>0.0</v>
      </c>
      <c r="BC2173" s="1">
        <v>0.0</v>
      </c>
      <c r="BD2173" s="1">
        <v>0.0</v>
      </c>
      <c r="BE2173" s="1">
        <v>0.0</v>
      </c>
      <c r="BF2173" s="1">
        <v>0.0</v>
      </c>
      <c r="BG2173" s="1">
        <v>0.0</v>
      </c>
      <c r="BH2173" s="1">
        <v>0.0</v>
      </c>
      <c r="BI2173" s="1">
        <v>0.0</v>
      </c>
      <c r="BJ2173" s="1">
        <v>0.0</v>
      </c>
      <c r="BP2173" s="1">
        <v>0.299</v>
      </c>
      <c r="BQ2173" s="1" t="s">
        <v>7051</v>
      </c>
      <c r="BV2173" s="1">
        <v>1.1</v>
      </c>
      <c r="EQ2173" s="9" t="s">
        <v>7050</v>
      </c>
      <c r="ER2173" s="21">
        <v>46045.301875</v>
      </c>
    </row>
    <row r="2174">
      <c r="A2174" s="9" t="s">
        <v>7052</v>
      </c>
      <c r="B2174" s="20" t="str">
        <f>IFERROR(__xludf.DUMMYFUNCTION("REGEXREPLACE(A2174, ""^https?://[^/]+"", """")"),"/wp-content/uploads/2015/04/ideal-salesperson-recruit-2048x2048.png")</f>
        <v>/wp-content/uploads/2015/04/ideal-salesperson-recruit-2048x2048.png</v>
      </c>
      <c r="F2174" s="1" t="s">
        <v>1047</v>
      </c>
      <c r="G2174" s="1">
        <v>200.0</v>
      </c>
      <c r="H2174" s="1" t="s">
        <v>966</v>
      </c>
      <c r="I2174" s="1" t="s">
        <v>967</v>
      </c>
      <c r="L2174" s="1">
        <v>0.0</v>
      </c>
      <c r="M2174" s="1">
        <v>0.0</v>
      </c>
      <c r="O2174" s="1">
        <v>0.0</v>
      </c>
      <c r="P2174" s="1">
        <v>0.0</v>
      </c>
      <c r="R2174" s="1">
        <v>0.0</v>
      </c>
      <c r="S2174" s="1">
        <v>0.0</v>
      </c>
      <c r="U2174" s="1">
        <v>0.0</v>
      </c>
      <c r="W2174" s="1">
        <v>0.0</v>
      </c>
      <c r="Y2174" s="1">
        <v>0.0</v>
      </c>
      <c r="AA2174" s="1">
        <v>0.0</v>
      </c>
      <c r="AC2174" s="1">
        <v>0.0</v>
      </c>
      <c r="AM2174" s="1">
        <v>922097.0</v>
      </c>
      <c r="AN2174" s="1">
        <v>922097.0</v>
      </c>
      <c r="AO2174" s="1">
        <v>922097.0</v>
      </c>
      <c r="AP2174" s="1">
        <v>353.238</v>
      </c>
      <c r="AR2174" s="1">
        <v>0.0</v>
      </c>
      <c r="AW2174" s="1">
        <v>0.0</v>
      </c>
      <c r="AX2174" s="1">
        <v>5.0</v>
      </c>
      <c r="AY2174" s="1">
        <v>4.0</v>
      </c>
      <c r="BA2174" s="1">
        <v>0.0</v>
      </c>
      <c r="BB2174" s="1">
        <v>0.0</v>
      </c>
      <c r="BC2174" s="1">
        <v>0.0</v>
      </c>
      <c r="BD2174" s="1">
        <v>0.0</v>
      </c>
      <c r="BE2174" s="1">
        <v>0.0</v>
      </c>
      <c r="BF2174" s="1">
        <v>0.0</v>
      </c>
      <c r="BG2174" s="1">
        <v>0.0</v>
      </c>
      <c r="BH2174" s="1">
        <v>0.0</v>
      </c>
      <c r="BI2174" s="1">
        <v>0.0</v>
      </c>
      <c r="BJ2174" s="1">
        <v>0.0</v>
      </c>
      <c r="BP2174" s="1">
        <v>0.28</v>
      </c>
      <c r="BQ2174" s="1" t="s">
        <v>7053</v>
      </c>
      <c r="BV2174" s="1">
        <v>1.1</v>
      </c>
      <c r="EQ2174" s="9" t="s">
        <v>7052</v>
      </c>
      <c r="ER2174" s="21">
        <v>46045.301875</v>
      </c>
    </row>
    <row r="2175">
      <c r="A2175" s="9" t="s">
        <v>7054</v>
      </c>
      <c r="B2175" s="20" t="str">
        <f>IFERROR(__xludf.DUMMYFUNCTION("REGEXREPLACE(A2175, ""^https?://[^/]+"", """")"),"/wp-content/themes/salesxceleratione/assets/css/style.css?ver=1769123605")</f>
        <v>/wp-content/themes/salesxceleratione/assets/css/style.css?ver=1769123605</v>
      </c>
      <c r="F2175" s="1" t="s">
        <v>1016</v>
      </c>
      <c r="G2175" s="1">
        <v>200.0</v>
      </c>
      <c r="H2175" s="1" t="s">
        <v>966</v>
      </c>
      <c r="I2175" s="1" t="s">
        <v>967</v>
      </c>
      <c r="L2175" s="1">
        <v>0.0</v>
      </c>
      <c r="M2175" s="1">
        <v>0.0</v>
      </c>
      <c r="O2175" s="1">
        <v>0.0</v>
      </c>
      <c r="P2175" s="1">
        <v>0.0</v>
      </c>
      <c r="R2175" s="1">
        <v>0.0</v>
      </c>
      <c r="S2175" s="1">
        <v>0.0</v>
      </c>
      <c r="U2175" s="1">
        <v>0.0</v>
      </c>
      <c r="W2175" s="1">
        <v>0.0</v>
      </c>
      <c r="Y2175" s="1">
        <v>0.0</v>
      </c>
      <c r="AA2175" s="1">
        <v>0.0</v>
      </c>
      <c r="AC2175" s="1">
        <v>0.0</v>
      </c>
      <c r="AM2175" s="1">
        <v>17704.0</v>
      </c>
      <c r="AN2175" s="1">
        <v>17704.0</v>
      </c>
      <c r="AO2175" s="1">
        <v>17704.0</v>
      </c>
      <c r="AP2175" s="1">
        <v>6.782</v>
      </c>
      <c r="AR2175" s="1">
        <v>0.0</v>
      </c>
      <c r="AW2175" s="1">
        <v>0.0</v>
      </c>
      <c r="AX2175" s="1">
        <v>5.0</v>
      </c>
      <c r="AY2175" s="1">
        <v>5.0</v>
      </c>
      <c r="BA2175" s="1">
        <v>0.0</v>
      </c>
      <c r="BB2175" s="1">
        <v>0.0</v>
      </c>
      <c r="BC2175" s="1">
        <v>0.0</v>
      </c>
      <c r="BD2175" s="1">
        <v>0.0</v>
      </c>
      <c r="BE2175" s="1">
        <v>0.0</v>
      </c>
      <c r="BF2175" s="1">
        <v>0.0</v>
      </c>
      <c r="BG2175" s="1">
        <v>0.0</v>
      </c>
      <c r="BH2175" s="1">
        <v>0.0</v>
      </c>
      <c r="BI2175" s="1">
        <v>0.0</v>
      </c>
      <c r="BJ2175" s="1">
        <v>0.0</v>
      </c>
      <c r="BP2175" s="1">
        <v>0.267</v>
      </c>
      <c r="BQ2175" s="1" t="s">
        <v>7055</v>
      </c>
      <c r="BV2175" s="1">
        <v>1.1</v>
      </c>
      <c r="EQ2175" s="9" t="s">
        <v>7054</v>
      </c>
      <c r="ER2175" s="21">
        <v>46045.301875</v>
      </c>
    </row>
    <row r="2176">
      <c r="A2176" s="9" t="s">
        <v>7056</v>
      </c>
      <c r="B2176" s="20" t="str">
        <f>IFERROR(__xludf.DUMMYFUNCTION("REGEXREPLACE(A2176, ""^https?://[^/]+"", """")"),"/wp-content/uploads/2015/03/hire-salespeople-keep-them-sales-xcleration.png")</f>
        <v>/wp-content/uploads/2015/03/hire-salespeople-keep-them-sales-xcleration.png</v>
      </c>
      <c r="F2176" s="1" t="s">
        <v>1047</v>
      </c>
      <c r="G2176" s="1">
        <v>200.0</v>
      </c>
      <c r="H2176" s="1" t="s">
        <v>966</v>
      </c>
      <c r="I2176" s="1" t="s">
        <v>967</v>
      </c>
      <c r="L2176" s="1">
        <v>0.0</v>
      </c>
      <c r="M2176" s="1">
        <v>0.0</v>
      </c>
      <c r="O2176" s="1">
        <v>0.0</v>
      </c>
      <c r="P2176" s="1">
        <v>0.0</v>
      </c>
      <c r="R2176" s="1">
        <v>0.0</v>
      </c>
      <c r="S2176" s="1">
        <v>0.0</v>
      </c>
      <c r="U2176" s="1">
        <v>0.0</v>
      </c>
      <c r="W2176" s="1">
        <v>0.0</v>
      </c>
      <c r="Y2176" s="1">
        <v>0.0</v>
      </c>
      <c r="AA2176" s="1">
        <v>0.0</v>
      </c>
      <c r="AC2176" s="1">
        <v>0.0</v>
      </c>
      <c r="AM2176" s="1">
        <v>93057.0</v>
      </c>
      <c r="AN2176" s="1">
        <v>93057.0</v>
      </c>
      <c r="AO2176" s="1">
        <v>93057.0</v>
      </c>
      <c r="AP2176" s="1">
        <v>35.648</v>
      </c>
      <c r="AR2176" s="1">
        <v>0.0</v>
      </c>
      <c r="AW2176" s="1">
        <v>0.0</v>
      </c>
      <c r="AX2176" s="1">
        <v>5.0</v>
      </c>
      <c r="AY2176" s="1">
        <v>4.0</v>
      </c>
      <c r="BA2176" s="1">
        <v>0.0</v>
      </c>
      <c r="BB2176" s="1">
        <v>0.0</v>
      </c>
      <c r="BC2176" s="1">
        <v>0.0</v>
      </c>
      <c r="BD2176" s="1">
        <v>0.0</v>
      </c>
      <c r="BE2176" s="1">
        <v>0.0</v>
      </c>
      <c r="BF2176" s="1">
        <v>0.0</v>
      </c>
      <c r="BG2176" s="1">
        <v>0.0</v>
      </c>
      <c r="BH2176" s="1">
        <v>0.0</v>
      </c>
      <c r="BI2176" s="1">
        <v>0.0</v>
      </c>
      <c r="BJ2176" s="1">
        <v>0.0</v>
      </c>
      <c r="BP2176" s="1">
        <v>0.268</v>
      </c>
      <c r="BQ2176" s="1" t="s">
        <v>7057</v>
      </c>
      <c r="BV2176" s="1">
        <v>1.1</v>
      </c>
      <c r="EQ2176" s="9" t="s">
        <v>7056</v>
      </c>
      <c r="ER2176" s="21">
        <v>46045.301875</v>
      </c>
    </row>
    <row r="2177">
      <c r="A2177" s="9" t="s">
        <v>7058</v>
      </c>
      <c r="B2177" s="20" t="str">
        <f>IFERROR(__xludf.DUMMYFUNCTION("REGEXREPLACE(A2177, ""^https?://[^/]+"", """")"),"/meet-exceed-sales-goals/")</f>
        <v>/meet-exceed-sales-goals/</v>
      </c>
      <c r="C2177" s="1" t="s">
        <v>7059</v>
      </c>
      <c r="F2177" s="1" t="s">
        <v>965</v>
      </c>
      <c r="G2177" s="1">
        <v>200.0</v>
      </c>
      <c r="H2177" s="1" t="s">
        <v>966</v>
      </c>
      <c r="I2177" s="1" t="s">
        <v>967</v>
      </c>
      <c r="K2177" s="1" t="s">
        <v>7060</v>
      </c>
      <c r="L2177" s="1">
        <v>84.0</v>
      </c>
      <c r="M2177" s="1">
        <v>771.0</v>
      </c>
      <c r="O2177" s="1">
        <v>0.0</v>
      </c>
      <c r="P2177" s="1">
        <v>0.0</v>
      </c>
      <c r="Q2177" s="1" t="s">
        <v>7061</v>
      </c>
      <c r="R2177" s="1">
        <v>127.0</v>
      </c>
      <c r="S2177" s="1">
        <v>810.0</v>
      </c>
      <c r="U2177" s="1">
        <v>0.0</v>
      </c>
      <c r="V2177" s="1" t="s">
        <v>7059</v>
      </c>
      <c r="W2177" s="1">
        <v>59.0</v>
      </c>
      <c r="Y2177" s="1">
        <v>0.0</v>
      </c>
      <c r="AA2177" s="1">
        <v>0.0</v>
      </c>
      <c r="AC2177" s="1">
        <v>0.0</v>
      </c>
      <c r="AD2177" s="1" t="s">
        <v>971</v>
      </c>
      <c r="AG2177" s="9" t="s">
        <v>7058</v>
      </c>
      <c r="AM2177" s="1">
        <v>200456.0</v>
      </c>
      <c r="AN2177" s="1">
        <v>35773.0</v>
      </c>
      <c r="AO2177" s="1">
        <v>35773.0</v>
      </c>
      <c r="AP2177" s="1">
        <v>13.704</v>
      </c>
      <c r="AR2177" s="1">
        <v>1305.0</v>
      </c>
      <c r="AS2177" s="1">
        <v>211.0</v>
      </c>
      <c r="AT2177" s="1">
        <v>6.185</v>
      </c>
      <c r="AU2177" s="1">
        <v>73.884</v>
      </c>
      <c r="AV2177" s="1" t="s">
        <v>1264</v>
      </c>
      <c r="AW2177" s="1">
        <v>5.009</v>
      </c>
      <c r="AX2177" s="1">
        <v>5.0</v>
      </c>
      <c r="AY2177" s="1">
        <v>1.0</v>
      </c>
      <c r="AZ2177" s="1">
        <v>1.0</v>
      </c>
      <c r="BA2177" s="1">
        <v>1.0</v>
      </c>
      <c r="BB2177" s="1">
        <v>1.0</v>
      </c>
      <c r="BC2177" s="1">
        <v>0.0</v>
      </c>
      <c r="BD2177" s="1">
        <v>0.13</v>
      </c>
      <c r="BE2177" s="1">
        <v>131.0</v>
      </c>
      <c r="BF2177" s="1">
        <v>49.0</v>
      </c>
      <c r="BG2177" s="1">
        <v>0.0</v>
      </c>
      <c r="BH2177" s="1">
        <v>16.0</v>
      </c>
      <c r="BI2177" s="1">
        <v>8.0</v>
      </c>
      <c r="BJ2177" s="1">
        <v>0.0</v>
      </c>
      <c r="BO2177" s="1" t="s">
        <v>7062</v>
      </c>
      <c r="BP2177" s="1">
        <v>1.025</v>
      </c>
      <c r="BU2177" s="1" t="s">
        <v>974</v>
      </c>
      <c r="BV2177" s="1">
        <v>1.1</v>
      </c>
      <c r="EQ2177" s="9" t="s">
        <v>7058</v>
      </c>
      <c r="ER2177" s="21">
        <v>46045.30186342593</v>
      </c>
    </row>
    <row r="2178">
      <c r="A2178" s="9" t="s">
        <v>7063</v>
      </c>
      <c r="B2178" s="20" t="str">
        <f>IFERROR(__xludf.DUMMYFUNCTION("REGEXREPLACE(A2178, ""^https?://[^/]+"", """")"),"/wp-content/uploads/2015/04/managers-selling.png")</f>
        <v>/wp-content/uploads/2015/04/managers-selling.png</v>
      </c>
      <c r="F2178" s="1" t="s">
        <v>1047</v>
      </c>
      <c r="G2178" s="1">
        <v>200.0</v>
      </c>
      <c r="H2178" s="1" t="s">
        <v>966</v>
      </c>
      <c r="I2178" s="1" t="s">
        <v>967</v>
      </c>
      <c r="L2178" s="1">
        <v>0.0</v>
      </c>
      <c r="M2178" s="1">
        <v>0.0</v>
      </c>
      <c r="O2178" s="1">
        <v>0.0</v>
      </c>
      <c r="P2178" s="1">
        <v>0.0</v>
      </c>
      <c r="R2178" s="1">
        <v>0.0</v>
      </c>
      <c r="S2178" s="1">
        <v>0.0</v>
      </c>
      <c r="U2178" s="1">
        <v>0.0</v>
      </c>
      <c r="W2178" s="1">
        <v>0.0</v>
      </c>
      <c r="Y2178" s="1">
        <v>0.0</v>
      </c>
      <c r="AA2178" s="1">
        <v>0.0</v>
      </c>
      <c r="AC2178" s="1">
        <v>0.0</v>
      </c>
      <c r="AM2178" s="1">
        <v>98606.0</v>
      </c>
      <c r="AN2178" s="1">
        <v>98606.0</v>
      </c>
      <c r="AO2178" s="1">
        <v>98606.0</v>
      </c>
      <c r="AP2178" s="1">
        <v>37.774</v>
      </c>
      <c r="AR2178" s="1">
        <v>0.0</v>
      </c>
      <c r="AW2178" s="1">
        <v>0.0</v>
      </c>
      <c r="AX2178" s="1">
        <v>5.0</v>
      </c>
      <c r="AY2178" s="1">
        <v>4.0</v>
      </c>
      <c r="BA2178" s="1">
        <v>0.0</v>
      </c>
      <c r="BB2178" s="1">
        <v>0.0</v>
      </c>
      <c r="BC2178" s="1">
        <v>0.0</v>
      </c>
      <c r="BD2178" s="1">
        <v>0.0</v>
      </c>
      <c r="BE2178" s="1">
        <v>0.0</v>
      </c>
      <c r="BF2178" s="1">
        <v>0.0</v>
      </c>
      <c r="BG2178" s="1">
        <v>0.0</v>
      </c>
      <c r="BH2178" s="1">
        <v>0.0</v>
      </c>
      <c r="BI2178" s="1">
        <v>0.0</v>
      </c>
      <c r="BJ2178" s="1">
        <v>0.0</v>
      </c>
      <c r="BP2178" s="1">
        <v>0.258</v>
      </c>
      <c r="BQ2178" s="1" t="s">
        <v>7064</v>
      </c>
      <c r="BV2178" s="1">
        <v>1.1</v>
      </c>
      <c r="EQ2178" s="9" t="s">
        <v>7063</v>
      </c>
      <c r="ER2178" s="21">
        <v>46045.301875</v>
      </c>
    </row>
    <row r="2179">
      <c r="A2179" s="9" t="s">
        <v>7065</v>
      </c>
      <c r="B2179" s="20" t="str">
        <f>IFERROR(__xludf.DUMMYFUNCTION("REGEXREPLACE(A2179, ""^https?://[^/]+"", """")"),"/want-to-boost-sales-do-less-selling/")</f>
        <v>/want-to-boost-sales-do-less-selling/</v>
      </c>
      <c r="C2179" s="1" t="s">
        <v>7066</v>
      </c>
      <c r="F2179" s="1" t="s">
        <v>965</v>
      </c>
      <c r="G2179" s="1">
        <v>200.0</v>
      </c>
      <c r="H2179" s="1" t="s">
        <v>966</v>
      </c>
      <c r="I2179" s="1" t="s">
        <v>967</v>
      </c>
      <c r="K2179" s="1" t="s">
        <v>7067</v>
      </c>
      <c r="L2179" s="1">
        <v>63.0</v>
      </c>
      <c r="M2179" s="1">
        <v>557.0</v>
      </c>
      <c r="O2179" s="1">
        <v>0.0</v>
      </c>
      <c r="P2179" s="1">
        <v>0.0</v>
      </c>
      <c r="Q2179" s="1" t="s">
        <v>7068</v>
      </c>
      <c r="R2179" s="1">
        <v>152.0</v>
      </c>
      <c r="S2179" s="1">
        <v>945.0</v>
      </c>
      <c r="U2179" s="1">
        <v>0.0</v>
      </c>
      <c r="V2179" s="1" t="s">
        <v>7066</v>
      </c>
      <c r="W2179" s="1">
        <v>38.0</v>
      </c>
      <c r="Y2179" s="1">
        <v>0.0</v>
      </c>
      <c r="AA2179" s="1">
        <v>0.0</v>
      </c>
      <c r="AC2179" s="1">
        <v>0.0</v>
      </c>
      <c r="AD2179" s="1" t="s">
        <v>971</v>
      </c>
      <c r="AG2179" s="9" t="s">
        <v>7065</v>
      </c>
      <c r="AM2179" s="1">
        <v>200048.0</v>
      </c>
      <c r="AN2179" s="1">
        <v>35590.0</v>
      </c>
      <c r="AO2179" s="1">
        <v>35590.0</v>
      </c>
      <c r="AP2179" s="1">
        <v>13.634</v>
      </c>
      <c r="AR2179" s="1">
        <v>1282.0</v>
      </c>
      <c r="AS2179" s="1">
        <v>189.0</v>
      </c>
      <c r="AT2179" s="1">
        <v>6.783</v>
      </c>
      <c r="AU2179" s="1">
        <v>67.573</v>
      </c>
      <c r="AV2179" s="1" t="s">
        <v>990</v>
      </c>
      <c r="AW2179" s="1">
        <v>5.053</v>
      </c>
      <c r="AX2179" s="1">
        <v>5.0</v>
      </c>
      <c r="AY2179" s="1">
        <v>1.0</v>
      </c>
      <c r="AZ2179" s="1">
        <v>1.0</v>
      </c>
      <c r="BA2179" s="1">
        <v>3.0</v>
      </c>
      <c r="BB2179" s="1">
        <v>3.0</v>
      </c>
      <c r="BC2179" s="1">
        <v>0.0</v>
      </c>
      <c r="BD2179" s="1">
        <v>0.4</v>
      </c>
      <c r="BE2179" s="1">
        <v>130.0</v>
      </c>
      <c r="BF2179" s="1">
        <v>48.0</v>
      </c>
      <c r="BG2179" s="1">
        <v>0.0</v>
      </c>
      <c r="BH2179" s="1">
        <v>16.0</v>
      </c>
      <c r="BI2179" s="1">
        <v>8.0</v>
      </c>
      <c r="BJ2179" s="1">
        <v>0.0</v>
      </c>
      <c r="BO2179" s="1" t="s">
        <v>7069</v>
      </c>
      <c r="BP2179" s="1">
        <v>1.017</v>
      </c>
      <c r="BU2179" s="1" t="s">
        <v>974</v>
      </c>
      <c r="BV2179" s="1">
        <v>1.1</v>
      </c>
      <c r="EQ2179" s="9" t="s">
        <v>7065</v>
      </c>
      <c r="ER2179" s="21">
        <v>46045.30186342593</v>
      </c>
    </row>
    <row r="2180">
      <c r="A2180" s="9" t="s">
        <v>7070</v>
      </c>
      <c r="B2180" s="20" t="str">
        <f>IFERROR(__xludf.DUMMYFUNCTION("REGEXREPLACE(A2180, ""^https?://[^/]+"", """")"),"/wp-content/uploads/2015/09/Put-a-bow-on-it-sales-xceleration-2048x2048.png")</f>
        <v>/wp-content/uploads/2015/09/Put-a-bow-on-it-sales-xceleration-2048x2048.png</v>
      </c>
      <c r="F2180" s="1" t="s">
        <v>1047</v>
      </c>
      <c r="G2180" s="1">
        <v>200.0</v>
      </c>
      <c r="H2180" s="1" t="s">
        <v>966</v>
      </c>
      <c r="I2180" s="1" t="s">
        <v>967</v>
      </c>
      <c r="L2180" s="1">
        <v>0.0</v>
      </c>
      <c r="M2180" s="1">
        <v>0.0</v>
      </c>
      <c r="O2180" s="1">
        <v>0.0</v>
      </c>
      <c r="P2180" s="1">
        <v>0.0</v>
      </c>
      <c r="R2180" s="1">
        <v>0.0</v>
      </c>
      <c r="S2180" s="1">
        <v>0.0</v>
      </c>
      <c r="U2180" s="1">
        <v>0.0</v>
      </c>
      <c r="W2180" s="1">
        <v>0.0</v>
      </c>
      <c r="Y2180" s="1">
        <v>0.0</v>
      </c>
      <c r="AA2180" s="1">
        <v>0.0</v>
      </c>
      <c r="AC2180" s="1">
        <v>0.0</v>
      </c>
      <c r="AM2180" s="1">
        <v>1300798.0</v>
      </c>
      <c r="AN2180" s="1">
        <v>1300798.0</v>
      </c>
      <c r="AO2180" s="1">
        <v>1300798.0</v>
      </c>
      <c r="AP2180" s="1">
        <v>498.311</v>
      </c>
      <c r="AR2180" s="1">
        <v>0.0</v>
      </c>
      <c r="AW2180" s="1">
        <v>0.0</v>
      </c>
      <c r="AX2180" s="1">
        <v>5.0</v>
      </c>
      <c r="AY2180" s="1">
        <v>4.0</v>
      </c>
      <c r="BA2180" s="1">
        <v>0.0</v>
      </c>
      <c r="BB2180" s="1">
        <v>0.0</v>
      </c>
      <c r="BC2180" s="1">
        <v>0.0</v>
      </c>
      <c r="BD2180" s="1">
        <v>0.0</v>
      </c>
      <c r="BE2180" s="1">
        <v>0.0</v>
      </c>
      <c r="BF2180" s="1">
        <v>0.0</v>
      </c>
      <c r="BG2180" s="1">
        <v>0.0</v>
      </c>
      <c r="BH2180" s="1">
        <v>0.0</v>
      </c>
      <c r="BI2180" s="1">
        <v>0.0</v>
      </c>
      <c r="BJ2180" s="1">
        <v>0.0</v>
      </c>
      <c r="BP2180" s="1">
        <v>0.269</v>
      </c>
      <c r="BQ2180" s="1" t="s">
        <v>7071</v>
      </c>
      <c r="BV2180" s="1">
        <v>1.1</v>
      </c>
      <c r="EQ2180" s="9" t="s">
        <v>7070</v>
      </c>
      <c r="ER2180" s="21">
        <v>46045.301875</v>
      </c>
    </row>
    <row r="2181">
      <c r="A2181" s="9" t="s">
        <v>7072</v>
      </c>
      <c r="B2181" s="20" t="str">
        <f>IFERROR(__xludf.DUMMYFUNCTION("REGEXREPLACE(A2181, ""^https?://[^/]+"", """")"),"/simplest-way-get-essential-information-boost-sales/")</f>
        <v>/simplest-way-get-essential-information-boost-sales/</v>
      </c>
      <c r="C2181" s="1" t="s">
        <v>7073</v>
      </c>
      <c r="F2181" s="1" t="s">
        <v>965</v>
      </c>
      <c r="G2181" s="1">
        <v>200.0</v>
      </c>
      <c r="H2181" s="1" t="s">
        <v>966</v>
      </c>
      <c r="I2181" s="1" t="s">
        <v>967</v>
      </c>
      <c r="K2181" s="1" t="s">
        <v>7074</v>
      </c>
      <c r="L2181" s="1">
        <v>91.0</v>
      </c>
      <c r="M2181" s="1">
        <v>825.0</v>
      </c>
      <c r="O2181" s="1">
        <v>0.0</v>
      </c>
      <c r="P2181" s="1">
        <v>0.0</v>
      </c>
      <c r="Q2181" s="1" t="s">
        <v>7075</v>
      </c>
      <c r="R2181" s="1">
        <v>154.0</v>
      </c>
      <c r="S2181" s="1">
        <v>1027.0</v>
      </c>
      <c r="U2181" s="1">
        <v>0.0</v>
      </c>
      <c r="V2181" s="1" t="s">
        <v>7073</v>
      </c>
      <c r="W2181" s="1">
        <v>66.0</v>
      </c>
      <c r="Y2181" s="1">
        <v>0.0</v>
      </c>
      <c r="AA2181" s="1">
        <v>0.0</v>
      </c>
      <c r="AC2181" s="1">
        <v>0.0</v>
      </c>
      <c r="AD2181" s="1" t="s">
        <v>971</v>
      </c>
      <c r="AG2181" s="9" t="s">
        <v>7072</v>
      </c>
      <c r="AM2181" s="1">
        <v>200729.0</v>
      </c>
      <c r="AN2181" s="1">
        <v>35994.0</v>
      </c>
      <c r="AO2181" s="1">
        <v>35994.0</v>
      </c>
      <c r="AP2181" s="1">
        <v>13.789</v>
      </c>
      <c r="AR2181" s="1">
        <v>1477.0</v>
      </c>
      <c r="AS2181" s="1">
        <v>216.0</v>
      </c>
      <c r="AT2181" s="1">
        <v>6.838</v>
      </c>
      <c r="AU2181" s="1">
        <v>67.983</v>
      </c>
      <c r="AV2181" s="1" t="s">
        <v>990</v>
      </c>
      <c r="AW2181" s="1">
        <v>5.619</v>
      </c>
      <c r="AX2181" s="1">
        <v>5.0</v>
      </c>
      <c r="AY2181" s="1">
        <v>1.0</v>
      </c>
      <c r="AZ2181" s="1">
        <v>1.0</v>
      </c>
      <c r="BA2181" s="1">
        <v>1.0</v>
      </c>
      <c r="BB2181" s="1">
        <v>1.0</v>
      </c>
      <c r="BC2181" s="1">
        <v>0.0</v>
      </c>
      <c r="BD2181" s="1">
        <v>0.13</v>
      </c>
      <c r="BE2181" s="1">
        <v>130.0</v>
      </c>
      <c r="BF2181" s="1">
        <v>47.0</v>
      </c>
      <c r="BG2181" s="1">
        <v>0.0</v>
      </c>
      <c r="BH2181" s="1">
        <v>16.0</v>
      </c>
      <c r="BI2181" s="1">
        <v>8.0</v>
      </c>
      <c r="BJ2181" s="1">
        <v>0.0</v>
      </c>
      <c r="BO2181" s="1" t="s">
        <v>7076</v>
      </c>
      <c r="BP2181" s="1">
        <v>0.975</v>
      </c>
      <c r="BU2181" s="1" t="s">
        <v>974</v>
      </c>
      <c r="BV2181" s="1">
        <v>1.1</v>
      </c>
      <c r="EQ2181" s="9" t="s">
        <v>7072</v>
      </c>
      <c r="ER2181" s="21">
        <v>46045.30186342593</v>
      </c>
    </row>
    <row r="2182">
      <c r="A2182" s="9" t="s">
        <v>7077</v>
      </c>
      <c r="B2182" s="20" t="str">
        <f>IFERROR(__xludf.DUMMYFUNCTION("REGEXREPLACE(A2182, ""^https?://[^/]+"", """")"),"/wp-content/uploads/2015/03/Sales-superstars-sales-xceleration-2048x2048.png")</f>
        <v>/wp-content/uploads/2015/03/Sales-superstars-sales-xceleration-2048x2048.png</v>
      </c>
      <c r="F2182" s="1" t="s">
        <v>1047</v>
      </c>
      <c r="G2182" s="1">
        <v>200.0</v>
      </c>
      <c r="H2182" s="1" t="s">
        <v>966</v>
      </c>
      <c r="I2182" s="1" t="s">
        <v>967</v>
      </c>
      <c r="L2182" s="1">
        <v>0.0</v>
      </c>
      <c r="M2182" s="1">
        <v>0.0</v>
      </c>
      <c r="O2182" s="1">
        <v>0.0</v>
      </c>
      <c r="P2182" s="1">
        <v>0.0</v>
      </c>
      <c r="R2182" s="1">
        <v>0.0</v>
      </c>
      <c r="S2182" s="1">
        <v>0.0</v>
      </c>
      <c r="U2182" s="1">
        <v>0.0</v>
      </c>
      <c r="W2182" s="1">
        <v>0.0</v>
      </c>
      <c r="Y2182" s="1">
        <v>0.0</v>
      </c>
      <c r="AA2182" s="1">
        <v>0.0</v>
      </c>
      <c r="AC2182" s="1">
        <v>0.0</v>
      </c>
      <c r="AM2182" s="1">
        <v>1239981.0</v>
      </c>
      <c r="AN2182" s="1">
        <v>1239981.0</v>
      </c>
      <c r="AO2182" s="1">
        <v>1239981.0</v>
      </c>
      <c r="AP2182" s="1">
        <v>475.013</v>
      </c>
      <c r="AR2182" s="1">
        <v>0.0</v>
      </c>
      <c r="AW2182" s="1">
        <v>0.0</v>
      </c>
      <c r="AX2182" s="1">
        <v>5.0</v>
      </c>
      <c r="AY2182" s="1">
        <v>4.0</v>
      </c>
      <c r="BA2182" s="1">
        <v>0.0</v>
      </c>
      <c r="BB2182" s="1">
        <v>0.0</v>
      </c>
      <c r="BC2182" s="1">
        <v>0.0</v>
      </c>
      <c r="BD2182" s="1">
        <v>0.0</v>
      </c>
      <c r="BE2182" s="1">
        <v>0.0</v>
      </c>
      <c r="BF2182" s="1">
        <v>0.0</v>
      </c>
      <c r="BG2182" s="1">
        <v>0.0</v>
      </c>
      <c r="BH2182" s="1">
        <v>0.0</v>
      </c>
      <c r="BI2182" s="1">
        <v>0.0</v>
      </c>
      <c r="BJ2182" s="1">
        <v>0.0</v>
      </c>
      <c r="BP2182" s="1">
        <v>0.274</v>
      </c>
      <c r="BQ2182" s="1" t="s">
        <v>7078</v>
      </c>
      <c r="BV2182" s="1">
        <v>1.1</v>
      </c>
      <c r="EQ2182" s="9" t="s">
        <v>7077</v>
      </c>
      <c r="ER2182" s="21">
        <v>46045.301875</v>
      </c>
    </row>
    <row r="2183">
      <c r="A2183" s="9" t="s">
        <v>7079</v>
      </c>
      <c r="B2183" s="20" t="str">
        <f>IFERROR(__xludf.DUMMYFUNCTION("REGEXREPLACE(A2183, ""^https?://[^/]+"", """")"),"/how-to-recruit-your-ideal-salesperson/")</f>
        <v>/how-to-recruit-your-ideal-salesperson/</v>
      </c>
      <c r="C2183" s="1" t="s">
        <v>7080</v>
      </c>
      <c r="F2183" s="1" t="s">
        <v>965</v>
      </c>
      <c r="G2183" s="1">
        <v>200.0</v>
      </c>
      <c r="H2183" s="1" t="s">
        <v>966</v>
      </c>
      <c r="I2183" s="1" t="s">
        <v>967</v>
      </c>
      <c r="K2183" s="1" t="s">
        <v>7081</v>
      </c>
      <c r="L2183" s="1">
        <v>62.0</v>
      </c>
      <c r="M2183" s="1">
        <v>555.0</v>
      </c>
      <c r="O2183" s="1">
        <v>0.0</v>
      </c>
      <c r="P2183" s="1">
        <v>0.0</v>
      </c>
      <c r="Q2183" s="1" t="s">
        <v>7082</v>
      </c>
      <c r="R2183" s="1">
        <v>124.0</v>
      </c>
      <c r="S2183" s="1">
        <v>731.0</v>
      </c>
      <c r="U2183" s="1">
        <v>0.0</v>
      </c>
      <c r="V2183" s="1" t="s">
        <v>7080</v>
      </c>
      <c r="W2183" s="1">
        <v>37.0</v>
      </c>
      <c r="Y2183" s="1">
        <v>0.0</v>
      </c>
      <c r="AA2183" s="1">
        <v>0.0</v>
      </c>
      <c r="AC2183" s="1">
        <v>0.0</v>
      </c>
      <c r="AD2183" s="1" t="s">
        <v>971</v>
      </c>
      <c r="AG2183" s="9" t="s">
        <v>7079</v>
      </c>
      <c r="AM2183" s="1">
        <v>200850.0</v>
      </c>
      <c r="AN2183" s="1">
        <v>35748.0</v>
      </c>
      <c r="AO2183" s="1">
        <v>35748.0</v>
      </c>
      <c r="AP2183" s="1">
        <v>13.694</v>
      </c>
      <c r="AR2183" s="1">
        <v>1270.0</v>
      </c>
      <c r="AS2183" s="1">
        <v>203.0</v>
      </c>
      <c r="AT2183" s="1">
        <v>6.256</v>
      </c>
      <c r="AU2183" s="1">
        <v>62.46</v>
      </c>
      <c r="AV2183" s="1" t="s">
        <v>990</v>
      </c>
      <c r="AW2183" s="1">
        <v>5.103</v>
      </c>
      <c r="AX2183" s="1">
        <v>5.0</v>
      </c>
      <c r="AY2183" s="1">
        <v>1.0</v>
      </c>
      <c r="AZ2183" s="1">
        <v>1.0</v>
      </c>
      <c r="BA2183" s="1">
        <v>3.0</v>
      </c>
      <c r="BB2183" s="1">
        <v>3.0</v>
      </c>
      <c r="BC2183" s="1">
        <v>0.0</v>
      </c>
      <c r="BD2183" s="1">
        <v>0.4</v>
      </c>
      <c r="BE2183" s="1">
        <v>132.0</v>
      </c>
      <c r="BF2183" s="1">
        <v>50.0</v>
      </c>
      <c r="BG2183" s="1">
        <v>0.0</v>
      </c>
      <c r="BH2183" s="1">
        <v>16.0</v>
      </c>
      <c r="BI2183" s="1">
        <v>8.0</v>
      </c>
      <c r="BJ2183" s="1">
        <v>0.0</v>
      </c>
      <c r="BO2183" s="1" t="s">
        <v>7083</v>
      </c>
      <c r="BP2183" s="1">
        <v>1.032</v>
      </c>
      <c r="BU2183" s="1" t="s">
        <v>974</v>
      </c>
      <c r="BV2183" s="1">
        <v>1.1</v>
      </c>
      <c r="EQ2183" s="9" t="s">
        <v>7079</v>
      </c>
      <c r="ER2183" s="21">
        <v>46045.301875</v>
      </c>
    </row>
    <row r="2184">
      <c r="A2184" s="9" t="s">
        <v>7084</v>
      </c>
      <c r="B2184" s="20" t="str">
        <f>IFERROR(__xludf.DUMMYFUNCTION("REGEXREPLACE(A2184, ""^https?://[^/]+"", """")"),"/wp-content/uploads/2015/03/Juggling-w-15-x-15-px-colored-border-JPG-206x300-1-206x300.jpg")</f>
        <v>/wp-content/uploads/2015/03/Juggling-w-15-x-15-px-colored-border-JPG-206x300-1-206x300.jpg</v>
      </c>
      <c r="F2184" s="1" t="s">
        <v>965</v>
      </c>
      <c r="G2184" s="1">
        <v>404.0</v>
      </c>
      <c r="H2184" s="1" t="s">
        <v>2067</v>
      </c>
      <c r="I2184" s="1" t="s">
        <v>1214</v>
      </c>
      <c r="J2184" s="1" t="s">
        <v>2068</v>
      </c>
      <c r="L2184" s="1">
        <v>0.0</v>
      </c>
      <c r="M2184" s="1">
        <v>0.0</v>
      </c>
      <c r="O2184" s="1">
        <v>0.0</v>
      </c>
      <c r="P2184" s="1">
        <v>0.0</v>
      </c>
      <c r="R2184" s="1">
        <v>0.0</v>
      </c>
      <c r="S2184" s="1">
        <v>0.0</v>
      </c>
      <c r="U2184" s="1">
        <v>0.0</v>
      </c>
      <c r="W2184" s="1">
        <v>0.0</v>
      </c>
      <c r="Y2184" s="1">
        <v>0.0</v>
      </c>
      <c r="AA2184" s="1">
        <v>0.0</v>
      </c>
      <c r="AC2184" s="1">
        <v>0.0</v>
      </c>
      <c r="AM2184" s="1">
        <v>0.0</v>
      </c>
      <c r="AN2184" s="1">
        <v>0.0</v>
      </c>
      <c r="AO2184" s="1">
        <v>0.0</v>
      </c>
      <c r="AP2184" s="1">
        <v>0.0</v>
      </c>
      <c r="AR2184" s="1">
        <v>0.0</v>
      </c>
      <c r="AW2184" s="1">
        <v>0.0</v>
      </c>
      <c r="AX2184" s="1">
        <v>5.0</v>
      </c>
      <c r="AY2184" s="1">
        <v>4.0</v>
      </c>
      <c r="BA2184" s="1">
        <v>0.0</v>
      </c>
      <c r="BB2184" s="1">
        <v>0.0</v>
      </c>
      <c r="BC2184" s="1">
        <v>0.0</v>
      </c>
      <c r="BD2184" s="1">
        <v>0.0</v>
      </c>
      <c r="BE2184" s="1">
        <v>0.0</v>
      </c>
      <c r="BF2184" s="1">
        <v>0.0</v>
      </c>
      <c r="BG2184" s="1">
        <v>0.0</v>
      </c>
      <c r="BH2184" s="1">
        <v>0.0</v>
      </c>
      <c r="BI2184" s="1">
        <v>0.0</v>
      </c>
      <c r="BJ2184" s="1">
        <v>0.0</v>
      </c>
      <c r="BP2184" s="1">
        <v>0.937</v>
      </c>
      <c r="BV2184" s="1">
        <v>1.1</v>
      </c>
      <c r="EQ2184" s="9" t="s">
        <v>7084</v>
      </c>
      <c r="ER2184" s="21">
        <v>46045.301886574074</v>
      </c>
    </row>
    <row r="2185">
      <c r="A2185" s="9" t="s">
        <v>7085</v>
      </c>
      <c r="B2185" s="20" t="str">
        <f>IFERROR(__xludf.DUMMYFUNCTION("REGEXREPLACE(A2185, ""^https?://[^/]+"", """")"),"/wp-content/uploads/2015/03/Juggling-w-15-x-15-px-colored-border-JPG-206x300-1.jpg")</f>
        <v>/wp-content/uploads/2015/03/Juggling-w-15-x-15-px-colored-border-JPG-206x300-1.jpg</v>
      </c>
      <c r="F2185" s="1" t="s">
        <v>1004</v>
      </c>
      <c r="G2185" s="1">
        <v>200.0</v>
      </c>
      <c r="H2185" s="1" t="s">
        <v>966</v>
      </c>
      <c r="I2185" s="1" t="s">
        <v>967</v>
      </c>
      <c r="L2185" s="1">
        <v>0.0</v>
      </c>
      <c r="M2185" s="1">
        <v>0.0</v>
      </c>
      <c r="O2185" s="1">
        <v>0.0</v>
      </c>
      <c r="P2185" s="1">
        <v>0.0</v>
      </c>
      <c r="R2185" s="1">
        <v>0.0</v>
      </c>
      <c r="S2185" s="1">
        <v>0.0</v>
      </c>
      <c r="U2185" s="1">
        <v>0.0</v>
      </c>
      <c r="W2185" s="1">
        <v>0.0</v>
      </c>
      <c r="Y2185" s="1">
        <v>0.0</v>
      </c>
      <c r="AA2185" s="1">
        <v>0.0</v>
      </c>
      <c r="AC2185" s="1">
        <v>0.0</v>
      </c>
      <c r="AM2185" s="1">
        <v>17758.0</v>
      </c>
      <c r="AN2185" s="1">
        <v>17758.0</v>
      </c>
      <c r="AO2185" s="1">
        <v>17758.0</v>
      </c>
      <c r="AP2185" s="1">
        <v>6.803</v>
      </c>
      <c r="AR2185" s="1">
        <v>0.0</v>
      </c>
      <c r="AW2185" s="1">
        <v>0.0</v>
      </c>
      <c r="AX2185" s="1">
        <v>5.0</v>
      </c>
      <c r="AY2185" s="1">
        <v>4.0</v>
      </c>
      <c r="AZ2185" s="1">
        <v>1.0</v>
      </c>
      <c r="BA2185" s="1">
        <v>1.0</v>
      </c>
      <c r="BB2185" s="1">
        <v>1.0</v>
      </c>
      <c r="BC2185" s="1">
        <v>0.0</v>
      </c>
      <c r="BD2185" s="1">
        <v>0.13</v>
      </c>
      <c r="BE2185" s="1">
        <v>0.0</v>
      </c>
      <c r="BF2185" s="1">
        <v>0.0</v>
      </c>
      <c r="BG2185" s="1">
        <v>0.0</v>
      </c>
      <c r="BH2185" s="1">
        <v>0.0</v>
      </c>
      <c r="BI2185" s="1">
        <v>0.0</v>
      </c>
      <c r="BJ2185" s="1">
        <v>0.0</v>
      </c>
      <c r="BP2185" s="1">
        <v>0.271</v>
      </c>
      <c r="BQ2185" s="1" t="s">
        <v>7086</v>
      </c>
      <c r="BV2185" s="1">
        <v>1.1</v>
      </c>
      <c r="EQ2185" s="9" t="s">
        <v>7085</v>
      </c>
      <c r="ER2185" s="21">
        <v>46045.301886574074</v>
      </c>
    </row>
    <row r="2186">
      <c r="A2186" s="9" t="s">
        <v>7087</v>
      </c>
      <c r="B2186" s="20" t="str">
        <f>IFERROR(__xludf.DUMMYFUNCTION("REGEXREPLACE(A2186, ""^https?://[^/]+"", """")"),"/what-if-you-just-cant-afford-a-sales-superstar/")</f>
        <v>/what-if-you-just-cant-afford-a-sales-superstar/</v>
      </c>
      <c r="C2186" s="1" t="s">
        <v>7088</v>
      </c>
      <c r="F2186" s="1" t="s">
        <v>965</v>
      </c>
      <c r="G2186" s="1">
        <v>200.0</v>
      </c>
      <c r="H2186" s="1" t="s">
        <v>966</v>
      </c>
      <c r="I2186" s="1" t="s">
        <v>967</v>
      </c>
      <c r="K2186" s="1" t="s">
        <v>7089</v>
      </c>
      <c r="L2186" s="1">
        <v>73.0</v>
      </c>
      <c r="M2186" s="1">
        <v>645.0</v>
      </c>
      <c r="O2186" s="1">
        <v>0.0</v>
      </c>
      <c r="P2186" s="1">
        <v>0.0</v>
      </c>
      <c r="Q2186" s="1" t="s">
        <v>7090</v>
      </c>
      <c r="R2186" s="1">
        <v>129.0</v>
      </c>
      <c r="S2186" s="1">
        <v>784.0</v>
      </c>
      <c r="U2186" s="1">
        <v>0.0</v>
      </c>
      <c r="V2186" s="1" t="s">
        <v>7088</v>
      </c>
      <c r="W2186" s="1">
        <v>48.0</v>
      </c>
      <c r="Y2186" s="1">
        <v>0.0</v>
      </c>
      <c r="AA2186" s="1">
        <v>0.0</v>
      </c>
      <c r="AC2186" s="1">
        <v>0.0</v>
      </c>
      <c r="AD2186" s="1" t="s">
        <v>971</v>
      </c>
      <c r="AG2186" s="9" t="s">
        <v>7087</v>
      </c>
      <c r="AM2186" s="1">
        <v>200415.0</v>
      </c>
      <c r="AN2186" s="1">
        <v>35670.0</v>
      </c>
      <c r="AO2186" s="1">
        <v>35670.0</v>
      </c>
      <c r="AP2186" s="1">
        <v>13.664</v>
      </c>
      <c r="AR2186" s="1">
        <v>1237.0</v>
      </c>
      <c r="AS2186" s="1">
        <v>194.0</v>
      </c>
      <c r="AT2186" s="1">
        <v>6.376</v>
      </c>
      <c r="AU2186" s="1">
        <v>68.163</v>
      </c>
      <c r="AV2186" s="1" t="s">
        <v>990</v>
      </c>
      <c r="AW2186" s="1">
        <v>4.91</v>
      </c>
      <c r="AX2186" s="1">
        <v>5.0</v>
      </c>
      <c r="AY2186" s="1">
        <v>1.0</v>
      </c>
      <c r="AZ2186" s="1">
        <v>1.0</v>
      </c>
      <c r="BA2186" s="1">
        <v>10.0</v>
      </c>
      <c r="BB2186" s="1">
        <v>10.0</v>
      </c>
      <c r="BC2186" s="1">
        <v>0.0</v>
      </c>
      <c r="BD2186" s="1">
        <v>1.33</v>
      </c>
      <c r="BE2186" s="1">
        <v>131.0</v>
      </c>
      <c r="BF2186" s="1">
        <v>48.0</v>
      </c>
      <c r="BG2186" s="1">
        <v>0.0</v>
      </c>
      <c r="BH2186" s="1">
        <v>16.0</v>
      </c>
      <c r="BI2186" s="1">
        <v>8.0</v>
      </c>
      <c r="BJ2186" s="1">
        <v>0.0</v>
      </c>
      <c r="BO2186" s="1" t="s">
        <v>7091</v>
      </c>
      <c r="BP2186" s="1">
        <v>1.017</v>
      </c>
      <c r="BU2186" s="1" t="s">
        <v>974</v>
      </c>
      <c r="BV2186" s="1">
        <v>1.1</v>
      </c>
      <c r="EQ2186" s="9" t="s">
        <v>7087</v>
      </c>
      <c r="ER2186" s="21">
        <v>46045.301886574074</v>
      </c>
    </row>
    <row r="2187">
      <c r="A2187" s="9" t="s">
        <v>7092</v>
      </c>
      <c r="B2187" s="20" t="str">
        <f>IFERROR(__xludf.DUMMYFUNCTION("REGEXREPLACE(A2187, ""^https?://[^/]+"", """")"),"/why-promoting-your-top-sales-performer-to-sales-manager-could-backfire/")</f>
        <v>/why-promoting-your-top-sales-performer-to-sales-manager-could-backfire/</v>
      </c>
      <c r="C2187" s="1" t="s">
        <v>7093</v>
      </c>
      <c r="F2187" s="1" t="s">
        <v>965</v>
      </c>
      <c r="G2187" s="1">
        <v>200.0</v>
      </c>
      <c r="H2187" s="1" t="s">
        <v>966</v>
      </c>
      <c r="I2187" s="1" t="s">
        <v>967</v>
      </c>
      <c r="K2187" s="1" t="s">
        <v>7094</v>
      </c>
      <c r="L2187" s="1">
        <v>95.0</v>
      </c>
      <c r="M2187" s="1">
        <v>883.0</v>
      </c>
      <c r="O2187" s="1">
        <v>0.0</v>
      </c>
      <c r="P2187" s="1">
        <v>0.0</v>
      </c>
      <c r="Q2187" s="1" t="s">
        <v>7095</v>
      </c>
      <c r="R2187" s="1">
        <v>132.0</v>
      </c>
      <c r="S2187" s="1">
        <v>825.0</v>
      </c>
      <c r="U2187" s="1">
        <v>0.0</v>
      </c>
      <c r="V2187" s="1" t="s">
        <v>7093</v>
      </c>
      <c r="W2187" s="1">
        <v>70.0</v>
      </c>
      <c r="Y2187" s="1">
        <v>0.0</v>
      </c>
      <c r="AA2187" s="1">
        <v>0.0</v>
      </c>
      <c r="AC2187" s="1">
        <v>0.0</v>
      </c>
      <c r="AD2187" s="1" t="s">
        <v>971</v>
      </c>
      <c r="AG2187" s="9" t="s">
        <v>7092</v>
      </c>
      <c r="AM2187" s="1">
        <v>203799.0</v>
      </c>
      <c r="AN2187" s="1">
        <v>36374.0</v>
      </c>
      <c r="AO2187" s="1">
        <v>36374.0</v>
      </c>
      <c r="AP2187" s="1">
        <v>13.934</v>
      </c>
      <c r="AR2187" s="1">
        <v>1532.0</v>
      </c>
      <c r="AS2187" s="1">
        <v>218.0</v>
      </c>
      <c r="AT2187" s="1">
        <v>7.028</v>
      </c>
      <c r="AU2187" s="1">
        <v>68.716</v>
      </c>
      <c r="AV2187" s="1" t="s">
        <v>990</v>
      </c>
      <c r="AW2187" s="1">
        <v>5.636</v>
      </c>
      <c r="AX2187" s="1">
        <v>5.0</v>
      </c>
      <c r="AY2187" s="1">
        <v>1.0</v>
      </c>
      <c r="AZ2187" s="1">
        <v>1.0</v>
      </c>
      <c r="BA2187" s="1">
        <v>2.0</v>
      </c>
      <c r="BB2187" s="1">
        <v>2.0</v>
      </c>
      <c r="BC2187" s="1">
        <v>0.0</v>
      </c>
      <c r="BD2187" s="1">
        <v>0.27</v>
      </c>
      <c r="BE2187" s="1">
        <v>133.0</v>
      </c>
      <c r="BF2187" s="1">
        <v>51.0</v>
      </c>
      <c r="BG2187" s="1">
        <v>0.0</v>
      </c>
      <c r="BH2187" s="1">
        <v>16.0</v>
      </c>
      <c r="BI2187" s="1">
        <v>8.0</v>
      </c>
      <c r="BJ2187" s="1">
        <v>0.0</v>
      </c>
      <c r="BO2187" s="1" t="s">
        <v>7096</v>
      </c>
      <c r="BP2187" s="1">
        <v>1.019</v>
      </c>
      <c r="BU2187" s="1" t="s">
        <v>974</v>
      </c>
      <c r="BV2187" s="1">
        <v>1.1</v>
      </c>
      <c r="EQ2187" s="9" t="s">
        <v>7092</v>
      </c>
      <c r="ER2187" s="21">
        <v>46045.301886574074</v>
      </c>
    </row>
    <row r="2188">
      <c r="A2188" s="9" t="s">
        <v>7097</v>
      </c>
      <c r="B2188" s="20" t="str">
        <f>IFERROR(__xludf.DUMMYFUNCTION("REGEXREPLACE(A2188, ""^https?://[^/]+"", """")"),"/wp-content/uploads/2015/04/onboarding.png")</f>
        <v>/wp-content/uploads/2015/04/onboarding.png</v>
      </c>
      <c r="F2188" s="1" t="s">
        <v>1047</v>
      </c>
      <c r="G2188" s="1">
        <v>200.0</v>
      </c>
      <c r="H2188" s="1" t="s">
        <v>966</v>
      </c>
      <c r="I2188" s="1" t="s">
        <v>967</v>
      </c>
      <c r="L2188" s="1">
        <v>0.0</v>
      </c>
      <c r="M2188" s="1">
        <v>0.0</v>
      </c>
      <c r="O2188" s="1">
        <v>0.0</v>
      </c>
      <c r="P2188" s="1">
        <v>0.0</v>
      </c>
      <c r="R2188" s="1">
        <v>0.0</v>
      </c>
      <c r="S2188" s="1">
        <v>0.0</v>
      </c>
      <c r="U2188" s="1">
        <v>0.0</v>
      </c>
      <c r="W2188" s="1">
        <v>0.0</v>
      </c>
      <c r="Y2188" s="1">
        <v>0.0</v>
      </c>
      <c r="AA2188" s="1">
        <v>0.0</v>
      </c>
      <c r="AC2188" s="1">
        <v>0.0</v>
      </c>
      <c r="AM2188" s="1">
        <v>108874.0</v>
      </c>
      <c r="AN2188" s="1">
        <v>108874.0</v>
      </c>
      <c r="AO2188" s="1">
        <v>108874.0</v>
      </c>
      <c r="AP2188" s="1">
        <v>41.708</v>
      </c>
      <c r="AR2188" s="1">
        <v>0.0</v>
      </c>
      <c r="AW2188" s="1">
        <v>0.0</v>
      </c>
      <c r="AX2188" s="1">
        <v>5.0</v>
      </c>
      <c r="AY2188" s="1">
        <v>4.0</v>
      </c>
      <c r="BA2188" s="1">
        <v>0.0</v>
      </c>
      <c r="BB2188" s="1">
        <v>0.0</v>
      </c>
      <c r="BC2188" s="1">
        <v>0.0</v>
      </c>
      <c r="BD2188" s="1">
        <v>0.0</v>
      </c>
      <c r="BE2188" s="1">
        <v>0.0</v>
      </c>
      <c r="BF2188" s="1">
        <v>0.0</v>
      </c>
      <c r="BG2188" s="1">
        <v>0.0</v>
      </c>
      <c r="BH2188" s="1">
        <v>0.0</v>
      </c>
      <c r="BI2188" s="1">
        <v>0.0</v>
      </c>
      <c r="BJ2188" s="1">
        <v>0.0</v>
      </c>
      <c r="BP2188" s="1">
        <v>0.261</v>
      </c>
      <c r="BQ2188" s="1" t="s">
        <v>7098</v>
      </c>
      <c r="BV2188" s="1">
        <v>1.1</v>
      </c>
      <c r="EQ2188" s="9" t="s">
        <v>7097</v>
      </c>
      <c r="ER2188" s="21">
        <v>46045.30189814815</v>
      </c>
    </row>
    <row r="2189">
      <c r="A2189" s="9" t="s">
        <v>7099</v>
      </c>
      <c r="B2189" s="20" t="str">
        <f>IFERROR(__xludf.DUMMYFUNCTION("REGEXREPLACE(A2189, ""^https?://[^/]+"", """")"),"/tie-a-bow-on-your-company/")</f>
        <v>/tie-a-bow-on-your-company/</v>
      </c>
      <c r="C2189" s="1" t="s">
        <v>7100</v>
      </c>
      <c r="F2189" s="1" t="s">
        <v>965</v>
      </c>
      <c r="G2189" s="1">
        <v>200.0</v>
      </c>
      <c r="H2189" s="1" t="s">
        <v>966</v>
      </c>
      <c r="I2189" s="1" t="s">
        <v>967</v>
      </c>
      <c r="K2189" s="1" t="s">
        <v>7101</v>
      </c>
      <c r="L2189" s="1">
        <v>50.0</v>
      </c>
      <c r="M2189" s="1">
        <v>472.0</v>
      </c>
      <c r="O2189" s="1">
        <v>0.0</v>
      </c>
      <c r="P2189" s="1">
        <v>0.0</v>
      </c>
      <c r="Q2189" s="1" t="s">
        <v>7102</v>
      </c>
      <c r="R2189" s="1">
        <v>147.0</v>
      </c>
      <c r="S2189" s="1">
        <v>868.0</v>
      </c>
      <c r="U2189" s="1">
        <v>0.0</v>
      </c>
      <c r="V2189" s="1" t="s">
        <v>7100</v>
      </c>
      <c r="W2189" s="1">
        <v>25.0</v>
      </c>
      <c r="Y2189" s="1">
        <v>0.0</v>
      </c>
      <c r="AA2189" s="1">
        <v>0.0</v>
      </c>
      <c r="AC2189" s="1">
        <v>0.0</v>
      </c>
      <c r="AD2189" s="1" t="s">
        <v>971</v>
      </c>
      <c r="AG2189" s="9" t="s">
        <v>7099</v>
      </c>
      <c r="AM2189" s="1">
        <v>202404.0</v>
      </c>
      <c r="AN2189" s="1">
        <v>36755.0</v>
      </c>
      <c r="AO2189" s="1">
        <v>36755.0</v>
      </c>
      <c r="AP2189" s="1">
        <v>14.08</v>
      </c>
      <c r="AR2189" s="1">
        <v>1666.0</v>
      </c>
      <c r="AS2189" s="1">
        <v>221.0</v>
      </c>
      <c r="AT2189" s="1">
        <v>7.538</v>
      </c>
      <c r="AU2189" s="1">
        <v>68.272</v>
      </c>
      <c r="AV2189" s="1" t="s">
        <v>990</v>
      </c>
      <c r="AW2189" s="1">
        <v>6.1</v>
      </c>
      <c r="AX2189" s="1">
        <v>5.0</v>
      </c>
      <c r="AY2189" s="1">
        <v>1.0</v>
      </c>
      <c r="AZ2189" s="1">
        <v>1.0</v>
      </c>
      <c r="BA2189" s="1">
        <v>9.0</v>
      </c>
      <c r="BB2189" s="1">
        <v>9.0</v>
      </c>
      <c r="BC2189" s="1">
        <v>0.0</v>
      </c>
      <c r="BD2189" s="1">
        <v>1.19</v>
      </c>
      <c r="BE2189" s="1">
        <v>132.0</v>
      </c>
      <c r="BF2189" s="1">
        <v>49.0</v>
      </c>
      <c r="BG2189" s="1">
        <v>0.0</v>
      </c>
      <c r="BH2189" s="1">
        <v>16.0</v>
      </c>
      <c r="BI2189" s="1">
        <v>8.0</v>
      </c>
      <c r="BJ2189" s="1">
        <v>0.0</v>
      </c>
      <c r="BO2189" s="1" t="s">
        <v>7103</v>
      </c>
      <c r="BP2189" s="1">
        <v>1.09</v>
      </c>
      <c r="BU2189" s="1" t="s">
        <v>974</v>
      </c>
      <c r="BV2189" s="1">
        <v>1.1</v>
      </c>
      <c r="EQ2189" s="9" t="s">
        <v>7099</v>
      </c>
      <c r="ER2189" s="21">
        <v>46045.301886574074</v>
      </c>
    </row>
    <row r="2190">
      <c r="A2190" s="9" t="s">
        <v>7104</v>
      </c>
      <c r="B2190" s="20" t="str">
        <f>IFERROR(__xludf.DUMMYFUNCTION("REGEXREPLACE(A2190, ""^https?://[^/]+"", """")"),"/wp-content/uploads/2015/01/yah5.jpg")</f>
        <v>/wp-content/uploads/2015/01/yah5.jpg</v>
      </c>
      <c r="F2190" s="1" t="s">
        <v>1004</v>
      </c>
      <c r="G2190" s="1">
        <v>200.0</v>
      </c>
      <c r="H2190" s="1" t="s">
        <v>966</v>
      </c>
      <c r="I2190" s="1" t="s">
        <v>967</v>
      </c>
      <c r="L2190" s="1">
        <v>0.0</v>
      </c>
      <c r="M2190" s="1">
        <v>0.0</v>
      </c>
      <c r="O2190" s="1">
        <v>0.0</v>
      </c>
      <c r="P2190" s="1">
        <v>0.0</v>
      </c>
      <c r="R2190" s="1">
        <v>0.0</v>
      </c>
      <c r="S2190" s="1">
        <v>0.0</v>
      </c>
      <c r="U2190" s="1">
        <v>0.0</v>
      </c>
      <c r="W2190" s="1">
        <v>0.0</v>
      </c>
      <c r="Y2190" s="1">
        <v>0.0</v>
      </c>
      <c r="AA2190" s="1">
        <v>0.0</v>
      </c>
      <c r="AC2190" s="1">
        <v>0.0</v>
      </c>
      <c r="AM2190" s="1">
        <v>36728.0</v>
      </c>
      <c r="AN2190" s="1">
        <v>36728.0</v>
      </c>
      <c r="AO2190" s="1">
        <v>36728.0</v>
      </c>
      <c r="AP2190" s="1">
        <v>14.07</v>
      </c>
      <c r="AR2190" s="1">
        <v>0.0</v>
      </c>
      <c r="AW2190" s="1">
        <v>0.0</v>
      </c>
      <c r="AX2190" s="1">
        <v>5.0</v>
      </c>
      <c r="AY2190" s="1">
        <v>4.0</v>
      </c>
      <c r="BA2190" s="1">
        <v>0.0</v>
      </c>
      <c r="BB2190" s="1">
        <v>0.0</v>
      </c>
      <c r="BC2190" s="1">
        <v>0.0</v>
      </c>
      <c r="BD2190" s="1">
        <v>0.0</v>
      </c>
      <c r="BE2190" s="1">
        <v>0.0</v>
      </c>
      <c r="BF2190" s="1">
        <v>0.0</v>
      </c>
      <c r="BG2190" s="1">
        <v>0.0</v>
      </c>
      <c r="BH2190" s="1">
        <v>0.0</v>
      </c>
      <c r="BI2190" s="1">
        <v>0.0</v>
      </c>
      <c r="BJ2190" s="1">
        <v>0.0</v>
      </c>
      <c r="BP2190" s="1">
        <v>0.268</v>
      </c>
      <c r="BQ2190" s="1" t="s">
        <v>7105</v>
      </c>
      <c r="BV2190" s="1">
        <v>1.1</v>
      </c>
      <c r="EQ2190" s="9" t="s">
        <v>7104</v>
      </c>
      <c r="ER2190" s="21">
        <v>46045.30189814815</v>
      </c>
    </row>
    <row r="2191">
      <c r="A2191" s="9" t="s">
        <v>7106</v>
      </c>
      <c r="B2191" s="20" t="str">
        <f>IFERROR(__xludf.DUMMYFUNCTION("REGEXREPLACE(A2191, ""^https?://[^/]+"", """")"),"/wp-content/themes/salesxceleratione/assets/css/style.css?ver=1769123606")</f>
        <v>/wp-content/themes/salesxceleratione/assets/css/style.css?ver=1769123606</v>
      </c>
      <c r="F2191" s="1" t="s">
        <v>1016</v>
      </c>
      <c r="G2191" s="1">
        <v>200.0</v>
      </c>
      <c r="H2191" s="1" t="s">
        <v>966</v>
      </c>
      <c r="I2191" s="1" t="s">
        <v>967</v>
      </c>
      <c r="L2191" s="1">
        <v>0.0</v>
      </c>
      <c r="M2191" s="1">
        <v>0.0</v>
      </c>
      <c r="O2191" s="1">
        <v>0.0</v>
      </c>
      <c r="P2191" s="1">
        <v>0.0</v>
      </c>
      <c r="R2191" s="1">
        <v>0.0</v>
      </c>
      <c r="S2191" s="1">
        <v>0.0</v>
      </c>
      <c r="U2191" s="1">
        <v>0.0</v>
      </c>
      <c r="W2191" s="1">
        <v>0.0</v>
      </c>
      <c r="Y2191" s="1">
        <v>0.0</v>
      </c>
      <c r="AA2191" s="1">
        <v>0.0</v>
      </c>
      <c r="AC2191" s="1">
        <v>0.0</v>
      </c>
      <c r="AM2191" s="1">
        <v>17704.0</v>
      </c>
      <c r="AN2191" s="1">
        <v>17704.0</v>
      </c>
      <c r="AO2191" s="1">
        <v>17704.0</v>
      </c>
      <c r="AP2191" s="1">
        <v>6.782</v>
      </c>
      <c r="AR2191" s="1">
        <v>0.0</v>
      </c>
      <c r="AW2191" s="1">
        <v>0.0</v>
      </c>
      <c r="AX2191" s="1">
        <v>5.0</v>
      </c>
      <c r="AY2191" s="1">
        <v>5.0</v>
      </c>
      <c r="BA2191" s="1">
        <v>0.0</v>
      </c>
      <c r="BB2191" s="1">
        <v>0.0</v>
      </c>
      <c r="BC2191" s="1">
        <v>0.0</v>
      </c>
      <c r="BD2191" s="1">
        <v>0.0</v>
      </c>
      <c r="BE2191" s="1">
        <v>0.0</v>
      </c>
      <c r="BF2191" s="1">
        <v>0.0</v>
      </c>
      <c r="BG2191" s="1">
        <v>0.0</v>
      </c>
      <c r="BH2191" s="1">
        <v>0.0</v>
      </c>
      <c r="BI2191" s="1">
        <v>0.0</v>
      </c>
      <c r="BJ2191" s="1">
        <v>0.0</v>
      </c>
      <c r="BP2191" s="1">
        <v>0.272</v>
      </c>
      <c r="BQ2191" s="1" t="s">
        <v>7107</v>
      </c>
      <c r="BV2191" s="1">
        <v>1.1</v>
      </c>
      <c r="EQ2191" s="9" t="s">
        <v>7106</v>
      </c>
      <c r="ER2191" s="21">
        <v>46045.30189814815</v>
      </c>
    </row>
    <row r="2192">
      <c r="A2192" s="9" t="s">
        <v>7108</v>
      </c>
      <c r="B2192" s="20" t="str">
        <f>IFERROR(__xludf.DUMMYFUNCTION("REGEXREPLACE(A2192, ""^https?://[^/]+"", """")"),"/wp-content/uploads/2015/03/Unstick-a-stalled-deal.png")</f>
        <v>/wp-content/uploads/2015/03/Unstick-a-stalled-deal.png</v>
      </c>
      <c r="F2192" s="1" t="s">
        <v>1047</v>
      </c>
      <c r="G2192" s="1">
        <v>200.0</v>
      </c>
      <c r="H2192" s="1" t="s">
        <v>966</v>
      </c>
      <c r="I2192" s="1" t="s">
        <v>967</v>
      </c>
      <c r="L2192" s="1">
        <v>0.0</v>
      </c>
      <c r="M2192" s="1">
        <v>0.0</v>
      </c>
      <c r="O2192" s="1">
        <v>0.0</v>
      </c>
      <c r="P2192" s="1">
        <v>0.0</v>
      </c>
      <c r="R2192" s="1">
        <v>0.0</v>
      </c>
      <c r="S2192" s="1">
        <v>0.0</v>
      </c>
      <c r="U2192" s="1">
        <v>0.0</v>
      </c>
      <c r="W2192" s="1">
        <v>0.0</v>
      </c>
      <c r="Y2192" s="1">
        <v>0.0</v>
      </c>
      <c r="AA2192" s="1">
        <v>0.0</v>
      </c>
      <c r="AC2192" s="1">
        <v>0.0</v>
      </c>
      <c r="AM2192" s="1">
        <v>173937.0</v>
      </c>
      <c r="AN2192" s="1">
        <v>173937.0</v>
      </c>
      <c r="AO2192" s="1">
        <v>173937.0</v>
      </c>
      <c r="AP2192" s="1">
        <v>66.632</v>
      </c>
      <c r="AR2192" s="1">
        <v>0.0</v>
      </c>
      <c r="AW2192" s="1">
        <v>0.0</v>
      </c>
      <c r="AX2192" s="1">
        <v>5.0</v>
      </c>
      <c r="AY2192" s="1">
        <v>4.0</v>
      </c>
      <c r="BA2192" s="1">
        <v>0.0</v>
      </c>
      <c r="BB2192" s="1">
        <v>0.0</v>
      </c>
      <c r="BC2192" s="1">
        <v>0.0</v>
      </c>
      <c r="BD2192" s="1">
        <v>0.0</v>
      </c>
      <c r="BE2192" s="1">
        <v>0.0</v>
      </c>
      <c r="BF2192" s="1">
        <v>0.0</v>
      </c>
      <c r="BG2192" s="1">
        <v>0.0</v>
      </c>
      <c r="BH2192" s="1">
        <v>0.0</v>
      </c>
      <c r="BI2192" s="1">
        <v>0.0</v>
      </c>
      <c r="BJ2192" s="1">
        <v>0.0</v>
      </c>
      <c r="BP2192" s="1">
        <v>0.269</v>
      </c>
      <c r="BQ2192" s="1" t="s">
        <v>7109</v>
      </c>
      <c r="BV2192" s="1">
        <v>1.1</v>
      </c>
      <c r="EQ2192" s="9" t="s">
        <v>7108</v>
      </c>
      <c r="ER2192" s="21">
        <v>46045.30189814815</v>
      </c>
    </row>
    <row r="2193">
      <c r="A2193" s="9" t="s">
        <v>7110</v>
      </c>
      <c r="B2193" s="20" t="str">
        <f>IFERROR(__xludf.DUMMYFUNCTION("REGEXREPLACE(A2193, ""^https?://[^/]+"", """")"),"/how-to-recruit-your-ideal-salesperson")</f>
        <v>/how-to-recruit-your-ideal-salesperson</v>
      </c>
      <c r="F2193" s="1" t="s">
        <v>965</v>
      </c>
      <c r="G2193" s="1">
        <v>301.0</v>
      </c>
      <c r="H2193" s="1" t="s">
        <v>1304</v>
      </c>
      <c r="I2193" s="1" t="s">
        <v>1214</v>
      </c>
      <c r="J2193" s="1" t="s">
        <v>1305</v>
      </c>
      <c r="L2193" s="1">
        <v>0.0</v>
      </c>
      <c r="M2193" s="1">
        <v>0.0</v>
      </c>
      <c r="O2193" s="1">
        <v>0.0</v>
      </c>
      <c r="P2193" s="1">
        <v>0.0</v>
      </c>
      <c r="R2193" s="1">
        <v>0.0</v>
      </c>
      <c r="S2193" s="1">
        <v>0.0</v>
      </c>
      <c r="U2193" s="1">
        <v>0.0</v>
      </c>
      <c r="W2193" s="1">
        <v>0.0</v>
      </c>
      <c r="Y2193" s="1">
        <v>0.0</v>
      </c>
      <c r="AA2193" s="1">
        <v>0.0</v>
      </c>
      <c r="AC2193" s="1">
        <v>0.0</v>
      </c>
      <c r="AM2193" s="1">
        <v>0.0</v>
      </c>
      <c r="AN2193" s="1">
        <v>0.0</v>
      </c>
      <c r="AO2193" s="1">
        <v>0.0</v>
      </c>
      <c r="AP2193" s="1">
        <v>0.0</v>
      </c>
      <c r="AR2193" s="1">
        <v>0.0</v>
      </c>
      <c r="AW2193" s="1">
        <v>0.0</v>
      </c>
      <c r="AX2193" s="1">
        <v>5.0</v>
      </c>
      <c r="AY2193" s="1">
        <v>0.0</v>
      </c>
      <c r="BA2193" s="1">
        <v>2.0</v>
      </c>
      <c r="BB2193" s="1">
        <v>2.0</v>
      </c>
      <c r="BC2193" s="1">
        <v>0.0</v>
      </c>
      <c r="BD2193" s="1">
        <v>0.27</v>
      </c>
      <c r="BE2193" s="1">
        <v>0.0</v>
      </c>
      <c r="BF2193" s="1">
        <v>0.0</v>
      </c>
      <c r="BG2193" s="1">
        <v>0.0</v>
      </c>
      <c r="BH2193" s="1">
        <v>0.0</v>
      </c>
      <c r="BI2193" s="1">
        <v>0.0</v>
      </c>
      <c r="BJ2193" s="1">
        <v>0.0</v>
      </c>
      <c r="BP2193" s="1">
        <v>0.556</v>
      </c>
      <c r="BR2193" s="9" t="s">
        <v>7079</v>
      </c>
      <c r="BS2193" s="1" t="s">
        <v>1307</v>
      </c>
      <c r="BV2193" s="1">
        <v>1.1</v>
      </c>
      <c r="EQ2193" s="9" t="s">
        <v>7110</v>
      </c>
      <c r="ER2193" s="21">
        <v>46045.30189814815</v>
      </c>
    </row>
    <row r="2194">
      <c r="A2194" s="9" t="s">
        <v>7111</v>
      </c>
      <c r="B2194" s="20" t="str">
        <f>IFERROR(__xludf.DUMMYFUNCTION("REGEXREPLACE(A2194, ""^https?://[^/]+"", """")"),"/wp-content/uploads/2014/11/one-two-punch.png")</f>
        <v>/wp-content/uploads/2014/11/one-two-punch.png</v>
      </c>
      <c r="F2194" s="1" t="s">
        <v>1047</v>
      </c>
      <c r="G2194" s="1">
        <v>200.0</v>
      </c>
      <c r="H2194" s="1" t="s">
        <v>966</v>
      </c>
      <c r="I2194" s="1" t="s">
        <v>967</v>
      </c>
      <c r="L2194" s="1">
        <v>0.0</v>
      </c>
      <c r="M2194" s="1">
        <v>0.0</v>
      </c>
      <c r="O2194" s="1">
        <v>0.0</v>
      </c>
      <c r="P2194" s="1">
        <v>0.0</v>
      </c>
      <c r="R2194" s="1">
        <v>0.0</v>
      </c>
      <c r="S2194" s="1">
        <v>0.0</v>
      </c>
      <c r="U2194" s="1">
        <v>0.0</v>
      </c>
      <c r="W2194" s="1">
        <v>0.0</v>
      </c>
      <c r="Y2194" s="1">
        <v>0.0</v>
      </c>
      <c r="AA2194" s="1">
        <v>0.0</v>
      </c>
      <c r="AC2194" s="1">
        <v>0.0</v>
      </c>
      <c r="AM2194" s="1">
        <v>147189.0</v>
      </c>
      <c r="AN2194" s="1">
        <v>147189.0</v>
      </c>
      <c r="AO2194" s="1">
        <v>147189.0</v>
      </c>
      <c r="AP2194" s="1">
        <v>56.385</v>
      </c>
      <c r="AR2194" s="1">
        <v>0.0</v>
      </c>
      <c r="AW2194" s="1">
        <v>0.0</v>
      </c>
      <c r="AX2194" s="1">
        <v>5.0</v>
      </c>
      <c r="AY2194" s="1">
        <v>4.0</v>
      </c>
      <c r="BA2194" s="1">
        <v>0.0</v>
      </c>
      <c r="BB2194" s="1">
        <v>0.0</v>
      </c>
      <c r="BC2194" s="1">
        <v>0.0</v>
      </c>
      <c r="BD2194" s="1">
        <v>0.0</v>
      </c>
      <c r="BE2194" s="1">
        <v>0.0</v>
      </c>
      <c r="BF2194" s="1">
        <v>0.0</v>
      </c>
      <c r="BG2194" s="1">
        <v>0.0</v>
      </c>
      <c r="BH2194" s="1">
        <v>0.0</v>
      </c>
      <c r="BI2194" s="1">
        <v>0.0</v>
      </c>
      <c r="BJ2194" s="1">
        <v>0.0</v>
      </c>
      <c r="BP2194" s="1">
        <v>0.27</v>
      </c>
      <c r="BQ2194" s="1" t="s">
        <v>7112</v>
      </c>
      <c r="BV2194" s="1">
        <v>1.1</v>
      </c>
      <c r="EQ2194" s="9" t="s">
        <v>7111</v>
      </c>
      <c r="ER2194" s="21">
        <v>46045.30189814815</v>
      </c>
    </row>
    <row r="2195">
      <c r="A2195" s="9" t="s">
        <v>7113</v>
      </c>
      <c r="B2195" s="20" t="str">
        <f>IFERROR(__xludf.DUMMYFUNCTION("REGEXREPLACE(A2195, ""^https?://[^/]+"", """")"),"/wp-content/uploads/2015/12/Sales-Call-Featured-.jpeg")</f>
        <v>/wp-content/uploads/2015/12/Sales-Call-Featured-.jpeg</v>
      </c>
      <c r="F2195" s="1" t="s">
        <v>1004</v>
      </c>
      <c r="G2195" s="1">
        <v>200.0</v>
      </c>
      <c r="H2195" s="1" t="s">
        <v>966</v>
      </c>
      <c r="I2195" s="1" t="s">
        <v>967</v>
      </c>
      <c r="L2195" s="1">
        <v>0.0</v>
      </c>
      <c r="M2195" s="1">
        <v>0.0</v>
      </c>
      <c r="O2195" s="1">
        <v>0.0</v>
      </c>
      <c r="P2195" s="1">
        <v>0.0</v>
      </c>
      <c r="R2195" s="1">
        <v>0.0</v>
      </c>
      <c r="S2195" s="1">
        <v>0.0</v>
      </c>
      <c r="U2195" s="1">
        <v>0.0</v>
      </c>
      <c r="W2195" s="1">
        <v>0.0</v>
      </c>
      <c r="Y2195" s="1">
        <v>0.0</v>
      </c>
      <c r="AA2195" s="1">
        <v>0.0</v>
      </c>
      <c r="AC2195" s="1">
        <v>0.0</v>
      </c>
      <c r="AM2195" s="1">
        <v>41557.0</v>
      </c>
      <c r="AN2195" s="1">
        <v>41557.0</v>
      </c>
      <c r="AO2195" s="1">
        <v>41557.0</v>
      </c>
      <c r="AP2195" s="1">
        <v>15.92</v>
      </c>
      <c r="AR2195" s="1">
        <v>0.0</v>
      </c>
      <c r="AW2195" s="1">
        <v>0.0</v>
      </c>
      <c r="AX2195" s="1">
        <v>5.0</v>
      </c>
      <c r="AY2195" s="1">
        <v>4.0</v>
      </c>
      <c r="BA2195" s="1">
        <v>0.0</v>
      </c>
      <c r="BB2195" s="1">
        <v>0.0</v>
      </c>
      <c r="BC2195" s="1">
        <v>0.0</v>
      </c>
      <c r="BD2195" s="1">
        <v>0.0</v>
      </c>
      <c r="BE2195" s="1">
        <v>0.0</v>
      </c>
      <c r="BF2195" s="1">
        <v>0.0</v>
      </c>
      <c r="BG2195" s="1">
        <v>0.0</v>
      </c>
      <c r="BH2195" s="1">
        <v>0.0</v>
      </c>
      <c r="BI2195" s="1">
        <v>0.0</v>
      </c>
      <c r="BJ2195" s="1">
        <v>0.0</v>
      </c>
      <c r="BP2195" s="1">
        <v>0.276</v>
      </c>
      <c r="BQ2195" s="1" t="s">
        <v>7114</v>
      </c>
      <c r="BV2195" s="1">
        <v>1.1</v>
      </c>
      <c r="EQ2195" s="9" t="s">
        <v>7113</v>
      </c>
      <c r="ER2195" s="21">
        <v>46045.30189814815</v>
      </c>
    </row>
    <row r="2196">
      <c r="A2196" s="9" t="s">
        <v>7115</v>
      </c>
      <c r="B2196" s="20" t="str">
        <f>IFERROR(__xludf.DUMMYFUNCTION("REGEXREPLACE(A2196, ""^https?://[^/]+"", """")"),"/author/klawsonsoshaughnessy/")</f>
        <v>/author/klawsonsoshaughnessy/</v>
      </c>
      <c r="F2196" s="1" t="s">
        <v>965</v>
      </c>
      <c r="G2196" s="1">
        <v>301.0</v>
      </c>
      <c r="H2196" s="1" t="s">
        <v>1304</v>
      </c>
      <c r="I2196" s="1" t="s">
        <v>1214</v>
      </c>
      <c r="J2196" s="1" t="s">
        <v>1305</v>
      </c>
      <c r="L2196" s="1">
        <v>0.0</v>
      </c>
      <c r="M2196" s="1">
        <v>0.0</v>
      </c>
      <c r="O2196" s="1">
        <v>0.0</v>
      </c>
      <c r="P2196" s="1">
        <v>0.0</v>
      </c>
      <c r="R2196" s="1">
        <v>0.0</v>
      </c>
      <c r="S2196" s="1">
        <v>0.0</v>
      </c>
      <c r="U2196" s="1">
        <v>0.0</v>
      </c>
      <c r="W2196" s="1">
        <v>0.0</v>
      </c>
      <c r="Y2196" s="1">
        <v>0.0</v>
      </c>
      <c r="AA2196" s="1">
        <v>0.0</v>
      </c>
      <c r="AC2196" s="1">
        <v>0.0</v>
      </c>
      <c r="AM2196" s="1">
        <v>0.0</v>
      </c>
      <c r="AN2196" s="1">
        <v>0.0</v>
      </c>
      <c r="AO2196" s="1">
        <v>0.0</v>
      </c>
      <c r="AP2196" s="1">
        <v>0.0</v>
      </c>
      <c r="AR2196" s="1">
        <v>0.0</v>
      </c>
      <c r="AW2196" s="1">
        <v>0.0</v>
      </c>
      <c r="AX2196" s="1">
        <v>5.0</v>
      </c>
      <c r="AY2196" s="1">
        <v>2.0</v>
      </c>
      <c r="BA2196" s="1">
        <v>9.0</v>
      </c>
      <c r="BB2196" s="1">
        <v>9.0</v>
      </c>
      <c r="BC2196" s="1">
        <v>0.0</v>
      </c>
      <c r="BD2196" s="1">
        <v>1.19</v>
      </c>
      <c r="BE2196" s="1">
        <v>0.0</v>
      </c>
      <c r="BF2196" s="1">
        <v>0.0</v>
      </c>
      <c r="BG2196" s="1">
        <v>0.0</v>
      </c>
      <c r="BH2196" s="1">
        <v>0.0</v>
      </c>
      <c r="BI2196" s="1">
        <v>0.0</v>
      </c>
      <c r="BJ2196" s="1">
        <v>0.0</v>
      </c>
      <c r="BP2196" s="1">
        <v>0.541</v>
      </c>
      <c r="BR2196" s="9" t="s">
        <v>5599</v>
      </c>
      <c r="BS2196" s="1" t="s">
        <v>1307</v>
      </c>
      <c r="BV2196" s="1">
        <v>1.1</v>
      </c>
      <c r="EQ2196" s="9" t="s">
        <v>7115</v>
      </c>
      <c r="ER2196" s="21">
        <v>46045.30189814815</v>
      </c>
    </row>
    <row r="2197">
      <c r="A2197" s="9" t="s">
        <v>7116</v>
      </c>
      <c r="B2197" s="20" t="str">
        <f>IFERROR(__xludf.DUMMYFUNCTION("REGEXREPLACE(A2197, ""^https?://[^/]+"", """")"),"/what-makes-a-top-salesperson/")</f>
        <v>/what-makes-a-top-salesperson/</v>
      </c>
      <c r="C2197" s="1" t="s">
        <v>7117</v>
      </c>
      <c r="F2197" s="1" t="s">
        <v>965</v>
      </c>
      <c r="G2197" s="1">
        <v>200.0</v>
      </c>
      <c r="H2197" s="1" t="s">
        <v>966</v>
      </c>
      <c r="I2197" s="1" t="s">
        <v>967</v>
      </c>
      <c r="K2197" s="1" t="s">
        <v>7118</v>
      </c>
      <c r="L2197" s="1">
        <v>54.0</v>
      </c>
      <c r="M2197" s="1">
        <v>505.0</v>
      </c>
      <c r="O2197" s="1">
        <v>0.0</v>
      </c>
      <c r="P2197" s="1">
        <v>0.0</v>
      </c>
      <c r="Q2197" s="1" t="s">
        <v>7119</v>
      </c>
      <c r="R2197" s="1">
        <v>155.0</v>
      </c>
      <c r="S2197" s="1">
        <v>969.0</v>
      </c>
      <c r="U2197" s="1">
        <v>0.0</v>
      </c>
      <c r="V2197" s="1" t="s">
        <v>7117</v>
      </c>
      <c r="W2197" s="1">
        <v>29.0</v>
      </c>
      <c r="Y2197" s="1">
        <v>0.0</v>
      </c>
      <c r="AA2197" s="1">
        <v>0.0</v>
      </c>
      <c r="AC2197" s="1">
        <v>0.0</v>
      </c>
      <c r="AD2197" s="1" t="s">
        <v>971</v>
      </c>
      <c r="AG2197" s="9" t="s">
        <v>7116</v>
      </c>
      <c r="AM2197" s="1">
        <v>199038.0</v>
      </c>
      <c r="AN2197" s="1">
        <v>35263.0</v>
      </c>
      <c r="AO2197" s="1">
        <v>35263.0</v>
      </c>
      <c r="AP2197" s="1">
        <v>13.509</v>
      </c>
      <c r="AR2197" s="1">
        <v>1171.0</v>
      </c>
      <c r="AS2197" s="1">
        <v>187.0</v>
      </c>
      <c r="AT2197" s="1">
        <v>6.262</v>
      </c>
      <c r="AU2197" s="1">
        <v>65.813</v>
      </c>
      <c r="AV2197" s="1" t="s">
        <v>990</v>
      </c>
      <c r="AW2197" s="1">
        <v>4.808</v>
      </c>
      <c r="AX2197" s="1">
        <v>5.0</v>
      </c>
      <c r="AY2197" s="1">
        <v>1.0</v>
      </c>
      <c r="AZ2197" s="1">
        <v>1.0</v>
      </c>
      <c r="BA2197" s="1">
        <v>1.0</v>
      </c>
      <c r="BB2197" s="1">
        <v>1.0</v>
      </c>
      <c r="BC2197" s="1">
        <v>0.0</v>
      </c>
      <c r="BD2197" s="1">
        <v>0.13</v>
      </c>
      <c r="BE2197" s="1">
        <v>130.0</v>
      </c>
      <c r="BF2197" s="1">
        <v>48.0</v>
      </c>
      <c r="BG2197" s="1">
        <v>0.0</v>
      </c>
      <c r="BH2197" s="1">
        <v>16.0</v>
      </c>
      <c r="BI2197" s="1">
        <v>8.0</v>
      </c>
      <c r="BJ2197" s="1">
        <v>0.0</v>
      </c>
      <c r="BO2197" s="1" t="s">
        <v>7120</v>
      </c>
      <c r="BP2197" s="1">
        <v>0.961</v>
      </c>
      <c r="BU2197" s="1" t="s">
        <v>974</v>
      </c>
      <c r="BV2197" s="1">
        <v>1.1</v>
      </c>
      <c r="EQ2197" s="9" t="s">
        <v>7116</v>
      </c>
      <c r="ER2197" s="21">
        <v>46045.30189814815</v>
      </c>
    </row>
    <row r="2198">
      <c r="A2198" s="9" t="s">
        <v>7121</v>
      </c>
      <c r="B2198" s="20" t="str">
        <f>IFERROR(__xludf.DUMMYFUNCTION("REGEXREPLACE(A2198, ""^https?://[^/]+"", """")"),"/wp-content/themes/salesxceleratione/assets/css/style.css?ver=1769123607")</f>
        <v>/wp-content/themes/salesxceleratione/assets/css/style.css?ver=1769123607</v>
      </c>
      <c r="F2198" s="1" t="s">
        <v>1016</v>
      </c>
      <c r="G2198" s="1">
        <v>200.0</v>
      </c>
      <c r="H2198" s="1" t="s">
        <v>966</v>
      </c>
      <c r="I2198" s="1" t="s">
        <v>967</v>
      </c>
      <c r="L2198" s="1">
        <v>0.0</v>
      </c>
      <c r="M2198" s="1">
        <v>0.0</v>
      </c>
      <c r="O2198" s="1">
        <v>0.0</v>
      </c>
      <c r="P2198" s="1">
        <v>0.0</v>
      </c>
      <c r="R2198" s="1">
        <v>0.0</v>
      </c>
      <c r="S2198" s="1">
        <v>0.0</v>
      </c>
      <c r="U2198" s="1">
        <v>0.0</v>
      </c>
      <c r="W2198" s="1">
        <v>0.0</v>
      </c>
      <c r="Y2198" s="1">
        <v>0.0</v>
      </c>
      <c r="AA2198" s="1">
        <v>0.0</v>
      </c>
      <c r="AC2198" s="1">
        <v>0.0</v>
      </c>
      <c r="AM2198" s="1">
        <v>17704.0</v>
      </c>
      <c r="AN2198" s="1">
        <v>17704.0</v>
      </c>
      <c r="AO2198" s="1">
        <v>17704.0</v>
      </c>
      <c r="AP2198" s="1">
        <v>6.782</v>
      </c>
      <c r="AR2198" s="1">
        <v>0.0</v>
      </c>
      <c r="AW2198" s="1">
        <v>0.0</v>
      </c>
      <c r="AX2198" s="1">
        <v>5.0</v>
      </c>
      <c r="AY2198" s="1">
        <v>5.0</v>
      </c>
      <c r="BA2198" s="1">
        <v>0.0</v>
      </c>
      <c r="BB2198" s="1">
        <v>0.0</v>
      </c>
      <c r="BC2198" s="1">
        <v>0.0</v>
      </c>
      <c r="BD2198" s="1">
        <v>0.0</v>
      </c>
      <c r="BE2198" s="1">
        <v>0.0</v>
      </c>
      <c r="BF2198" s="1">
        <v>0.0</v>
      </c>
      <c r="BG2198" s="1">
        <v>0.0</v>
      </c>
      <c r="BH2198" s="1">
        <v>0.0</v>
      </c>
      <c r="BI2198" s="1">
        <v>0.0</v>
      </c>
      <c r="BJ2198" s="1">
        <v>0.0</v>
      </c>
      <c r="BP2198" s="1">
        <v>0.293</v>
      </c>
      <c r="BQ2198" s="1" t="s">
        <v>7122</v>
      </c>
      <c r="BV2198" s="1">
        <v>1.1</v>
      </c>
      <c r="EQ2198" s="9" t="s">
        <v>7121</v>
      </c>
      <c r="ER2198" s="21">
        <v>46045.30190972222</v>
      </c>
    </row>
    <row r="2199">
      <c r="A2199" s="9" t="s">
        <v>7123</v>
      </c>
      <c r="B2199" s="20" t="str">
        <f>IFERROR(__xludf.DUMMYFUNCTION("REGEXREPLACE(A2199, ""^https?://[^/]+"", """")"),"/wp-content/uploads/2015/12/even-More-confessions-misunderstood-salesman-1-2048x2048.jpg")</f>
        <v>/wp-content/uploads/2015/12/even-More-confessions-misunderstood-salesman-1-2048x2048.jpg</v>
      </c>
      <c r="F2199" s="1" t="s">
        <v>1004</v>
      </c>
      <c r="G2199" s="1">
        <v>200.0</v>
      </c>
      <c r="H2199" s="1" t="s">
        <v>966</v>
      </c>
      <c r="I2199" s="1" t="s">
        <v>967</v>
      </c>
      <c r="L2199" s="1">
        <v>0.0</v>
      </c>
      <c r="M2199" s="1">
        <v>0.0</v>
      </c>
      <c r="O2199" s="1">
        <v>0.0</v>
      </c>
      <c r="P2199" s="1">
        <v>0.0</v>
      </c>
      <c r="R2199" s="1">
        <v>0.0</v>
      </c>
      <c r="S2199" s="1">
        <v>0.0</v>
      </c>
      <c r="U2199" s="1">
        <v>0.0</v>
      </c>
      <c r="W2199" s="1">
        <v>0.0</v>
      </c>
      <c r="Y2199" s="1">
        <v>0.0</v>
      </c>
      <c r="AA2199" s="1">
        <v>0.0</v>
      </c>
      <c r="AC2199" s="1">
        <v>0.0</v>
      </c>
      <c r="AM2199" s="1">
        <v>249095.0</v>
      </c>
      <c r="AN2199" s="1">
        <v>249095.0</v>
      </c>
      <c r="AO2199" s="1">
        <v>249095.0</v>
      </c>
      <c r="AP2199" s="1">
        <v>95.424</v>
      </c>
      <c r="AR2199" s="1">
        <v>0.0</v>
      </c>
      <c r="AW2199" s="1">
        <v>0.0</v>
      </c>
      <c r="AX2199" s="1">
        <v>5.0</v>
      </c>
      <c r="AY2199" s="1">
        <v>4.0</v>
      </c>
      <c r="BA2199" s="1">
        <v>0.0</v>
      </c>
      <c r="BB2199" s="1">
        <v>0.0</v>
      </c>
      <c r="BC2199" s="1">
        <v>0.0</v>
      </c>
      <c r="BD2199" s="1">
        <v>0.0</v>
      </c>
      <c r="BE2199" s="1">
        <v>0.0</v>
      </c>
      <c r="BF2199" s="1">
        <v>0.0</v>
      </c>
      <c r="BG2199" s="1">
        <v>0.0</v>
      </c>
      <c r="BH2199" s="1">
        <v>0.0</v>
      </c>
      <c r="BI2199" s="1">
        <v>0.0</v>
      </c>
      <c r="BJ2199" s="1">
        <v>0.0</v>
      </c>
      <c r="BP2199" s="1">
        <v>0.265</v>
      </c>
      <c r="BQ2199" s="1" t="s">
        <v>7124</v>
      </c>
      <c r="BV2199" s="1">
        <v>1.1</v>
      </c>
      <c r="EQ2199" s="9" t="s">
        <v>7123</v>
      </c>
      <c r="ER2199" s="21">
        <v>46045.30190972222</v>
      </c>
    </row>
    <row r="2200">
      <c r="A2200" s="9" t="s">
        <v>7125</v>
      </c>
      <c r="B2200" s="20" t="str">
        <f>IFERROR(__xludf.DUMMYFUNCTION("REGEXREPLACE(A2200, ""^https?://[^/]+"", """")"),"/wp-content/uploads/2015/12/Sales-Networking.jpg")</f>
        <v>/wp-content/uploads/2015/12/Sales-Networking.jpg</v>
      </c>
      <c r="F2200" s="1" t="s">
        <v>1004</v>
      </c>
      <c r="G2200" s="1">
        <v>200.0</v>
      </c>
      <c r="H2200" s="1" t="s">
        <v>966</v>
      </c>
      <c r="I2200" s="1" t="s">
        <v>967</v>
      </c>
      <c r="L2200" s="1">
        <v>0.0</v>
      </c>
      <c r="M2200" s="1">
        <v>0.0</v>
      </c>
      <c r="O2200" s="1">
        <v>0.0</v>
      </c>
      <c r="P2200" s="1">
        <v>0.0</v>
      </c>
      <c r="R2200" s="1">
        <v>0.0</v>
      </c>
      <c r="S2200" s="1">
        <v>0.0</v>
      </c>
      <c r="U2200" s="1">
        <v>0.0</v>
      </c>
      <c r="W2200" s="1">
        <v>0.0</v>
      </c>
      <c r="Y2200" s="1">
        <v>0.0</v>
      </c>
      <c r="AA2200" s="1">
        <v>0.0</v>
      </c>
      <c r="AC2200" s="1">
        <v>0.0</v>
      </c>
      <c r="AM2200" s="1">
        <v>10600.0</v>
      </c>
      <c r="AN2200" s="1">
        <v>10600.0</v>
      </c>
      <c r="AO2200" s="1">
        <v>10600.0</v>
      </c>
      <c r="AP2200" s="1">
        <v>4.061</v>
      </c>
      <c r="AR2200" s="1">
        <v>0.0</v>
      </c>
      <c r="AW2200" s="1">
        <v>0.0</v>
      </c>
      <c r="AX2200" s="1">
        <v>5.0</v>
      </c>
      <c r="AY2200" s="1">
        <v>4.0</v>
      </c>
      <c r="BA2200" s="1">
        <v>0.0</v>
      </c>
      <c r="BB2200" s="1">
        <v>0.0</v>
      </c>
      <c r="BC2200" s="1">
        <v>0.0</v>
      </c>
      <c r="BD2200" s="1">
        <v>0.0</v>
      </c>
      <c r="BE2200" s="1">
        <v>0.0</v>
      </c>
      <c r="BF2200" s="1">
        <v>0.0</v>
      </c>
      <c r="BG2200" s="1">
        <v>0.0</v>
      </c>
      <c r="BH2200" s="1">
        <v>0.0</v>
      </c>
      <c r="BI2200" s="1">
        <v>0.0</v>
      </c>
      <c r="BJ2200" s="1">
        <v>0.0</v>
      </c>
      <c r="BP2200" s="1">
        <v>0.263</v>
      </c>
      <c r="BQ2200" s="1" t="s">
        <v>7126</v>
      </c>
      <c r="BV2200" s="1">
        <v>1.1</v>
      </c>
      <c r="EQ2200" s="9" t="s">
        <v>7125</v>
      </c>
      <c r="ER2200" s="21">
        <v>46045.30190972222</v>
      </c>
    </row>
    <row r="2201">
      <c r="A2201" s="9" t="s">
        <v>7127</v>
      </c>
      <c r="B2201" s="20" t="str">
        <f>IFERROR(__xludf.DUMMYFUNCTION("REGEXREPLACE(A2201, ""^https?://[^/]+"", """")"),"/wp-content/uploads/2020/06/Sales-Candidates-scaled-1.jpg")</f>
        <v>/wp-content/uploads/2020/06/Sales-Candidates-scaled-1.jpg</v>
      </c>
      <c r="F2201" s="1" t="s">
        <v>1004</v>
      </c>
      <c r="G2201" s="1">
        <v>200.0</v>
      </c>
      <c r="H2201" s="1" t="s">
        <v>966</v>
      </c>
      <c r="I2201" s="1" t="s">
        <v>967</v>
      </c>
      <c r="L2201" s="1">
        <v>0.0</v>
      </c>
      <c r="M2201" s="1">
        <v>0.0</v>
      </c>
      <c r="O2201" s="1">
        <v>0.0</v>
      </c>
      <c r="P2201" s="1">
        <v>0.0</v>
      </c>
      <c r="R2201" s="1">
        <v>0.0</v>
      </c>
      <c r="S2201" s="1">
        <v>0.0</v>
      </c>
      <c r="U2201" s="1">
        <v>0.0</v>
      </c>
      <c r="W2201" s="1">
        <v>0.0</v>
      </c>
      <c r="Y2201" s="1">
        <v>0.0</v>
      </c>
      <c r="AA2201" s="1">
        <v>0.0</v>
      </c>
      <c r="AC2201" s="1">
        <v>0.0</v>
      </c>
      <c r="AM2201" s="1">
        <v>214072.0</v>
      </c>
      <c r="AN2201" s="1">
        <v>214072.0</v>
      </c>
      <c r="AO2201" s="1">
        <v>214072.0</v>
      </c>
      <c r="AP2201" s="1">
        <v>82.007</v>
      </c>
      <c r="AR2201" s="1">
        <v>0.0</v>
      </c>
      <c r="AW2201" s="1">
        <v>0.0</v>
      </c>
      <c r="AX2201" s="1">
        <v>5.0</v>
      </c>
      <c r="AY2201" s="1">
        <v>4.0</v>
      </c>
      <c r="BA2201" s="1">
        <v>0.0</v>
      </c>
      <c r="BB2201" s="1">
        <v>0.0</v>
      </c>
      <c r="BC2201" s="1">
        <v>0.0</v>
      </c>
      <c r="BD2201" s="1">
        <v>0.0</v>
      </c>
      <c r="BE2201" s="1">
        <v>0.0</v>
      </c>
      <c r="BF2201" s="1">
        <v>0.0</v>
      </c>
      <c r="BG2201" s="1">
        <v>0.0</v>
      </c>
      <c r="BH2201" s="1">
        <v>0.0</v>
      </c>
      <c r="BI2201" s="1">
        <v>0.0</v>
      </c>
      <c r="BJ2201" s="1">
        <v>0.0</v>
      </c>
      <c r="BP2201" s="1">
        <v>0.272</v>
      </c>
      <c r="BQ2201" s="1" t="s">
        <v>7128</v>
      </c>
      <c r="BV2201" s="1">
        <v>1.1</v>
      </c>
      <c r="EQ2201" s="9" t="s">
        <v>7127</v>
      </c>
      <c r="ER2201" s="21">
        <v>46045.30190972222</v>
      </c>
    </row>
    <row r="2202">
      <c r="A2202" s="9" t="s">
        <v>7129</v>
      </c>
      <c r="B2202" s="20" t="str">
        <f>IFERROR(__xludf.DUMMYFUNCTION("REGEXREPLACE(A2202, ""^https?://[^/]+"", """")"),"/wp-content/themes/salesxceleratione/assets/css/style.css?ver=1769123608")</f>
        <v>/wp-content/themes/salesxceleratione/assets/css/style.css?ver=1769123608</v>
      </c>
      <c r="F2202" s="1" t="s">
        <v>1016</v>
      </c>
      <c r="G2202" s="1">
        <v>200.0</v>
      </c>
      <c r="H2202" s="1" t="s">
        <v>966</v>
      </c>
      <c r="I2202" s="1" t="s">
        <v>967</v>
      </c>
      <c r="L2202" s="1">
        <v>0.0</v>
      </c>
      <c r="M2202" s="1">
        <v>0.0</v>
      </c>
      <c r="O2202" s="1">
        <v>0.0</v>
      </c>
      <c r="P2202" s="1">
        <v>0.0</v>
      </c>
      <c r="R2202" s="1">
        <v>0.0</v>
      </c>
      <c r="S2202" s="1">
        <v>0.0</v>
      </c>
      <c r="U2202" s="1">
        <v>0.0</v>
      </c>
      <c r="W2202" s="1">
        <v>0.0</v>
      </c>
      <c r="Y2202" s="1">
        <v>0.0</v>
      </c>
      <c r="AA2202" s="1">
        <v>0.0</v>
      </c>
      <c r="AC2202" s="1">
        <v>0.0</v>
      </c>
      <c r="AM2202" s="1">
        <v>17704.0</v>
      </c>
      <c r="AN2202" s="1">
        <v>17704.0</v>
      </c>
      <c r="AO2202" s="1">
        <v>17704.0</v>
      </c>
      <c r="AP2202" s="1">
        <v>6.782</v>
      </c>
      <c r="AR2202" s="1">
        <v>0.0</v>
      </c>
      <c r="AW2202" s="1">
        <v>0.0</v>
      </c>
      <c r="AX2202" s="1">
        <v>5.0</v>
      </c>
      <c r="AY2202" s="1">
        <v>5.0</v>
      </c>
      <c r="BA2202" s="1">
        <v>0.0</v>
      </c>
      <c r="BB2202" s="1">
        <v>0.0</v>
      </c>
      <c r="BC2202" s="1">
        <v>0.0</v>
      </c>
      <c r="BD2202" s="1">
        <v>0.0</v>
      </c>
      <c r="BE2202" s="1">
        <v>0.0</v>
      </c>
      <c r="BF2202" s="1">
        <v>0.0</v>
      </c>
      <c r="BG2202" s="1">
        <v>0.0</v>
      </c>
      <c r="BH2202" s="1">
        <v>0.0</v>
      </c>
      <c r="BI2202" s="1">
        <v>0.0</v>
      </c>
      <c r="BJ2202" s="1">
        <v>0.0</v>
      </c>
      <c r="BP2202" s="1">
        <v>0.286</v>
      </c>
      <c r="BQ2202" s="1" t="s">
        <v>7122</v>
      </c>
      <c r="BV2202" s="1">
        <v>1.1</v>
      </c>
      <c r="EQ2202" s="9" t="s">
        <v>7129</v>
      </c>
      <c r="ER2202" s="21">
        <v>46045.30190972222</v>
      </c>
    </row>
    <row r="2203">
      <c r="A2203" s="9" t="s">
        <v>7130</v>
      </c>
      <c r="B2203" s="20" t="str">
        <f>IFERROR(__xludf.DUMMYFUNCTION("REGEXREPLACE(A2203, ""^https?://[^/]+"", """")"),"/even-more-confessions-of-the-misunderstood-salesperson/")</f>
        <v>/even-more-confessions-of-the-misunderstood-salesperson/</v>
      </c>
      <c r="C2203" s="1" t="s">
        <v>7131</v>
      </c>
      <c r="F2203" s="1" t="s">
        <v>965</v>
      </c>
      <c r="G2203" s="1">
        <v>200.0</v>
      </c>
      <c r="H2203" s="1" t="s">
        <v>966</v>
      </c>
      <c r="I2203" s="1" t="s">
        <v>967</v>
      </c>
      <c r="K2203" s="1" t="s">
        <v>7132</v>
      </c>
      <c r="L2203" s="1">
        <v>68.0</v>
      </c>
      <c r="M2203" s="1">
        <v>640.0</v>
      </c>
      <c r="O2203" s="1">
        <v>0.0</v>
      </c>
      <c r="P2203" s="1">
        <v>0.0</v>
      </c>
      <c r="Q2203" s="1" t="s">
        <v>7133</v>
      </c>
      <c r="R2203" s="1">
        <v>151.0</v>
      </c>
      <c r="S2203" s="1">
        <v>939.0</v>
      </c>
      <c r="U2203" s="1">
        <v>0.0</v>
      </c>
      <c r="V2203" s="1" t="s">
        <v>7131</v>
      </c>
      <c r="W2203" s="1">
        <v>54.0</v>
      </c>
      <c r="Y2203" s="1">
        <v>0.0</v>
      </c>
      <c r="AA2203" s="1">
        <v>0.0</v>
      </c>
      <c r="AC2203" s="1">
        <v>0.0</v>
      </c>
      <c r="AD2203" s="1" t="s">
        <v>971</v>
      </c>
      <c r="AG2203" s="9" t="s">
        <v>7130</v>
      </c>
      <c r="AM2203" s="1">
        <v>203252.0</v>
      </c>
      <c r="AN2203" s="1">
        <v>37545.0</v>
      </c>
      <c r="AO2203" s="1">
        <v>37545.0</v>
      </c>
      <c r="AP2203" s="1">
        <v>14.383</v>
      </c>
      <c r="AR2203" s="1">
        <v>1838.0</v>
      </c>
      <c r="AS2203" s="1">
        <v>252.0</v>
      </c>
      <c r="AT2203" s="1">
        <v>7.294</v>
      </c>
      <c r="AU2203" s="1">
        <v>74.511</v>
      </c>
      <c r="AV2203" s="1" t="s">
        <v>1264</v>
      </c>
      <c r="AW2203" s="1">
        <v>6.413</v>
      </c>
      <c r="AX2203" s="1">
        <v>5.0</v>
      </c>
      <c r="AY2203" s="1">
        <v>1.0</v>
      </c>
      <c r="AZ2203" s="1">
        <v>1.0</v>
      </c>
      <c r="BA2203" s="1">
        <v>4.0</v>
      </c>
      <c r="BB2203" s="1">
        <v>4.0</v>
      </c>
      <c r="BC2203" s="1">
        <v>0.0</v>
      </c>
      <c r="BD2203" s="1">
        <v>0.53</v>
      </c>
      <c r="BE2203" s="1">
        <v>135.0</v>
      </c>
      <c r="BF2203" s="1">
        <v>51.0</v>
      </c>
      <c r="BG2203" s="1">
        <v>0.0</v>
      </c>
      <c r="BH2203" s="1">
        <v>18.0</v>
      </c>
      <c r="BI2203" s="1">
        <v>10.0</v>
      </c>
      <c r="BJ2203" s="1">
        <v>0.0</v>
      </c>
      <c r="BO2203" s="1" t="s">
        <v>7134</v>
      </c>
      <c r="BP2203" s="1">
        <v>1.047</v>
      </c>
      <c r="BU2203" s="1" t="s">
        <v>974</v>
      </c>
      <c r="BV2203" s="1">
        <v>1.1</v>
      </c>
      <c r="EQ2203" s="9" t="s">
        <v>7130</v>
      </c>
      <c r="ER2203" s="21">
        <v>46045.30189814815</v>
      </c>
    </row>
    <row r="2204">
      <c r="A2204" s="9" t="s">
        <v>7135</v>
      </c>
      <c r="B2204" s="20" t="str">
        <f>IFERROR(__xludf.DUMMYFUNCTION("REGEXREPLACE(A2204, ""^https?://[^/]+"", """")"),"/author/kshaughnessy/")</f>
        <v>/author/kshaughnessy/</v>
      </c>
      <c r="C2204" s="1" t="s">
        <v>7136</v>
      </c>
      <c r="F2204" s="1" t="s">
        <v>965</v>
      </c>
      <c r="G2204" s="1">
        <v>200.0</v>
      </c>
      <c r="H2204" s="1" t="s">
        <v>966</v>
      </c>
      <c r="I2204" s="1" t="s">
        <v>967</v>
      </c>
      <c r="K2204" s="1" t="s">
        <v>7137</v>
      </c>
      <c r="L2204" s="1">
        <v>46.0</v>
      </c>
      <c r="M2204" s="1">
        <v>426.0</v>
      </c>
      <c r="O2204" s="1">
        <v>0.0</v>
      </c>
      <c r="P2204" s="1">
        <v>0.0</v>
      </c>
      <c r="R2204" s="1">
        <v>0.0</v>
      </c>
      <c r="S2204" s="1">
        <v>0.0</v>
      </c>
      <c r="U2204" s="1">
        <v>0.0</v>
      </c>
      <c r="V2204" s="1" t="s">
        <v>7136</v>
      </c>
      <c r="W2204" s="1">
        <v>17.0</v>
      </c>
      <c r="Y2204" s="1">
        <v>0.0</v>
      </c>
      <c r="AA2204" s="1">
        <v>0.0</v>
      </c>
      <c r="AC2204" s="1">
        <v>0.0</v>
      </c>
      <c r="AD2204" s="1" t="s">
        <v>971</v>
      </c>
      <c r="AG2204" s="9" t="s">
        <v>7135</v>
      </c>
      <c r="AM2204" s="1">
        <v>165026.0</v>
      </c>
      <c r="AN2204" s="1">
        <v>31495.0</v>
      </c>
      <c r="AO2204" s="1">
        <v>31495.0</v>
      </c>
      <c r="AP2204" s="1">
        <v>12.065</v>
      </c>
      <c r="AR2204" s="1">
        <v>835.0</v>
      </c>
      <c r="AS2204" s="1">
        <v>135.0</v>
      </c>
      <c r="AT2204" s="1">
        <v>6.185</v>
      </c>
      <c r="AU2204" s="1">
        <v>65.501</v>
      </c>
      <c r="AV2204" s="1" t="s">
        <v>990</v>
      </c>
      <c r="AW2204" s="1">
        <v>4.533</v>
      </c>
      <c r="AX2204" s="1">
        <v>5.0</v>
      </c>
      <c r="AY2204" s="1">
        <v>2.0</v>
      </c>
      <c r="AZ2204" s="1">
        <v>1.0</v>
      </c>
      <c r="BA2204" s="1">
        <v>24.0</v>
      </c>
      <c r="BB2204" s="1">
        <v>8.0</v>
      </c>
      <c r="BC2204" s="1">
        <v>0.0</v>
      </c>
      <c r="BD2204" s="1">
        <v>1.06</v>
      </c>
      <c r="BE2204" s="1">
        <v>147.0</v>
      </c>
      <c r="BF2204" s="1">
        <v>51.0</v>
      </c>
      <c r="BG2204" s="1">
        <v>0.0</v>
      </c>
      <c r="BH2204" s="1">
        <v>16.0</v>
      </c>
      <c r="BI2204" s="1">
        <v>8.0</v>
      </c>
      <c r="BJ2204" s="1">
        <v>0.0</v>
      </c>
      <c r="BO2204" s="1" t="s">
        <v>7138</v>
      </c>
      <c r="BP2204" s="1">
        <v>1.063</v>
      </c>
      <c r="BU2204" s="1" t="s">
        <v>974</v>
      </c>
      <c r="BV2204" s="1">
        <v>1.1</v>
      </c>
      <c r="EQ2204" s="9" t="s">
        <v>7135</v>
      </c>
      <c r="ER2204" s="21">
        <v>46045.30190972222</v>
      </c>
    </row>
    <row r="2205">
      <c r="A2205" s="9" t="s">
        <v>7139</v>
      </c>
      <c r="B2205" s="20" t="str">
        <f>IFERROR(__xludf.DUMMYFUNCTION("REGEXREPLACE(A2205, ""^https?://[^/]+"", """")"),"/breakaway-sales-recruiting/")</f>
        <v>/breakaway-sales-recruiting/</v>
      </c>
      <c r="F2205" s="1" t="s">
        <v>965</v>
      </c>
      <c r="G2205" s="1">
        <v>404.0</v>
      </c>
      <c r="H2205" s="1" t="s">
        <v>2067</v>
      </c>
      <c r="I2205" s="1" t="s">
        <v>1214</v>
      </c>
      <c r="J2205" s="1" t="s">
        <v>2068</v>
      </c>
      <c r="L2205" s="1">
        <v>0.0</v>
      </c>
      <c r="M2205" s="1">
        <v>0.0</v>
      </c>
      <c r="O2205" s="1">
        <v>0.0</v>
      </c>
      <c r="P2205" s="1">
        <v>0.0</v>
      </c>
      <c r="R2205" s="1">
        <v>0.0</v>
      </c>
      <c r="S2205" s="1">
        <v>0.0</v>
      </c>
      <c r="U2205" s="1">
        <v>0.0</v>
      </c>
      <c r="W2205" s="1">
        <v>0.0</v>
      </c>
      <c r="Y2205" s="1">
        <v>0.0</v>
      </c>
      <c r="AA2205" s="1">
        <v>0.0</v>
      </c>
      <c r="AC2205" s="1">
        <v>0.0</v>
      </c>
      <c r="AM2205" s="1">
        <v>0.0</v>
      </c>
      <c r="AN2205" s="1">
        <v>0.0</v>
      </c>
      <c r="AO2205" s="1">
        <v>0.0</v>
      </c>
      <c r="AP2205" s="1">
        <v>0.0</v>
      </c>
      <c r="AR2205" s="1">
        <v>0.0</v>
      </c>
      <c r="AW2205" s="1">
        <v>0.0</v>
      </c>
      <c r="AX2205" s="1">
        <v>5.0</v>
      </c>
      <c r="AY2205" s="1">
        <v>1.0</v>
      </c>
      <c r="AZ2205" s="1">
        <v>1.0</v>
      </c>
      <c r="BA2205" s="1">
        <v>1.0</v>
      </c>
      <c r="BB2205" s="1">
        <v>1.0</v>
      </c>
      <c r="BC2205" s="1">
        <v>0.0</v>
      </c>
      <c r="BD2205" s="1">
        <v>0.13</v>
      </c>
      <c r="BE2205" s="1">
        <v>0.0</v>
      </c>
      <c r="BF2205" s="1">
        <v>0.0</v>
      </c>
      <c r="BG2205" s="1">
        <v>0.0</v>
      </c>
      <c r="BH2205" s="1">
        <v>0.0</v>
      </c>
      <c r="BI2205" s="1">
        <v>0.0</v>
      </c>
      <c r="BJ2205" s="1">
        <v>0.0</v>
      </c>
      <c r="BP2205" s="1">
        <v>0.894</v>
      </c>
      <c r="BV2205" s="1">
        <v>1.1</v>
      </c>
      <c r="EQ2205" s="9" t="s">
        <v>7139</v>
      </c>
      <c r="ER2205" s="21">
        <v>46045.30190972222</v>
      </c>
    </row>
    <row r="2206">
      <c r="A2206" s="9" t="s">
        <v>7140</v>
      </c>
      <c r="B2206" s="20" t="str">
        <f>IFERROR(__xludf.DUMMYFUNCTION("REGEXREPLACE(A2206, ""^https?://[^/]+"", """")"),"/wp-content/uploads/2020/05/hiring-skilled-sales-reps-image.jpg")</f>
        <v>/wp-content/uploads/2020/05/hiring-skilled-sales-reps-image.jpg</v>
      </c>
      <c r="F2206" s="1" t="s">
        <v>1004</v>
      </c>
      <c r="G2206" s="1">
        <v>200.0</v>
      </c>
      <c r="H2206" s="1" t="s">
        <v>966</v>
      </c>
      <c r="I2206" s="1" t="s">
        <v>967</v>
      </c>
      <c r="L2206" s="1">
        <v>0.0</v>
      </c>
      <c r="M2206" s="1">
        <v>0.0</v>
      </c>
      <c r="O2206" s="1">
        <v>0.0</v>
      </c>
      <c r="P2206" s="1">
        <v>0.0</v>
      </c>
      <c r="R2206" s="1">
        <v>0.0</v>
      </c>
      <c r="S2206" s="1">
        <v>0.0</v>
      </c>
      <c r="U2206" s="1">
        <v>0.0</v>
      </c>
      <c r="W2206" s="1">
        <v>0.0</v>
      </c>
      <c r="Y2206" s="1">
        <v>0.0</v>
      </c>
      <c r="AA2206" s="1">
        <v>0.0</v>
      </c>
      <c r="AC2206" s="1">
        <v>0.0</v>
      </c>
      <c r="AM2206" s="1">
        <v>92832.0</v>
      </c>
      <c r="AN2206" s="1">
        <v>92832.0</v>
      </c>
      <c r="AO2206" s="1">
        <v>92832.0</v>
      </c>
      <c r="AP2206" s="1">
        <v>35.562</v>
      </c>
      <c r="AR2206" s="1">
        <v>0.0</v>
      </c>
      <c r="AW2206" s="1">
        <v>0.0</v>
      </c>
      <c r="AX2206" s="1">
        <v>5.0</v>
      </c>
      <c r="AY2206" s="1">
        <v>4.0</v>
      </c>
      <c r="BA2206" s="1">
        <v>0.0</v>
      </c>
      <c r="BB2206" s="1">
        <v>0.0</v>
      </c>
      <c r="BC2206" s="1">
        <v>0.0</v>
      </c>
      <c r="BD2206" s="1">
        <v>0.0</v>
      </c>
      <c r="BE2206" s="1">
        <v>0.0</v>
      </c>
      <c r="BF2206" s="1">
        <v>0.0</v>
      </c>
      <c r="BG2206" s="1">
        <v>0.0</v>
      </c>
      <c r="BH2206" s="1">
        <v>0.0</v>
      </c>
      <c r="BI2206" s="1">
        <v>0.0</v>
      </c>
      <c r="BJ2206" s="1">
        <v>0.0</v>
      </c>
      <c r="BP2206" s="1">
        <v>0.26</v>
      </c>
      <c r="BQ2206" s="1" t="s">
        <v>7141</v>
      </c>
      <c r="BV2206" s="1">
        <v>1.1</v>
      </c>
      <c r="EQ2206" s="9" t="s">
        <v>7140</v>
      </c>
      <c r="ER2206" s="21">
        <v>46045.30195601852</v>
      </c>
    </row>
    <row r="2207">
      <c r="A2207" s="9" t="s">
        <v>7142</v>
      </c>
      <c r="B2207" s="20" t="str">
        <f>IFERROR(__xludf.DUMMYFUNCTION("REGEXREPLACE(A2207, ""^https?://[^/]+"", """")"),"/wp-content/uploads/elementor/css/post-26253.css?ver=1768864377")</f>
        <v>/wp-content/uploads/elementor/css/post-26253.css?ver=1768864377</v>
      </c>
      <c r="F2207" s="1" t="s">
        <v>1016</v>
      </c>
      <c r="G2207" s="1">
        <v>200.0</v>
      </c>
      <c r="H2207" s="1" t="s">
        <v>966</v>
      </c>
      <c r="I2207" s="1" t="s">
        <v>967</v>
      </c>
      <c r="L2207" s="1">
        <v>0.0</v>
      </c>
      <c r="M2207" s="1">
        <v>0.0</v>
      </c>
      <c r="O2207" s="1">
        <v>0.0</v>
      </c>
      <c r="P2207" s="1">
        <v>0.0</v>
      </c>
      <c r="R2207" s="1">
        <v>0.0</v>
      </c>
      <c r="S2207" s="1">
        <v>0.0</v>
      </c>
      <c r="U2207" s="1">
        <v>0.0</v>
      </c>
      <c r="W2207" s="1">
        <v>0.0</v>
      </c>
      <c r="Y2207" s="1">
        <v>0.0</v>
      </c>
      <c r="AA2207" s="1">
        <v>0.0</v>
      </c>
      <c r="AC2207" s="1">
        <v>0.0</v>
      </c>
      <c r="AM2207" s="1">
        <v>188.0</v>
      </c>
      <c r="AN2207" s="1">
        <v>188.0</v>
      </c>
      <c r="AO2207" s="1">
        <v>188.0</v>
      </c>
      <c r="AP2207" s="1">
        <v>0.072</v>
      </c>
      <c r="AR2207" s="1">
        <v>0.0</v>
      </c>
      <c r="AW2207" s="1">
        <v>0.0</v>
      </c>
      <c r="AX2207" s="1">
        <v>5.0</v>
      </c>
      <c r="AY2207" s="1">
        <v>4.0</v>
      </c>
      <c r="BA2207" s="1">
        <v>0.0</v>
      </c>
      <c r="BB2207" s="1">
        <v>0.0</v>
      </c>
      <c r="BC2207" s="1">
        <v>0.0</v>
      </c>
      <c r="BD2207" s="1">
        <v>0.0</v>
      </c>
      <c r="BE2207" s="1">
        <v>0.0</v>
      </c>
      <c r="BF2207" s="1">
        <v>0.0</v>
      </c>
      <c r="BG2207" s="1">
        <v>0.0</v>
      </c>
      <c r="BH2207" s="1">
        <v>0.0</v>
      </c>
      <c r="BI2207" s="1">
        <v>0.0</v>
      </c>
      <c r="BJ2207" s="1">
        <v>0.0</v>
      </c>
      <c r="BP2207" s="1">
        <v>0.277</v>
      </c>
      <c r="BQ2207" s="1" t="s">
        <v>7143</v>
      </c>
      <c r="BV2207" s="1">
        <v>1.1</v>
      </c>
      <c r="EQ2207" s="9" t="s">
        <v>7142</v>
      </c>
      <c r="ER2207" s="21">
        <v>46045.30195601852</v>
      </c>
    </row>
    <row r="2208">
      <c r="A2208" s="9" t="s">
        <v>7144</v>
      </c>
      <c r="B2208" s="20" t="str">
        <f>IFERROR(__xludf.DUMMYFUNCTION("REGEXREPLACE(A2208, ""^https?://[^/]+"", """")"),"/wp-content/uploads/2022/09/Inflation-Gauge.jpg")</f>
        <v>/wp-content/uploads/2022/09/Inflation-Gauge.jpg</v>
      </c>
      <c r="F2208" s="1" t="s">
        <v>1004</v>
      </c>
      <c r="G2208" s="1">
        <v>200.0</v>
      </c>
      <c r="H2208" s="1" t="s">
        <v>966</v>
      </c>
      <c r="I2208" s="1" t="s">
        <v>967</v>
      </c>
      <c r="L2208" s="1">
        <v>0.0</v>
      </c>
      <c r="M2208" s="1">
        <v>0.0</v>
      </c>
      <c r="O2208" s="1">
        <v>0.0</v>
      </c>
      <c r="P2208" s="1">
        <v>0.0</v>
      </c>
      <c r="R2208" s="1">
        <v>0.0</v>
      </c>
      <c r="S2208" s="1">
        <v>0.0</v>
      </c>
      <c r="U2208" s="1">
        <v>0.0</v>
      </c>
      <c r="W2208" s="1">
        <v>0.0</v>
      </c>
      <c r="Y2208" s="1">
        <v>0.0</v>
      </c>
      <c r="AA2208" s="1">
        <v>0.0</v>
      </c>
      <c r="AC2208" s="1">
        <v>0.0</v>
      </c>
      <c r="AM2208" s="1">
        <v>45708.0</v>
      </c>
      <c r="AN2208" s="1">
        <v>45708.0</v>
      </c>
      <c r="AO2208" s="1">
        <v>45708.0</v>
      </c>
      <c r="AP2208" s="1">
        <v>17.51</v>
      </c>
      <c r="AR2208" s="1">
        <v>0.0</v>
      </c>
      <c r="AW2208" s="1">
        <v>0.0</v>
      </c>
      <c r="AX2208" s="1">
        <v>5.0</v>
      </c>
      <c r="AY2208" s="1">
        <v>4.0</v>
      </c>
      <c r="BA2208" s="1">
        <v>0.0</v>
      </c>
      <c r="BB2208" s="1">
        <v>0.0</v>
      </c>
      <c r="BC2208" s="1">
        <v>0.0</v>
      </c>
      <c r="BD2208" s="1">
        <v>0.0</v>
      </c>
      <c r="BE2208" s="1">
        <v>0.0</v>
      </c>
      <c r="BF2208" s="1">
        <v>0.0</v>
      </c>
      <c r="BG2208" s="1">
        <v>0.0</v>
      </c>
      <c r="BH2208" s="1">
        <v>0.0</v>
      </c>
      <c r="BI2208" s="1">
        <v>0.0</v>
      </c>
      <c r="BJ2208" s="1">
        <v>0.0</v>
      </c>
      <c r="BP2208" s="1">
        <v>0.272</v>
      </c>
      <c r="BQ2208" s="1" t="s">
        <v>7145</v>
      </c>
      <c r="BV2208" s="1">
        <v>1.1</v>
      </c>
      <c r="EQ2208" s="9" t="s">
        <v>7144</v>
      </c>
      <c r="ER2208" s="21">
        <v>46045.30195601852</v>
      </c>
    </row>
    <row r="2209">
      <c r="A2209" s="9" t="s">
        <v>7146</v>
      </c>
      <c r="B2209" s="20" t="str">
        <f>IFERROR(__xludf.DUMMYFUNCTION("REGEXREPLACE(A2209, ""^https?://[^/]+"", """")"),"/wp-content/uploads/2022/09/5-Key-Steps-to-Address-Inflation.jpg")</f>
        <v>/wp-content/uploads/2022/09/5-Key-Steps-to-Address-Inflation.jpg</v>
      </c>
      <c r="F2209" s="1" t="s">
        <v>1004</v>
      </c>
      <c r="G2209" s="1">
        <v>200.0</v>
      </c>
      <c r="H2209" s="1" t="s">
        <v>966</v>
      </c>
      <c r="I2209" s="1" t="s">
        <v>967</v>
      </c>
      <c r="L2209" s="1">
        <v>0.0</v>
      </c>
      <c r="M2209" s="1">
        <v>0.0</v>
      </c>
      <c r="O2209" s="1">
        <v>0.0</v>
      </c>
      <c r="P2209" s="1">
        <v>0.0</v>
      </c>
      <c r="R2209" s="1">
        <v>0.0</v>
      </c>
      <c r="S2209" s="1">
        <v>0.0</v>
      </c>
      <c r="U2209" s="1">
        <v>0.0</v>
      </c>
      <c r="W2209" s="1">
        <v>0.0</v>
      </c>
      <c r="Y2209" s="1">
        <v>0.0</v>
      </c>
      <c r="AA2209" s="1">
        <v>0.0</v>
      </c>
      <c r="AC2209" s="1">
        <v>0.0</v>
      </c>
      <c r="AM2209" s="1">
        <v>56251.0</v>
      </c>
      <c r="AN2209" s="1">
        <v>56251.0</v>
      </c>
      <c r="AO2209" s="1">
        <v>56251.0</v>
      </c>
      <c r="AP2209" s="1">
        <v>21.549</v>
      </c>
      <c r="AR2209" s="1">
        <v>0.0</v>
      </c>
      <c r="AW2209" s="1">
        <v>0.0</v>
      </c>
      <c r="AX2209" s="1">
        <v>5.0</v>
      </c>
      <c r="AY2209" s="1">
        <v>4.0</v>
      </c>
      <c r="BA2209" s="1">
        <v>0.0</v>
      </c>
      <c r="BB2209" s="1">
        <v>0.0</v>
      </c>
      <c r="BC2209" s="1">
        <v>0.0</v>
      </c>
      <c r="BD2209" s="1">
        <v>0.0</v>
      </c>
      <c r="BE2209" s="1">
        <v>0.0</v>
      </c>
      <c r="BF2209" s="1">
        <v>0.0</v>
      </c>
      <c r="BG2209" s="1">
        <v>0.0</v>
      </c>
      <c r="BH2209" s="1">
        <v>0.0</v>
      </c>
      <c r="BI2209" s="1">
        <v>0.0</v>
      </c>
      <c r="BJ2209" s="1">
        <v>0.0</v>
      </c>
      <c r="BP2209" s="1">
        <v>0.288</v>
      </c>
      <c r="BQ2209" s="1" t="s">
        <v>7147</v>
      </c>
      <c r="BV2209" s="1">
        <v>1.1</v>
      </c>
      <c r="EQ2209" s="9" t="s">
        <v>7146</v>
      </c>
      <c r="ER2209" s="21">
        <v>46045.30195601852</v>
      </c>
    </row>
    <row r="2210">
      <c r="A2210" s="9" t="s">
        <v>7148</v>
      </c>
      <c r="B2210" s="20" t="str">
        <f>IFERROR(__xludf.DUMMYFUNCTION("REGEXREPLACE(A2210, ""^https?://[^/]+"", """")"),"/wp-content/uploads/2020/03/What_are_Sales_Metrics-1.jpg")</f>
        <v>/wp-content/uploads/2020/03/What_are_Sales_Metrics-1.jpg</v>
      </c>
      <c r="F2210" s="1" t="s">
        <v>1004</v>
      </c>
      <c r="G2210" s="1">
        <v>200.0</v>
      </c>
      <c r="H2210" s="1" t="s">
        <v>966</v>
      </c>
      <c r="I2210" s="1" t="s">
        <v>967</v>
      </c>
      <c r="L2210" s="1">
        <v>0.0</v>
      </c>
      <c r="M2210" s="1">
        <v>0.0</v>
      </c>
      <c r="O2210" s="1">
        <v>0.0</v>
      </c>
      <c r="P2210" s="1">
        <v>0.0</v>
      </c>
      <c r="R2210" s="1">
        <v>0.0</v>
      </c>
      <c r="S2210" s="1">
        <v>0.0</v>
      </c>
      <c r="U2210" s="1">
        <v>0.0</v>
      </c>
      <c r="W2210" s="1">
        <v>0.0</v>
      </c>
      <c r="Y2210" s="1">
        <v>0.0</v>
      </c>
      <c r="AA2210" s="1">
        <v>0.0</v>
      </c>
      <c r="AC2210" s="1">
        <v>0.0</v>
      </c>
      <c r="AM2210" s="1">
        <v>57914.0</v>
      </c>
      <c r="AN2210" s="1">
        <v>57914.0</v>
      </c>
      <c r="AO2210" s="1">
        <v>57914.0</v>
      </c>
      <c r="AP2210" s="1">
        <v>22.186</v>
      </c>
      <c r="AR2210" s="1">
        <v>0.0</v>
      </c>
      <c r="AW2210" s="1">
        <v>0.0</v>
      </c>
      <c r="AX2210" s="1">
        <v>5.0</v>
      </c>
      <c r="AY2210" s="1">
        <v>4.0</v>
      </c>
      <c r="BA2210" s="1">
        <v>0.0</v>
      </c>
      <c r="BB2210" s="1">
        <v>0.0</v>
      </c>
      <c r="BC2210" s="1">
        <v>0.0</v>
      </c>
      <c r="BD2210" s="1">
        <v>0.0</v>
      </c>
      <c r="BE2210" s="1">
        <v>0.0</v>
      </c>
      <c r="BF2210" s="1">
        <v>0.0</v>
      </c>
      <c r="BG2210" s="1">
        <v>0.0</v>
      </c>
      <c r="BH2210" s="1">
        <v>0.0</v>
      </c>
      <c r="BI2210" s="1">
        <v>0.0</v>
      </c>
      <c r="BJ2210" s="1">
        <v>0.0</v>
      </c>
      <c r="BP2210" s="1">
        <v>0.269</v>
      </c>
      <c r="BQ2210" s="1" t="s">
        <v>7149</v>
      </c>
      <c r="BV2210" s="1">
        <v>1.1</v>
      </c>
      <c r="EQ2210" s="9" t="s">
        <v>7148</v>
      </c>
      <c r="ER2210" s="21">
        <v>46045.30197916667</v>
      </c>
    </row>
    <row r="2211">
      <c r="A2211" s="9" t="s">
        <v>7150</v>
      </c>
      <c r="B2211" s="20" t="str">
        <f>IFERROR(__xludf.DUMMYFUNCTION("REGEXREPLACE(A2211, ""^https?://[^/]+"", """")"),"/wp-content/themes/salesxceleratione/assets/css/style.css?ver=1769123609")</f>
        <v>/wp-content/themes/salesxceleratione/assets/css/style.css?ver=1769123609</v>
      </c>
      <c r="F2211" s="1" t="s">
        <v>1016</v>
      </c>
      <c r="G2211" s="1">
        <v>200.0</v>
      </c>
      <c r="H2211" s="1" t="s">
        <v>966</v>
      </c>
      <c r="I2211" s="1" t="s">
        <v>967</v>
      </c>
      <c r="L2211" s="1">
        <v>0.0</v>
      </c>
      <c r="M2211" s="1">
        <v>0.0</v>
      </c>
      <c r="O2211" s="1">
        <v>0.0</v>
      </c>
      <c r="P2211" s="1">
        <v>0.0</v>
      </c>
      <c r="R2211" s="1">
        <v>0.0</v>
      </c>
      <c r="S2211" s="1">
        <v>0.0</v>
      </c>
      <c r="U2211" s="1">
        <v>0.0</v>
      </c>
      <c r="W2211" s="1">
        <v>0.0</v>
      </c>
      <c r="Y2211" s="1">
        <v>0.0</v>
      </c>
      <c r="AA2211" s="1">
        <v>0.0</v>
      </c>
      <c r="AC2211" s="1">
        <v>0.0</v>
      </c>
      <c r="AM2211" s="1">
        <v>17704.0</v>
      </c>
      <c r="AN2211" s="1">
        <v>17704.0</v>
      </c>
      <c r="AO2211" s="1">
        <v>17704.0</v>
      </c>
      <c r="AP2211" s="1">
        <v>6.782</v>
      </c>
      <c r="AR2211" s="1">
        <v>0.0</v>
      </c>
      <c r="AW2211" s="1">
        <v>0.0</v>
      </c>
      <c r="AX2211" s="1">
        <v>5.0</v>
      </c>
      <c r="AY2211" s="1">
        <v>5.0</v>
      </c>
      <c r="BA2211" s="1">
        <v>0.0</v>
      </c>
      <c r="BB2211" s="1">
        <v>0.0</v>
      </c>
      <c r="BC2211" s="1">
        <v>0.0</v>
      </c>
      <c r="BD2211" s="1">
        <v>0.0</v>
      </c>
      <c r="BE2211" s="1">
        <v>0.0</v>
      </c>
      <c r="BF2211" s="1">
        <v>0.0</v>
      </c>
      <c r="BG2211" s="1">
        <v>0.0</v>
      </c>
      <c r="BH2211" s="1">
        <v>0.0</v>
      </c>
      <c r="BI2211" s="1">
        <v>0.0</v>
      </c>
      <c r="BJ2211" s="1">
        <v>0.0</v>
      </c>
      <c r="BP2211" s="1">
        <v>0.273</v>
      </c>
      <c r="BQ2211" s="1" t="s">
        <v>7151</v>
      </c>
      <c r="BV2211" s="1">
        <v>1.1</v>
      </c>
      <c r="EQ2211" s="9" t="s">
        <v>7150</v>
      </c>
      <c r="ER2211" s="21">
        <v>46045.30197916667</v>
      </c>
    </row>
    <row r="2212">
      <c r="A2212" s="9" t="s">
        <v>7152</v>
      </c>
      <c r="B2212" s="20" t="str">
        <f>IFERROR(__xludf.DUMMYFUNCTION("REGEXREPLACE(A2212, ""^https?://[^/]+"", """")"),"/wp-content/uploads/2016/12/Walk-Away-to-Greener-Pastures-Cropped-RS-560-x-225-2048x2048.jpg")</f>
        <v>/wp-content/uploads/2016/12/Walk-Away-to-Greener-Pastures-Cropped-RS-560-x-225-2048x2048.jpg</v>
      </c>
      <c r="F2212" s="1" t="s">
        <v>1004</v>
      </c>
      <c r="G2212" s="1">
        <v>200.0</v>
      </c>
      <c r="H2212" s="1" t="s">
        <v>966</v>
      </c>
      <c r="I2212" s="1" t="s">
        <v>967</v>
      </c>
      <c r="L2212" s="1">
        <v>0.0</v>
      </c>
      <c r="M2212" s="1">
        <v>0.0</v>
      </c>
      <c r="O2212" s="1">
        <v>0.0</v>
      </c>
      <c r="P2212" s="1">
        <v>0.0</v>
      </c>
      <c r="R2212" s="1">
        <v>0.0</v>
      </c>
      <c r="S2212" s="1">
        <v>0.0</v>
      </c>
      <c r="U2212" s="1">
        <v>0.0</v>
      </c>
      <c r="W2212" s="1">
        <v>0.0</v>
      </c>
      <c r="Y2212" s="1">
        <v>0.0</v>
      </c>
      <c r="AA2212" s="1">
        <v>0.0</v>
      </c>
      <c r="AC2212" s="1">
        <v>0.0</v>
      </c>
      <c r="AM2212" s="1">
        <v>275042.0</v>
      </c>
      <c r="AN2212" s="1">
        <v>275042.0</v>
      </c>
      <c r="AO2212" s="1">
        <v>275042.0</v>
      </c>
      <c r="AP2212" s="1">
        <v>105.363</v>
      </c>
      <c r="AR2212" s="1">
        <v>0.0</v>
      </c>
      <c r="AW2212" s="1">
        <v>0.0</v>
      </c>
      <c r="AX2212" s="1">
        <v>5.0</v>
      </c>
      <c r="AY2212" s="1">
        <v>4.0</v>
      </c>
      <c r="BA2212" s="1">
        <v>0.0</v>
      </c>
      <c r="BB2212" s="1">
        <v>0.0</v>
      </c>
      <c r="BC2212" s="1">
        <v>0.0</v>
      </c>
      <c r="BD2212" s="1">
        <v>0.0</v>
      </c>
      <c r="BE2212" s="1">
        <v>0.0</v>
      </c>
      <c r="BF2212" s="1">
        <v>0.0</v>
      </c>
      <c r="BG2212" s="1">
        <v>0.0</v>
      </c>
      <c r="BH2212" s="1">
        <v>0.0</v>
      </c>
      <c r="BI2212" s="1">
        <v>0.0</v>
      </c>
      <c r="BJ2212" s="1">
        <v>0.0</v>
      </c>
      <c r="BP2212" s="1">
        <v>0.259</v>
      </c>
      <c r="BQ2212" s="1" t="s">
        <v>7153</v>
      </c>
      <c r="BV2212" s="1">
        <v>1.1</v>
      </c>
      <c r="EQ2212" s="9" t="s">
        <v>7152</v>
      </c>
      <c r="ER2212" s="21">
        <v>46045.30197916667</v>
      </c>
    </row>
    <row r="2213">
      <c r="A2213" s="9" t="s">
        <v>7154</v>
      </c>
      <c r="B2213" s="20" t="str">
        <f>IFERROR(__xludf.DUMMYFUNCTION("REGEXREPLACE(A2213, ""^https?://[^/]+"", """")"),"/wp-content/uploads/2017/02/NFL-Football-2-scaled-1-2048x2048.jpg")</f>
        <v>/wp-content/uploads/2017/02/NFL-Football-2-scaled-1-2048x2048.jpg</v>
      </c>
      <c r="F2213" s="1" t="s">
        <v>1004</v>
      </c>
      <c r="G2213" s="1">
        <v>200.0</v>
      </c>
      <c r="H2213" s="1" t="s">
        <v>966</v>
      </c>
      <c r="I2213" s="1" t="s">
        <v>967</v>
      </c>
      <c r="L2213" s="1">
        <v>0.0</v>
      </c>
      <c r="M2213" s="1">
        <v>0.0</v>
      </c>
      <c r="O2213" s="1">
        <v>0.0</v>
      </c>
      <c r="P2213" s="1">
        <v>0.0</v>
      </c>
      <c r="R2213" s="1">
        <v>0.0</v>
      </c>
      <c r="S2213" s="1">
        <v>0.0</v>
      </c>
      <c r="U2213" s="1">
        <v>0.0</v>
      </c>
      <c r="W2213" s="1">
        <v>0.0</v>
      </c>
      <c r="Y2213" s="1">
        <v>0.0</v>
      </c>
      <c r="AA2213" s="1">
        <v>0.0</v>
      </c>
      <c r="AC2213" s="1">
        <v>0.0</v>
      </c>
      <c r="AM2213" s="1">
        <v>166217.0</v>
      </c>
      <c r="AN2213" s="1">
        <v>166217.0</v>
      </c>
      <c r="AO2213" s="1">
        <v>166217.0</v>
      </c>
      <c r="AP2213" s="1">
        <v>63.675</v>
      </c>
      <c r="AR2213" s="1">
        <v>0.0</v>
      </c>
      <c r="AW2213" s="1">
        <v>0.0</v>
      </c>
      <c r="AX2213" s="1">
        <v>5.0</v>
      </c>
      <c r="AY2213" s="1">
        <v>4.0</v>
      </c>
      <c r="BA2213" s="1">
        <v>0.0</v>
      </c>
      <c r="BB2213" s="1">
        <v>0.0</v>
      </c>
      <c r="BC2213" s="1">
        <v>0.0</v>
      </c>
      <c r="BD2213" s="1">
        <v>0.0</v>
      </c>
      <c r="BE2213" s="1">
        <v>0.0</v>
      </c>
      <c r="BF2213" s="1">
        <v>0.0</v>
      </c>
      <c r="BG2213" s="1">
        <v>0.0</v>
      </c>
      <c r="BH2213" s="1">
        <v>0.0</v>
      </c>
      <c r="BI2213" s="1">
        <v>0.0</v>
      </c>
      <c r="BJ2213" s="1">
        <v>0.0</v>
      </c>
      <c r="BP2213" s="1">
        <v>0.275</v>
      </c>
      <c r="BQ2213" s="1" t="s">
        <v>7155</v>
      </c>
      <c r="BV2213" s="1">
        <v>1.1</v>
      </c>
      <c r="EQ2213" s="9" t="s">
        <v>7154</v>
      </c>
      <c r="ER2213" s="21">
        <v>46045.30197916667</v>
      </c>
    </row>
    <row r="2214">
      <c r="A2214" s="9" t="s">
        <v>7156</v>
      </c>
      <c r="B2214" s="20" t="str">
        <f>IFERROR(__xludf.DUMMYFUNCTION("REGEXREPLACE(A2214, ""^https?://[^/]+"", """")"),"/wp-content/uploads/2019/02/should-you-increase-your-sales-price-2048x2048.jpg")</f>
        <v>/wp-content/uploads/2019/02/should-you-increase-your-sales-price-2048x2048.jpg</v>
      </c>
      <c r="F2214" s="1" t="s">
        <v>1004</v>
      </c>
      <c r="G2214" s="1">
        <v>200.0</v>
      </c>
      <c r="H2214" s="1" t="s">
        <v>966</v>
      </c>
      <c r="I2214" s="1" t="s">
        <v>967</v>
      </c>
      <c r="L2214" s="1">
        <v>0.0</v>
      </c>
      <c r="M2214" s="1">
        <v>0.0</v>
      </c>
      <c r="O2214" s="1">
        <v>0.0</v>
      </c>
      <c r="P2214" s="1">
        <v>0.0</v>
      </c>
      <c r="R2214" s="1">
        <v>0.0</v>
      </c>
      <c r="S2214" s="1">
        <v>0.0</v>
      </c>
      <c r="U2214" s="1">
        <v>0.0</v>
      </c>
      <c r="W2214" s="1">
        <v>0.0</v>
      </c>
      <c r="Y2214" s="1">
        <v>0.0</v>
      </c>
      <c r="AA2214" s="1">
        <v>0.0</v>
      </c>
      <c r="AC2214" s="1">
        <v>0.0</v>
      </c>
      <c r="AM2214" s="1">
        <v>248810.0</v>
      </c>
      <c r="AN2214" s="1">
        <v>248810.0</v>
      </c>
      <c r="AO2214" s="1">
        <v>248810.0</v>
      </c>
      <c r="AP2214" s="1">
        <v>95.314</v>
      </c>
      <c r="AR2214" s="1">
        <v>0.0</v>
      </c>
      <c r="AW2214" s="1">
        <v>0.0</v>
      </c>
      <c r="AX2214" s="1">
        <v>5.0</v>
      </c>
      <c r="AY2214" s="1">
        <v>4.0</v>
      </c>
      <c r="BA2214" s="1">
        <v>0.0</v>
      </c>
      <c r="BB2214" s="1">
        <v>0.0</v>
      </c>
      <c r="BC2214" s="1">
        <v>0.0</v>
      </c>
      <c r="BD2214" s="1">
        <v>0.0</v>
      </c>
      <c r="BE2214" s="1">
        <v>0.0</v>
      </c>
      <c r="BF2214" s="1">
        <v>0.0</v>
      </c>
      <c r="BG2214" s="1">
        <v>0.0</v>
      </c>
      <c r="BH2214" s="1">
        <v>0.0</v>
      </c>
      <c r="BI2214" s="1">
        <v>0.0</v>
      </c>
      <c r="BJ2214" s="1">
        <v>0.0</v>
      </c>
      <c r="BP2214" s="1">
        <v>0.272</v>
      </c>
      <c r="BQ2214" s="1" t="s">
        <v>5942</v>
      </c>
      <c r="BV2214" s="1">
        <v>1.1</v>
      </c>
      <c r="EQ2214" s="9" t="s">
        <v>7156</v>
      </c>
      <c r="ER2214" s="21">
        <v>46045.30197916667</v>
      </c>
    </row>
    <row r="2215">
      <c r="A2215" s="9" t="s">
        <v>7157</v>
      </c>
      <c r="B2215" s="20" t="str">
        <f>IFERROR(__xludf.DUMMYFUNCTION("REGEXREPLACE(A2215, ""^https?://[^/]+"", """")"),"/wp-content/themes/salesxceleratione/assets/css/style.css?ver=1769123610")</f>
        <v>/wp-content/themes/salesxceleratione/assets/css/style.css?ver=1769123610</v>
      </c>
      <c r="F2215" s="1" t="s">
        <v>1016</v>
      </c>
      <c r="G2215" s="1">
        <v>200.0</v>
      </c>
      <c r="H2215" s="1" t="s">
        <v>966</v>
      </c>
      <c r="I2215" s="1" t="s">
        <v>967</v>
      </c>
      <c r="L2215" s="1">
        <v>0.0</v>
      </c>
      <c r="M2215" s="1">
        <v>0.0</v>
      </c>
      <c r="O2215" s="1">
        <v>0.0</v>
      </c>
      <c r="P2215" s="1">
        <v>0.0</v>
      </c>
      <c r="R2215" s="1">
        <v>0.0</v>
      </c>
      <c r="S2215" s="1">
        <v>0.0</v>
      </c>
      <c r="U2215" s="1">
        <v>0.0</v>
      </c>
      <c r="W2215" s="1">
        <v>0.0</v>
      </c>
      <c r="Y2215" s="1">
        <v>0.0</v>
      </c>
      <c r="AA2215" s="1">
        <v>0.0</v>
      </c>
      <c r="AC2215" s="1">
        <v>0.0</v>
      </c>
      <c r="AM2215" s="1">
        <v>17704.0</v>
      </c>
      <c r="AN2215" s="1">
        <v>17704.0</v>
      </c>
      <c r="AO2215" s="1">
        <v>17704.0</v>
      </c>
      <c r="AP2215" s="1">
        <v>6.782</v>
      </c>
      <c r="AR2215" s="1">
        <v>0.0</v>
      </c>
      <c r="AW2215" s="1">
        <v>0.0</v>
      </c>
      <c r="AX2215" s="1">
        <v>5.0</v>
      </c>
      <c r="AY2215" s="1">
        <v>5.0</v>
      </c>
      <c r="BA2215" s="1">
        <v>0.0</v>
      </c>
      <c r="BB2215" s="1">
        <v>0.0</v>
      </c>
      <c r="BC2215" s="1">
        <v>0.0</v>
      </c>
      <c r="BD2215" s="1">
        <v>0.0</v>
      </c>
      <c r="BE2215" s="1">
        <v>0.0</v>
      </c>
      <c r="BF2215" s="1">
        <v>0.0</v>
      </c>
      <c r="BG2215" s="1">
        <v>0.0</v>
      </c>
      <c r="BH2215" s="1">
        <v>0.0</v>
      </c>
      <c r="BI2215" s="1">
        <v>0.0</v>
      </c>
      <c r="BJ2215" s="1">
        <v>0.0</v>
      </c>
      <c r="BP2215" s="1">
        <v>0.263</v>
      </c>
      <c r="BQ2215" s="1" t="s">
        <v>7151</v>
      </c>
      <c r="BV2215" s="1">
        <v>1.1</v>
      </c>
      <c r="EQ2215" s="9" t="s">
        <v>7157</v>
      </c>
      <c r="ER2215" s="21">
        <v>46045.30197916667</v>
      </c>
    </row>
    <row r="2216">
      <c r="A2216" s="9" t="s">
        <v>7158</v>
      </c>
      <c r="B2216" s="20" t="str">
        <f>IFERROR(__xludf.DUMMYFUNCTION("REGEXREPLACE(A2216, ""^https?://[^/]+"", """")"),"/wp-content/uploads/2020/03/Tactics_for_Team_Dominance-1-scaled-1.jpg")</f>
        <v>/wp-content/uploads/2020/03/Tactics_for_Team_Dominance-1-scaled-1.jpg</v>
      </c>
      <c r="F2216" s="1" t="s">
        <v>1004</v>
      </c>
      <c r="G2216" s="1">
        <v>200.0</v>
      </c>
      <c r="H2216" s="1" t="s">
        <v>966</v>
      </c>
      <c r="I2216" s="1" t="s">
        <v>967</v>
      </c>
      <c r="L2216" s="1">
        <v>0.0</v>
      </c>
      <c r="M2216" s="1">
        <v>0.0</v>
      </c>
      <c r="O2216" s="1">
        <v>0.0</v>
      </c>
      <c r="P2216" s="1">
        <v>0.0</v>
      </c>
      <c r="R2216" s="1">
        <v>0.0</v>
      </c>
      <c r="S2216" s="1">
        <v>0.0</v>
      </c>
      <c r="U2216" s="1">
        <v>0.0</v>
      </c>
      <c r="W2216" s="1">
        <v>0.0</v>
      </c>
      <c r="Y2216" s="1">
        <v>0.0</v>
      </c>
      <c r="AA2216" s="1">
        <v>0.0</v>
      </c>
      <c r="AC2216" s="1">
        <v>0.0</v>
      </c>
      <c r="AM2216" s="1">
        <v>133481.0</v>
      </c>
      <c r="AN2216" s="1">
        <v>133481.0</v>
      </c>
      <c r="AO2216" s="1">
        <v>133481.0</v>
      </c>
      <c r="AP2216" s="1">
        <v>51.134</v>
      </c>
      <c r="AR2216" s="1">
        <v>0.0</v>
      </c>
      <c r="AW2216" s="1">
        <v>0.0</v>
      </c>
      <c r="AX2216" s="1">
        <v>5.0</v>
      </c>
      <c r="AY2216" s="1">
        <v>4.0</v>
      </c>
      <c r="BA2216" s="1">
        <v>0.0</v>
      </c>
      <c r="BB2216" s="1">
        <v>0.0</v>
      </c>
      <c r="BC2216" s="1">
        <v>0.0</v>
      </c>
      <c r="BD2216" s="1">
        <v>0.0</v>
      </c>
      <c r="BE2216" s="1">
        <v>0.0</v>
      </c>
      <c r="BF2216" s="1">
        <v>0.0</v>
      </c>
      <c r="BG2216" s="1">
        <v>0.0</v>
      </c>
      <c r="BH2216" s="1">
        <v>0.0</v>
      </c>
      <c r="BI2216" s="1">
        <v>0.0</v>
      </c>
      <c r="BJ2216" s="1">
        <v>0.0</v>
      </c>
      <c r="BP2216" s="1">
        <v>0.271</v>
      </c>
      <c r="BQ2216" s="1" t="s">
        <v>7159</v>
      </c>
      <c r="BV2216" s="1">
        <v>1.1</v>
      </c>
      <c r="EQ2216" s="9" t="s">
        <v>7158</v>
      </c>
      <c r="ER2216" s="21">
        <v>46045.30197916667</v>
      </c>
    </row>
    <row r="2217">
      <c r="A2217" s="9" t="s">
        <v>7160</v>
      </c>
      <c r="B2217" s="20" t="str">
        <f>IFERROR(__xludf.DUMMYFUNCTION("REGEXREPLACE(A2217, ""^https?://[^/]+"", """")"),"/watching-super-bowl-can-teach-salespeople-sales/")</f>
        <v>/watching-super-bowl-can-teach-salespeople-sales/</v>
      </c>
      <c r="C2217" s="1" t="s">
        <v>7161</v>
      </c>
      <c r="F2217" s="1" t="s">
        <v>965</v>
      </c>
      <c r="G2217" s="1">
        <v>200.0</v>
      </c>
      <c r="H2217" s="1" t="s">
        <v>966</v>
      </c>
      <c r="I2217" s="1" t="s">
        <v>967</v>
      </c>
      <c r="K2217" s="1" t="s">
        <v>7162</v>
      </c>
      <c r="L2217" s="1">
        <v>82.0</v>
      </c>
      <c r="M2217" s="1">
        <v>764.0</v>
      </c>
      <c r="O2217" s="1">
        <v>0.0</v>
      </c>
      <c r="P2217" s="1">
        <v>0.0</v>
      </c>
      <c r="Q2217" s="1" t="s">
        <v>7163</v>
      </c>
      <c r="R2217" s="1">
        <v>119.0</v>
      </c>
      <c r="S2217" s="1">
        <v>723.0</v>
      </c>
      <c r="U2217" s="1">
        <v>0.0</v>
      </c>
      <c r="V2217" s="1" t="s">
        <v>7161</v>
      </c>
      <c r="W2217" s="1">
        <v>57.0</v>
      </c>
      <c r="Y2217" s="1">
        <v>0.0</v>
      </c>
      <c r="AA2217" s="1">
        <v>0.0</v>
      </c>
      <c r="AC2217" s="1">
        <v>0.0</v>
      </c>
      <c r="AD2217" s="1" t="s">
        <v>971</v>
      </c>
      <c r="AG2217" s="9" t="s">
        <v>7160</v>
      </c>
      <c r="AM2217" s="1">
        <v>201128.0</v>
      </c>
      <c r="AN2217" s="1">
        <v>35753.0</v>
      </c>
      <c r="AO2217" s="1">
        <v>35753.0</v>
      </c>
      <c r="AP2217" s="1">
        <v>13.696</v>
      </c>
      <c r="AR2217" s="1">
        <v>1273.0</v>
      </c>
      <c r="AS2217" s="1">
        <v>193.0</v>
      </c>
      <c r="AT2217" s="1">
        <v>6.596</v>
      </c>
      <c r="AU2217" s="1">
        <v>73.406</v>
      </c>
      <c r="AV2217" s="1" t="s">
        <v>1264</v>
      </c>
      <c r="AW2217" s="1">
        <v>4.962</v>
      </c>
      <c r="AX2217" s="1">
        <v>5.0</v>
      </c>
      <c r="AY2217" s="1">
        <v>1.0</v>
      </c>
      <c r="AZ2217" s="1">
        <v>1.0</v>
      </c>
      <c r="BA2217" s="1">
        <v>7.0</v>
      </c>
      <c r="BB2217" s="1">
        <v>7.0</v>
      </c>
      <c r="BC2217" s="1">
        <v>0.0</v>
      </c>
      <c r="BD2217" s="1">
        <v>0.93</v>
      </c>
      <c r="BE2217" s="1">
        <v>131.0</v>
      </c>
      <c r="BF2217" s="1">
        <v>49.0</v>
      </c>
      <c r="BG2217" s="1">
        <v>0.0</v>
      </c>
      <c r="BH2217" s="1">
        <v>16.0</v>
      </c>
      <c r="BI2217" s="1">
        <v>8.0</v>
      </c>
      <c r="BJ2217" s="1">
        <v>0.0</v>
      </c>
      <c r="BO2217" s="1" t="s">
        <v>7164</v>
      </c>
      <c r="BP2217" s="1">
        <v>0.982</v>
      </c>
      <c r="BU2217" s="1" t="s">
        <v>974</v>
      </c>
      <c r="BV2217" s="1">
        <v>1.1</v>
      </c>
      <c r="EQ2217" s="9" t="s">
        <v>7160</v>
      </c>
      <c r="ER2217" s="21">
        <v>46045.30197916667</v>
      </c>
    </row>
    <row r="2218">
      <c r="A2218" s="9" t="s">
        <v>7165</v>
      </c>
      <c r="B2218" s="20" t="str">
        <f>IFERROR(__xludf.DUMMYFUNCTION("REGEXREPLACE(A2218, ""^https?://[^/]+"", """")"),"/wp-content/themes/salesxceleratione/assets/css/style.css?ver=1769123611")</f>
        <v>/wp-content/themes/salesxceleratione/assets/css/style.css?ver=1769123611</v>
      </c>
      <c r="F2218" s="1" t="s">
        <v>1016</v>
      </c>
      <c r="G2218" s="1">
        <v>200.0</v>
      </c>
      <c r="H2218" s="1" t="s">
        <v>966</v>
      </c>
      <c r="I2218" s="1" t="s">
        <v>967</v>
      </c>
      <c r="L2218" s="1">
        <v>0.0</v>
      </c>
      <c r="M2218" s="1">
        <v>0.0</v>
      </c>
      <c r="O2218" s="1">
        <v>0.0</v>
      </c>
      <c r="P2218" s="1">
        <v>0.0</v>
      </c>
      <c r="R2218" s="1">
        <v>0.0</v>
      </c>
      <c r="S2218" s="1">
        <v>0.0</v>
      </c>
      <c r="U2218" s="1">
        <v>0.0</v>
      </c>
      <c r="W2218" s="1">
        <v>0.0</v>
      </c>
      <c r="Y2218" s="1">
        <v>0.0</v>
      </c>
      <c r="AA2218" s="1">
        <v>0.0</v>
      </c>
      <c r="AC2218" s="1">
        <v>0.0</v>
      </c>
      <c r="AM2218" s="1">
        <v>17704.0</v>
      </c>
      <c r="AN2218" s="1">
        <v>17704.0</v>
      </c>
      <c r="AO2218" s="1">
        <v>17704.0</v>
      </c>
      <c r="AP2218" s="1">
        <v>6.782</v>
      </c>
      <c r="AR2218" s="1">
        <v>0.0</v>
      </c>
      <c r="AW2218" s="1">
        <v>0.0</v>
      </c>
      <c r="AX2218" s="1">
        <v>5.0</v>
      </c>
      <c r="AY2218" s="1">
        <v>5.0</v>
      </c>
      <c r="BA2218" s="1">
        <v>0.0</v>
      </c>
      <c r="BB2218" s="1">
        <v>0.0</v>
      </c>
      <c r="BC2218" s="1">
        <v>0.0</v>
      </c>
      <c r="BD2218" s="1">
        <v>0.0</v>
      </c>
      <c r="BE2218" s="1">
        <v>0.0</v>
      </c>
      <c r="BF2218" s="1">
        <v>0.0</v>
      </c>
      <c r="BG2218" s="1">
        <v>0.0</v>
      </c>
      <c r="BH2218" s="1">
        <v>0.0</v>
      </c>
      <c r="BI2218" s="1">
        <v>0.0</v>
      </c>
      <c r="BJ2218" s="1">
        <v>0.0</v>
      </c>
      <c r="BP2218" s="1">
        <v>0.271</v>
      </c>
      <c r="BQ2218" s="1" t="s">
        <v>7151</v>
      </c>
      <c r="BV2218" s="1">
        <v>1.1</v>
      </c>
      <c r="EQ2218" s="9" t="s">
        <v>7165</v>
      </c>
      <c r="ER2218" s="21">
        <v>46045.30199074074</v>
      </c>
    </row>
    <row r="2219">
      <c r="A2219" s="9" t="s">
        <v>7166</v>
      </c>
      <c r="B2219" s="20" t="str">
        <f>IFERROR(__xludf.DUMMYFUNCTION("REGEXREPLACE(A2219, ""^https?://[^/]+"", """")"),"/wp-content/uploads/2017/07/Sales-Success-Buyer-Wants-2048x2048.jpg")</f>
        <v>/wp-content/uploads/2017/07/Sales-Success-Buyer-Wants-2048x2048.jpg</v>
      </c>
      <c r="F2219" s="1" t="s">
        <v>1004</v>
      </c>
      <c r="G2219" s="1">
        <v>200.0</v>
      </c>
      <c r="H2219" s="1" t="s">
        <v>966</v>
      </c>
      <c r="I2219" s="1" t="s">
        <v>967</v>
      </c>
      <c r="L2219" s="1">
        <v>0.0</v>
      </c>
      <c r="M2219" s="1">
        <v>0.0</v>
      </c>
      <c r="O2219" s="1">
        <v>0.0</v>
      </c>
      <c r="P2219" s="1">
        <v>0.0</v>
      </c>
      <c r="R2219" s="1">
        <v>0.0</v>
      </c>
      <c r="S2219" s="1">
        <v>0.0</v>
      </c>
      <c r="U2219" s="1">
        <v>0.0</v>
      </c>
      <c r="W2219" s="1">
        <v>0.0</v>
      </c>
      <c r="Y2219" s="1">
        <v>0.0</v>
      </c>
      <c r="AA2219" s="1">
        <v>0.0</v>
      </c>
      <c r="AC2219" s="1">
        <v>0.0</v>
      </c>
      <c r="AM2219" s="1">
        <v>182535.0</v>
      </c>
      <c r="AN2219" s="1">
        <v>182535.0</v>
      </c>
      <c r="AO2219" s="1">
        <v>182535.0</v>
      </c>
      <c r="AP2219" s="1">
        <v>69.926</v>
      </c>
      <c r="AR2219" s="1">
        <v>0.0</v>
      </c>
      <c r="AW2219" s="1">
        <v>0.0</v>
      </c>
      <c r="AX2219" s="1">
        <v>5.0</v>
      </c>
      <c r="AY2219" s="1">
        <v>4.0</v>
      </c>
      <c r="BA2219" s="1">
        <v>0.0</v>
      </c>
      <c r="BB2219" s="1">
        <v>0.0</v>
      </c>
      <c r="BC2219" s="1">
        <v>0.0</v>
      </c>
      <c r="BD2219" s="1">
        <v>0.0</v>
      </c>
      <c r="BE2219" s="1">
        <v>0.0</v>
      </c>
      <c r="BF2219" s="1">
        <v>0.0</v>
      </c>
      <c r="BG2219" s="1">
        <v>0.0</v>
      </c>
      <c r="BH2219" s="1">
        <v>0.0</v>
      </c>
      <c r="BI2219" s="1">
        <v>0.0</v>
      </c>
      <c r="BJ2219" s="1">
        <v>0.0</v>
      </c>
      <c r="BP2219" s="1">
        <v>0.269</v>
      </c>
      <c r="BQ2219" s="1" t="s">
        <v>7167</v>
      </c>
      <c r="BV2219" s="1">
        <v>1.1</v>
      </c>
      <c r="EQ2219" s="9" t="s">
        <v>7166</v>
      </c>
      <c r="ER2219" s="21">
        <v>46045.30199074074</v>
      </c>
    </row>
    <row r="2220">
      <c r="A2220" s="9" t="s">
        <v>7168</v>
      </c>
      <c r="B2220" s="20" t="str">
        <f>IFERROR(__xludf.DUMMYFUNCTION("REGEXREPLACE(A2220, ""^https?://[^/]+"", """")"),"/wp-content/uploads/2020/02/SX-Effective_Sales_Vision_Statement.jpg")</f>
        <v>/wp-content/uploads/2020/02/SX-Effective_Sales_Vision_Statement.jpg</v>
      </c>
      <c r="F2220" s="1" t="s">
        <v>1004</v>
      </c>
      <c r="G2220" s="1">
        <v>200.0</v>
      </c>
      <c r="H2220" s="1" t="s">
        <v>966</v>
      </c>
      <c r="I2220" s="1" t="s">
        <v>967</v>
      </c>
      <c r="L2220" s="1">
        <v>0.0</v>
      </c>
      <c r="M2220" s="1">
        <v>0.0</v>
      </c>
      <c r="O2220" s="1">
        <v>0.0</v>
      </c>
      <c r="P2220" s="1">
        <v>0.0</v>
      </c>
      <c r="R2220" s="1">
        <v>0.0</v>
      </c>
      <c r="S2220" s="1">
        <v>0.0</v>
      </c>
      <c r="U2220" s="1">
        <v>0.0</v>
      </c>
      <c r="W2220" s="1">
        <v>0.0</v>
      </c>
      <c r="Y2220" s="1">
        <v>0.0</v>
      </c>
      <c r="AA2220" s="1">
        <v>0.0</v>
      </c>
      <c r="AC2220" s="1">
        <v>0.0</v>
      </c>
      <c r="AM2220" s="1">
        <v>94108.0</v>
      </c>
      <c r="AN2220" s="1">
        <v>94108.0</v>
      </c>
      <c r="AO2220" s="1">
        <v>94108.0</v>
      </c>
      <c r="AP2220" s="1">
        <v>36.051</v>
      </c>
      <c r="AR2220" s="1">
        <v>0.0</v>
      </c>
      <c r="AW2220" s="1">
        <v>0.0</v>
      </c>
      <c r="AX2220" s="1">
        <v>5.0</v>
      </c>
      <c r="AY2220" s="1">
        <v>4.0</v>
      </c>
      <c r="BA2220" s="1">
        <v>0.0</v>
      </c>
      <c r="BB2220" s="1">
        <v>0.0</v>
      </c>
      <c r="BC2220" s="1">
        <v>0.0</v>
      </c>
      <c r="BD2220" s="1">
        <v>0.0</v>
      </c>
      <c r="BE2220" s="1">
        <v>0.0</v>
      </c>
      <c r="BF2220" s="1">
        <v>0.0</v>
      </c>
      <c r="BG2220" s="1">
        <v>0.0</v>
      </c>
      <c r="BH2220" s="1">
        <v>0.0</v>
      </c>
      <c r="BI2220" s="1">
        <v>0.0</v>
      </c>
      <c r="BJ2220" s="1">
        <v>0.0</v>
      </c>
      <c r="BP2220" s="1">
        <v>0.279</v>
      </c>
      <c r="BQ2220" s="1" t="s">
        <v>7169</v>
      </c>
      <c r="BV2220" s="1">
        <v>1.1</v>
      </c>
      <c r="EQ2220" s="9" t="s">
        <v>7168</v>
      </c>
      <c r="ER2220" s="21">
        <v>46045.30200231481</v>
      </c>
    </row>
    <row r="2221">
      <c r="A2221" s="9" t="s">
        <v>7170</v>
      </c>
      <c r="B2221" s="20" t="str">
        <f>IFERROR(__xludf.DUMMYFUNCTION("REGEXREPLACE(A2221, ""^https?://[^/]+"", """")"),"/wp-content/uploads/2024/02/Achieving-Sales-Excellence_Target-Market-300x204.jpg")</f>
        <v>/wp-content/uploads/2024/02/Achieving-Sales-Excellence_Target-Market-300x204.jpg</v>
      </c>
      <c r="F2221" s="1" t="s">
        <v>1004</v>
      </c>
      <c r="G2221" s="1">
        <v>200.0</v>
      </c>
      <c r="H2221" s="1" t="s">
        <v>966</v>
      </c>
      <c r="I2221" s="1" t="s">
        <v>967</v>
      </c>
      <c r="L2221" s="1">
        <v>0.0</v>
      </c>
      <c r="M2221" s="1">
        <v>0.0</v>
      </c>
      <c r="O2221" s="1">
        <v>0.0</v>
      </c>
      <c r="P2221" s="1">
        <v>0.0</v>
      </c>
      <c r="R2221" s="1">
        <v>0.0</v>
      </c>
      <c r="S2221" s="1">
        <v>0.0</v>
      </c>
      <c r="U2221" s="1">
        <v>0.0</v>
      </c>
      <c r="W2221" s="1">
        <v>0.0</v>
      </c>
      <c r="Y2221" s="1">
        <v>0.0</v>
      </c>
      <c r="AA2221" s="1">
        <v>0.0</v>
      </c>
      <c r="AC2221" s="1">
        <v>0.0</v>
      </c>
      <c r="AM2221" s="1">
        <v>8487.0</v>
      </c>
      <c r="AN2221" s="1">
        <v>8487.0</v>
      </c>
      <c r="AO2221" s="1">
        <v>8487.0</v>
      </c>
      <c r="AP2221" s="1">
        <v>3.251</v>
      </c>
      <c r="AR2221" s="1">
        <v>0.0</v>
      </c>
      <c r="AW2221" s="1">
        <v>0.0</v>
      </c>
      <c r="AX2221" s="1">
        <v>5.0</v>
      </c>
      <c r="AY2221" s="1">
        <v>4.0</v>
      </c>
      <c r="BA2221" s="1">
        <v>0.0</v>
      </c>
      <c r="BB2221" s="1">
        <v>0.0</v>
      </c>
      <c r="BC2221" s="1">
        <v>0.0</v>
      </c>
      <c r="BD2221" s="1">
        <v>0.0</v>
      </c>
      <c r="BE2221" s="1">
        <v>0.0</v>
      </c>
      <c r="BF2221" s="1">
        <v>0.0</v>
      </c>
      <c r="BG2221" s="1">
        <v>0.0</v>
      </c>
      <c r="BH2221" s="1">
        <v>0.0</v>
      </c>
      <c r="BI2221" s="1">
        <v>0.0</v>
      </c>
      <c r="BJ2221" s="1">
        <v>0.0</v>
      </c>
      <c r="BP2221" s="1">
        <v>0.26</v>
      </c>
      <c r="BQ2221" s="1" t="s">
        <v>7171</v>
      </c>
      <c r="BV2221" s="1">
        <v>1.1</v>
      </c>
      <c r="EQ2221" s="9" t="s">
        <v>7170</v>
      </c>
      <c r="ER2221" s="21">
        <v>46045.30200231481</v>
      </c>
    </row>
    <row r="2222">
      <c r="A2222" s="9" t="s">
        <v>7172</v>
      </c>
      <c r="B2222" s="20" t="str">
        <f>IFERROR(__xludf.DUMMYFUNCTION("REGEXREPLACE(A2222, ""^https?://[^/]+"", """")"),"/wp-content/uploads/2024/01/Strategic-Roadmap-300x200.jpg")</f>
        <v>/wp-content/uploads/2024/01/Strategic-Roadmap-300x200.jpg</v>
      </c>
      <c r="F2222" s="1" t="s">
        <v>1004</v>
      </c>
      <c r="G2222" s="1">
        <v>200.0</v>
      </c>
      <c r="H2222" s="1" t="s">
        <v>966</v>
      </c>
      <c r="I2222" s="1" t="s">
        <v>967</v>
      </c>
      <c r="L2222" s="1">
        <v>0.0</v>
      </c>
      <c r="M2222" s="1">
        <v>0.0</v>
      </c>
      <c r="O2222" s="1">
        <v>0.0</v>
      </c>
      <c r="P2222" s="1">
        <v>0.0</v>
      </c>
      <c r="R2222" s="1">
        <v>0.0</v>
      </c>
      <c r="S2222" s="1">
        <v>0.0</v>
      </c>
      <c r="U2222" s="1">
        <v>0.0</v>
      </c>
      <c r="W2222" s="1">
        <v>0.0</v>
      </c>
      <c r="Y2222" s="1">
        <v>0.0</v>
      </c>
      <c r="AA2222" s="1">
        <v>0.0</v>
      </c>
      <c r="AC2222" s="1">
        <v>0.0</v>
      </c>
      <c r="AM2222" s="1">
        <v>16849.0</v>
      </c>
      <c r="AN2222" s="1">
        <v>16849.0</v>
      </c>
      <c r="AO2222" s="1">
        <v>16849.0</v>
      </c>
      <c r="AP2222" s="1">
        <v>6.455</v>
      </c>
      <c r="AR2222" s="1">
        <v>0.0</v>
      </c>
      <c r="AW2222" s="1">
        <v>0.0</v>
      </c>
      <c r="AX2222" s="1">
        <v>5.0</v>
      </c>
      <c r="AY2222" s="1">
        <v>4.0</v>
      </c>
      <c r="BA2222" s="1">
        <v>0.0</v>
      </c>
      <c r="BB2222" s="1">
        <v>0.0</v>
      </c>
      <c r="BC2222" s="1">
        <v>0.0</v>
      </c>
      <c r="BD2222" s="1">
        <v>0.0</v>
      </c>
      <c r="BE2222" s="1">
        <v>0.0</v>
      </c>
      <c r="BF2222" s="1">
        <v>0.0</v>
      </c>
      <c r="BG2222" s="1">
        <v>0.0</v>
      </c>
      <c r="BH2222" s="1">
        <v>0.0</v>
      </c>
      <c r="BI2222" s="1">
        <v>0.0</v>
      </c>
      <c r="BJ2222" s="1">
        <v>0.0</v>
      </c>
      <c r="BP2222" s="1">
        <v>0.274</v>
      </c>
      <c r="BQ2222" s="1" t="s">
        <v>7173</v>
      </c>
      <c r="BV2222" s="1">
        <v>1.1</v>
      </c>
      <c r="EQ2222" s="9" t="s">
        <v>7172</v>
      </c>
      <c r="ER2222" s="21">
        <v>46045.30200231481</v>
      </c>
    </row>
    <row r="2223">
      <c r="A2223" s="9" t="s">
        <v>7174</v>
      </c>
      <c r="B2223" s="20" t="str">
        <f>IFERROR(__xludf.DUMMYFUNCTION("REGEXREPLACE(A2223, ""^https?://[^/]+"", """")"),"/wp-content/uploads/2023/03/Building-Strong-Business-Relationships-1-300x215.jpg")</f>
        <v>/wp-content/uploads/2023/03/Building-Strong-Business-Relationships-1-300x215.jpg</v>
      </c>
      <c r="F2223" s="1" t="s">
        <v>1004</v>
      </c>
      <c r="G2223" s="1">
        <v>200.0</v>
      </c>
      <c r="H2223" s="1" t="s">
        <v>966</v>
      </c>
      <c r="I2223" s="1" t="s">
        <v>967</v>
      </c>
      <c r="L2223" s="1">
        <v>0.0</v>
      </c>
      <c r="M2223" s="1">
        <v>0.0</v>
      </c>
      <c r="O2223" s="1">
        <v>0.0</v>
      </c>
      <c r="P2223" s="1">
        <v>0.0</v>
      </c>
      <c r="R2223" s="1">
        <v>0.0</v>
      </c>
      <c r="S2223" s="1">
        <v>0.0</v>
      </c>
      <c r="U2223" s="1">
        <v>0.0</v>
      </c>
      <c r="W2223" s="1">
        <v>0.0</v>
      </c>
      <c r="Y2223" s="1">
        <v>0.0</v>
      </c>
      <c r="AA2223" s="1">
        <v>0.0</v>
      </c>
      <c r="AC2223" s="1">
        <v>0.0</v>
      </c>
      <c r="AM2223" s="1">
        <v>16518.0</v>
      </c>
      <c r="AN2223" s="1">
        <v>16518.0</v>
      </c>
      <c r="AO2223" s="1">
        <v>16518.0</v>
      </c>
      <c r="AP2223" s="1">
        <v>6.328</v>
      </c>
      <c r="AR2223" s="1">
        <v>0.0</v>
      </c>
      <c r="AW2223" s="1">
        <v>0.0</v>
      </c>
      <c r="AX2223" s="1">
        <v>5.0</v>
      </c>
      <c r="AY2223" s="1">
        <v>4.0</v>
      </c>
      <c r="BA2223" s="1">
        <v>0.0</v>
      </c>
      <c r="BB2223" s="1">
        <v>0.0</v>
      </c>
      <c r="BC2223" s="1">
        <v>0.0</v>
      </c>
      <c r="BD2223" s="1">
        <v>0.0</v>
      </c>
      <c r="BE2223" s="1">
        <v>0.0</v>
      </c>
      <c r="BF2223" s="1">
        <v>0.0</v>
      </c>
      <c r="BG2223" s="1">
        <v>0.0</v>
      </c>
      <c r="BH2223" s="1">
        <v>0.0</v>
      </c>
      <c r="BI2223" s="1">
        <v>0.0</v>
      </c>
      <c r="BJ2223" s="1">
        <v>0.0</v>
      </c>
      <c r="BP2223" s="1">
        <v>0.274</v>
      </c>
      <c r="BQ2223" s="1" t="s">
        <v>7175</v>
      </c>
      <c r="BV2223" s="1">
        <v>1.1</v>
      </c>
      <c r="EQ2223" s="9" t="s">
        <v>7174</v>
      </c>
      <c r="ER2223" s="21">
        <v>46045.30200231481</v>
      </c>
    </row>
    <row r="2224">
      <c r="A2224" s="9" t="s">
        <v>7176</v>
      </c>
      <c r="B2224" s="20" t="str">
        <f>IFERROR(__xludf.DUMMYFUNCTION("REGEXREPLACE(A2224, ""^https?://[^/]+"", """")"),"/sales-success-every-buyer-really-wants/")</f>
        <v>/sales-success-every-buyer-really-wants/</v>
      </c>
      <c r="C2224" s="1" t="s">
        <v>7177</v>
      </c>
      <c r="F2224" s="1" t="s">
        <v>965</v>
      </c>
      <c r="G2224" s="1">
        <v>200.0</v>
      </c>
      <c r="H2224" s="1" t="s">
        <v>966</v>
      </c>
      <c r="I2224" s="1" t="s">
        <v>967</v>
      </c>
      <c r="K2224" s="1" t="s">
        <v>7177</v>
      </c>
      <c r="L2224" s="1">
        <v>58.0</v>
      </c>
      <c r="M2224" s="1">
        <v>535.0</v>
      </c>
      <c r="O2224" s="1">
        <v>0.0</v>
      </c>
      <c r="P2224" s="1">
        <v>0.0</v>
      </c>
      <c r="Q2224" s="1" t="s">
        <v>7178</v>
      </c>
      <c r="R2224" s="1">
        <v>145.0</v>
      </c>
      <c r="S2224" s="1">
        <v>893.0</v>
      </c>
      <c r="U2224" s="1">
        <v>0.0</v>
      </c>
      <c r="V2224" s="1" t="s">
        <v>7177</v>
      </c>
      <c r="W2224" s="1">
        <v>58.0</v>
      </c>
      <c r="Y2224" s="1">
        <v>0.0</v>
      </c>
      <c r="AA2224" s="1">
        <v>0.0</v>
      </c>
      <c r="AC2224" s="1">
        <v>0.0</v>
      </c>
      <c r="AD2224" s="1" t="s">
        <v>971</v>
      </c>
      <c r="AG2224" s="9" t="s">
        <v>7176</v>
      </c>
      <c r="AM2224" s="1">
        <v>201178.0</v>
      </c>
      <c r="AN2224" s="1">
        <v>35809.0</v>
      </c>
      <c r="AO2224" s="1">
        <v>35809.0</v>
      </c>
      <c r="AP2224" s="1">
        <v>13.718</v>
      </c>
      <c r="AR2224" s="1">
        <v>1374.0</v>
      </c>
      <c r="AS2224" s="1">
        <v>211.0</v>
      </c>
      <c r="AT2224" s="1">
        <v>6.512</v>
      </c>
      <c r="AU2224" s="1">
        <v>71.971</v>
      </c>
      <c r="AV2224" s="1" t="s">
        <v>1264</v>
      </c>
      <c r="AW2224" s="1">
        <v>5.256</v>
      </c>
      <c r="AX2224" s="1">
        <v>5.0</v>
      </c>
      <c r="AY2224" s="1">
        <v>1.0</v>
      </c>
      <c r="AZ2224" s="1">
        <v>1.0</v>
      </c>
      <c r="BA2224" s="1">
        <v>5.0</v>
      </c>
      <c r="BB2224" s="1">
        <v>5.0</v>
      </c>
      <c r="BC2224" s="1">
        <v>0.0</v>
      </c>
      <c r="BD2224" s="1">
        <v>0.66</v>
      </c>
      <c r="BE2224" s="1">
        <v>131.0</v>
      </c>
      <c r="BF2224" s="1">
        <v>49.0</v>
      </c>
      <c r="BG2224" s="1">
        <v>0.0</v>
      </c>
      <c r="BH2224" s="1">
        <v>16.0</v>
      </c>
      <c r="BI2224" s="1">
        <v>8.0</v>
      </c>
      <c r="BJ2224" s="1">
        <v>0.0</v>
      </c>
      <c r="BO2224" s="1" t="s">
        <v>7179</v>
      </c>
      <c r="BP2224" s="1">
        <v>0.968</v>
      </c>
      <c r="BU2224" s="1" t="s">
        <v>974</v>
      </c>
      <c r="BV2224" s="1">
        <v>1.1</v>
      </c>
      <c r="EQ2224" s="9" t="s">
        <v>7176</v>
      </c>
      <c r="ER2224" s="21">
        <v>46045.30199074074</v>
      </c>
    </row>
    <row r="2225">
      <c r="A2225" s="9" t="s">
        <v>5589</v>
      </c>
      <c r="B2225" s="20" t="str">
        <f>IFERROR(__xludf.DUMMYFUNCTION("REGEXREPLACE(A2225, ""^https?://[^/]+"", """")"),"/sales-agility-assessment/?locationid=28995327")</f>
        <v>/sales-agility-assessment/?locationid=28995327</v>
      </c>
      <c r="C2225" s="1" t="s">
        <v>1381</v>
      </c>
      <c r="F2225" s="1" t="s">
        <v>965</v>
      </c>
      <c r="G2225" s="1">
        <v>200.0</v>
      </c>
      <c r="H2225" s="1" t="s">
        <v>966</v>
      </c>
      <c r="I2225" s="1" t="s">
        <v>1214</v>
      </c>
      <c r="J2225" s="1" t="s">
        <v>1215</v>
      </c>
      <c r="K2225" s="1" t="s">
        <v>1382</v>
      </c>
      <c r="L2225" s="1">
        <v>79.0</v>
      </c>
      <c r="M2225" s="1">
        <v>719.0</v>
      </c>
      <c r="O2225" s="1">
        <v>0.0</v>
      </c>
      <c r="P2225" s="1">
        <v>0.0</v>
      </c>
      <c r="Q2225" s="1" t="s">
        <v>1383</v>
      </c>
      <c r="R2225" s="1">
        <v>155.0</v>
      </c>
      <c r="S2225" s="1">
        <v>970.0</v>
      </c>
      <c r="U2225" s="1">
        <v>0.0</v>
      </c>
      <c r="V2225" s="1" t="s">
        <v>1381</v>
      </c>
      <c r="W2225" s="1">
        <v>31.0</v>
      </c>
      <c r="Y2225" s="1">
        <v>0.0</v>
      </c>
      <c r="AA2225" s="1">
        <v>0.0</v>
      </c>
      <c r="AC2225" s="1">
        <v>0.0</v>
      </c>
      <c r="AD2225" s="1" t="s">
        <v>971</v>
      </c>
      <c r="AG2225" s="9" t="s">
        <v>1380</v>
      </c>
      <c r="AM2225" s="1">
        <v>221351.0</v>
      </c>
      <c r="AN2225" s="1">
        <v>43055.0</v>
      </c>
      <c r="AO2225" s="1">
        <v>43055.0</v>
      </c>
      <c r="AP2225" s="1">
        <v>16.494</v>
      </c>
      <c r="AR2225" s="1">
        <v>1077.0</v>
      </c>
      <c r="AS2225" s="1">
        <v>195.0</v>
      </c>
      <c r="AT2225" s="1">
        <v>5.523</v>
      </c>
      <c r="AU2225" s="1">
        <v>72.326</v>
      </c>
      <c r="AV2225" s="1" t="s">
        <v>1264</v>
      </c>
      <c r="AW2225" s="1">
        <v>5.466</v>
      </c>
      <c r="AX2225" s="1">
        <v>5.0</v>
      </c>
      <c r="AY2225" s="1">
        <v>1.0</v>
      </c>
      <c r="BA2225" s="1">
        <v>0.0</v>
      </c>
      <c r="BB2225" s="1">
        <v>0.0</v>
      </c>
      <c r="BC2225" s="1">
        <v>0.0</v>
      </c>
      <c r="BD2225" s="1">
        <v>0.0</v>
      </c>
      <c r="BE2225" s="1">
        <v>121.0</v>
      </c>
      <c r="BF2225" s="1">
        <v>42.0</v>
      </c>
      <c r="BG2225" s="1">
        <v>0.0</v>
      </c>
      <c r="BH2225" s="1">
        <v>16.0</v>
      </c>
      <c r="BI2225" s="1">
        <v>8.0</v>
      </c>
      <c r="BJ2225" s="1">
        <v>0.0</v>
      </c>
      <c r="BO2225" s="1" t="s">
        <v>7180</v>
      </c>
      <c r="BP2225" s="1">
        <v>1.772</v>
      </c>
      <c r="BU2225" s="1" t="s">
        <v>974</v>
      </c>
      <c r="BV2225" s="1">
        <v>1.1</v>
      </c>
      <c r="EQ2225" s="9" t="s">
        <v>5589</v>
      </c>
      <c r="ER2225" s="21">
        <v>46045.30199074074</v>
      </c>
    </row>
    <row r="2226">
      <c r="A2226" s="9" t="s">
        <v>7181</v>
      </c>
      <c r="B2226" s="20" t="str">
        <f>IFERROR(__xludf.DUMMYFUNCTION("REGEXREPLACE(A2226, ""^https?://[^/]+"", """")"),"/wp-content/uploads/2024/03/Developing-a-Compelling-Value-Proposition-300x200.jpg")</f>
        <v>/wp-content/uploads/2024/03/Developing-a-Compelling-Value-Proposition-300x200.jpg</v>
      </c>
      <c r="F2226" s="1" t="s">
        <v>1004</v>
      </c>
      <c r="G2226" s="1">
        <v>200.0</v>
      </c>
      <c r="H2226" s="1" t="s">
        <v>966</v>
      </c>
      <c r="I2226" s="1" t="s">
        <v>967</v>
      </c>
      <c r="L2226" s="1">
        <v>0.0</v>
      </c>
      <c r="M2226" s="1">
        <v>0.0</v>
      </c>
      <c r="O2226" s="1">
        <v>0.0</v>
      </c>
      <c r="P2226" s="1">
        <v>0.0</v>
      </c>
      <c r="R2226" s="1">
        <v>0.0</v>
      </c>
      <c r="S2226" s="1">
        <v>0.0</v>
      </c>
      <c r="U2226" s="1">
        <v>0.0</v>
      </c>
      <c r="W2226" s="1">
        <v>0.0</v>
      </c>
      <c r="Y2226" s="1">
        <v>0.0</v>
      </c>
      <c r="AA2226" s="1">
        <v>0.0</v>
      </c>
      <c r="AC2226" s="1">
        <v>0.0</v>
      </c>
      <c r="AM2226" s="1">
        <v>14343.0</v>
      </c>
      <c r="AN2226" s="1">
        <v>14343.0</v>
      </c>
      <c r="AO2226" s="1">
        <v>14343.0</v>
      </c>
      <c r="AP2226" s="1">
        <v>5.495</v>
      </c>
      <c r="AR2226" s="1">
        <v>0.0</v>
      </c>
      <c r="AW2226" s="1">
        <v>0.0</v>
      </c>
      <c r="AX2226" s="1">
        <v>5.0</v>
      </c>
      <c r="AY2226" s="1">
        <v>4.0</v>
      </c>
      <c r="BA2226" s="1">
        <v>0.0</v>
      </c>
      <c r="BB2226" s="1">
        <v>0.0</v>
      </c>
      <c r="BC2226" s="1">
        <v>0.0</v>
      </c>
      <c r="BD2226" s="1">
        <v>0.0</v>
      </c>
      <c r="BE2226" s="1">
        <v>0.0</v>
      </c>
      <c r="BF2226" s="1">
        <v>0.0</v>
      </c>
      <c r="BG2226" s="1">
        <v>0.0</v>
      </c>
      <c r="BH2226" s="1">
        <v>0.0</v>
      </c>
      <c r="BI2226" s="1">
        <v>0.0</v>
      </c>
      <c r="BJ2226" s="1">
        <v>0.0</v>
      </c>
      <c r="BP2226" s="1">
        <v>0.278</v>
      </c>
      <c r="BQ2226" s="1" t="s">
        <v>7182</v>
      </c>
      <c r="BV2226" s="1">
        <v>1.1</v>
      </c>
      <c r="EQ2226" s="9" t="s">
        <v>7181</v>
      </c>
      <c r="ER2226" s="21">
        <v>46045.30201388889</v>
      </c>
    </row>
    <row r="2227">
      <c r="A2227" s="9" t="s">
        <v>5591</v>
      </c>
      <c r="B2227" s="20" t="str">
        <f>IFERROR(__xludf.DUMMYFUNCTION("REGEXREPLACE(A2227, ""^https?://[^/]+"", """")"),"/sales-agility-assessment/?locationid=26671639")</f>
        <v>/sales-agility-assessment/?locationid=26671639</v>
      </c>
      <c r="C2227" s="1" t="s">
        <v>1381</v>
      </c>
      <c r="F2227" s="1" t="s">
        <v>965</v>
      </c>
      <c r="G2227" s="1">
        <v>200.0</v>
      </c>
      <c r="H2227" s="1" t="s">
        <v>966</v>
      </c>
      <c r="I2227" s="1" t="s">
        <v>1214</v>
      </c>
      <c r="J2227" s="1" t="s">
        <v>1215</v>
      </c>
      <c r="K2227" s="1" t="s">
        <v>1382</v>
      </c>
      <c r="L2227" s="1">
        <v>79.0</v>
      </c>
      <c r="M2227" s="1">
        <v>719.0</v>
      </c>
      <c r="O2227" s="1">
        <v>0.0</v>
      </c>
      <c r="P2227" s="1">
        <v>0.0</v>
      </c>
      <c r="Q2227" s="1" t="s">
        <v>1383</v>
      </c>
      <c r="R2227" s="1">
        <v>155.0</v>
      </c>
      <c r="S2227" s="1">
        <v>970.0</v>
      </c>
      <c r="U2227" s="1">
        <v>0.0</v>
      </c>
      <c r="V2227" s="1" t="s">
        <v>1381</v>
      </c>
      <c r="W2227" s="1">
        <v>31.0</v>
      </c>
      <c r="Y2227" s="1">
        <v>0.0</v>
      </c>
      <c r="AA2227" s="1">
        <v>0.0</v>
      </c>
      <c r="AC2227" s="1">
        <v>0.0</v>
      </c>
      <c r="AD2227" s="1" t="s">
        <v>971</v>
      </c>
      <c r="AG2227" s="9" t="s">
        <v>1380</v>
      </c>
      <c r="AM2227" s="1">
        <v>221355.0</v>
      </c>
      <c r="AN2227" s="1">
        <v>43062.0</v>
      </c>
      <c r="AO2227" s="1">
        <v>43062.0</v>
      </c>
      <c r="AP2227" s="1">
        <v>16.496</v>
      </c>
      <c r="AR2227" s="1">
        <v>1077.0</v>
      </c>
      <c r="AS2227" s="1">
        <v>195.0</v>
      </c>
      <c r="AT2227" s="1">
        <v>5.523</v>
      </c>
      <c r="AU2227" s="1">
        <v>72.247</v>
      </c>
      <c r="AV2227" s="1" t="s">
        <v>1264</v>
      </c>
      <c r="AW2227" s="1">
        <v>5.467</v>
      </c>
      <c r="AX2227" s="1">
        <v>5.0</v>
      </c>
      <c r="AY2227" s="1">
        <v>1.0</v>
      </c>
      <c r="BA2227" s="1">
        <v>0.0</v>
      </c>
      <c r="BB2227" s="1">
        <v>0.0</v>
      </c>
      <c r="BC2227" s="1">
        <v>0.0</v>
      </c>
      <c r="BD2227" s="1">
        <v>0.0</v>
      </c>
      <c r="BE2227" s="1">
        <v>121.0</v>
      </c>
      <c r="BF2227" s="1">
        <v>42.0</v>
      </c>
      <c r="BG2227" s="1">
        <v>0.0</v>
      </c>
      <c r="BH2227" s="1">
        <v>16.0</v>
      </c>
      <c r="BI2227" s="1">
        <v>8.0</v>
      </c>
      <c r="BJ2227" s="1">
        <v>0.0</v>
      </c>
      <c r="BO2227" s="1" t="s">
        <v>7183</v>
      </c>
      <c r="BP2227" s="1">
        <v>1.79</v>
      </c>
      <c r="BU2227" s="1" t="s">
        <v>974</v>
      </c>
      <c r="BV2227" s="1">
        <v>1.1</v>
      </c>
      <c r="EQ2227" s="9" t="s">
        <v>5591</v>
      </c>
      <c r="ER2227" s="21">
        <v>46045.30199074074</v>
      </c>
    </row>
    <row r="2228">
      <c r="A2228" s="9" t="s">
        <v>7184</v>
      </c>
      <c r="B2228" s="20" t="str">
        <f>IFERROR(__xludf.DUMMYFUNCTION("REGEXREPLACE(A2228, ""^https?://[^/]+"", """")"),"/wp-content/uploads/2024/05/Competitive-Positioning-300x200.jpg")</f>
        <v>/wp-content/uploads/2024/05/Competitive-Positioning-300x200.jpg</v>
      </c>
      <c r="F2228" s="1" t="s">
        <v>1004</v>
      </c>
      <c r="G2228" s="1">
        <v>200.0</v>
      </c>
      <c r="H2228" s="1" t="s">
        <v>966</v>
      </c>
      <c r="I2228" s="1" t="s">
        <v>967</v>
      </c>
      <c r="L2228" s="1">
        <v>0.0</v>
      </c>
      <c r="M2228" s="1">
        <v>0.0</v>
      </c>
      <c r="O2228" s="1">
        <v>0.0</v>
      </c>
      <c r="P2228" s="1">
        <v>0.0</v>
      </c>
      <c r="R2228" s="1">
        <v>0.0</v>
      </c>
      <c r="S2228" s="1">
        <v>0.0</v>
      </c>
      <c r="U2228" s="1">
        <v>0.0</v>
      </c>
      <c r="W2228" s="1">
        <v>0.0</v>
      </c>
      <c r="Y2228" s="1">
        <v>0.0</v>
      </c>
      <c r="AA2228" s="1">
        <v>0.0</v>
      </c>
      <c r="AC2228" s="1">
        <v>0.0</v>
      </c>
      <c r="AM2228" s="1">
        <v>19003.0</v>
      </c>
      <c r="AN2228" s="1">
        <v>19003.0</v>
      </c>
      <c r="AO2228" s="1">
        <v>19003.0</v>
      </c>
      <c r="AP2228" s="1">
        <v>7.28</v>
      </c>
      <c r="AR2228" s="1">
        <v>0.0</v>
      </c>
      <c r="AW2228" s="1">
        <v>0.0</v>
      </c>
      <c r="AX2228" s="1">
        <v>5.0</v>
      </c>
      <c r="AY2228" s="1">
        <v>4.0</v>
      </c>
      <c r="BA2228" s="1">
        <v>0.0</v>
      </c>
      <c r="BB2228" s="1">
        <v>0.0</v>
      </c>
      <c r="BC2228" s="1">
        <v>0.0</v>
      </c>
      <c r="BD2228" s="1">
        <v>0.0</v>
      </c>
      <c r="BE2228" s="1">
        <v>0.0</v>
      </c>
      <c r="BF2228" s="1">
        <v>0.0</v>
      </c>
      <c r="BG2228" s="1">
        <v>0.0</v>
      </c>
      <c r="BH2228" s="1">
        <v>0.0</v>
      </c>
      <c r="BI2228" s="1">
        <v>0.0</v>
      </c>
      <c r="BJ2228" s="1">
        <v>0.0</v>
      </c>
      <c r="BP2228" s="1">
        <v>0.278</v>
      </c>
      <c r="BQ2228" s="1" t="s">
        <v>7185</v>
      </c>
      <c r="BV2228" s="1">
        <v>1.1</v>
      </c>
      <c r="EQ2228" s="9" t="s">
        <v>7184</v>
      </c>
      <c r="ER2228" s="21">
        <v>46045.30201388889</v>
      </c>
    </row>
    <row r="2229">
      <c r="A2229" s="9" t="s">
        <v>7186</v>
      </c>
      <c r="B2229" s="20" t="str">
        <f>IFERROR(__xludf.DUMMYFUNCTION("REGEXREPLACE(A2229, ""^https?://[^/]+"", """")"),"/achieving-sales-excellence-choosing-effective-sales-channels-for-b2b-companies-under-100m/")</f>
        <v>/achieving-sales-excellence-choosing-effective-sales-channels-for-b2b-companies-under-100m/</v>
      </c>
      <c r="C2229" s="1" t="s">
        <v>7187</v>
      </c>
      <c r="D2229" s="1" t="s">
        <v>7188</v>
      </c>
      <c r="E2229" s="1" t="s">
        <v>7189</v>
      </c>
      <c r="F2229" s="1" t="s">
        <v>965</v>
      </c>
      <c r="G2229" s="1">
        <v>200.0</v>
      </c>
      <c r="H2229" s="1" t="s">
        <v>966</v>
      </c>
      <c r="I2229" s="1" t="s">
        <v>967</v>
      </c>
      <c r="K2229" s="1" t="s">
        <v>7190</v>
      </c>
      <c r="L2229" s="1">
        <v>116.0</v>
      </c>
      <c r="M2229" s="1">
        <v>1075.0</v>
      </c>
      <c r="O2229" s="1">
        <v>0.0</v>
      </c>
      <c r="P2229" s="1">
        <v>0.0</v>
      </c>
      <c r="Q2229" s="1" t="s">
        <v>7191</v>
      </c>
      <c r="R2229" s="1">
        <v>146.0</v>
      </c>
      <c r="S2229" s="1">
        <v>890.0</v>
      </c>
      <c r="U2229" s="1">
        <v>0.0</v>
      </c>
      <c r="V2229" s="1" t="s">
        <v>7187</v>
      </c>
      <c r="W2229" s="1">
        <v>91.0</v>
      </c>
      <c r="Y2229" s="1">
        <v>0.0</v>
      </c>
      <c r="Z2229" s="1" t="s">
        <v>7188</v>
      </c>
      <c r="AA2229" s="1">
        <v>25.0</v>
      </c>
      <c r="AB2229" s="1" t="s">
        <v>7189</v>
      </c>
      <c r="AC2229" s="1">
        <v>34.0</v>
      </c>
      <c r="AD2229" s="1" t="s">
        <v>971</v>
      </c>
      <c r="AG2229" s="9" t="s">
        <v>7186</v>
      </c>
      <c r="AM2229" s="1">
        <v>212842.0</v>
      </c>
      <c r="AN2229" s="1">
        <v>37258.0</v>
      </c>
      <c r="AO2229" s="1">
        <v>37258.0</v>
      </c>
      <c r="AP2229" s="1">
        <v>14.273</v>
      </c>
      <c r="AR2229" s="1">
        <v>1318.0</v>
      </c>
      <c r="AS2229" s="1">
        <v>219.0</v>
      </c>
      <c r="AT2229" s="1">
        <v>6.018</v>
      </c>
      <c r="AU2229" s="1">
        <v>57.651</v>
      </c>
      <c r="AV2229" s="1" t="s">
        <v>972</v>
      </c>
      <c r="AW2229" s="1">
        <v>5.13</v>
      </c>
      <c r="AX2229" s="1">
        <v>5.0</v>
      </c>
      <c r="AY2229" s="1">
        <v>1.0</v>
      </c>
      <c r="AZ2229" s="1">
        <v>1.0</v>
      </c>
      <c r="BA2229" s="1">
        <v>6.0</v>
      </c>
      <c r="BB2229" s="1">
        <v>2.0</v>
      </c>
      <c r="BC2229" s="1">
        <v>0.0</v>
      </c>
      <c r="BD2229" s="1">
        <v>0.27</v>
      </c>
      <c r="BE2229" s="1">
        <v>138.0</v>
      </c>
      <c r="BF2229" s="1">
        <v>53.0</v>
      </c>
      <c r="BG2229" s="1">
        <v>0.0</v>
      </c>
      <c r="BH2229" s="1">
        <v>16.0</v>
      </c>
      <c r="BI2229" s="1">
        <v>8.0</v>
      </c>
      <c r="BJ2229" s="1">
        <v>0.0</v>
      </c>
      <c r="BO2229" s="1" t="s">
        <v>7192</v>
      </c>
      <c r="BP2229" s="1">
        <v>1.471</v>
      </c>
      <c r="BU2229" s="1" t="s">
        <v>974</v>
      </c>
      <c r="BV2229" s="1">
        <v>1.1</v>
      </c>
      <c r="EQ2229" s="9" t="s">
        <v>7186</v>
      </c>
      <c r="ER2229" s="21">
        <v>46045.30200231481</v>
      </c>
    </row>
    <row r="2230">
      <c r="A2230" s="9" t="s">
        <v>7193</v>
      </c>
      <c r="B2230" s="20" t="str">
        <f>IFERROR(__xludf.DUMMYFUNCTION("REGEXREPLACE(A2230, ""^https?://[^/]+"", """")"),"/achieving-sales-excellence-a-strategic-roadmap-for-b2b-companies-with-revenues-below-100m/")</f>
        <v>/achieving-sales-excellence-a-strategic-roadmap-for-b2b-companies-with-revenues-below-100m/</v>
      </c>
      <c r="C2230" s="1" t="s">
        <v>7194</v>
      </c>
      <c r="D2230" s="1" t="s">
        <v>7195</v>
      </c>
      <c r="E2230" s="1" t="s">
        <v>7196</v>
      </c>
      <c r="F2230" s="1" t="s">
        <v>965</v>
      </c>
      <c r="G2230" s="1">
        <v>200.0</v>
      </c>
      <c r="H2230" s="1" t="s">
        <v>966</v>
      </c>
      <c r="I2230" s="1" t="s">
        <v>967</v>
      </c>
      <c r="K2230" s="1" t="s">
        <v>7197</v>
      </c>
      <c r="L2230" s="1">
        <v>116.0</v>
      </c>
      <c r="M2230" s="1">
        <v>1091.0</v>
      </c>
      <c r="O2230" s="1">
        <v>0.0</v>
      </c>
      <c r="P2230" s="1">
        <v>0.0</v>
      </c>
      <c r="Q2230" s="1" t="s">
        <v>7198</v>
      </c>
      <c r="R2230" s="1">
        <v>138.0</v>
      </c>
      <c r="S2230" s="1">
        <v>892.0</v>
      </c>
      <c r="U2230" s="1">
        <v>0.0</v>
      </c>
      <c r="V2230" s="1" t="s">
        <v>7194</v>
      </c>
      <c r="W2230" s="1">
        <v>91.0</v>
      </c>
      <c r="Y2230" s="1">
        <v>0.0</v>
      </c>
      <c r="Z2230" s="1" t="s">
        <v>7195</v>
      </c>
      <c r="AA2230" s="1">
        <v>33.0</v>
      </c>
      <c r="AB2230" s="1" t="s">
        <v>7196</v>
      </c>
      <c r="AC2230" s="1">
        <v>44.0</v>
      </c>
      <c r="AD2230" s="1" t="s">
        <v>971</v>
      </c>
      <c r="AG2230" s="9" t="s">
        <v>7193</v>
      </c>
      <c r="AM2230" s="1">
        <v>210830.0</v>
      </c>
      <c r="AN2230" s="1">
        <v>36936.0</v>
      </c>
      <c r="AO2230" s="1">
        <v>36936.0</v>
      </c>
      <c r="AP2230" s="1">
        <v>14.149</v>
      </c>
      <c r="AR2230" s="1">
        <v>1295.0</v>
      </c>
      <c r="AS2230" s="1">
        <v>208.0</v>
      </c>
      <c r="AT2230" s="1">
        <v>6.226</v>
      </c>
      <c r="AU2230" s="1">
        <v>54.507</v>
      </c>
      <c r="AV2230" s="1" t="s">
        <v>972</v>
      </c>
      <c r="AW2230" s="1">
        <v>5.114</v>
      </c>
      <c r="AX2230" s="1">
        <v>5.0</v>
      </c>
      <c r="AY2230" s="1">
        <v>1.0</v>
      </c>
      <c r="AZ2230" s="1">
        <v>1.0</v>
      </c>
      <c r="BA2230" s="1">
        <v>9.0</v>
      </c>
      <c r="BB2230" s="1">
        <v>5.0</v>
      </c>
      <c r="BC2230" s="1">
        <v>0.0</v>
      </c>
      <c r="BD2230" s="1">
        <v>0.66</v>
      </c>
      <c r="BE2230" s="1">
        <v>137.0</v>
      </c>
      <c r="BF2230" s="1">
        <v>51.0</v>
      </c>
      <c r="BG2230" s="1">
        <v>0.0</v>
      </c>
      <c r="BH2230" s="1">
        <v>16.0</v>
      </c>
      <c r="BI2230" s="1">
        <v>8.0</v>
      </c>
      <c r="BJ2230" s="1">
        <v>0.0</v>
      </c>
      <c r="BO2230" s="1" t="s">
        <v>7199</v>
      </c>
      <c r="BP2230" s="1">
        <v>1.462</v>
      </c>
      <c r="BU2230" s="1" t="s">
        <v>974</v>
      </c>
      <c r="BV2230" s="1">
        <v>1.1</v>
      </c>
      <c r="EQ2230" s="9" t="s">
        <v>7193</v>
      </c>
      <c r="ER2230" s="21">
        <v>46045.30200231481</v>
      </c>
    </row>
    <row r="2231">
      <c r="A2231" s="9" t="s">
        <v>7200</v>
      </c>
      <c r="B2231" s="20" t="str">
        <f>IFERROR(__xludf.DUMMYFUNCTION("REGEXREPLACE(A2231, ""^https?://[^/]+"", """")"),"/achieving-sales-excellence-competitive-positioning/")</f>
        <v>/achieving-sales-excellence-competitive-positioning/</v>
      </c>
      <c r="C2231" s="1" t="s">
        <v>7201</v>
      </c>
      <c r="D2231" s="1" t="s">
        <v>7202</v>
      </c>
      <c r="E2231" s="1" t="s">
        <v>7203</v>
      </c>
      <c r="F2231" s="1" t="s">
        <v>965</v>
      </c>
      <c r="G2231" s="1">
        <v>200.0</v>
      </c>
      <c r="H2231" s="1" t="s">
        <v>966</v>
      </c>
      <c r="I2231" s="1" t="s">
        <v>967</v>
      </c>
      <c r="K2231" s="1" t="s">
        <v>7204</v>
      </c>
      <c r="L2231" s="1">
        <v>76.0</v>
      </c>
      <c r="M2231" s="1">
        <v>680.0</v>
      </c>
      <c r="O2231" s="1">
        <v>0.0</v>
      </c>
      <c r="P2231" s="1">
        <v>0.0</v>
      </c>
      <c r="Q2231" s="1" t="s">
        <v>7205</v>
      </c>
      <c r="R2231" s="1">
        <v>153.0</v>
      </c>
      <c r="S2231" s="1">
        <v>940.0</v>
      </c>
      <c r="U2231" s="1">
        <v>0.0</v>
      </c>
      <c r="V2231" s="1" t="s">
        <v>7201</v>
      </c>
      <c r="W2231" s="1">
        <v>51.0</v>
      </c>
      <c r="Y2231" s="1">
        <v>0.0</v>
      </c>
      <c r="Z2231" s="1" t="s">
        <v>7202</v>
      </c>
      <c r="AA2231" s="1">
        <v>37.0</v>
      </c>
      <c r="AB2231" s="1" t="s">
        <v>7203</v>
      </c>
      <c r="AC2231" s="1">
        <v>56.0</v>
      </c>
      <c r="AD2231" s="1" t="s">
        <v>971</v>
      </c>
      <c r="AG2231" s="9" t="s">
        <v>7200</v>
      </c>
      <c r="AM2231" s="1">
        <v>215088.0</v>
      </c>
      <c r="AN2231" s="1">
        <v>37291.0</v>
      </c>
      <c r="AO2231" s="1">
        <v>37291.0</v>
      </c>
      <c r="AP2231" s="1">
        <v>14.285</v>
      </c>
      <c r="AR2231" s="1">
        <v>1310.0</v>
      </c>
      <c r="AS2231" s="1">
        <v>221.0</v>
      </c>
      <c r="AT2231" s="1">
        <v>5.928</v>
      </c>
      <c r="AU2231" s="1">
        <v>51.186</v>
      </c>
      <c r="AV2231" s="1" t="s">
        <v>972</v>
      </c>
      <c r="AW2231" s="1">
        <v>5.146</v>
      </c>
      <c r="AX2231" s="1">
        <v>5.0</v>
      </c>
      <c r="AY2231" s="1">
        <v>1.0</v>
      </c>
      <c r="AZ2231" s="1">
        <v>1.0</v>
      </c>
      <c r="BA2231" s="1">
        <v>6.0</v>
      </c>
      <c r="BB2231" s="1">
        <v>2.0</v>
      </c>
      <c r="BC2231" s="1">
        <v>0.0</v>
      </c>
      <c r="BD2231" s="1">
        <v>0.27</v>
      </c>
      <c r="BE2231" s="1">
        <v>139.0</v>
      </c>
      <c r="BF2231" s="1">
        <v>54.0</v>
      </c>
      <c r="BG2231" s="1">
        <v>0.0</v>
      </c>
      <c r="BH2231" s="1">
        <v>16.0</v>
      </c>
      <c r="BI2231" s="1">
        <v>8.0</v>
      </c>
      <c r="BJ2231" s="1">
        <v>0.0</v>
      </c>
      <c r="BO2231" s="1" t="s">
        <v>7206</v>
      </c>
      <c r="BP2231" s="1">
        <v>1.087</v>
      </c>
      <c r="BU2231" s="1" t="s">
        <v>974</v>
      </c>
      <c r="BV2231" s="1">
        <v>1.1</v>
      </c>
      <c r="EQ2231" s="9" t="s">
        <v>7200</v>
      </c>
      <c r="ER2231" s="21">
        <v>46045.30201388889</v>
      </c>
    </row>
    <row r="2232">
      <c r="A2232" s="9" t="s">
        <v>7207</v>
      </c>
      <c r="B2232" s="20" t="str">
        <f>IFERROR(__xludf.DUMMYFUNCTION("REGEXREPLACE(A2232, ""^https?://[^/]+"", """")"),"/achieving-sales-excellence-defining-the-target-market-for-b2b-companies-under-100m/")</f>
        <v>/achieving-sales-excellence-defining-the-target-market-for-b2b-companies-under-100m/</v>
      </c>
      <c r="C2232" s="1" t="s">
        <v>7208</v>
      </c>
      <c r="D2232" s="1" t="s">
        <v>7209</v>
      </c>
      <c r="E2232" s="1" t="s">
        <v>7210</v>
      </c>
      <c r="F2232" s="1" t="s">
        <v>965</v>
      </c>
      <c r="G2232" s="1">
        <v>200.0</v>
      </c>
      <c r="H2232" s="1" t="s">
        <v>966</v>
      </c>
      <c r="I2232" s="1" t="s">
        <v>967</v>
      </c>
      <c r="K2232" s="1" t="s">
        <v>7211</v>
      </c>
      <c r="L2232" s="1">
        <v>109.0</v>
      </c>
      <c r="M2232" s="1">
        <v>1006.0</v>
      </c>
      <c r="O2232" s="1">
        <v>0.0</v>
      </c>
      <c r="P2232" s="1">
        <v>0.0</v>
      </c>
      <c r="Q2232" s="1" t="s">
        <v>7212</v>
      </c>
      <c r="R2232" s="1">
        <v>152.0</v>
      </c>
      <c r="S2232" s="1">
        <v>933.0</v>
      </c>
      <c r="U2232" s="1">
        <v>0.0</v>
      </c>
      <c r="V2232" s="1" t="s">
        <v>7208</v>
      </c>
      <c r="W2232" s="1">
        <v>84.0</v>
      </c>
      <c r="Y2232" s="1">
        <v>0.0</v>
      </c>
      <c r="Z2232" s="1" t="s">
        <v>7209</v>
      </c>
      <c r="AA2232" s="1">
        <v>29.0</v>
      </c>
      <c r="AB2232" s="1" t="s">
        <v>7210</v>
      </c>
      <c r="AC2232" s="1">
        <v>42.0</v>
      </c>
      <c r="AD2232" s="1" t="s">
        <v>971</v>
      </c>
      <c r="AG2232" s="9" t="s">
        <v>7207</v>
      </c>
      <c r="AM2232" s="1">
        <v>210558.0</v>
      </c>
      <c r="AN2232" s="1">
        <v>36457.0</v>
      </c>
      <c r="AO2232" s="1">
        <v>36457.0</v>
      </c>
      <c r="AP2232" s="1">
        <v>13.966</v>
      </c>
      <c r="AR2232" s="1">
        <v>1395.0</v>
      </c>
      <c r="AS2232" s="1">
        <v>231.0</v>
      </c>
      <c r="AT2232" s="1">
        <v>6.039</v>
      </c>
      <c r="AU2232" s="1">
        <v>56.431</v>
      </c>
      <c r="AV2232" s="1" t="s">
        <v>972</v>
      </c>
      <c r="AW2232" s="1">
        <v>5.417</v>
      </c>
      <c r="AX2232" s="1">
        <v>5.0</v>
      </c>
      <c r="AY2232" s="1">
        <v>1.0</v>
      </c>
      <c r="AZ2232" s="1">
        <v>1.0</v>
      </c>
      <c r="BA2232" s="1">
        <v>8.0</v>
      </c>
      <c r="BB2232" s="1">
        <v>4.0</v>
      </c>
      <c r="BC2232" s="1">
        <v>0.0</v>
      </c>
      <c r="BD2232" s="1">
        <v>0.53</v>
      </c>
      <c r="BE2232" s="1">
        <v>136.0</v>
      </c>
      <c r="BF2232" s="1">
        <v>51.0</v>
      </c>
      <c r="BG2232" s="1">
        <v>0.0</v>
      </c>
      <c r="BH2232" s="1">
        <v>16.0</v>
      </c>
      <c r="BI2232" s="1">
        <v>8.0</v>
      </c>
      <c r="BJ2232" s="1">
        <v>0.0</v>
      </c>
      <c r="BO2232" s="1" t="s">
        <v>7213</v>
      </c>
      <c r="BP2232" s="1">
        <v>1.068</v>
      </c>
      <c r="BU2232" s="1" t="s">
        <v>974</v>
      </c>
      <c r="BV2232" s="1">
        <v>1.1</v>
      </c>
      <c r="EQ2232" s="9" t="s">
        <v>7207</v>
      </c>
      <c r="ER2232" s="21">
        <v>46045.30201388889</v>
      </c>
    </row>
    <row r="2233">
      <c r="A2233" s="9" t="s">
        <v>7214</v>
      </c>
      <c r="B2233" s="20" t="str">
        <f>IFERROR(__xludf.DUMMYFUNCTION("REGEXREPLACE(A2233, ""^https?://[^/]+"", """")"),"/how-to-build-strong-business-relationships-a-guide-to-effective-sales/")</f>
        <v>/how-to-build-strong-business-relationships-a-guide-to-effective-sales/</v>
      </c>
      <c r="C2233" s="1" t="s">
        <v>7215</v>
      </c>
      <c r="D2233" s="1" t="s">
        <v>7216</v>
      </c>
      <c r="E2233" s="1" t="s">
        <v>7217</v>
      </c>
      <c r="F2233" s="1" t="s">
        <v>965</v>
      </c>
      <c r="G2233" s="1">
        <v>200.0</v>
      </c>
      <c r="H2233" s="1" t="s">
        <v>966</v>
      </c>
      <c r="I2233" s="1" t="s">
        <v>967</v>
      </c>
      <c r="K2233" s="1" t="s">
        <v>7218</v>
      </c>
      <c r="L2233" s="1">
        <v>95.0</v>
      </c>
      <c r="M2233" s="1">
        <v>842.0</v>
      </c>
      <c r="O2233" s="1">
        <v>0.0</v>
      </c>
      <c r="P2233" s="1">
        <v>0.0</v>
      </c>
      <c r="Q2233" s="1" t="s">
        <v>7219</v>
      </c>
      <c r="R2233" s="1">
        <v>141.0</v>
      </c>
      <c r="S2233" s="1">
        <v>854.0</v>
      </c>
      <c r="U2233" s="1">
        <v>0.0</v>
      </c>
      <c r="V2233" s="1" t="s">
        <v>7215</v>
      </c>
      <c r="W2233" s="1">
        <v>70.0</v>
      </c>
      <c r="Y2233" s="1">
        <v>0.0</v>
      </c>
      <c r="Z2233" s="1" t="s">
        <v>7216</v>
      </c>
      <c r="AA2233" s="1">
        <v>25.0</v>
      </c>
      <c r="AB2233" s="1" t="s">
        <v>7217</v>
      </c>
      <c r="AC2233" s="1">
        <v>12.0</v>
      </c>
      <c r="AD2233" s="1" t="s">
        <v>971</v>
      </c>
      <c r="AG2233" s="9" t="s">
        <v>7214</v>
      </c>
      <c r="AM2233" s="1">
        <v>202105.0</v>
      </c>
      <c r="AN2233" s="1">
        <v>35734.0</v>
      </c>
      <c r="AO2233" s="1">
        <v>35734.0</v>
      </c>
      <c r="AP2233" s="1">
        <v>13.689</v>
      </c>
      <c r="AR2233" s="1">
        <v>1222.0</v>
      </c>
      <c r="AS2233" s="1">
        <v>190.0</v>
      </c>
      <c r="AT2233" s="1">
        <v>6.432</v>
      </c>
      <c r="AU2233" s="1">
        <v>59.492</v>
      </c>
      <c r="AV2233" s="1" t="s">
        <v>972</v>
      </c>
      <c r="AW2233" s="1">
        <v>5.013</v>
      </c>
      <c r="AX2233" s="1">
        <v>5.0</v>
      </c>
      <c r="AY2233" s="1">
        <v>1.0</v>
      </c>
      <c r="AZ2233" s="1">
        <v>1.0</v>
      </c>
      <c r="BA2233" s="1">
        <v>3.0</v>
      </c>
      <c r="BB2233" s="1">
        <v>1.0</v>
      </c>
      <c r="BC2233" s="1">
        <v>0.0</v>
      </c>
      <c r="BD2233" s="1">
        <v>0.13</v>
      </c>
      <c r="BE2233" s="1">
        <v>131.0</v>
      </c>
      <c r="BF2233" s="1">
        <v>48.0</v>
      </c>
      <c r="BG2233" s="1">
        <v>0.0</v>
      </c>
      <c r="BH2233" s="1">
        <v>16.0</v>
      </c>
      <c r="BI2233" s="1">
        <v>8.0</v>
      </c>
      <c r="BJ2233" s="1">
        <v>0.0</v>
      </c>
      <c r="BO2233" s="1" t="s">
        <v>7220</v>
      </c>
      <c r="BP2233" s="1">
        <v>1.009</v>
      </c>
      <c r="BU2233" s="1" t="s">
        <v>974</v>
      </c>
      <c r="BV2233" s="1">
        <v>1.1</v>
      </c>
      <c r="EQ2233" s="9" t="s">
        <v>7214</v>
      </c>
      <c r="ER2233" s="21">
        <v>46045.30201388889</v>
      </c>
    </row>
    <row r="2234">
      <c r="A2234" s="9" t="s">
        <v>7221</v>
      </c>
      <c r="B2234" s="20" t="str">
        <f>IFERROR(__xludf.DUMMYFUNCTION("REGEXREPLACE(A2234, ""^https?://[^/]+"", """")"),"/wp-content/uploads/2024/06/Choosing-Effective-Sales-Channels-300x224.jpg")</f>
        <v>/wp-content/uploads/2024/06/Choosing-Effective-Sales-Channels-300x224.jpg</v>
      </c>
      <c r="F2234" s="1" t="s">
        <v>1004</v>
      </c>
      <c r="G2234" s="1">
        <v>200.0</v>
      </c>
      <c r="H2234" s="1" t="s">
        <v>966</v>
      </c>
      <c r="I2234" s="1" t="s">
        <v>967</v>
      </c>
      <c r="L2234" s="1">
        <v>0.0</v>
      </c>
      <c r="M2234" s="1">
        <v>0.0</v>
      </c>
      <c r="O2234" s="1">
        <v>0.0</v>
      </c>
      <c r="P2234" s="1">
        <v>0.0</v>
      </c>
      <c r="R2234" s="1">
        <v>0.0</v>
      </c>
      <c r="S2234" s="1">
        <v>0.0</v>
      </c>
      <c r="U2234" s="1">
        <v>0.0</v>
      </c>
      <c r="W2234" s="1">
        <v>0.0</v>
      </c>
      <c r="Y2234" s="1">
        <v>0.0</v>
      </c>
      <c r="AA2234" s="1">
        <v>0.0</v>
      </c>
      <c r="AC2234" s="1">
        <v>0.0</v>
      </c>
      <c r="AM2234" s="1">
        <v>13506.0</v>
      </c>
      <c r="AN2234" s="1">
        <v>13506.0</v>
      </c>
      <c r="AO2234" s="1">
        <v>13506.0</v>
      </c>
      <c r="AP2234" s="1">
        <v>5.174</v>
      </c>
      <c r="AR2234" s="1">
        <v>0.0</v>
      </c>
      <c r="AW2234" s="1">
        <v>0.0</v>
      </c>
      <c r="AX2234" s="1">
        <v>5.0</v>
      </c>
      <c r="AY2234" s="1">
        <v>4.0</v>
      </c>
      <c r="BA2234" s="1">
        <v>0.0</v>
      </c>
      <c r="BB2234" s="1">
        <v>0.0</v>
      </c>
      <c r="BC2234" s="1">
        <v>0.0</v>
      </c>
      <c r="BD2234" s="1">
        <v>0.0</v>
      </c>
      <c r="BE2234" s="1">
        <v>0.0</v>
      </c>
      <c r="BF2234" s="1">
        <v>0.0</v>
      </c>
      <c r="BG2234" s="1">
        <v>0.0</v>
      </c>
      <c r="BH2234" s="1">
        <v>0.0</v>
      </c>
      <c r="BI2234" s="1">
        <v>0.0</v>
      </c>
      <c r="BJ2234" s="1">
        <v>0.0</v>
      </c>
      <c r="BP2234" s="1">
        <v>0.28</v>
      </c>
      <c r="BQ2234" s="1" t="s">
        <v>7222</v>
      </c>
      <c r="BV2234" s="1">
        <v>1.1</v>
      </c>
      <c r="EQ2234" s="9" t="s">
        <v>7221</v>
      </c>
      <c r="ER2234" s="21">
        <v>46045.30202546297</v>
      </c>
    </row>
    <row r="2235">
      <c r="A2235" s="9" t="s">
        <v>7223</v>
      </c>
      <c r="B2235" s="20" t="str">
        <f>IFERROR(__xludf.DUMMYFUNCTION("REGEXREPLACE(A2235, ""^https?://[^/]+"", """")"),"/wp-content/themes/salesxceleratione/assets/css/style.css?ver=1769123612")</f>
        <v>/wp-content/themes/salesxceleratione/assets/css/style.css?ver=1769123612</v>
      </c>
      <c r="F2235" s="1" t="s">
        <v>1016</v>
      </c>
      <c r="G2235" s="1">
        <v>200.0</v>
      </c>
      <c r="H2235" s="1" t="s">
        <v>966</v>
      </c>
      <c r="I2235" s="1" t="s">
        <v>967</v>
      </c>
      <c r="L2235" s="1">
        <v>0.0</v>
      </c>
      <c r="M2235" s="1">
        <v>0.0</v>
      </c>
      <c r="O2235" s="1">
        <v>0.0</v>
      </c>
      <c r="P2235" s="1">
        <v>0.0</v>
      </c>
      <c r="R2235" s="1">
        <v>0.0</v>
      </c>
      <c r="S2235" s="1">
        <v>0.0</v>
      </c>
      <c r="U2235" s="1">
        <v>0.0</v>
      </c>
      <c r="W2235" s="1">
        <v>0.0</v>
      </c>
      <c r="Y2235" s="1">
        <v>0.0</v>
      </c>
      <c r="AA2235" s="1">
        <v>0.0</v>
      </c>
      <c r="AC2235" s="1">
        <v>0.0</v>
      </c>
      <c r="AM2235" s="1">
        <v>17704.0</v>
      </c>
      <c r="AN2235" s="1">
        <v>17704.0</v>
      </c>
      <c r="AO2235" s="1">
        <v>17704.0</v>
      </c>
      <c r="AP2235" s="1">
        <v>6.782</v>
      </c>
      <c r="AR2235" s="1">
        <v>0.0</v>
      </c>
      <c r="AW2235" s="1">
        <v>0.0</v>
      </c>
      <c r="AX2235" s="1">
        <v>5.0</v>
      </c>
      <c r="AY2235" s="1">
        <v>5.0</v>
      </c>
      <c r="BA2235" s="1">
        <v>0.0</v>
      </c>
      <c r="BB2235" s="1">
        <v>0.0</v>
      </c>
      <c r="BC2235" s="1">
        <v>0.0</v>
      </c>
      <c r="BD2235" s="1">
        <v>0.0</v>
      </c>
      <c r="BE2235" s="1">
        <v>0.0</v>
      </c>
      <c r="BF2235" s="1">
        <v>0.0</v>
      </c>
      <c r="BG2235" s="1">
        <v>0.0</v>
      </c>
      <c r="BH2235" s="1">
        <v>0.0</v>
      </c>
      <c r="BI2235" s="1">
        <v>0.0</v>
      </c>
      <c r="BJ2235" s="1">
        <v>0.0</v>
      </c>
      <c r="BP2235" s="1">
        <v>0.266</v>
      </c>
      <c r="BQ2235" s="1" t="s">
        <v>7224</v>
      </c>
      <c r="BV2235" s="1">
        <v>1.1</v>
      </c>
      <c r="EQ2235" s="9" t="s">
        <v>7223</v>
      </c>
      <c r="ER2235" s="21">
        <v>46045.30202546297</v>
      </c>
    </row>
    <row r="2236">
      <c r="A2236" s="9" t="s">
        <v>7225</v>
      </c>
      <c r="B2236" s="20" t="str">
        <f>IFERROR(__xludf.DUMMYFUNCTION("REGEXREPLACE(A2236, ""^https?://[^/]+"", """")"),"/wp-content/uploads/2023/03/Prospecting-with-meaningful-conversations-300x218.jpg")</f>
        <v>/wp-content/uploads/2023/03/Prospecting-with-meaningful-conversations-300x218.jpg</v>
      </c>
      <c r="F2236" s="1" t="s">
        <v>1004</v>
      </c>
      <c r="G2236" s="1">
        <v>200.0</v>
      </c>
      <c r="H2236" s="1" t="s">
        <v>966</v>
      </c>
      <c r="I2236" s="1" t="s">
        <v>967</v>
      </c>
      <c r="L2236" s="1">
        <v>0.0</v>
      </c>
      <c r="M2236" s="1">
        <v>0.0</v>
      </c>
      <c r="O2236" s="1">
        <v>0.0</v>
      </c>
      <c r="P2236" s="1">
        <v>0.0</v>
      </c>
      <c r="R2236" s="1">
        <v>0.0</v>
      </c>
      <c r="S2236" s="1">
        <v>0.0</v>
      </c>
      <c r="U2236" s="1">
        <v>0.0</v>
      </c>
      <c r="W2236" s="1">
        <v>0.0</v>
      </c>
      <c r="Y2236" s="1">
        <v>0.0</v>
      </c>
      <c r="AA2236" s="1">
        <v>0.0</v>
      </c>
      <c r="AC2236" s="1">
        <v>0.0</v>
      </c>
      <c r="AM2236" s="1">
        <v>21220.0</v>
      </c>
      <c r="AN2236" s="1">
        <v>21220.0</v>
      </c>
      <c r="AO2236" s="1">
        <v>21220.0</v>
      </c>
      <c r="AP2236" s="1">
        <v>8.129</v>
      </c>
      <c r="AR2236" s="1">
        <v>0.0</v>
      </c>
      <c r="AW2236" s="1">
        <v>0.0</v>
      </c>
      <c r="AX2236" s="1">
        <v>5.0</v>
      </c>
      <c r="AY2236" s="1">
        <v>4.0</v>
      </c>
      <c r="BA2236" s="1">
        <v>0.0</v>
      </c>
      <c r="BB2236" s="1">
        <v>0.0</v>
      </c>
      <c r="BC2236" s="1">
        <v>0.0</v>
      </c>
      <c r="BD2236" s="1">
        <v>0.0</v>
      </c>
      <c r="BE2236" s="1">
        <v>0.0</v>
      </c>
      <c r="BF2236" s="1">
        <v>0.0</v>
      </c>
      <c r="BG2236" s="1">
        <v>0.0</v>
      </c>
      <c r="BH2236" s="1">
        <v>0.0</v>
      </c>
      <c r="BI2236" s="1">
        <v>0.0</v>
      </c>
      <c r="BJ2236" s="1">
        <v>0.0</v>
      </c>
      <c r="BP2236" s="1">
        <v>0.268</v>
      </c>
      <c r="BQ2236" s="1" t="s">
        <v>7226</v>
      </c>
      <c r="BV2236" s="1">
        <v>1.1</v>
      </c>
      <c r="EQ2236" s="9" t="s">
        <v>7225</v>
      </c>
      <c r="ER2236" s="21">
        <v>46045.302037037036</v>
      </c>
    </row>
    <row r="2237">
      <c r="A2237" s="9" t="s">
        <v>7227</v>
      </c>
      <c r="B2237" s="20" t="str">
        <f>IFERROR(__xludf.DUMMYFUNCTION("REGEXREPLACE(A2237, ""^https?://[^/]+"", """")"),"/wp-content/themes/salesxceleratione/assets/css/style.css?ver=1769123613")</f>
        <v>/wp-content/themes/salesxceleratione/assets/css/style.css?ver=1769123613</v>
      </c>
      <c r="F2237" s="1" t="s">
        <v>1016</v>
      </c>
      <c r="G2237" s="1">
        <v>200.0</v>
      </c>
      <c r="H2237" s="1" t="s">
        <v>966</v>
      </c>
      <c r="I2237" s="1" t="s">
        <v>967</v>
      </c>
      <c r="L2237" s="1">
        <v>0.0</v>
      </c>
      <c r="M2237" s="1">
        <v>0.0</v>
      </c>
      <c r="O2237" s="1">
        <v>0.0</v>
      </c>
      <c r="P2237" s="1">
        <v>0.0</v>
      </c>
      <c r="R2237" s="1">
        <v>0.0</v>
      </c>
      <c r="S2237" s="1">
        <v>0.0</v>
      </c>
      <c r="U2237" s="1">
        <v>0.0</v>
      </c>
      <c r="W2237" s="1">
        <v>0.0</v>
      </c>
      <c r="Y2237" s="1">
        <v>0.0</v>
      </c>
      <c r="AA2237" s="1">
        <v>0.0</v>
      </c>
      <c r="AC2237" s="1">
        <v>0.0</v>
      </c>
      <c r="AM2237" s="1">
        <v>17704.0</v>
      </c>
      <c r="AN2237" s="1">
        <v>17704.0</v>
      </c>
      <c r="AO2237" s="1">
        <v>17704.0</v>
      </c>
      <c r="AP2237" s="1">
        <v>6.782</v>
      </c>
      <c r="AR2237" s="1">
        <v>0.0</v>
      </c>
      <c r="AW2237" s="1">
        <v>0.0</v>
      </c>
      <c r="AX2237" s="1">
        <v>5.0</v>
      </c>
      <c r="AY2237" s="1">
        <v>5.0</v>
      </c>
      <c r="BA2237" s="1">
        <v>0.0</v>
      </c>
      <c r="BB2237" s="1">
        <v>0.0</v>
      </c>
      <c r="BC2237" s="1">
        <v>0.0</v>
      </c>
      <c r="BD2237" s="1">
        <v>0.0</v>
      </c>
      <c r="BE2237" s="1">
        <v>0.0</v>
      </c>
      <c r="BF2237" s="1">
        <v>0.0</v>
      </c>
      <c r="BG2237" s="1">
        <v>0.0</v>
      </c>
      <c r="BH2237" s="1">
        <v>0.0</v>
      </c>
      <c r="BI2237" s="1">
        <v>0.0</v>
      </c>
      <c r="BJ2237" s="1">
        <v>0.0</v>
      </c>
      <c r="BP2237" s="1">
        <v>0.278</v>
      </c>
      <c r="BQ2237" s="1" t="s">
        <v>7228</v>
      </c>
      <c r="BV2237" s="1">
        <v>1.1</v>
      </c>
      <c r="EQ2237" s="9" t="s">
        <v>7227</v>
      </c>
      <c r="ER2237" s="21">
        <v>46045.302037037036</v>
      </c>
    </row>
    <row r="2238">
      <c r="A2238" s="9" t="s">
        <v>7229</v>
      </c>
      <c r="B2238" s="20" t="str">
        <f>IFERROR(__xludf.DUMMYFUNCTION("REGEXREPLACE(A2238, ""^https?://[^/]+"", """")"),"/wp-content/uploads/2015/03/find-right-salesperson-sales-team.png")</f>
        <v>/wp-content/uploads/2015/03/find-right-salesperson-sales-team.png</v>
      </c>
      <c r="F2238" s="1" t="s">
        <v>1047</v>
      </c>
      <c r="G2238" s="1">
        <v>200.0</v>
      </c>
      <c r="H2238" s="1" t="s">
        <v>966</v>
      </c>
      <c r="I2238" s="1" t="s">
        <v>967</v>
      </c>
      <c r="L2238" s="1">
        <v>0.0</v>
      </c>
      <c r="M2238" s="1">
        <v>0.0</v>
      </c>
      <c r="O2238" s="1">
        <v>0.0</v>
      </c>
      <c r="P2238" s="1">
        <v>0.0</v>
      </c>
      <c r="R2238" s="1">
        <v>0.0</v>
      </c>
      <c r="S2238" s="1">
        <v>0.0</v>
      </c>
      <c r="U2238" s="1">
        <v>0.0</v>
      </c>
      <c r="W2238" s="1">
        <v>0.0</v>
      </c>
      <c r="Y2238" s="1">
        <v>0.0</v>
      </c>
      <c r="AA2238" s="1">
        <v>0.0</v>
      </c>
      <c r="AC2238" s="1">
        <v>0.0</v>
      </c>
      <c r="AM2238" s="1">
        <v>96435.0</v>
      </c>
      <c r="AN2238" s="1">
        <v>96435.0</v>
      </c>
      <c r="AO2238" s="1">
        <v>96435.0</v>
      </c>
      <c r="AP2238" s="1">
        <v>36.942</v>
      </c>
      <c r="AR2238" s="1">
        <v>0.0</v>
      </c>
      <c r="AW2238" s="1">
        <v>0.0</v>
      </c>
      <c r="AX2238" s="1">
        <v>5.0</v>
      </c>
      <c r="AY2238" s="1">
        <v>4.0</v>
      </c>
      <c r="BA2238" s="1">
        <v>0.0</v>
      </c>
      <c r="BB2238" s="1">
        <v>0.0</v>
      </c>
      <c r="BC2238" s="1">
        <v>0.0</v>
      </c>
      <c r="BD2238" s="1">
        <v>0.0</v>
      </c>
      <c r="BE2238" s="1">
        <v>0.0</v>
      </c>
      <c r="BF2238" s="1">
        <v>0.0</v>
      </c>
      <c r="BG2238" s="1">
        <v>0.0</v>
      </c>
      <c r="BH2238" s="1">
        <v>0.0</v>
      </c>
      <c r="BI2238" s="1">
        <v>0.0</v>
      </c>
      <c r="BJ2238" s="1">
        <v>0.0</v>
      </c>
      <c r="BP2238" s="1">
        <v>0.279</v>
      </c>
      <c r="BQ2238" s="1" t="s">
        <v>7230</v>
      </c>
      <c r="BV2238" s="1">
        <v>1.1</v>
      </c>
      <c r="EQ2238" s="9" t="s">
        <v>7229</v>
      </c>
      <c r="ER2238" s="21">
        <v>46045.302037037036</v>
      </c>
    </row>
    <row r="2239">
      <c r="A2239" s="9" t="s">
        <v>7231</v>
      </c>
      <c r="B2239" s="20" t="str">
        <f>IFERROR(__xludf.DUMMYFUNCTION("REGEXREPLACE(A2239, ""^https?://[^/]+"", """")"),"/how-to-define-your-ideal-salesperson-and-avoid-making-a-hiring-mistake")</f>
        <v>/how-to-define-your-ideal-salesperson-and-avoid-making-a-hiring-mistake</v>
      </c>
      <c r="F2239" s="1" t="s">
        <v>965</v>
      </c>
      <c r="G2239" s="1">
        <v>301.0</v>
      </c>
      <c r="H2239" s="1" t="s">
        <v>1304</v>
      </c>
      <c r="I2239" s="1" t="s">
        <v>1214</v>
      </c>
      <c r="J2239" s="1" t="s">
        <v>1305</v>
      </c>
      <c r="L2239" s="1">
        <v>0.0</v>
      </c>
      <c r="M2239" s="1">
        <v>0.0</v>
      </c>
      <c r="O2239" s="1">
        <v>0.0</v>
      </c>
      <c r="P2239" s="1">
        <v>0.0</v>
      </c>
      <c r="R2239" s="1">
        <v>0.0</v>
      </c>
      <c r="S2239" s="1">
        <v>0.0</v>
      </c>
      <c r="U2239" s="1">
        <v>0.0</v>
      </c>
      <c r="W2239" s="1">
        <v>0.0</v>
      </c>
      <c r="Y2239" s="1">
        <v>0.0</v>
      </c>
      <c r="AA2239" s="1">
        <v>0.0</v>
      </c>
      <c r="AC2239" s="1">
        <v>0.0</v>
      </c>
      <c r="AM2239" s="1">
        <v>0.0</v>
      </c>
      <c r="AN2239" s="1">
        <v>0.0</v>
      </c>
      <c r="AO2239" s="1">
        <v>0.0</v>
      </c>
      <c r="AP2239" s="1">
        <v>0.0</v>
      </c>
      <c r="AR2239" s="1">
        <v>0.0</v>
      </c>
      <c r="AW2239" s="1">
        <v>0.0</v>
      </c>
      <c r="AX2239" s="1">
        <v>5.0</v>
      </c>
      <c r="AY2239" s="1">
        <v>0.0</v>
      </c>
      <c r="BA2239" s="1">
        <v>2.0</v>
      </c>
      <c r="BB2239" s="1">
        <v>2.0</v>
      </c>
      <c r="BC2239" s="1">
        <v>0.0</v>
      </c>
      <c r="BD2239" s="1">
        <v>0.27</v>
      </c>
      <c r="BE2239" s="1">
        <v>0.0</v>
      </c>
      <c r="BF2239" s="1">
        <v>0.0</v>
      </c>
      <c r="BG2239" s="1">
        <v>0.0</v>
      </c>
      <c r="BH2239" s="1">
        <v>0.0</v>
      </c>
      <c r="BI2239" s="1">
        <v>0.0</v>
      </c>
      <c r="BJ2239" s="1">
        <v>0.0</v>
      </c>
      <c r="BP2239" s="1">
        <v>0.901</v>
      </c>
      <c r="BR2239" s="9" t="s">
        <v>5956</v>
      </c>
      <c r="BS2239" s="1" t="s">
        <v>1307</v>
      </c>
      <c r="BV2239" s="1">
        <v>1.1</v>
      </c>
      <c r="EQ2239" s="9" t="s">
        <v>7231</v>
      </c>
      <c r="ER2239" s="21">
        <v>46045.302037037036</v>
      </c>
    </row>
    <row r="2240">
      <c r="A2240" s="9" t="s">
        <v>7232</v>
      </c>
      <c r="B2240" s="20" t="str">
        <f>IFERROR(__xludf.DUMMYFUNCTION("REGEXREPLACE(A2240, ""^https?://[^/]+"", """")"),"/prospecting-more-than-a-numbers-game/")</f>
        <v>/prospecting-more-than-a-numbers-game/</v>
      </c>
      <c r="C2240" s="1" t="s">
        <v>7233</v>
      </c>
      <c r="D2240" s="1" t="s">
        <v>7234</v>
      </c>
      <c r="E2240" s="1" t="s">
        <v>7235</v>
      </c>
      <c r="F2240" s="1" t="s">
        <v>965</v>
      </c>
      <c r="G2240" s="1">
        <v>200.0</v>
      </c>
      <c r="H2240" s="1" t="s">
        <v>966</v>
      </c>
      <c r="I2240" s="1" t="s">
        <v>967</v>
      </c>
      <c r="K2240" s="1" t="s">
        <v>7236</v>
      </c>
      <c r="L2240" s="1">
        <v>62.0</v>
      </c>
      <c r="M2240" s="1">
        <v>590.0</v>
      </c>
      <c r="O2240" s="1">
        <v>0.0</v>
      </c>
      <c r="P2240" s="1">
        <v>0.0</v>
      </c>
      <c r="Q2240" s="1" t="s">
        <v>7237</v>
      </c>
      <c r="R2240" s="1">
        <v>140.0</v>
      </c>
      <c r="S2240" s="1">
        <v>855.0</v>
      </c>
      <c r="U2240" s="1">
        <v>0.0</v>
      </c>
      <c r="V2240" s="1" t="s">
        <v>7233</v>
      </c>
      <c r="W2240" s="1">
        <v>37.0</v>
      </c>
      <c r="Y2240" s="1">
        <v>0.0</v>
      </c>
      <c r="Z2240" s="1" t="s">
        <v>7234</v>
      </c>
      <c r="AA2240" s="1">
        <v>26.0</v>
      </c>
      <c r="AB2240" s="1" t="s">
        <v>7235</v>
      </c>
      <c r="AC2240" s="1">
        <v>18.0</v>
      </c>
      <c r="AD2240" s="1" t="s">
        <v>971</v>
      </c>
      <c r="AG2240" s="9" t="s">
        <v>7232</v>
      </c>
      <c r="AM2240" s="1">
        <v>202482.0</v>
      </c>
      <c r="AN2240" s="1">
        <v>35763.0</v>
      </c>
      <c r="AO2240" s="1">
        <v>35763.0</v>
      </c>
      <c r="AP2240" s="1">
        <v>13.7</v>
      </c>
      <c r="AR2240" s="1">
        <v>1175.0</v>
      </c>
      <c r="AS2240" s="1">
        <v>181.0</v>
      </c>
      <c r="AT2240" s="1">
        <v>6.492</v>
      </c>
      <c r="AU2240" s="1">
        <v>64.526</v>
      </c>
      <c r="AV2240" s="1" t="s">
        <v>990</v>
      </c>
      <c r="AW2240" s="1">
        <v>4.797</v>
      </c>
      <c r="AX2240" s="1">
        <v>5.0</v>
      </c>
      <c r="AY2240" s="1">
        <v>1.0</v>
      </c>
      <c r="AZ2240" s="1">
        <v>1.0</v>
      </c>
      <c r="BA2240" s="1">
        <v>3.0</v>
      </c>
      <c r="BB2240" s="1">
        <v>1.0</v>
      </c>
      <c r="BC2240" s="1">
        <v>0.0</v>
      </c>
      <c r="BD2240" s="1">
        <v>0.13</v>
      </c>
      <c r="BE2240" s="1">
        <v>131.0</v>
      </c>
      <c r="BF2240" s="1">
        <v>49.0</v>
      </c>
      <c r="BG2240" s="1">
        <v>0.0</v>
      </c>
      <c r="BH2240" s="1">
        <v>16.0</v>
      </c>
      <c r="BI2240" s="1">
        <v>8.0</v>
      </c>
      <c r="BJ2240" s="1">
        <v>0.0</v>
      </c>
      <c r="BO2240" s="1" t="s">
        <v>7238</v>
      </c>
      <c r="BP2240" s="1">
        <v>0.991</v>
      </c>
      <c r="BU2240" s="1" t="s">
        <v>974</v>
      </c>
      <c r="BV2240" s="1">
        <v>1.1</v>
      </c>
      <c r="EQ2240" s="9" t="s">
        <v>7232</v>
      </c>
      <c r="ER2240" s="21">
        <v>46045.30202546297</v>
      </c>
    </row>
    <row r="2241">
      <c r="A2241" s="9" t="s">
        <v>7239</v>
      </c>
      <c r="B2241" s="20" t="str">
        <f>IFERROR(__xludf.DUMMYFUNCTION("REGEXREPLACE(A2241, ""^https?://[^/]+"", """")"),"/achieving-sales-excellence-developing-a-compelling-value-proposition/")</f>
        <v>/achieving-sales-excellence-developing-a-compelling-value-proposition/</v>
      </c>
      <c r="C2241" s="1" t="s">
        <v>7240</v>
      </c>
      <c r="D2241" s="1" t="s">
        <v>7241</v>
      </c>
      <c r="E2241" s="1" t="s">
        <v>7242</v>
      </c>
      <c r="F2241" s="1" t="s">
        <v>965</v>
      </c>
      <c r="G2241" s="1">
        <v>200.0</v>
      </c>
      <c r="H2241" s="1" t="s">
        <v>966</v>
      </c>
      <c r="I2241" s="1" t="s">
        <v>967</v>
      </c>
      <c r="K2241" s="1" t="s">
        <v>7243</v>
      </c>
      <c r="L2241" s="1">
        <v>94.0</v>
      </c>
      <c r="M2241" s="1">
        <v>850.0</v>
      </c>
      <c r="O2241" s="1">
        <v>0.0</v>
      </c>
      <c r="P2241" s="1">
        <v>0.0</v>
      </c>
      <c r="Q2241" s="1" t="s">
        <v>7244</v>
      </c>
      <c r="R2241" s="1">
        <v>130.0</v>
      </c>
      <c r="S2241" s="1">
        <v>786.0</v>
      </c>
      <c r="U2241" s="1">
        <v>0.0</v>
      </c>
      <c r="V2241" s="1" t="s">
        <v>7240</v>
      </c>
      <c r="W2241" s="1">
        <v>69.0</v>
      </c>
      <c r="Y2241" s="1">
        <v>0.0</v>
      </c>
      <c r="Z2241" s="1" t="s">
        <v>7241</v>
      </c>
      <c r="AA2241" s="1">
        <v>16.0</v>
      </c>
      <c r="AB2241" s="1" t="s">
        <v>7242</v>
      </c>
      <c r="AC2241" s="1">
        <v>34.0</v>
      </c>
      <c r="AD2241" s="1" t="s">
        <v>971</v>
      </c>
      <c r="AG2241" s="9" t="s">
        <v>7239</v>
      </c>
      <c r="AM2241" s="1">
        <v>214715.0</v>
      </c>
      <c r="AN2241" s="1">
        <v>37605.0</v>
      </c>
      <c r="AO2241" s="1">
        <v>37605.0</v>
      </c>
      <c r="AP2241" s="1">
        <v>14.406</v>
      </c>
      <c r="AR2241" s="1">
        <v>1450.0</v>
      </c>
      <c r="AS2241" s="1">
        <v>228.0</v>
      </c>
      <c r="AT2241" s="1">
        <v>6.36</v>
      </c>
      <c r="AU2241" s="1">
        <v>55.685</v>
      </c>
      <c r="AV2241" s="1" t="s">
        <v>972</v>
      </c>
      <c r="AW2241" s="1">
        <v>5.49</v>
      </c>
      <c r="AX2241" s="1">
        <v>5.0</v>
      </c>
      <c r="AY2241" s="1">
        <v>1.0</v>
      </c>
      <c r="AZ2241" s="1">
        <v>1.0</v>
      </c>
      <c r="BA2241" s="1">
        <v>8.0</v>
      </c>
      <c r="BB2241" s="1">
        <v>4.0</v>
      </c>
      <c r="BC2241" s="1">
        <v>0.0</v>
      </c>
      <c r="BD2241" s="1">
        <v>0.53</v>
      </c>
      <c r="BE2241" s="1">
        <v>137.0</v>
      </c>
      <c r="BF2241" s="1">
        <v>52.0</v>
      </c>
      <c r="BG2241" s="1">
        <v>0.0</v>
      </c>
      <c r="BH2241" s="1">
        <v>16.0</v>
      </c>
      <c r="BI2241" s="1">
        <v>8.0</v>
      </c>
      <c r="BJ2241" s="1">
        <v>0.0</v>
      </c>
      <c r="BO2241" s="1" t="s">
        <v>7245</v>
      </c>
      <c r="BP2241" s="1">
        <v>1.08</v>
      </c>
      <c r="BU2241" s="1" t="s">
        <v>974</v>
      </c>
      <c r="BV2241" s="1">
        <v>1.1</v>
      </c>
      <c r="EQ2241" s="9" t="s">
        <v>7239</v>
      </c>
      <c r="ER2241" s="21">
        <v>46045.30202546297</v>
      </c>
    </row>
    <row r="2242">
      <c r="A2242" s="9" t="s">
        <v>7246</v>
      </c>
      <c r="B2242" s="20" t="str">
        <f>IFERROR(__xludf.DUMMYFUNCTION("REGEXREPLACE(A2242, ""^https?://[^/]+"", """")"),"/wp-content/uploads/2023/03/CRM-300x218.jpg")</f>
        <v>/wp-content/uploads/2023/03/CRM-300x218.jpg</v>
      </c>
      <c r="F2242" s="1" t="s">
        <v>1004</v>
      </c>
      <c r="G2242" s="1">
        <v>200.0</v>
      </c>
      <c r="H2242" s="1" t="s">
        <v>966</v>
      </c>
      <c r="I2242" s="1" t="s">
        <v>967</v>
      </c>
      <c r="L2242" s="1">
        <v>0.0</v>
      </c>
      <c r="M2242" s="1">
        <v>0.0</v>
      </c>
      <c r="O2242" s="1">
        <v>0.0</v>
      </c>
      <c r="P2242" s="1">
        <v>0.0</v>
      </c>
      <c r="R2242" s="1">
        <v>0.0</v>
      </c>
      <c r="S2242" s="1">
        <v>0.0</v>
      </c>
      <c r="U2242" s="1">
        <v>0.0</v>
      </c>
      <c r="W2242" s="1">
        <v>0.0</v>
      </c>
      <c r="Y2242" s="1">
        <v>0.0</v>
      </c>
      <c r="AA2242" s="1">
        <v>0.0</v>
      </c>
      <c r="AC2242" s="1">
        <v>0.0</v>
      </c>
      <c r="AM2242" s="1">
        <v>12660.0</v>
      </c>
      <c r="AN2242" s="1">
        <v>12660.0</v>
      </c>
      <c r="AO2242" s="1">
        <v>12660.0</v>
      </c>
      <c r="AP2242" s="1">
        <v>4.85</v>
      </c>
      <c r="AR2242" s="1">
        <v>0.0</v>
      </c>
      <c r="AW2242" s="1">
        <v>0.0</v>
      </c>
      <c r="AX2242" s="1">
        <v>5.0</v>
      </c>
      <c r="AY2242" s="1">
        <v>4.0</v>
      </c>
      <c r="BA2242" s="1">
        <v>0.0</v>
      </c>
      <c r="BB2242" s="1">
        <v>0.0</v>
      </c>
      <c r="BC2242" s="1">
        <v>0.0</v>
      </c>
      <c r="BD2242" s="1">
        <v>0.0</v>
      </c>
      <c r="BE2242" s="1">
        <v>0.0</v>
      </c>
      <c r="BF2242" s="1">
        <v>0.0</v>
      </c>
      <c r="BG2242" s="1">
        <v>0.0</v>
      </c>
      <c r="BH2242" s="1">
        <v>0.0</v>
      </c>
      <c r="BI2242" s="1">
        <v>0.0</v>
      </c>
      <c r="BJ2242" s="1">
        <v>0.0</v>
      </c>
      <c r="BP2242" s="1">
        <v>0.288</v>
      </c>
      <c r="BQ2242" s="1" t="s">
        <v>7247</v>
      </c>
      <c r="BV2242" s="1">
        <v>1.1</v>
      </c>
      <c r="EQ2242" s="9" t="s">
        <v>7246</v>
      </c>
      <c r="ER2242" s="21">
        <v>46045.302037037036</v>
      </c>
    </row>
    <row r="2243">
      <c r="A2243" s="9" t="s">
        <v>7248</v>
      </c>
      <c r="B2243" s="20" t="str">
        <f>IFERROR(__xludf.DUMMYFUNCTION("REGEXREPLACE(A2243, ""^https?://[^/]+"", """")"),"/wp-content/uploads/2022/03/Case-Study_Professional-Services_JL_SX-1-thumb-768x406.jpg")</f>
        <v>/wp-content/uploads/2022/03/Case-Study_Professional-Services_JL_SX-1-thumb-768x406.jpg</v>
      </c>
      <c r="F2243" s="1" t="s">
        <v>1004</v>
      </c>
      <c r="G2243" s="1">
        <v>200.0</v>
      </c>
      <c r="H2243" s="1" t="s">
        <v>966</v>
      </c>
      <c r="I2243" s="1" t="s">
        <v>967</v>
      </c>
      <c r="L2243" s="1">
        <v>0.0</v>
      </c>
      <c r="M2243" s="1">
        <v>0.0</v>
      </c>
      <c r="O2243" s="1">
        <v>0.0</v>
      </c>
      <c r="P2243" s="1">
        <v>0.0</v>
      </c>
      <c r="R2243" s="1">
        <v>0.0</v>
      </c>
      <c r="S2243" s="1">
        <v>0.0</v>
      </c>
      <c r="U2243" s="1">
        <v>0.0</v>
      </c>
      <c r="W2243" s="1">
        <v>0.0</v>
      </c>
      <c r="Y2243" s="1">
        <v>0.0</v>
      </c>
      <c r="AA2243" s="1">
        <v>0.0</v>
      </c>
      <c r="AC2243" s="1">
        <v>0.0</v>
      </c>
      <c r="AM2243" s="1">
        <v>53135.0</v>
      </c>
      <c r="AN2243" s="1">
        <v>53135.0</v>
      </c>
      <c r="AO2243" s="1">
        <v>53135.0</v>
      </c>
      <c r="AP2243" s="1">
        <v>20.355</v>
      </c>
      <c r="AR2243" s="1">
        <v>0.0</v>
      </c>
      <c r="AW2243" s="1">
        <v>0.0</v>
      </c>
      <c r="AX2243" s="1">
        <v>5.0</v>
      </c>
      <c r="AY2243" s="1">
        <v>4.0</v>
      </c>
      <c r="BA2243" s="1">
        <v>0.0</v>
      </c>
      <c r="BB2243" s="1">
        <v>0.0</v>
      </c>
      <c r="BC2243" s="1">
        <v>0.0</v>
      </c>
      <c r="BD2243" s="1">
        <v>0.0</v>
      </c>
      <c r="BE2243" s="1">
        <v>0.0</v>
      </c>
      <c r="BF2243" s="1">
        <v>0.0</v>
      </c>
      <c r="BG2243" s="1">
        <v>0.0</v>
      </c>
      <c r="BH2243" s="1">
        <v>0.0</v>
      </c>
      <c r="BI2243" s="1">
        <v>0.0</v>
      </c>
      <c r="BJ2243" s="1">
        <v>0.0</v>
      </c>
      <c r="BP2243" s="1">
        <v>0.28</v>
      </c>
      <c r="BQ2243" s="1" t="s">
        <v>7249</v>
      </c>
      <c r="BV2243" s="1">
        <v>1.1</v>
      </c>
      <c r="EQ2243" s="9" t="s">
        <v>7248</v>
      </c>
      <c r="ER2243" s="21">
        <v>46045.30204861111</v>
      </c>
    </row>
    <row r="2244">
      <c r="A2244" s="9" t="s">
        <v>7250</v>
      </c>
      <c r="B2244" s="20" t="str">
        <f>IFERROR(__xludf.DUMMYFUNCTION("REGEXREPLACE(A2244, ""^https?://[^/]+"", """")"),"/wp-content/uploads/2020/09/cs-hvac-full-1-768x439.jpg")</f>
        <v>/wp-content/uploads/2020/09/cs-hvac-full-1-768x439.jpg</v>
      </c>
      <c r="F2244" s="1" t="s">
        <v>1004</v>
      </c>
      <c r="G2244" s="1">
        <v>200.0</v>
      </c>
      <c r="H2244" s="1" t="s">
        <v>966</v>
      </c>
      <c r="I2244" s="1" t="s">
        <v>967</v>
      </c>
      <c r="L2244" s="1">
        <v>0.0</v>
      </c>
      <c r="M2244" s="1">
        <v>0.0</v>
      </c>
      <c r="O2244" s="1">
        <v>0.0</v>
      </c>
      <c r="P2244" s="1">
        <v>0.0</v>
      </c>
      <c r="R2244" s="1">
        <v>0.0</v>
      </c>
      <c r="S2244" s="1">
        <v>0.0</v>
      </c>
      <c r="U2244" s="1">
        <v>0.0</v>
      </c>
      <c r="W2244" s="1">
        <v>0.0</v>
      </c>
      <c r="Y2244" s="1">
        <v>0.0</v>
      </c>
      <c r="AA2244" s="1">
        <v>0.0</v>
      </c>
      <c r="AC2244" s="1">
        <v>0.0</v>
      </c>
      <c r="AM2244" s="1">
        <v>53582.0</v>
      </c>
      <c r="AN2244" s="1">
        <v>53582.0</v>
      </c>
      <c r="AO2244" s="1">
        <v>53582.0</v>
      </c>
      <c r="AP2244" s="1">
        <v>20.526</v>
      </c>
      <c r="AR2244" s="1">
        <v>0.0</v>
      </c>
      <c r="AW2244" s="1">
        <v>0.0</v>
      </c>
      <c r="AX2244" s="1">
        <v>5.0</v>
      </c>
      <c r="AY2244" s="1">
        <v>4.0</v>
      </c>
      <c r="BA2244" s="1">
        <v>0.0</v>
      </c>
      <c r="BB2244" s="1">
        <v>0.0</v>
      </c>
      <c r="BC2244" s="1">
        <v>0.0</v>
      </c>
      <c r="BD2244" s="1">
        <v>0.0</v>
      </c>
      <c r="BE2244" s="1">
        <v>0.0</v>
      </c>
      <c r="BF2244" s="1">
        <v>0.0</v>
      </c>
      <c r="BG2244" s="1">
        <v>0.0</v>
      </c>
      <c r="BH2244" s="1">
        <v>0.0</v>
      </c>
      <c r="BI2244" s="1">
        <v>0.0</v>
      </c>
      <c r="BJ2244" s="1">
        <v>0.0</v>
      </c>
      <c r="BP2244" s="1">
        <v>0.315</v>
      </c>
      <c r="BQ2244" s="1" t="s">
        <v>7251</v>
      </c>
      <c r="BV2244" s="1">
        <v>1.1</v>
      </c>
      <c r="EQ2244" s="9" t="s">
        <v>7250</v>
      </c>
      <c r="ER2244" s="21">
        <v>46045.30204861111</v>
      </c>
    </row>
    <row r="2245">
      <c r="A2245" s="9" t="s">
        <v>5623</v>
      </c>
      <c r="B2245" s="20" t="str">
        <f>IFERROR(__xludf.DUMMYFUNCTION("REGEXREPLACE(A2245, ""^https?://[^/]+"", """")"),"/sales-agility-assessment/?locationid=22577447")</f>
        <v>/sales-agility-assessment/?locationid=22577447</v>
      </c>
      <c r="C2245" s="1" t="s">
        <v>1381</v>
      </c>
      <c r="F2245" s="1" t="s">
        <v>965</v>
      </c>
      <c r="G2245" s="1">
        <v>200.0</v>
      </c>
      <c r="H2245" s="1" t="s">
        <v>966</v>
      </c>
      <c r="I2245" s="1" t="s">
        <v>1214</v>
      </c>
      <c r="J2245" s="1" t="s">
        <v>1215</v>
      </c>
      <c r="K2245" s="1" t="s">
        <v>1382</v>
      </c>
      <c r="L2245" s="1">
        <v>79.0</v>
      </c>
      <c r="M2245" s="1">
        <v>719.0</v>
      </c>
      <c r="O2245" s="1">
        <v>0.0</v>
      </c>
      <c r="P2245" s="1">
        <v>0.0</v>
      </c>
      <c r="Q2245" s="1" t="s">
        <v>1383</v>
      </c>
      <c r="R2245" s="1">
        <v>155.0</v>
      </c>
      <c r="S2245" s="1">
        <v>970.0</v>
      </c>
      <c r="U2245" s="1">
        <v>0.0</v>
      </c>
      <c r="V2245" s="1" t="s">
        <v>1381</v>
      </c>
      <c r="W2245" s="1">
        <v>31.0</v>
      </c>
      <c r="Y2245" s="1">
        <v>0.0</v>
      </c>
      <c r="AA2245" s="1">
        <v>0.0</v>
      </c>
      <c r="AC2245" s="1">
        <v>0.0</v>
      </c>
      <c r="AD2245" s="1" t="s">
        <v>971</v>
      </c>
      <c r="AG2245" s="9" t="s">
        <v>1380</v>
      </c>
      <c r="AM2245" s="1">
        <v>221351.0</v>
      </c>
      <c r="AN2245" s="1">
        <v>43055.0</v>
      </c>
      <c r="AO2245" s="1">
        <v>43055.0</v>
      </c>
      <c r="AP2245" s="1">
        <v>16.494</v>
      </c>
      <c r="AR2245" s="1">
        <v>1077.0</v>
      </c>
      <c r="AS2245" s="1">
        <v>195.0</v>
      </c>
      <c r="AT2245" s="1">
        <v>5.523</v>
      </c>
      <c r="AU2245" s="1">
        <v>72.326</v>
      </c>
      <c r="AV2245" s="1" t="s">
        <v>1264</v>
      </c>
      <c r="AW2245" s="1">
        <v>5.466</v>
      </c>
      <c r="AX2245" s="1">
        <v>5.0</v>
      </c>
      <c r="AY2245" s="1">
        <v>1.0</v>
      </c>
      <c r="BA2245" s="1">
        <v>0.0</v>
      </c>
      <c r="BB2245" s="1">
        <v>0.0</v>
      </c>
      <c r="BC2245" s="1">
        <v>0.0</v>
      </c>
      <c r="BD2245" s="1">
        <v>0.0</v>
      </c>
      <c r="BE2245" s="1">
        <v>121.0</v>
      </c>
      <c r="BF2245" s="1">
        <v>42.0</v>
      </c>
      <c r="BG2245" s="1">
        <v>0.0</v>
      </c>
      <c r="BH2245" s="1">
        <v>16.0</v>
      </c>
      <c r="BI2245" s="1">
        <v>8.0</v>
      </c>
      <c r="BJ2245" s="1">
        <v>0.0</v>
      </c>
      <c r="BO2245" s="1" t="s">
        <v>7252</v>
      </c>
      <c r="BP2245" s="1">
        <v>1.273</v>
      </c>
      <c r="BU2245" s="1" t="s">
        <v>974</v>
      </c>
      <c r="BV2245" s="1">
        <v>1.1</v>
      </c>
      <c r="EQ2245" s="9" t="s">
        <v>5623</v>
      </c>
      <c r="ER2245" s="21">
        <v>46045.302037037036</v>
      </c>
    </row>
    <row r="2246">
      <c r="A2246" s="9" t="s">
        <v>7253</v>
      </c>
      <c r="B2246" s="20" t="str">
        <f>IFERROR(__xludf.DUMMYFUNCTION("REGEXREPLACE(A2246, ""^https?://[^/]+"", """")"),"/wp-content/uploads/2023/01/Business-Manager-300x200.jpg")</f>
        <v>/wp-content/uploads/2023/01/Business-Manager-300x200.jpg</v>
      </c>
      <c r="F2246" s="1" t="s">
        <v>1004</v>
      </c>
      <c r="G2246" s="1">
        <v>200.0</v>
      </c>
      <c r="H2246" s="1" t="s">
        <v>966</v>
      </c>
      <c r="I2246" s="1" t="s">
        <v>967</v>
      </c>
      <c r="L2246" s="1">
        <v>0.0</v>
      </c>
      <c r="M2246" s="1">
        <v>0.0</v>
      </c>
      <c r="O2246" s="1">
        <v>0.0</v>
      </c>
      <c r="P2246" s="1">
        <v>0.0</v>
      </c>
      <c r="R2246" s="1">
        <v>0.0</v>
      </c>
      <c r="S2246" s="1">
        <v>0.0</v>
      </c>
      <c r="U2246" s="1">
        <v>0.0</v>
      </c>
      <c r="W2246" s="1">
        <v>0.0</v>
      </c>
      <c r="Y2246" s="1">
        <v>0.0</v>
      </c>
      <c r="AA2246" s="1">
        <v>0.0</v>
      </c>
      <c r="AC2246" s="1">
        <v>0.0</v>
      </c>
      <c r="AM2246" s="1">
        <v>8622.0</v>
      </c>
      <c r="AN2246" s="1">
        <v>8622.0</v>
      </c>
      <c r="AO2246" s="1">
        <v>8622.0</v>
      </c>
      <c r="AP2246" s="1">
        <v>3.303</v>
      </c>
      <c r="AR2246" s="1">
        <v>0.0</v>
      </c>
      <c r="AW2246" s="1">
        <v>0.0</v>
      </c>
      <c r="AX2246" s="1">
        <v>5.0</v>
      </c>
      <c r="AY2246" s="1">
        <v>4.0</v>
      </c>
      <c r="BA2246" s="1">
        <v>0.0</v>
      </c>
      <c r="BB2246" s="1">
        <v>0.0</v>
      </c>
      <c r="BC2246" s="1">
        <v>0.0</v>
      </c>
      <c r="BD2246" s="1">
        <v>0.0</v>
      </c>
      <c r="BE2246" s="1">
        <v>0.0</v>
      </c>
      <c r="BF2246" s="1">
        <v>0.0</v>
      </c>
      <c r="BG2246" s="1">
        <v>0.0</v>
      </c>
      <c r="BH2246" s="1">
        <v>0.0</v>
      </c>
      <c r="BI2246" s="1">
        <v>0.0</v>
      </c>
      <c r="BJ2246" s="1">
        <v>0.0</v>
      </c>
      <c r="BP2246" s="1">
        <v>0.262</v>
      </c>
      <c r="BQ2246" s="1" t="s">
        <v>7254</v>
      </c>
      <c r="BV2246" s="1">
        <v>1.1</v>
      </c>
      <c r="EQ2246" s="9" t="s">
        <v>7253</v>
      </c>
      <c r="ER2246" s="21">
        <v>46045.30204861111</v>
      </c>
    </row>
    <row r="2247">
      <c r="A2247" s="9" t="s">
        <v>7255</v>
      </c>
      <c r="B2247" s="20" t="str">
        <f>IFERROR(__xludf.DUMMYFUNCTION("REGEXREPLACE(A2247, ""^https?://[^/]+"", """")"),"/wp-content/uploads/2022/05/thumb-Case-Study_Construction_SX-1-768x406.jpg")</f>
        <v>/wp-content/uploads/2022/05/thumb-Case-Study_Construction_SX-1-768x406.jpg</v>
      </c>
      <c r="F2247" s="1" t="s">
        <v>1004</v>
      </c>
      <c r="G2247" s="1">
        <v>200.0</v>
      </c>
      <c r="H2247" s="1" t="s">
        <v>966</v>
      </c>
      <c r="I2247" s="1" t="s">
        <v>967</v>
      </c>
      <c r="L2247" s="1">
        <v>0.0</v>
      </c>
      <c r="M2247" s="1">
        <v>0.0</v>
      </c>
      <c r="O2247" s="1">
        <v>0.0</v>
      </c>
      <c r="P2247" s="1">
        <v>0.0</v>
      </c>
      <c r="R2247" s="1">
        <v>0.0</v>
      </c>
      <c r="S2247" s="1">
        <v>0.0</v>
      </c>
      <c r="U2247" s="1">
        <v>0.0</v>
      </c>
      <c r="W2247" s="1">
        <v>0.0</v>
      </c>
      <c r="Y2247" s="1">
        <v>0.0</v>
      </c>
      <c r="AA2247" s="1">
        <v>0.0</v>
      </c>
      <c r="AC2247" s="1">
        <v>0.0</v>
      </c>
      <c r="AM2247" s="1">
        <v>67627.0</v>
      </c>
      <c r="AN2247" s="1">
        <v>67627.0</v>
      </c>
      <c r="AO2247" s="1">
        <v>67627.0</v>
      </c>
      <c r="AP2247" s="1">
        <v>25.907</v>
      </c>
      <c r="AR2247" s="1">
        <v>0.0</v>
      </c>
      <c r="AW2247" s="1">
        <v>0.0</v>
      </c>
      <c r="AX2247" s="1">
        <v>5.0</v>
      </c>
      <c r="AY2247" s="1">
        <v>4.0</v>
      </c>
      <c r="BA2247" s="1">
        <v>0.0</v>
      </c>
      <c r="BB2247" s="1">
        <v>0.0</v>
      </c>
      <c r="BC2247" s="1">
        <v>0.0</v>
      </c>
      <c r="BD2247" s="1">
        <v>0.0</v>
      </c>
      <c r="BE2247" s="1">
        <v>0.0</v>
      </c>
      <c r="BF2247" s="1">
        <v>0.0</v>
      </c>
      <c r="BG2247" s="1">
        <v>0.0</v>
      </c>
      <c r="BH2247" s="1">
        <v>0.0</v>
      </c>
      <c r="BI2247" s="1">
        <v>0.0</v>
      </c>
      <c r="BJ2247" s="1">
        <v>0.0</v>
      </c>
      <c r="BP2247" s="1">
        <v>0.318</v>
      </c>
      <c r="BQ2247" s="1" t="s">
        <v>7256</v>
      </c>
      <c r="BV2247" s="1">
        <v>1.1</v>
      </c>
      <c r="EQ2247" s="9" t="s">
        <v>7255</v>
      </c>
      <c r="ER2247" s="21">
        <v>46045.30204861111</v>
      </c>
    </row>
    <row r="2248">
      <c r="A2248" s="9" t="s">
        <v>7257</v>
      </c>
      <c r="B2248" s="20" t="str">
        <f>IFERROR(__xludf.DUMMYFUNCTION("REGEXREPLACE(A2248, ""^https?://[^/]+"", """")"),"/why-variable-compensation-is-the-key-to-a-successful-sales-team-and-how-to-do-it-right/")</f>
        <v>/why-variable-compensation-is-the-key-to-a-successful-sales-team-and-how-to-do-it-right/</v>
      </c>
      <c r="C2248" s="1" t="s">
        <v>7258</v>
      </c>
      <c r="D2248" s="1" t="s">
        <v>7259</v>
      </c>
      <c r="E2248" s="1" t="s">
        <v>7260</v>
      </c>
      <c r="F2248" s="1" t="s">
        <v>965</v>
      </c>
      <c r="G2248" s="1">
        <v>200.0</v>
      </c>
      <c r="H2248" s="1" t="s">
        <v>966</v>
      </c>
      <c r="I2248" s="1" t="s">
        <v>967</v>
      </c>
      <c r="K2248" s="1" t="s">
        <v>7261</v>
      </c>
      <c r="L2248" s="1">
        <v>113.0</v>
      </c>
      <c r="M2248" s="1">
        <v>1028.0</v>
      </c>
      <c r="O2248" s="1">
        <v>0.0</v>
      </c>
      <c r="P2248" s="1">
        <v>0.0</v>
      </c>
      <c r="Q2248" s="1" t="s">
        <v>7262</v>
      </c>
      <c r="R2248" s="1">
        <v>153.0</v>
      </c>
      <c r="S2248" s="1">
        <v>912.0</v>
      </c>
      <c r="U2248" s="1">
        <v>0.0</v>
      </c>
      <c r="V2248" s="1" t="s">
        <v>7258</v>
      </c>
      <c r="W2248" s="1">
        <v>88.0</v>
      </c>
      <c r="Y2248" s="1">
        <v>0.0</v>
      </c>
      <c r="Z2248" s="1" t="s">
        <v>7259</v>
      </c>
      <c r="AA2248" s="1">
        <v>12.0</v>
      </c>
      <c r="AB2248" s="1" t="s">
        <v>7260</v>
      </c>
      <c r="AC2248" s="1">
        <v>18.0</v>
      </c>
      <c r="AD2248" s="1" t="s">
        <v>971</v>
      </c>
      <c r="AG2248" s="9" t="s">
        <v>7257</v>
      </c>
      <c r="AM2248" s="1">
        <v>200477.0</v>
      </c>
      <c r="AN2248" s="1">
        <v>35693.0</v>
      </c>
      <c r="AO2248" s="1">
        <v>35693.0</v>
      </c>
      <c r="AP2248" s="1">
        <v>13.673</v>
      </c>
      <c r="AR2248" s="1">
        <v>1161.0</v>
      </c>
      <c r="AS2248" s="1">
        <v>181.0</v>
      </c>
      <c r="AT2248" s="1">
        <v>6.414</v>
      </c>
      <c r="AU2248" s="1">
        <v>56.555</v>
      </c>
      <c r="AV2248" s="1" t="s">
        <v>972</v>
      </c>
      <c r="AW2248" s="1">
        <v>4.828</v>
      </c>
      <c r="AX2248" s="1">
        <v>5.0</v>
      </c>
      <c r="AY2248" s="1">
        <v>1.0</v>
      </c>
      <c r="AZ2248" s="1">
        <v>1.0</v>
      </c>
      <c r="BA2248" s="1">
        <v>3.0</v>
      </c>
      <c r="BB2248" s="1">
        <v>1.0</v>
      </c>
      <c r="BC2248" s="1">
        <v>0.0</v>
      </c>
      <c r="BD2248" s="1">
        <v>0.13</v>
      </c>
      <c r="BE2248" s="1">
        <v>136.0</v>
      </c>
      <c r="BF2248" s="1">
        <v>49.0</v>
      </c>
      <c r="BG2248" s="1">
        <v>0.0</v>
      </c>
      <c r="BH2248" s="1">
        <v>16.0</v>
      </c>
      <c r="BI2248" s="1">
        <v>8.0</v>
      </c>
      <c r="BJ2248" s="1">
        <v>0.0</v>
      </c>
      <c r="BO2248" s="1" t="s">
        <v>7263</v>
      </c>
      <c r="BP2248" s="1">
        <v>1.014</v>
      </c>
      <c r="BU2248" s="1" t="s">
        <v>974</v>
      </c>
      <c r="BV2248" s="1">
        <v>1.1</v>
      </c>
      <c r="EQ2248" s="9" t="s">
        <v>7257</v>
      </c>
      <c r="ER2248" s="21">
        <v>46045.302037037036</v>
      </c>
    </row>
    <row r="2249">
      <c r="A2249" s="9" t="s">
        <v>7264</v>
      </c>
      <c r="B2249" s="20" t="str">
        <f>IFERROR(__xludf.DUMMYFUNCTION("REGEXREPLACE(A2249, ""^https?://[^/]+"", """")"),"/wp-content/uploads/2022/05/thumb-Case-Study_Construction-Paving_SX-1-768x406.jpg")</f>
        <v>/wp-content/uploads/2022/05/thumb-Case-Study_Construction-Paving_SX-1-768x406.jpg</v>
      </c>
      <c r="F2249" s="1" t="s">
        <v>1004</v>
      </c>
      <c r="G2249" s="1">
        <v>200.0</v>
      </c>
      <c r="H2249" s="1" t="s">
        <v>966</v>
      </c>
      <c r="I2249" s="1" t="s">
        <v>967</v>
      </c>
      <c r="L2249" s="1">
        <v>0.0</v>
      </c>
      <c r="M2249" s="1">
        <v>0.0</v>
      </c>
      <c r="O2249" s="1">
        <v>0.0</v>
      </c>
      <c r="P2249" s="1">
        <v>0.0</v>
      </c>
      <c r="R2249" s="1">
        <v>0.0</v>
      </c>
      <c r="S2249" s="1">
        <v>0.0</v>
      </c>
      <c r="U2249" s="1">
        <v>0.0</v>
      </c>
      <c r="W2249" s="1">
        <v>0.0</v>
      </c>
      <c r="Y2249" s="1">
        <v>0.0</v>
      </c>
      <c r="AA2249" s="1">
        <v>0.0</v>
      </c>
      <c r="AC2249" s="1">
        <v>0.0</v>
      </c>
      <c r="AM2249" s="1">
        <v>75008.0</v>
      </c>
      <c r="AN2249" s="1">
        <v>75008.0</v>
      </c>
      <c r="AO2249" s="1">
        <v>75008.0</v>
      </c>
      <c r="AP2249" s="1">
        <v>28.734</v>
      </c>
      <c r="AR2249" s="1">
        <v>0.0</v>
      </c>
      <c r="AW2249" s="1">
        <v>0.0</v>
      </c>
      <c r="AX2249" s="1">
        <v>5.0</v>
      </c>
      <c r="AY2249" s="1">
        <v>4.0</v>
      </c>
      <c r="BA2249" s="1">
        <v>0.0</v>
      </c>
      <c r="BB2249" s="1">
        <v>0.0</v>
      </c>
      <c r="BC2249" s="1">
        <v>0.0</v>
      </c>
      <c r="BD2249" s="1">
        <v>0.0</v>
      </c>
      <c r="BE2249" s="1">
        <v>0.0</v>
      </c>
      <c r="BF2249" s="1">
        <v>0.0</v>
      </c>
      <c r="BG2249" s="1">
        <v>0.0</v>
      </c>
      <c r="BH2249" s="1">
        <v>0.0</v>
      </c>
      <c r="BI2249" s="1">
        <v>0.0</v>
      </c>
      <c r="BJ2249" s="1">
        <v>0.0</v>
      </c>
      <c r="BP2249" s="1">
        <v>1.271</v>
      </c>
      <c r="BQ2249" s="1" t="s">
        <v>7265</v>
      </c>
      <c r="BV2249" s="1">
        <v>1.1</v>
      </c>
      <c r="EQ2249" s="9" t="s">
        <v>7264</v>
      </c>
      <c r="ER2249" s="21">
        <v>46045.30204861111</v>
      </c>
    </row>
    <row r="2250">
      <c r="A2250" s="9" t="s">
        <v>7266</v>
      </c>
      <c r="B2250" s="20" t="str">
        <f>IFERROR(__xludf.DUMMYFUNCTION("REGEXREPLACE(A2250, ""^https?://[^/]+"", """")"),"/wp-content/uploads/2023/07/Meeting-with-sales-team-300x200.jpg")</f>
        <v>/wp-content/uploads/2023/07/Meeting-with-sales-team-300x200.jpg</v>
      </c>
      <c r="F2250" s="1" t="s">
        <v>1004</v>
      </c>
      <c r="G2250" s="1">
        <v>200.0</v>
      </c>
      <c r="H2250" s="1" t="s">
        <v>966</v>
      </c>
      <c r="I2250" s="1" t="s">
        <v>967</v>
      </c>
      <c r="L2250" s="1">
        <v>0.0</v>
      </c>
      <c r="M2250" s="1">
        <v>0.0</v>
      </c>
      <c r="O2250" s="1">
        <v>0.0</v>
      </c>
      <c r="P2250" s="1">
        <v>0.0</v>
      </c>
      <c r="R2250" s="1">
        <v>0.0</v>
      </c>
      <c r="S2250" s="1">
        <v>0.0</v>
      </c>
      <c r="U2250" s="1">
        <v>0.0</v>
      </c>
      <c r="W2250" s="1">
        <v>0.0</v>
      </c>
      <c r="Y2250" s="1">
        <v>0.0</v>
      </c>
      <c r="AA2250" s="1">
        <v>0.0</v>
      </c>
      <c r="AC2250" s="1">
        <v>0.0</v>
      </c>
      <c r="AM2250" s="1">
        <v>16401.0</v>
      </c>
      <c r="AN2250" s="1">
        <v>16401.0</v>
      </c>
      <c r="AO2250" s="1">
        <v>16401.0</v>
      </c>
      <c r="AP2250" s="1">
        <v>6.283</v>
      </c>
      <c r="AR2250" s="1">
        <v>0.0</v>
      </c>
      <c r="AW2250" s="1">
        <v>0.0</v>
      </c>
      <c r="AX2250" s="1">
        <v>5.0</v>
      </c>
      <c r="AY2250" s="1">
        <v>4.0</v>
      </c>
      <c r="BA2250" s="1">
        <v>0.0</v>
      </c>
      <c r="BB2250" s="1">
        <v>0.0</v>
      </c>
      <c r="BC2250" s="1">
        <v>0.0</v>
      </c>
      <c r="BD2250" s="1">
        <v>0.0</v>
      </c>
      <c r="BE2250" s="1">
        <v>0.0</v>
      </c>
      <c r="BF2250" s="1">
        <v>0.0</v>
      </c>
      <c r="BG2250" s="1">
        <v>0.0</v>
      </c>
      <c r="BH2250" s="1">
        <v>0.0</v>
      </c>
      <c r="BI2250" s="1">
        <v>0.0</v>
      </c>
      <c r="BJ2250" s="1">
        <v>0.0</v>
      </c>
      <c r="BP2250" s="1">
        <v>0.279</v>
      </c>
      <c r="BQ2250" s="1" t="s">
        <v>7267</v>
      </c>
      <c r="BV2250" s="1">
        <v>1.1</v>
      </c>
      <c r="EQ2250" s="9" t="s">
        <v>7266</v>
      </c>
      <c r="ER2250" s="21">
        <v>46045.30206018518</v>
      </c>
    </row>
    <row r="2251">
      <c r="A2251" s="9" t="s">
        <v>7268</v>
      </c>
      <c r="B2251" s="20" t="str">
        <f>IFERROR(__xludf.DUMMYFUNCTION("REGEXREPLACE(A2251, ""^https?://[^/]+"", """")"),"/wp-content/uploads/2019/12/streamline-manu-thumb-768x442.jpg")</f>
        <v>/wp-content/uploads/2019/12/streamline-manu-thumb-768x442.jpg</v>
      </c>
      <c r="F2251" s="1" t="s">
        <v>1004</v>
      </c>
      <c r="G2251" s="1">
        <v>200.0</v>
      </c>
      <c r="H2251" s="1" t="s">
        <v>966</v>
      </c>
      <c r="I2251" s="1" t="s">
        <v>967</v>
      </c>
      <c r="L2251" s="1">
        <v>0.0</v>
      </c>
      <c r="M2251" s="1">
        <v>0.0</v>
      </c>
      <c r="O2251" s="1">
        <v>0.0</v>
      </c>
      <c r="P2251" s="1">
        <v>0.0</v>
      </c>
      <c r="R2251" s="1">
        <v>0.0</v>
      </c>
      <c r="S2251" s="1">
        <v>0.0</v>
      </c>
      <c r="U2251" s="1">
        <v>0.0</v>
      </c>
      <c r="W2251" s="1">
        <v>0.0</v>
      </c>
      <c r="Y2251" s="1">
        <v>0.0</v>
      </c>
      <c r="AA2251" s="1">
        <v>0.0</v>
      </c>
      <c r="AC2251" s="1">
        <v>0.0</v>
      </c>
      <c r="AM2251" s="1">
        <v>74426.0</v>
      </c>
      <c r="AN2251" s="1">
        <v>74426.0</v>
      </c>
      <c r="AO2251" s="1">
        <v>74426.0</v>
      </c>
      <c r="AP2251" s="1">
        <v>28.511</v>
      </c>
      <c r="AR2251" s="1">
        <v>0.0</v>
      </c>
      <c r="AW2251" s="1">
        <v>0.0</v>
      </c>
      <c r="AX2251" s="1">
        <v>5.0</v>
      </c>
      <c r="AY2251" s="1">
        <v>4.0</v>
      </c>
      <c r="BA2251" s="1">
        <v>0.0</v>
      </c>
      <c r="BB2251" s="1">
        <v>0.0</v>
      </c>
      <c r="BC2251" s="1">
        <v>0.0</v>
      </c>
      <c r="BD2251" s="1">
        <v>0.0</v>
      </c>
      <c r="BE2251" s="1">
        <v>0.0</v>
      </c>
      <c r="BF2251" s="1">
        <v>0.0</v>
      </c>
      <c r="BG2251" s="1">
        <v>0.0</v>
      </c>
      <c r="BH2251" s="1">
        <v>0.0</v>
      </c>
      <c r="BI2251" s="1">
        <v>0.0</v>
      </c>
      <c r="BJ2251" s="1">
        <v>0.0</v>
      </c>
      <c r="BP2251" s="1">
        <v>0.264</v>
      </c>
      <c r="BQ2251" s="1" t="s">
        <v>7269</v>
      </c>
      <c r="BV2251" s="1">
        <v>1.1</v>
      </c>
      <c r="EQ2251" s="9" t="s">
        <v>7268</v>
      </c>
      <c r="ER2251" s="21">
        <v>46045.30206018518</v>
      </c>
    </row>
    <row r="2252">
      <c r="A2252" s="9" t="s">
        <v>7270</v>
      </c>
      <c r="B2252" s="20" t="str">
        <f>IFERROR(__xludf.DUMMYFUNCTION("REGEXREPLACE(A2252, ""^https?://[^/]+"", """")"),"/wp-content/uploads/2023/05/Successful-Sales-Team-300x189.jpg")</f>
        <v>/wp-content/uploads/2023/05/Successful-Sales-Team-300x189.jpg</v>
      </c>
      <c r="F2252" s="1" t="s">
        <v>1004</v>
      </c>
      <c r="G2252" s="1">
        <v>200.0</v>
      </c>
      <c r="H2252" s="1" t="s">
        <v>966</v>
      </c>
      <c r="I2252" s="1" t="s">
        <v>967</v>
      </c>
      <c r="L2252" s="1">
        <v>0.0</v>
      </c>
      <c r="M2252" s="1">
        <v>0.0</v>
      </c>
      <c r="O2252" s="1">
        <v>0.0</v>
      </c>
      <c r="P2252" s="1">
        <v>0.0</v>
      </c>
      <c r="R2252" s="1">
        <v>0.0</v>
      </c>
      <c r="S2252" s="1">
        <v>0.0</v>
      </c>
      <c r="U2252" s="1">
        <v>0.0</v>
      </c>
      <c r="W2252" s="1">
        <v>0.0</v>
      </c>
      <c r="Y2252" s="1">
        <v>0.0</v>
      </c>
      <c r="AA2252" s="1">
        <v>0.0</v>
      </c>
      <c r="AC2252" s="1">
        <v>0.0</v>
      </c>
      <c r="AM2252" s="1">
        <v>14500.0</v>
      </c>
      <c r="AN2252" s="1">
        <v>14500.0</v>
      </c>
      <c r="AO2252" s="1">
        <v>14500.0</v>
      </c>
      <c r="AP2252" s="1">
        <v>5.555</v>
      </c>
      <c r="AR2252" s="1">
        <v>0.0</v>
      </c>
      <c r="AW2252" s="1">
        <v>0.0</v>
      </c>
      <c r="AX2252" s="1">
        <v>5.0</v>
      </c>
      <c r="AY2252" s="1">
        <v>4.0</v>
      </c>
      <c r="BA2252" s="1">
        <v>0.0</v>
      </c>
      <c r="BB2252" s="1">
        <v>0.0</v>
      </c>
      <c r="BC2252" s="1">
        <v>0.0</v>
      </c>
      <c r="BD2252" s="1">
        <v>0.0</v>
      </c>
      <c r="BE2252" s="1">
        <v>0.0</v>
      </c>
      <c r="BF2252" s="1">
        <v>0.0</v>
      </c>
      <c r="BG2252" s="1">
        <v>0.0</v>
      </c>
      <c r="BH2252" s="1">
        <v>0.0</v>
      </c>
      <c r="BI2252" s="1">
        <v>0.0</v>
      </c>
      <c r="BJ2252" s="1">
        <v>0.0</v>
      </c>
      <c r="BP2252" s="1">
        <v>0.263</v>
      </c>
      <c r="BQ2252" s="1" t="s">
        <v>7271</v>
      </c>
      <c r="BV2252" s="1">
        <v>1.1</v>
      </c>
      <c r="EQ2252" s="9" t="s">
        <v>7270</v>
      </c>
      <c r="ER2252" s="21">
        <v>46045.30206018518</v>
      </c>
    </row>
    <row r="2253">
      <c r="A2253" s="9" t="s">
        <v>7272</v>
      </c>
      <c r="B2253" s="20" t="str">
        <f>IFERROR(__xludf.DUMMYFUNCTION("REGEXREPLACE(A2253, ""^https?://[^/]+"", """")"),"/why-bother-using-a-crm/")</f>
        <v>/why-bother-using-a-crm/</v>
      </c>
      <c r="C2253" s="1" t="s">
        <v>7273</v>
      </c>
      <c r="F2253" s="1" t="s">
        <v>965</v>
      </c>
      <c r="G2253" s="1">
        <v>200.0</v>
      </c>
      <c r="H2253" s="1" t="s">
        <v>966</v>
      </c>
      <c r="I2253" s="1" t="s">
        <v>967</v>
      </c>
      <c r="K2253" s="1" t="s">
        <v>7274</v>
      </c>
      <c r="L2253" s="1">
        <v>43.0</v>
      </c>
      <c r="M2253" s="1">
        <v>400.0</v>
      </c>
      <c r="O2253" s="1">
        <v>0.0</v>
      </c>
      <c r="P2253" s="1">
        <v>0.0</v>
      </c>
      <c r="Q2253" s="1" t="s">
        <v>7275</v>
      </c>
      <c r="R2253" s="1">
        <v>152.0</v>
      </c>
      <c r="S2253" s="1">
        <v>956.0</v>
      </c>
      <c r="U2253" s="1">
        <v>0.0</v>
      </c>
      <c r="V2253" s="1" t="s">
        <v>7273</v>
      </c>
      <c r="W2253" s="1">
        <v>23.0</v>
      </c>
      <c r="Y2253" s="1">
        <v>0.0</v>
      </c>
      <c r="AA2253" s="1">
        <v>0.0</v>
      </c>
      <c r="AC2253" s="1">
        <v>0.0</v>
      </c>
      <c r="AD2253" s="1" t="s">
        <v>971</v>
      </c>
      <c r="AG2253" s="9" t="s">
        <v>7272</v>
      </c>
      <c r="AM2253" s="1">
        <v>202031.0</v>
      </c>
      <c r="AN2253" s="1">
        <v>36219.0</v>
      </c>
      <c r="AO2253" s="1">
        <v>36219.0</v>
      </c>
      <c r="AP2253" s="1">
        <v>13.875</v>
      </c>
      <c r="AR2253" s="1">
        <v>1382.0</v>
      </c>
      <c r="AS2253" s="1">
        <v>200.0</v>
      </c>
      <c r="AT2253" s="1">
        <v>6.91</v>
      </c>
      <c r="AU2253" s="1">
        <v>72.615</v>
      </c>
      <c r="AV2253" s="1" t="s">
        <v>1264</v>
      </c>
      <c r="AW2253" s="1">
        <v>5.179</v>
      </c>
      <c r="AX2253" s="1">
        <v>5.0</v>
      </c>
      <c r="AY2253" s="1">
        <v>1.0</v>
      </c>
      <c r="AZ2253" s="1">
        <v>1.0</v>
      </c>
      <c r="BA2253" s="1">
        <v>3.0</v>
      </c>
      <c r="BB2253" s="1">
        <v>1.0</v>
      </c>
      <c r="BC2253" s="1">
        <v>0.0</v>
      </c>
      <c r="BD2253" s="1">
        <v>0.13</v>
      </c>
      <c r="BE2253" s="1">
        <v>132.0</v>
      </c>
      <c r="BF2253" s="1">
        <v>49.0</v>
      </c>
      <c r="BG2253" s="1">
        <v>0.0</v>
      </c>
      <c r="BH2253" s="1">
        <v>19.0</v>
      </c>
      <c r="BI2253" s="1">
        <v>11.0</v>
      </c>
      <c r="BJ2253" s="1">
        <v>0.0</v>
      </c>
      <c r="BO2253" s="1" t="s">
        <v>7276</v>
      </c>
      <c r="BP2253" s="1">
        <v>1.039</v>
      </c>
      <c r="BU2253" s="1" t="s">
        <v>974</v>
      </c>
      <c r="BV2253" s="1">
        <v>1.1</v>
      </c>
      <c r="EQ2253" s="9" t="s">
        <v>7272</v>
      </c>
      <c r="ER2253" s="21">
        <v>46045.30204861111</v>
      </c>
    </row>
    <row r="2254">
      <c r="A2254" s="9" t="s">
        <v>7277</v>
      </c>
      <c r="B2254" s="20" t="str">
        <f>IFERROR(__xludf.DUMMYFUNCTION("REGEXREPLACE(A2254, ""^https?://[^/]+"", """")"),"/wp-content/uploads/2022/05/thumb-Case-Study_Food-Industry_SX-1-768x406.jpg")</f>
        <v>/wp-content/uploads/2022/05/thumb-Case-Study_Food-Industry_SX-1-768x406.jpg</v>
      </c>
      <c r="F2254" s="1" t="s">
        <v>1004</v>
      </c>
      <c r="G2254" s="1">
        <v>200.0</v>
      </c>
      <c r="H2254" s="1" t="s">
        <v>966</v>
      </c>
      <c r="I2254" s="1" t="s">
        <v>967</v>
      </c>
      <c r="L2254" s="1">
        <v>0.0</v>
      </c>
      <c r="M2254" s="1">
        <v>0.0</v>
      </c>
      <c r="O2254" s="1">
        <v>0.0</v>
      </c>
      <c r="P2254" s="1">
        <v>0.0</v>
      </c>
      <c r="R2254" s="1">
        <v>0.0</v>
      </c>
      <c r="S2254" s="1">
        <v>0.0</v>
      </c>
      <c r="U2254" s="1">
        <v>0.0</v>
      </c>
      <c r="W2254" s="1">
        <v>0.0</v>
      </c>
      <c r="Y2254" s="1">
        <v>0.0</v>
      </c>
      <c r="AA2254" s="1">
        <v>0.0</v>
      </c>
      <c r="AC2254" s="1">
        <v>0.0</v>
      </c>
      <c r="AM2254" s="1">
        <v>74680.0</v>
      </c>
      <c r="AN2254" s="1">
        <v>74680.0</v>
      </c>
      <c r="AO2254" s="1">
        <v>74680.0</v>
      </c>
      <c r="AP2254" s="1">
        <v>28.608</v>
      </c>
      <c r="AR2254" s="1">
        <v>0.0</v>
      </c>
      <c r="AW2254" s="1">
        <v>0.0</v>
      </c>
      <c r="AX2254" s="1">
        <v>5.0</v>
      </c>
      <c r="AY2254" s="1">
        <v>4.0</v>
      </c>
      <c r="BA2254" s="1">
        <v>0.0</v>
      </c>
      <c r="BB2254" s="1">
        <v>0.0</v>
      </c>
      <c r="BC2254" s="1">
        <v>0.0</v>
      </c>
      <c r="BD2254" s="1">
        <v>0.0</v>
      </c>
      <c r="BE2254" s="1">
        <v>0.0</v>
      </c>
      <c r="BF2254" s="1">
        <v>0.0</v>
      </c>
      <c r="BG2254" s="1">
        <v>0.0</v>
      </c>
      <c r="BH2254" s="1">
        <v>0.0</v>
      </c>
      <c r="BI2254" s="1">
        <v>0.0</v>
      </c>
      <c r="BJ2254" s="1">
        <v>0.0</v>
      </c>
      <c r="BP2254" s="1">
        <v>0.281</v>
      </c>
      <c r="BQ2254" s="1" t="s">
        <v>7278</v>
      </c>
      <c r="BV2254" s="1">
        <v>1.1</v>
      </c>
      <c r="EQ2254" s="9" t="s">
        <v>7277</v>
      </c>
      <c r="ER2254" s="21">
        <v>46045.30206018518</v>
      </c>
    </row>
    <row r="2255">
      <c r="A2255" s="9" t="s">
        <v>7279</v>
      </c>
      <c r="B2255" s="20" t="str">
        <f>IFERROR(__xludf.DUMMYFUNCTION("REGEXREPLACE(A2255, ""^https?://[^/]+"", """")"),"/wp-content/uploads/2019/03/Case_Study_Manufacturing-thumb-768x440.jpg")</f>
        <v>/wp-content/uploads/2019/03/Case_Study_Manufacturing-thumb-768x440.jpg</v>
      </c>
      <c r="F2255" s="1" t="s">
        <v>1004</v>
      </c>
      <c r="G2255" s="1">
        <v>200.0</v>
      </c>
      <c r="H2255" s="1" t="s">
        <v>966</v>
      </c>
      <c r="I2255" s="1" t="s">
        <v>967</v>
      </c>
      <c r="L2255" s="1">
        <v>0.0</v>
      </c>
      <c r="M2255" s="1">
        <v>0.0</v>
      </c>
      <c r="O2255" s="1">
        <v>0.0</v>
      </c>
      <c r="P2255" s="1">
        <v>0.0</v>
      </c>
      <c r="R2255" s="1">
        <v>0.0</v>
      </c>
      <c r="S2255" s="1">
        <v>0.0</v>
      </c>
      <c r="U2255" s="1">
        <v>0.0</v>
      </c>
      <c r="W2255" s="1">
        <v>0.0</v>
      </c>
      <c r="Y2255" s="1">
        <v>0.0</v>
      </c>
      <c r="AA2255" s="1">
        <v>0.0</v>
      </c>
      <c r="AC2255" s="1">
        <v>0.0</v>
      </c>
      <c r="AM2255" s="1">
        <v>83638.0</v>
      </c>
      <c r="AN2255" s="1">
        <v>83638.0</v>
      </c>
      <c r="AO2255" s="1">
        <v>83638.0</v>
      </c>
      <c r="AP2255" s="1">
        <v>32.04</v>
      </c>
      <c r="AR2255" s="1">
        <v>0.0</v>
      </c>
      <c r="AW2255" s="1">
        <v>0.0</v>
      </c>
      <c r="AX2255" s="1">
        <v>5.0</v>
      </c>
      <c r="AY2255" s="1">
        <v>4.0</v>
      </c>
      <c r="BA2255" s="1">
        <v>0.0</v>
      </c>
      <c r="BB2255" s="1">
        <v>0.0</v>
      </c>
      <c r="BC2255" s="1">
        <v>0.0</v>
      </c>
      <c r="BD2255" s="1">
        <v>0.0</v>
      </c>
      <c r="BE2255" s="1">
        <v>0.0</v>
      </c>
      <c r="BF2255" s="1">
        <v>0.0</v>
      </c>
      <c r="BG2255" s="1">
        <v>0.0</v>
      </c>
      <c r="BH2255" s="1">
        <v>0.0</v>
      </c>
      <c r="BI2255" s="1">
        <v>0.0</v>
      </c>
      <c r="BJ2255" s="1">
        <v>0.0</v>
      </c>
      <c r="BP2255" s="1">
        <v>0.273</v>
      </c>
      <c r="BQ2255" s="1" t="s">
        <v>7280</v>
      </c>
      <c r="BV2255" s="1">
        <v>1.1</v>
      </c>
      <c r="EQ2255" s="9" t="s">
        <v>7279</v>
      </c>
      <c r="ER2255" s="21">
        <v>46045.30207175926</v>
      </c>
    </row>
    <row r="2256">
      <c r="A2256" s="9" t="s">
        <v>7281</v>
      </c>
      <c r="B2256" s="20" t="str">
        <f>IFERROR(__xludf.DUMMYFUNCTION("REGEXREPLACE(A2256, ""^https?://[^/]+"", """")"),"/7-things-to-measure-to-evaluate-sales-representative-performance/")</f>
        <v>/7-things-to-measure-to-evaluate-sales-representative-performance/</v>
      </c>
      <c r="C2256" s="1" t="s">
        <v>7282</v>
      </c>
      <c r="D2256" s="1" t="s">
        <v>7283</v>
      </c>
      <c r="E2256" s="1" t="s">
        <v>7284</v>
      </c>
      <c r="F2256" s="1" t="s">
        <v>965</v>
      </c>
      <c r="G2256" s="1">
        <v>200.0</v>
      </c>
      <c r="H2256" s="1" t="s">
        <v>966</v>
      </c>
      <c r="I2256" s="1" t="s">
        <v>967</v>
      </c>
      <c r="K2256" s="1" t="s">
        <v>7285</v>
      </c>
      <c r="L2256" s="1">
        <v>89.0</v>
      </c>
      <c r="M2256" s="1">
        <v>818.0</v>
      </c>
      <c r="O2256" s="1">
        <v>0.0</v>
      </c>
      <c r="P2256" s="1">
        <v>0.0</v>
      </c>
      <c r="Q2256" s="1" t="s">
        <v>7286</v>
      </c>
      <c r="R2256" s="1">
        <v>155.0</v>
      </c>
      <c r="S2256" s="1">
        <v>949.0</v>
      </c>
      <c r="U2256" s="1">
        <v>0.0</v>
      </c>
      <c r="V2256" s="1" t="s">
        <v>7282</v>
      </c>
      <c r="W2256" s="1">
        <v>64.0</v>
      </c>
      <c r="Y2256" s="1">
        <v>0.0</v>
      </c>
      <c r="Z2256" s="1" t="s">
        <v>7283</v>
      </c>
      <c r="AA2256" s="1">
        <v>20.0</v>
      </c>
      <c r="AB2256" s="1" t="s">
        <v>7284</v>
      </c>
      <c r="AC2256" s="1">
        <v>22.0</v>
      </c>
      <c r="AD2256" s="1" t="s">
        <v>971</v>
      </c>
      <c r="AG2256" s="9" t="s">
        <v>7281</v>
      </c>
      <c r="AM2256" s="1">
        <v>205350.0</v>
      </c>
      <c r="AN2256" s="1">
        <v>36208.0</v>
      </c>
      <c r="AO2256" s="1">
        <v>36208.0</v>
      </c>
      <c r="AP2256" s="1">
        <v>13.871</v>
      </c>
      <c r="AR2256" s="1">
        <v>1460.0</v>
      </c>
      <c r="AS2256" s="1">
        <v>217.0</v>
      </c>
      <c r="AT2256" s="1">
        <v>6.728</v>
      </c>
      <c r="AU2256" s="1">
        <v>62.85</v>
      </c>
      <c r="AV2256" s="1" t="s">
        <v>990</v>
      </c>
      <c r="AW2256" s="1">
        <v>5.535</v>
      </c>
      <c r="AX2256" s="1">
        <v>5.0</v>
      </c>
      <c r="AY2256" s="1">
        <v>1.0</v>
      </c>
      <c r="AZ2256" s="1">
        <v>1.0</v>
      </c>
      <c r="BA2256" s="1">
        <v>5.0</v>
      </c>
      <c r="BB2256" s="1">
        <v>3.0</v>
      </c>
      <c r="BC2256" s="1">
        <v>0.0</v>
      </c>
      <c r="BD2256" s="1">
        <v>0.4</v>
      </c>
      <c r="BE2256" s="1">
        <v>136.0</v>
      </c>
      <c r="BF2256" s="1">
        <v>49.0</v>
      </c>
      <c r="BG2256" s="1">
        <v>0.0</v>
      </c>
      <c r="BH2256" s="1">
        <v>16.0</v>
      </c>
      <c r="BI2256" s="1">
        <v>8.0</v>
      </c>
      <c r="BJ2256" s="1">
        <v>0.0</v>
      </c>
      <c r="BO2256" s="1" t="s">
        <v>7287</v>
      </c>
      <c r="BP2256" s="1">
        <v>0.992</v>
      </c>
      <c r="BU2256" s="1" t="s">
        <v>974</v>
      </c>
      <c r="BV2256" s="1">
        <v>1.1</v>
      </c>
      <c r="EQ2256" s="9" t="s">
        <v>7281</v>
      </c>
      <c r="ER2256" s="21">
        <v>46045.30204861111</v>
      </c>
    </row>
    <row r="2257">
      <c r="A2257" s="9" t="s">
        <v>7288</v>
      </c>
      <c r="B2257" s="20" t="str">
        <f>IFERROR(__xludf.DUMMYFUNCTION("REGEXREPLACE(A2257, ""^https?://[^/]+"", """")"),"/wp-content/uploads/2022/06/thumb-Case-Study_Security_SX-1-768x406.jpg")</f>
        <v>/wp-content/uploads/2022/06/thumb-Case-Study_Security_SX-1-768x406.jpg</v>
      </c>
      <c r="F2257" s="1" t="s">
        <v>1004</v>
      </c>
      <c r="G2257" s="1">
        <v>200.0</v>
      </c>
      <c r="H2257" s="1" t="s">
        <v>966</v>
      </c>
      <c r="I2257" s="1" t="s">
        <v>967</v>
      </c>
      <c r="L2257" s="1">
        <v>0.0</v>
      </c>
      <c r="M2257" s="1">
        <v>0.0</v>
      </c>
      <c r="O2257" s="1">
        <v>0.0</v>
      </c>
      <c r="P2257" s="1">
        <v>0.0</v>
      </c>
      <c r="R2257" s="1">
        <v>0.0</v>
      </c>
      <c r="S2257" s="1">
        <v>0.0</v>
      </c>
      <c r="U2257" s="1">
        <v>0.0</v>
      </c>
      <c r="W2257" s="1">
        <v>0.0</v>
      </c>
      <c r="Y2257" s="1">
        <v>0.0</v>
      </c>
      <c r="AA2257" s="1">
        <v>0.0</v>
      </c>
      <c r="AC2257" s="1">
        <v>0.0</v>
      </c>
      <c r="AM2257" s="1">
        <v>45244.0</v>
      </c>
      <c r="AN2257" s="1">
        <v>45244.0</v>
      </c>
      <c r="AO2257" s="1">
        <v>45244.0</v>
      </c>
      <c r="AP2257" s="1">
        <v>17.332</v>
      </c>
      <c r="AR2257" s="1">
        <v>0.0</v>
      </c>
      <c r="AW2257" s="1">
        <v>0.0</v>
      </c>
      <c r="AX2257" s="1">
        <v>5.0</v>
      </c>
      <c r="AY2257" s="1">
        <v>4.0</v>
      </c>
      <c r="BA2257" s="1">
        <v>0.0</v>
      </c>
      <c r="BB2257" s="1">
        <v>0.0</v>
      </c>
      <c r="BC2257" s="1">
        <v>0.0</v>
      </c>
      <c r="BD2257" s="1">
        <v>0.0</v>
      </c>
      <c r="BE2257" s="1">
        <v>0.0</v>
      </c>
      <c r="BF2257" s="1">
        <v>0.0</v>
      </c>
      <c r="BG2257" s="1">
        <v>0.0</v>
      </c>
      <c r="BH2257" s="1">
        <v>0.0</v>
      </c>
      <c r="BI2257" s="1">
        <v>0.0</v>
      </c>
      <c r="BJ2257" s="1">
        <v>0.0</v>
      </c>
      <c r="BP2257" s="1">
        <v>0.279</v>
      </c>
      <c r="BQ2257" s="1" t="s">
        <v>7289</v>
      </c>
      <c r="BV2257" s="1">
        <v>1.1</v>
      </c>
      <c r="EQ2257" s="9" t="s">
        <v>7288</v>
      </c>
      <c r="ER2257" s="21">
        <v>46045.30207175926</v>
      </c>
    </row>
    <row r="2258">
      <c r="A2258" s="9" t="s">
        <v>7290</v>
      </c>
      <c r="B2258" s="20" t="str">
        <f>IFERROR(__xludf.DUMMYFUNCTION("REGEXREPLACE(A2258, ""^https?://[^/]+"", """")"),"/wp-content/uploads/2019/01/shutterstock_727711573-resized-300x200.jpg")</f>
        <v>/wp-content/uploads/2019/01/shutterstock_727711573-resized-300x200.jpg</v>
      </c>
      <c r="F2258" s="1" t="s">
        <v>1004</v>
      </c>
      <c r="G2258" s="1">
        <v>200.0</v>
      </c>
      <c r="H2258" s="1" t="s">
        <v>966</v>
      </c>
      <c r="I2258" s="1" t="s">
        <v>967</v>
      </c>
      <c r="L2258" s="1">
        <v>0.0</v>
      </c>
      <c r="M2258" s="1">
        <v>0.0</v>
      </c>
      <c r="O2258" s="1">
        <v>0.0</v>
      </c>
      <c r="P2258" s="1">
        <v>0.0</v>
      </c>
      <c r="R2258" s="1">
        <v>0.0</v>
      </c>
      <c r="S2258" s="1">
        <v>0.0</v>
      </c>
      <c r="U2258" s="1">
        <v>0.0</v>
      </c>
      <c r="W2258" s="1">
        <v>0.0</v>
      </c>
      <c r="Y2258" s="1">
        <v>0.0</v>
      </c>
      <c r="AA2258" s="1">
        <v>0.0</v>
      </c>
      <c r="AC2258" s="1">
        <v>0.0</v>
      </c>
      <c r="AM2258" s="1">
        <v>14929.0</v>
      </c>
      <c r="AN2258" s="1">
        <v>14929.0</v>
      </c>
      <c r="AO2258" s="1">
        <v>14929.0</v>
      </c>
      <c r="AP2258" s="1">
        <v>5.719</v>
      </c>
      <c r="AR2258" s="1">
        <v>0.0</v>
      </c>
      <c r="AW2258" s="1">
        <v>0.0</v>
      </c>
      <c r="AX2258" s="1">
        <v>5.0</v>
      </c>
      <c r="AY2258" s="1">
        <v>4.0</v>
      </c>
      <c r="BA2258" s="1">
        <v>0.0</v>
      </c>
      <c r="BB2258" s="1">
        <v>0.0</v>
      </c>
      <c r="BC2258" s="1">
        <v>0.0</v>
      </c>
      <c r="BD2258" s="1">
        <v>0.0</v>
      </c>
      <c r="BE2258" s="1">
        <v>0.0</v>
      </c>
      <c r="BF2258" s="1">
        <v>0.0</v>
      </c>
      <c r="BG2258" s="1">
        <v>0.0</v>
      </c>
      <c r="BH2258" s="1">
        <v>0.0</v>
      </c>
      <c r="BI2258" s="1">
        <v>0.0</v>
      </c>
      <c r="BJ2258" s="1">
        <v>0.0</v>
      </c>
      <c r="BP2258" s="1">
        <v>0.275</v>
      </c>
      <c r="BQ2258" s="1" t="s">
        <v>7291</v>
      </c>
      <c r="BV2258" s="1">
        <v>1.1</v>
      </c>
      <c r="EQ2258" s="9" t="s">
        <v>7290</v>
      </c>
      <c r="ER2258" s="21">
        <v>46045.30207175926</v>
      </c>
    </row>
    <row r="2259">
      <c r="A2259" s="9" t="s">
        <v>7292</v>
      </c>
      <c r="B2259" s="20" t="str">
        <f>IFERROR(__xludf.DUMMYFUNCTION("REGEXREPLACE(A2259, ""^https?://[^/]+"", """")"),"/wp-content/uploads/2020/09/cs-distrib-full-1-768x439.jpg")</f>
        <v>/wp-content/uploads/2020/09/cs-distrib-full-1-768x439.jpg</v>
      </c>
      <c r="F2259" s="1" t="s">
        <v>1004</v>
      </c>
      <c r="G2259" s="1">
        <v>200.0</v>
      </c>
      <c r="H2259" s="1" t="s">
        <v>966</v>
      </c>
      <c r="I2259" s="1" t="s">
        <v>967</v>
      </c>
      <c r="L2259" s="1">
        <v>0.0</v>
      </c>
      <c r="M2259" s="1">
        <v>0.0</v>
      </c>
      <c r="O2259" s="1">
        <v>0.0</v>
      </c>
      <c r="P2259" s="1">
        <v>0.0</v>
      </c>
      <c r="R2259" s="1">
        <v>0.0</v>
      </c>
      <c r="S2259" s="1">
        <v>0.0</v>
      </c>
      <c r="U2259" s="1">
        <v>0.0</v>
      </c>
      <c r="W2259" s="1">
        <v>0.0</v>
      </c>
      <c r="Y2259" s="1">
        <v>0.0</v>
      </c>
      <c r="AA2259" s="1">
        <v>0.0</v>
      </c>
      <c r="AC2259" s="1">
        <v>0.0</v>
      </c>
      <c r="AM2259" s="1">
        <v>76586.0</v>
      </c>
      <c r="AN2259" s="1">
        <v>76586.0</v>
      </c>
      <c r="AO2259" s="1">
        <v>76586.0</v>
      </c>
      <c r="AP2259" s="1">
        <v>29.339</v>
      </c>
      <c r="AR2259" s="1">
        <v>0.0</v>
      </c>
      <c r="AW2259" s="1">
        <v>0.0</v>
      </c>
      <c r="AX2259" s="1">
        <v>5.0</v>
      </c>
      <c r="AY2259" s="1">
        <v>4.0</v>
      </c>
      <c r="BA2259" s="1">
        <v>0.0</v>
      </c>
      <c r="BB2259" s="1">
        <v>0.0</v>
      </c>
      <c r="BC2259" s="1">
        <v>0.0</v>
      </c>
      <c r="BD2259" s="1">
        <v>0.0</v>
      </c>
      <c r="BE2259" s="1">
        <v>0.0</v>
      </c>
      <c r="BF2259" s="1">
        <v>0.0</v>
      </c>
      <c r="BG2259" s="1">
        <v>0.0</v>
      </c>
      <c r="BH2259" s="1">
        <v>0.0</v>
      </c>
      <c r="BI2259" s="1">
        <v>0.0</v>
      </c>
      <c r="BJ2259" s="1">
        <v>0.0</v>
      </c>
      <c r="BP2259" s="1">
        <v>0.265</v>
      </c>
      <c r="BQ2259" s="1" t="s">
        <v>7293</v>
      </c>
      <c r="BV2259" s="1">
        <v>1.1</v>
      </c>
      <c r="EQ2259" s="9" t="s">
        <v>7292</v>
      </c>
      <c r="ER2259" s="21">
        <v>46045.30207175926</v>
      </c>
    </row>
    <row r="2260">
      <c r="A2260" s="9" t="s">
        <v>7294</v>
      </c>
      <c r="B2260" s="20" t="str">
        <f>IFERROR(__xludf.DUMMYFUNCTION("REGEXREPLACE(A2260, ""^https?://[^/]+"", """")"),"/7-things-sales-managers-do-wrong/")</f>
        <v>/7-things-sales-managers-do-wrong/</v>
      </c>
      <c r="C2260" s="1" t="s">
        <v>7295</v>
      </c>
      <c r="D2260" s="1" t="s">
        <v>7296</v>
      </c>
      <c r="E2260" s="1" t="s">
        <v>7297</v>
      </c>
      <c r="F2260" s="1" t="s">
        <v>965</v>
      </c>
      <c r="G2260" s="1">
        <v>200.0</v>
      </c>
      <c r="H2260" s="1" t="s">
        <v>966</v>
      </c>
      <c r="I2260" s="1" t="s">
        <v>967</v>
      </c>
      <c r="K2260" s="1" t="s">
        <v>7298</v>
      </c>
      <c r="L2260" s="1">
        <v>57.0</v>
      </c>
      <c r="M2260" s="1">
        <v>545.0</v>
      </c>
      <c r="O2260" s="1">
        <v>0.0</v>
      </c>
      <c r="P2260" s="1">
        <v>0.0</v>
      </c>
      <c r="Q2260" s="1" t="s">
        <v>7299</v>
      </c>
      <c r="R2260" s="1">
        <v>130.0</v>
      </c>
      <c r="S2260" s="1">
        <v>831.0</v>
      </c>
      <c r="U2260" s="1">
        <v>0.0</v>
      </c>
      <c r="V2260" s="1" t="s">
        <v>7295</v>
      </c>
      <c r="W2260" s="1">
        <v>32.0</v>
      </c>
      <c r="Y2260" s="1">
        <v>0.0</v>
      </c>
      <c r="Z2260" s="1" t="s">
        <v>7296</v>
      </c>
      <c r="AA2260" s="1">
        <v>35.0</v>
      </c>
      <c r="AB2260" s="1" t="s">
        <v>7297</v>
      </c>
      <c r="AC2260" s="1">
        <v>41.0</v>
      </c>
      <c r="AD2260" s="1" t="s">
        <v>971</v>
      </c>
      <c r="AG2260" s="9" t="s">
        <v>7294</v>
      </c>
      <c r="AM2260" s="1">
        <v>200057.0</v>
      </c>
      <c r="AN2260" s="1">
        <v>35493.0</v>
      </c>
      <c r="AO2260" s="1">
        <v>35493.0</v>
      </c>
      <c r="AP2260" s="1">
        <v>13.597</v>
      </c>
      <c r="AR2260" s="1">
        <v>1160.0</v>
      </c>
      <c r="AS2260" s="1">
        <v>179.0</v>
      </c>
      <c r="AT2260" s="1">
        <v>6.48</v>
      </c>
      <c r="AU2260" s="1">
        <v>59.136</v>
      </c>
      <c r="AV2260" s="1" t="s">
        <v>972</v>
      </c>
      <c r="AW2260" s="1">
        <v>4.857</v>
      </c>
      <c r="AX2260" s="1">
        <v>5.0</v>
      </c>
      <c r="AY2260" s="1">
        <v>1.0</v>
      </c>
      <c r="AZ2260" s="1">
        <v>1.0</v>
      </c>
      <c r="BA2260" s="1">
        <v>4.0</v>
      </c>
      <c r="BB2260" s="1">
        <v>2.0</v>
      </c>
      <c r="BC2260" s="1">
        <v>0.0</v>
      </c>
      <c r="BD2260" s="1">
        <v>0.27</v>
      </c>
      <c r="BE2260" s="1">
        <v>134.0</v>
      </c>
      <c r="BF2260" s="1">
        <v>49.0</v>
      </c>
      <c r="BG2260" s="1">
        <v>0.0</v>
      </c>
      <c r="BH2260" s="1">
        <v>16.0</v>
      </c>
      <c r="BI2260" s="1">
        <v>8.0</v>
      </c>
      <c r="BJ2260" s="1">
        <v>0.0</v>
      </c>
      <c r="BO2260" s="1" t="s">
        <v>7300</v>
      </c>
      <c r="BP2260" s="1">
        <v>0.958</v>
      </c>
      <c r="BU2260" s="1" t="s">
        <v>974</v>
      </c>
      <c r="BV2260" s="1">
        <v>1.1</v>
      </c>
      <c r="EQ2260" s="9" t="s">
        <v>7294</v>
      </c>
      <c r="ER2260" s="21">
        <v>46045.30206018518</v>
      </c>
    </row>
    <row r="2261">
      <c r="A2261" s="9" t="s">
        <v>7301</v>
      </c>
      <c r="B2261" s="20" t="str">
        <f>IFERROR(__xludf.DUMMYFUNCTION("REGEXREPLACE(A2261, ""^https?://[^/]+"", """")"),"/wp-content/uploads/2023/03/Measuring-Sales-Rep-Success-300x300.jpg")</f>
        <v>/wp-content/uploads/2023/03/Measuring-Sales-Rep-Success-300x300.jpg</v>
      </c>
      <c r="F2261" s="1" t="s">
        <v>1004</v>
      </c>
      <c r="G2261" s="1">
        <v>200.0</v>
      </c>
      <c r="H2261" s="1" t="s">
        <v>966</v>
      </c>
      <c r="I2261" s="1" t="s">
        <v>967</v>
      </c>
      <c r="L2261" s="1">
        <v>0.0</v>
      </c>
      <c r="M2261" s="1">
        <v>0.0</v>
      </c>
      <c r="O2261" s="1">
        <v>0.0</v>
      </c>
      <c r="P2261" s="1">
        <v>0.0</v>
      </c>
      <c r="R2261" s="1">
        <v>0.0</v>
      </c>
      <c r="S2261" s="1">
        <v>0.0</v>
      </c>
      <c r="U2261" s="1">
        <v>0.0</v>
      </c>
      <c r="W2261" s="1">
        <v>0.0</v>
      </c>
      <c r="Y2261" s="1">
        <v>0.0</v>
      </c>
      <c r="AA2261" s="1">
        <v>0.0</v>
      </c>
      <c r="AC2261" s="1">
        <v>0.0</v>
      </c>
      <c r="AM2261" s="1">
        <v>10063.0</v>
      </c>
      <c r="AN2261" s="1">
        <v>10063.0</v>
      </c>
      <c r="AO2261" s="1">
        <v>10063.0</v>
      </c>
      <c r="AP2261" s="1">
        <v>3.855</v>
      </c>
      <c r="AR2261" s="1">
        <v>0.0</v>
      </c>
      <c r="AW2261" s="1">
        <v>0.0</v>
      </c>
      <c r="AX2261" s="1">
        <v>5.0</v>
      </c>
      <c r="AY2261" s="1">
        <v>4.0</v>
      </c>
      <c r="BA2261" s="1">
        <v>0.0</v>
      </c>
      <c r="BB2261" s="1">
        <v>0.0</v>
      </c>
      <c r="BC2261" s="1">
        <v>0.0</v>
      </c>
      <c r="BD2261" s="1">
        <v>0.0</v>
      </c>
      <c r="BE2261" s="1">
        <v>0.0</v>
      </c>
      <c r="BF2261" s="1">
        <v>0.0</v>
      </c>
      <c r="BG2261" s="1">
        <v>0.0</v>
      </c>
      <c r="BH2261" s="1">
        <v>0.0</v>
      </c>
      <c r="BI2261" s="1">
        <v>0.0</v>
      </c>
      <c r="BJ2261" s="1">
        <v>0.0</v>
      </c>
      <c r="BP2261" s="1">
        <v>1.279</v>
      </c>
      <c r="BQ2261" s="1" t="s">
        <v>7302</v>
      </c>
      <c r="BV2261" s="1">
        <v>1.1</v>
      </c>
      <c r="EQ2261" s="9" t="s">
        <v>7301</v>
      </c>
      <c r="ER2261" s="21">
        <v>46045.30206018518</v>
      </c>
    </row>
    <row r="2262">
      <c r="A2262" s="9" t="s">
        <v>7303</v>
      </c>
      <c r="B2262" s="20" t="str">
        <f>IFERROR(__xludf.DUMMYFUNCTION("REGEXREPLACE(A2262, ""^https?://[^/]+"", """")"),"/wp-content/uploads/2020/04/Businessman_virtually_evaluating_business_sales_processes-scaled-e1585932608979.jpg")</f>
        <v>/wp-content/uploads/2020/04/Businessman_virtually_evaluating_business_sales_processes-scaled-e1585932608979.jpg</v>
      </c>
      <c r="F2262" s="1" t="s">
        <v>1004</v>
      </c>
      <c r="G2262" s="1">
        <v>200.0</v>
      </c>
      <c r="H2262" s="1" t="s">
        <v>966</v>
      </c>
      <c r="I2262" s="1" t="s">
        <v>967</v>
      </c>
      <c r="L2262" s="1">
        <v>0.0</v>
      </c>
      <c r="M2262" s="1">
        <v>0.0</v>
      </c>
      <c r="O2262" s="1">
        <v>0.0</v>
      </c>
      <c r="P2262" s="1">
        <v>0.0</v>
      </c>
      <c r="R2262" s="1">
        <v>0.0</v>
      </c>
      <c r="S2262" s="1">
        <v>0.0</v>
      </c>
      <c r="U2262" s="1">
        <v>0.0</v>
      </c>
      <c r="W2262" s="1">
        <v>0.0</v>
      </c>
      <c r="Y2262" s="1">
        <v>0.0</v>
      </c>
      <c r="AA2262" s="1">
        <v>0.0</v>
      </c>
      <c r="AC2262" s="1">
        <v>0.0</v>
      </c>
      <c r="AM2262" s="1">
        <v>225773.0</v>
      </c>
      <c r="AN2262" s="1">
        <v>225773.0</v>
      </c>
      <c r="AO2262" s="1">
        <v>225773.0</v>
      </c>
      <c r="AP2262" s="1">
        <v>86.489</v>
      </c>
      <c r="AR2262" s="1">
        <v>0.0</v>
      </c>
      <c r="AW2262" s="1">
        <v>0.0</v>
      </c>
      <c r="AX2262" s="1">
        <v>5.0</v>
      </c>
      <c r="AY2262" s="1">
        <v>4.0</v>
      </c>
      <c r="BA2262" s="1">
        <v>0.0</v>
      </c>
      <c r="BB2262" s="1">
        <v>0.0</v>
      </c>
      <c r="BC2262" s="1">
        <v>0.0</v>
      </c>
      <c r="BD2262" s="1">
        <v>0.0</v>
      </c>
      <c r="BE2262" s="1">
        <v>0.0</v>
      </c>
      <c r="BF2262" s="1">
        <v>0.0</v>
      </c>
      <c r="BG2262" s="1">
        <v>0.0</v>
      </c>
      <c r="BH2262" s="1">
        <v>0.0</v>
      </c>
      <c r="BI2262" s="1">
        <v>0.0</v>
      </c>
      <c r="BJ2262" s="1">
        <v>0.0</v>
      </c>
      <c r="BP2262" s="1">
        <v>0.279</v>
      </c>
      <c r="BQ2262" s="1" t="s">
        <v>7304</v>
      </c>
      <c r="BV2262" s="1">
        <v>1.1</v>
      </c>
      <c r="EQ2262" s="9" t="s">
        <v>7303</v>
      </c>
      <c r="ER2262" s="21">
        <v>46045.30207175926</v>
      </c>
    </row>
    <row r="2263">
      <c r="A2263" s="9" t="s">
        <v>7305</v>
      </c>
      <c r="B2263" s="20" t="str">
        <f>IFERROR(__xludf.DUMMYFUNCTION("REGEXREPLACE(A2263, ""^https?://[^/]+"", """")"),"/wp-content/uploads/2022/04/Cocca-Chris-1-100x100.jpg")</f>
        <v>/wp-content/uploads/2022/04/Cocca-Chris-1-100x100.jpg</v>
      </c>
      <c r="F2263" s="1" t="s">
        <v>1004</v>
      </c>
      <c r="G2263" s="1">
        <v>200.0</v>
      </c>
      <c r="H2263" s="1" t="s">
        <v>966</v>
      </c>
      <c r="I2263" s="1" t="s">
        <v>967</v>
      </c>
      <c r="L2263" s="1">
        <v>0.0</v>
      </c>
      <c r="M2263" s="1">
        <v>0.0</v>
      </c>
      <c r="O2263" s="1">
        <v>0.0</v>
      </c>
      <c r="P2263" s="1">
        <v>0.0</v>
      </c>
      <c r="R2263" s="1">
        <v>0.0</v>
      </c>
      <c r="S2263" s="1">
        <v>0.0</v>
      </c>
      <c r="U2263" s="1">
        <v>0.0</v>
      </c>
      <c r="W2263" s="1">
        <v>0.0</v>
      </c>
      <c r="Y2263" s="1">
        <v>0.0</v>
      </c>
      <c r="AA2263" s="1">
        <v>0.0</v>
      </c>
      <c r="AC2263" s="1">
        <v>0.0</v>
      </c>
      <c r="AM2263" s="1">
        <v>2381.0</v>
      </c>
      <c r="AN2263" s="1">
        <v>2381.0</v>
      </c>
      <c r="AO2263" s="1">
        <v>2381.0</v>
      </c>
      <c r="AP2263" s="1">
        <v>0.912</v>
      </c>
      <c r="AR2263" s="1">
        <v>0.0</v>
      </c>
      <c r="AW2263" s="1">
        <v>0.0</v>
      </c>
      <c r="AX2263" s="1">
        <v>5.0</v>
      </c>
      <c r="AY2263" s="1">
        <v>4.0</v>
      </c>
      <c r="BA2263" s="1">
        <v>0.0</v>
      </c>
      <c r="BB2263" s="1">
        <v>0.0</v>
      </c>
      <c r="BC2263" s="1">
        <v>0.0</v>
      </c>
      <c r="BD2263" s="1">
        <v>0.0</v>
      </c>
      <c r="BE2263" s="1">
        <v>0.0</v>
      </c>
      <c r="BF2263" s="1">
        <v>0.0</v>
      </c>
      <c r="BG2263" s="1">
        <v>0.0</v>
      </c>
      <c r="BH2263" s="1">
        <v>0.0</v>
      </c>
      <c r="BI2263" s="1">
        <v>0.0</v>
      </c>
      <c r="BJ2263" s="1">
        <v>0.0</v>
      </c>
      <c r="BP2263" s="1">
        <v>0.285</v>
      </c>
      <c r="BQ2263" s="1" t="s">
        <v>7306</v>
      </c>
      <c r="BV2263" s="1">
        <v>1.1</v>
      </c>
      <c r="EQ2263" s="9" t="s">
        <v>7305</v>
      </c>
      <c r="ER2263" s="21">
        <v>46045.302083333336</v>
      </c>
    </row>
    <row r="2264">
      <c r="A2264" s="9" t="s">
        <v>7307</v>
      </c>
      <c r="B2264" s="20" t="str">
        <f>IFERROR(__xludf.DUMMYFUNCTION("REGEXREPLACE(A2264, ""^https?://[^/]+"", """")"),"/why-a-crm-is-essential-for-successful-sales-a-representatives-perspective/")</f>
        <v>/why-a-crm-is-essential-for-successful-sales-a-representatives-perspective/</v>
      </c>
      <c r="C2264" s="1" t="s">
        <v>7308</v>
      </c>
      <c r="F2264" s="1" t="s">
        <v>965</v>
      </c>
      <c r="G2264" s="1">
        <v>200.0</v>
      </c>
      <c r="H2264" s="1" t="s">
        <v>966</v>
      </c>
      <c r="I2264" s="1" t="s">
        <v>967</v>
      </c>
      <c r="K2264" s="1" t="s">
        <v>7309</v>
      </c>
      <c r="L2264" s="1">
        <v>100.0</v>
      </c>
      <c r="M2264" s="1">
        <v>895.0</v>
      </c>
      <c r="O2264" s="1">
        <v>0.0</v>
      </c>
      <c r="P2264" s="1">
        <v>0.0</v>
      </c>
      <c r="Q2264" s="1" t="s">
        <v>7310</v>
      </c>
      <c r="R2264" s="1">
        <v>152.0</v>
      </c>
      <c r="S2264" s="1">
        <v>935.0</v>
      </c>
      <c r="U2264" s="1">
        <v>0.0</v>
      </c>
      <c r="V2264" s="1" t="s">
        <v>7308</v>
      </c>
      <c r="W2264" s="1">
        <v>75.0</v>
      </c>
      <c r="Y2264" s="1">
        <v>0.0</v>
      </c>
      <c r="AA2264" s="1">
        <v>0.0</v>
      </c>
      <c r="AC2264" s="1">
        <v>0.0</v>
      </c>
      <c r="AD2264" s="1" t="s">
        <v>971</v>
      </c>
      <c r="AG2264" s="9" t="s">
        <v>7307</v>
      </c>
      <c r="AM2264" s="1">
        <v>201692.0</v>
      </c>
      <c r="AN2264" s="1">
        <v>35814.0</v>
      </c>
      <c r="AO2264" s="1">
        <v>35814.0</v>
      </c>
      <c r="AP2264" s="1">
        <v>13.72</v>
      </c>
      <c r="AR2264" s="1">
        <v>1237.0</v>
      </c>
      <c r="AS2264" s="1">
        <v>189.0</v>
      </c>
      <c r="AT2264" s="1">
        <v>6.545</v>
      </c>
      <c r="AU2264" s="1">
        <v>62.11</v>
      </c>
      <c r="AV2264" s="1" t="s">
        <v>990</v>
      </c>
      <c r="AW2264" s="1">
        <v>4.962</v>
      </c>
      <c r="AX2264" s="1">
        <v>5.0</v>
      </c>
      <c r="AY2264" s="1">
        <v>1.0</v>
      </c>
      <c r="AZ2264" s="1">
        <v>1.0</v>
      </c>
      <c r="BA2264" s="1">
        <v>3.0</v>
      </c>
      <c r="BB2264" s="1">
        <v>1.0</v>
      </c>
      <c r="BC2264" s="1">
        <v>0.0</v>
      </c>
      <c r="BD2264" s="1">
        <v>0.13</v>
      </c>
      <c r="BE2264" s="1">
        <v>132.0</v>
      </c>
      <c r="BF2264" s="1">
        <v>49.0</v>
      </c>
      <c r="BG2264" s="1">
        <v>0.0</v>
      </c>
      <c r="BH2264" s="1">
        <v>16.0</v>
      </c>
      <c r="BI2264" s="1">
        <v>8.0</v>
      </c>
      <c r="BJ2264" s="1">
        <v>0.0</v>
      </c>
      <c r="BO2264" s="1" t="s">
        <v>7311</v>
      </c>
      <c r="BP2264" s="1">
        <v>0.97</v>
      </c>
      <c r="BU2264" s="1" t="s">
        <v>974</v>
      </c>
      <c r="BV2264" s="1">
        <v>1.1</v>
      </c>
      <c r="EQ2264" s="9" t="s">
        <v>7307</v>
      </c>
      <c r="ER2264" s="21">
        <v>46045.30207175926</v>
      </c>
    </row>
    <row r="2265">
      <c r="A2265" s="9" t="s">
        <v>7312</v>
      </c>
      <c r="B2265" s="20" t="str">
        <f>IFERROR(__xludf.DUMMYFUNCTION("REGEXREPLACE(A2265, ""^https?://[^/]+"", """")"),"/wp-content/uploads/2020/04/SX-Buinessmen_meeting_and_planning-scaled-1-2048x2048.jpg")</f>
        <v>/wp-content/uploads/2020/04/SX-Buinessmen_meeting_and_planning-scaled-1-2048x2048.jpg</v>
      </c>
      <c r="F2265" s="1" t="s">
        <v>1004</v>
      </c>
      <c r="G2265" s="1">
        <v>200.0</v>
      </c>
      <c r="H2265" s="1" t="s">
        <v>966</v>
      </c>
      <c r="I2265" s="1" t="s">
        <v>967</v>
      </c>
      <c r="L2265" s="1">
        <v>0.0</v>
      </c>
      <c r="M2265" s="1">
        <v>0.0</v>
      </c>
      <c r="O2265" s="1">
        <v>0.0</v>
      </c>
      <c r="P2265" s="1">
        <v>0.0</v>
      </c>
      <c r="R2265" s="1">
        <v>0.0</v>
      </c>
      <c r="S2265" s="1">
        <v>0.0</v>
      </c>
      <c r="U2265" s="1">
        <v>0.0</v>
      </c>
      <c r="W2265" s="1">
        <v>0.0</v>
      </c>
      <c r="Y2265" s="1">
        <v>0.0</v>
      </c>
      <c r="AA2265" s="1">
        <v>0.0</v>
      </c>
      <c r="AC2265" s="1">
        <v>0.0</v>
      </c>
      <c r="AM2265" s="1">
        <v>306395.0</v>
      </c>
      <c r="AN2265" s="1">
        <v>306395.0</v>
      </c>
      <c r="AO2265" s="1">
        <v>306395.0</v>
      </c>
      <c r="AP2265" s="1">
        <v>117.374</v>
      </c>
      <c r="AR2265" s="1">
        <v>0.0</v>
      </c>
      <c r="AW2265" s="1">
        <v>0.0</v>
      </c>
      <c r="AX2265" s="1">
        <v>5.0</v>
      </c>
      <c r="AY2265" s="1">
        <v>4.0</v>
      </c>
      <c r="BA2265" s="1">
        <v>0.0</v>
      </c>
      <c r="BB2265" s="1">
        <v>0.0</v>
      </c>
      <c r="BC2265" s="1">
        <v>0.0</v>
      </c>
      <c r="BD2265" s="1">
        <v>0.0</v>
      </c>
      <c r="BE2265" s="1">
        <v>0.0</v>
      </c>
      <c r="BF2265" s="1">
        <v>0.0</v>
      </c>
      <c r="BG2265" s="1">
        <v>0.0</v>
      </c>
      <c r="BH2265" s="1">
        <v>0.0</v>
      </c>
      <c r="BI2265" s="1">
        <v>0.0</v>
      </c>
      <c r="BJ2265" s="1">
        <v>0.0</v>
      </c>
      <c r="BP2265" s="1">
        <v>0.273</v>
      </c>
      <c r="BQ2265" s="1" t="s">
        <v>7313</v>
      </c>
      <c r="BV2265" s="1">
        <v>1.1</v>
      </c>
      <c r="EQ2265" s="9" t="s">
        <v>7312</v>
      </c>
      <c r="ER2265" s="21">
        <v>46045.302083333336</v>
      </c>
    </row>
    <row r="2266">
      <c r="A2266" s="9" t="s">
        <v>7314</v>
      </c>
      <c r="B2266" s="20" t="str">
        <f>IFERROR(__xludf.DUMMYFUNCTION("REGEXREPLACE(A2266, ""^https?://[^/]+"", """")"),"/wp-content/themes/salesxceleratione/assets/css/style.css?ver=1769123614")</f>
        <v>/wp-content/themes/salesxceleratione/assets/css/style.css?ver=1769123614</v>
      </c>
      <c r="F2266" s="1" t="s">
        <v>1016</v>
      </c>
      <c r="G2266" s="1">
        <v>200.0</v>
      </c>
      <c r="H2266" s="1" t="s">
        <v>966</v>
      </c>
      <c r="I2266" s="1" t="s">
        <v>967</v>
      </c>
      <c r="L2266" s="1">
        <v>0.0</v>
      </c>
      <c r="M2266" s="1">
        <v>0.0</v>
      </c>
      <c r="O2266" s="1">
        <v>0.0</v>
      </c>
      <c r="P2266" s="1">
        <v>0.0</v>
      </c>
      <c r="R2266" s="1">
        <v>0.0</v>
      </c>
      <c r="S2266" s="1">
        <v>0.0</v>
      </c>
      <c r="U2266" s="1">
        <v>0.0</v>
      </c>
      <c r="W2266" s="1">
        <v>0.0</v>
      </c>
      <c r="Y2266" s="1">
        <v>0.0</v>
      </c>
      <c r="AA2266" s="1">
        <v>0.0</v>
      </c>
      <c r="AC2266" s="1">
        <v>0.0</v>
      </c>
      <c r="AM2266" s="1">
        <v>17704.0</v>
      </c>
      <c r="AN2266" s="1">
        <v>17704.0</v>
      </c>
      <c r="AO2266" s="1">
        <v>17704.0</v>
      </c>
      <c r="AP2266" s="1">
        <v>6.782</v>
      </c>
      <c r="AR2266" s="1">
        <v>0.0</v>
      </c>
      <c r="AW2266" s="1">
        <v>0.0</v>
      </c>
      <c r="AX2266" s="1">
        <v>5.0</v>
      </c>
      <c r="AY2266" s="1">
        <v>5.0</v>
      </c>
      <c r="BA2266" s="1">
        <v>0.0</v>
      </c>
      <c r="BB2266" s="1">
        <v>0.0</v>
      </c>
      <c r="BC2266" s="1">
        <v>0.0</v>
      </c>
      <c r="BD2266" s="1">
        <v>0.0</v>
      </c>
      <c r="BE2266" s="1">
        <v>0.0</v>
      </c>
      <c r="BF2266" s="1">
        <v>0.0</v>
      </c>
      <c r="BG2266" s="1">
        <v>0.0</v>
      </c>
      <c r="BH2266" s="1">
        <v>0.0</v>
      </c>
      <c r="BI2266" s="1">
        <v>0.0</v>
      </c>
      <c r="BJ2266" s="1">
        <v>0.0</v>
      </c>
      <c r="BP2266" s="1">
        <v>0.256</v>
      </c>
      <c r="BQ2266" s="1" t="s">
        <v>7224</v>
      </c>
      <c r="BV2266" s="1">
        <v>1.1</v>
      </c>
      <c r="EQ2266" s="9" t="s">
        <v>7314</v>
      </c>
      <c r="ER2266" s="21">
        <v>46045.302083333336</v>
      </c>
    </row>
    <row r="2267">
      <c r="A2267" s="9" t="s">
        <v>7315</v>
      </c>
      <c r="B2267" s="20" t="str">
        <f>IFERROR(__xludf.DUMMYFUNCTION("REGEXREPLACE(A2267, ""^https?://[^/]+"", """")"),"/wp-content/themes/salesxceleratione/assets/css/style.css?ver=1769123615")</f>
        <v>/wp-content/themes/salesxceleratione/assets/css/style.css?ver=1769123615</v>
      </c>
      <c r="F2267" s="1" t="s">
        <v>1016</v>
      </c>
      <c r="G2267" s="1">
        <v>200.0</v>
      </c>
      <c r="H2267" s="1" t="s">
        <v>966</v>
      </c>
      <c r="I2267" s="1" t="s">
        <v>967</v>
      </c>
      <c r="L2267" s="1">
        <v>0.0</v>
      </c>
      <c r="M2267" s="1">
        <v>0.0</v>
      </c>
      <c r="O2267" s="1">
        <v>0.0</v>
      </c>
      <c r="P2267" s="1">
        <v>0.0</v>
      </c>
      <c r="R2267" s="1">
        <v>0.0</v>
      </c>
      <c r="S2267" s="1">
        <v>0.0</v>
      </c>
      <c r="U2267" s="1">
        <v>0.0</v>
      </c>
      <c r="W2267" s="1">
        <v>0.0</v>
      </c>
      <c r="Y2267" s="1">
        <v>0.0</v>
      </c>
      <c r="AA2267" s="1">
        <v>0.0</v>
      </c>
      <c r="AC2267" s="1">
        <v>0.0</v>
      </c>
      <c r="AM2267" s="1">
        <v>17704.0</v>
      </c>
      <c r="AN2267" s="1">
        <v>17704.0</v>
      </c>
      <c r="AO2267" s="1">
        <v>17704.0</v>
      </c>
      <c r="AP2267" s="1">
        <v>6.782</v>
      </c>
      <c r="AR2267" s="1">
        <v>0.0</v>
      </c>
      <c r="AW2267" s="1">
        <v>0.0</v>
      </c>
      <c r="AX2267" s="1">
        <v>5.0</v>
      </c>
      <c r="AY2267" s="1">
        <v>5.0</v>
      </c>
      <c r="BA2267" s="1">
        <v>0.0</v>
      </c>
      <c r="BB2267" s="1">
        <v>0.0</v>
      </c>
      <c r="BC2267" s="1">
        <v>0.0</v>
      </c>
      <c r="BD2267" s="1">
        <v>0.0</v>
      </c>
      <c r="BE2267" s="1">
        <v>0.0</v>
      </c>
      <c r="BF2267" s="1">
        <v>0.0</v>
      </c>
      <c r="BG2267" s="1">
        <v>0.0</v>
      </c>
      <c r="BH2267" s="1">
        <v>0.0</v>
      </c>
      <c r="BI2267" s="1">
        <v>0.0</v>
      </c>
      <c r="BJ2267" s="1">
        <v>0.0</v>
      </c>
      <c r="BP2267" s="1">
        <v>0.269</v>
      </c>
      <c r="BQ2267" s="1" t="s">
        <v>7316</v>
      </c>
      <c r="BV2267" s="1">
        <v>1.1</v>
      </c>
      <c r="EQ2267" s="9" t="s">
        <v>7315</v>
      </c>
      <c r="ER2267" s="21">
        <v>46045.302083333336</v>
      </c>
    </row>
    <row r="2268">
      <c r="A2268" s="9" t="s">
        <v>7317</v>
      </c>
      <c r="B2268" s="20" t="str">
        <f>IFERROR(__xludf.DUMMYFUNCTION("REGEXREPLACE(A2268, ""^https?://[^/]+"", """")"),"/maximizing-productivity-at-every-level-an-introduction-to-level-10-sales-meetings/")</f>
        <v>/maximizing-productivity-at-every-level-an-introduction-to-level-10-sales-meetings/</v>
      </c>
      <c r="C2268" s="1" t="s">
        <v>7318</v>
      </c>
      <c r="D2268" s="1" t="s">
        <v>7319</v>
      </c>
      <c r="F2268" s="1" t="s">
        <v>965</v>
      </c>
      <c r="G2268" s="1">
        <v>200.0</v>
      </c>
      <c r="H2268" s="1" t="s">
        <v>966</v>
      </c>
      <c r="I2268" s="1" t="s">
        <v>967</v>
      </c>
      <c r="K2268" s="1" t="s">
        <v>7320</v>
      </c>
      <c r="L2268" s="1">
        <v>107.0</v>
      </c>
      <c r="M2268" s="1">
        <v>949.0</v>
      </c>
      <c r="O2268" s="1">
        <v>0.0</v>
      </c>
      <c r="P2268" s="1">
        <v>0.0</v>
      </c>
      <c r="Q2268" s="1" t="s">
        <v>7321</v>
      </c>
      <c r="R2268" s="1">
        <v>174.0</v>
      </c>
      <c r="S2268" s="1">
        <v>1107.0</v>
      </c>
      <c r="U2268" s="1">
        <v>0.0</v>
      </c>
      <c r="V2268" s="1" t="s">
        <v>7318</v>
      </c>
      <c r="W2268" s="1">
        <v>82.0</v>
      </c>
      <c r="Y2268" s="1">
        <v>0.0</v>
      </c>
      <c r="Z2268" s="1" t="s">
        <v>7319</v>
      </c>
      <c r="AA2268" s="1">
        <v>51.0</v>
      </c>
      <c r="AC2268" s="1">
        <v>0.0</v>
      </c>
      <c r="AD2268" s="1" t="s">
        <v>971</v>
      </c>
      <c r="AG2268" s="9" t="s">
        <v>7317</v>
      </c>
      <c r="AM2268" s="1">
        <v>201402.0</v>
      </c>
      <c r="AN2268" s="1">
        <v>35180.0</v>
      </c>
      <c r="AO2268" s="1">
        <v>35180.0</v>
      </c>
      <c r="AP2268" s="1">
        <v>13.477</v>
      </c>
      <c r="AR2268" s="1">
        <v>984.0</v>
      </c>
      <c r="AS2268" s="1">
        <v>156.0</v>
      </c>
      <c r="AT2268" s="1">
        <v>6.308</v>
      </c>
      <c r="AU2268" s="1">
        <v>61.582</v>
      </c>
      <c r="AV2268" s="1" t="s">
        <v>990</v>
      </c>
      <c r="AW2268" s="1">
        <v>4.212</v>
      </c>
      <c r="AX2268" s="1">
        <v>5.0</v>
      </c>
      <c r="AY2268" s="1">
        <v>1.0</v>
      </c>
      <c r="AZ2268" s="1">
        <v>1.0</v>
      </c>
      <c r="BA2268" s="1">
        <v>3.0</v>
      </c>
      <c r="BB2268" s="1">
        <v>1.0</v>
      </c>
      <c r="BC2268" s="1">
        <v>0.0</v>
      </c>
      <c r="BD2268" s="1">
        <v>0.13</v>
      </c>
      <c r="BE2268" s="1">
        <v>136.0</v>
      </c>
      <c r="BF2268" s="1">
        <v>50.0</v>
      </c>
      <c r="BG2268" s="1">
        <v>0.0</v>
      </c>
      <c r="BH2268" s="1">
        <v>16.0</v>
      </c>
      <c r="BI2268" s="1">
        <v>8.0</v>
      </c>
      <c r="BJ2268" s="1">
        <v>0.0</v>
      </c>
      <c r="BO2268" s="1" t="s">
        <v>7322</v>
      </c>
      <c r="BP2268" s="1">
        <v>0.976</v>
      </c>
      <c r="BU2268" s="1" t="s">
        <v>974</v>
      </c>
      <c r="BV2268" s="1">
        <v>1.1</v>
      </c>
      <c r="EQ2268" s="9" t="s">
        <v>7317</v>
      </c>
      <c r="ER2268" s="21">
        <v>46045.30207175926</v>
      </c>
    </row>
    <row r="2269">
      <c r="A2269" s="9" t="s">
        <v>7323</v>
      </c>
      <c r="B2269" s="20" t="str">
        <f>IFERROR(__xludf.DUMMYFUNCTION("REGEXREPLACE(A2269, ""^https?://[^/]+"", """")"),"/wp-content/uploads/2020/05/Frustrated-salesperson-scaled-1.jpg")</f>
        <v>/wp-content/uploads/2020/05/Frustrated-salesperson-scaled-1.jpg</v>
      </c>
      <c r="F2269" s="1" t="s">
        <v>1004</v>
      </c>
      <c r="G2269" s="1">
        <v>200.0</v>
      </c>
      <c r="H2269" s="1" t="s">
        <v>966</v>
      </c>
      <c r="I2269" s="1" t="s">
        <v>967</v>
      </c>
      <c r="L2269" s="1">
        <v>0.0</v>
      </c>
      <c r="M2269" s="1">
        <v>0.0</v>
      </c>
      <c r="O2269" s="1">
        <v>0.0</v>
      </c>
      <c r="P2269" s="1">
        <v>0.0</v>
      </c>
      <c r="R2269" s="1">
        <v>0.0</v>
      </c>
      <c r="S2269" s="1">
        <v>0.0</v>
      </c>
      <c r="U2269" s="1">
        <v>0.0</v>
      </c>
      <c r="W2269" s="1">
        <v>0.0</v>
      </c>
      <c r="Y2269" s="1">
        <v>0.0</v>
      </c>
      <c r="AA2269" s="1">
        <v>0.0</v>
      </c>
      <c r="AC2269" s="1">
        <v>0.0</v>
      </c>
      <c r="AM2269" s="1">
        <v>171280.0</v>
      </c>
      <c r="AN2269" s="1">
        <v>171280.0</v>
      </c>
      <c r="AO2269" s="1">
        <v>171280.0</v>
      </c>
      <c r="AP2269" s="1">
        <v>65.614</v>
      </c>
      <c r="AR2269" s="1">
        <v>0.0</v>
      </c>
      <c r="AW2269" s="1">
        <v>0.0</v>
      </c>
      <c r="AX2269" s="1">
        <v>5.0</v>
      </c>
      <c r="AY2269" s="1">
        <v>4.0</v>
      </c>
      <c r="BA2269" s="1">
        <v>0.0</v>
      </c>
      <c r="BB2269" s="1">
        <v>0.0</v>
      </c>
      <c r="BC2269" s="1">
        <v>0.0</v>
      </c>
      <c r="BD2269" s="1">
        <v>0.0</v>
      </c>
      <c r="BE2269" s="1">
        <v>0.0</v>
      </c>
      <c r="BF2269" s="1">
        <v>0.0</v>
      </c>
      <c r="BG2269" s="1">
        <v>0.0</v>
      </c>
      <c r="BH2269" s="1">
        <v>0.0</v>
      </c>
      <c r="BI2269" s="1">
        <v>0.0</v>
      </c>
      <c r="BJ2269" s="1">
        <v>0.0</v>
      </c>
      <c r="BP2269" s="1">
        <v>0.274</v>
      </c>
      <c r="BQ2269" s="1" t="s">
        <v>7324</v>
      </c>
      <c r="BV2269" s="1">
        <v>1.1</v>
      </c>
      <c r="EQ2269" s="9" t="s">
        <v>7323</v>
      </c>
      <c r="ER2269" s="21">
        <v>46045.302083333336</v>
      </c>
    </row>
    <row r="2270">
      <c r="A2270" s="9" t="s">
        <v>7325</v>
      </c>
      <c r="B2270" s="20" t="str">
        <f>IFERROR(__xludf.DUMMYFUNCTION("REGEXREPLACE(A2270, ""^https?://[^/]+"", """")"),"/wp-content/uploads/2020/03/Strategies_for_Seasonality-scaled-1.jpg")</f>
        <v>/wp-content/uploads/2020/03/Strategies_for_Seasonality-scaled-1.jpg</v>
      </c>
      <c r="F2270" s="1" t="s">
        <v>1004</v>
      </c>
      <c r="G2270" s="1">
        <v>200.0</v>
      </c>
      <c r="H2270" s="1" t="s">
        <v>966</v>
      </c>
      <c r="I2270" s="1" t="s">
        <v>967</v>
      </c>
      <c r="L2270" s="1">
        <v>0.0</v>
      </c>
      <c r="M2270" s="1">
        <v>0.0</v>
      </c>
      <c r="O2270" s="1">
        <v>0.0</v>
      </c>
      <c r="P2270" s="1">
        <v>0.0</v>
      </c>
      <c r="R2270" s="1">
        <v>0.0</v>
      </c>
      <c r="S2270" s="1">
        <v>0.0</v>
      </c>
      <c r="U2270" s="1">
        <v>0.0</v>
      </c>
      <c r="W2270" s="1">
        <v>0.0</v>
      </c>
      <c r="Y2270" s="1">
        <v>0.0</v>
      </c>
      <c r="AA2270" s="1">
        <v>0.0</v>
      </c>
      <c r="AC2270" s="1">
        <v>0.0</v>
      </c>
      <c r="AM2270" s="1">
        <v>241822.0</v>
      </c>
      <c r="AN2270" s="1">
        <v>241822.0</v>
      </c>
      <c r="AO2270" s="1">
        <v>241822.0</v>
      </c>
      <c r="AP2270" s="1">
        <v>92.637</v>
      </c>
      <c r="AR2270" s="1">
        <v>0.0</v>
      </c>
      <c r="AW2270" s="1">
        <v>0.0</v>
      </c>
      <c r="AX2270" s="1">
        <v>5.0</v>
      </c>
      <c r="AY2270" s="1">
        <v>4.0</v>
      </c>
      <c r="BA2270" s="1">
        <v>0.0</v>
      </c>
      <c r="BB2270" s="1">
        <v>0.0</v>
      </c>
      <c r="BC2270" s="1">
        <v>0.0</v>
      </c>
      <c r="BD2270" s="1">
        <v>0.0</v>
      </c>
      <c r="BE2270" s="1">
        <v>0.0</v>
      </c>
      <c r="BF2270" s="1">
        <v>0.0</v>
      </c>
      <c r="BG2270" s="1">
        <v>0.0</v>
      </c>
      <c r="BH2270" s="1">
        <v>0.0</v>
      </c>
      <c r="BI2270" s="1">
        <v>0.0</v>
      </c>
      <c r="BJ2270" s="1">
        <v>0.0</v>
      </c>
      <c r="BP2270" s="1">
        <v>0.276</v>
      </c>
      <c r="BQ2270" s="1" t="s">
        <v>7326</v>
      </c>
      <c r="BV2270" s="1">
        <v>1.1</v>
      </c>
      <c r="EQ2270" s="9" t="s">
        <v>7325</v>
      </c>
      <c r="ER2270" s="21">
        <v>46045.302083333336</v>
      </c>
    </row>
    <row r="2271">
      <c r="A2271" s="9" t="s">
        <v>7327</v>
      </c>
      <c r="B2271" s="20" t="str">
        <f>IFERROR(__xludf.DUMMYFUNCTION("REGEXREPLACE(A2271, ""^https?://[^/]+"", """")"),"/author/ccocca/")</f>
        <v>/author/ccocca/</v>
      </c>
      <c r="C2271" s="1" t="s">
        <v>7328</v>
      </c>
      <c r="F2271" s="1" t="s">
        <v>965</v>
      </c>
      <c r="G2271" s="1">
        <v>200.0</v>
      </c>
      <c r="H2271" s="1" t="s">
        <v>966</v>
      </c>
      <c r="I2271" s="1" t="s">
        <v>967</v>
      </c>
      <c r="K2271" s="1" t="s">
        <v>7329</v>
      </c>
      <c r="L2271" s="1">
        <v>40.0</v>
      </c>
      <c r="M2271" s="1">
        <v>359.0</v>
      </c>
      <c r="O2271" s="1">
        <v>0.0</v>
      </c>
      <c r="P2271" s="1">
        <v>0.0</v>
      </c>
      <c r="R2271" s="1">
        <v>0.0</v>
      </c>
      <c r="S2271" s="1">
        <v>0.0</v>
      </c>
      <c r="U2271" s="1">
        <v>0.0</v>
      </c>
      <c r="V2271" s="1" t="s">
        <v>7328</v>
      </c>
      <c r="W2271" s="1">
        <v>11.0</v>
      </c>
      <c r="Y2271" s="1">
        <v>0.0</v>
      </c>
      <c r="AA2271" s="1">
        <v>0.0</v>
      </c>
      <c r="AC2271" s="1">
        <v>0.0</v>
      </c>
      <c r="AD2271" s="1" t="s">
        <v>971</v>
      </c>
      <c r="AG2271" s="9" t="s">
        <v>7327</v>
      </c>
      <c r="AM2271" s="1">
        <v>157210.0</v>
      </c>
      <c r="AN2271" s="1">
        <v>30601.0</v>
      </c>
      <c r="AO2271" s="1">
        <v>30601.0</v>
      </c>
      <c r="AP2271" s="1">
        <v>11.723</v>
      </c>
      <c r="AR2271" s="1">
        <v>718.0</v>
      </c>
      <c r="AS2271" s="1">
        <v>119.0</v>
      </c>
      <c r="AT2271" s="1">
        <v>6.034</v>
      </c>
      <c r="AU2271" s="1">
        <v>61.203</v>
      </c>
      <c r="AV2271" s="1" t="s">
        <v>990</v>
      </c>
      <c r="AW2271" s="1">
        <v>4.339</v>
      </c>
      <c r="AX2271" s="1">
        <v>5.0</v>
      </c>
      <c r="AY2271" s="1">
        <v>2.0</v>
      </c>
      <c r="AZ2271" s="1">
        <v>1.0</v>
      </c>
      <c r="BA2271" s="1">
        <v>6.0</v>
      </c>
      <c r="BB2271" s="1">
        <v>2.0</v>
      </c>
      <c r="BC2271" s="1">
        <v>0.0</v>
      </c>
      <c r="BD2271" s="1">
        <v>0.27</v>
      </c>
      <c r="BE2271" s="1">
        <v>132.0</v>
      </c>
      <c r="BF2271" s="1">
        <v>46.0</v>
      </c>
      <c r="BG2271" s="1">
        <v>0.0</v>
      </c>
      <c r="BH2271" s="1">
        <v>16.0</v>
      </c>
      <c r="BI2271" s="1">
        <v>8.0</v>
      </c>
      <c r="BJ2271" s="1">
        <v>0.0</v>
      </c>
      <c r="BO2271" s="1" t="s">
        <v>7330</v>
      </c>
      <c r="BP2271" s="1">
        <v>1.03</v>
      </c>
      <c r="BU2271" s="1" t="s">
        <v>974</v>
      </c>
      <c r="BV2271" s="1">
        <v>1.1</v>
      </c>
      <c r="EQ2271" s="9" t="s">
        <v>7327</v>
      </c>
      <c r="ER2271" s="21">
        <v>46045.302083333336</v>
      </c>
    </row>
    <row r="2272">
      <c r="A2272" s="9" t="s">
        <v>7331</v>
      </c>
      <c r="B2272" s="20" t="str">
        <f>IFERROR(__xludf.DUMMYFUNCTION("REGEXREPLACE(A2272, ""^https?://[^/]+"", """")"),"/wp-content/uploads/2020/04/Sales-Candidate-Interview-sm.jpg")</f>
        <v>/wp-content/uploads/2020/04/Sales-Candidate-Interview-sm.jpg</v>
      </c>
      <c r="F2272" s="1" t="s">
        <v>1004</v>
      </c>
      <c r="G2272" s="1">
        <v>200.0</v>
      </c>
      <c r="H2272" s="1" t="s">
        <v>966</v>
      </c>
      <c r="I2272" s="1" t="s">
        <v>967</v>
      </c>
      <c r="L2272" s="1">
        <v>0.0</v>
      </c>
      <c r="M2272" s="1">
        <v>0.0</v>
      </c>
      <c r="O2272" s="1">
        <v>0.0</v>
      </c>
      <c r="P2272" s="1">
        <v>0.0</v>
      </c>
      <c r="R2272" s="1">
        <v>0.0</v>
      </c>
      <c r="S2272" s="1">
        <v>0.0</v>
      </c>
      <c r="U2272" s="1">
        <v>0.0</v>
      </c>
      <c r="W2272" s="1">
        <v>0.0</v>
      </c>
      <c r="Y2272" s="1">
        <v>0.0</v>
      </c>
      <c r="AA2272" s="1">
        <v>0.0</v>
      </c>
      <c r="AC2272" s="1">
        <v>0.0</v>
      </c>
      <c r="AM2272" s="1">
        <v>33712.0</v>
      </c>
      <c r="AN2272" s="1">
        <v>33712.0</v>
      </c>
      <c r="AO2272" s="1">
        <v>33712.0</v>
      </c>
      <c r="AP2272" s="1">
        <v>12.914</v>
      </c>
      <c r="AR2272" s="1">
        <v>0.0</v>
      </c>
      <c r="AW2272" s="1">
        <v>0.0</v>
      </c>
      <c r="AX2272" s="1">
        <v>5.0</v>
      </c>
      <c r="AY2272" s="1">
        <v>4.0</v>
      </c>
      <c r="BA2272" s="1">
        <v>0.0</v>
      </c>
      <c r="BB2272" s="1">
        <v>0.0</v>
      </c>
      <c r="BC2272" s="1">
        <v>0.0</v>
      </c>
      <c r="BD2272" s="1">
        <v>0.0</v>
      </c>
      <c r="BE2272" s="1">
        <v>0.0</v>
      </c>
      <c r="BF2272" s="1">
        <v>0.0</v>
      </c>
      <c r="BG2272" s="1">
        <v>0.0</v>
      </c>
      <c r="BH2272" s="1">
        <v>0.0</v>
      </c>
      <c r="BI2272" s="1">
        <v>0.0</v>
      </c>
      <c r="BJ2272" s="1">
        <v>0.0</v>
      </c>
      <c r="BP2272" s="1">
        <v>0.284</v>
      </c>
      <c r="BQ2272" s="1" t="s">
        <v>5643</v>
      </c>
      <c r="BV2272" s="1">
        <v>1.1</v>
      </c>
      <c r="EQ2272" s="9" t="s">
        <v>7331</v>
      </c>
      <c r="ER2272" s="21">
        <v>46045.302094907405</v>
      </c>
    </row>
    <row r="2273">
      <c r="A2273" s="9" t="s">
        <v>7332</v>
      </c>
      <c r="B2273" s="20" t="str">
        <f>IFERROR(__xludf.DUMMYFUNCTION("REGEXREPLACE(A2273, ""^https?://[^/]+"", """")"),"/sales-leadership-training/)")</f>
        <v>/sales-leadership-training/)</v>
      </c>
      <c r="F2273" s="1" t="s">
        <v>965</v>
      </c>
      <c r="G2273" s="1">
        <v>301.0</v>
      </c>
      <c r="H2273" s="1" t="s">
        <v>1304</v>
      </c>
      <c r="I2273" s="1" t="s">
        <v>1214</v>
      </c>
      <c r="J2273" s="1" t="s">
        <v>1305</v>
      </c>
      <c r="L2273" s="1">
        <v>0.0</v>
      </c>
      <c r="M2273" s="1">
        <v>0.0</v>
      </c>
      <c r="O2273" s="1">
        <v>0.0</v>
      </c>
      <c r="P2273" s="1">
        <v>0.0</v>
      </c>
      <c r="R2273" s="1">
        <v>0.0</v>
      </c>
      <c r="S2273" s="1">
        <v>0.0</v>
      </c>
      <c r="U2273" s="1">
        <v>0.0</v>
      </c>
      <c r="W2273" s="1">
        <v>0.0</v>
      </c>
      <c r="Y2273" s="1">
        <v>0.0</v>
      </c>
      <c r="AA2273" s="1">
        <v>0.0</v>
      </c>
      <c r="AC2273" s="1">
        <v>0.0</v>
      </c>
      <c r="AM2273" s="1">
        <v>0.0</v>
      </c>
      <c r="AN2273" s="1">
        <v>0.0</v>
      </c>
      <c r="AO2273" s="1">
        <v>0.0</v>
      </c>
      <c r="AP2273" s="1">
        <v>0.0</v>
      </c>
      <c r="AR2273" s="1">
        <v>0.0</v>
      </c>
      <c r="AW2273" s="1">
        <v>0.0</v>
      </c>
      <c r="AX2273" s="1">
        <v>5.0</v>
      </c>
      <c r="AY2273" s="1">
        <v>1.0</v>
      </c>
      <c r="BA2273" s="1">
        <v>3.0</v>
      </c>
      <c r="BB2273" s="1">
        <v>2.0</v>
      </c>
      <c r="BC2273" s="1">
        <v>0.0</v>
      </c>
      <c r="BD2273" s="1">
        <v>0.27</v>
      </c>
      <c r="BE2273" s="1">
        <v>0.0</v>
      </c>
      <c r="BF2273" s="1">
        <v>0.0</v>
      </c>
      <c r="BG2273" s="1">
        <v>0.0</v>
      </c>
      <c r="BH2273" s="1">
        <v>0.0</v>
      </c>
      <c r="BI2273" s="1">
        <v>0.0</v>
      </c>
      <c r="BJ2273" s="1">
        <v>0.0</v>
      </c>
      <c r="BP2273" s="1">
        <v>0.614</v>
      </c>
      <c r="BR2273" s="9" t="s">
        <v>1178</v>
      </c>
      <c r="BS2273" s="1" t="s">
        <v>1307</v>
      </c>
      <c r="BV2273" s="1">
        <v>1.1</v>
      </c>
      <c r="EQ2273" s="9" t="s">
        <v>7332</v>
      </c>
      <c r="ER2273" s="21">
        <v>46045.302094907405</v>
      </c>
    </row>
    <row r="2274">
      <c r="A2274" s="9" t="s">
        <v>7333</v>
      </c>
      <c r="B2274" s="20" t="str">
        <f>IFERROR(__xludf.DUMMYFUNCTION("REGEXREPLACE(A2274, ""^https?://[^/]+"", """")"),"/sales-agility-assessment/?locationid=22577475")</f>
        <v>/sales-agility-assessment/?locationid=22577475</v>
      </c>
      <c r="C2274" s="1" t="s">
        <v>1381</v>
      </c>
      <c r="F2274" s="1" t="s">
        <v>965</v>
      </c>
      <c r="G2274" s="1">
        <v>200.0</v>
      </c>
      <c r="H2274" s="1" t="s">
        <v>966</v>
      </c>
      <c r="I2274" s="1" t="s">
        <v>1214</v>
      </c>
      <c r="J2274" s="1" t="s">
        <v>1215</v>
      </c>
      <c r="K2274" s="1" t="s">
        <v>1382</v>
      </c>
      <c r="L2274" s="1">
        <v>79.0</v>
      </c>
      <c r="M2274" s="1">
        <v>719.0</v>
      </c>
      <c r="O2274" s="1">
        <v>0.0</v>
      </c>
      <c r="P2274" s="1">
        <v>0.0</v>
      </c>
      <c r="Q2274" s="1" t="s">
        <v>1383</v>
      </c>
      <c r="R2274" s="1">
        <v>155.0</v>
      </c>
      <c r="S2274" s="1">
        <v>970.0</v>
      </c>
      <c r="U2274" s="1">
        <v>0.0</v>
      </c>
      <c r="V2274" s="1" t="s">
        <v>1381</v>
      </c>
      <c r="W2274" s="1">
        <v>31.0</v>
      </c>
      <c r="Y2274" s="1">
        <v>0.0</v>
      </c>
      <c r="AA2274" s="1">
        <v>0.0</v>
      </c>
      <c r="AC2274" s="1">
        <v>0.0</v>
      </c>
      <c r="AD2274" s="1" t="s">
        <v>971</v>
      </c>
      <c r="AG2274" s="9" t="s">
        <v>1380</v>
      </c>
      <c r="AM2274" s="1">
        <v>221351.0</v>
      </c>
      <c r="AN2274" s="1">
        <v>43056.0</v>
      </c>
      <c r="AO2274" s="1">
        <v>43056.0</v>
      </c>
      <c r="AP2274" s="1">
        <v>16.494</v>
      </c>
      <c r="AR2274" s="1">
        <v>1077.0</v>
      </c>
      <c r="AS2274" s="1">
        <v>195.0</v>
      </c>
      <c r="AT2274" s="1">
        <v>5.523</v>
      </c>
      <c r="AU2274" s="1">
        <v>72.326</v>
      </c>
      <c r="AV2274" s="1" t="s">
        <v>1264</v>
      </c>
      <c r="AW2274" s="1">
        <v>5.466</v>
      </c>
      <c r="AX2274" s="1">
        <v>5.0</v>
      </c>
      <c r="AY2274" s="1">
        <v>1.0</v>
      </c>
      <c r="BA2274" s="1">
        <v>3.0</v>
      </c>
      <c r="BB2274" s="1">
        <v>3.0</v>
      </c>
      <c r="BC2274" s="1">
        <v>0.0</v>
      </c>
      <c r="BD2274" s="1">
        <v>0.4</v>
      </c>
      <c r="BE2274" s="1">
        <v>121.0</v>
      </c>
      <c r="BF2274" s="1">
        <v>42.0</v>
      </c>
      <c r="BG2274" s="1">
        <v>0.0</v>
      </c>
      <c r="BH2274" s="1">
        <v>16.0</v>
      </c>
      <c r="BI2274" s="1">
        <v>8.0</v>
      </c>
      <c r="BJ2274" s="1">
        <v>0.0</v>
      </c>
      <c r="BO2274" s="1" t="s">
        <v>7334</v>
      </c>
      <c r="BP2274" s="1">
        <v>1.394</v>
      </c>
      <c r="BU2274" s="1" t="s">
        <v>974</v>
      </c>
      <c r="BV2274" s="1">
        <v>1.1</v>
      </c>
      <c r="EQ2274" s="9" t="s">
        <v>7333</v>
      </c>
      <c r="ER2274" s="21">
        <v>46045.302083333336</v>
      </c>
    </row>
    <row r="2275">
      <c r="A2275" s="9" t="s">
        <v>7335</v>
      </c>
      <c r="B2275" s="20" t="str">
        <f>IFERROR(__xludf.DUMMYFUNCTION("REGEXREPLACE(A2275, ""^https?://[^/]+"", """")"),"/wp-content/uploads/2020/04/Businessman-leading-training-session-scaled-1.jpg")</f>
        <v>/wp-content/uploads/2020/04/Businessman-leading-training-session-scaled-1.jpg</v>
      </c>
      <c r="F2275" s="1" t="s">
        <v>1004</v>
      </c>
      <c r="G2275" s="1">
        <v>200.0</v>
      </c>
      <c r="H2275" s="1" t="s">
        <v>966</v>
      </c>
      <c r="I2275" s="1" t="s">
        <v>967</v>
      </c>
      <c r="L2275" s="1">
        <v>0.0</v>
      </c>
      <c r="M2275" s="1">
        <v>0.0</v>
      </c>
      <c r="O2275" s="1">
        <v>0.0</v>
      </c>
      <c r="P2275" s="1">
        <v>0.0</v>
      </c>
      <c r="R2275" s="1">
        <v>0.0</v>
      </c>
      <c r="S2275" s="1">
        <v>0.0</v>
      </c>
      <c r="U2275" s="1">
        <v>0.0</v>
      </c>
      <c r="W2275" s="1">
        <v>0.0</v>
      </c>
      <c r="Y2275" s="1">
        <v>0.0</v>
      </c>
      <c r="AA2275" s="1">
        <v>0.0</v>
      </c>
      <c r="AC2275" s="1">
        <v>0.0</v>
      </c>
      <c r="AM2275" s="1">
        <v>288545.0</v>
      </c>
      <c r="AN2275" s="1">
        <v>288545.0</v>
      </c>
      <c r="AO2275" s="1">
        <v>288545.0</v>
      </c>
      <c r="AP2275" s="1">
        <v>110.536</v>
      </c>
      <c r="AR2275" s="1">
        <v>0.0</v>
      </c>
      <c r="AW2275" s="1">
        <v>0.0</v>
      </c>
      <c r="AX2275" s="1">
        <v>5.0</v>
      </c>
      <c r="AY2275" s="1">
        <v>4.0</v>
      </c>
      <c r="BA2275" s="1">
        <v>0.0</v>
      </c>
      <c r="BB2275" s="1">
        <v>0.0</v>
      </c>
      <c r="BC2275" s="1">
        <v>0.0</v>
      </c>
      <c r="BD2275" s="1">
        <v>0.0</v>
      </c>
      <c r="BE2275" s="1">
        <v>0.0</v>
      </c>
      <c r="BF2275" s="1">
        <v>0.0</v>
      </c>
      <c r="BG2275" s="1">
        <v>0.0</v>
      </c>
      <c r="BH2275" s="1">
        <v>0.0</v>
      </c>
      <c r="BI2275" s="1">
        <v>0.0</v>
      </c>
      <c r="BJ2275" s="1">
        <v>0.0</v>
      </c>
      <c r="BP2275" s="1">
        <v>0.271</v>
      </c>
      <c r="BQ2275" s="1" t="s">
        <v>7336</v>
      </c>
      <c r="BV2275" s="1">
        <v>1.1</v>
      </c>
      <c r="EQ2275" s="9" t="s">
        <v>7335</v>
      </c>
      <c r="ER2275" s="21">
        <v>46045.302094907405</v>
      </c>
    </row>
    <row r="2276">
      <c r="A2276" s="9" t="s">
        <v>7337</v>
      </c>
      <c r="B2276" s="20" t="str">
        <f>IFERROR(__xludf.DUMMYFUNCTION("REGEXREPLACE(A2276, ""^https?://[^/]+"", """")"),"/why-most-sales-training-doesnt-work-and-how-to-make-sure-it-does/")</f>
        <v>/why-most-sales-training-doesnt-work-and-how-to-make-sure-it-does/</v>
      </c>
      <c r="C2276" s="1" t="s">
        <v>7338</v>
      </c>
      <c r="F2276" s="1" t="s">
        <v>965</v>
      </c>
      <c r="G2276" s="1">
        <v>200.0</v>
      </c>
      <c r="H2276" s="1" t="s">
        <v>966</v>
      </c>
      <c r="I2276" s="1" t="s">
        <v>967</v>
      </c>
      <c r="K2276" s="1" t="s">
        <v>7339</v>
      </c>
      <c r="L2276" s="1">
        <v>36.0</v>
      </c>
      <c r="M2276" s="1">
        <v>343.0</v>
      </c>
      <c r="O2276" s="1">
        <v>0.0</v>
      </c>
      <c r="P2276" s="1">
        <v>0.0</v>
      </c>
      <c r="Q2276" s="1" t="s">
        <v>7340</v>
      </c>
      <c r="R2276" s="1">
        <v>146.0</v>
      </c>
      <c r="S2276" s="1">
        <v>842.0</v>
      </c>
      <c r="U2276" s="1">
        <v>0.0</v>
      </c>
      <c r="V2276" s="1" t="s">
        <v>7338</v>
      </c>
      <c r="W2276" s="1">
        <v>67.0</v>
      </c>
      <c r="Y2276" s="1">
        <v>0.0</v>
      </c>
      <c r="AA2276" s="1">
        <v>0.0</v>
      </c>
      <c r="AC2276" s="1">
        <v>0.0</v>
      </c>
      <c r="AD2276" s="1" t="s">
        <v>971</v>
      </c>
      <c r="AG2276" s="9" t="s">
        <v>7337</v>
      </c>
      <c r="AM2276" s="1">
        <v>202032.0</v>
      </c>
      <c r="AN2276" s="1">
        <v>35692.0</v>
      </c>
      <c r="AO2276" s="1">
        <v>35692.0</v>
      </c>
      <c r="AP2276" s="1">
        <v>13.673</v>
      </c>
      <c r="AR2276" s="1">
        <v>1273.0</v>
      </c>
      <c r="AS2276" s="1">
        <v>203.0</v>
      </c>
      <c r="AT2276" s="1">
        <v>6.271</v>
      </c>
      <c r="AU2276" s="1">
        <v>62.372</v>
      </c>
      <c r="AV2276" s="1" t="s">
        <v>990</v>
      </c>
      <c r="AW2276" s="1">
        <v>5.143</v>
      </c>
      <c r="AX2276" s="1">
        <v>5.0</v>
      </c>
      <c r="AY2276" s="1">
        <v>1.0</v>
      </c>
      <c r="AZ2276" s="1">
        <v>1.0</v>
      </c>
      <c r="BA2276" s="1">
        <v>2.0</v>
      </c>
      <c r="BB2276" s="1">
        <v>1.0</v>
      </c>
      <c r="BC2276" s="1">
        <v>0.0</v>
      </c>
      <c r="BD2276" s="1">
        <v>0.13</v>
      </c>
      <c r="BE2276" s="1">
        <v>131.0</v>
      </c>
      <c r="BF2276" s="1">
        <v>48.0</v>
      </c>
      <c r="BG2276" s="1">
        <v>0.0</v>
      </c>
      <c r="BH2276" s="1">
        <v>16.0</v>
      </c>
      <c r="BI2276" s="1">
        <v>8.0</v>
      </c>
      <c r="BJ2276" s="1">
        <v>0.0</v>
      </c>
      <c r="BO2276" s="1" t="s">
        <v>7341</v>
      </c>
      <c r="BP2276" s="1">
        <v>1.027</v>
      </c>
      <c r="BU2276" s="1" t="s">
        <v>974</v>
      </c>
      <c r="BV2276" s="1">
        <v>1.1</v>
      </c>
      <c r="EQ2276" s="9" t="s">
        <v>7337</v>
      </c>
      <c r="ER2276" s="21">
        <v>46045.302094907405</v>
      </c>
    </row>
    <row r="2277">
      <c r="A2277" s="9" t="s">
        <v>7342</v>
      </c>
      <c r="B2277" s="20" t="str">
        <f>IFERROR(__xludf.DUMMYFUNCTION("REGEXREPLACE(A2277, ""^https?://[^/]+"", """")"),"/wp-content/uploads/2022/04/Boyle-Dennis-1.jpg")</f>
        <v>/wp-content/uploads/2022/04/Boyle-Dennis-1.jpg</v>
      </c>
      <c r="F2277" s="1" t="s">
        <v>1004</v>
      </c>
      <c r="G2277" s="1">
        <v>200.0</v>
      </c>
      <c r="H2277" s="1" t="s">
        <v>966</v>
      </c>
      <c r="I2277" s="1" t="s">
        <v>967</v>
      </c>
      <c r="L2277" s="1">
        <v>0.0</v>
      </c>
      <c r="M2277" s="1">
        <v>0.0</v>
      </c>
      <c r="O2277" s="1">
        <v>0.0</v>
      </c>
      <c r="P2277" s="1">
        <v>0.0</v>
      </c>
      <c r="R2277" s="1">
        <v>0.0</v>
      </c>
      <c r="S2277" s="1">
        <v>0.0</v>
      </c>
      <c r="U2277" s="1">
        <v>0.0</v>
      </c>
      <c r="W2277" s="1">
        <v>0.0</v>
      </c>
      <c r="Y2277" s="1">
        <v>0.0</v>
      </c>
      <c r="AA2277" s="1">
        <v>0.0</v>
      </c>
      <c r="AC2277" s="1">
        <v>0.0</v>
      </c>
      <c r="AM2277" s="1">
        <v>32987.0</v>
      </c>
      <c r="AN2277" s="1">
        <v>32987.0</v>
      </c>
      <c r="AO2277" s="1">
        <v>32987.0</v>
      </c>
      <c r="AP2277" s="1">
        <v>12.637</v>
      </c>
      <c r="AR2277" s="1">
        <v>0.0</v>
      </c>
      <c r="AW2277" s="1">
        <v>0.0</v>
      </c>
      <c r="AX2277" s="1">
        <v>5.0</v>
      </c>
      <c r="AY2277" s="1">
        <v>4.0</v>
      </c>
      <c r="BA2277" s="1">
        <v>0.0</v>
      </c>
      <c r="BB2277" s="1">
        <v>0.0</v>
      </c>
      <c r="BC2277" s="1">
        <v>0.0</v>
      </c>
      <c r="BD2277" s="1">
        <v>0.0</v>
      </c>
      <c r="BE2277" s="1">
        <v>0.0</v>
      </c>
      <c r="BF2277" s="1">
        <v>0.0</v>
      </c>
      <c r="BG2277" s="1">
        <v>0.0</v>
      </c>
      <c r="BH2277" s="1">
        <v>0.0</v>
      </c>
      <c r="BI2277" s="1">
        <v>0.0</v>
      </c>
      <c r="BJ2277" s="1">
        <v>0.0</v>
      </c>
      <c r="BP2277" s="1">
        <v>0.271</v>
      </c>
      <c r="BQ2277" s="1" t="s">
        <v>7343</v>
      </c>
      <c r="BV2277" s="1">
        <v>1.1</v>
      </c>
      <c r="EQ2277" s="9" t="s">
        <v>7342</v>
      </c>
      <c r="ER2277" s="21">
        <v>46045.30210648148</v>
      </c>
    </row>
    <row r="2278">
      <c r="A2278" s="9" t="s">
        <v>7344</v>
      </c>
      <c r="B2278" s="20" t="str">
        <f>IFERROR(__xludf.DUMMYFUNCTION("REGEXREPLACE(A2278, ""^https?://[^/]+"", """")"),"/wp-content/uploads/2020/03/Business_CEO_thinking_with_employees_in_the_background.jpg")</f>
        <v>/wp-content/uploads/2020/03/Business_CEO_thinking_with_employees_in_the_background.jpg</v>
      </c>
      <c r="F2278" s="1" t="s">
        <v>1004</v>
      </c>
      <c r="G2278" s="1">
        <v>200.0</v>
      </c>
      <c r="H2278" s="1" t="s">
        <v>966</v>
      </c>
      <c r="I2278" s="1" t="s">
        <v>967</v>
      </c>
      <c r="L2278" s="1">
        <v>0.0</v>
      </c>
      <c r="M2278" s="1">
        <v>0.0</v>
      </c>
      <c r="O2278" s="1">
        <v>0.0</v>
      </c>
      <c r="P2278" s="1">
        <v>0.0</v>
      </c>
      <c r="R2278" s="1">
        <v>0.0</v>
      </c>
      <c r="S2278" s="1">
        <v>0.0</v>
      </c>
      <c r="U2278" s="1">
        <v>0.0</v>
      </c>
      <c r="W2278" s="1">
        <v>0.0</v>
      </c>
      <c r="Y2278" s="1">
        <v>0.0</v>
      </c>
      <c r="AA2278" s="1">
        <v>0.0</v>
      </c>
      <c r="AC2278" s="1">
        <v>0.0</v>
      </c>
      <c r="AM2278" s="1">
        <v>135153.0</v>
      </c>
      <c r="AN2278" s="1">
        <v>135153.0</v>
      </c>
      <c r="AO2278" s="1">
        <v>135153.0</v>
      </c>
      <c r="AP2278" s="1">
        <v>51.775</v>
      </c>
      <c r="AR2278" s="1">
        <v>0.0</v>
      </c>
      <c r="AW2278" s="1">
        <v>0.0</v>
      </c>
      <c r="AX2278" s="1">
        <v>5.0</v>
      </c>
      <c r="AY2278" s="1">
        <v>4.0</v>
      </c>
      <c r="BA2278" s="1">
        <v>0.0</v>
      </c>
      <c r="BB2278" s="1">
        <v>0.0</v>
      </c>
      <c r="BC2278" s="1">
        <v>0.0</v>
      </c>
      <c r="BD2278" s="1">
        <v>0.0</v>
      </c>
      <c r="BE2278" s="1">
        <v>0.0</v>
      </c>
      <c r="BF2278" s="1">
        <v>0.0</v>
      </c>
      <c r="BG2278" s="1">
        <v>0.0</v>
      </c>
      <c r="BH2278" s="1">
        <v>0.0</v>
      </c>
      <c r="BI2278" s="1">
        <v>0.0</v>
      </c>
      <c r="BJ2278" s="1">
        <v>0.0</v>
      </c>
      <c r="BP2278" s="1">
        <v>0.269</v>
      </c>
      <c r="BQ2278" s="1" t="s">
        <v>7345</v>
      </c>
      <c r="BV2278" s="1">
        <v>1.1</v>
      </c>
      <c r="EQ2278" s="9" t="s">
        <v>7344</v>
      </c>
      <c r="ER2278" s="21">
        <v>46045.30210648148</v>
      </c>
    </row>
    <row r="2279">
      <c r="A2279" s="9" t="s">
        <v>7346</v>
      </c>
      <c r="B2279" s="20" t="str">
        <f>IFERROR(__xludf.DUMMYFUNCTION("REGEXREPLACE(A2279, ""^https?://[^/]+"", """")"),"/why-and-how-it-pays-to-become-a-certified-sales-leader/")</f>
        <v>/why-and-how-it-pays-to-become-a-certified-sales-leader/</v>
      </c>
      <c r="C2279" s="1" t="s">
        <v>7347</v>
      </c>
      <c r="F2279" s="1" t="s">
        <v>965</v>
      </c>
      <c r="G2279" s="1">
        <v>200.0</v>
      </c>
      <c r="H2279" s="1" t="s">
        <v>966</v>
      </c>
      <c r="I2279" s="1" t="s">
        <v>967</v>
      </c>
      <c r="K2279" s="1" t="s">
        <v>7348</v>
      </c>
      <c r="L2279" s="1">
        <v>81.0</v>
      </c>
      <c r="M2279" s="1">
        <v>735.0</v>
      </c>
      <c r="O2279" s="1">
        <v>0.0</v>
      </c>
      <c r="P2279" s="1">
        <v>0.0</v>
      </c>
      <c r="Q2279" s="1" t="s">
        <v>7349</v>
      </c>
      <c r="R2279" s="1">
        <v>143.0</v>
      </c>
      <c r="S2279" s="1">
        <v>856.0</v>
      </c>
      <c r="U2279" s="1">
        <v>0.0</v>
      </c>
      <c r="V2279" s="1" t="s">
        <v>7347</v>
      </c>
      <c r="W2279" s="1">
        <v>56.0</v>
      </c>
      <c r="Y2279" s="1">
        <v>0.0</v>
      </c>
      <c r="AA2279" s="1">
        <v>0.0</v>
      </c>
      <c r="AC2279" s="1">
        <v>0.0</v>
      </c>
      <c r="AD2279" s="1" t="s">
        <v>971</v>
      </c>
      <c r="AG2279" s="9" t="s">
        <v>7346</v>
      </c>
      <c r="AM2279" s="1">
        <v>202645.0</v>
      </c>
      <c r="AN2279" s="1">
        <v>36133.0</v>
      </c>
      <c r="AO2279" s="1">
        <v>36133.0</v>
      </c>
      <c r="AP2279" s="1">
        <v>13.842</v>
      </c>
      <c r="AR2279" s="1">
        <v>1324.0</v>
      </c>
      <c r="AS2279" s="1">
        <v>212.0</v>
      </c>
      <c r="AT2279" s="1">
        <v>6.245</v>
      </c>
      <c r="AU2279" s="1">
        <v>50.593</v>
      </c>
      <c r="AV2279" s="1" t="s">
        <v>972</v>
      </c>
      <c r="AW2279" s="1">
        <v>5.491</v>
      </c>
      <c r="AX2279" s="1">
        <v>5.0</v>
      </c>
      <c r="AY2279" s="1">
        <v>1.0</v>
      </c>
      <c r="AZ2279" s="1">
        <v>1.0</v>
      </c>
      <c r="BA2279" s="1">
        <v>4.0</v>
      </c>
      <c r="BB2279" s="1">
        <v>3.0</v>
      </c>
      <c r="BC2279" s="1">
        <v>0.0</v>
      </c>
      <c r="BD2279" s="1">
        <v>0.4</v>
      </c>
      <c r="BE2279" s="1">
        <v>136.0</v>
      </c>
      <c r="BF2279" s="1">
        <v>48.0</v>
      </c>
      <c r="BG2279" s="1">
        <v>0.0</v>
      </c>
      <c r="BH2279" s="1">
        <v>17.0</v>
      </c>
      <c r="BI2279" s="1">
        <v>9.0</v>
      </c>
      <c r="BJ2279" s="1">
        <v>0.0</v>
      </c>
      <c r="BO2279" s="1" t="s">
        <v>7350</v>
      </c>
      <c r="BP2279" s="1">
        <v>1.338</v>
      </c>
      <c r="BU2279" s="1" t="s">
        <v>974</v>
      </c>
      <c r="BV2279" s="1">
        <v>1.1</v>
      </c>
      <c r="EQ2279" s="9" t="s">
        <v>7346</v>
      </c>
      <c r="ER2279" s="21">
        <v>46045.30210648148</v>
      </c>
    </row>
    <row r="2280">
      <c r="A2280" s="9" t="s">
        <v>7351</v>
      </c>
      <c r="B2280" s="20" t="str">
        <f>IFERROR(__xludf.DUMMYFUNCTION("REGEXREPLACE(A2280, ""^https?://[^/]+"", """")"),"/thinking-of-hiring-a-family-member-for-your-sales-team-think-again/")</f>
        <v>/thinking-of-hiring-a-family-member-for-your-sales-team-think-again/</v>
      </c>
      <c r="C2280" s="1" t="s">
        <v>7352</v>
      </c>
      <c r="F2280" s="1" t="s">
        <v>965</v>
      </c>
      <c r="G2280" s="1">
        <v>200.0</v>
      </c>
      <c r="H2280" s="1" t="s">
        <v>966</v>
      </c>
      <c r="I2280" s="1" t="s">
        <v>967</v>
      </c>
      <c r="K2280" s="1" t="s">
        <v>7352</v>
      </c>
      <c r="L2280" s="1">
        <v>68.0</v>
      </c>
      <c r="M2280" s="1">
        <v>628.0</v>
      </c>
      <c r="O2280" s="1">
        <v>0.0</v>
      </c>
      <c r="P2280" s="1">
        <v>0.0</v>
      </c>
      <c r="Q2280" s="1" t="s">
        <v>7353</v>
      </c>
      <c r="R2280" s="1">
        <v>145.0</v>
      </c>
      <c r="S2280" s="1">
        <v>925.0</v>
      </c>
      <c r="U2280" s="1">
        <v>0.0</v>
      </c>
      <c r="V2280" s="1" t="s">
        <v>7352</v>
      </c>
      <c r="W2280" s="1">
        <v>68.0</v>
      </c>
      <c r="Y2280" s="1">
        <v>0.0</v>
      </c>
      <c r="AA2280" s="1">
        <v>0.0</v>
      </c>
      <c r="AC2280" s="1">
        <v>0.0</v>
      </c>
      <c r="AD2280" s="1" t="s">
        <v>971</v>
      </c>
      <c r="AG2280" s="9" t="s">
        <v>7351</v>
      </c>
      <c r="AM2280" s="1">
        <v>201982.0</v>
      </c>
      <c r="AN2280" s="1">
        <v>36399.0</v>
      </c>
      <c r="AO2280" s="1">
        <v>36399.0</v>
      </c>
      <c r="AP2280" s="1">
        <v>13.944</v>
      </c>
      <c r="AR2280" s="1">
        <v>1587.0</v>
      </c>
      <c r="AS2280" s="1">
        <v>228.0</v>
      </c>
      <c r="AT2280" s="1">
        <v>6.961</v>
      </c>
      <c r="AU2280" s="1">
        <v>63.834</v>
      </c>
      <c r="AV2280" s="1" t="s">
        <v>990</v>
      </c>
      <c r="AW2280" s="1">
        <v>6.018</v>
      </c>
      <c r="AX2280" s="1">
        <v>5.0</v>
      </c>
      <c r="AY2280" s="1">
        <v>1.0</v>
      </c>
      <c r="AZ2280" s="1">
        <v>1.0</v>
      </c>
      <c r="BA2280" s="1">
        <v>4.0</v>
      </c>
      <c r="BB2280" s="1">
        <v>4.0</v>
      </c>
      <c r="BC2280" s="1">
        <v>0.0</v>
      </c>
      <c r="BD2280" s="1">
        <v>0.53</v>
      </c>
      <c r="BE2280" s="1">
        <v>132.0</v>
      </c>
      <c r="BF2280" s="1">
        <v>48.0</v>
      </c>
      <c r="BG2280" s="1">
        <v>0.0</v>
      </c>
      <c r="BH2280" s="1">
        <v>16.0</v>
      </c>
      <c r="BI2280" s="1">
        <v>8.0</v>
      </c>
      <c r="BJ2280" s="1">
        <v>0.0</v>
      </c>
      <c r="BO2280" s="1" t="s">
        <v>7354</v>
      </c>
      <c r="BP2280" s="1">
        <v>1.467</v>
      </c>
      <c r="BU2280" s="1" t="s">
        <v>974</v>
      </c>
      <c r="BV2280" s="1">
        <v>1.1</v>
      </c>
      <c r="EQ2280" s="9" t="s">
        <v>7351</v>
      </c>
      <c r="ER2280" s="21">
        <v>46045.30210648148</v>
      </c>
    </row>
    <row r="2281">
      <c r="A2281" s="9" t="s">
        <v>7355</v>
      </c>
      <c r="B2281" s="20" t="str">
        <f>IFERROR(__xludf.DUMMYFUNCTION("REGEXREPLACE(A2281, ""^https?://[^/]+"", """")"),"/wp-content/uploads/2020/06/Millenials-Getting-Together-with-Friends-scaled-1.jpg")</f>
        <v>/wp-content/uploads/2020/06/Millenials-Getting-Together-with-Friends-scaled-1.jpg</v>
      </c>
      <c r="F2281" s="1" t="s">
        <v>1004</v>
      </c>
      <c r="G2281" s="1">
        <v>200.0</v>
      </c>
      <c r="H2281" s="1" t="s">
        <v>966</v>
      </c>
      <c r="I2281" s="1" t="s">
        <v>967</v>
      </c>
      <c r="L2281" s="1">
        <v>0.0</v>
      </c>
      <c r="M2281" s="1">
        <v>0.0</v>
      </c>
      <c r="O2281" s="1">
        <v>0.0</v>
      </c>
      <c r="P2281" s="1">
        <v>0.0</v>
      </c>
      <c r="R2281" s="1">
        <v>0.0</v>
      </c>
      <c r="S2281" s="1">
        <v>0.0</v>
      </c>
      <c r="U2281" s="1">
        <v>0.0</v>
      </c>
      <c r="W2281" s="1">
        <v>0.0</v>
      </c>
      <c r="Y2281" s="1">
        <v>0.0</v>
      </c>
      <c r="AA2281" s="1">
        <v>0.0</v>
      </c>
      <c r="AC2281" s="1">
        <v>0.0</v>
      </c>
      <c r="AM2281" s="1">
        <v>227146.0</v>
      </c>
      <c r="AN2281" s="1">
        <v>227146.0</v>
      </c>
      <c r="AO2281" s="1">
        <v>227146.0</v>
      </c>
      <c r="AP2281" s="1">
        <v>87.015</v>
      </c>
      <c r="AR2281" s="1">
        <v>0.0</v>
      </c>
      <c r="AW2281" s="1">
        <v>0.0</v>
      </c>
      <c r="AX2281" s="1">
        <v>5.0</v>
      </c>
      <c r="AY2281" s="1">
        <v>4.0</v>
      </c>
      <c r="BA2281" s="1">
        <v>0.0</v>
      </c>
      <c r="BB2281" s="1">
        <v>0.0</v>
      </c>
      <c r="BC2281" s="1">
        <v>0.0</v>
      </c>
      <c r="BD2281" s="1">
        <v>0.0</v>
      </c>
      <c r="BE2281" s="1">
        <v>0.0</v>
      </c>
      <c r="BF2281" s="1">
        <v>0.0</v>
      </c>
      <c r="BG2281" s="1">
        <v>0.0</v>
      </c>
      <c r="BH2281" s="1">
        <v>0.0</v>
      </c>
      <c r="BI2281" s="1">
        <v>0.0</v>
      </c>
      <c r="BJ2281" s="1">
        <v>0.0</v>
      </c>
      <c r="BP2281" s="1">
        <v>0.262</v>
      </c>
      <c r="BQ2281" s="1" t="s">
        <v>7356</v>
      </c>
      <c r="BV2281" s="1">
        <v>1.1</v>
      </c>
      <c r="EQ2281" s="9" t="s">
        <v>7355</v>
      </c>
      <c r="ER2281" s="21">
        <v>46045.30211805556</v>
      </c>
    </row>
    <row r="2282">
      <c r="A2282" s="9" t="s">
        <v>7357</v>
      </c>
      <c r="B2282" s="20" t="str">
        <f>IFERROR(__xludf.DUMMYFUNCTION("REGEXREPLACE(A2282, ""^https?://[^/]+"", """")"),"/wp-content/uploads/2015/07/Brothers-RS-72-dpi-560-x-225-2048x2048.jpg")</f>
        <v>/wp-content/uploads/2015/07/Brothers-RS-72-dpi-560-x-225-2048x2048.jpg</v>
      </c>
      <c r="F2282" s="1" t="s">
        <v>1004</v>
      </c>
      <c r="G2282" s="1">
        <v>200.0</v>
      </c>
      <c r="H2282" s="1" t="s">
        <v>966</v>
      </c>
      <c r="I2282" s="1" t="s">
        <v>967</v>
      </c>
      <c r="L2282" s="1">
        <v>0.0</v>
      </c>
      <c r="M2282" s="1">
        <v>0.0</v>
      </c>
      <c r="O2282" s="1">
        <v>0.0</v>
      </c>
      <c r="P2282" s="1">
        <v>0.0</v>
      </c>
      <c r="R2282" s="1">
        <v>0.0</v>
      </c>
      <c r="S2282" s="1">
        <v>0.0</v>
      </c>
      <c r="U2282" s="1">
        <v>0.0</v>
      </c>
      <c r="W2282" s="1">
        <v>0.0</v>
      </c>
      <c r="Y2282" s="1">
        <v>0.0</v>
      </c>
      <c r="AA2282" s="1">
        <v>0.0</v>
      </c>
      <c r="AC2282" s="1">
        <v>0.0</v>
      </c>
      <c r="AM2282" s="1">
        <v>262151.0</v>
      </c>
      <c r="AN2282" s="1">
        <v>262151.0</v>
      </c>
      <c r="AO2282" s="1">
        <v>262151.0</v>
      </c>
      <c r="AP2282" s="1">
        <v>100.425</v>
      </c>
      <c r="AR2282" s="1">
        <v>0.0</v>
      </c>
      <c r="AW2282" s="1">
        <v>0.0</v>
      </c>
      <c r="AX2282" s="1">
        <v>5.0</v>
      </c>
      <c r="AY2282" s="1">
        <v>4.0</v>
      </c>
      <c r="BA2282" s="1">
        <v>0.0</v>
      </c>
      <c r="BB2282" s="1">
        <v>0.0</v>
      </c>
      <c r="BC2282" s="1">
        <v>0.0</v>
      </c>
      <c r="BD2282" s="1">
        <v>0.0</v>
      </c>
      <c r="BE2282" s="1">
        <v>0.0</v>
      </c>
      <c r="BF2282" s="1">
        <v>0.0</v>
      </c>
      <c r="BG2282" s="1">
        <v>0.0</v>
      </c>
      <c r="BH2282" s="1">
        <v>0.0</v>
      </c>
      <c r="BI2282" s="1">
        <v>0.0</v>
      </c>
      <c r="BJ2282" s="1">
        <v>0.0</v>
      </c>
      <c r="BP2282" s="1">
        <v>1.305</v>
      </c>
      <c r="BQ2282" s="1" t="s">
        <v>7358</v>
      </c>
      <c r="BV2282" s="1">
        <v>1.1</v>
      </c>
      <c r="EQ2282" s="9" t="s">
        <v>7357</v>
      </c>
      <c r="ER2282" s="21">
        <v>46045.30210648148</v>
      </c>
    </row>
    <row r="2283">
      <c r="A2283" s="9" t="s">
        <v>7359</v>
      </c>
      <c r="B2283" s="20" t="str">
        <f>IFERROR(__xludf.DUMMYFUNCTION("REGEXREPLACE(A2283, ""^https?://[^/]+"", """")"),"/wp-content/themes/salesxceleratione/assets/css/style.css?ver=1769123616")</f>
        <v>/wp-content/themes/salesxceleratione/assets/css/style.css?ver=1769123616</v>
      </c>
      <c r="F2283" s="1" t="s">
        <v>1016</v>
      </c>
      <c r="G2283" s="1">
        <v>200.0</v>
      </c>
      <c r="H2283" s="1" t="s">
        <v>966</v>
      </c>
      <c r="I2283" s="1" t="s">
        <v>967</v>
      </c>
      <c r="L2283" s="1">
        <v>0.0</v>
      </c>
      <c r="M2283" s="1">
        <v>0.0</v>
      </c>
      <c r="O2283" s="1">
        <v>0.0</v>
      </c>
      <c r="P2283" s="1">
        <v>0.0</v>
      </c>
      <c r="R2283" s="1">
        <v>0.0</v>
      </c>
      <c r="S2283" s="1">
        <v>0.0</v>
      </c>
      <c r="U2283" s="1">
        <v>0.0</v>
      </c>
      <c r="W2283" s="1">
        <v>0.0</v>
      </c>
      <c r="Y2283" s="1">
        <v>0.0</v>
      </c>
      <c r="AA2283" s="1">
        <v>0.0</v>
      </c>
      <c r="AC2283" s="1">
        <v>0.0</v>
      </c>
      <c r="AM2283" s="1">
        <v>17704.0</v>
      </c>
      <c r="AN2283" s="1">
        <v>17704.0</v>
      </c>
      <c r="AO2283" s="1">
        <v>17704.0</v>
      </c>
      <c r="AP2283" s="1">
        <v>6.782</v>
      </c>
      <c r="AR2283" s="1">
        <v>0.0</v>
      </c>
      <c r="AW2283" s="1">
        <v>0.0</v>
      </c>
      <c r="AX2283" s="1">
        <v>5.0</v>
      </c>
      <c r="AY2283" s="1">
        <v>5.0</v>
      </c>
      <c r="BA2283" s="1">
        <v>0.0</v>
      </c>
      <c r="BB2283" s="1">
        <v>0.0</v>
      </c>
      <c r="BC2283" s="1">
        <v>0.0</v>
      </c>
      <c r="BD2283" s="1">
        <v>0.0</v>
      </c>
      <c r="BE2283" s="1">
        <v>0.0</v>
      </c>
      <c r="BF2283" s="1">
        <v>0.0</v>
      </c>
      <c r="BG2283" s="1">
        <v>0.0</v>
      </c>
      <c r="BH2283" s="1">
        <v>0.0</v>
      </c>
      <c r="BI2283" s="1">
        <v>0.0</v>
      </c>
      <c r="BJ2283" s="1">
        <v>0.0</v>
      </c>
      <c r="BP2283" s="1">
        <v>0.288</v>
      </c>
      <c r="BQ2283" s="1" t="s">
        <v>7360</v>
      </c>
      <c r="BV2283" s="1">
        <v>1.1</v>
      </c>
      <c r="EQ2283" s="9" t="s">
        <v>7359</v>
      </c>
      <c r="ER2283" s="21">
        <v>46045.30212962963</v>
      </c>
    </row>
    <row r="2284">
      <c r="A2284" s="9" t="s">
        <v>7361</v>
      </c>
      <c r="B2284" s="20" t="str">
        <f>IFERROR(__xludf.DUMMYFUNCTION("REGEXREPLACE(A2284, ""^https?://[^/]+"", """")"),"/wp-content/uploads/2020/04/SX-Buinessmen_meeting_and_planning-scaled-1.jpg")</f>
        <v>/wp-content/uploads/2020/04/SX-Buinessmen_meeting_and_planning-scaled-1.jpg</v>
      </c>
      <c r="F2284" s="1" t="s">
        <v>1004</v>
      </c>
      <c r="G2284" s="1">
        <v>200.0</v>
      </c>
      <c r="H2284" s="1" t="s">
        <v>966</v>
      </c>
      <c r="I2284" s="1" t="s">
        <v>967</v>
      </c>
      <c r="L2284" s="1">
        <v>0.0</v>
      </c>
      <c r="M2284" s="1">
        <v>0.0</v>
      </c>
      <c r="O2284" s="1">
        <v>0.0</v>
      </c>
      <c r="P2284" s="1">
        <v>0.0</v>
      </c>
      <c r="R2284" s="1">
        <v>0.0</v>
      </c>
      <c r="S2284" s="1">
        <v>0.0</v>
      </c>
      <c r="U2284" s="1">
        <v>0.0</v>
      </c>
      <c r="W2284" s="1">
        <v>0.0</v>
      </c>
      <c r="Y2284" s="1">
        <v>0.0</v>
      </c>
      <c r="AA2284" s="1">
        <v>0.0</v>
      </c>
      <c r="AC2284" s="1">
        <v>0.0</v>
      </c>
      <c r="AM2284" s="1">
        <v>215051.0</v>
      </c>
      <c r="AN2284" s="1">
        <v>215051.0</v>
      </c>
      <c r="AO2284" s="1">
        <v>215051.0</v>
      </c>
      <c r="AP2284" s="1">
        <v>82.382</v>
      </c>
      <c r="AR2284" s="1">
        <v>0.0</v>
      </c>
      <c r="AW2284" s="1">
        <v>0.0</v>
      </c>
      <c r="AX2284" s="1">
        <v>5.0</v>
      </c>
      <c r="AY2284" s="1">
        <v>4.0</v>
      </c>
      <c r="BA2284" s="1">
        <v>0.0</v>
      </c>
      <c r="BB2284" s="1">
        <v>0.0</v>
      </c>
      <c r="BC2284" s="1">
        <v>0.0</v>
      </c>
      <c r="BD2284" s="1">
        <v>0.0</v>
      </c>
      <c r="BE2284" s="1">
        <v>0.0</v>
      </c>
      <c r="BF2284" s="1">
        <v>0.0</v>
      </c>
      <c r="BG2284" s="1">
        <v>0.0</v>
      </c>
      <c r="BH2284" s="1">
        <v>0.0</v>
      </c>
      <c r="BI2284" s="1">
        <v>0.0</v>
      </c>
      <c r="BJ2284" s="1">
        <v>0.0</v>
      </c>
      <c r="BP2284" s="1">
        <v>1.315</v>
      </c>
      <c r="BQ2284" s="1" t="s">
        <v>7362</v>
      </c>
      <c r="BV2284" s="1">
        <v>1.1</v>
      </c>
      <c r="EQ2284" s="9" t="s">
        <v>7361</v>
      </c>
      <c r="ER2284" s="21">
        <v>46045.30212962963</v>
      </c>
    </row>
    <row r="2285">
      <c r="A2285" s="9" t="s">
        <v>7363</v>
      </c>
      <c r="B2285" s="20" t="str">
        <f>IFERROR(__xludf.DUMMYFUNCTION("REGEXREPLACE(A2285, ""^https?://[^/]+"", """")"),"/author/dboyle/")</f>
        <v>/author/dboyle/</v>
      </c>
      <c r="C2285" s="1" t="s">
        <v>7364</v>
      </c>
      <c r="F2285" s="1" t="s">
        <v>965</v>
      </c>
      <c r="G2285" s="1">
        <v>200.0</v>
      </c>
      <c r="H2285" s="1" t="s">
        <v>966</v>
      </c>
      <c r="I2285" s="1" t="s">
        <v>967</v>
      </c>
      <c r="K2285" s="1" t="s">
        <v>7365</v>
      </c>
      <c r="L2285" s="1">
        <v>41.0</v>
      </c>
      <c r="M2285" s="1">
        <v>367.0</v>
      </c>
      <c r="O2285" s="1">
        <v>0.0</v>
      </c>
      <c r="P2285" s="1">
        <v>0.0</v>
      </c>
      <c r="R2285" s="1">
        <v>0.0</v>
      </c>
      <c r="S2285" s="1">
        <v>0.0</v>
      </c>
      <c r="U2285" s="1">
        <v>0.0</v>
      </c>
      <c r="V2285" s="1" t="s">
        <v>7364</v>
      </c>
      <c r="W2285" s="1">
        <v>12.0</v>
      </c>
      <c r="Y2285" s="1">
        <v>0.0</v>
      </c>
      <c r="AA2285" s="1">
        <v>0.0</v>
      </c>
      <c r="AC2285" s="1">
        <v>0.0</v>
      </c>
      <c r="AD2285" s="1" t="s">
        <v>971</v>
      </c>
      <c r="AG2285" s="9" t="s">
        <v>7363</v>
      </c>
      <c r="AM2285" s="1">
        <v>184920.0</v>
      </c>
      <c r="AN2285" s="1">
        <v>34018.0</v>
      </c>
      <c r="AO2285" s="1">
        <v>34018.0</v>
      </c>
      <c r="AP2285" s="1">
        <v>13.032</v>
      </c>
      <c r="AR2285" s="1">
        <v>1099.0</v>
      </c>
      <c r="AS2285" s="1">
        <v>191.0</v>
      </c>
      <c r="AT2285" s="1">
        <v>5.754</v>
      </c>
      <c r="AU2285" s="1">
        <v>64.665</v>
      </c>
      <c r="AV2285" s="1" t="s">
        <v>990</v>
      </c>
      <c r="AW2285" s="1">
        <v>4.966</v>
      </c>
      <c r="AX2285" s="1">
        <v>5.0</v>
      </c>
      <c r="AY2285" s="1">
        <v>2.0</v>
      </c>
      <c r="AZ2285" s="1">
        <v>1.0</v>
      </c>
      <c r="BA2285" s="1">
        <v>21.0</v>
      </c>
      <c r="BB2285" s="1">
        <v>7.0</v>
      </c>
      <c r="BC2285" s="1">
        <v>0.0</v>
      </c>
      <c r="BD2285" s="1">
        <v>0.93</v>
      </c>
      <c r="BE2285" s="1">
        <v>175.0</v>
      </c>
      <c r="BF2285" s="1">
        <v>61.0</v>
      </c>
      <c r="BG2285" s="1">
        <v>0.0</v>
      </c>
      <c r="BH2285" s="1">
        <v>16.0</v>
      </c>
      <c r="BI2285" s="1">
        <v>8.0</v>
      </c>
      <c r="BJ2285" s="1">
        <v>0.0</v>
      </c>
      <c r="BO2285" s="1" t="s">
        <v>7366</v>
      </c>
      <c r="BP2285" s="1">
        <v>1.859</v>
      </c>
      <c r="BU2285" s="1" t="s">
        <v>974</v>
      </c>
      <c r="BV2285" s="1">
        <v>1.1</v>
      </c>
      <c r="EQ2285" s="9" t="s">
        <v>7363</v>
      </c>
      <c r="ER2285" s="21">
        <v>46045.30210648148</v>
      </c>
    </row>
    <row r="2286">
      <c r="A2286" s="9" t="s">
        <v>7367</v>
      </c>
      <c r="B2286" s="20" t="str">
        <f>IFERROR(__xludf.DUMMYFUNCTION("REGEXREPLACE(A2286, ""^https?://[^/]+"", """")"),"/sales-agility-assessment/?locationid=22577467")</f>
        <v>/sales-agility-assessment/?locationid=22577467</v>
      </c>
      <c r="C2286" s="1" t="s">
        <v>1381</v>
      </c>
      <c r="F2286" s="1" t="s">
        <v>965</v>
      </c>
      <c r="G2286" s="1">
        <v>200.0</v>
      </c>
      <c r="H2286" s="1" t="s">
        <v>966</v>
      </c>
      <c r="I2286" s="1" t="s">
        <v>1214</v>
      </c>
      <c r="J2286" s="1" t="s">
        <v>1215</v>
      </c>
      <c r="K2286" s="1" t="s">
        <v>1382</v>
      </c>
      <c r="L2286" s="1">
        <v>79.0</v>
      </c>
      <c r="M2286" s="1">
        <v>719.0</v>
      </c>
      <c r="O2286" s="1">
        <v>0.0</v>
      </c>
      <c r="P2286" s="1">
        <v>0.0</v>
      </c>
      <c r="Q2286" s="1" t="s">
        <v>1383</v>
      </c>
      <c r="R2286" s="1">
        <v>155.0</v>
      </c>
      <c r="S2286" s="1">
        <v>970.0</v>
      </c>
      <c r="U2286" s="1">
        <v>0.0</v>
      </c>
      <c r="V2286" s="1" t="s">
        <v>1381</v>
      </c>
      <c r="W2286" s="1">
        <v>31.0</v>
      </c>
      <c r="Y2286" s="1">
        <v>0.0</v>
      </c>
      <c r="AA2286" s="1">
        <v>0.0</v>
      </c>
      <c r="AC2286" s="1">
        <v>0.0</v>
      </c>
      <c r="AD2286" s="1" t="s">
        <v>971</v>
      </c>
      <c r="AG2286" s="9" t="s">
        <v>1380</v>
      </c>
      <c r="AM2286" s="1">
        <v>221355.0</v>
      </c>
      <c r="AN2286" s="1">
        <v>43042.0</v>
      </c>
      <c r="AO2286" s="1">
        <v>43042.0</v>
      </c>
      <c r="AP2286" s="1">
        <v>16.489</v>
      </c>
      <c r="AR2286" s="1">
        <v>1077.0</v>
      </c>
      <c r="AS2286" s="1">
        <v>195.0</v>
      </c>
      <c r="AT2286" s="1">
        <v>5.523</v>
      </c>
      <c r="AU2286" s="1">
        <v>72.169</v>
      </c>
      <c r="AV2286" s="1" t="s">
        <v>1264</v>
      </c>
      <c r="AW2286" s="1">
        <v>5.467</v>
      </c>
      <c r="AX2286" s="1">
        <v>5.0</v>
      </c>
      <c r="AY2286" s="1">
        <v>1.0</v>
      </c>
      <c r="BA2286" s="1">
        <v>8.0</v>
      </c>
      <c r="BB2286" s="1">
        <v>8.0</v>
      </c>
      <c r="BC2286" s="1">
        <v>0.0</v>
      </c>
      <c r="BD2286" s="1">
        <v>1.06</v>
      </c>
      <c r="BE2286" s="1">
        <v>121.0</v>
      </c>
      <c r="BF2286" s="1">
        <v>42.0</v>
      </c>
      <c r="BG2286" s="1">
        <v>0.0</v>
      </c>
      <c r="BH2286" s="1">
        <v>16.0</v>
      </c>
      <c r="BI2286" s="1">
        <v>8.0</v>
      </c>
      <c r="BJ2286" s="1">
        <v>0.0</v>
      </c>
      <c r="BO2286" s="1" t="s">
        <v>7368</v>
      </c>
      <c r="BP2286" s="1">
        <v>2.325</v>
      </c>
      <c r="BU2286" s="1" t="s">
        <v>974</v>
      </c>
      <c r="BV2286" s="1">
        <v>1.1</v>
      </c>
      <c r="EQ2286" s="9" t="s">
        <v>7367</v>
      </c>
      <c r="ER2286" s="21">
        <v>46045.30211805556</v>
      </c>
    </row>
    <row r="2287">
      <c r="A2287" s="9" t="s">
        <v>7369</v>
      </c>
      <c r="B2287" s="20" t="str">
        <f>IFERROR(__xludf.DUMMYFUNCTION("REGEXREPLACE(A2287, ""^https?://[^/]+"", """")"),"/author/dsteyn/")</f>
        <v>/author/dsteyn/</v>
      </c>
      <c r="C2287" s="1" t="s">
        <v>5190</v>
      </c>
      <c r="F2287" s="1" t="s">
        <v>965</v>
      </c>
      <c r="G2287" s="1">
        <v>200.0</v>
      </c>
      <c r="H2287" s="1" t="s">
        <v>966</v>
      </c>
      <c r="I2287" s="1" t="s">
        <v>967</v>
      </c>
      <c r="K2287" s="1" t="s">
        <v>7370</v>
      </c>
      <c r="L2287" s="1">
        <v>41.0</v>
      </c>
      <c r="M2287" s="1">
        <v>364.0</v>
      </c>
      <c r="O2287" s="1">
        <v>0.0</v>
      </c>
      <c r="P2287" s="1">
        <v>0.0</v>
      </c>
      <c r="R2287" s="1">
        <v>0.0</v>
      </c>
      <c r="S2287" s="1">
        <v>0.0</v>
      </c>
      <c r="U2287" s="1">
        <v>0.0</v>
      </c>
      <c r="V2287" s="1" t="s">
        <v>5190</v>
      </c>
      <c r="W2287" s="1">
        <v>12.0</v>
      </c>
      <c r="Y2287" s="1">
        <v>0.0</v>
      </c>
      <c r="AA2287" s="1">
        <v>0.0</v>
      </c>
      <c r="AC2287" s="1">
        <v>0.0</v>
      </c>
      <c r="AD2287" s="1" t="s">
        <v>971</v>
      </c>
      <c r="AG2287" s="9" t="s">
        <v>7369</v>
      </c>
      <c r="AM2287" s="1">
        <v>155924.0</v>
      </c>
      <c r="AN2287" s="1">
        <v>30343.0</v>
      </c>
      <c r="AO2287" s="1">
        <v>30343.0</v>
      </c>
      <c r="AP2287" s="1">
        <v>11.624</v>
      </c>
      <c r="AR2287" s="1">
        <v>683.0</v>
      </c>
      <c r="AS2287" s="1">
        <v>114.0</v>
      </c>
      <c r="AT2287" s="1">
        <v>5.991</v>
      </c>
      <c r="AU2287" s="1">
        <v>60.167</v>
      </c>
      <c r="AV2287" s="1" t="s">
        <v>990</v>
      </c>
      <c r="AW2287" s="1">
        <v>4.257</v>
      </c>
      <c r="AX2287" s="1">
        <v>5.0</v>
      </c>
      <c r="AY2287" s="1">
        <v>2.0</v>
      </c>
      <c r="AZ2287" s="1">
        <v>1.0</v>
      </c>
      <c r="BA2287" s="1">
        <v>9.0</v>
      </c>
      <c r="BB2287" s="1">
        <v>3.0</v>
      </c>
      <c r="BC2287" s="1">
        <v>0.0</v>
      </c>
      <c r="BD2287" s="1">
        <v>0.4</v>
      </c>
      <c r="BE2287" s="1">
        <v>133.0</v>
      </c>
      <c r="BF2287" s="1">
        <v>47.0</v>
      </c>
      <c r="BG2287" s="1">
        <v>0.0</v>
      </c>
      <c r="BH2287" s="1">
        <v>16.0</v>
      </c>
      <c r="BI2287" s="1">
        <v>8.0</v>
      </c>
      <c r="BJ2287" s="1">
        <v>0.0</v>
      </c>
      <c r="BO2287" s="1" t="s">
        <v>7371</v>
      </c>
      <c r="BP2287" s="1">
        <v>1.815</v>
      </c>
      <c r="BU2287" s="1" t="s">
        <v>974</v>
      </c>
      <c r="BV2287" s="1">
        <v>1.1</v>
      </c>
      <c r="EQ2287" s="9" t="s">
        <v>7369</v>
      </c>
      <c r="ER2287" s="21">
        <v>46045.30212962963</v>
      </c>
    </row>
    <row r="2288">
      <c r="A2288" s="9" t="s">
        <v>7372</v>
      </c>
      <c r="B2288" s="20" t="str">
        <f>IFERROR(__xludf.DUMMYFUNCTION("REGEXREPLACE(A2288, ""^https?://[^/]+"", """")"),"/sales-agility-assessment/?locationid=22577503")</f>
        <v>/sales-agility-assessment/?locationid=22577503</v>
      </c>
      <c r="C2288" s="1" t="s">
        <v>1381</v>
      </c>
      <c r="F2288" s="1" t="s">
        <v>965</v>
      </c>
      <c r="G2288" s="1">
        <v>200.0</v>
      </c>
      <c r="H2288" s="1" t="s">
        <v>966</v>
      </c>
      <c r="I2288" s="1" t="s">
        <v>1214</v>
      </c>
      <c r="J2288" s="1" t="s">
        <v>1215</v>
      </c>
      <c r="K2288" s="1" t="s">
        <v>1382</v>
      </c>
      <c r="L2288" s="1">
        <v>79.0</v>
      </c>
      <c r="M2288" s="1">
        <v>719.0</v>
      </c>
      <c r="O2288" s="1">
        <v>0.0</v>
      </c>
      <c r="P2288" s="1">
        <v>0.0</v>
      </c>
      <c r="Q2288" s="1" t="s">
        <v>1383</v>
      </c>
      <c r="R2288" s="1">
        <v>155.0</v>
      </c>
      <c r="S2288" s="1">
        <v>970.0</v>
      </c>
      <c r="U2288" s="1">
        <v>0.0</v>
      </c>
      <c r="V2288" s="1" t="s">
        <v>1381</v>
      </c>
      <c r="W2288" s="1">
        <v>31.0</v>
      </c>
      <c r="Y2288" s="1">
        <v>0.0</v>
      </c>
      <c r="AA2288" s="1">
        <v>0.0</v>
      </c>
      <c r="AC2288" s="1">
        <v>0.0</v>
      </c>
      <c r="AD2288" s="1" t="s">
        <v>971</v>
      </c>
      <c r="AG2288" s="9" t="s">
        <v>1380</v>
      </c>
      <c r="AM2288" s="1">
        <v>221354.0</v>
      </c>
      <c r="AN2288" s="1">
        <v>43059.0</v>
      </c>
      <c r="AO2288" s="1">
        <v>43059.0</v>
      </c>
      <c r="AP2288" s="1">
        <v>16.495</v>
      </c>
      <c r="AR2288" s="1">
        <v>1077.0</v>
      </c>
      <c r="AS2288" s="1">
        <v>195.0</v>
      </c>
      <c r="AT2288" s="1">
        <v>5.523</v>
      </c>
      <c r="AU2288" s="1">
        <v>72.169</v>
      </c>
      <c r="AV2288" s="1" t="s">
        <v>1264</v>
      </c>
      <c r="AW2288" s="1">
        <v>5.467</v>
      </c>
      <c r="AX2288" s="1">
        <v>5.0</v>
      </c>
      <c r="AY2288" s="1">
        <v>1.0</v>
      </c>
      <c r="BA2288" s="1">
        <v>4.0</v>
      </c>
      <c r="BB2288" s="1">
        <v>4.0</v>
      </c>
      <c r="BC2288" s="1">
        <v>0.0</v>
      </c>
      <c r="BD2288" s="1">
        <v>0.53</v>
      </c>
      <c r="BE2288" s="1">
        <v>121.0</v>
      </c>
      <c r="BF2288" s="1">
        <v>42.0</v>
      </c>
      <c r="BG2288" s="1">
        <v>0.0</v>
      </c>
      <c r="BH2288" s="1">
        <v>16.0</v>
      </c>
      <c r="BI2288" s="1">
        <v>8.0</v>
      </c>
      <c r="BJ2288" s="1">
        <v>0.0</v>
      </c>
      <c r="BO2288" s="1" t="s">
        <v>7373</v>
      </c>
      <c r="BP2288" s="1">
        <v>3.113</v>
      </c>
      <c r="BU2288" s="1" t="s">
        <v>974</v>
      </c>
      <c r="BV2288" s="1">
        <v>1.1</v>
      </c>
      <c r="EQ2288" s="9" t="s">
        <v>7372</v>
      </c>
      <c r="ER2288" s="21">
        <v>46045.302141203705</v>
      </c>
    </row>
    <row r="2289">
      <c r="A2289" s="9" t="s">
        <v>7374</v>
      </c>
      <c r="B2289" s="20" t="str">
        <f>IFERROR(__xludf.DUMMYFUNCTION("REGEXREPLACE(A2289, ""^https?://[^/]+"", """")"),"/wp-content/uploads/2022/04/Steyn-Daniel-100x100.jpg")</f>
        <v>/wp-content/uploads/2022/04/Steyn-Daniel-100x100.jpg</v>
      </c>
      <c r="F2289" s="1" t="s">
        <v>1004</v>
      </c>
      <c r="G2289" s="1">
        <v>200.0</v>
      </c>
      <c r="H2289" s="1" t="s">
        <v>966</v>
      </c>
      <c r="I2289" s="1" t="s">
        <v>967</v>
      </c>
      <c r="L2289" s="1">
        <v>0.0</v>
      </c>
      <c r="M2289" s="1">
        <v>0.0</v>
      </c>
      <c r="O2289" s="1">
        <v>0.0</v>
      </c>
      <c r="P2289" s="1">
        <v>0.0</v>
      </c>
      <c r="R2289" s="1">
        <v>0.0</v>
      </c>
      <c r="S2289" s="1">
        <v>0.0</v>
      </c>
      <c r="U2289" s="1">
        <v>0.0</v>
      </c>
      <c r="W2289" s="1">
        <v>0.0</v>
      </c>
      <c r="Y2289" s="1">
        <v>0.0</v>
      </c>
      <c r="AA2289" s="1">
        <v>0.0</v>
      </c>
      <c r="AC2289" s="1">
        <v>0.0</v>
      </c>
      <c r="AM2289" s="1">
        <v>2298.0</v>
      </c>
      <c r="AN2289" s="1">
        <v>2298.0</v>
      </c>
      <c r="AO2289" s="1">
        <v>2298.0</v>
      </c>
      <c r="AP2289" s="1">
        <v>0.88</v>
      </c>
      <c r="AR2289" s="1">
        <v>0.0</v>
      </c>
      <c r="AW2289" s="1">
        <v>0.0</v>
      </c>
      <c r="AX2289" s="1">
        <v>5.0</v>
      </c>
      <c r="AY2289" s="1">
        <v>4.0</v>
      </c>
      <c r="BA2289" s="1">
        <v>0.0</v>
      </c>
      <c r="BB2289" s="1">
        <v>0.0</v>
      </c>
      <c r="BC2289" s="1">
        <v>0.0</v>
      </c>
      <c r="BD2289" s="1">
        <v>0.0</v>
      </c>
      <c r="BE2289" s="1">
        <v>0.0</v>
      </c>
      <c r="BF2289" s="1">
        <v>0.0</v>
      </c>
      <c r="BG2289" s="1">
        <v>0.0</v>
      </c>
      <c r="BH2289" s="1">
        <v>0.0</v>
      </c>
      <c r="BI2289" s="1">
        <v>0.0</v>
      </c>
      <c r="BJ2289" s="1">
        <v>0.0</v>
      </c>
      <c r="BP2289" s="1">
        <v>0.406</v>
      </c>
      <c r="BQ2289" s="1" t="s">
        <v>7375</v>
      </c>
      <c r="BV2289" s="1">
        <v>1.1</v>
      </c>
      <c r="EQ2289" s="9" t="s">
        <v>7374</v>
      </c>
      <c r="ER2289" s="21">
        <v>46045.3021875</v>
      </c>
    </row>
    <row r="2290">
      <c r="A2290" s="9" t="s">
        <v>7376</v>
      </c>
      <c r="B2290" s="20" t="str">
        <f>IFERROR(__xludf.DUMMYFUNCTION("REGEXREPLACE(A2290, ""^https?://[^/]+"", """")"),"/wp-content/themes/salesxceleratione/assets/css/style.css?ver=1769123617")</f>
        <v>/wp-content/themes/salesxceleratione/assets/css/style.css?ver=1769123617</v>
      </c>
      <c r="F2290" s="1" t="s">
        <v>1016</v>
      </c>
      <c r="G2290" s="1">
        <v>200.0</v>
      </c>
      <c r="H2290" s="1" t="s">
        <v>966</v>
      </c>
      <c r="I2290" s="1" t="s">
        <v>967</v>
      </c>
      <c r="L2290" s="1">
        <v>0.0</v>
      </c>
      <c r="M2290" s="1">
        <v>0.0</v>
      </c>
      <c r="O2290" s="1">
        <v>0.0</v>
      </c>
      <c r="P2290" s="1">
        <v>0.0</v>
      </c>
      <c r="R2290" s="1">
        <v>0.0</v>
      </c>
      <c r="S2290" s="1">
        <v>0.0</v>
      </c>
      <c r="U2290" s="1">
        <v>0.0</v>
      </c>
      <c r="W2290" s="1">
        <v>0.0</v>
      </c>
      <c r="Y2290" s="1">
        <v>0.0</v>
      </c>
      <c r="AA2290" s="1">
        <v>0.0</v>
      </c>
      <c r="AC2290" s="1">
        <v>0.0</v>
      </c>
      <c r="AM2290" s="1">
        <v>17704.0</v>
      </c>
      <c r="AN2290" s="1">
        <v>17704.0</v>
      </c>
      <c r="AO2290" s="1">
        <v>17704.0</v>
      </c>
      <c r="AP2290" s="1">
        <v>6.782</v>
      </c>
      <c r="AR2290" s="1">
        <v>0.0</v>
      </c>
      <c r="AW2290" s="1">
        <v>0.0</v>
      </c>
      <c r="AX2290" s="1">
        <v>5.0</v>
      </c>
      <c r="AY2290" s="1">
        <v>5.0</v>
      </c>
      <c r="BA2290" s="1">
        <v>0.0</v>
      </c>
      <c r="BB2290" s="1">
        <v>0.0</v>
      </c>
      <c r="BC2290" s="1">
        <v>0.0</v>
      </c>
      <c r="BD2290" s="1">
        <v>0.0</v>
      </c>
      <c r="BE2290" s="1">
        <v>0.0</v>
      </c>
      <c r="BF2290" s="1">
        <v>0.0</v>
      </c>
      <c r="BG2290" s="1">
        <v>0.0</v>
      </c>
      <c r="BH2290" s="1">
        <v>0.0</v>
      </c>
      <c r="BI2290" s="1">
        <v>0.0</v>
      </c>
      <c r="BJ2290" s="1">
        <v>0.0</v>
      </c>
      <c r="BP2290" s="1">
        <v>0.311</v>
      </c>
      <c r="BQ2290" s="1" t="s">
        <v>7377</v>
      </c>
      <c r="BV2290" s="1">
        <v>1.1</v>
      </c>
      <c r="EQ2290" s="9" t="s">
        <v>7376</v>
      </c>
      <c r="ER2290" s="21">
        <v>46045.3021875</v>
      </c>
    </row>
    <row r="2291">
      <c r="A2291" s="9" t="s">
        <v>7378</v>
      </c>
      <c r="B2291" s="20" t="str">
        <f>IFERROR(__xludf.DUMMYFUNCTION("REGEXREPLACE(A2291, ""^https?://[^/]+"", """")"),"/wp-content/uploads/2022/01/Supply-Chain-Logistics.jpg")</f>
        <v>/wp-content/uploads/2022/01/Supply-Chain-Logistics.jpg</v>
      </c>
      <c r="F2291" s="1" t="s">
        <v>1004</v>
      </c>
      <c r="G2291" s="1">
        <v>200.0</v>
      </c>
      <c r="H2291" s="1" t="s">
        <v>966</v>
      </c>
      <c r="I2291" s="1" t="s">
        <v>967</v>
      </c>
      <c r="L2291" s="1">
        <v>0.0</v>
      </c>
      <c r="M2291" s="1">
        <v>0.0</v>
      </c>
      <c r="O2291" s="1">
        <v>0.0</v>
      </c>
      <c r="P2291" s="1">
        <v>0.0</v>
      </c>
      <c r="R2291" s="1">
        <v>0.0</v>
      </c>
      <c r="S2291" s="1">
        <v>0.0</v>
      </c>
      <c r="U2291" s="1">
        <v>0.0</v>
      </c>
      <c r="W2291" s="1">
        <v>0.0</v>
      </c>
      <c r="Y2291" s="1">
        <v>0.0</v>
      </c>
      <c r="AA2291" s="1">
        <v>0.0</v>
      </c>
      <c r="AC2291" s="1">
        <v>0.0</v>
      </c>
      <c r="AM2291" s="1">
        <v>353297.0</v>
      </c>
      <c r="AN2291" s="1">
        <v>353297.0</v>
      </c>
      <c r="AO2291" s="1">
        <v>353297.0</v>
      </c>
      <c r="AP2291" s="1">
        <v>135.341</v>
      </c>
      <c r="AR2291" s="1">
        <v>0.0</v>
      </c>
      <c r="AW2291" s="1">
        <v>0.0</v>
      </c>
      <c r="AX2291" s="1">
        <v>5.0</v>
      </c>
      <c r="AY2291" s="1">
        <v>4.0</v>
      </c>
      <c r="BA2291" s="1">
        <v>0.0</v>
      </c>
      <c r="BB2291" s="1">
        <v>0.0</v>
      </c>
      <c r="BC2291" s="1">
        <v>0.0</v>
      </c>
      <c r="BD2291" s="1">
        <v>0.0</v>
      </c>
      <c r="BE2291" s="1">
        <v>0.0</v>
      </c>
      <c r="BF2291" s="1">
        <v>0.0</v>
      </c>
      <c r="BG2291" s="1">
        <v>0.0</v>
      </c>
      <c r="BH2291" s="1">
        <v>0.0</v>
      </c>
      <c r="BI2291" s="1">
        <v>0.0</v>
      </c>
      <c r="BJ2291" s="1">
        <v>0.0</v>
      </c>
      <c r="BP2291" s="1">
        <v>0.434</v>
      </c>
      <c r="BQ2291" s="1" t="s">
        <v>7379</v>
      </c>
      <c r="BV2291" s="1">
        <v>1.1</v>
      </c>
      <c r="EQ2291" s="9" t="s">
        <v>7378</v>
      </c>
      <c r="ER2291" s="21">
        <v>46045.3021875</v>
      </c>
    </row>
    <row r="2292">
      <c r="A2292" s="9" t="s">
        <v>7380</v>
      </c>
      <c r="B2292" s="20" t="str">
        <f>IFERROR(__xludf.DUMMYFUNCTION("REGEXREPLACE(A2292, ""^https?://[^/]+"", """")"),"/wp-content/uploads/2021/05/Small-Business-Owner.jpg")</f>
        <v>/wp-content/uploads/2021/05/Small-Business-Owner.jpg</v>
      </c>
      <c r="F2292" s="1" t="s">
        <v>1004</v>
      </c>
      <c r="G2292" s="1">
        <v>200.0</v>
      </c>
      <c r="H2292" s="1" t="s">
        <v>966</v>
      </c>
      <c r="I2292" s="1" t="s">
        <v>967</v>
      </c>
      <c r="L2292" s="1">
        <v>0.0</v>
      </c>
      <c r="M2292" s="1">
        <v>0.0</v>
      </c>
      <c r="O2292" s="1">
        <v>0.0</v>
      </c>
      <c r="P2292" s="1">
        <v>0.0</v>
      </c>
      <c r="R2292" s="1">
        <v>0.0</v>
      </c>
      <c r="S2292" s="1">
        <v>0.0</v>
      </c>
      <c r="U2292" s="1">
        <v>0.0</v>
      </c>
      <c r="W2292" s="1">
        <v>0.0</v>
      </c>
      <c r="Y2292" s="1">
        <v>0.0</v>
      </c>
      <c r="AA2292" s="1">
        <v>0.0</v>
      </c>
      <c r="AC2292" s="1">
        <v>0.0</v>
      </c>
      <c r="AM2292" s="1">
        <v>116160.0</v>
      </c>
      <c r="AN2292" s="1">
        <v>116160.0</v>
      </c>
      <c r="AO2292" s="1">
        <v>116160.0</v>
      </c>
      <c r="AP2292" s="1">
        <v>44.499</v>
      </c>
      <c r="AR2292" s="1">
        <v>0.0</v>
      </c>
      <c r="AW2292" s="1">
        <v>0.0</v>
      </c>
      <c r="AX2292" s="1">
        <v>5.0</v>
      </c>
      <c r="AY2292" s="1">
        <v>4.0</v>
      </c>
      <c r="BA2292" s="1">
        <v>0.0</v>
      </c>
      <c r="BB2292" s="1">
        <v>0.0</v>
      </c>
      <c r="BC2292" s="1">
        <v>0.0</v>
      </c>
      <c r="BD2292" s="1">
        <v>0.0</v>
      </c>
      <c r="BE2292" s="1">
        <v>0.0</v>
      </c>
      <c r="BF2292" s="1">
        <v>0.0</v>
      </c>
      <c r="BG2292" s="1">
        <v>0.0</v>
      </c>
      <c r="BH2292" s="1">
        <v>0.0</v>
      </c>
      <c r="BI2292" s="1">
        <v>0.0</v>
      </c>
      <c r="BJ2292" s="1">
        <v>0.0</v>
      </c>
      <c r="BP2292" s="1">
        <v>0.265</v>
      </c>
      <c r="BQ2292" s="1" t="s">
        <v>5753</v>
      </c>
      <c r="BV2292" s="1">
        <v>1.1</v>
      </c>
      <c r="EQ2292" s="9" t="s">
        <v>7380</v>
      </c>
      <c r="ER2292" s="21">
        <v>46045.302199074074</v>
      </c>
    </row>
    <row r="2293">
      <c r="A2293" s="9" t="s">
        <v>7381</v>
      </c>
      <c r="B2293" s="20" t="str">
        <f>IFERROR(__xludf.DUMMYFUNCTION("REGEXREPLACE(A2293, ""^https?://[^/]+"", """")"),"/wp-content/uploads/2021/12/Sales-Roadmap-1-scaled.jpg")</f>
        <v>/wp-content/uploads/2021/12/Sales-Roadmap-1-scaled.jpg</v>
      </c>
      <c r="F2293" s="1" t="s">
        <v>1004</v>
      </c>
      <c r="G2293" s="1">
        <v>200.0</v>
      </c>
      <c r="H2293" s="1" t="s">
        <v>966</v>
      </c>
      <c r="I2293" s="1" t="s">
        <v>967</v>
      </c>
      <c r="L2293" s="1">
        <v>0.0</v>
      </c>
      <c r="M2293" s="1">
        <v>0.0</v>
      </c>
      <c r="O2293" s="1">
        <v>0.0</v>
      </c>
      <c r="P2293" s="1">
        <v>0.0</v>
      </c>
      <c r="R2293" s="1">
        <v>0.0</v>
      </c>
      <c r="S2293" s="1">
        <v>0.0</v>
      </c>
      <c r="U2293" s="1">
        <v>0.0</v>
      </c>
      <c r="W2293" s="1">
        <v>0.0</v>
      </c>
      <c r="Y2293" s="1">
        <v>0.0</v>
      </c>
      <c r="AA2293" s="1">
        <v>0.0</v>
      </c>
      <c r="AC2293" s="1">
        <v>0.0</v>
      </c>
      <c r="AM2293" s="1">
        <v>326813.0</v>
      </c>
      <c r="AN2293" s="1">
        <v>326813.0</v>
      </c>
      <c r="AO2293" s="1">
        <v>326813.0</v>
      </c>
      <c r="AP2293" s="1">
        <v>125.196</v>
      </c>
      <c r="AR2293" s="1">
        <v>0.0</v>
      </c>
      <c r="AW2293" s="1">
        <v>0.0</v>
      </c>
      <c r="AX2293" s="1">
        <v>5.0</v>
      </c>
      <c r="AY2293" s="1">
        <v>4.0</v>
      </c>
      <c r="BA2293" s="1">
        <v>0.0</v>
      </c>
      <c r="BB2293" s="1">
        <v>0.0</v>
      </c>
      <c r="BC2293" s="1">
        <v>0.0</v>
      </c>
      <c r="BD2293" s="1">
        <v>0.0</v>
      </c>
      <c r="BE2293" s="1">
        <v>0.0</v>
      </c>
      <c r="BF2293" s="1">
        <v>0.0</v>
      </c>
      <c r="BG2293" s="1">
        <v>0.0</v>
      </c>
      <c r="BH2293" s="1">
        <v>0.0</v>
      </c>
      <c r="BI2293" s="1">
        <v>0.0</v>
      </c>
      <c r="BJ2293" s="1">
        <v>0.0</v>
      </c>
      <c r="BP2293" s="1">
        <v>0.264</v>
      </c>
      <c r="BQ2293" s="1" t="s">
        <v>5751</v>
      </c>
      <c r="BV2293" s="1">
        <v>1.1</v>
      </c>
      <c r="EQ2293" s="9" t="s">
        <v>7381</v>
      </c>
      <c r="ER2293" s="21">
        <v>46045.302199074074</v>
      </c>
    </row>
    <row r="2294">
      <c r="A2294" s="9" t="s">
        <v>7382</v>
      </c>
      <c r="B2294" s="20" t="str">
        <f>IFERROR(__xludf.DUMMYFUNCTION("REGEXREPLACE(A2294, ""^https?://[^/]+"", """")"),"/wp-content/uploads/2021/11/Buyer-Journey_Sales-Process-scaled.jpeg")</f>
        <v>/wp-content/uploads/2021/11/Buyer-Journey_Sales-Process-scaled.jpeg</v>
      </c>
      <c r="F2294" s="1" t="s">
        <v>1004</v>
      </c>
      <c r="G2294" s="1">
        <v>200.0</v>
      </c>
      <c r="H2294" s="1" t="s">
        <v>966</v>
      </c>
      <c r="I2294" s="1" t="s">
        <v>967</v>
      </c>
      <c r="L2294" s="1">
        <v>0.0</v>
      </c>
      <c r="M2294" s="1">
        <v>0.0</v>
      </c>
      <c r="O2294" s="1">
        <v>0.0</v>
      </c>
      <c r="P2294" s="1">
        <v>0.0</v>
      </c>
      <c r="R2294" s="1">
        <v>0.0</v>
      </c>
      <c r="S2294" s="1">
        <v>0.0</v>
      </c>
      <c r="U2294" s="1">
        <v>0.0</v>
      </c>
      <c r="W2294" s="1">
        <v>0.0</v>
      </c>
      <c r="Y2294" s="1">
        <v>0.0</v>
      </c>
      <c r="AA2294" s="1">
        <v>0.0</v>
      </c>
      <c r="AC2294" s="1">
        <v>0.0</v>
      </c>
      <c r="AM2294" s="1">
        <v>218009.0</v>
      </c>
      <c r="AN2294" s="1">
        <v>218009.0</v>
      </c>
      <c r="AO2294" s="1">
        <v>218009.0</v>
      </c>
      <c r="AP2294" s="1">
        <v>83.515</v>
      </c>
      <c r="AR2294" s="1">
        <v>0.0</v>
      </c>
      <c r="AW2294" s="1">
        <v>0.0</v>
      </c>
      <c r="AX2294" s="1">
        <v>5.0</v>
      </c>
      <c r="AY2294" s="1">
        <v>4.0</v>
      </c>
      <c r="BA2294" s="1">
        <v>0.0</v>
      </c>
      <c r="BB2294" s="1">
        <v>0.0</v>
      </c>
      <c r="BC2294" s="1">
        <v>0.0</v>
      </c>
      <c r="BD2294" s="1">
        <v>0.0</v>
      </c>
      <c r="BE2294" s="1">
        <v>0.0</v>
      </c>
      <c r="BF2294" s="1">
        <v>0.0</v>
      </c>
      <c r="BG2294" s="1">
        <v>0.0</v>
      </c>
      <c r="BH2294" s="1">
        <v>0.0</v>
      </c>
      <c r="BI2294" s="1">
        <v>0.0</v>
      </c>
      <c r="BJ2294" s="1">
        <v>0.0</v>
      </c>
      <c r="BP2294" s="1">
        <v>0.277</v>
      </c>
      <c r="BQ2294" s="1" t="s">
        <v>7383</v>
      </c>
      <c r="BV2294" s="1">
        <v>1.1</v>
      </c>
      <c r="EQ2294" s="9" t="s">
        <v>7382</v>
      </c>
      <c r="ER2294" s="21">
        <v>46045.302199074074</v>
      </c>
    </row>
    <row r="2295">
      <c r="A2295" s="9" t="s">
        <v>7384</v>
      </c>
      <c r="B2295" s="20" t="str">
        <f>IFERROR(__xludf.DUMMYFUNCTION("REGEXREPLACE(A2295, ""^https?://[^/]+"", """")"),"/wp-content/uploads/2022/01/shutterstock_1471857863.jpg")</f>
        <v>/wp-content/uploads/2022/01/shutterstock_1471857863.jpg</v>
      </c>
      <c r="F2295" s="1" t="s">
        <v>1004</v>
      </c>
      <c r="G2295" s="1">
        <v>200.0</v>
      </c>
      <c r="H2295" s="1" t="s">
        <v>966</v>
      </c>
      <c r="I2295" s="1" t="s">
        <v>967</v>
      </c>
      <c r="L2295" s="1">
        <v>0.0</v>
      </c>
      <c r="M2295" s="1">
        <v>0.0</v>
      </c>
      <c r="O2295" s="1">
        <v>0.0</v>
      </c>
      <c r="P2295" s="1">
        <v>0.0</v>
      </c>
      <c r="R2295" s="1">
        <v>0.0</v>
      </c>
      <c r="S2295" s="1">
        <v>0.0</v>
      </c>
      <c r="U2295" s="1">
        <v>0.0</v>
      </c>
      <c r="W2295" s="1">
        <v>0.0</v>
      </c>
      <c r="Y2295" s="1">
        <v>0.0</v>
      </c>
      <c r="AA2295" s="1">
        <v>0.0</v>
      </c>
      <c r="AC2295" s="1">
        <v>0.0</v>
      </c>
      <c r="AM2295" s="1">
        <v>306931.0</v>
      </c>
      <c r="AN2295" s="1">
        <v>306931.0</v>
      </c>
      <c r="AO2295" s="1">
        <v>306931.0</v>
      </c>
      <c r="AP2295" s="1">
        <v>117.579</v>
      </c>
      <c r="AR2295" s="1">
        <v>0.0</v>
      </c>
      <c r="AW2295" s="1">
        <v>0.0</v>
      </c>
      <c r="AX2295" s="1">
        <v>5.0</v>
      </c>
      <c r="AY2295" s="1">
        <v>4.0</v>
      </c>
      <c r="BA2295" s="1">
        <v>0.0</v>
      </c>
      <c r="BB2295" s="1">
        <v>0.0</v>
      </c>
      <c r="BC2295" s="1">
        <v>0.0</v>
      </c>
      <c r="BD2295" s="1">
        <v>0.0</v>
      </c>
      <c r="BE2295" s="1">
        <v>0.0</v>
      </c>
      <c r="BF2295" s="1">
        <v>0.0</v>
      </c>
      <c r="BG2295" s="1">
        <v>0.0</v>
      </c>
      <c r="BH2295" s="1">
        <v>0.0</v>
      </c>
      <c r="BI2295" s="1">
        <v>0.0</v>
      </c>
      <c r="BJ2295" s="1">
        <v>0.0</v>
      </c>
      <c r="BP2295" s="1">
        <v>0.283</v>
      </c>
      <c r="BQ2295" s="1" t="s">
        <v>5777</v>
      </c>
      <c r="BV2295" s="1">
        <v>1.1</v>
      </c>
      <c r="EQ2295" s="9" t="s">
        <v>7384</v>
      </c>
      <c r="ER2295" s="21">
        <v>46045.302199074074</v>
      </c>
    </row>
    <row r="2296">
      <c r="A2296" s="9" t="s">
        <v>7385</v>
      </c>
      <c r="B2296" s="20" t="str">
        <f>IFERROR(__xludf.DUMMYFUNCTION("REGEXREPLACE(A2296, ""^https?://[^/]+"", """")"),"/wp-content/themes/salesxceleratione/assets/css/style.css?ver=1769123618")</f>
        <v>/wp-content/themes/salesxceleratione/assets/css/style.css?ver=1769123618</v>
      </c>
      <c r="F2296" s="1" t="s">
        <v>1016</v>
      </c>
      <c r="G2296" s="1">
        <v>200.0</v>
      </c>
      <c r="H2296" s="1" t="s">
        <v>966</v>
      </c>
      <c r="I2296" s="1" t="s">
        <v>967</v>
      </c>
      <c r="L2296" s="1">
        <v>0.0</v>
      </c>
      <c r="M2296" s="1">
        <v>0.0</v>
      </c>
      <c r="O2296" s="1">
        <v>0.0</v>
      </c>
      <c r="P2296" s="1">
        <v>0.0</v>
      </c>
      <c r="R2296" s="1">
        <v>0.0</v>
      </c>
      <c r="S2296" s="1">
        <v>0.0</v>
      </c>
      <c r="U2296" s="1">
        <v>0.0</v>
      </c>
      <c r="W2296" s="1">
        <v>0.0</v>
      </c>
      <c r="Y2296" s="1">
        <v>0.0</v>
      </c>
      <c r="AA2296" s="1">
        <v>0.0</v>
      </c>
      <c r="AC2296" s="1">
        <v>0.0</v>
      </c>
      <c r="AM2296" s="1">
        <v>17704.0</v>
      </c>
      <c r="AN2296" s="1">
        <v>17704.0</v>
      </c>
      <c r="AO2296" s="1">
        <v>17704.0</v>
      </c>
      <c r="AP2296" s="1">
        <v>6.782</v>
      </c>
      <c r="AR2296" s="1">
        <v>0.0</v>
      </c>
      <c r="AW2296" s="1">
        <v>0.0</v>
      </c>
      <c r="AX2296" s="1">
        <v>5.0</v>
      </c>
      <c r="AY2296" s="1">
        <v>5.0</v>
      </c>
      <c r="BA2296" s="1">
        <v>0.0</v>
      </c>
      <c r="BB2296" s="1">
        <v>0.0</v>
      </c>
      <c r="BC2296" s="1">
        <v>0.0</v>
      </c>
      <c r="BD2296" s="1">
        <v>0.0</v>
      </c>
      <c r="BE2296" s="1">
        <v>0.0</v>
      </c>
      <c r="BF2296" s="1">
        <v>0.0</v>
      </c>
      <c r="BG2296" s="1">
        <v>0.0</v>
      </c>
      <c r="BH2296" s="1">
        <v>0.0</v>
      </c>
      <c r="BI2296" s="1">
        <v>0.0</v>
      </c>
      <c r="BJ2296" s="1">
        <v>0.0</v>
      </c>
      <c r="BP2296" s="1">
        <v>0.287</v>
      </c>
      <c r="BQ2296" s="1" t="s">
        <v>7386</v>
      </c>
      <c r="BV2296" s="1">
        <v>1.1</v>
      </c>
      <c r="EQ2296" s="9" t="s">
        <v>7385</v>
      </c>
      <c r="ER2296" s="21">
        <v>46045.302199074074</v>
      </c>
    </row>
    <row r="2297">
      <c r="A2297" s="9" t="s">
        <v>7387</v>
      </c>
      <c r="B2297" s="20" t="str">
        <f>IFERROR(__xludf.DUMMYFUNCTION("REGEXREPLACE(A2297, ""^https?://[^/]+"", """")"),"/wp-content/uploads/2022/01/Sales-Compensation.jpg")</f>
        <v>/wp-content/uploads/2022/01/Sales-Compensation.jpg</v>
      </c>
      <c r="F2297" s="1" t="s">
        <v>1004</v>
      </c>
      <c r="G2297" s="1">
        <v>200.0</v>
      </c>
      <c r="H2297" s="1" t="s">
        <v>966</v>
      </c>
      <c r="I2297" s="1" t="s">
        <v>967</v>
      </c>
      <c r="L2297" s="1">
        <v>0.0</v>
      </c>
      <c r="M2297" s="1">
        <v>0.0</v>
      </c>
      <c r="O2297" s="1">
        <v>0.0</v>
      </c>
      <c r="P2297" s="1">
        <v>0.0</v>
      </c>
      <c r="R2297" s="1">
        <v>0.0</v>
      </c>
      <c r="S2297" s="1">
        <v>0.0</v>
      </c>
      <c r="U2297" s="1">
        <v>0.0</v>
      </c>
      <c r="W2297" s="1">
        <v>0.0</v>
      </c>
      <c r="Y2297" s="1">
        <v>0.0</v>
      </c>
      <c r="AA2297" s="1">
        <v>0.0</v>
      </c>
      <c r="AC2297" s="1">
        <v>0.0</v>
      </c>
      <c r="AM2297" s="1">
        <v>471733.0</v>
      </c>
      <c r="AN2297" s="1">
        <v>471733.0</v>
      </c>
      <c r="AO2297" s="1">
        <v>471733.0</v>
      </c>
      <c r="AP2297" s="1">
        <v>180.712</v>
      </c>
      <c r="AR2297" s="1">
        <v>0.0</v>
      </c>
      <c r="AW2297" s="1">
        <v>0.0</v>
      </c>
      <c r="AX2297" s="1">
        <v>5.0</v>
      </c>
      <c r="AY2297" s="1">
        <v>4.0</v>
      </c>
      <c r="BA2297" s="1">
        <v>0.0</v>
      </c>
      <c r="BB2297" s="1">
        <v>0.0</v>
      </c>
      <c r="BC2297" s="1">
        <v>0.0</v>
      </c>
      <c r="BD2297" s="1">
        <v>0.0</v>
      </c>
      <c r="BE2297" s="1">
        <v>0.0</v>
      </c>
      <c r="BF2297" s="1">
        <v>0.0</v>
      </c>
      <c r="BG2297" s="1">
        <v>0.0</v>
      </c>
      <c r="BH2297" s="1">
        <v>0.0</v>
      </c>
      <c r="BI2297" s="1">
        <v>0.0</v>
      </c>
      <c r="BJ2297" s="1">
        <v>0.0</v>
      </c>
      <c r="BP2297" s="1">
        <v>0.273</v>
      </c>
      <c r="BQ2297" s="1" t="s">
        <v>7388</v>
      </c>
      <c r="BV2297" s="1">
        <v>1.1</v>
      </c>
      <c r="EQ2297" s="9" t="s">
        <v>7387</v>
      </c>
      <c r="ER2297" s="21">
        <v>46045.302199074074</v>
      </c>
    </row>
    <row r="2298">
      <c r="A2298" s="9" t="s">
        <v>7389</v>
      </c>
      <c r="B2298" s="20" t="str">
        <f>IFERROR(__xludf.DUMMYFUNCTION("REGEXREPLACE(A2298, ""^https?://[^/]+"", """")"),"/amplify-sales-recruiting/")</f>
        <v>/amplify-sales-recruiting/</v>
      </c>
      <c r="F2298" s="1" t="s">
        <v>965</v>
      </c>
      <c r="G2298" s="1">
        <v>301.0</v>
      </c>
      <c r="H2298" s="1" t="s">
        <v>1304</v>
      </c>
      <c r="I2298" s="1" t="s">
        <v>1214</v>
      </c>
      <c r="J2298" s="1" t="s">
        <v>1305</v>
      </c>
      <c r="L2298" s="1">
        <v>0.0</v>
      </c>
      <c r="M2298" s="1">
        <v>0.0</v>
      </c>
      <c r="O2298" s="1">
        <v>0.0</v>
      </c>
      <c r="P2298" s="1">
        <v>0.0</v>
      </c>
      <c r="R2298" s="1">
        <v>0.0</v>
      </c>
      <c r="S2298" s="1">
        <v>0.0</v>
      </c>
      <c r="U2298" s="1">
        <v>0.0</v>
      </c>
      <c r="W2298" s="1">
        <v>0.0</v>
      </c>
      <c r="Y2298" s="1">
        <v>0.0</v>
      </c>
      <c r="AA2298" s="1">
        <v>0.0</v>
      </c>
      <c r="AC2298" s="1">
        <v>0.0</v>
      </c>
      <c r="AM2298" s="1">
        <v>0.0</v>
      </c>
      <c r="AN2298" s="1">
        <v>0.0</v>
      </c>
      <c r="AO2298" s="1">
        <v>0.0</v>
      </c>
      <c r="AP2298" s="1">
        <v>0.0</v>
      </c>
      <c r="AR2298" s="1">
        <v>0.0</v>
      </c>
      <c r="AW2298" s="1">
        <v>0.0</v>
      </c>
      <c r="AX2298" s="1">
        <v>5.0</v>
      </c>
      <c r="AY2298" s="1">
        <v>1.0</v>
      </c>
      <c r="BA2298" s="1">
        <v>3.0</v>
      </c>
      <c r="BB2298" s="1">
        <v>2.0</v>
      </c>
      <c r="BC2298" s="1">
        <v>0.0</v>
      </c>
      <c r="BD2298" s="1">
        <v>0.27</v>
      </c>
      <c r="BE2298" s="1">
        <v>0.0</v>
      </c>
      <c r="BF2298" s="1">
        <v>0.0</v>
      </c>
      <c r="BG2298" s="1">
        <v>0.0</v>
      </c>
      <c r="BH2298" s="1">
        <v>0.0</v>
      </c>
      <c r="BI2298" s="1">
        <v>0.0</v>
      </c>
      <c r="BJ2298" s="1">
        <v>0.0</v>
      </c>
      <c r="BP2298" s="1">
        <v>0.639</v>
      </c>
      <c r="BR2298" s="9" t="s">
        <v>7390</v>
      </c>
      <c r="BS2298" s="1" t="s">
        <v>1307</v>
      </c>
      <c r="BV2298" s="1">
        <v>1.1</v>
      </c>
      <c r="EQ2298" s="9" t="s">
        <v>7389</v>
      </c>
      <c r="ER2298" s="21">
        <v>46045.302199074074</v>
      </c>
    </row>
    <row r="2299">
      <c r="A2299" s="9" t="s">
        <v>7391</v>
      </c>
      <c r="B2299" s="20" t="str">
        <f>IFERROR(__xludf.DUMMYFUNCTION("REGEXREPLACE(A2299, ""^https?://[^/]+"", """")"),"/wp-content/themes/salesxceleratione/assets/css/style.css?ver=1769123619")</f>
        <v>/wp-content/themes/salesxceleratione/assets/css/style.css?ver=1769123619</v>
      </c>
      <c r="F2299" s="1" t="s">
        <v>1016</v>
      </c>
      <c r="G2299" s="1">
        <v>200.0</v>
      </c>
      <c r="H2299" s="1" t="s">
        <v>966</v>
      </c>
      <c r="I2299" s="1" t="s">
        <v>967</v>
      </c>
      <c r="L2299" s="1">
        <v>0.0</v>
      </c>
      <c r="M2299" s="1">
        <v>0.0</v>
      </c>
      <c r="O2299" s="1">
        <v>0.0</v>
      </c>
      <c r="P2299" s="1">
        <v>0.0</v>
      </c>
      <c r="R2299" s="1">
        <v>0.0</v>
      </c>
      <c r="S2299" s="1">
        <v>0.0</v>
      </c>
      <c r="U2299" s="1">
        <v>0.0</v>
      </c>
      <c r="W2299" s="1">
        <v>0.0</v>
      </c>
      <c r="Y2299" s="1">
        <v>0.0</v>
      </c>
      <c r="AA2299" s="1">
        <v>0.0</v>
      </c>
      <c r="AC2299" s="1">
        <v>0.0</v>
      </c>
      <c r="AM2299" s="1">
        <v>17704.0</v>
      </c>
      <c r="AN2299" s="1">
        <v>17704.0</v>
      </c>
      <c r="AO2299" s="1">
        <v>17704.0</v>
      </c>
      <c r="AP2299" s="1">
        <v>6.782</v>
      </c>
      <c r="AR2299" s="1">
        <v>0.0</v>
      </c>
      <c r="AW2299" s="1">
        <v>0.0</v>
      </c>
      <c r="AX2299" s="1">
        <v>5.0</v>
      </c>
      <c r="AY2299" s="1">
        <v>5.0</v>
      </c>
      <c r="BA2299" s="1">
        <v>0.0</v>
      </c>
      <c r="BB2299" s="1">
        <v>0.0</v>
      </c>
      <c r="BC2299" s="1">
        <v>0.0</v>
      </c>
      <c r="BD2299" s="1">
        <v>0.0</v>
      </c>
      <c r="BE2299" s="1">
        <v>0.0</v>
      </c>
      <c r="BF2299" s="1">
        <v>0.0</v>
      </c>
      <c r="BG2299" s="1">
        <v>0.0</v>
      </c>
      <c r="BH2299" s="1">
        <v>0.0</v>
      </c>
      <c r="BI2299" s="1">
        <v>0.0</v>
      </c>
      <c r="BJ2299" s="1">
        <v>0.0</v>
      </c>
      <c r="BP2299" s="1">
        <v>0.291</v>
      </c>
      <c r="BQ2299" s="1" t="s">
        <v>7392</v>
      </c>
      <c r="BV2299" s="1">
        <v>1.1</v>
      </c>
      <c r="EQ2299" s="9" t="s">
        <v>7391</v>
      </c>
      <c r="ER2299" s="21">
        <v>46045.302199074074</v>
      </c>
    </row>
    <row r="2300">
      <c r="A2300" s="9" t="s">
        <v>7393</v>
      </c>
      <c r="B2300" s="20" t="str">
        <f>IFERROR(__xludf.DUMMYFUNCTION("REGEXREPLACE(A2300, ""^https?://[^/]+"", """")"),"/wp-content/uploads/2022/01/United-Sales-Team-2048x2048.jpg")</f>
        <v>/wp-content/uploads/2022/01/United-Sales-Team-2048x2048.jpg</v>
      </c>
      <c r="F2300" s="1" t="s">
        <v>1004</v>
      </c>
      <c r="G2300" s="1">
        <v>200.0</v>
      </c>
      <c r="H2300" s="1" t="s">
        <v>966</v>
      </c>
      <c r="I2300" s="1" t="s">
        <v>967</v>
      </c>
      <c r="L2300" s="1">
        <v>0.0</v>
      </c>
      <c r="M2300" s="1">
        <v>0.0</v>
      </c>
      <c r="O2300" s="1">
        <v>0.0</v>
      </c>
      <c r="P2300" s="1">
        <v>0.0</v>
      </c>
      <c r="R2300" s="1">
        <v>0.0</v>
      </c>
      <c r="S2300" s="1">
        <v>0.0</v>
      </c>
      <c r="U2300" s="1">
        <v>0.0</v>
      </c>
      <c r="W2300" s="1">
        <v>0.0</v>
      </c>
      <c r="Y2300" s="1">
        <v>0.0</v>
      </c>
      <c r="AA2300" s="1">
        <v>0.0</v>
      </c>
      <c r="AC2300" s="1">
        <v>0.0</v>
      </c>
      <c r="AM2300" s="1">
        <v>530022.0</v>
      </c>
      <c r="AN2300" s="1">
        <v>530022.0</v>
      </c>
      <c r="AO2300" s="1">
        <v>530022.0</v>
      </c>
      <c r="AP2300" s="1">
        <v>203.041</v>
      </c>
      <c r="AR2300" s="1">
        <v>0.0</v>
      </c>
      <c r="AW2300" s="1">
        <v>0.0</v>
      </c>
      <c r="AX2300" s="1">
        <v>5.0</v>
      </c>
      <c r="AY2300" s="1">
        <v>4.0</v>
      </c>
      <c r="BA2300" s="1">
        <v>0.0</v>
      </c>
      <c r="BB2300" s="1">
        <v>0.0</v>
      </c>
      <c r="BC2300" s="1">
        <v>0.0</v>
      </c>
      <c r="BD2300" s="1">
        <v>0.0</v>
      </c>
      <c r="BE2300" s="1">
        <v>0.0</v>
      </c>
      <c r="BF2300" s="1">
        <v>0.0</v>
      </c>
      <c r="BG2300" s="1">
        <v>0.0</v>
      </c>
      <c r="BH2300" s="1">
        <v>0.0</v>
      </c>
      <c r="BI2300" s="1">
        <v>0.0</v>
      </c>
      <c r="BJ2300" s="1">
        <v>0.0</v>
      </c>
      <c r="BP2300" s="1">
        <v>0.273</v>
      </c>
      <c r="BQ2300" s="1" t="s">
        <v>7394</v>
      </c>
      <c r="BV2300" s="1">
        <v>1.1</v>
      </c>
      <c r="EQ2300" s="9" t="s">
        <v>7393</v>
      </c>
      <c r="ER2300" s="21">
        <v>46045.30221064815</v>
      </c>
    </row>
    <row r="2301">
      <c r="A2301" s="9" t="s">
        <v>7395</v>
      </c>
      <c r="B2301" s="20" t="str">
        <f>IFERROR(__xludf.DUMMYFUNCTION("REGEXREPLACE(A2301, ""^https?://[^/]+"", """")"),"/wp-content/uploads/2021/04/131501-viewpoints-rocketman-ORG.jpg")</f>
        <v>/wp-content/uploads/2021/04/131501-viewpoints-rocketman-ORG.jpg</v>
      </c>
      <c r="F2301" s="1" t="s">
        <v>1004</v>
      </c>
      <c r="G2301" s="1">
        <v>200.0</v>
      </c>
      <c r="H2301" s="1" t="s">
        <v>966</v>
      </c>
      <c r="I2301" s="1" t="s">
        <v>967</v>
      </c>
      <c r="L2301" s="1">
        <v>0.0</v>
      </c>
      <c r="M2301" s="1">
        <v>0.0</v>
      </c>
      <c r="O2301" s="1">
        <v>0.0</v>
      </c>
      <c r="P2301" s="1">
        <v>0.0</v>
      </c>
      <c r="R2301" s="1">
        <v>0.0</v>
      </c>
      <c r="S2301" s="1">
        <v>0.0</v>
      </c>
      <c r="U2301" s="1">
        <v>0.0</v>
      </c>
      <c r="W2301" s="1">
        <v>0.0</v>
      </c>
      <c r="Y2301" s="1">
        <v>0.0</v>
      </c>
      <c r="AA2301" s="1">
        <v>0.0</v>
      </c>
      <c r="AC2301" s="1">
        <v>0.0</v>
      </c>
      <c r="AM2301" s="1">
        <v>39418.0</v>
      </c>
      <c r="AN2301" s="1">
        <v>39418.0</v>
      </c>
      <c r="AO2301" s="1">
        <v>39418.0</v>
      </c>
      <c r="AP2301" s="1">
        <v>15.1</v>
      </c>
      <c r="AR2301" s="1">
        <v>0.0</v>
      </c>
      <c r="AW2301" s="1">
        <v>0.0</v>
      </c>
      <c r="AX2301" s="1">
        <v>5.0</v>
      </c>
      <c r="AY2301" s="1">
        <v>4.0</v>
      </c>
      <c r="BA2301" s="1">
        <v>0.0</v>
      </c>
      <c r="BB2301" s="1">
        <v>0.0</v>
      </c>
      <c r="BC2301" s="1">
        <v>0.0</v>
      </c>
      <c r="BD2301" s="1">
        <v>0.0</v>
      </c>
      <c r="BE2301" s="1">
        <v>0.0</v>
      </c>
      <c r="BF2301" s="1">
        <v>0.0</v>
      </c>
      <c r="BG2301" s="1">
        <v>0.0</v>
      </c>
      <c r="BH2301" s="1">
        <v>0.0</v>
      </c>
      <c r="BI2301" s="1">
        <v>0.0</v>
      </c>
      <c r="BJ2301" s="1">
        <v>0.0</v>
      </c>
      <c r="BP2301" s="1">
        <v>0.281</v>
      </c>
      <c r="BQ2301" s="1" t="s">
        <v>7396</v>
      </c>
      <c r="BV2301" s="1">
        <v>1.1</v>
      </c>
      <c r="EQ2301" s="9" t="s">
        <v>7395</v>
      </c>
      <c r="ER2301" s="21">
        <v>46045.30221064815</v>
      </c>
    </row>
    <row r="2302">
      <c r="A2302" s="9" t="s">
        <v>7397</v>
      </c>
      <c r="B2302" s="20" t="str">
        <f>IFERROR(__xludf.DUMMYFUNCTION("REGEXREPLACE(A2302, ""^https?://[^/]+"", """")"),"/wp-content/uploads/2020/11/forbes-expert-panel-2048x2048.jpg")</f>
        <v>/wp-content/uploads/2020/11/forbes-expert-panel-2048x2048.jpg</v>
      </c>
      <c r="F2302" s="1" t="s">
        <v>1004</v>
      </c>
      <c r="G2302" s="1">
        <v>200.0</v>
      </c>
      <c r="H2302" s="1" t="s">
        <v>966</v>
      </c>
      <c r="I2302" s="1" t="s">
        <v>967</v>
      </c>
      <c r="L2302" s="1">
        <v>0.0</v>
      </c>
      <c r="M2302" s="1">
        <v>0.0</v>
      </c>
      <c r="O2302" s="1">
        <v>0.0</v>
      </c>
      <c r="P2302" s="1">
        <v>0.0</v>
      </c>
      <c r="R2302" s="1">
        <v>0.0</v>
      </c>
      <c r="S2302" s="1">
        <v>0.0</v>
      </c>
      <c r="U2302" s="1">
        <v>0.0</v>
      </c>
      <c r="W2302" s="1">
        <v>0.0</v>
      </c>
      <c r="Y2302" s="1">
        <v>0.0</v>
      </c>
      <c r="AA2302" s="1">
        <v>0.0</v>
      </c>
      <c r="AC2302" s="1">
        <v>0.0</v>
      </c>
      <c r="AM2302" s="1">
        <v>337657.0</v>
      </c>
      <c r="AN2302" s="1">
        <v>337657.0</v>
      </c>
      <c r="AO2302" s="1">
        <v>337657.0</v>
      </c>
      <c r="AP2302" s="1">
        <v>129.35</v>
      </c>
      <c r="AR2302" s="1">
        <v>0.0</v>
      </c>
      <c r="AW2302" s="1">
        <v>0.0</v>
      </c>
      <c r="AX2302" s="1">
        <v>5.0</v>
      </c>
      <c r="AY2302" s="1">
        <v>4.0</v>
      </c>
      <c r="BA2302" s="1">
        <v>0.0</v>
      </c>
      <c r="BB2302" s="1">
        <v>0.0</v>
      </c>
      <c r="BC2302" s="1">
        <v>0.0</v>
      </c>
      <c r="BD2302" s="1">
        <v>0.0</v>
      </c>
      <c r="BE2302" s="1">
        <v>0.0</v>
      </c>
      <c r="BF2302" s="1">
        <v>0.0</v>
      </c>
      <c r="BG2302" s="1">
        <v>0.0</v>
      </c>
      <c r="BH2302" s="1">
        <v>0.0</v>
      </c>
      <c r="BI2302" s="1">
        <v>0.0</v>
      </c>
      <c r="BJ2302" s="1">
        <v>0.0</v>
      </c>
      <c r="BP2302" s="1">
        <v>0.274</v>
      </c>
      <c r="BQ2302" s="1" t="s">
        <v>7398</v>
      </c>
      <c r="BV2302" s="1">
        <v>1.1</v>
      </c>
      <c r="EQ2302" s="9" t="s">
        <v>7397</v>
      </c>
      <c r="ER2302" s="21">
        <v>46045.30221064815</v>
      </c>
    </row>
    <row r="2303">
      <c r="A2303" s="9" t="s">
        <v>7399</v>
      </c>
      <c r="B2303" s="20" t="str">
        <f>IFERROR(__xludf.DUMMYFUNCTION("REGEXREPLACE(A2303, ""^https?://[^/]+"", """")"),"/wp-content/uploads/2021/01/Sales-Process-Meeting-scaled-1-2048x2048.jpg")</f>
        <v>/wp-content/uploads/2021/01/Sales-Process-Meeting-scaled-1-2048x2048.jpg</v>
      </c>
      <c r="F2303" s="1" t="s">
        <v>1004</v>
      </c>
      <c r="G2303" s="1">
        <v>200.0</v>
      </c>
      <c r="H2303" s="1" t="s">
        <v>966</v>
      </c>
      <c r="I2303" s="1" t="s">
        <v>967</v>
      </c>
      <c r="L2303" s="1">
        <v>0.0</v>
      </c>
      <c r="M2303" s="1">
        <v>0.0</v>
      </c>
      <c r="O2303" s="1">
        <v>0.0</v>
      </c>
      <c r="P2303" s="1">
        <v>0.0</v>
      </c>
      <c r="R2303" s="1">
        <v>0.0</v>
      </c>
      <c r="S2303" s="1">
        <v>0.0</v>
      </c>
      <c r="U2303" s="1">
        <v>0.0</v>
      </c>
      <c r="W2303" s="1">
        <v>0.0</v>
      </c>
      <c r="Y2303" s="1">
        <v>0.0</v>
      </c>
      <c r="AA2303" s="1">
        <v>0.0</v>
      </c>
      <c r="AC2303" s="1">
        <v>0.0</v>
      </c>
      <c r="AM2303" s="1">
        <v>463631.0</v>
      </c>
      <c r="AN2303" s="1">
        <v>463631.0</v>
      </c>
      <c r="AO2303" s="1">
        <v>463631.0</v>
      </c>
      <c r="AP2303" s="1">
        <v>177.608</v>
      </c>
      <c r="AR2303" s="1">
        <v>0.0</v>
      </c>
      <c r="AW2303" s="1">
        <v>0.0</v>
      </c>
      <c r="AX2303" s="1">
        <v>5.0</v>
      </c>
      <c r="AY2303" s="1">
        <v>4.0</v>
      </c>
      <c r="BA2303" s="1">
        <v>0.0</v>
      </c>
      <c r="BB2303" s="1">
        <v>0.0</v>
      </c>
      <c r="BC2303" s="1">
        <v>0.0</v>
      </c>
      <c r="BD2303" s="1">
        <v>0.0</v>
      </c>
      <c r="BE2303" s="1">
        <v>0.0</v>
      </c>
      <c r="BF2303" s="1">
        <v>0.0</v>
      </c>
      <c r="BG2303" s="1">
        <v>0.0</v>
      </c>
      <c r="BH2303" s="1">
        <v>0.0</v>
      </c>
      <c r="BI2303" s="1">
        <v>0.0</v>
      </c>
      <c r="BJ2303" s="1">
        <v>0.0</v>
      </c>
      <c r="BP2303" s="1">
        <v>0.285</v>
      </c>
      <c r="BQ2303" s="1" t="s">
        <v>7400</v>
      </c>
      <c r="BV2303" s="1">
        <v>1.1</v>
      </c>
      <c r="EQ2303" s="9" t="s">
        <v>7399</v>
      </c>
      <c r="ER2303" s="21">
        <v>46045.30221064815</v>
      </c>
    </row>
    <row r="2304">
      <c r="A2304" s="9" t="s">
        <v>7401</v>
      </c>
      <c r="B2304" s="20" t="str">
        <f>IFERROR(__xludf.DUMMYFUNCTION("REGEXREPLACE(A2304, ""^https?://[^/]+"", """")"),"/wp-content/uploads/2022/01/United-Sales-Team.jpg")</f>
        <v>/wp-content/uploads/2022/01/United-Sales-Team.jpg</v>
      </c>
      <c r="F2304" s="1" t="s">
        <v>1004</v>
      </c>
      <c r="G2304" s="1">
        <v>200.0</v>
      </c>
      <c r="H2304" s="1" t="s">
        <v>966</v>
      </c>
      <c r="I2304" s="1" t="s">
        <v>967</v>
      </c>
      <c r="L2304" s="1">
        <v>0.0</v>
      </c>
      <c r="M2304" s="1">
        <v>0.0</v>
      </c>
      <c r="O2304" s="1">
        <v>0.0</v>
      </c>
      <c r="P2304" s="1">
        <v>0.0</v>
      </c>
      <c r="R2304" s="1">
        <v>0.0</v>
      </c>
      <c r="S2304" s="1">
        <v>0.0</v>
      </c>
      <c r="U2304" s="1">
        <v>0.0</v>
      </c>
      <c r="W2304" s="1">
        <v>0.0</v>
      </c>
      <c r="Y2304" s="1">
        <v>0.0</v>
      </c>
      <c r="AA2304" s="1">
        <v>0.0</v>
      </c>
      <c r="AC2304" s="1">
        <v>0.0</v>
      </c>
      <c r="AM2304" s="1">
        <v>376998.0</v>
      </c>
      <c r="AN2304" s="1">
        <v>376998.0</v>
      </c>
      <c r="AO2304" s="1">
        <v>376998.0</v>
      </c>
      <c r="AP2304" s="1">
        <v>144.421</v>
      </c>
      <c r="AR2304" s="1">
        <v>0.0</v>
      </c>
      <c r="AW2304" s="1">
        <v>0.0</v>
      </c>
      <c r="AX2304" s="1">
        <v>5.0</v>
      </c>
      <c r="AY2304" s="1">
        <v>4.0</v>
      </c>
      <c r="BA2304" s="1">
        <v>0.0</v>
      </c>
      <c r="BB2304" s="1">
        <v>0.0</v>
      </c>
      <c r="BC2304" s="1">
        <v>0.0</v>
      </c>
      <c r="BD2304" s="1">
        <v>0.0</v>
      </c>
      <c r="BE2304" s="1">
        <v>0.0</v>
      </c>
      <c r="BF2304" s="1">
        <v>0.0</v>
      </c>
      <c r="BG2304" s="1">
        <v>0.0</v>
      </c>
      <c r="BH2304" s="1">
        <v>0.0</v>
      </c>
      <c r="BI2304" s="1">
        <v>0.0</v>
      </c>
      <c r="BJ2304" s="1">
        <v>0.0</v>
      </c>
      <c r="BP2304" s="1">
        <v>0.277</v>
      </c>
      <c r="BQ2304" s="1" t="s">
        <v>7402</v>
      </c>
      <c r="BV2304" s="1">
        <v>1.1</v>
      </c>
      <c r="EQ2304" s="9" t="s">
        <v>7401</v>
      </c>
      <c r="ER2304" s="21">
        <v>46045.30221064815</v>
      </c>
    </row>
    <row r="2305">
      <c r="A2305" s="9" t="s">
        <v>7403</v>
      </c>
      <c r="B2305" s="20" t="str">
        <f>IFERROR(__xludf.DUMMYFUNCTION("REGEXREPLACE(A2305, ""^https?://[^/]+"", """")"),"/results-thats-all-that-matters-right/")</f>
        <v>/results-thats-all-that-matters-right/</v>
      </c>
      <c r="C2305" s="1" t="s">
        <v>7404</v>
      </c>
      <c r="F2305" s="1" t="s">
        <v>965</v>
      </c>
      <c r="G2305" s="1">
        <v>200.0</v>
      </c>
      <c r="H2305" s="1" t="s">
        <v>966</v>
      </c>
      <c r="I2305" s="1" t="s">
        <v>967</v>
      </c>
      <c r="K2305" s="1" t="s">
        <v>7405</v>
      </c>
      <c r="L2305" s="1">
        <v>65.0</v>
      </c>
      <c r="M2305" s="1">
        <v>548.0</v>
      </c>
      <c r="O2305" s="1">
        <v>0.0</v>
      </c>
      <c r="P2305" s="1">
        <v>0.0</v>
      </c>
      <c r="Q2305" s="1" t="s">
        <v>7406</v>
      </c>
      <c r="R2305" s="1">
        <v>122.0</v>
      </c>
      <c r="S2305" s="1">
        <v>748.0</v>
      </c>
      <c r="U2305" s="1">
        <v>0.0</v>
      </c>
      <c r="V2305" s="1" t="s">
        <v>7404</v>
      </c>
      <c r="W2305" s="1">
        <v>40.0</v>
      </c>
      <c r="Y2305" s="1">
        <v>0.0</v>
      </c>
      <c r="AA2305" s="1">
        <v>0.0</v>
      </c>
      <c r="AC2305" s="1">
        <v>0.0</v>
      </c>
      <c r="AD2305" s="1" t="s">
        <v>971</v>
      </c>
      <c r="AG2305" s="9" t="s">
        <v>7403</v>
      </c>
      <c r="AM2305" s="1">
        <v>200244.0</v>
      </c>
      <c r="AN2305" s="1">
        <v>34990.0</v>
      </c>
      <c r="AO2305" s="1">
        <v>34990.0</v>
      </c>
      <c r="AP2305" s="1">
        <v>13.404</v>
      </c>
      <c r="AR2305" s="1">
        <v>1092.0</v>
      </c>
      <c r="AS2305" s="1">
        <v>175.0</v>
      </c>
      <c r="AT2305" s="1">
        <v>6.24</v>
      </c>
      <c r="AU2305" s="1">
        <v>74.609</v>
      </c>
      <c r="AV2305" s="1" t="s">
        <v>1264</v>
      </c>
      <c r="AW2305" s="1">
        <v>4.366</v>
      </c>
      <c r="AX2305" s="1">
        <v>5.0</v>
      </c>
      <c r="AY2305" s="1">
        <v>1.0</v>
      </c>
      <c r="AZ2305" s="1">
        <v>1.0</v>
      </c>
      <c r="BA2305" s="1">
        <v>5.0</v>
      </c>
      <c r="BB2305" s="1">
        <v>3.0</v>
      </c>
      <c r="BC2305" s="1">
        <v>0.0</v>
      </c>
      <c r="BD2305" s="1">
        <v>0.4</v>
      </c>
      <c r="BE2305" s="1">
        <v>129.0</v>
      </c>
      <c r="BF2305" s="1">
        <v>47.0</v>
      </c>
      <c r="BG2305" s="1">
        <v>0.0</v>
      </c>
      <c r="BH2305" s="1">
        <v>16.0</v>
      </c>
      <c r="BI2305" s="1">
        <v>8.0</v>
      </c>
      <c r="BJ2305" s="1">
        <v>0.0</v>
      </c>
      <c r="BO2305" s="1" t="s">
        <v>7407</v>
      </c>
      <c r="BP2305" s="1">
        <v>1.044</v>
      </c>
      <c r="BU2305" s="1" t="s">
        <v>974</v>
      </c>
      <c r="BV2305" s="1">
        <v>1.1</v>
      </c>
      <c r="EQ2305" s="9" t="s">
        <v>7403</v>
      </c>
      <c r="ER2305" s="21">
        <v>46045.302199074074</v>
      </c>
    </row>
    <row r="2306">
      <c r="A2306" s="9" t="s">
        <v>7408</v>
      </c>
      <c r="B2306" s="20" t="str">
        <f>IFERROR(__xludf.DUMMYFUNCTION("REGEXREPLACE(A2306, ""^https?://[^/]+"", """")"),"/wp-content/themes/salesxceleratione/assets/css/style.css?ver=1769123620")</f>
        <v>/wp-content/themes/salesxceleratione/assets/css/style.css?ver=1769123620</v>
      </c>
      <c r="F2306" s="1" t="s">
        <v>1016</v>
      </c>
      <c r="G2306" s="1">
        <v>200.0</v>
      </c>
      <c r="H2306" s="1" t="s">
        <v>966</v>
      </c>
      <c r="I2306" s="1" t="s">
        <v>967</v>
      </c>
      <c r="L2306" s="1">
        <v>0.0</v>
      </c>
      <c r="M2306" s="1">
        <v>0.0</v>
      </c>
      <c r="O2306" s="1">
        <v>0.0</v>
      </c>
      <c r="P2306" s="1">
        <v>0.0</v>
      </c>
      <c r="R2306" s="1">
        <v>0.0</v>
      </c>
      <c r="S2306" s="1">
        <v>0.0</v>
      </c>
      <c r="U2306" s="1">
        <v>0.0</v>
      </c>
      <c r="W2306" s="1">
        <v>0.0</v>
      </c>
      <c r="Y2306" s="1">
        <v>0.0</v>
      </c>
      <c r="AA2306" s="1">
        <v>0.0</v>
      </c>
      <c r="AC2306" s="1">
        <v>0.0</v>
      </c>
      <c r="AM2306" s="1">
        <v>17704.0</v>
      </c>
      <c r="AN2306" s="1">
        <v>17704.0</v>
      </c>
      <c r="AO2306" s="1">
        <v>17704.0</v>
      </c>
      <c r="AP2306" s="1">
        <v>6.782</v>
      </c>
      <c r="AR2306" s="1">
        <v>0.0</v>
      </c>
      <c r="AW2306" s="1">
        <v>0.0</v>
      </c>
      <c r="AX2306" s="1">
        <v>5.0</v>
      </c>
      <c r="AY2306" s="1">
        <v>5.0</v>
      </c>
      <c r="BA2306" s="1">
        <v>0.0</v>
      </c>
      <c r="BB2306" s="1">
        <v>0.0</v>
      </c>
      <c r="BC2306" s="1">
        <v>0.0</v>
      </c>
      <c r="BD2306" s="1">
        <v>0.0</v>
      </c>
      <c r="BE2306" s="1">
        <v>0.0</v>
      </c>
      <c r="BF2306" s="1">
        <v>0.0</v>
      </c>
      <c r="BG2306" s="1">
        <v>0.0</v>
      </c>
      <c r="BH2306" s="1">
        <v>0.0</v>
      </c>
      <c r="BI2306" s="1">
        <v>0.0</v>
      </c>
      <c r="BJ2306" s="1">
        <v>0.0</v>
      </c>
      <c r="BP2306" s="1">
        <v>0.284</v>
      </c>
      <c r="BQ2306" s="1" t="s">
        <v>5816</v>
      </c>
      <c r="BV2306" s="1">
        <v>1.1</v>
      </c>
      <c r="EQ2306" s="9" t="s">
        <v>7408</v>
      </c>
      <c r="ER2306" s="21">
        <v>46045.30222222222</v>
      </c>
    </row>
    <row r="2307">
      <c r="A2307" s="9" t="s">
        <v>7409</v>
      </c>
      <c r="B2307" s="20" t="str">
        <f>IFERROR(__xludf.DUMMYFUNCTION("REGEXREPLACE(A2307, ""^https?://[^/]+"", """")"),"/wp-content/uploads/2021/12/social-media.jpg")</f>
        <v>/wp-content/uploads/2021/12/social-media.jpg</v>
      </c>
      <c r="F2307" s="1" t="s">
        <v>1004</v>
      </c>
      <c r="G2307" s="1">
        <v>200.0</v>
      </c>
      <c r="H2307" s="1" t="s">
        <v>966</v>
      </c>
      <c r="I2307" s="1" t="s">
        <v>967</v>
      </c>
      <c r="L2307" s="1">
        <v>0.0</v>
      </c>
      <c r="M2307" s="1">
        <v>0.0</v>
      </c>
      <c r="O2307" s="1">
        <v>0.0</v>
      </c>
      <c r="P2307" s="1">
        <v>0.0</v>
      </c>
      <c r="R2307" s="1">
        <v>0.0</v>
      </c>
      <c r="S2307" s="1">
        <v>0.0</v>
      </c>
      <c r="U2307" s="1">
        <v>0.0</v>
      </c>
      <c r="W2307" s="1">
        <v>0.0</v>
      </c>
      <c r="Y2307" s="1">
        <v>0.0</v>
      </c>
      <c r="AA2307" s="1">
        <v>0.0</v>
      </c>
      <c r="AC2307" s="1">
        <v>0.0</v>
      </c>
      <c r="AM2307" s="1">
        <v>39846.0</v>
      </c>
      <c r="AN2307" s="1">
        <v>39846.0</v>
      </c>
      <c r="AO2307" s="1">
        <v>39846.0</v>
      </c>
      <c r="AP2307" s="1">
        <v>15.264</v>
      </c>
      <c r="AR2307" s="1">
        <v>0.0</v>
      </c>
      <c r="AW2307" s="1">
        <v>0.0</v>
      </c>
      <c r="AX2307" s="1">
        <v>5.0</v>
      </c>
      <c r="AY2307" s="1">
        <v>4.0</v>
      </c>
      <c r="BA2307" s="1">
        <v>0.0</v>
      </c>
      <c r="BB2307" s="1">
        <v>0.0</v>
      </c>
      <c r="BC2307" s="1">
        <v>0.0</v>
      </c>
      <c r="BD2307" s="1">
        <v>0.0</v>
      </c>
      <c r="BE2307" s="1">
        <v>0.0</v>
      </c>
      <c r="BF2307" s="1">
        <v>0.0</v>
      </c>
      <c r="BG2307" s="1">
        <v>0.0</v>
      </c>
      <c r="BH2307" s="1">
        <v>0.0</v>
      </c>
      <c r="BI2307" s="1">
        <v>0.0</v>
      </c>
      <c r="BJ2307" s="1">
        <v>0.0</v>
      </c>
      <c r="BP2307" s="1">
        <v>0.276</v>
      </c>
      <c r="BQ2307" s="1" t="s">
        <v>5740</v>
      </c>
      <c r="BV2307" s="1">
        <v>1.1</v>
      </c>
      <c r="EQ2307" s="9" t="s">
        <v>7409</v>
      </c>
      <c r="ER2307" s="21">
        <v>46045.30222222222</v>
      </c>
    </row>
    <row r="2308">
      <c r="A2308" s="9" t="s">
        <v>7410</v>
      </c>
      <c r="B2308" s="20" t="str">
        <f>IFERROR(__xludf.DUMMYFUNCTION("REGEXREPLACE(A2308, ""^https?://[^/]+"", """")"),"/wp-content/uploads/2021/11/backpack.jpeg")</f>
        <v>/wp-content/uploads/2021/11/backpack.jpeg</v>
      </c>
      <c r="F2308" s="1" t="s">
        <v>1004</v>
      </c>
      <c r="G2308" s="1">
        <v>200.0</v>
      </c>
      <c r="H2308" s="1" t="s">
        <v>966</v>
      </c>
      <c r="I2308" s="1" t="s">
        <v>967</v>
      </c>
      <c r="L2308" s="1">
        <v>0.0</v>
      </c>
      <c r="M2308" s="1">
        <v>0.0</v>
      </c>
      <c r="O2308" s="1">
        <v>0.0</v>
      </c>
      <c r="P2308" s="1">
        <v>0.0</v>
      </c>
      <c r="R2308" s="1">
        <v>0.0</v>
      </c>
      <c r="S2308" s="1">
        <v>0.0</v>
      </c>
      <c r="U2308" s="1">
        <v>0.0</v>
      </c>
      <c r="W2308" s="1">
        <v>0.0</v>
      </c>
      <c r="Y2308" s="1">
        <v>0.0</v>
      </c>
      <c r="AA2308" s="1">
        <v>0.0</v>
      </c>
      <c r="AC2308" s="1">
        <v>0.0</v>
      </c>
      <c r="AM2308" s="1">
        <v>34243.0</v>
      </c>
      <c r="AN2308" s="1">
        <v>34243.0</v>
      </c>
      <c r="AO2308" s="1">
        <v>34243.0</v>
      </c>
      <c r="AP2308" s="1">
        <v>13.118</v>
      </c>
      <c r="AR2308" s="1">
        <v>0.0</v>
      </c>
      <c r="AW2308" s="1">
        <v>0.0</v>
      </c>
      <c r="AX2308" s="1">
        <v>5.0</v>
      </c>
      <c r="AY2308" s="1">
        <v>4.0</v>
      </c>
      <c r="BA2308" s="1">
        <v>0.0</v>
      </c>
      <c r="BB2308" s="1">
        <v>0.0</v>
      </c>
      <c r="BC2308" s="1">
        <v>0.0</v>
      </c>
      <c r="BD2308" s="1">
        <v>0.0</v>
      </c>
      <c r="BE2308" s="1">
        <v>0.0</v>
      </c>
      <c r="BF2308" s="1">
        <v>0.0</v>
      </c>
      <c r="BG2308" s="1">
        <v>0.0</v>
      </c>
      <c r="BH2308" s="1">
        <v>0.0</v>
      </c>
      <c r="BI2308" s="1">
        <v>0.0</v>
      </c>
      <c r="BJ2308" s="1">
        <v>0.0</v>
      </c>
      <c r="BP2308" s="1">
        <v>0.305</v>
      </c>
      <c r="BQ2308" s="1" t="s">
        <v>7411</v>
      </c>
      <c r="BV2308" s="1">
        <v>1.1</v>
      </c>
      <c r="EQ2308" s="9" t="s">
        <v>7410</v>
      </c>
      <c r="ER2308" s="21">
        <v>46045.30222222222</v>
      </c>
    </row>
    <row r="2309">
      <c r="A2309" s="9" t="s">
        <v>7412</v>
      </c>
      <c r="B2309" s="20" t="str">
        <f>IFERROR(__xludf.DUMMYFUNCTION("REGEXREPLACE(A2309, ""^https?://[^/]+"", """")"),"/wp-content/uploads/2021/04/Sales-Goal-Meeting.png")</f>
        <v>/wp-content/uploads/2021/04/Sales-Goal-Meeting.png</v>
      </c>
      <c r="F2309" s="1" t="s">
        <v>1047</v>
      </c>
      <c r="G2309" s="1">
        <v>200.0</v>
      </c>
      <c r="H2309" s="1" t="s">
        <v>966</v>
      </c>
      <c r="I2309" s="1" t="s">
        <v>967</v>
      </c>
      <c r="L2309" s="1">
        <v>0.0</v>
      </c>
      <c r="M2309" s="1">
        <v>0.0</v>
      </c>
      <c r="O2309" s="1">
        <v>0.0</v>
      </c>
      <c r="P2309" s="1">
        <v>0.0</v>
      </c>
      <c r="R2309" s="1">
        <v>0.0</v>
      </c>
      <c r="S2309" s="1">
        <v>0.0</v>
      </c>
      <c r="U2309" s="1">
        <v>0.0</v>
      </c>
      <c r="W2309" s="1">
        <v>0.0</v>
      </c>
      <c r="Y2309" s="1">
        <v>0.0</v>
      </c>
      <c r="AA2309" s="1">
        <v>0.0</v>
      </c>
      <c r="AC2309" s="1">
        <v>0.0</v>
      </c>
      <c r="AM2309" s="1">
        <v>1231119.0</v>
      </c>
      <c r="AN2309" s="1">
        <v>1231119.0</v>
      </c>
      <c r="AO2309" s="1">
        <v>1231119.0</v>
      </c>
      <c r="AP2309" s="1">
        <v>471.618</v>
      </c>
      <c r="AR2309" s="1">
        <v>0.0</v>
      </c>
      <c r="AW2309" s="1">
        <v>0.0</v>
      </c>
      <c r="AX2309" s="1">
        <v>5.0</v>
      </c>
      <c r="AY2309" s="1">
        <v>4.0</v>
      </c>
      <c r="BA2309" s="1">
        <v>0.0</v>
      </c>
      <c r="BB2309" s="1">
        <v>0.0</v>
      </c>
      <c r="BC2309" s="1">
        <v>0.0</v>
      </c>
      <c r="BD2309" s="1">
        <v>0.0</v>
      </c>
      <c r="BE2309" s="1">
        <v>0.0</v>
      </c>
      <c r="BF2309" s="1">
        <v>0.0</v>
      </c>
      <c r="BG2309" s="1">
        <v>0.0</v>
      </c>
      <c r="BH2309" s="1">
        <v>0.0</v>
      </c>
      <c r="BI2309" s="1">
        <v>0.0</v>
      </c>
      <c r="BJ2309" s="1">
        <v>0.0</v>
      </c>
      <c r="BP2309" s="1">
        <v>0.265</v>
      </c>
      <c r="BQ2309" s="1" t="s">
        <v>7413</v>
      </c>
      <c r="BV2309" s="1">
        <v>1.1</v>
      </c>
      <c r="EQ2309" s="9" t="s">
        <v>7412</v>
      </c>
      <c r="ER2309" s="21">
        <v>46045.30222222222</v>
      </c>
    </row>
    <row r="2310">
      <c r="A2310" s="9" t="s">
        <v>7414</v>
      </c>
      <c r="B2310" s="20" t="str">
        <f>IFERROR(__xludf.DUMMYFUNCTION("REGEXREPLACE(A2310, ""^https?://[^/]+"", """")"),"/wp-content/uploads/2020/03/Business_CEO_thinking_with_employees_in_the_background-2048x2048.jpg")</f>
        <v>/wp-content/uploads/2020/03/Business_CEO_thinking_with_employees_in_the_background-2048x2048.jpg</v>
      </c>
      <c r="F2310" s="1" t="s">
        <v>1004</v>
      </c>
      <c r="G2310" s="1">
        <v>200.0</v>
      </c>
      <c r="H2310" s="1" t="s">
        <v>966</v>
      </c>
      <c r="I2310" s="1" t="s">
        <v>967</v>
      </c>
      <c r="L2310" s="1">
        <v>0.0</v>
      </c>
      <c r="M2310" s="1">
        <v>0.0</v>
      </c>
      <c r="O2310" s="1">
        <v>0.0</v>
      </c>
      <c r="P2310" s="1">
        <v>0.0</v>
      </c>
      <c r="R2310" s="1">
        <v>0.0</v>
      </c>
      <c r="S2310" s="1">
        <v>0.0</v>
      </c>
      <c r="U2310" s="1">
        <v>0.0</v>
      </c>
      <c r="W2310" s="1">
        <v>0.0</v>
      </c>
      <c r="Y2310" s="1">
        <v>0.0</v>
      </c>
      <c r="AA2310" s="1">
        <v>0.0</v>
      </c>
      <c r="AC2310" s="1">
        <v>0.0</v>
      </c>
      <c r="AM2310" s="1">
        <v>262953.0</v>
      </c>
      <c r="AN2310" s="1">
        <v>262953.0</v>
      </c>
      <c r="AO2310" s="1">
        <v>262953.0</v>
      </c>
      <c r="AP2310" s="1">
        <v>100.732</v>
      </c>
      <c r="AR2310" s="1">
        <v>0.0</v>
      </c>
      <c r="AW2310" s="1">
        <v>0.0</v>
      </c>
      <c r="AX2310" s="1">
        <v>5.0</v>
      </c>
      <c r="AY2310" s="1">
        <v>4.0</v>
      </c>
      <c r="BA2310" s="1">
        <v>0.0</v>
      </c>
      <c r="BB2310" s="1">
        <v>0.0</v>
      </c>
      <c r="BC2310" s="1">
        <v>0.0</v>
      </c>
      <c r="BD2310" s="1">
        <v>0.0</v>
      </c>
      <c r="BE2310" s="1">
        <v>0.0</v>
      </c>
      <c r="BF2310" s="1">
        <v>0.0</v>
      </c>
      <c r="BG2310" s="1">
        <v>0.0</v>
      </c>
      <c r="BH2310" s="1">
        <v>0.0</v>
      </c>
      <c r="BI2310" s="1">
        <v>0.0</v>
      </c>
      <c r="BJ2310" s="1">
        <v>0.0</v>
      </c>
      <c r="BP2310" s="1">
        <v>0.384</v>
      </c>
      <c r="BQ2310" s="1" t="s">
        <v>7415</v>
      </c>
      <c r="BV2310" s="1">
        <v>1.1</v>
      </c>
      <c r="EQ2310" s="9" t="s">
        <v>7414</v>
      </c>
      <c r="ER2310" s="21">
        <v>46045.30222222222</v>
      </c>
    </row>
    <row r="2311">
      <c r="A2311" s="9" t="s">
        <v>7416</v>
      </c>
      <c r="B2311" s="20" t="str">
        <f>IFERROR(__xludf.DUMMYFUNCTION("REGEXREPLACE(A2311, ""^https?://[^/]+"", """")"),"/wp-content/uploads/2021/02/Sales-Pipeline-scaled-1-2048x2048.jpg")</f>
        <v>/wp-content/uploads/2021/02/Sales-Pipeline-scaled-1-2048x2048.jpg</v>
      </c>
      <c r="F2311" s="1" t="s">
        <v>1004</v>
      </c>
      <c r="G2311" s="1">
        <v>200.0</v>
      </c>
      <c r="H2311" s="1" t="s">
        <v>966</v>
      </c>
      <c r="I2311" s="1" t="s">
        <v>967</v>
      </c>
      <c r="L2311" s="1">
        <v>0.0</v>
      </c>
      <c r="M2311" s="1">
        <v>0.0</v>
      </c>
      <c r="O2311" s="1">
        <v>0.0</v>
      </c>
      <c r="P2311" s="1">
        <v>0.0</v>
      </c>
      <c r="R2311" s="1">
        <v>0.0</v>
      </c>
      <c r="S2311" s="1">
        <v>0.0</v>
      </c>
      <c r="U2311" s="1">
        <v>0.0</v>
      </c>
      <c r="W2311" s="1">
        <v>0.0</v>
      </c>
      <c r="Y2311" s="1">
        <v>0.0</v>
      </c>
      <c r="AA2311" s="1">
        <v>0.0</v>
      </c>
      <c r="AC2311" s="1">
        <v>0.0</v>
      </c>
      <c r="AM2311" s="1">
        <v>241291.0</v>
      </c>
      <c r="AN2311" s="1">
        <v>241291.0</v>
      </c>
      <c r="AO2311" s="1">
        <v>241291.0</v>
      </c>
      <c r="AP2311" s="1">
        <v>92.434</v>
      </c>
      <c r="AR2311" s="1">
        <v>0.0</v>
      </c>
      <c r="AW2311" s="1">
        <v>0.0</v>
      </c>
      <c r="AX2311" s="1">
        <v>5.0</v>
      </c>
      <c r="AY2311" s="1">
        <v>4.0</v>
      </c>
      <c r="BA2311" s="1">
        <v>0.0</v>
      </c>
      <c r="BB2311" s="1">
        <v>0.0</v>
      </c>
      <c r="BC2311" s="1">
        <v>0.0</v>
      </c>
      <c r="BD2311" s="1">
        <v>0.0</v>
      </c>
      <c r="BE2311" s="1">
        <v>0.0</v>
      </c>
      <c r="BF2311" s="1">
        <v>0.0</v>
      </c>
      <c r="BG2311" s="1">
        <v>0.0</v>
      </c>
      <c r="BH2311" s="1">
        <v>0.0</v>
      </c>
      <c r="BI2311" s="1">
        <v>0.0</v>
      </c>
      <c r="BJ2311" s="1">
        <v>0.0</v>
      </c>
      <c r="BP2311" s="1">
        <v>0.268</v>
      </c>
      <c r="BQ2311" s="1" t="s">
        <v>5841</v>
      </c>
      <c r="BV2311" s="1">
        <v>1.1</v>
      </c>
      <c r="EQ2311" s="9" t="s">
        <v>7416</v>
      </c>
      <c r="ER2311" s="21">
        <v>46045.30222222222</v>
      </c>
    </row>
    <row r="2312">
      <c r="A2312" s="9" t="s">
        <v>7417</v>
      </c>
      <c r="B2312" s="20" t="str">
        <f>IFERROR(__xludf.DUMMYFUNCTION("REGEXREPLACE(A2312, ""^https?://[^/]+"", """")"),"/wp-content/uploads/2021/07/CRM-scaled-1.jpg")</f>
        <v>/wp-content/uploads/2021/07/CRM-scaled-1.jpg</v>
      </c>
      <c r="F2312" s="1" t="s">
        <v>1004</v>
      </c>
      <c r="G2312" s="1">
        <v>200.0</v>
      </c>
      <c r="H2312" s="1" t="s">
        <v>966</v>
      </c>
      <c r="I2312" s="1" t="s">
        <v>967</v>
      </c>
      <c r="L2312" s="1">
        <v>0.0</v>
      </c>
      <c r="M2312" s="1">
        <v>0.0</v>
      </c>
      <c r="O2312" s="1">
        <v>0.0</v>
      </c>
      <c r="P2312" s="1">
        <v>0.0</v>
      </c>
      <c r="R2312" s="1">
        <v>0.0</v>
      </c>
      <c r="S2312" s="1">
        <v>0.0</v>
      </c>
      <c r="U2312" s="1">
        <v>0.0</v>
      </c>
      <c r="W2312" s="1">
        <v>0.0</v>
      </c>
      <c r="Y2312" s="1">
        <v>0.0</v>
      </c>
      <c r="AA2312" s="1">
        <v>0.0</v>
      </c>
      <c r="AC2312" s="1">
        <v>0.0</v>
      </c>
      <c r="AM2312" s="1">
        <v>198939.0</v>
      </c>
      <c r="AN2312" s="1">
        <v>198939.0</v>
      </c>
      <c r="AO2312" s="1">
        <v>198939.0</v>
      </c>
      <c r="AP2312" s="1">
        <v>76.21</v>
      </c>
      <c r="AR2312" s="1">
        <v>0.0</v>
      </c>
      <c r="AW2312" s="1">
        <v>0.0</v>
      </c>
      <c r="AX2312" s="1">
        <v>5.0</v>
      </c>
      <c r="AY2312" s="1">
        <v>4.0</v>
      </c>
      <c r="BA2312" s="1">
        <v>0.0</v>
      </c>
      <c r="BB2312" s="1">
        <v>0.0</v>
      </c>
      <c r="BC2312" s="1">
        <v>0.0</v>
      </c>
      <c r="BD2312" s="1">
        <v>0.0</v>
      </c>
      <c r="BE2312" s="1">
        <v>0.0</v>
      </c>
      <c r="BF2312" s="1">
        <v>0.0</v>
      </c>
      <c r="BG2312" s="1">
        <v>0.0</v>
      </c>
      <c r="BH2312" s="1">
        <v>0.0</v>
      </c>
      <c r="BI2312" s="1">
        <v>0.0</v>
      </c>
      <c r="BJ2312" s="1">
        <v>0.0</v>
      </c>
      <c r="BP2312" s="1">
        <v>0.262</v>
      </c>
      <c r="BQ2312" s="1" t="s">
        <v>7418</v>
      </c>
      <c r="BV2312" s="1">
        <v>1.1</v>
      </c>
      <c r="EQ2312" s="9" t="s">
        <v>7417</v>
      </c>
      <c r="ER2312" s="21">
        <v>46045.30222222222</v>
      </c>
    </row>
    <row r="2313">
      <c r="A2313" s="9" t="s">
        <v>7419</v>
      </c>
      <c r="B2313" s="20" t="str">
        <f>IFERROR(__xludf.DUMMYFUNCTION("REGEXREPLACE(A2313, ""^https?://[^/]+"", """")"),"/wp-content/uploads/2022/04/Marchetti-Jerry-275x275-1-100x100.jpg")</f>
        <v>/wp-content/uploads/2022/04/Marchetti-Jerry-275x275-1-100x100.jpg</v>
      </c>
      <c r="F2313" s="1" t="s">
        <v>1004</v>
      </c>
      <c r="G2313" s="1">
        <v>200.0</v>
      </c>
      <c r="H2313" s="1" t="s">
        <v>966</v>
      </c>
      <c r="I2313" s="1" t="s">
        <v>967</v>
      </c>
      <c r="L2313" s="1">
        <v>0.0</v>
      </c>
      <c r="M2313" s="1">
        <v>0.0</v>
      </c>
      <c r="O2313" s="1">
        <v>0.0</v>
      </c>
      <c r="P2313" s="1">
        <v>0.0</v>
      </c>
      <c r="R2313" s="1">
        <v>0.0</v>
      </c>
      <c r="S2313" s="1">
        <v>0.0</v>
      </c>
      <c r="U2313" s="1">
        <v>0.0</v>
      </c>
      <c r="W2313" s="1">
        <v>0.0</v>
      </c>
      <c r="Y2313" s="1">
        <v>0.0</v>
      </c>
      <c r="AA2313" s="1">
        <v>0.0</v>
      </c>
      <c r="AC2313" s="1">
        <v>0.0</v>
      </c>
      <c r="AM2313" s="1">
        <v>2625.0</v>
      </c>
      <c r="AN2313" s="1">
        <v>2625.0</v>
      </c>
      <c r="AO2313" s="1">
        <v>2625.0</v>
      </c>
      <c r="AP2313" s="1">
        <v>1.006</v>
      </c>
      <c r="AR2313" s="1">
        <v>0.0</v>
      </c>
      <c r="AW2313" s="1">
        <v>0.0</v>
      </c>
      <c r="AX2313" s="1">
        <v>5.0</v>
      </c>
      <c r="AY2313" s="1">
        <v>4.0</v>
      </c>
      <c r="BA2313" s="1">
        <v>0.0</v>
      </c>
      <c r="BB2313" s="1">
        <v>0.0</v>
      </c>
      <c r="BC2313" s="1">
        <v>0.0</v>
      </c>
      <c r="BD2313" s="1">
        <v>0.0</v>
      </c>
      <c r="BE2313" s="1">
        <v>0.0</v>
      </c>
      <c r="BF2313" s="1">
        <v>0.0</v>
      </c>
      <c r="BG2313" s="1">
        <v>0.0</v>
      </c>
      <c r="BH2313" s="1">
        <v>0.0</v>
      </c>
      <c r="BI2313" s="1">
        <v>0.0</v>
      </c>
      <c r="BJ2313" s="1">
        <v>0.0</v>
      </c>
      <c r="BP2313" s="1">
        <v>0.27</v>
      </c>
      <c r="BQ2313" s="1" t="s">
        <v>7420</v>
      </c>
      <c r="BV2313" s="1">
        <v>1.1</v>
      </c>
      <c r="EQ2313" s="9" t="s">
        <v>7419</v>
      </c>
      <c r="ER2313" s="21">
        <v>46045.30222222222</v>
      </c>
    </row>
    <row r="2314">
      <c r="A2314" s="9" t="s">
        <v>7421</v>
      </c>
      <c r="B2314" s="20" t="str">
        <f>IFERROR(__xludf.DUMMYFUNCTION("REGEXREPLACE(A2314, ""^https?://[^/]+"", """")"),"/wp-content/uploads/elementor/css/post-26066.css?ver=1768913376")</f>
        <v>/wp-content/uploads/elementor/css/post-26066.css?ver=1768913376</v>
      </c>
      <c r="F2314" s="1" t="s">
        <v>1016</v>
      </c>
      <c r="G2314" s="1">
        <v>200.0</v>
      </c>
      <c r="H2314" s="1" t="s">
        <v>966</v>
      </c>
      <c r="I2314" s="1" t="s">
        <v>967</v>
      </c>
      <c r="L2314" s="1">
        <v>0.0</v>
      </c>
      <c r="M2314" s="1">
        <v>0.0</v>
      </c>
      <c r="O2314" s="1">
        <v>0.0</v>
      </c>
      <c r="P2314" s="1">
        <v>0.0</v>
      </c>
      <c r="R2314" s="1">
        <v>0.0</v>
      </c>
      <c r="S2314" s="1">
        <v>0.0</v>
      </c>
      <c r="U2314" s="1">
        <v>0.0</v>
      </c>
      <c r="W2314" s="1">
        <v>0.0</v>
      </c>
      <c r="Y2314" s="1">
        <v>0.0</v>
      </c>
      <c r="AA2314" s="1">
        <v>0.0</v>
      </c>
      <c r="AC2314" s="1">
        <v>0.0</v>
      </c>
      <c r="AM2314" s="1">
        <v>471.0</v>
      </c>
      <c r="AN2314" s="1">
        <v>471.0</v>
      </c>
      <c r="AO2314" s="1">
        <v>471.0</v>
      </c>
      <c r="AP2314" s="1">
        <v>0.18</v>
      </c>
      <c r="AR2314" s="1">
        <v>0.0</v>
      </c>
      <c r="AW2314" s="1">
        <v>0.0</v>
      </c>
      <c r="AX2314" s="1">
        <v>5.0</v>
      </c>
      <c r="AY2314" s="1">
        <v>4.0</v>
      </c>
      <c r="BA2314" s="1">
        <v>0.0</v>
      </c>
      <c r="BB2314" s="1">
        <v>0.0</v>
      </c>
      <c r="BC2314" s="1">
        <v>0.0</v>
      </c>
      <c r="BD2314" s="1">
        <v>0.0</v>
      </c>
      <c r="BE2314" s="1">
        <v>0.0</v>
      </c>
      <c r="BF2314" s="1">
        <v>0.0</v>
      </c>
      <c r="BG2314" s="1">
        <v>0.0</v>
      </c>
      <c r="BH2314" s="1">
        <v>0.0</v>
      </c>
      <c r="BI2314" s="1">
        <v>0.0</v>
      </c>
      <c r="BJ2314" s="1">
        <v>0.0</v>
      </c>
      <c r="BP2314" s="1">
        <v>0.27</v>
      </c>
      <c r="BQ2314" s="1" t="s">
        <v>7422</v>
      </c>
      <c r="BV2314" s="1">
        <v>1.1</v>
      </c>
      <c r="EQ2314" s="9" t="s">
        <v>7421</v>
      </c>
      <c r="ER2314" s="21">
        <v>46045.3022337963</v>
      </c>
    </row>
    <row r="2315">
      <c r="A2315" s="9" t="s">
        <v>7423</v>
      </c>
      <c r="B2315" s="20" t="str">
        <f>IFERROR(__xludf.DUMMYFUNCTION("REGEXREPLACE(A2315, ""^https?://[^/]+"", """")"),"/wp-content/themes/salesxceleratione/assets/css/style.css?ver=1769123621")</f>
        <v>/wp-content/themes/salesxceleratione/assets/css/style.css?ver=1769123621</v>
      </c>
      <c r="F2315" s="1" t="s">
        <v>1016</v>
      </c>
      <c r="G2315" s="1">
        <v>200.0</v>
      </c>
      <c r="H2315" s="1" t="s">
        <v>966</v>
      </c>
      <c r="I2315" s="1" t="s">
        <v>967</v>
      </c>
      <c r="L2315" s="1">
        <v>0.0</v>
      </c>
      <c r="M2315" s="1">
        <v>0.0</v>
      </c>
      <c r="O2315" s="1">
        <v>0.0</v>
      </c>
      <c r="P2315" s="1">
        <v>0.0</v>
      </c>
      <c r="R2315" s="1">
        <v>0.0</v>
      </c>
      <c r="S2315" s="1">
        <v>0.0</v>
      </c>
      <c r="U2315" s="1">
        <v>0.0</v>
      </c>
      <c r="W2315" s="1">
        <v>0.0</v>
      </c>
      <c r="Y2315" s="1">
        <v>0.0</v>
      </c>
      <c r="AA2315" s="1">
        <v>0.0</v>
      </c>
      <c r="AC2315" s="1">
        <v>0.0</v>
      </c>
      <c r="AM2315" s="1">
        <v>17704.0</v>
      </c>
      <c r="AN2315" s="1">
        <v>17704.0</v>
      </c>
      <c r="AO2315" s="1">
        <v>17704.0</v>
      </c>
      <c r="AP2315" s="1">
        <v>6.782</v>
      </c>
      <c r="AR2315" s="1">
        <v>0.0</v>
      </c>
      <c r="AW2315" s="1">
        <v>0.0</v>
      </c>
      <c r="AX2315" s="1">
        <v>5.0</v>
      </c>
      <c r="AY2315" s="1">
        <v>5.0</v>
      </c>
      <c r="BA2315" s="1">
        <v>0.0</v>
      </c>
      <c r="BB2315" s="1">
        <v>0.0</v>
      </c>
      <c r="BC2315" s="1">
        <v>0.0</v>
      </c>
      <c r="BD2315" s="1">
        <v>0.0</v>
      </c>
      <c r="BE2315" s="1">
        <v>0.0</v>
      </c>
      <c r="BF2315" s="1">
        <v>0.0</v>
      </c>
      <c r="BG2315" s="1">
        <v>0.0</v>
      </c>
      <c r="BH2315" s="1">
        <v>0.0</v>
      </c>
      <c r="BI2315" s="1">
        <v>0.0</v>
      </c>
      <c r="BJ2315" s="1">
        <v>0.0</v>
      </c>
      <c r="BP2315" s="1">
        <v>0.279</v>
      </c>
      <c r="BQ2315" s="1" t="s">
        <v>7424</v>
      </c>
      <c r="BV2315" s="1">
        <v>1.1</v>
      </c>
      <c r="EQ2315" s="9" t="s">
        <v>7423</v>
      </c>
      <c r="ER2315" s="21">
        <v>46045.3022337963</v>
      </c>
    </row>
    <row r="2316">
      <c r="A2316" s="9" t="s">
        <v>7425</v>
      </c>
      <c r="B2316" s="20" t="str">
        <f>IFERROR(__xludf.DUMMYFUNCTION("REGEXREPLACE(A2316, ""^https?://[^/]+"", """")"),"/wp-content/uploads/2021/11/117985-viewpoints-crm.jpg-ORG.jpg")</f>
        <v>/wp-content/uploads/2021/11/117985-viewpoints-crm.jpg-ORG.jpg</v>
      </c>
      <c r="F2316" s="1" t="s">
        <v>1004</v>
      </c>
      <c r="G2316" s="1">
        <v>200.0</v>
      </c>
      <c r="H2316" s="1" t="s">
        <v>966</v>
      </c>
      <c r="I2316" s="1" t="s">
        <v>967</v>
      </c>
      <c r="L2316" s="1">
        <v>0.0</v>
      </c>
      <c r="M2316" s="1">
        <v>0.0</v>
      </c>
      <c r="O2316" s="1">
        <v>0.0</v>
      </c>
      <c r="P2316" s="1">
        <v>0.0</v>
      </c>
      <c r="R2316" s="1">
        <v>0.0</v>
      </c>
      <c r="S2316" s="1">
        <v>0.0</v>
      </c>
      <c r="U2316" s="1">
        <v>0.0</v>
      </c>
      <c r="W2316" s="1">
        <v>0.0</v>
      </c>
      <c r="Y2316" s="1">
        <v>0.0</v>
      </c>
      <c r="AA2316" s="1">
        <v>0.0</v>
      </c>
      <c r="AC2316" s="1">
        <v>0.0</v>
      </c>
      <c r="AM2316" s="1">
        <v>192685.0</v>
      </c>
      <c r="AN2316" s="1">
        <v>192685.0</v>
      </c>
      <c r="AO2316" s="1">
        <v>192685.0</v>
      </c>
      <c r="AP2316" s="1">
        <v>73.814</v>
      </c>
      <c r="AR2316" s="1">
        <v>0.0</v>
      </c>
      <c r="AW2316" s="1">
        <v>0.0</v>
      </c>
      <c r="AX2316" s="1">
        <v>5.0</v>
      </c>
      <c r="AY2316" s="1">
        <v>4.0</v>
      </c>
      <c r="BA2316" s="1">
        <v>0.0</v>
      </c>
      <c r="BB2316" s="1">
        <v>0.0</v>
      </c>
      <c r="BC2316" s="1">
        <v>0.0</v>
      </c>
      <c r="BD2316" s="1">
        <v>0.0</v>
      </c>
      <c r="BE2316" s="1">
        <v>0.0</v>
      </c>
      <c r="BF2316" s="1">
        <v>0.0</v>
      </c>
      <c r="BG2316" s="1">
        <v>0.0</v>
      </c>
      <c r="BH2316" s="1">
        <v>0.0</v>
      </c>
      <c r="BI2316" s="1">
        <v>0.0</v>
      </c>
      <c r="BJ2316" s="1">
        <v>0.0</v>
      </c>
      <c r="BP2316" s="1">
        <v>0.282</v>
      </c>
      <c r="BQ2316" s="1" t="s">
        <v>7426</v>
      </c>
      <c r="BV2316" s="1">
        <v>1.1</v>
      </c>
      <c r="EQ2316" s="9" t="s">
        <v>7425</v>
      </c>
      <c r="ER2316" s="21">
        <v>46045.3022337963</v>
      </c>
    </row>
    <row r="2317">
      <c r="A2317" s="9" t="s">
        <v>7427</v>
      </c>
      <c r="B2317" s="20" t="str">
        <f>IFERROR(__xludf.DUMMYFUNCTION("REGEXREPLACE(A2317, ""^https?://[^/]+"", """")"),"/wp-content/themes/salesxceleratione/assets/css/style.css?ver=1769123622")</f>
        <v>/wp-content/themes/salesxceleratione/assets/css/style.css?ver=1769123622</v>
      </c>
      <c r="F2317" s="1" t="s">
        <v>1016</v>
      </c>
      <c r="G2317" s="1">
        <v>200.0</v>
      </c>
      <c r="H2317" s="1" t="s">
        <v>966</v>
      </c>
      <c r="I2317" s="1" t="s">
        <v>967</v>
      </c>
      <c r="L2317" s="1">
        <v>0.0</v>
      </c>
      <c r="M2317" s="1">
        <v>0.0</v>
      </c>
      <c r="O2317" s="1">
        <v>0.0</v>
      </c>
      <c r="P2317" s="1">
        <v>0.0</v>
      </c>
      <c r="R2317" s="1">
        <v>0.0</v>
      </c>
      <c r="S2317" s="1">
        <v>0.0</v>
      </c>
      <c r="U2317" s="1">
        <v>0.0</v>
      </c>
      <c r="W2317" s="1">
        <v>0.0</v>
      </c>
      <c r="Y2317" s="1">
        <v>0.0</v>
      </c>
      <c r="AA2317" s="1">
        <v>0.0</v>
      </c>
      <c r="AC2317" s="1">
        <v>0.0</v>
      </c>
      <c r="AM2317" s="1">
        <v>17704.0</v>
      </c>
      <c r="AN2317" s="1">
        <v>17704.0</v>
      </c>
      <c r="AO2317" s="1">
        <v>17704.0</v>
      </c>
      <c r="AP2317" s="1">
        <v>6.782</v>
      </c>
      <c r="AR2317" s="1">
        <v>0.0</v>
      </c>
      <c r="AW2317" s="1">
        <v>0.0</v>
      </c>
      <c r="AX2317" s="1">
        <v>5.0</v>
      </c>
      <c r="AY2317" s="1">
        <v>5.0</v>
      </c>
      <c r="BA2317" s="1">
        <v>0.0</v>
      </c>
      <c r="BB2317" s="1">
        <v>0.0</v>
      </c>
      <c r="BC2317" s="1">
        <v>0.0</v>
      </c>
      <c r="BD2317" s="1">
        <v>0.0</v>
      </c>
      <c r="BE2317" s="1">
        <v>0.0</v>
      </c>
      <c r="BF2317" s="1">
        <v>0.0</v>
      </c>
      <c r="BG2317" s="1">
        <v>0.0</v>
      </c>
      <c r="BH2317" s="1">
        <v>0.0</v>
      </c>
      <c r="BI2317" s="1">
        <v>0.0</v>
      </c>
      <c r="BJ2317" s="1">
        <v>0.0</v>
      </c>
      <c r="BP2317" s="1">
        <v>0.266</v>
      </c>
      <c r="BQ2317" s="1" t="s">
        <v>7424</v>
      </c>
      <c r="BV2317" s="1">
        <v>1.1</v>
      </c>
      <c r="EQ2317" s="9" t="s">
        <v>7427</v>
      </c>
      <c r="ER2317" s="21">
        <v>46045.3022337963</v>
      </c>
    </row>
    <row r="2318">
      <c r="A2318" s="9" t="s">
        <v>7428</v>
      </c>
      <c r="B2318" s="20" t="str">
        <f>IFERROR(__xludf.DUMMYFUNCTION("REGEXREPLACE(A2318, ""^https?://[^/]+"", """")"),"/author/jmachetti/")</f>
        <v>/author/jmachetti/</v>
      </c>
      <c r="C2318" s="1" t="s">
        <v>7429</v>
      </c>
      <c r="F2318" s="1" t="s">
        <v>965</v>
      </c>
      <c r="G2318" s="1">
        <v>200.0</v>
      </c>
      <c r="H2318" s="1" t="s">
        <v>966</v>
      </c>
      <c r="I2318" s="1" t="s">
        <v>967</v>
      </c>
      <c r="K2318" s="1" t="s">
        <v>7430</v>
      </c>
      <c r="L2318" s="1">
        <v>44.0</v>
      </c>
      <c r="M2318" s="1">
        <v>389.0</v>
      </c>
      <c r="O2318" s="1">
        <v>0.0</v>
      </c>
      <c r="P2318" s="1">
        <v>0.0</v>
      </c>
      <c r="R2318" s="1">
        <v>0.0</v>
      </c>
      <c r="S2318" s="1">
        <v>0.0</v>
      </c>
      <c r="U2318" s="1">
        <v>0.0</v>
      </c>
      <c r="V2318" s="1" t="s">
        <v>7429</v>
      </c>
      <c r="W2318" s="1">
        <v>15.0</v>
      </c>
      <c r="Y2318" s="1">
        <v>0.0</v>
      </c>
      <c r="AA2318" s="1">
        <v>0.0</v>
      </c>
      <c r="AC2318" s="1">
        <v>0.0</v>
      </c>
      <c r="AD2318" s="1" t="s">
        <v>971</v>
      </c>
      <c r="AG2318" s="9" t="s">
        <v>7428</v>
      </c>
      <c r="AM2318" s="1">
        <v>151592.0</v>
      </c>
      <c r="AN2318" s="1">
        <v>29702.0</v>
      </c>
      <c r="AO2318" s="1">
        <v>29702.0</v>
      </c>
      <c r="AP2318" s="1">
        <v>11.378</v>
      </c>
      <c r="AR2318" s="1">
        <v>594.0</v>
      </c>
      <c r="AS2318" s="1">
        <v>102.0</v>
      </c>
      <c r="AT2318" s="1">
        <v>5.824</v>
      </c>
      <c r="AU2318" s="1">
        <v>59.782</v>
      </c>
      <c r="AV2318" s="1" t="s">
        <v>972</v>
      </c>
      <c r="AW2318" s="1">
        <v>4.012</v>
      </c>
      <c r="AX2318" s="1">
        <v>5.0</v>
      </c>
      <c r="AY2318" s="1">
        <v>2.0</v>
      </c>
      <c r="AZ2318" s="1">
        <v>1.0</v>
      </c>
      <c r="BA2318" s="1">
        <v>3.0</v>
      </c>
      <c r="BB2318" s="1">
        <v>1.0</v>
      </c>
      <c r="BC2318" s="1">
        <v>0.0</v>
      </c>
      <c r="BD2318" s="1">
        <v>0.13</v>
      </c>
      <c r="BE2318" s="1">
        <v>127.0</v>
      </c>
      <c r="BF2318" s="1">
        <v>45.0</v>
      </c>
      <c r="BG2318" s="1">
        <v>0.0</v>
      </c>
      <c r="BH2318" s="1">
        <v>16.0</v>
      </c>
      <c r="BI2318" s="1">
        <v>8.0</v>
      </c>
      <c r="BJ2318" s="1">
        <v>0.0</v>
      </c>
      <c r="BO2318" s="1" t="s">
        <v>7431</v>
      </c>
      <c r="BP2318" s="1">
        <v>1.144</v>
      </c>
      <c r="BU2318" s="1" t="s">
        <v>974</v>
      </c>
      <c r="BV2318" s="1">
        <v>1.1</v>
      </c>
      <c r="EQ2318" s="9" t="s">
        <v>7428</v>
      </c>
      <c r="ER2318" s="21">
        <v>46045.30222222222</v>
      </c>
    </row>
    <row r="2319">
      <c r="A2319" s="9" t="s">
        <v>7432</v>
      </c>
      <c r="B2319" s="20" t="str">
        <f>IFERROR(__xludf.DUMMYFUNCTION("REGEXREPLACE(A2319, ""^https?://[^/]+"", """")"),"/wp-content/uploads/2022/04/Screen-with-Kep-Performance-Indicators-300x300.jpg")</f>
        <v>/wp-content/uploads/2022/04/Screen-with-Kep-Performance-Indicators-300x300.jpg</v>
      </c>
      <c r="F2319" s="1" t="s">
        <v>1004</v>
      </c>
      <c r="G2319" s="1">
        <v>200.0</v>
      </c>
      <c r="H2319" s="1" t="s">
        <v>966</v>
      </c>
      <c r="I2319" s="1" t="s">
        <v>967</v>
      </c>
      <c r="L2319" s="1">
        <v>0.0</v>
      </c>
      <c r="M2319" s="1">
        <v>0.0</v>
      </c>
      <c r="O2319" s="1">
        <v>0.0</v>
      </c>
      <c r="P2319" s="1">
        <v>0.0</v>
      </c>
      <c r="R2319" s="1">
        <v>0.0</v>
      </c>
      <c r="S2319" s="1">
        <v>0.0</v>
      </c>
      <c r="U2319" s="1">
        <v>0.0</v>
      </c>
      <c r="W2319" s="1">
        <v>0.0</v>
      </c>
      <c r="Y2319" s="1">
        <v>0.0</v>
      </c>
      <c r="AA2319" s="1">
        <v>0.0</v>
      </c>
      <c r="AC2319" s="1">
        <v>0.0</v>
      </c>
      <c r="AM2319" s="1">
        <v>15561.0</v>
      </c>
      <c r="AN2319" s="1">
        <v>15561.0</v>
      </c>
      <c r="AO2319" s="1">
        <v>15561.0</v>
      </c>
      <c r="AP2319" s="1">
        <v>5.961</v>
      </c>
      <c r="AR2319" s="1">
        <v>0.0</v>
      </c>
      <c r="AW2319" s="1">
        <v>0.0</v>
      </c>
      <c r="AX2319" s="1">
        <v>5.0</v>
      </c>
      <c r="AY2319" s="1">
        <v>4.0</v>
      </c>
      <c r="BA2319" s="1">
        <v>0.0</v>
      </c>
      <c r="BB2319" s="1">
        <v>0.0</v>
      </c>
      <c r="BC2319" s="1">
        <v>0.0</v>
      </c>
      <c r="BD2319" s="1">
        <v>0.0</v>
      </c>
      <c r="BE2319" s="1">
        <v>0.0</v>
      </c>
      <c r="BF2319" s="1">
        <v>0.0</v>
      </c>
      <c r="BG2319" s="1">
        <v>0.0</v>
      </c>
      <c r="BH2319" s="1">
        <v>0.0</v>
      </c>
      <c r="BI2319" s="1">
        <v>0.0</v>
      </c>
      <c r="BJ2319" s="1">
        <v>0.0</v>
      </c>
      <c r="BP2319" s="1">
        <v>0.276</v>
      </c>
      <c r="BQ2319" s="1" t="s">
        <v>7433</v>
      </c>
      <c r="BV2319" s="1">
        <v>1.1</v>
      </c>
      <c r="EQ2319" s="9" t="s">
        <v>7432</v>
      </c>
      <c r="ER2319" s="21">
        <v>46045.3022337963</v>
      </c>
    </row>
    <row r="2320">
      <c r="A2320" s="9" t="s">
        <v>7434</v>
      </c>
      <c r="B2320" s="20" t="str">
        <f>IFERROR(__xludf.DUMMYFUNCTION("REGEXREPLACE(A2320, ""^https?://[^/]+"", """")"),"/wp-content/uploads/2022/06/Leadership-Style-300x200.jpg")</f>
        <v>/wp-content/uploads/2022/06/Leadership-Style-300x200.jpg</v>
      </c>
      <c r="F2320" s="1" t="s">
        <v>1004</v>
      </c>
      <c r="G2320" s="1">
        <v>200.0</v>
      </c>
      <c r="H2320" s="1" t="s">
        <v>966</v>
      </c>
      <c r="I2320" s="1" t="s">
        <v>967</v>
      </c>
      <c r="L2320" s="1">
        <v>0.0</v>
      </c>
      <c r="M2320" s="1">
        <v>0.0</v>
      </c>
      <c r="O2320" s="1">
        <v>0.0</v>
      </c>
      <c r="P2320" s="1">
        <v>0.0</v>
      </c>
      <c r="R2320" s="1">
        <v>0.0</v>
      </c>
      <c r="S2320" s="1">
        <v>0.0</v>
      </c>
      <c r="U2320" s="1">
        <v>0.0</v>
      </c>
      <c r="W2320" s="1">
        <v>0.0</v>
      </c>
      <c r="Y2320" s="1">
        <v>0.0</v>
      </c>
      <c r="AA2320" s="1">
        <v>0.0</v>
      </c>
      <c r="AC2320" s="1">
        <v>0.0</v>
      </c>
      <c r="AM2320" s="1">
        <v>17181.0</v>
      </c>
      <c r="AN2320" s="1">
        <v>17181.0</v>
      </c>
      <c r="AO2320" s="1">
        <v>17181.0</v>
      </c>
      <c r="AP2320" s="1">
        <v>6.582</v>
      </c>
      <c r="AR2320" s="1">
        <v>0.0</v>
      </c>
      <c r="AW2320" s="1">
        <v>0.0</v>
      </c>
      <c r="AX2320" s="1">
        <v>5.0</v>
      </c>
      <c r="AY2320" s="1">
        <v>4.0</v>
      </c>
      <c r="BA2320" s="1">
        <v>0.0</v>
      </c>
      <c r="BB2320" s="1">
        <v>0.0</v>
      </c>
      <c r="BC2320" s="1">
        <v>0.0</v>
      </c>
      <c r="BD2320" s="1">
        <v>0.0</v>
      </c>
      <c r="BE2320" s="1">
        <v>0.0</v>
      </c>
      <c r="BF2320" s="1">
        <v>0.0</v>
      </c>
      <c r="BG2320" s="1">
        <v>0.0</v>
      </c>
      <c r="BH2320" s="1">
        <v>0.0</v>
      </c>
      <c r="BI2320" s="1">
        <v>0.0</v>
      </c>
      <c r="BJ2320" s="1">
        <v>0.0</v>
      </c>
      <c r="BP2320" s="1">
        <v>0.271</v>
      </c>
      <c r="BQ2320" s="1" t="s">
        <v>7435</v>
      </c>
      <c r="BV2320" s="1">
        <v>1.1</v>
      </c>
      <c r="EQ2320" s="9" t="s">
        <v>7434</v>
      </c>
      <c r="ER2320" s="21">
        <v>46045.30224537037</v>
      </c>
    </row>
    <row r="2321">
      <c r="A2321" s="9" t="s">
        <v>7436</v>
      </c>
      <c r="B2321" s="20" t="str">
        <f>IFERROR(__xludf.DUMMYFUNCTION("REGEXREPLACE(A2321, ""^https?://[^/]+"", """")"),"/sales-agility-assessment/?locationid=28605889")</f>
        <v>/sales-agility-assessment/?locationid=28605889</v>
      </c>
      <c r="C2321" s="1" t="s">
        <v>1381</v>
      </c>
      <c r="F2321" s="1" t="s">
        <v>965</v>
      </c>
      <c r="G2321" s="1">
        <v>200.0</v>
      </c>
      <c r="H2321" s="1" t="s">
        <v>966</v>
      </c>
      <c r="I2321" s="1" t="s">
        <v>1214</v>
      </c>
      <c r="J2321" s="1" t="s">
        <v>1215</v>
      </c>
      <c r="K2321" s="1" t="s">
        <v>1382</v>
      </c>
      <c r="L2321" s="1">
        <v>79.0</v>
      </c>
      <c r="M2321" s="1">
        <v>719.0</v>
      </c>
      <c r="O2321" s="1">
        <v>0.0</v>
      </c>
      <c r="P2321" s="1">
        <v>0.0</v>
      </c>
      <c r="Q2321" s="1" t="s">
        <v>1383</v>
      </c>
      <c r="R2321" s="1">
        <v>155.0</v>
      </c>
      <c r="S2321" s="1">
        <v>970.0</v>
      </c>
      <c r="U2321" s="1">
        <v>0.0</v>
      </c>
      <c r="V2321" s="1" t="s">
        <v>1381</v>
      </c>
      <c r="W2321" s="1">
        <v>31.0</v>
      </c>
      <c r="Y2321" s="1">
        <v>0.0</v>
      </c>
      <c r="AA2321" s="1">
        <v>0.0</v>
      </c>
      <c r="AC2321" s="1">
        <v>0.0</v>
      </c>
      <c r="AD2321" s="1" t="s">
        <v>971</v>
      </c>
      <c r="AG2321" s="9" t="s">
        <v>1380</v>
      </c>
      <c r="AM2321" s="1">
        <v>221353.0</v>
      </c>
      <c r="AN2321" s="1">
        <v>43048.0</v>
      </c>
      <c r="AO2321" s="1">
        <v>43048.0</v>
      </c>
      <c r="AP2321" s="1">
        <v>16.491</v>
      </c>
      <c r="AR2321" s="1">
        <v>1077.0</v>
      </c>
      <c r="AS2321" s="1">
        <v>195.0</v>
      </c>
      <c r="AT2321" s="1">
        <v>5.523</v>
      </c>
      <c r="AU2321" s="1">
        <v>72.169</v>
      </c>
      <c r="AV2321" s="1" t="s">
        <v>1264</v>
      </c>
      <c r="AW2321" s="1">
        <v>5.466</v>
      </c>
      <c r="AX2321" s="1">
        <v>5.0</v>
      </c>
      <c r="AY2321" s="1">
        <v>1.0</v>
      </c>
      <c r="BA2321" s="1">
        <v>2.0</v>
      </c>
      <c r="BB2321" s="1">
        <v>2.0</v>
      </c>
      <c r="BC2321" s="1">
        <v>0.0</v>
      </c>
      <c r="BD2321" s="1">
        <v>0.27</v>
      </c>
      <c r="BE2321" s="1">
        <v>121.0</v>
      </c>
      <c r="BF2321" s="1">
        <v>42.0</v>
      </c>
      <c r="BG2321" s="1">
        <v>0.0</v>
      </c>
      <c r="BH2321" s="1">
        <v>16.0</v>
      </c>
      <c r="BI2321" s="1">
        <v>8.0</v>
      </c>
      <c r="BJ2321" s="1">
        <v>0.0</v>
      </c>
      <c r="BO2321" s="1" t="s">
        <v>7437</v>
      </c>
      <c r="BP2321" s="1">
        <v>1.417</v>
      </c>
      <c r="BU2321" s="1" t="s">
        <v>974</v>
      </c>
      <c r="BV2321" s="1">
        <v>1.1</v>
      </c>
      <c r="EQ2321" s="9" t="s">
        <v>7436</v>
      </c>
      <c r="ER2321" s="21">
        <v>46045.30222222222</v>
      </c>
    </row>
    <row r="2322">
      <c r="A2322" s="9" t="s">
        <v>7438</v>
      </c>
      <c r="B2322" s="20" t="str">
        <f>IFERROR(__xludf.DUMMYFUNCTION("REGEXREPLACE(A2322, ""^https?://[^/]+"", """")"),"/understanding-your-leadership-voice/")</f>
        <v>/understanding-your-leadership-voice/</v>
      </c>
      <c r="C2322" s="1" t="s">
        <v>7439</v>
      </c>
      <c r="F2322" s="1" t="s">
        <v>965</v>
      </c>
      <c r="G2322" s="1">
        <v>200.0</v>
      </c>
      <c r="H2322" s="1" t="s">
        <v>966</v>
      </c>
      <c r="I2322" s="1" t="s">
        <v>967</v>
      </c>
      <c r="K2322" s="1" t="s">
        <v>7440</v>
      </c>
      <c r="L2322" s="1">
        <v>60.0</v>
      </c>
      <c r="M2322" s="1">
        <v>550.0</v>
      </c>
      <c r="O2322" s="1">
        <v>0.0</v>
      </c>
      <c r="P2322" s="1">
        <v>0.0</v>
      </c>
      <c r="Q2322" s="1" t="s">
        <v>7441</v>
      </c>
      <c r="R2322" s="1">
        <v>156.0</v>
      </c>
      <c r="S2322" s="1">
        <v>982.0</v>
      </c>
      <c r="U2322" s="1">
        <v>0.0</v>
      </c>
      <c r="V2322" s="1" t="s">
        <v>7439</v>
      </c>
      <c r="W2322" s="1">
        <v>35.0</v>
      </c>
      <c r="Y2322" s="1">
        <v>0.0</v>
      </c>
      <c r="AA2322" s="1">
        <v>0.0</v>
      </c>
      <c r="AC2322" s="1">
        <v>0.0</v>
      </c>
      <c r="AD2322" s="1" t="s">
        <v>971</v>
      </c>
      <c r="AG2322" s="9" t="s">
        <v>7438</v>
      </c>
      <c r="AM2322" s="1">
        <v>198788.0</v>
      </c>
      <c r="AN2322" s="1">
        <v>35139.0</v>
      </c>
      <c r="AO2322" s="1">
        <v>35139.0</v>
      </c>
      <c r="AP2322" s="1">
        <v>13.461</v>
      </c>
      <c r="AR2322" s="1">
        <v>1046.0</v>
      </c>
      <c r="AS2322" s="1">
        <v>165.0</v>
      </c>
      <c r="AT2322" s="1">
        <v>6.339</v>
      </c>
      <c r="AU2322" s="1">
        <v>64.199</v>
      </c>
      <c r="AV2322" s="1" t="s">
        <v>990</v>
      </c>
      <c r="AW2322" s="1">
        <v>4.406</v>
      </c>
      <c r="AX2322" s="1">
        <v>5.0</v>
      </c>
      <c r="AY2322" s="1">
        <v>1.0</v>
      </c>
      <c r="AZ2322" s="1">
        <v>1.0</v>
      </c>
      <c r="BA2322" s="1">
        <v>3.0</v>
      </c>
      <c r="BB2322" s="1">
        <v>1.0</v>
      </c>
      <c r="BC2322" s="1">
        <v>0.0</v>
      </c>
      <c r="BD2322" s="1">
        <v>0.13</v>
      </c>
      <c r="BE2322" s="1">
        <v>131.0</v>
      </c>
      <c r="BF2322" s="1">
        <v>49.0</v>
      </c>
      <c r="BG2322" s="1">
        <v>0.0</v>
      </c>
      <c r="BH2322" s="1">
        <v>16.0</v>
      </c>
      <c r="BI2322" s="1">
        <v>8.0</v>
      </c>
      <c r="BJ2322" s="1">
        <v>0.0</v>
      </c>
      <c r="BO2322" s="1" t="s">
        <v>7442</v>
      </c>
      <c r="BP2322" s="1">
        <v>1.551</v>
      </c>
      <c r="BU2322" s="1" t="s">
        <v>974</v>
      </c>
      <c r="BV2322" s="1">
        <v>1.1</v>
      </c>
      <c r="EQ2322" s="9" t="s">
        <v>7438</v>
      </c>
      <c r="ER2322" s="21">
        <v>46045.3022337963</v>
      </c>
    </row>
    <row r="2323">
      <c r="A2323" s="9" t="s">
        <v>7443</v>
      </c>
      <c r="B2323" s="20" t="str">
        <f>IFERROR(__xludf.DUMMYFUNCTION("REGEXREPLACE(A2323, ""^https?://[^/]+"", """")"),"/first-quarter-is-in-the-books-the-most-important-time-to-assess-your-companys-performance/")</f>
        <v>/first-quarter-is-in-the-books-the-most-important-time-to-assess-your-companys-performance/</v>
      </c>
      <c r="C2323" s="1" t="s">
        <v>7444</v>
      </c>
      <c r="F2323" s="1" t="s">
        <v>965</v>
      </c>
      <c r="G2323" s="1">
        <v>200.0</v>
      </c>
      <c r="H2323" s="1" t="s">
        <v>966</v>
      </c>
      <c r="I2323" s="1" t="s">
        <v>967</v>
      </c>
      <c r="K2323" s="1" t="s">
        <v>7445</v>
      </c>
      <c r="L2323" s="1">
        <v>116.0</v>
      </c>
      <c r="M2323" s="1">
        <v>1063.0</v>
      </c>
      <c r="O2323" s="1">
        <v>0.0</v>
      </c>
      <c r="P2323" s="1">
        <v>0.0</v>
      </c>
      <c r="Q2323" s="1" t="s">
        <v>7446</v>
      </c>
      <c r="R2323" s="1">
        <v>154.0</v>
      </c>
      <c r="S2323" s="1">
        <v>937.0</v>
      </c>
      <c r="U2323" s="1">
        <v>0.0</v>
      </c>
      <c r="V2323" s="1" t="s">
        <v>7444</v>
      </c>
      <c r="W2323" s="1">
        <v>91.0</v>
      </c>
      <c r="Y2323" s="1">
        <v>0.0</v>
      </c>
      <c r="AA2323" s="1">
        <v>0.0</v>
      </c>
      <c r="AC2323" s="1">
        <v>0.0</v>
      </c>
      <c r="AD2323" s="1" t="s">
        <v>971</v>
      </c>
      <c r="AG2323" s="9" t="s">
        <v>7443</v>
      </c>
      <c r="AM2323" s="1">
        <v>198783.0</v>
      </c>
      <c r="AN2323" s="1">
        <v>34991.0</v>
      </c>
      <c r="AO2323" s="1">
        <v>34991.0</v>
      </c>
      <c r="AP2323" s="1">
        <v>13.404</v>
      </c>
      <c r="AR2323" s="1">
        <v>1010.0</v>
      </c>
      <c r="AS2323" s="1">
        <v>156.0</v>
      </c>
      <c r="AT2323" s="1">
        <v>6.474</v>
      </c>
      <c r="AU2323" s="1">
        <v>69.343</v>
      </c>
      <c r="AV2323" s="1" t="s">
        <v>990</v>
      </c>
      <c r="AW2323" s="1">
        <v>4.261</v>
      </c>
      <c r="AX2323" s="1">
        <v>5.0</v>
      </c>
      <c r="AY2323" s="1">
        <v>1.0</v>
      </c>
      <c r="AZ2323" s="1">
        <v>1.0</v>
      </c>
      <c r="BA2323" s="1">
        <v>8.0</v>
      </c>
      <c r="BB2323" s="1">
        <v>6.0</v>
      </c>
      <c r="BC2323" s="1">
        <v>0.0</v>
      </c>
      <c r="BD2323" s="1">
        <v>0.8</v>
      </c>
      <c r="BE2323" s="1">
        <v>131.0</v>
      </c>
      <c r="BF2323" s="1">
        <v>49.0</v>
      </c>
      <c r="BG2323" s="1">
        <v>0.0</v>
      </c>
      <c r="BH2323" s="1">
        <v>16.0</v>
      </c>
      <c r="BI2323" s="1">
        <v>8.0</v>
      </c>
      <c r="BJ2323" s="1">
        <v>0.0</v>
      </c>
      <c r="BO2323" s="1" t="s">
        <v>7447</v>
      </c>
      <c r="BP2323" s="1">
        <v>1.496</v>
      </c>
      <c r="BU2323" s="1" t="s">
        <v>974</v>
      </c>
      <c r="BV2323" s="1">
        <v>1.1</v>
      </c>
      <c r="EQ2323" s="9" t="s">
        <v>7443</v>
      </c>
      <c r="ER2323" s="21">
        <v>46045.3022337963</v>
      </c>
    </row>
    <row r="2324">
      <c r="A2324" s="9" t="s">
        <v>7448</v>
      </c>
      <c r="B2324" s="20" t="str">
        <f>IFERROR(__xludf.DUMMYFUNCTION("REGEXREPLACE(A2324, ""^https?://[^/]+"", """")"),"/wp-content/uploads/2020/05/Sales-Compensation-Checklist-1.pdf")</f>
        <v>/wp-content/uploads/2020/05/Sales-Compensation-Checklist-1.pdf</v>
      </c>
      <c r="F2324" s="1" t="s">
        <v>1730</v>
      </c>
      <c r="G2324" s="1">
        <v>200.0</v>
      </c>
      <c r="H2324" s="1" t="s">
        <v>966</v>
      </c>
      <c r="I2324" s="1" t="s">
        <v>967</v>
      </c>
      <c r="L2324" s="1">
        <v>0.0</v>
      </c>
      <c r="M2324" s="1">
        <v>0.0</v>
      </c>
      <c r="O2324" s="1">
        <v>0.0</v>
      </c>
      <c r="P2324" s="1">
        <v>0.0</v>
      </c>
      <c r="R2324" s="1">
        <v>0.0</v>
      </c>
      <c r="S2324" s="1">
        <v>0.0</v>
      </c>
      <c r="U2324" s="1">
        <v>0.0</v>
      </c>
      <c r="W2324" s="1">
        <v>0.0</v>
      </c>
      <c r="Y2324" s="1">
        <v>0.0</v>
      </c>
      <c r="AA2324" s="1">
        <v>0.0</v>
      </c>
      <c r="AC2324" s="1">
        <v>0.0</v>
      </c>
      <c r="AM2324" s="1">
        <v>412667.0</v>
      </c>
      <c r="AN2324" s="1">
        <v>412667.0</v>
      </c>
      <c r="AO2324" s="1">
        <v>412667.0</v>
      </c>
      <c r="AP2324" s="1">
        <v>158.085</v>
      </c>
      <c r="AR2324" s="1">
        <v>0.0</v>
      </c>
      <c r="AW2324" s="1">
        <v>0.0</v>
      </c>
      <c r="AX2324" s="1">
        <v>5.0</v>
      </c>
      <c r="AY2324" s="1">
        <v>4.0</v>
      </c>
      <c r="AZ2324" s="1">
        <v>1.0</v>
      </c>
      <c r="BA2324" s="1">
        <v>2.0</v>
      </c>
      <c r="BB2324" s="1">
        <v>1.0</v>
      </c>
      <c r="BC2324" s="1">
        <v>0.0</v>
      </c>
      <c r="BD2324" s="1">
        <v>0.13</v>
      </c>
      <c r="BE2324" s="1">
        <v>0.0</v>
      </c>
      <c r="BF2324" s="1">
        <v>0.0</v>
      </c>
      <c r="BG2324" s="1">
        <v>0.0</v>
      </c>
      <c r="BH2324" s="1">
        <v>0.0</v>
      </c>
      <c r="BI2324" s="1">
        <v>0.0</v>
      </c>
      <c r="BJ2324" s="1">
        <v>0.0</v>
      </c>
      <c r="BP2324" s="1">
        <v>0.276</v>
      </c>
      <c r="BQ2324" s="1" t="s">
        <v>7449</v>
      </c>
      <c r="BV2324" s="1">
        <v>1.1</v>
      </c>
      <c r="EQ2324" s="9" t="s">
        <v>7448</v>
      </c>
      <c r="ER2324" s="21">
        <v>46045.302256944444</v>
      </c>
    </row>
    <row r="2325">
      <c r="A2325" s="9" t="s">
        <v>7450</v>
      </c>
      <c r="B2325" s="20" t="str">
        <f>IFERROR(__xludf.DUMMYFUNCTION("REGEXREPLACE(A2325, ""^https?://[^/]+"", """")"),"/wp-content/uploads/2020/07/Developing-a-Comp-Plan.jpg")</f>
        <v>/wp-content/uploads/2020/07/Developing-a-Comp-Plan.jpg</v>
      </c>
      <c r="F2325" s="1" t="s">
        <v>1004</v>
      </c>
      <c r="G2325" s="1">
        <v>200.0</v>
      </c>
      <c r="H2325" s="1" t="s">
        <v>966</v>
      </c>
      <c r="I2325" s="1" t="s">
        <v>967</v>
      </c>
      <c r="L2325" s="1">
        <v>0.0</v>
      </c>
      <c r="M2325" s="1">
        <v>0.0</v>
      </c>
      <c r="O2325" s="1">
        <v>0.0</v>
      </c>
      <c r="P2325" s="1">
        <v>0.0</v>
      </c>
      <c r="R2325" s="1">
        <v>0.0</v>
      </c>
      <c r="S2325" s="1">
        <v>0.0</v>
      </c>
      <c r="U2325" s="1">
        <v>0.0</v>
      </c>
      <c r="W2325" s="1">
        <v>0.0</v>
      </c>
      <c r="Y2325" s="1">
        <v>0.0</v>
      </c>
      <c r="AA2325" s="1">
        <v>0.0</v>
      </c>
      <c r="AC2325" s="1">
        <v>0.0</v>
      </c>
      <c r="AM2325" s="1">
        <v>30082.0</v>
      </c>
      <c r="AN2325" s="1">
        <v>30082.0</v>
      </c>
      <c r="AO2325" s="1">
        <v>30082.0</v>
      </c>
      <c r="AP2325" s="1">
        <v>11.524</v>
      </c>
      <c r="AR2325" s="1">
        <v>0.0</v>
      </c>
      <c r="AW2325" s="1">
        <v>0.0</v>
      </c>
      <c r="AX2325" s="1">
        <v>5.0</v>
      </c>
      <c r="AY2325" s="1">
        <v>4.0</v>
      </c>
      <c r="BA2325" s="1">
        <v>0.0</v>
      </c>
      <c r="BB2325" s="1">
        <v>0.0</v>
      </c>
      <c r="BC2325" s="1">
        <v>0.0</v>
      </c>
      <c r="BD2325" s="1">
        <v>0.0</v>
      </c>
      <c r="BE2325" s="1">
        <v>0.0</v>
      </c>
      <c r="BF2325" s="1">
        <v>0.0</v>
      </c>
      <c r="BG2325" s="1">
        <v>0.0</v>
      </c>
      <c r="BH2325" s="1">
        <v>0.0</v>
      </c>
      <c r="BI2325" s="1">
        <v>0.0</v>
      </c>
      <c r="BJ2325" s="1">
        <v>0.0</v>
      </c>
      <c r="BP2325" s="1">
        <v>0.265</v>
      </c>
      <c r="BQ2325" s="1" t="s">
        <v>7451</v>
      </c>
      <c r="BV2325" s="1">
        <v>1.1</v>
      </c>
      <c r="EQ2325" s="9" t="s">
        <v>7450</v>
      </c>
      <c r="ER2325" s="21">
        <v>46045.302256944444</v>
      </c>
    </row>
    <row r="2326">
      <c r="A2326" s="9" t="s">
        <v>7452</v>
      </c>
      <c r="B2326" s="20" t="str">
        <f>IFERROR(__xludf.DUMMYFUNCTION("REGEXREPLACE(A2326, ""^https?://[^/]+"", """")"),"/wp-content/themes/salesxceleratione/assets/css/style.css?ver=1769123623")</f>
        <v>/wp-content/themes/salesxceleratione/assets/css/style.css?ver=1769123623</v>
      </c>
      <c r="F2326" s="1" t="s">
        <v>1016</v>
      </c>
      <c r="G2326" s="1">
        <v>200.0</v>
      </c>
      <c r="H2326" s="1" t="s">
        <v>966</v>
      </c>
      <c r="I2326" s="1" t="s">
        <v>967</v>
      </c>
      <c r="L2326" s="1">
        <v>0.0</v>
      </c>
      <c r="M2326" s="1">
        <v>0.0</v>
      </c>
      <c r="O2326" s="1">
        <v>0.0</v>
      </c>
      <c r="P2326" s="1">
        <v>0.0</v>
      </c>
      <c r="R2326" s="1">
        <v>0.0</v>
      </c>
      <c r="S2326" s="1">
        <v>0.0</v>
      </c>
      <c r="U2326" s="1">
        <v>0.0</v>
      </c>
      <c r="W2326" s="1">
        <v>0.0</v>
      </c>
      <c r="Y2326" s="1">
        <v>0.0</v>
      </c>
      <c r="AA2326" s="1">
        <v>0.0</v>
      </c>
      <c r="AC2326" s="1">
        <v>0.0</v>
      </c>
      <c r="AM2326" s="1">
        <v>17704.0</v>
      </c>
      <c r="AN2326" s="1">
        <v>17704.0</v>
      </c>
      <c r="AO2326" s="1">
        <v>17704.0</v>
      </c>
      <c r="AP2326" s="1">
        <v>6.782</v>
      </c>
      <c r="AR2326" s="1">
        <v>0.0</v>
      </c>
      <c r="AW2326" s="1">
        <v>0.0</v>
      </c>
      <c r="AX2326" s="1">
        <v>5.0</v>
      </c>
      <c r="AY2326" s="1">
        <v>5.0</v>
      </c>
      <c r="BA2326" s="1">
        <v>0.0</v>
      </c>
      <c r="BB2326" s="1">
        <v>0.0</v>
      </c>
      <c r="BC2326" s="1">
        <v>0.0</v>
      </c>
      <c r="BD2326" s="1">
        <v>0.0</v>
      </c>
      <c r="BE2326" s="1">
        <v>0.0</v>
      </c>
      <c r="BF2326" s="1">
        <v>0.0</v>
      </c>
      <c r="BG2326" s="1">
        <v>0.0</v>
      </c>
      <c r="BH2326" s="1">
        <v>0.0</v>
      </c>
      <c r="BI2326" s="1">
        <v>0.0</v>
      </c>
      <c r="BJ2326" s="1">
        <v>0.0</v>
      </c>
      <c r="BP2326" s="1">
        <v>0.263</v>
      </c>
      <c r="BQ2326" s="1" t="s">
        <v>7453</v>
      </c>
      <c r="BV2326" s="1">
        <v>1.1</v>
      </c>
      <c r="EQ2326" s="9" t="s">
        <v>7452</v>
      </c>
      <c r="ER2326" s="21">
        <v>46045.30228009259</v>
      </c>
    </row>
    <row r="2327">
      <c r="A2327" s="9" t="s">
        <v>7454</v>
      </c>
      <c r="B2327" s="20" t="str">
        <f>IFERROR(__xludf.DUMMYFUNCTION("REGEXREPLACE(A2327, ""^https?://[^/]+"", """")"),"/wp-content/uploads/2020/11/sales-forecasting.jpg")</f>
        <v>/wp-content/uploads/2020/11/sales-forecasting.jpg</v>
      </c>
      <c r="F2327" s="1" t="s">
        <v>1004</v>
      </c>
      <c r="G2327" s="1">
        <v>200.0</v>
      </c>
      <c r="H2327" s="1" t="s">
        <v>966</v>
      </c>
      <c r="I2327" s="1" t="s">
        <v>967</v>
      </c>
      <c r="L2327" s="1">
        <v>0.0</v>
      </c>
      <c r="M2327" s="1">
        <v>0.0</v>
      </c>
      <c r="O2327" s="1">
        <v>0.0</v>
      </c>
      <c r="P2327" s="1">
        <v>0.0</v>
      </c>
      <c r="R2327" s="1">
        <v>0.0</v>
      </c>
      <c r="S2327" s="1">
        <v>0.0</v>
      </c>
      <c r="U2327" s="1">
        <v>0.0</v>
      </c>
      <c r="W2327" s="1">
        <v>0.0</v>
      </c>
      <c r="Y2327" s="1">
        <v>0.0</v>
      </c>
      <c r="AA2327" s="1">
        <v>0.0</v>
      </c>
      <c r="AC2327" s="1">
        <v>0.0</v>
      </c>
      <c r="AM2327" s="1">
        <v>56198.0</v>
      </c>
      <c r="AN2327" s="1">
        <v>56198.0</v>
      </c>
      <c r="AO2327" s="1">
        <v>56198.0</v>
      </c>
      <c r="AP2327" s="1">
        <v>21.528</v>
      </c>
      <c r="AR2327" s="1">
        <v>0.0</v>
      </c>
      <c r="AW2327" s="1">
        <v>0.0</v>
      </c>
      <c r="AX2327" s="1">
        <v>5.0</v>
      </c>
      <c r="AY2327" s="1">
        <v>4.0</v>
      </c>
      <c r="BA2327" s="1">
        <v>0.0</v>
      </c>
      <c r="BB2327" s="1">
        <v>0.0</v>
      </c>
      <c r="BC2327" s="1">
        <v>0.0</v>
      </c>
      <c r="BD2327" s="1">
        <v>0.0</v>
      </c>
      <c r="BE2327" s="1">
        <v>0.0</v>
      </c>
      <c r="BF2327" s="1">
        <v>0.0</v>
      </c>
      <c r="BG2327" s="1">
        <v>0.0</v>
      </c>
      <c r="BH2327" s="1">
        <v>0.0</v>
      </c>
      <c r="BI2327" s="1">
        <v>0.0</v>
      </c>
      <c r="BJ2327" s="1">
        <v>0.0</v>
      </c>
      <c r="BP2327" s="1">
        <v>0.296</v>
      </c>
      <c r="BQ2327" s="1" t="s">
        <v>7455</v>
      </c>
      <c r="BV2327" s="1">
        <v>1.1</v>
      </c>
      <c r="EQ2327" s="9" t="s">
        <v>7454</v>
      </c>
      <c r="ER2327" s="21">
        <v>46045.30228009259</v>
      </c>
    </row>
    <row r="2328">
      <c r="A2328" s="9" t="s">
        <v>7456</v>
      </c>
      <c r="B2328" s="20" t="str">
        <f>IFERROR(__xludf.DUMMYFUNCTION("REGEXREPLACE(A2328, ""^https?://[^/]+"", """")"),"/wp-content/uploads/2021/04/Sales-Team-Evaluation.png")</f>
        <v>/wp-content/uploads/2021/04/Sales-Team-Evaluation.png</v>
      </c>
      <c r="F2328" s="1" t="s">
        <v>1047</v>
      </c>
      <c r="G2328" s="1">
        <v>200.0</v>
      </c>
      <c r="H2328" s="1" t="s">
        <v>966</v>
      </c>
      <c r="I2328" s="1" t="s">
        <v>967</v>
      </c>
      <c r="L2328" s="1">
        <v>0.0</v>
      </c>
      <c r="M2328" s="1">
        <v>0.0</v>
      </c>
      <c r="O2328" s="1">
        <v>0.0</v>
      </c>
      <c r="P2328" s="1">
        <v>0.0</v>
      </c>
      <c r="R2328" s="1">
        <v>0.0</v>
      </c>
      <c r="S2328" s="1">
        <v>0.0</v>
      </c>
      <c r="U2328" s="1">
        <v>0.0</v>
      </c>
      <c r="W2328" s="1">
        <v>0.0</v>
      </c>
      <c r="Y2328" s="1">
        <v>0.0</v>
      </c>
      <c r="AA2328" s="1">
        <v>0.0</v>
      </c>
      <c r="AC2328" s="1">
        <v>0.0</v>
      </c>
      <c r="AM2328" s="1">
        <v>1008106.0</v>
      </c>
      <c r="AN2328" s="1">
        <v>1008106.0</v>
      </c>
      <c r="AO2328" s="1">
        <v>1008106.0</v>
      </c>
      <c r="AP2328" s="1">
        <v>386.186</v>
      </c>
      <c r="AR2328" s="1">
        <v>0.0</v>
      </c>
      <c r="AW2328" s="1">
        <v>0.0</v>
      </c>
      <c r="AX2328" s="1">
        <v>5.0</v>
      </c>
      <c r="AY2328" s="1">
        <v>4.0</v>
      </c>
      <c r="BA2328" s="1">
        <v>0.0</v>
      </c>
      <c r="BB2328" s="1">
        <v>0.0</v>
      </c>
      <c r="BC2328" s="1">
        <v>0.0</v>
      </c>
      <c r="BD2328" s="1">
        <v>0.0</v>
      </c>
      <c r="BE2328" s="1">
        <v>0.0</v>
      </c>
      <c r="BF2328" s="1">
        <v>0.0</v>
      </c>
      <c r="BG2328" s="1">
        <v>0.0</v>
      </c>
      <c r="BH2328" s="1">
        <v>0.0</v>
      </c>
      <c r="BI2328" s="1">
        <v>0.0</v>
      </c>
      <c r="BJ2328" s="1">
        <v>0.0</v>
      </c>
      <c r="BP2328" s="1">
        <v>0.315</v>
      </c>
      <c r="BQ2328" s="1" t="s">
        <v>7457</v>
      </c>
      <c r="BV2328" s="1">
        <v>1.1</v>
      </c>
      <c r="EQ2328" s="9" t="s">
        <v>7456</v>
      </c>
      <c r="ER2328" s="21">
        <v>46045.30229166667</v>
      </c>
    </row>
    <row r="2329">
      <c r="A2329" s="9" t="s">
        <v>7458</v>
      </c>
      <c r="B2329" s="20" t="str">
        <f>IFERROR(__xludf.DUMMYFUNCTION("REGEXREPLACE(A2329, ""^https?://[^/]+"", """")"),"/wp-content/uploads/2021/02/Sales-Team-Meeting-scaled-1-2048x2048.jpg")</f>
        <v>/wp-content/uploads/2021/02/Sales-Team-Meeting-scaled-1-2048x2048.jpg</v>
      </c>
      <c r="F2329" s="1" t="s">
        <v>1004</v>
      </c>
      <c r="G2329" s="1">
        <v>200.0</v>
      </c>
      <c r="H2329" s="1" t="s">
        <v>966</v>
      </c>
      <c r="I2329" s="1" t="s">
        <v>967</v>
      </c>
      <c r="L2329" s="1">
        <v>0.0</v>
      </c>
      <c r="M2329" s="1">
        <v>0.0</v>
      </c>
      <c r="O2329" s="1">
        <v>0.0</v>
      </c>
      <c r="P2329" s="1">
        <v>0.0</v>
      </c>
      <c r="R2329" s="1">
        <v>0.0</v>
      </c>
      <c r="S2329" s="1">
        <v>0.0</v>
      </c>
      <c r="U2329" s="1">
        <v>0.0</v>
      </c>
      <c r="W2329" s="1">
        <v>0.0</v>
      </c>
      <c r="Y2329" s="1">
        <v>0.0</v>
      </c>
      <c r="AA2329" s="1">
        <v>0.0</v>
      </c>
      <c r="AC2329" s="1">
        <v>0.0</v>
      </c>
      <c r="AM2329" s="1">
        <v>313446.0</v>
      </c>
      <c r="AN2329" s="1">
        <v>313446.0</v>
      </c>
      <c r="AO2329" s="1">
        <v>313446.0</v>
      </c>
      <c r="AP2329" s="1">
        <v>120.075</v>
      </c>
      <c r="AR2329" s="1">
        <v>0.0</v>
      </c>
      <c r="AW2329" s="1">
        <v>0.0</v>
      </c>
      <c r="AX2329" s="1">
        <v>5.0</v>
      </c>
      <c r="AY2329" s="1">
        <v>4.0</v>
      </c>
      <c r="BA2329" s="1">
        <v>0.0</v>
      </c>
      <c r="BB2329" s="1">
        <v>0.0</v>
      </c>
      <c r="BC2329" s="1">
        <v>0.0</v>
      </c>
      <c r="BD2329" s="1">
        <v>0.0</v>
      </c>
      <c r="BE2329" s="1">
        <v>0.0</v>
      </c>
      <c r="BF2329" s="1">
        <v>0.0</v>
      </c>
      <c r="BG2329" s="1">
        <v>0.0</v>
      </c>
      <c r="BH2329" s="1">
        <v>0.0</v>
      </c>
      <c r="BI2329" s="1">
        <v>0.0</v>
      </c>
      <c r="BJ2329" s="1">
        <v>0.0</v>
      </c>
      <c r="BP2329" s="1">
        <v>0.285</v>
      </c>
      <c r="BQ2329" s="1" t="s">
        <v>7459</v>
      </c>
      <c r="BV2329" s="1">
        <v>1.1</v>
      </c>
      <c r="EQ2329" s="9" t="s">
        <v>7458</v>
      </c>
      <c r="ER2329" s="21">
        <v>46045.30229166667</v>
      </c>
    </row>
    <row r="2330">
      <c r="A2330" s="9" t="s">
        <v>7460</v>
      </c>
      <c r="B2330" s="20" t="str">
        <f>IFERROR(__xludf.DUMMYFUNCTION("REGEXREPLACE(A2330, ""^https?://[^/]+"", """")"),"/wp-content/uploads/2021/03/Sales-Strategy-Meeting-scaled-1.jpg")</f>
        <v>/wp-content/uploads/2021/03/Sales-Strategy-Meeting-scaled-1.jpg</v>
      </c>
      <c r="F2330" s="1" t="s">
        <v>1004</v>
      </c>
      <c r="G2330" s="1">
        <v>200.0</v>
      </c>
      <c r="H2330" s="1" t="s">
        <v>966</v>
      </c>
      <c r="I2330" s="1" t="s">
        <v>967</v>
      </c>
      <c r="L2330" s="1">
        <v>0.0</v>
      </c>
      <c r="M2330" s="1">
        <v>0.0</v>
      </c>
      <c r="O2330" s="1">
        <v>0.0</v>
      </c>
      <c r="P2330" s="1">
        <v>0.0</v>
      </c>
      <c r="R2330" s="1">
        <v>0.0</v>
      </c>
      <c r="S2330" s="1">
        <v>0.0</v>
      </c>
      <c r="U2330" s="1">
        <v>0.0</v>
      </c>
      <c r="W2330" s="1">
        <v>0.0</v>
      </c>
      <c r="Y2330" s="1">
        <v>0.0</v>
      </c>
      <c r="AA2330" s="1">
        <v>0.0</v>
      </c>
      <c r="AC2330" s="1">
        <v>0.0</v>
      </c>
      <c r="AM2330" s="1">
        <v>199850.0</v>
      </c>
      <c r="AN2330" s="1">
        <v>199850.0</v>
      </c>
      <c r="AO2330" s="1">
        <v>199850.0</v>
      </c>
      <c r="AP2330" s="1">
        <v>76.559</v>
      </c>
      <c r="AR2330" s="1">
        <v>0.0</v>
      </c>
      <c r="AW2330" s="1">
        <v>0.0</v>
      </c>
      <c r="AX2330" s="1">
        <v>5.0</v>
      </c>
      <c r="AY2330" s="1">
        <v>4.0</v>
      </c>
      <c r="BA2330" s="1">
        <v>0.0</v>
      </c>
      <c r="BB2330" s="1">
        <v>0.0</v>
      </c>
      <c r="BC2330" s="1">
        <v>0.0</v>
      </c>
      <c r="BD2330" s="1">
        <v>0.0</v>
      </c>
      <c r="BE2330" s="1">
        <v>0.0</v>
      </c>
      <c r="BF2330" s="1">
        <v>0.0</v>
      </c>
      <c r="BG2330" s="1">
        <v>0.0</v>
      </c>
      <c r="BH2330" s="1">
        <v>0.0</v>
      </c>
      <c r="BI2330" s="1">
        <v>0.0</v>
      </c>
      <c r="BJ2330" s="1">
        <v>0.0</v>
      </c>
      <c r="BP2330" s="1">
        <v>0.282</v>
      </c>
      <c r="BQ2330" s="1" t="s">
        <v>7461</v>
      </c>
      <c r="BV2330" s="1">
        <v>1.1</v>
      </c>
      <c r="EQ2330" s="9" t="s">
        <v>7460</v>
      </c>
      <c r="ER2330" s="21">
        <v>46045.30229166667</v>
      </c>
    </row>
    <row r="2331">
      <c r="A2331" s="9" t="s">
        <v>7462</v>
      </c>
      <c r="B2331" s="20" t="str">
        <f>IFERROR(__xludf.DUMMYFUNCTION("REGEXREPLACE(A2331, ""^https?://[^/]+"", """")"),"/wp-content/themes/salesxceleratione/assets/css/style.css?ver=1769123624")</f>
        <v>/wp-content/themes/salesxceleratione/assets/css/style.css?ver=1769123624</v>
      </c>
      <c r="F2331" s="1" t="s">
        <v>1016</v>
      </c>
      <c r="G2331" s="1">
        <v>200.0</v>
      </c>
      <c r="H2331" s="1" t="s">
        <v>966</v>
      </c>
      <c r="I2331" s="1" t="s">
        <v>967</v>
      </c>
      <c r="L2331" s="1">
        <v>0.0</v>
      </c>
      <c r="M2331" s="1">
        <v>0.0</v>
      </c>
      <c r="O2331" s="1">
        <v>0.0</v>
      </c>
      <c r="P2331" s="1">
        <v>0.0</v>
      </c>
      <c r="R2331" s="1">
        <v>0.0</v>
      </c>
      <c r="S2331" s="1">
        <v>0.0</v>
      </c>
      <c r="U2331" s="1">
        <v>0.0</v>
      </c>
      <c r="W2331" s="1">
        <v>0.0</v>
      </c>
      <c r="Y2331" s="1">
        <v>0.0</v>
      </c>
      <c r="AA2331" s="1">
        <v>0.0</v>
      </c>
      <c r="AC2331" s="1">
        <v>0.0</v>
      </c>
      <c r="AM2331" s="1">
        <v>17704.0</v>
      </c>
      <c r="AN2331" s="1">
        <v>17704.0</v>
      </c>
      <c r="AO2331" s="1">
        <v>17704.0</v>
      </c>
      <c r="AP2331" s="1">
        <v>6.782</v>
      </c>
      <c r="AR2331" s="1">
        <v>0.0</v>
      </c>
      <c r="AW2331" s="1">
        <v>0.0</v>
      </c>
      <c r="AX2331" s="1">
        <v>5.0</v>
      </c>
      <c r="AY2331" s="1">
        <v>5.0</v>
      </c>
      <c r="BA2331" s="1">
        <v>0.0</v>
      </c>
      <c r="BB2331" s="1">
        <v>0.0</v>
      </c>
      <c r="BC2331" s="1">
        <v>0.0</v>
      </c>
      <c r="BD2331" s="1">
        <v>0.0</v>
      </c>
      <c r="BE2331" s="1">
        <v>0.0</v>
      </c>
      <c r="BF2331" s="1">
        <v>0.0</v>
      </c>
      <c r="BG2331" s="1">
        <v>0.0</v>
      </c>
      <c r="BH2331" s="1">
        <v>0.0</v>
      </c>
      <c r="BI2331" s="1">
        <v>0.0</v>
      </c>
      <c r="BJ2331" s="1">
        <v>0.0</v>
      </c>
      <c r="BP2331" s="1">
        <v>0.287</v>
      </c>
      <c r="BQ2331" s="1" t="s">
        <v>7463</v>
      </c>
      <c r="BV2331" s="1">
        <v>1.1</v>
      </c>
      <c r="EQ2331" s="9" t="s">
        <v>7462</v>
      </c>
      <c r="ER2331" s="21">
        <v>46045.30229166667</v>
      </c>
    </row>
    <row r="2332">
      <c r="A2332" s="9" t="s">
        <v>7464</v>
      </c>
      <c r="B2332" s="20" t="str">
        <f>IFERROR(__xludf.DUMMYFUNCTION("REGEXREPLACE(A2332, ""^https?://[^/]+"", """")"),"/wp-content/uploads/2021/03/Pouring-Sauce-scaled-1-2048x2048.jpg")</f>
        <v>/wp-content/uploads/2021/03/Pouring-Sauce-scaled-1-2048x2048.jpg</v>
      </c>
      <c r="F2332" s="1" t="s">
        <v>1004</v>
      </c>
      <c r="G2332" s="1">
        <v>200.0</v>
      </c>
      <c r="H2332" s="1" t="s">
        <v>966</v>
      </c>
      <c r="I2332" s="1" t="s">
        <v>967</v>
      </c>
      <c r="L2332" s="1">
        <v>0.0</v>
      </c>
      <c r="M2332" s="1">
        <v>0.0</v>
      </c>
      <c r="O2332" s="1">
        <v>0.0</v>
      </c>
      <c r="P2332" s="1">
        <v>0.0</v>
      </c>
      <c r="R2332" s="1">
        <v>0.0</v>
      </c>
      <c r="S2332" s="1">
        <v>0.0</v>
      </c>
      <c r="U2332" s="1">
        <v>0.0</v>
      </c>
      <c r="W2332" s="1">
        <v>0.0</v>
      </c>
      <c r="Y2332" s="1">
        <v>0.0</v>
      </c>
      <c r="AA2332" s="1">
        <v>0.0</v>
      </c>
      <c r="AC2332" s="1">
        <v>0.0</v>
      </c>
      <c r="AM2332" s="1">
        <v>222360.0</v>
      </c>
      <c r="AN2332" s="1">
        <v>222360.0</v>
      </c>
      <c r="AO2332" s="1">
        <v>222360.0</v>
      </c>
      <c r="AP2332" s="1">
        <v>85.182</v>
      </c>
      <c r="AR2332" s="1">
        <v>0.0</v>
      </c>
      <c r="AW2332" s="1">
        <v>0.0</v>
      </c>
      <c r="AX2332" s="1">
        <v>5.0</v>
      </c>
      <c r="AY2332" s="1">
        <v>4.0</v>
      </c>
      <c r="BA2332" s="1">
        <v>0.0</v>
      </c>
      <c r="BB2332" s="1">
        <v>0.0</v>
      </c>
      <c r="BC2332" s="1">
        <v>0.0</v>
      </c>
      <c r="BD2332" s="1">
        <v>0.0</v>
      </c>
      <c r="BE2332" s="1">
        <v>0.0</v>
      </c>
      <c r="BF2332" s="1">
        <v>0.0</v>
      </c>
      <c r="BG2332" s="1">
        <v>0.0</v>
      </c>
      <c r="BH2332" s="1">
        <v>0.0</v>
      </c>
      <c r="BI2332" s="1">
        <v>0.0</v>
      </c>
      <c r="BJ2332" s="1">
        <v>0.0</v>
      </c>
      <c r="BP2332" s="1">
        <v>0.285</v>
      </c>
      <c r="BQ2332" s="1" t="s">
        <v>5855</v>
      </c>
      <c r="BV2332" s="1">
        <v>1.1</v>
      </c>
      <c r="EQ2332" s="9" t="s">
        <v>7464</v>
      </c>
      <c r="ER2332" s="21">
        <v>46045.30229166667</v>
      </c>
    </row>
    <row r="2333">
      <c r="A2333" s="9" t="s">
        <v>7465</v>
      </c>
      <c r="B2333" s="20" t="str">
        <f>IFERROR(__xludf.DUMMYFUNCTION("REGEXREPLACE(A2333, ""^https?://[^/]+"", """")"),"/wp-content/uploads/2021/02/Sales-Pipeline-scaled-1.jpg")</f>
        <v>/wp-content/uploads/2021/02/Sales-Pipeline-scaled-1.jpg</v>
      </c>
      <c r="F2333" s="1" t="s">
        <v>1004</v>
      </c>
      <c r="G2333" s="1">
        <v>200.0</v>
      </c>
      <c r="H2333" s="1" t="s">
        <v>966</v>
      </c>
      <c r="I2333" s="1" t="s">
        <v>967</v>
      </c>
      <c r="L2333" s="1">
        <v>0.0</v>
      </c>
      <c r="M2333" s="1">
        <v>0.0</v>
      </c>
      <c r="O2333" s="1">
        <v>0.0</v>
      </c>
      <c r="P2333" s="1">
        <v>0.0</v>
      </c>
      <c r="R2333" s="1">
        <v>0.0</v>
      </c>
      <c r="S2333" s="1">
        <v>0.0</v>
      </c>
      <c r="U2333" s="1">
        <v>0.0</v>
      </c>
      <c r="W2333" s="1">
        <v>0.0</v>
      </c>
      <c r="Y2333" s="1">
        <v>0.0</v>
      </c>
      <c r="AA2333" s="1">
        <v>0.0</v>
      </c>
      <c r="AC2333" s="1">
        <v>0.0</v>
      </c>
      <c r="AM2333" s="1">
        <v>162284.0</v>
      </c>
      <c r="AN2333" s="1">
        <v>162284.0</v>
      </c>
      <c r="AO2333" s="1">
        <v>162284.0</v>
      </c>
      <c r="AP2333" s="1">
        <v>62.168</v>
      </c>
      <c r="AR2333" s="1">
        <v>0.0</v>
      </c>
      <c r="AW2333" s="1">
        <v>0.0</v>
      </c>
      <c r="AX2333" s="1">
        <v>5.0</v>
      </c>
      <c r="AY2333" s="1">
        <v>4.0</v>
      </c>
      <c r="BA2333" s="1">
        <v>0.0</v>
      </c>
      <c r="BB2333" s="1">
        <v>0.0</v>
      </c>
      <c r="BC2333" s="1">
        <v>0.0</v>
      </c>
      <c r="BD2333" s="1">
        <v>0.0</v>
      </c>
      <c r="BE2333" s="1">
        <v>0.0</v>
      </c>
      <c r="BF2333" s="1">
        <v>0.0</v>
      </c>
      <c r="BG2333" s="1">
        <v>0.0</v>
      </c>
      <c r="BH2333" s="1">
        <v>0.0</v>
      </c>
      <c r="BI2333" s="1">
        <v>0.0</v>
      </c>
      <c r="BJ2333" s="1">
        <v>0.0</v>
      </c>
      <c r="BP2333" s="1">
        <v>0.274</v>
      </c>
      <c r="BQ2333" s="1" t="s">
        <v>7466</v>
      </c>
      <c r="BV2333" s="1">
        <v>1.1</v>
      </c>
      <c r="EQ2333" s="9" t="s">
        <v>7465</v>
      </c>
      <c r="ER2333" s="21">
        <v>46045.30229166667</v>
      </c>
    </row>
    <row r="2334">
      <c r="A2334" s="9" t="s">
        <v>7467</v>
      </c>
      <c r="B2334" s="20" t="str">
        <f>IFERROR(__xludf.DUMMYFUNCTION("REGEXREPLACE(A2334, ""^https?://[^/]+"", """")"),"/wp-content/uploads/2020/11/forbes-expert-panel.jpg")</f>
        <v>/wp-content/uploads/2020/11/forbes-expert-panel.jpg</v>
      </c>
      <c r="F2334" s="1" t="s">
        <v>1004</v>
      </c>
      <c r="G2334" s="1">
        <v>200.0</v>
      </c>
      <c r="H2334" s="1" t="s">
        <v>966</v>
      </c>
      <c r="I2334" s="1" t="s">
        <v>967</v>
      </c>
      <c r="L2334" s="1">
        <v>0.0</v>
      </c>
      <c r="M2334" s="1">
        <v>0.0</v>
      </c>
      <c r="O2334" s="1">
        <v>0.0</v>
      </c>
      <c r="P2334" s="1">
        <v>0.0</v>
      </c>
      <c r="R2334" s="1">
        <v>0.0</v>
      </c>
      <c r="S2334" s="1">
        <v>0.0</v>
      </c>
      <c r="U2334" s="1">
        <v>0.0</v>
      </c>
      <c r="W2334" s="1">
        <v>0.0</v>
      </c>
      <c r="Y2334" s="1">
        <v>0.0</v>
      </c>
      <c r="AA2334" s="1">
        <v>0.0</v>
      </c>
      <c r="AC2334" s="1">
        <v>0.0</v>
      </c>
      <c r="AM2334" s="1">
        <v>80419.0</v>
      </c>
      <c r="AN2334" s="1">
        <v>80419.0</v>
      </c>
      <c r="AO2334" s="1">
        <v>80419.0</v>
      </c>
      <c r="AP2334" s="1">
        <v>30.807</v>
      </c>
      <c r="AR2334" s="1">
        <v>0.0</v>
      </c>
      <c r="AW2334" s="1">
        <v>0.0</v>
      </c>
      <c r="AX2334" s="1">
        <v>5.0</v>
      </c>
      <c r="AY2334" s="1">
        <v>4.0</v>
      </c>
      <c r="BA2334" s="1">
        <v>0.0</v>
      </c>
      <c r="BB2334" s="1">
        <v>0.0</v>
      </c>
      <c r="BC2334" s="1">
        <v>0.0</v>
      </c>
      <c r="BD2334" s="1">
        <v>0.0</v>
      </c>
      <c r="BE2334" s="1">
        <v>0.0</v>
      </c>
      <c r="BF2334" s="1">
        <v>0.0</v>
      </c>
      <c r="BG2334" s="1">
        <v>0.0</v>
      </c>
      <c r="BH2334" s="1">
        <v>0.0</v>
      </c>
      <c r="BI2334" s="1">
        <v>0.0</v>
      </c>
      <c r="BJ2334" s="1">
        <v>0.0</v>
      </c>
      <c r="BP2334" s="1">
        <v>0.461</v>
      </c>
      <c r="BQ2334" s="1" t="s">
        <v>7468</v>
      </c>
      <c r="BV2334" s="1">
        <v>1.1</v>
      </c>
      <c r="EQ2334" s="9" t="s">
        <v>7467</v>
      </c>
      <c r="ER2334" s="21">
        <v>46045.302303240744</v>
      </c>
    </row>
    <row r="2335">
      <c r="A2335" s="9" t="s">
        <v>7469</v>
      </c>
      <c r="B2335" s="20" t="str">
        <f>IFERROR(__xludf.DUMMYFUNCTION("REGEXREPLACE(A2335, ""^https?://[^/]+"", """")"),"/wp-content/uploads/2021/04/131501-viewpoints-rocketman-ORG-2048x2048.jpg")</f>
        <v>/wp-content/uploads/2021/04/131501-viewpoints-rocketman-ORG-2048x2048.jpg</v>
      </c>
      <c r="F2335" s="1" t="s">
        <v>1004</v>
      </c>
      <c r="G2335" s="1">
        <v>200.0</v>
      </c>
      <c r="H2335" s="1" t="s">
        <v>966</v>
      </c>
      <c r="I2335" s="1" t="s">
        <v>967</v>
      </c>
      <c r="L2335" s="1">
        <v>0.0</v>
      </c>
      <c r="M2335" s="1">
        <v>0.0</v>
      </c>
      <c r="O2335" s="1">
        <v>0.0</v>
      </c>
      <c r="P2335" s="1">
        <v>0.0</v>
      </c>
      <c r="R2335" s="1">
        <v>0.0</v>
      </c>
      <c r="S2335" s="1">
        <v>0.0</v>
      </c>
      <c r="U2335" s="1">
        <v>0.0</v>
      </c>
      <c r="W2335" s="1">
        <v>0.0</v>
      </c>
      <c r="Y2335" s="1">
        <v>0.0</v>
      </c>
      <c r="AA2335" s="1">
        <v>0.0</v>
      </c>
      <c r="AC2335" s="1">
        <v>0.0</v>
      </c>
      <c r="AM2335" s="1">
        <v>135365.0</v>
      </c>
      <c r="AN2335" s="1">
        <v>135365.0</v>
      </c>
      <c r="AO2335" s="1">
        <v>135365.0</v>
      </c>
      <c r="AP2335" s="1">
        <v>51.856</v>
      </c>
      <c r="AR2335" s="1">
        <v>0.0</v>
      </c>
      <c r="AW2335" s="1">
        <v>0.0</v>
      </c>
      <c r="AX2335" s="1">
        <v>5.0</v>
      </c>
      <c r="AY2335" s="1">
        <v>4.0</v>
      </c>
      <c r="BA2335" s="1">
        <v>0.0</v>
      </c>
      <c r="BB2335" s="1">
        <v>0.0</v>
      </c>
      <c r="BC2335" s="1">
        <v>0.0</v>
      </c>
      <c r="BD2335" s="1">
        <v>0.0</v>
      </c>
      <c r="BE2335" s="1">
        <v>0.0</v>
      </c>
      <c r="BF2335" s="1">
        <v>0.0</v>
      </c>
      <c r="BG2335" s="1">
        <v>0.0</v>
      </c>
      <c r="BH2335" s="1">
        <v>0.0</v>
      </c>
      <c r="BI2335" s="1">
        <v>0.0</v>
      </c>
      <c r="BJ2335" s="1">
        <v>0.0</v>
      </c>
      <c r="BP2335" s="1">
        <v>0.288</v>
      </c>
      <c r="BQ2335" s="1" t="s">
        <v>7470</v>
      </c>
      <c r="BV2335" s="1">
        <v>1.1</v>
      </c>
      <c r="EQ2335" s="9" t="s">
        <v>7469</v>
      </c>
      <c r="ER2335" s="21">
        <v>46045.302303240744</v>
      </c>
    </row>
    <row r="2336">
      <c r="A2336" s="9" t="s">
        <v>7471</v>
      </c>
      <c r="B2336" s="20" t="str">
        <f>IFERROR(__xludf.DUMMYFUNCTION("REGEXREPLACE(A2336, ""^https?://[^/]+"", """")"),"/wp-content/uploads/2020/12/business-man.jpg")</f>
        <v>/wp-content/uploads/2020/12/business-man.jpg</v>
      </c>
      <c r="F2336" s="1" t="s">
        <v>1004</v>
      </c>
      <c r="G2336" s="1">
        <v>200.0</v>
      </c>
      <c r="H2336" s="1" t="s">
        <v>966</v>
      </c>
      <c r="I2336" s="1" t="s">
        <v>967</v>
      </c>
      <c r="L2336" s="1">
        <v>0.0</v>
      </c>
      <c r="M2336" s="1">
        <v>0.0</v>
      </c>
      <c r="O2336" s="1">
        <v>0.0</v>
      </c>
      <c r="P2336" s="1">
        <v>0.0</v>
      </c>
      <c r="R2336" s="1">
        <v>0.0</v>
      </c>
      <c r="S2336" s="1">
        <v>0.0</v>
      </c>
      <c r="U2336" s="1">
        <v>0.0</v>
      </c>
      <c r="W2336" s="1">
        <v>0.0</v>
      </c>
      <c r="Y2336" s="1">
        <v>0.0</v>
      </c>
      <c r="AA2336" s="1">
        <v>0.0</v>
      </c>
      <c r="AC2336" s="1">
        <v>0.0</v>
      </c>
      <c r="AM2336" s="1">
        <v>45798.0</v>
      </c>
      <c r="AN2336" s="1">
        <v>45798.0</v>
      </c>
      <c r="AO2336" s="1">
        <v>45798.0</v>
      </c>
      <c r="AP2336" s="1">
        <v>17.544</v>
      </c>
      <c r="AR2336" s="1">
        <v>0.0</v>
      </c>
      <c r="AW2336" s="1">
        <v>0.0</v>
      </c>
      <c r="AX2336" s="1">
        <v>5.0</v>
      </c>
      <c r="AY2336" s="1">
        <v>4.0</v>
      </c>
      <c r="BA2336" s="1">
        <v>0.0</v>
      </c>
      <c r="BB2336" s="1">
        <v>0.0</v>
      </c>
      <c r="BC2336" s="1">
        <v>0.0</v>
      </c>
      <c r="BD2336" s="1">
        <v>0.0</v>
      </c>
      <c r="BE2336" s="1">
        <v>0.0</v>
      </c>
      <c r="BF2336" s="1">
        <v>0.0</v>
      </c>
      <c r="BG2336" s="1">
        <v>0.0</v>
      </c>
      <c r="BH2336" s="1">
        <v>0.0</v>
      </c>
      <c r="BI2336" s="1">
        <v>0.0</v>
      </c>
      <c r="BJ2336" s="1">
        <v>0.0</v>
      </c>
      <c r="BP2336" s="1">
        <v>0.292</v>
      </c>
      <c r="BQ2336" s="1" t="s">
        <v>7472</v>
      </c>
      <c r="BV2336" s="1">
        <v>1.1</v>
      </c>
      <c r="EQ2336" s="9" t="s">
        <v>7471</v>
      </c>
      <c r="ER2336" s="21">
        <v>46045.302303240744</v>
      </c>
    </row>
    <row r="2337">
      <c r="A2337" s="9" t="s">
        <v>7473</v>
      </c>
      <c r="B2337" s="20" t="str">
        <f>IFERROR(__xludf.DUMMYFUNCTION("REGEXREPLACE(A2337, ""^https?://[^/]+"", """")"),"/wp-content/uploads/2021/03/Sales-Strategy-Meeting-scaled-1-2048x2048.jpg")</f>
        <v>/wp-content/uploads/2021/03/Sales-Strategy-Meeting-scaled-1-2048x2048.jpg</v>
      </c>
      <c r="F2337" s="1" t="s">
        <v>1004</v>
      </c>
      <c r="G2337" s="1">
        <v>200.0</v>
      </c>
      <c r="H2337" s="1" t="s">
        <v>966</v>
      </c>
      <c r="I2337" s="1" t="s">
        <v>967</v>
      </c>
      <c r="L2337" s="1">
        <v>0.0</v>
      </c>
      <c r="M2337" s="1">
        <v>0.0</v>
      </c>
      <c r="O2337" s="1">
        <v>0.0</v>
      </c>
      <c r="P2337" s="1">
        <v>0.0</v>
      </c>
      <c r="R2337" s="1">
        <v>0.0</v>
      </c>
      <c r="S2337" s="1">
        <v>0.0</v>
      </c>
      <c r="U2337" s="1">
        <v>0.0</v>
      </c>
      <c r="W2337" s="1">
        <v>0.0</v>
      </c>
      <c r="Y2337" s="1">
        <v>0.0</v>
      </c>
      <c r="AA2337" s="1">
        <v>0.0</v>
      </c>
      <c r="AC2337" s="1">
        <v>0.0</v>
      </c>
      <c r="AM2337" s="1">
        <v>305859.0</v>
      </c>
      <c r="AN2337" s="1">
        <v>305859.0</v>
      </c>
      <c r="AO2337" s="1">
        <v>305859.0</v>
      </c>
      <c r="AP2337" s="1">
        <v>117.169</v>
      </c>
      <c r="AR2337" s="1">
        <v>0.0</v>
      </c>
      <c r="AW2337" s="1">
        <v>0.0</v>
      </c>
      <c r="AX2337" s="1">
        <v>5.0</v>
      </c>
      <c r="AY2337" s="1">
        <v>4.0</v>
      </c>
      <c r="BA2337" s="1">
        <v>0.0</v>
      </c>
      <c r="BB2337" s="1">
        <v>0.0</v>
      </c>
      <c r="BC2337" s="1">
        <v>0.0</v>
      </c>
      <c r="BD2337" s="1">
        <v>0.0</v>
      </c>
      <c r="BE2337" s="1">
        <v>0.0</v>
      </c>
      <c r="BF2337" s="1">
        <v>0.0</v>
      </c>
      <c r="BG2337" s="1">
        <v>0.0</v>
      </c>
      <c r="BH2337" s="1">
        <v>0.0</v>
      </c>
      <c r="BI2337" s="1">
        <v>0.0</v>
      </c>
      <c r="BJ2337" s="1">
        <v>0.0</v>
      </c>
      <c r="BP2337" s="1">
        <v>0.258</v>
      </c>
      <c r="BQ2337" s="1" t="s">
        <v>5911</v>
      </c>
      <c r="BV2337" s="1">
        <v>1.1</v>
      </c>
      <c r="EQ2337" s="9" t="s">
        <v>7473</v>
      </c>
      <c r="ER2337" s="21">
        <v>46045.30231481481</v>
      </c>
    </row>
    <row r="2338">
      <c r="A2338" s="9" t="s">
        <v>7474</v>
      </c>
      <c r="B2338" s="20" t="str">
        <f>IFERROR(__xludf.DUMMYFUNCTION("REGEXREPLACE(A2338, ""^https?://[^/]+"", """")"),"/wp-content/uploads/2021/03/Sales-Forecasting-Meeting.jpg")</f>
        <v>/wp-content/uploads/2021/03/Sales-Forecasting-Meeting.jpg</v>
      </c>
      <c r="F2338" s="1" t="s">
        <v>1004</v>
      </c>
      <c r="G2338" s="1">
        <v>200.0</v>
      </c>
      <c r="H2338" s="1" t="s">
        <v>966</v>
      </c>
      <c r="I2338" s="1" t="s">
        <v>967</v>
      </c>
      <c r="L2338" s="1">
        <v>0.0</v>
      </c>
      <c r="M2338" s="1">
        <v>0.0</v>
      </c>
      <c r="O2338" s="1">
        <v>0.0</v>
      </c>
      <c r="P2338" s="1">
        <v>0.0</v>
      </c>
      <c r="R2338" s="1">
        <v>0.0</v>
      </c>
      <c r="S2338" s="1">
        <v>0.0</v>
      </c>
      <c r="U2338" s="1">
        <v>0.0</v>
      </c>
      <c r="W2338" s="1">
        <v>0.0</v>
      </c>
      <c r="Y2338" s="1">
        <v>0.0</v>
      </c>
      <c r="AA2338" s="1">
        <v>0.0</v>
      </c>
      <c r="AC2338" s="1">
        <v>0.0</v>
      </c>
      <c r="AM2338" s="1">
        <v>445792.0</v>
      </c>
      <c r="AN2338" s="1">
        <v>445792.0</v>
      </c>
      <c r="AO2338" s="1">
        <v>445792.0</v>
      </c>
      <c r="AP2338" s="1">
        <v>170.774</v>
      </c>
      <c r="AR2338" s="1">
        <v>0.0</v>
      </c>
      <c r="AW2338" s="1">
        <v>0.0</v>
      </c>
      <c r="AX2338" s="1">
        <v>5.0</v>
      </c>
      <c r="AY2338" s="1">
        <v>4.0</v>
      </c>
      <c r="BA2338" s="1">
        <v>0.0</v>
      </c>
      <c r="BB2338" s="1">
        <v>0.0</v>
      </c>
      <c r="BC2338" s="1">
        <v>0.0</v>
      </c>
      <c r="BD2338" s="1">
        <v>0.0</v>
      </c>
      <c r="BE2338" s="1">
        <v>0.0</v>
      </c>
      <c r="BF2338" s="1">
        <v>0.0</v>
      </c>
      <c r="BG2338" s="1">
        <v>0.0</v>
      </c>
      <c r="BH2338" s="1">
        <v>0.0</v>
      </c>
      <c r="BI2338" s="1">
        <v>0.0</v>
      </c>
      <c r="BJ2338" s="1">
        <v>0.0</v>
      </c>
      <c r="BP2338" s="1">
        <v>0.279</v>
      </c>
      <c r="BQ2338" s="1" t="s">
        <v>7475</v>
      </c>
      <c r="BV2338" s="1">
        <v>1.1</v>
      </c>
      <c r="EQ2338" s="9" t="s">
        <v>7474</v>
      </c>
      <c r="ER2338" s="21">
        <v>46045.30231481481</v>
      </c>
    </row>
    <row r="2339">
      <c r="A2339" s="9" t="s">
        <v>7476</v>
      </c>
      <c r="B2339" s="20" t="str">
        <f>IFERROR(__xludf.DUMMYFUNCTION("REGEXREPLACE(A2339, ""^https?://[^/]+"", """")"),"/wp-content/themes/salesxceleratione/assets/css/style.css?ver=1769123625")</f>
        <v>/wp-content/themes/salesxceleratione/assets/css/style.css?ver=1769123625</v>
      </c>
      <c r="F2339" s="1" t="s">
        <v>1016</v>
      </c>
      <c r="G2339" s="1">
        <v>200.0</v>
      </c>
      <c r="H2339" s="1" t="s">
        <v>966</v>
      </c>
      <c r="I2339" s="1" t="s">
        <v>967</v>
      </c>
      <c r="L2339" s="1">
        <v>0.0</v>
      </c>
      <c r="M2339" s="1">
        <v>0.0</v>
      </c>
      <c r="O2339" s="1">
        <v>0.0</v>
      </c>
      <c r="P2339" s="1">
        <v>0.0</v>
      </c>
      <c r="R2339" s="1">
        <v>0.0</v>
      </c>
      <c r="S2339" s="1">
        <v>0.0</v>
      </c>
      <c r="U2339" s="1">
        <v>0.0</v>
      </c>
      <c r="W2339" s="1">
        <v>0.0</v>
      </c>
      <c r="Y2339" s="1">
        <v>0.0</v>
      </c>
      <c r="AA2339" s="1">
        <v>0.0</v>
      </c>
      <c r="AC2339" s="1">
        <v>0.0</v>
      </c>
      <c r="AM2339" s="1">
        <v>17704.0</v>
      </c>
      <c r="AN2339" s="1">
        <v>17704.0</v>
      </c>
      <c r="AO2339" s="1">
        <v>17704.0</v>
      </c>
      <c r="AP2339" s="1">
        <v>6.782</v>
      </c>
      <c r="AR2339" s="1">
        <v>0.0</v>
      </c>
      <c r="AW2339" s="1">
        <v>0.0</v>
      </c>
      <c r="AX2339" s="1">
        <v>5.0</v>
      </c>
      <c r="AY2339" s="1">
        <v>5.0</v>
      </c>
      <c r="BA2339" s="1">
        <v>0.0</v>
      </c>
      <c r="BB2339" s="1">
        <v>0.0</v>
      </c>
      <c r="BC2339" s="1">
        <v>0.0</v>
      </c>
      <c r="BD2339" s="1">
        <v>0.0</v>
      </c>
      <c r="BE2339" s="1">
        <v>0.0</v>
      </c>
      <c r="BF2339" s="1">
        <v>0.0</v>
      </c>
      <c r="BG2339" s="1">
        <v>0.0</v>
      </c>
      <c r="BH2339" s="1">
        <v>0.0</v>
      </c>
      <c r="BI2339" s="1">
        <v>0.0</v>
      </c>
      <c r="BJ2339" s="1">
        <v>0.0</v>
      </c>
      <c r="BP2339" s="1">
        <v>0.262</v>
      </c>
      <c r="BQ2339" s="1" t="s">
        <v>7477</v>
      </c>
      <c r="BV2339" s="1">
        <v>1.1</v>
      </c>
      <c r="EQ2339" s="9" t="s">
        <v>7476</v>
      </c>
      <c r="ER2339" s="21">
        <v>46045.30231481481</v>
      </c>
    </row>
    <row r="2340">
      <c r="A2340" s="9" t="s">
        <v>7478</v>
      </c>
      <c r="B2340" s="20" t="str">
        <f>IFERROR(__xludf.DUMMYFUNCTION("REGEXREPLACE(A2340, ""^https?://[^/]+"", """")"),"/wp-content/uploads/2021/01/Sales-Process-Meeting-scaled-1.jpg")</f>
        <v>/wp-content/uploads/2021/01/Sales-Process-Meeting-scaled-1.jpg</v>
      </c>
      <c r="F2340" s="1" t="s">
        <v>1004</v>
      </c>
      <c r="G2340" s="1">
        <v>200.0</v>
      </c>
      <c r="H2340" s="1" t="s">
        <v>966</v>
      </c>
      <c r="I2340" s="1" t="s">
        <v>967</v>
      </c>
      <c r="L2340" s="1">
        <v>0.0</v>
      </c>
      <c r="M2340" s="1">
        <v>0.0</v>
      </c>
      <c r="O2340" s="1">
        <v>0.0</v>
      </c>
      <c r="P2340" s="1">
        <v>0.0</v>
      </c>
      <c r="R2340" s="1">
        <v>0.0</v>
      </c>
      <c r="S2340" s="1">
        <v>0.0</v>
      </c>
      <c r="U2340" s="1">
        <v>0.0</v>
      </c>
      <c r="W2340" s="1">
        <v>0.0</v>
      </c>
      <c r="Y2340" s="1">
        <v>0.0</v>
      </c>
      <c r="AA2340" s="1">
        <v>0.0</v>
      </c>
      <c r="AC2340" s="1">
        <v>0.0</v>
      </c>
      <c r="AM2340" s="1">
        <v>336237.0</v>
      </c>
      <c r="AN2340" s="1">
        <v>336237.0</v>
      </c>
      <c r="AO2340" s="1">
        <v>336237.0</v>
      </c>
      <c r="AP2340" s="1">
        <v>128.806</v>
      </c>
      <c r="AR2340" s="1">
        <v>0.0</v>
      </c>
      <c r="AW2340" s="1">
        <v>0.0</v>
      </c>
      <c r="AX2340" s="1">
        <v>5.0</v>
      </c>
      <c r="AY2340" s="1">
        <v>4.0</v>
      </c>
      <c r="BA2340" s="1">
        <v>0.0</v>
      </c>
      <c r="BB2340" s="1">
        <v>0.0</v>
      </c>
      <c r="BC2340" s="1">
        <v>0.0</v>
      </c>
      <c r="BD2340" s="1">
        <v>0.0</v>
      </c>
      <c r="BE2340" s="1">
        <v>0.0</v>
      </c>
      <c r="BF2340" s="1">
        <v>0.0</v>
      </c>
      <c r="BG2340" s="1">
        <v>0.0</v>
      </c>
      <c r="BH2340" s="1">
        <v>0.0</v>
      </c>
      <c r="BI2340" s="1">
        <v>0.0</v>
      </c>
      <c r="BJ2340" s="1">
        <v>0.0</v>
      </c>
      <c r="BP2340" s="1">
        <v>0.269</v>
      </c>
      <c r="BQ2340" s="1" t="s">
        <v>7479</v>
      </c>
      <c r="BV2340" s="1">
        <v>1.1</v>
      </c>
      <c r="EQ2340" s="9" t="s">
        <v>7478</v>
      </c>
      <c r="ER2340" s="21">
        <v>46045.30231481481</v>
      </c>
    </row>
    <row r="2341">
      <c r="A2341" s="9" t="s">
        <v>7480</v>
      </c>
      <c r="B2341" s="20" t="str">
        <f>IFERROR(__xludf.DUMMYFUNCTION("REGEXREPLACE(A2341, ""^https?://[^/]+"", """")"),"/wp-content/uploads/2021/02/Sales-Team-Meeting-scaled-1.jpg")</f>
        <v>/wp-content/uploads/2021/02/Sales-Team-Meeting-scaled-1.jpg</v>
      </c>
      <c r="F2341" s="1" t="s">
        <v>1004</v>
      </c>
      <c r="G2341" s="1">
        <v>200.0</v>
      </c>
      <c r="H2341" s="1" t="s">
        <v>966</v>
      </c>
      <c r="I2341" s="1" t="s">
        <v>967</v>
      </c>
      <c r="L2341" s="1">
        <v>0.0</v>
      </c>
      <c r="M2341" s="1">
        <v>0.0</v>
      </c>
      <c r="O2341" s="1">
        <v>0.0</v>
      </c>
      <c r="P2341" s="1">
        <v>0.0</v>
      </c>
      <c r="R2341" s="1">
        <v>0.0</v>
      </c>
      <c r="S2341" s="1">
        <v>0.0</v>
      </c>
      <c r="U2341" s="1">
        <v>0.0</v>
      </c>
      <c r="W2341" s="1">
        <v>0.0</v>
      </c>
      <c r="Y2341" s="1">
        <v>0.0</v>
      </c>
      <c r="AA2341" s="1">
        <v>0.0</v>
      </c>
      <c r="AC2341" s="1">
        <v>0.0</v>
      </c>
      <c r="AM2341" s="1">
        <v>218323.0</v>
      </c>
      <c r="AN2341" s="1">
        <v>218323.0</v>
      </c>
      <c r="AO2341" s="1">
        <v>218323.0</v>
      </c>
      <c r="AP2341" s="1">
        <v>83.635</v>
      </c>
      <c r="AR2341" s="1">
        <v>0.0</v>
      </c>
      <c r="AW2341" s="1">
        <v>0.0</v>
      </c>
      <c r="AX2341" s="1">
        <v>5.0</v>
      </c>
      <c r="AY2341" s="1">
        <v>4.0</v>
      </c>
      <c r="BA2341" s="1">
        <v>0.0</v>
      </c>
      <c r="BB2341" s="1">
        <v>0.0</v>
      </c>
      <c r="BC2341" s="1">
        <v>0.0</v>
      </c>
      <c r="BD2341" s="1">
        <v>0.0</v>
      </c>
      <c r="BE2341" s="1">
        <v>0.0</v>
      </c>
      <c r="BF2341" s="1">
        <v>0.0</v>
      </c>
      <c r="BG2341" s="1">
        <v>0.0</v>
      </c>
      <c r="BH2341" s="1">
        <v>0.0</v>
      </c>
      <c r="BI2341" s="1">
        <v>0.0</v>
      </c>
      <c r="BJ2341" s="1">
        <v>0.0</v>
      </c>
      <c r="BP2341" s="1">
        <v>0.281</v>
      </c>
      <c r="BQ2341" s="1" t="s">
        <v>7481</v>
      </c>
      <c r="BV2341" s="1">
        <v>1.1</v>
      </c>
      <c r="EQ2341" s="9" t="s">
        <v>7480</v>
      </c>
      <c r="ER2341" s="21">
        <v>46045.30232638889</v>
      </c>
    </row>
    <row r="2342">
      <c r="A2342" s="9" t="s">
        <v>7482</v>
      </c>
      <c r="B2342" s="20" t="str">
        <f>IFERROR(__xludf.DUMMYFUNCTION("REGEXREPLACE(A2342, ""^https?://[^/]+"", """")"),"/wp-content/themes/salesxceleratione/assets/css/style.css?ver=1769123626")</f>
        <v>/wp-content/themes/salesxceleratione/assets/css/style.css?ver=1769123626</v>
      </c>
      <c r="F2342" s="1" t="s">
        <v>1016</v>
      </c>
      <c r="G2342" s="1">
        <v>200.0</v>
      </c>
      <c r="H2342" s="1" t="s">
        <v>966</v>
      </c>
      <c r="I2342" s="1" t="s">
        <v>967</v>
      </c>
      <c r="L2342" s="1">
        <v>0.0</v>
      </c>
      <c r="M2342" s="1">
        <v>0.0</v>
      </c>
      <c r="O2342" s="1">
        <v>0.0</v>
      </c>
      <c r="P2342" s="1">
        <v>0.0</v>
      </c>
      <c r="R2342" s="1">
        <v>0.0</v>
      </c>
      <c r="S2342" s="1">
        <v>0.0</v>
      </c>
      <c r="U2342" s="1">
        <v>0.0</v>
      </c>
      <c r="W2342" s="1">
        <v>0.0</v>
      </c>
      <c r="Y2342" s="1">
        <v>0.0</v>
      </c>
      <c r="AA2342" s="1">
        <v>0.0</v>
      </c>
      <c r="AC2342" s="1">
        <v>0.0</v>
      </c>
      <c r="AM2342" s="1">
        <v>17704.0</v>
      </c>
      <c r="AN2342" s="1">
        <v>17704.0</v>
      </c>
      <c r="AO2342" s="1">
        <v>17704.0</v>
      </c>
      <c r="AP2342" s="1">
        <v>6.782</v>
      </c>
      <c r="AR2342" s="1">
        <v>0.0</v>
      </c>
      <c r="AW2342" s="1">
        <v>0.0</v>
      </c>
      <c r="AX2342" s="1">
        <v>5.0</v>
      </c>
      <c r="AY2342" s="1">
        <v>5.0</v>
      </c>
      <c r="BA2342" s="1">
        <v>0.0</v>
      </c>
      <c r="BB2342" s="1">
        <v>0.0</v>
      </c>
      <c r="BC2342" s="1">
        <v>0.0</v>
      </c>
      <c r="BD2342" s="1">
        <v>0.0</v>
      </c>
      <c r="BE2342" s="1">
        <v>0.0</v>
      </c>
      <c r="BF2342" s="1">
        <v>0.0</v>
      </c>
      <c r="BG2342" s="1">
        <v>0.0</v>
      </c>
      <c r="BH2342" s="1">
        <v>0.0</v>
      </c>
      <c r="BI2342" s="1">
        <v>0.0</v>
      </c>
      <c r="BJ2342" s="1">
        <v>0.0</v>
      </c>
      <c r="BP2342" s="1">
        <v>0.269</v>
      </c>
      <c r="BQ2342" s="1" t="s">
        <v>7477</v>
      </c>
      <c r="BV2342" s="1">
        <v>1.1</v>
      </c>
      <c r="EQ2342" s="9" t="s">
        <v>7482</v>
      </c>
      <c r="ER2342" s="21">
        <v>46045.30232638889</v>
      </c>
    </row>
    <row r="2343">
      <c r="A2343" s="9" t="s">
        <v>7483</v>
      </c>
      <c r="B2343" s="20" t="str">
        <f>IFERROR(__xludf.DUMMYFUNCTION("REGEXREPLACE(A2343, ""^https?://[^/]+"", """")"),"/wp-content/uploads/2020/09/Online-Sales-Meeting-scaled-1.jpg")</f>
        <v>/wp-content/uploads/2020/09/Online-Sales-Meeting-scaled-1.jpg</v>
      </c>
      <c r="F2343" s="1" t="s">
        <v>1004</v>
      </c>
      <c r="G2343" s="1">
        <v>200.0</v>
      </c>
      <c r="H2343" s="1" t="s">
        <v>966</v>
      </c>
      <c r="I2343" s="1" t="s">
        <v>967</v>
      </c>
      <c r="L2343" s="1">
        <v>0.0</v>
      </c>
      <c r="M2343" s="1">
        <v>0.0</v>
      </c>
      <c r="O2343" s="1">
        <v>0.0</v>
      </c>
      <c r="P2343" s="1">
        <v>0.0</v>
      </c>
      <c r="R2343" s="1">
        <v>0.0</v>
      </c>
      <c r="S2343" s="1">
        <v>0.0</v>
      </c>
      <c r="U2343" s="1">
        <v>0.0</v>
      </c>
      <c r="W2343" s="1">
        <v>0.0</v>
      </c>
      <c r="Y2343" s="1">
        <v>0.0</v>
      </c>
      <c r="AA2343" s="1">
        <v>0.0</v>
      </c>
      <c r="AC2343" s="1">
        <v>0.0</v>
      </c>
      <c r="AM2343" s="1">
        <v>333861.0</v>
      </c>
      <c r="AN2343" s="1">
        <v>333861.0</v>
      </c>
      <c r="AO2343" s="1">
        <v>333861.0</v>
      </c>
      <c r="AP2343" s="1">
        <v>127.896</v>
      </c>
      <c r="AR2343" s="1">
        <v>0.0</v>
      </c>
      <c r="AW2343" s="1">
        <v>0.0</v>
      </c>
      <c r="AX2343" s="1">
        <v>5.0</v>
      </c>
      <c r="AY2343" s="1">
        <v>4.0</v>
      </c>
      <c r="BA2343" s="1">
        <v>0.0</v>
      </c>
      <c r="BB2343" s="1">
        <v>0.0</v>
      </c>
      <c r="BC2343" s="1">
        <v>0.0</v>
      </c>
      <c r="BD2343" s="1">
        <v>0.0</v>
      </c>
      <c r="BE2343" s="1">
        <v>0.0</v>
      </c>
      <c r="BF2343" s="1">
        <v>0.0</v>
      </c>
      <c r="BG2343" s="1">
        <v>0.0</v>
      </c>
      <c r="BH2343" s="1">
        <v>0.0</v>
      </c>
      <c r="BI2343" s="1">
        <v>0.0</v>
      </c>
      <c r="BJ2343" s="1">
        <v>0.0</v>
      </c>
      <c r="BP2343" s="1">
        <v>0.301</v>
      </c>
      <c r="BQ2343" s="1" t="s">
        <v>7484</v>
      </c>
      <c r="BV2343" s="1">
        <v>1.1</v>
      </c>
      <c r="EQ2343" s="9" t="s">
        <v>7483</v>
      </c>
      <c r="ER2343" s="21">
        <v>46045.30232638889</v>
      </c>
    </row>
    <row r="2344">
      <c r="A2344" s="9" t="s">
        <v>7485</v>
      </c>
      <c r="B2344" s="20" t="str">
        <f>IFERROR(__xludf.DUMMYFUNCTION("REGEXREPLACE(A2344, ""^https?://[^/]+"", """")"),"/wp-content/uploads/2021/03/Pouring-Sauce-scaled-1.jpg")</f>
        <v>/wp-content/uploads/2021/03/Pouring-Sauce-scaled-1.jpg</v>
      </c>
      <c r="F2344" s="1" t="s">
        <v>1004</v>
      </c>
      <c r="G2344" s="1">
        <v>200.0</v>
      </c>
      <c r="H2344" s="1" t="s">
        <v>966</v>
      </c>
      <c r="I2344" s="1" t="s">
        <v>967</v>
      </c>
      <c r="L2344" s="1">
        <v>0.0</v>
      </c>
      <c r="M2344" s="1">
        <v>0.0</v>
      </c>
      <c r="O2344" s="1">
        <v>0.0</v>
      </c>
      <c r="P2344" s="1">
        <v>0.0</v>
      </c>
      <c r="R2344" s="1">
        <v>0.0</v>
      </c>
      <c r="S2344" s="1">
        <v>0.0</v>
      </c>
      <c r="U2344" s="1">
        <v>0.0</v>
      </c>
      <c r="W2344" s="1">
        <v>0.0</v>
      </c>
      <c r="Y2344" s="1">
        <v>0.0</v>
      </c>
      <c r="AA2344" s="1">
        <v>0.0</v>
      </c>
      <c r="AC2344" s="1">
        <v>0.0</v>
      </c>
      <c r="AM2344" s="1">
        <v>158739.0</v>
      </c>
      <c r="AN2344" s="1">
        <v>158739.0</v>
      </c>
      <c r="AO2344" s="1">
        <v>158739.0</v>
      </c>
      <c r="AP2344" s="1">
        <v>60.81</v>
      </c>
      <c r="AR2344" s="1">
        <v>0.0</v>
      </c>
      <c r="AW2344" s="1">
        <v>0.0</v>
      </c>
      <c r="AX2344" s="1">
        <v>5.0</v>
      </c>
      <c r="AY2344" s="1">
        <v>4.0</v>
      </c>
      <c r="BA2344" s="1">
        <v>0.0</v>
      </c>
      <c r="BB2344" s="1">
        <v>0.0</v>
      </c>
      <c r="BC2344" s="1">
        <v>0.0</v>
      </c>
      <c r="BD2344" s="1">
        <v>0.0</v>
      </c>
      <c r="BE2344" s="1">
        <v>0.0</v>
      </c>
      <c r="BF2344" s="1">
        <v>0.0</v>
      </c>
      <c r="BG2344" s="1">
        <v>0.0</v>
      </c>
      <c r="BH2344" s="1">
        <v>0.0</v>
      </c>
      <c r="BI2344" s="1">
        <v>0.0</v>
      </c>
      <c r="BJ2344" s="1">
        <v>0.0</v>
      </c>
      <c r="BP2344" s="1">
        <v>0.411</v>
      </c>
      <c r="BQ2344" s="1" t="s">
        <v>7486</v>
      </c>
      <c r="BV2344" s="1">
        <v>1.1</v>
      </c>
      <c r="EQ2344" s="9" t="s">
        <v>7485</v>
      </c>
      <c r="ER2344" s="21">
        <v>46045.30233796296</v>
      </c>
    </row>
    <row r="2345">
      <c r="A2345" s="9" t="s">
        <v>7487</v>
      </c>
      <c r="B2345" s="20" t="str">
        <f>IFERROR(__xludf.DUMMYFUNCTION("REGEXREPLACE(A2345, ""^https?://[^/]+"", """")"),"/sales-agility-assessment?locationid=26295963")</f>
        <v>/sales-agility-assessment?locationid=26295963</v>
      </c>
      <c r="F2345" s="1" t="s">
        <v>965</v>
      </c>
      <c r="G2345" s="1">
        <v>301.0</v>
      </c>
      <c r="H2345" s="1" t="s">
        <v>1304</v>
      </c>
      <c r="I2345" s="1" t="s">
        <v>1214</v>
      </c>
      <c r="J2345" s="1" t="s">
        <v>1305</v>
      </c>
      <c r="L2345" s="1">
        <v>0.0</v>
      </c>
      <c r="M2345" s="1">
        <v>0.0</v>
      </c>
      <c r="O2345" s="1">
        <v>0.0</v>
      </c>
      <c r="P2345" s="1">
        <v>0.0</v>
      </c>
      <c r="R2345" s="1">
        <v>0.0</v>
      </c>
      <c r="S2345" s="1">
        <v>0.0</v>
      </c>
      <c r="U2345" s="1">
        <v>0.0</v>
      </c>
      <c r="W2345" s="1">
        <v>0.0</v>
      </c>
      <c r="Y2345" s="1">
        <v>0.0</v>
      </c>
      <c r="AA2345" s="1">
        <v>0.0</v>
      </c>
      <c r="AC2345" s="1">
        <v>0.0</v>
      </c>
      <c r="AM2345" s="1">
        <v>0.0</v>
      </c>
      <c r="AN2345" s="1">
        <v>0.0</v>
      </c>
      <c r="AO2345" s="1">
        <v>0.0</v>
      </c>
      <c r="AP2345" s="1">
        <v>0.0</v>
      </c>
      <c r="AR2345" s="1">
        <v>0.0</v>
      </c>
      <c r="AW2345" s="1">
        <v>0.0</v>
      </c>
      <c r="AX2345" s="1">
        <v>5.0</v>
      </c>
      <c r="AY2345" s="1">
        <v>0.0</v>
      </c>
      <c r="BA2345" s="1">
        <v>1.0</v>
      </c>
      <c r="BB2345" s="1">
        <v>1.0</v>
      </c>
      <c r="BC2345" s="1">
        <v>0.0</v>
      </c>
      <c r="BD2345" s="1">
        <v>0.13</v>
      </c>
      <c r="BE2345" s="1">
        <v>0.0</v>
      </c>
      <c r="BF2345" s="1">
        <v>0.0</v>
      </c>
      <c r="BG2345" s="1">
        <v>0.0</v>
      </c>
      <c r="BH2345" s="1">
        <v>0.0</v>
      </c>
      <c r="BI2345" s="1">
        <v>0.0</v>
      </c>
      <c r="BJ2345" s="1">
        <v>0.0</v>
      </c>
      <c r="BP2345" s="1">
        <v>1.017</v>
      </c>
      <c r="BR2345" s="9" t="s">
        <v>7488</v>
      </c>
      <c r="BS2345" s="1" t="s">
        <v>1307</v>
      </c>
      <c r="BV2345" s="1">
        <v>1.1</v>
      </c>
      <c r="EQ2345" s="9" t="s">
        <v>7487</v>
      </c>
      <c r="ER2345" s="21">
        <v>46045.30232638889</v>
      </c>
    </row>
    <row r="2346">
      <c r="A2346" s="9" t="s">
        <v>7489</v>
      </c>
      <c r="B2346" s="20" t="str">
        <f>IFERROR(__xludf.DUMMYFUNCTION("REGEXREPLACE(A2346, ""^https?://[^/]+"", """")"),"/wp-content/uploads/2019/02/i-need-revenue-growth-now.jpg")</f>
        <v>/wp-content/uploads/2019/02/i-need-revenue-growth-now.jpg</v>
      </c>
      <c r="F2346" s="1" t="s">
        <v>1004</v>
      </c>
      <c r="G2346" s="1">
        <v>200.0</v>
      </c>
      <c r="H2346" s="1" t="s">
        <v>966</v>
      </c>
      <c r="I2346" s="1" t="s">
        <v>967</v>
      </c>
      <c r="L2346" s="1">
        <v>0.0</v>
      </c>
      <c r="M2346" s="1">
        <v>0.0</v>
      </c>
      <c r="O2346" s="1">
        <v>0.0</v>
      </c>
      <c r="P2346" s="1">
        <v>0.0</v>
      </c>
      <c r="R2346" s="1">
        <v>0.0</v>
      </c>
      <c r="S2346" s="1">
        <v>0.0</v>
      </c>
      <c r="U2346" s="1">
        <v>0.0</v>
      </c>
      <c r="W2346" s="1">
        <v>0.0</v>
      </c>
      <c r="Y2346" s="1">
        <v>0.0</v>
      </c>
      <c r="AA2346" s="1">
        <v>0.0</v>
      </c>
      <c r="AC2346" s="1">
        <v>0.0</v>
      </c>
      <c r="AM2346" s="1">
        <v>224658.0</v>
      </c>
      <c r="AN2346" s="1">
        <v>224658.0</v>
      </c>
      <c r="AO2346" s="1">
        <v>224658.0</v>
      </c>
      <c r="AP2346" s="1">
        <v>86.062</v>
      </c>
      <c r="AR2346" s="1">
        <v>0.0</v>
      </c>
      <c r="AW2346" s="1">
        <v>0.0</v>
      </c>
      <c r="AX2346" s="1">
        <v>5.0</v>
      </c>
      <c r="AY2346" s="1">
        <v>4.0</v>
      </c>
      <c r="BA2346" s="1">
        <v>0.0</v>
      </c>
      <c r="BB2346" s="1">
        <v>0.0</v>
      </c>
      <c r="BC2346" s="1">
        <v>0.0</v>
      </c>
      <c r="BD2346" s="1">
        <v>0.0</v>
      </c>
      <c r="BE2346" s="1">
        <v>0.0</v>
      </c>
      <c r="BF2346" s="1">
        <v>0.0</v>
      </c>
      <c r="BG2346" s="1">
        <v>0.0</v>
      </c>
      <c r="BH2346" s="1">
        <v>0.0</v>
      </c>
      <c r="BI2346" s="1">
        <v>0.0</v>
      </c>
      <c r="BJ2346" s="1">
        <v>0.0</v>
      </c>
      <c r="BP2346" s="1">
        <v>0.282</v>
      </c>
      <c r="BQ2346" s="1" t="s">
        <v>7490</v>
      </c>
      <c r="BV2346" s="1">
        <v>1.1</v>
      </c>
      <c r="EQ2346" s="9" t="s">
        <v>7489</v>
      </c>
      <c r="ER2346" s="21">
        <v>46045.30233796296</v>
      </c>
    </row>
    <row r="2347">
      <c r="A2347" s="9" t="s">
        <v>7491</v>
      </c>
      <c r="B2347" s="20" t="str">
        <f>IFERROR(__xludf.DUMMYFUNCTION("REGEXREPLACE(A2347, ""^https?://[^/]+"", """")"),"/wp-content/uploads/2018/02/wallet2.jpg")</f>
        <v>/wp-content/uploads/2018/02/wallet2.jpg</v>
      </c>
      <c r="F2347" s="1" t="s">
        <v>1004</v>
      </c>
      <c r="G2347" s="1">
        <v>200.0</v>
      </c>
      <c r="H2347" s="1" t="s">
        <v>966</v>
      </c>
      <c r="I2347" s="1" t="s">
        <v>967</v>
      </c>
      <c r="L2347" s="1">
        <v>0.0</v>
      </c>
      <c r="M2347" s="1">
        <v>0.0</v>
      </c>
      <c r="O2347" s="1">
        <v>0.0</v>
      </c>
      <c r="P2347" s="1">
        <v>0.0</v>
      </c>
      <c r="R2347" s="1">
        <v>0.0</v>
      </c>
      <c r="S2347" s="1">
        <v>0.0</v>
      </c>
      <c r="U2347" s="1">
        <v>0.0</v>
      </c>
      <c r="W2347" s="1">
        <v>0.0</v>
      </c>
      <c r="Y2347" s="1">
        <v>0.0</v>
      </c>
      <c r="AA2347" s="1">
        <v>0.0</v>
      </c>
      <c r="AC2347" s="1">
        <v>0.0</v>
      </c>
      <c r="AM2347" s="1">
        <v>126106.0</v>
      </c>
      <c r="AN2347" s="1">
        <v>126106.0</v>
      </c>
      <c r="AO2347" s="1">
        <v>126106.0</v>
      </c>
      <c r="AP2347" s="1">
        <v>48.309</v>
      </c>
      <c r="AR2347" s="1">
        <v>0.0</v>
      </c>
      <c r="AW2347" s="1">
        <v>0.0</v>
      </c>
      <c r="AX2347" s="1">
        <v>5.0</v>
      </c>
      <c r="AY2347" s="1">
        <v>4.0</v>
      </c>
      <c r="BA2347" s="1">
        <v>0.0</v>
      </c>
      <c r="BB2347" s="1">
        <v>0.0</v>
      </c>
      <c r="BC2347" s="1">
        <v>0.0</v>
      </c>
      <c r="BD2347" s="1">
        <v>0.0</v>
      </c>
      <c r="BE2347" s="1">
        <v>0.0</v>
      </c>
      <c r="BF2347" s="1">
        <v>0.0</v>
      </c>
      <c r="BG2347" s="1">
        <v>0.0</v>
      </c>
      <c r="BH2347" s="1">
        <v>0.0</v>
      </c>
      <c r="BI2347" s="1">
        <v>0.0</v>
      </c>
      <c r="BJ2347" s="1">
        <v>0.0</v>
      </c>
      <c r="BP2347" s="1">
        <v>0.268</v>
      </c>
      <c r="BQ2347" s="1" t="s">
        <v>7492</v>
      </c>
      <c r="BV2347" s="1">
        <v>1.1</v>
      </c>
      <c r="EQ2347" s="9" t="s">
        <v>7491</v>
      </c>
      <c r="ER2347" s="21">
        <v>46045.30233796296</v>
      </c>
    </row>
    <row r="2348">
      <c r="A2348" s="9" t="s">
        <v>7493</v>
      </c>
      <c r="B2348" s="20" t="str">
        <f>IFERROR(__xludf.DUMMYFUNCTION("REGEXREPLACE(A2348, ""^https?://[^/]+"", """")"),"/wp-content/themes/salesxceleratione/assets/css/style.css?ver=1769123627")</f>
        <v>/wp-content/themes/salesxceleratione/assets/css/style.css?ver=1769123627</v>
      </c>
      <c r="F2348" s="1" t="s">
        <v>1016</v>
      </c>
      <c r="G2348" s="1">
        <v>200.0</v>
      </c>
      <c r="H2348" s="1" t="s">
        <v>966</v>
      </c>
      <c r="I2348" s="1" t="s">
        <v>967</v>
      </c>
      <c r="L2348" s="1">
        <v>0.0</v>
      </c>
      <c r="M2348" s="1">
        <v>0.0</v>
      </c>
      <c r="O2348" s="1">
        <v>0.0</v>
      </c>
      <c r="P2348" s="1">
        <v>0.0</v>
      </c>
      <c r="R2348" s="1">
        <v>0.0</v>
      </c>
      <c r="S2348" s="1">
        <v>0.0</v>
      </c>
      <c r="U2348" s="1">
        <v>0.0</v>
      </c>
      <c r="W2348" s="1">
        <v>0.0</v>
      </c>
      <c r="Y2348" s="1">
        <v>0.0</v>
      </c>
      <c r="AA2348" s="1">
        <v>0.0</v>
      </c>
      <c r="AC2348" s="1">
        <v>0.0</v>
      </c>
      <c r="AM2348" s="1">
        <v>17704.0</v>
      </c>
      <c r="AN2348" s="1">
        <v>17704.0</v>
      </c>
      <c r="AO2348" s="1">
        <v>17704.0</v>
      </c>
      <c r="AP2348" s="1">
        <v>6.782</v>
      </c>
      <c r="AR2348" s="1">
        <v>0.0</v>
      </c>
      <c r="AW2348" s="1">
        <v>0.0</v>
      </c>
      <c r="AX2348" s="1">
        <v>5.0</v>
      </c>
      <c r="AY2348" s="1">
        <v>5.0</v>
      </c>
      <c r="BA2348" s="1">
        <v>0.0</v>
      </c>
      <c r="BB2348" s="1">
        <v>0.0</v>
      </c>
      <c r="BC2348" s="1">
        <v>0.0</v>
      </c>
      <c r="BD2348" s="1">
        <v>0.0</v>
      </c>
      <c r="BE2348" s="1">
        <v>0.0</v>
      </c>
      <c r="BF2348" s="1">
        <v>0.0</v>
      </c>
      <c r="BG2348" s="1">
        <v>0.0</v>
      </c>
      <c r="BH2348" s="1">
        <v>0.0</v>
      </c>
      <c r="BI2348" s="1">
        <v>0.0</v>
      </c>
      <c r="BJ2348" s="1">
        <v>0.0</v>
      </c>
      <c r="BP2348" s="1">
        <v>0.291</v>
      </c>
      <c r="BQ2348" s="1" t="s">
        <v>7494</v>
      </c>
      <c r="BV2348" s="1">
        <v>1.1</v>
      </c>
      <c r="EQ2348" s="9" t="s">
        <v>7493</v>
      </c>
      <c r="ER2348" s="21">
        <v>46045.30233796296</v>
      </c>
    </row>
    <row r="2349">
      <c r="A2349" s="9" t="s">
        <v>7495</v>
      </c>
      <c r="B2349" s="20" t="str">
        <f>IFERROR(__xludf.DUMMYFUNCTION("REGEXREPLACE(A2349, ""^https?://[^/]+"", """")"),"/wp-content/uploads/2018/04/cp.jpg")</f>
        <v>/wp-content/uploads/2018/04/cp.jpg</v>
      </c>
      <c r="F2349" s="1" t="s">
        <v>1004</v>
      </c>
      <c r="G2349" s="1">
        <v>200.0</v>
      </c>
      <c r="H2349" s="1" t="s">
        <v>966</v>
      </c>
      <c r="I2349" s="1" t="s">
        <v>967</v>
      </c>
      <c r="L2349" s="1">
        <v>0.0</v>
      </c>
      <c r="M2349" s="1">
        <v>0.0</v>
      </c>
      <c r="O2349" s="1">
        <v>0.0</v>
      </c>
      <c r="P2349" s="1">
        <v>0.0</v>
      </c>
      <c r="R2349" s="1">
        <v>0.0</v>
      </c>
      <c r="S2349" s="1">
        <v>0.0</v>
      </c>
      <c r="U2349" s="1">
        <v>0.0</v>
      </c>
      <c r="W2349" s="1">
        <v>0.0</v>
      </c>
      <c r="Y2349" s="1">
        <v>0.0</v>
      </c>
      <c r="AA2349" s="1">
        <v>0.0</v>
      </c>
      <c r="AC2349" s="1">
        <v>0.0</v>
      </c>
      <c r="AM2349" s="1">
        <v>61808.0</v>
      </c>
      <c r="AN2349" s="1">
        <v>61808.0</v>
      </c>
      <c r="AO2349" s="1">
        <v>61808.0</v>
      </c>
      <c r="AP2349" s="1">
        <v>23.677</v>
      </c>
      <c r="AR2349" s="1">
        <v>0.0</v>
      </c>
      <c r="AW2349" s="1">
        <v>0.0</v>
      </c>
      <c r="AX2349" s="1">
        <v>5.0</v>
      </c>
      <c r="AY2349" s="1">
        <v>4.0</v>
      </c>
      <c r="BA2349" s="1">
        <v>0.0</v>
      </c>
      <c r="BB2349" s="1">
        <v>0.0</v>
      </c>
      <c r="BC2349" s="1">
        <v>0.0</v>
      </c>
      <c r="BD2349" s="1">
        <v>0.0</v>
      </c>
      <c r="BE2349" s="1">
        <v>0.0</v>
      </c>
      <c r="BF2349" s="1">
        <v>0.0</v>
      </c>
      <c r="BG2349" s="1">
        <v>0.0</v>
      </c>
      <c r="BH2349" s="1">
        <v>0.0</v>
      </c>
      <c r="BI2349" s="1">
        <v>0.0</v>
      </c>
      <c r="BJ2349" s="1">
        <v>0.0</v>
      </c>
      <c r="BP2349" s="1">
        <v>0.265</v>
      </c>
      <c r="BQ2349" s="1" t="s">
        <v>7496</v>
      </c>
      <c r="BV2349" s="1">
        <v>1.1</v>
      </c>
      <c r="EQ2349" s="9" t="s">
        <v>7495</v>
      </c>
      <c r="ER2349" s="21">
        <v>46045.30233796296</v>
      </c>
    </row>
    <row r="2350">
      <c r="A2350" s="9" t="s">
        <v>7497</v>
      </c>
      <c r="B2350" s="20" t="str">
        <f>IFERROR(__xludf.DUMMYFUNCTION("REGEXREPLACE(A2350, ""^https?://[^/]+"", """")"),"/author/mwills/")</f>
        <v>/author/mwills/</v>
      </c>
      <c r="C2350" s="1" t="s">
        <v>7498</v>
      </c>
      <c r="F2350" s="1" t="s">
        <v>965</v>
      </c>
      <c r="G2350" s="1">
        <v>200.0</v>
      </c>
      <c r="H2350" s="1" t="s">
        <v>966</v>
      </c>
      <c r="I2350" s="1" t="s">
        <v>967</v>
      </c>
      <c r="K2350" s="1" t="s">
        <v>7499</v>
      </c>
      <c r="L2350" s="1">
        <v>42.0</v>
      </c>
      <c r="M2350" s="1">
        <v>371.0</v>
      </c>
      <c r="O2350" s="1">
        <v>0.0</v>
      </c>
      <c r="P2350" s="1">
        <v>0.0</v>
      </c>
      <c r="R2350" s="1">
        <v>0.0</v>
      </c>
      <c r="S2350" s="1">
        <v>0.0</v>
      </c>
      <c r="U2350" s="1">
        <v>0.0</v>
      </c>
      <c r="V2350" s="1" t="s">
        <v>7498</v>
      </c>
      <c r="W2350" s="1">
        <v>13.0</v>
      </c>
      <c r="Y2350" s="1">
        <v>0.0</v>
      </c>
      <c r="AA2350" s="1">
        <v>0.0</v>
      </c>
      <c r="AC2350" s="1">
        <v>0.0</v>
      </c>
      <c r="AD2350" s="1" t="s">
        <v>971</v>
      </c>
      <c r="AG2350" s="9" t="s">
        <v>7497</v>
      </c>
      <c r="AH2350" s="9" t="s">
        <v>7500</v>
      </c>
      <c r="AM2350" s="1">
        <v>177768.0</v>
      </c>
      <c r="AN2350" s="1">
        <v>32737.0</v>
      </c>
      <c r="AO2350" s="1">
        <v>32737.0</v>
      </c>
      <c r="AP2350" s="1">
        <v>12.541</v>
      </c>
      <c r="AR2350" s="1">
        <v>1007.0</v>
      </c>
      <c r="AS2350" s="1">
        <v>163.0</v>
      </c>
      <c r="AT2350" s="1">
        <v>6.178</v>
      </c>
      <c r="AU2350" s="1">
        <v>70.43</v>
      </c>
      <c r="AV2350" s="1" t="s">
        <v>1264</v>
      </c>
      <c r="AW2350" s="1">
        <v>4.702</v>
      </c>
      <c r="AX2350" s="1">
        <v>5.0</v>
      </c>
      <c r="AY2350" s="1">
        <v>2.0</v>
      </c>
      <c r="AZ2350" s="1">
        <v>1.0</v>
      </c>
      <c r="BA2350" s="1">
        <v>39.0</v>
      </c>
      <c r="BB2350" s="1">
        <v>13.0</v>
      </c>
      <c r="BC2350" s="1">
        <v>0.0</v>
      </c>
      <c r="BD2350" s="1">
        <v>1.72</v>
      </c>
      <c r="BE2350" s="1">
        <v>167.0</v>
      </c>
      <c r="BF2350" s="1">
        <v>57.0</v>
      </c>
      <c r="BG2350" s="1">
        <v>0.0</v>
      </c>
      <c r="BH2350" s="1">
        <v>16.0</v>
      </c>
      <c r="BI2350" s="1">
        <v>8.0</v>
      </c>
      <c r="BJ2350" s="1">
        <v>0.0</v>
      </c>
      <c r="BO2350" s="1" t="s">
        <v>7501</v>
      </c>
      <c r="BP2350" s="1">
        <v>1.581</v>
      </c>
      <c r="BU2350" s="1" t="s">
        <v>974</v>
      </c>
      <c r="BV2350" s="1">
        <v>1.1</v>
      </c>
      <c r="EQ2350" s="9" t="s">
        <v>7497</v>
      </c>
      <c r="ER2350" s="21">
        <v>46045.30233796296</v>
      </c>
    </row>
    <row r="2351">
      <c r="A2351" s="9" t="s">
        <v>7502</v>
      </c>
      <c r="B2351" s="20" t="str">
        <f>IFERROR(__xludf.DUMMYFUNCTION("REGEXREPLACE(A2351, ""^https?://[^/]+"", """")"),"/wp-content/uploads/2018/10/shutterstock_272489561.png")</f>
        <v>/wp-content/uploads/2018/10/shutterstock_272489561.png</v>
      </c>
      <c r="F2351" s="1" t="s">
        <v>1047</v>
      </c>
      <c r="G2351" s="1">
        <v>200.0</v>
      </c>
      <c r="H2351" s="1" t="s">
        <v>966</v>
      </c>
      <c r="I2351" s="1" t="s">
        <v>967</v>
      </c>
      <c r="L2351" s="1">
        <v>0.0</v>
      </c>
      <c r="M2351" s="1">
        <v>0.0</v>
      </c>
      <c r="O2351" s="1">
        <v>0.0</v>
      </c>
      <c r="P2351" s="1">
        <v>0.0</v>
      </c>
      <c r="R2351" s="1">
        <v>0.0</v>
      </c>
      <c r="S2351" s="1">
        <v>0.0</v>
      </c>
      <c r="U2351" s="1">
        <v>0.0</v>
      </c>
      <c r="W2351" s="1">
        <v>0.0</v>
      </c>
      <c r="Y2351" s="1">
        <v>0.0</v>
      </c>
      <c r="AA2351" s="1">
        <v>0.0</v>
      </c>
      <c r="AC2351" s="1">
        <v>0.0</v>
      </c>
      <c r="AM2351" s="1">
        <v>90256.0</v>
      </c>
      <c r="AN2351" s="1">
        <v>90256.0</v>
      </c>
      <c r="AO2351" s="1">
        <v>90256.0</v>
      </c>
      <c r="AP2351" s="1">
        <v>34.575</v>
      </c>
      <c r="AR2351" s="1">
        <v>0.0</v>
      </c>
      <c r="AW2351" s="1">
        <v>0.0</v>
      </c>
      <c r="AX2351" s="1">
        <v>5.0</v>
      </c>
      <c r="AY2351" s="1">
        <v>4.0</v>
      </c>
      <c r="BA2351" s="1">
        <v>0.0</v>
      </c>
      <c r="BB2351" s="1">
        <v>0.0</v>
      </c>
      <c r="BC2351" s="1">
        <v>0.0</v>
      </c>
      <c r="BD2351" s="1">
        <v>0.0</v>
      </c>
      <c r="BE2351" s="1">
        <v>0.0</v>
      </c>
      <c r="BF2351" s="1">
        <v>0.0</v>
      </c>
      <c r="BG2351" s="1">
        <v>0.0</v>
      </c>
      <c r="BH2351" s="1">
        <v>0.0</v>
      </c>
      <c r="BI2351" s="1">
        <v>0.0</v>
      </c>
      <c r="BJ2351" s="1">
        <v>0.0</v>
      </c>
      <c r="BP2351" s="1">
        <v>0.282</v>
      </c>
      <c r="BQ2351" s="1" t="s">
        <v>7503</v>
      </c>
      <c r="BV2351" s="1">
        <v>1.1</v>
      </c>
      <c r="EQ2351" s="9" t="s">
        <v>7502</v>
      </c>
      <c r="ER2351" s="21">
        <v>46045.30236111111</v>
      </c>
    </row>
    <row r="2352">
      <c r="A2352" s="9" t="s">
        <v>7504</v>
      </c>
      <c r="B2352" s="20" t="str">
        <f>IFERROR(__xludf.DUMMYFUNCTION("REGEXREPLACE(A2352, ""^https?://[^/]+"", """")"),"/wp-content/uploads/2019/11/itsallaboutrelationships.jpg")</f>
        <v>/wp-content/uploads/2019/11/itsallaboutrelationships.jpg</v>
      </c>
      <c r="F2352" s="1" t="s">
        <v>1004</v>
      </c>
      <c r="G2352" s="1">
        <v>200.0</v>
      </c>
      <c r="H2352" s="1" t="s">
        <v>966</v>
      </c>
      <c r="I2352" s="1" t="s">
        <v>967</v>
      </c>
      <c r="L2352" s="1">
        <v>0.0</v>
      </c>
      <c r="M2352" s="1">
        <v>0.0</v>
      </c>
      <c r="O2352" s="1">
        <v>0.0</v>
      </c>
      <c r="P2352" s="1">
        <v>0.0</v>
      </c>
      <c r="R2352" s="1">
        <v>0.0</v>
      </c>
      <c r="S2352" s="1">
        <v>0.0</v>
      </c>
      <c r="U2352" s="1">
        <v>0.0</v>
      </c>
      <c r="W2352" s="1">
        <v>0.0</v>
      </c>
      <c r="Y2352" s="1">
        <v>0.0</v>
      </c>
      <c r="AA2352" s="1">
        <v>0.0</v>
      </c>
      <c r="AC2352" s="1">
        <v>0.0</v>
      </c>
      <c r="AM2352" s="1">
        <v>44080.0</v>
      </c>
      <c r="AN2352" s="1">
        <v>44080.0</v>
      </c>
      <c r="AO2352" s="1">
        <v>44080.0</v>
      </c>
      <c r="AP2352" s="1">
        <v>16.886</v>
      </c>
      <c r="AR2352" s="1">
        <v>0.0</v>
      </c>
      <c r="AW2352" s="1">
        <v>0.0</v>
      </c>
      <c r="AX2352" s="1">
        <v>5.0</v>
      </c>
      <c r="AY2352" s="1">
        <v>4.0</v>
      </c>
      <c r="BA2352" s="1">
        <v>0.0</v>
      </c>
      <c r="BB2352" s="1">
        <v>0.0</v>
      </c>
      <c r="BC2352" s="1">
        <v>0.0</v>
      </c>
      <c r="BD2352" s="1">
        <v>0.0</v>
      </c>
      <c r="BE2352" s="1">
        <v>0.0</v>
      </c>
      <c r="BF2352" s="1">
        <v>0.0</v>
      </c>
      <c r="BG2352" s="1">
        <v>0.0</v>
      </c>
      <c r="BH2352" s="1">
        <v>0.0</v>
      </c>
      <c r="BI2352" s="1">
        <v>0.0</v>
      </c>
      <c r="BJ2352" s="1">
        <v>0.0</v>
      </c>
      <c r="BP2352" s="1">
        <v>0.323</v>
      </c>
      <c r="BQ2352" s="1" t="s">
        <v>5987</v>
      </c>
      <c r="BV2352" s="1">
        <v>1.1</v>
      </c>
      <c r="EQ2352" s="9" t="s">
        <v>7504</v>
      </c>
      <c r="ER2352" s="21">
        <v>46045.30236111111</v>
      </c>
    </row>
    <row r="2353">
      <c r="A2353" s="9" t="s">
        <v>7505</v>
      </c>
      <c r="B2353" s="20" t="str">
        <f>IFERROR(__xludf.DUMMYFUNCTION("REGEXREPLACE(A2353, ""^https?://[^/]+"", """")"),"/infographics/the-value-of-customer-relationships/")</f>
        <v>/infographics/the-value-of-customer-relationships/</v>
      </c>
      <c r="F2353" s="1" t="s">
        <v>965</v>
      </c>
      <c r="G2353" s="1">
        <v>302.0</v>
      </c>
      <c r="H2353" s="1" t="s">
        <v>2980</v>
      </c>
      <c r="I2353" s="1" t="s">
        <v>1214</v>
      </c>
      <c r="J2353" s="1" t="s">
        <v>1305</v>
      </c>
      <c r="L2353" s="1">
        <v>0.0</v>
      </c>
      <c r="M2353" s="1">
        <v>0.0</v>
      </c>
      <c r="O2353" s="1">
        <v>0.0</v>
      </c>
      <c r="P2353" s="1">
        <v>0.0</v>
      </c>
      <c r="R2353" s="1">
        <v>0.0</v>
      </c>
      <c r="S2353" s="1">
        <v>0.0</v>
      </c>
      <c r="U2353" s="1">
        <v>0.0</v>
      </c>
      <c r="W2353" s="1">
        <v>0.0</v>
      </c>
      <c r="Y2353" s="1">
        <v>0.0</v>
      </c>
      <c r="AA2353" s="1">
        <v>0.0</v>
      </c>
      <c r="AC2353" s="1">
        <v>0.0</v>
      </c>
      <c r="AM2353" s="1">
        <v>0.0</v>
      </c>
      <c r="AN2353" s="1">
        <v>0.0</v>
      </c>
      <c r="AO2353" s="1">
        <v>0.0</v>
      </c>
      <c r="AP2353" s="1">
        <v>0.0</v>
      </c>
      <c r="AR2353" s="1">
        <v>0.0</v>
      </c>
      <c r="AW2353" s="1">
        <v>0.0</v>
      </c>
      <c r="AX2353" s="1">
        <v>5.0</v>
      </c>
      <c r="AY2353" s="1">
        <v>2.0</v>
      </c>
      <c r="BA2353" s="1">
        <v>1.0</v>
      </c>
      <c r="BB2353" s="1">
        <v>1.0</v>
      </c>
      <c r="BC2353" s="1">
        <v>0.0</v>
      </c>
      <c r="BD2353" s="1">
        <v>0.13</v>
      </c>
      <c r="BE2353" s="1">
        <v>0.0</v>
      </c>
      <c r="BF2353" s="1">
        <v>0.0</v>
      </c>
      <c r="BG2353" s="1">
        <v>0.0</v>
      </c>
      <c r="BH2353" s="1">
        <v>0.0</v>
      </c>
      <c r="BI2353" s="1">
        <v>0.0</v>
      </c>
      <c r="BJ2353" s="1">
        <v>0.0</v>
      </c>
      <c r="BP2353" s="1">
        <v>0.588</v>
      </c>
      <c r="BR2353" s="9" t="s">
        <v>7506</v>
      </c>
      <c r="BS2353" s="1" t="s">
        <v>1307</v>
      </c>
      <c r="BV2353" s="1">
        <v>1.1</v>
      </c>
      <c r="EQ2353" s="9" t="s">
        <v>7505</v>
      </c>
      <c r="ER2353" s="21">
        <v>46045.30236111111</v>
      </c>
    </row>
    <row r="2354">
      <c r="A2354" s="9" t="s">
        <v>7507</v>
      </c>
      <c r="B2354" s="20" t="str">
        <f>IFERROR(__xludf.DUMMYFUNCTION("REGEXREPLACE(A2354, ""^https?://[^/]+"", """")"),"/wp-content/themes/salesxceleratione/assets/css/style.css?ver=1769123628")</f>
        <v>/wp-content/themes/salesxceleratione/assets/css/style.css?ver=1769123628</v>
      </c>
      <c r="F2354" s="1" t="s">
        <v>1016</v>
      </c>
      <c r="G2354" s="1">
        <v>200.0</v>
      </c>
      <c r="H2354" s="1" t="s">
        <v>966</v>
      </c>
      <c r="I2354" s="1" t="s">
        <v>967</v>
      </c>
      <c r="L2354" s="1">
        <v>0.0</v>
      </c>
      <c r="M2354" s="1">
        <v>0.0</v>
      </c>
      <c r="O2354" s="1">
        <v>0.0</v>
      </c>
      <c r="P2354" s="1">
        <v>0.0</v>
      </c>
      <c r="R2354" s="1">
        <v>0.0</v>
      </c>
      <c r="S2354" s="1">
        <v>0.0</v>
      </c>
      <c r="U2354" s="1">
        <v>0.0</v>
      </c>
      <c r="W2354" s="1">
        <v>0.0</v>
      </c>
      <c r="Y2354" s="1">
        <v>0.0</v>
      </c>
      <c r="AA2354" s="1">
        <v>0.0</v>
      </c>
      <c r="AC2354" s="1">
        <v>0.0</v>
      </c>
      <c r="AM2354" s="1">
        <v>17704.0</v>
      </c>
      <c r="AN2354" s="1">
        <v>17704.0</v>
      </c>
      <c r="AO2354" s="1">
        <v>17704.0</v>
      </c>
      <c r="AP2354" s="1">
        <v>6.782</v>
      </c>
      <c r="AR2354" s="1">
        <v>0.0</v>
      </c>
      <c r="AW2354" s="1">
        <v>0.0</v>
      </c>
      <c r="AX2354" s="1">
        <v>5.0</v>
      </c>
      <c r="AY2354" s="1">
        <v>5.0</v>
      </c>
      <c r="BA2354" s="1">
        <v>0.0</v>
      </c>
      <c r="BB2354" s="1">
        <v>0.0</v>
      </c>
      <c r="BC2354" s="1">
        <v>0.0</v>
      </c>
      <c r="BD2354" s="1">
        <v>0.0</v>
      </c>
      <c r="BE2354" s="1">
        <v>0.0</v>
      </c>
      <c r="BF2354" s="1">
        <v>0.0</v>
      </c>
      <c r="BG2354" s="1">
        <v>0.0</v>
      </c>
      <c r="BH2354" s="1">
        <v>0.0</v>
      </c>
      <c r="BI2354" s="1">
        <v>0.0</v>
      </c>
      <c r="BJ2354" s="1">
        <v>0.0</v>
      </c>
      <c r="BP2354" s="1">
        <v>0.272</v>
      </c>
      <c r="BQ2354" s="1" t="s">
        <v>7508</v>
      </c>
      <c r="BV2354" s="1">
        <v>1.1</v>
      </c>
      <c r="EQ2354" s="9" t="s">
        <v>7507</v>
      </c>
      <c r="ER2354" s="21">
        <v>46045.30236111111</v>
      </c>
    </row>
    <row r="2355">
      <c r="A2355" s="9" t="s">
        <v>7509</v>
      </c>
      <c r="B2355" s="20" t="str">
        <f>IFERROR(__xludf.DUMMYFUNCTION("REGEXREPLACE(A2355, ""^https?://[^/]+"", """")"),"/wp-content/uploads/2018/06/Small_Business_Challenges.jpg")</f>
        <v>/wp-content/uploads/2018/06/Small_Business_Challenges.jpg</v>
      </c>
      <c r="F2355" s="1" t="s">
        <v>1004</v>
      </c>
      <c r="G2355" s="1">
        <v>200.0</v>
      </c>
      <c r="H2355" s="1" t="s">
        <v>966</v>
      </c>
      <c r="I2355" s="1" t="s">
        <v>967</v>
      </c>
      <c r="L2355" s="1">
        <v>0.0</v>
      </c>
      <c r="M2355" s="1">
        <v>0.0</v>
      </c>
      <c r="O2355" s="1">
        <v>0.0</v>
      </c>
      <c r="P2355" s="1">
        <v>0.0</v>
      </c>
      <c r="R2355" s="1">
        <v>0.0</v>
      </c>
      <c r="S2355" s="1">
        <v>0.0</v>
      </c>
      <c r="U2355" s="1">
        <v>0.0</v>
      </c>
      <c r="W2355" s="1">
        <v>0.0</v>
      </c>
      <c r="Y2355" s="1">
        <v>0.0</v>
      </c>
      <c r="AA2355" s="1">
        <v>0.0</v>
      </c>
      <c r="AC2355" s="1">
        <v>0.0</v>
      </c>
      <c r="AM2355" s="1">
        <v>49076.0</v>
      </c>
      <c r="AN2355" s="1">
        <v>49076.0</v>
      </c>
      <c r="AO2355" s="1">
        <v>49076.0</v>
      </c>
      <c r="AP2355" s="1">
        <v>18.8</v>
      </c>
      <c r="AR2355" s="1">
        <v>0.0</v>
      </c>
      <c r="AW2355" s="1">
        <v>0.0</v>
      </c>
      <c r="AX2355" s="1">
        <v>5.0</v>
      </c>
      <c r="AY2355" s="1">
        <v>4.0</v>
      </c>
      <c r="BA2355" s="1">
        <v>0.0</v>
      </c>
      <c r="BB2355" s="1">
        <v>0.0</v>
      </c>
      <c r="BC2355" s="1">
        <v>0.0</v>
      </c>
      <c r="BD2355" s="1">
        <v>0.0</v>
      </c>
      <c r="BE2355" s="1">
        <v>0.0</v>
      </c>
      <c r="BF2355" s="1">
        <v>0.0</v>
      </c>
      <c r="BG2355" s="1">
        <v>0.0</v>
      </c>
      <c r="BH2355" s="1">
        <v>0.0</v>
      </c>
      <c r="BI2355" s="1">
        <v>0.0</v>
      </c>
      <c r="BJ2355" s="1">
        <v>0.0</v>
      </c>
      <c r="BP2355" s="1">
        <v>0.279</v>
      </c>
      <c r="BQ2355" s="1" t="s">
        <v>5980</v>
      </c>
      <c r="BV2355" s="1">
        <v>1.1</v>
      </c>
      <c r="EQ2355" s="9" t="s">
        <v>7509</v>
      </c>
      <c r="ER2355" s="21">
        <v>46045.30237268518</v>
      </c>
    </row>
    <row r="2356">
      <c r="A2356" s="9" t="s">
        <v>7510</v>
      </c>
      <c r="B2356" s="20" t="str">
        <f>IFERROR(__xludf.DUMMYFUNCTION("REGEXREPLACE(A2356, ""^https?://[^/]+"", """")"),"/wp-content/uploads/2017/05/SinkOrSwimBlog-1-2048x2048.jpg")</f>
        <v>/wp-content/uploads/2017/05/SinkOrSwimBlog-1-2048x2048.jpg</v>
      </c>
      <c r="F2356" s="1" t="s">
        <v>1004</v>
      </c>
      <c r="G2356" s="1">
        <v>200.0</v>
      </c>
      <c r="H2356" s="1" t="s">
        <v>966</v>
      </c>
      <c r="I2356" s="1" t="s">
        <v>967</v>
      </c>
      <c r="L2356" s="1">
        <v>0.0</v>
      </c>
      <c r="M2356" s="1">
        <v>0.0</v>
      </c>
      <c r="O2356" s="1">
        <v>0.0</v>
      </c>
      <c r="P2356" s="1">
        <v>0.0</v>
      </c>
      <c r="R2356" s="1">
        <v>0.0</v>
      </c>
      <c r="S2356" s="1">
        <v>0.0</v>
      </c>
      <c r="U2356" s="1">
        <v>0.0</v>
      </c>
      <c r="W2356" s="1">
        <v>0.0</v>
      </c>
      <c r="Y2356" s="1">
        <v>0.0</v>
      </c>
      <c r="AA2356" s="1">
        <v>0.0</v>
      </c>
      <c r="AC2356" s="1">
        <v>0.0</v>
      </c>
      <c r="AM2356" s="1">
        <v>282391.0</v>
      </c>
      <c r="AN2356" s="1">
        <v>282391.0</v>
      </c>
      <c r="AO2356" s="1">
        <v>282391.0</v>
      </c>
      <c r="AP2356" s="1">
        <v>108.179</v>
      </c>
      <c r="AR2356" s="1">
        <v>0.0</v>
      </c>
      <c r="AW2356" s="1">
        <v>0.0</v>
      </c>
      <c r="AX2356" s="1">
        <v>5.0</v>
      </c>
      <c r="AY2356" s="1">
        <v>4.0</v>
      </c>
      <c r="BA2356" s="1">
        <v>0.0</v>
      </c>
      <c r="BB2356" s="1">
        <v>0.0</v>
      </c>
      <c r="BC2356" s="1">
        <v>0.0</v>
      </c>
      <c r="BD2356" s="1">
        <v>0.0</v>
      </c>
      <c r="BE2356" s="1">
        <v>0.0</v>
      </c>
      <c r="BF2356" s="1">
        <v>0.0</v>
      </c>
      <c r="BG2356" s="1">
        <v>0.0</v>
      </c>
      <c r="BH2356" s="1">
        <v>0.0</v>
      </c>
      <c r="BI2356" s="1">
        <v>0.0</v>
      </c>
      <c r="BJ2356" s="1">
        <v>0.0</v>
      </c>
      <c r="BP2356" s="1">
        <v>0.277</v>
      </c>
      <c r="BQ2356" s="1" t="s">
        <v>7511</v>
      </c>
      <c r="BV2356" s="1">
        <v>1.1</v>
      </c>
      <c r="EQ2356" s="9" t="s">
        <v>7510</v>
      </c>
      <c r="ER2356" s="21">
        <v>46045.30237268518</v>
      </c>
    </row>
    <row r="2357">
      <c r="A2357" s="9" t="s">
        <v>7512</v>
      </c>
      <c r="B2357" s="20" t="str">
        <f>IFERROR(__xludf.DUMMYFUNCTION("REGEXREPLACE(A2357, ""^https?://[^/]+"", """")"),"/sink-swim-not-effective-onboarding-plan-new-sales-representatives/")</f>
        <v>/sink-swim-not-effective-onboarding-plan-new-sales-representatives/</v>
      </c>
      <c r="C2357" s="1" t="s">
        <v>7513</v>
      </c>
      <c r="F2357" s="1" t="s">
        <v>965</v>
      </c>
      <c r="G2357" s="1">
        <v>200.0</v>
      </c>
      <c r="H2357" s="1" t="s">
        <v>966</v>
      </c>
      <c r="I2357" s="1" t="s">
        <v>967</v>
      </c>
      <c r="K2357" s="1" t="s">
        <v>7514</v>
      </c>
      <c r="L2357" s="1">
        <v>105.0</v>
      </c>
      <c r="M2357" s="1">
        <v>942.0</v>
      </c>
      <c r="O2357" s="1">
        <v>0.0</v>
      </c>
      <c r="P2357" s="1">
        <v>0.0</v>
      </c>
      <c r="Q2357" s="1" t="s">
        <v>7515</v>
      </c>
      <c r="R2357" s="1">
        <v>151.0</v>
      </c>
      <c r="S2357" s="1">
        <v>946.0</v>
      </c>
      <c r="U2357" s="1">
        <v>0.0</v>
      </c>
      <c r="V2357" s="1" t="s">
        <v>7513</v>
      </c>
      <c r="W2357" s="1">
        <v>80.0</v>
      </c>
      <c r="Y2357" s="1">
        <v>0.0</v>
      </c>
      <c r="AA2357" s="1">
        <v>0.0</v>
      </c>
      <c r="AC2357" s="1">
        <v>0.0</v>
      </c>
      <c r="AD2357" s="1" t="s">
        <v>971</v>
      </c>
      <c r="AG2357" s="9" t="s">
        <v>7512</v>
      </c>
      <c r="AM2357" s="1">
        <v>204155.0</v>
      </c>
      <c r="AN2357" s="1">
        <v>37292.0</v>
      </c>
      <c r="AO2357" s="1">
        <v>37292.0</v>
      </c>
      <c r="AP2357" s="1">
        <v>14.286</v>
      </c>
      <c r="AR2357" s="1">
        <v>1844.0</v>
      </c>
      <c r="AS2357" s="1">
        <v>249.0</v>
      </c>
      <c r="AT2357" s="1">
        <v>7.406</v>
      </c>
      <c r="AU2357" s="1">
        <v>69.528</v>
      </c>
      <c r="AV2357" s="1" t="s">
        <v>990</v>
      </c>
      <c r="AW2357" s="1">
        <v>6.582</v>
      </c>
      <c r="AX2357" s="1">
        <v>5.0</v>
      </c>
      <c r="AY2357" s="1">
        <v>1.0</v>
      </c>
      <c r="AZ2357" s="1">
        <v>1.0</v>
      </c>
      <c r="BA2357" s="1">
        <v>4.0</v>
      </c>
      <c r="BB2357" s="1">
        <v>2.0</v>
      </c>
      <c r="BC2357" s="1">
        <v>0.0</v>
      </c>
      <c r="BD2357" s="1">
        <v>0.27</v>
      </c>
      <c r="BE2357" s="1">
        <v>131.0</v>
      </c>
      <c r="BF2357" s="1">
        <v>48.0</v>
      </c>
      <c r="BG2357" s="1">
        <v>0.0</v>
      </c>
      <c r="BH2357" s="1">
        <v>17.0</v>
      </c>
      <c r="BI2357" s="1">
        <v>9.0</v>
      </c>
      <c r="BJ2357" s="1">
        <v>0.0</v>
      </c>
      <c r="BO2357" s="1" t="s">
        <v>7516</v>
      </c>
      <c r="BP2357" s="1">
        <v>1.053</v>
      </c>
      <c r="BU2357" s="1" t="s">
        <v>974</v>
      </c>
      <c r="BV2357" s="1">
        <v>1.1</v>
      </c>
      <c r="EQ2357" s="9" t="s">
        <v>7512</v>
      </c>
      <c r="ER2357" s="21">
        <v>46045.30237268518</v>
      </c>
    </row>
    <row r="2358">
      <c r="A2358" s="9" t="s">
        <v>7517</v>
      </c>
      <c r="B2358" s="20" t="str">
        <f>IFERROR(__xludf.DUMMYFUNCTION("REGEXREPLACE(A2358, ""^https?://[^/]+"", """")"),"/wp-content/uploads/2018/01/Need-a-salesperson-650-x-325-72-dpi-2048x2048.jpg")</f>
        <v>/wp-content/uploads/2018/01/Need-a-salesperson-650-x-325-72-dpi-2048x2048.jpg</v>
      </c>
      <c r="F2358" s="1" t="s">
        <v>1004</v>
      </c>
      <c r="G2358" s="1">
        <v>200.0</v>
      </c>
      <c r="H2358" s="1" t="s">
        <v>966</v>
      </c>
      <c r="I2358" s="1" t="s">
        <v>967</v>
      </c>
      <c r="L2358" s="1">
        <v>0.0</v>
      </c>
      <c r="M2358" s="1">
        <v>0.0</v>
      </c>
      <c r="O2358" s="1">
        <v>0.0</v>
      </c>
      <c r="P2358" s="1">
        <v>0.0</v>
      </c>
      <c r="R2358" s="1">
        <v>0.0</v>
      </c>
      <c r="S2358" s="1">
        <v>0.0</v>
      </c>
      <c r="U2358" s="1">
        <v>0.0</v>
      </c>
      <c r="W2358" s="1">
        <v>0.0</v>
      </c>
      <c r="Y2358" s="1">
        <v>0.0</v>
      </c>
      <c r="AA2358" s="1">
        <v>0.0</v>
      </c>
      <c r="AC2358" s="1">
        <v>0.0</v>
      </c>
      <c r="AM2358" s="1">
        <v>205626.0</v>
      </c>
      <c r="AN2358" s="1">
        <v>205626.0</v>
      </c>
      <c r="AO2358" s="1">
        <v>205626.0</v>
      </c>
      <c r="AP2358" s="1">
        <v>78.771</v>
      </c>
      <c r="AR2358" s="1">
        <v>0.0</v>
      </c>
      <c r="AW2358" s="1">
        <v>0.0</v>
      </c>
      <c r="AX2358" s="1">
        <v>5.0</v>
      </c>
      <c r="AY2358" s="1">
        <v>4.0</v>
      </c>
      <c r="BA2358" s="1">
        <v>0.0</v>
      </c>
      <c r="BB2358" s="1">
        <v>0.0</v>
      </c>
      <c r="BC2358" s="1">
        <v>0.0</v>
      </c>
      <c r="BD2358" s="1">
        <v>0.0</v>
      </c>
      <c r="BE2358" s="1">
        <v>0.0</v>
      </c>
      <c r="BF2358" s="1">
        <v>0.0</v>
      </c>
      <c r="BG2358" s="1">
        <v>0.0</v>
      </c>
      <c r="BH2358" s="1">
        <v>0.0</v>
      </c>
      <c r="BI2358" s="1">
        <v>0.0</v>
      </c>
      <c r="BJ2358" s="1">
        <v>0.0</v>
      </c>
      <c r="BP2358" s="1">
        <v>0.29</v>
      </c>
      <c r="BQ2358" s="1" t="s">
        <v>7518</v>
      </c>
      <c r="BV2358" s="1">
        <v>1.1</v>
      </c>
      <c r="EQ2358" s="9" t="s">
        <v>7517</v>
      </c>
      <c r="ER2358" s="21">
        <v>46045.30238425926</v>
      </c>
    </row>
    <row r="2359">
      <c r="A2359" s="9" t="s">
        <v>7519</v>
      </c>
      <c r="B2359" s="20" t="str">
        <f>IFERROR(__xludf.DUMMYFUNCTION("REGEXREPLACE(A2359, ""^https?://[^/]+"", """")"),"/wp-content/uploads/2016/10/Hiring-a-Salesperson-Break-Down-Barriers-RS-72-560-x-225-2048x2048.jpg")</f>
        <v>/wp-content/uploads/2016/10/Hiring-a-Salesperson-Break-Down-Barriers-RS-72-560-x-225-2048x2048.jpg</v>
      </c>
      <c r="F2359" s="1" t="s">
        <v>1004</v>
      </c>
      <c r="G2359" s="1">
        <v>200.0</v>
      </c>
      <c r="H2359" s="1" t="s">
        <v>966</v>
      </c>
      <c r="I2359" s="1" t="s">
        <v>967</v>
      </c>
      <c r="L2359" s="1">
        <v>0.0</v>
      </c>
      <c r="M2359" s="1">
        <v>0.0</v>
      </c>
      <c r="O2359" s="1">
        <v>0.0</v>
      </c>
      <c r="P2359" s="1">
        <v>0.0</v>
      </c>
      <c r="R2359" s="1">
        <v>0.0</v>
      </c>
      <c r="S2359" s="1">
        <v>0.0</v>
      </c>
      <c r="U2359" s="1">
        <v>0.0</v>
      </c>
      <c r="W2359" s="1">
        <v>0.0</v>
      </c>
      <c r="Y2359" s="1">
        <v>0.0</v>
      </c>
      <c r="AA2359" s="1">
        <v>0.0</v>
      </c>
      <c r="AC2359" s="1">
        <v>0.0</v>
      </c>
      <c r="AM2359" s="1">
        <v>236029.0</v>
      </c>
      <c r="AN2359" s="1">
        <v>236029.0</v>
      </c>
      <c r="AO2359" s="1">
        <v>236029.0</v>
      </c>
      <c r="AP2359" s="1">
        <v>90.418</v>
      </c>
      <c r="AR2359" s="1">
        <v>0.0</v>
      </c>
      <c r="AW2359" s="1">
        <v>0.0</v>
      </c>
      <c r="AX2359" s="1">
        <v>5.0</v>
      </c>
      <c r="AY2359" s="1">
        <v>4.0</v>
      </c>
      <c r="BA2359" s="1">
        <v>0.0</v>
      </c>
      <c r="BB2359" s="1">
        <v>0.0</v>
      </c>
      <c r="BC2359" s="1">
        <v>0.0</v>
      </c>
      <c r="BD2359" s="1">
        <v>0.0</v>
      </c>
      <c r="BE2359" s="1">
        <v>0.0</v>
      </c>
      <c r="BF2359" s="1">
        <v>0.0</v>
      </c>
      <c r="BG2359" s="1">
        <v>0.0</v>
      </c>
      <c r="BH2359" s="1">
        <v>0.0</v>
      </c>
      <c r="BI2359" s="1">
        <v>0.0</v>
      </c>
      <c r="BJ2359" s="1">
        <v>0.0</v>
      </c>
      <c r="BP2359" s="1">
        <v>0.267</v>
      </c>
      <c r="BQ2359" s="1" t="s">
        <v>7520</v>
      </c>
      <c r="BV2359" s="1">
        <v>1.1</v>
      </c>
      <c r="EQ2359" s="9" t="s">
        <v>7519</v>
      </c>
      <c r="ER2359" s="21">
        <v>46045.30238425926</v>
      </c>
    </row>
    <row r="2360">
      <c r="A2360" s="9" t="s">
        <v>7521</v>
      </c>
      <c r="B2360" s="20" t="str">
        <f>IFERROR(__xludf.DUMMYFUNCTION("REGEXREPLACE(A2360, ""^https?://[^/]+"", """")"),"/problems-we-solve/who-we-help/")</f>
        <v>/problems-we-solve/who-we-help/</v>
      </c>
      <c r="F2360" s="1" t="s">
        <v>965</v>
      </c>
      <c r="G2360" s="1">
        <v>404.0</v>
      </c>
      <c r="H2360" s="1" t="s">
        <v>2067</v>
      </c>
      <c r="I2360" s="1" t="s">
        <v>1214</v>
      </c>
      <c r="J2360" s="1" t="s">
        <v>2068</v>
      </c>
      <c r="L2360" s="1">
        <v>0.0</v>
      </c>
      <c r="M2360" s="1">
        <v>0.0</v>
      </c>
      <c r="O2360" s="1">
        <v>0.0</v>
      </c>
      <c r="P2360" s="1">
        <v>0.0</v>
      </c>
      <c r="R2360" s="1">
        <v>0.0</v>
      </c>
      <c r="S2360" s="1">
        <v>0.0</v>
      </c>
      <c r="U2360" s="1">
        <v>0.0</v>
      </c>
      <c r="W2360" s="1">
        <v>0.0</v>
      </c>
      <c r="Y2360" s="1">
        <v>0.0</v>
      </c>
      <c r="AA2360" s="1">
        <v>0.0</v>
      </c>
      <c r="AC2360" s="1">
        <v>0.0</v>
      </c>
      <c r="AM2360" s="1">
        <v>0.0</v>
      </c>
      <c r="AN2360" s="1">
        <v>0.0</v>
      </c>
      <c r="AO2360" s="1">
        <v>0.0</v>
      </c>
      <c r="AP2360" s="1">
        <v>0.0</v>
      </c>
      <c r="AR2360" s="1">
        <v>0.0</v>
      </c>
      <c r="AW2360" s="1">
        <v>0.0</v>
      </c>
      <c r="AX2360" s="1">
        <v>5.0</v>
      </c>
      <c r="AY2360" s="1">
        <v>2.0</v>
      </c>
      <c r="AZ2360" s="1">
        <v>1.0</v>
      </c>
      <c r="BA2360" s="1">
        <v>1.0</v>
      </c>
      <c r="BB2360" s="1">
        <v>1.0</v>
      </c>
      <c r="BC2360" s="1">
        <v>0.0</v>
      </c>
      <c r="BD2360" s="1">
        <v>0.13</v>
      </c>
      <c r="BE2360" s="1">
        <v>0.0</v>
      </c>
      <c r="BF2360" s="1">
        <v>0.0</v>
      </c>
      <c r="BG2360" s="1">
        <v>0.0</v>
      </c>
      <c r="BH2360" s="1">
        <v>0.0</v>
      </c>
      <c r="BI2360" s="1">
        <v>0.0</v>
      </c>
      <c r="BJ2360" s="1">
        <v>0.0</v>
      </c>
      <c r="BP2360" s="1">
        <v>1.412</v>
      </c>
      <c r="BV2360" s="1">
        <v>1.1</v>
      </c>
      <c r="EQ2360" s="9" t="s">
        <v>7521</v>
      </c>
      <c r="ER2360" s="21">
        <v>46045.30237268518</v>
      </c>
    </row>
    <row r="2361">
      <c r="A2361" s="9" t="s">
        <v>7522</v>
      </c>
      <c r="B2361" s="20" t="str">
        <f>IFERROR(__xludf.DUMMYFUNCTION("REGEXREPLACE(A2361, ""^https?://[^/]+"", """")"),"/wp-content/uploads/2017/03/Sales_Consulting_101.jpg")</f>
        <v>/wp-content/uploads/2017/03/Sales_Consulting_101.jpg</v>
      </c>
      <c r="F2361" s="1" t="s">
        <v>1004</v>
      </c>
      <c r="G2361" s="1">
        <v>200.0</v>
      </c>
      <c r="H2361" s="1" t="s">
        <v>966</v>
      </c>
      <c r="I2361" s="1" t="s">
        <v>967</v>
      </c>
      <c r="L2361" s="1">
        <v>0.0</v>
      </c>
      <c r="M2361" s="1">
        <v>0.0</v>
      </c>
      <c r="O2361" s="1">
        <v>0.0</v>
      </c>
      <c r="P2361" s="1">
        <v>0.0</v>
      </c>
      <c r="R2361" s="1">
        <v>0.0</v>
      </c>
      <c r="S2361" s="1">
        <v>0.0</v>
      </c>
      <c r="U2361" s="1">
        <v>0.0</v>
      </c>
      <c r="W2361" s="1">
        <v>0.0</v>
      </c>
      <c r="Y2361" s="1">
        <v>0.0</v>
      </c>
      <c r="AA2361" s="1">
        <v>0.0</v>
      </c>
      <c r="AC2361" s="1">
        <v>0.0</v>
      </c>
      <c r="AM2361" s="1">
        <v>45640.0</v>
      </c>
      <c r="AN2361" s="1">
        <v>45640.0</v>
      </c>
      <c r="AO2361" s="1">
        <v>45640.0</v>
      </c>
      <c r="AP2361" s="1">
        <v>17.484</v>
      </c>
      <c r="AR2361" s="1">
        <v>0.0</v>
      </c>
      <c r="AW2361" s="1">
        <v>0.0</v>
      </c>
      <c r="AX2361" s="1">
        <v>5.0</v>
      </c>
      <c r="AY2361" s="1">
        <v>4.0</v>
      </c>
      <c r="BA2361" s="1">
        <v>0.0</v>
      </c>
      <c r="BB2361" s="1">
        <v>0.0</v>
      </c>
      <c r="BC2361" s="1">
        <v>0.0</v>
      </c>
      <c r="BD2361" s="1">
        <v>0.0</v>
      </c>
      <c r="BE2361" s="1">
        <v>0.0</v>
      </c>
      <c r="BF2361" s="1">
        <v>0.0</v>
      </c>
      <c r="BG2361" s="1">
        <v>0.0</v>
      </c>
      <c r="BH2361" s="1">
        <v>0.0</v>
      </c>
      <c r="BI2361" s="1">
        <v>0.0</v>
      </c>
      <c r="BJ2361" s="1">
        <v>0.0</v>
      </c>
      <c r="BP2361" s="1">
        <v>0.265</v>
      </c>
      <c r="BQ2361" s="1" t="s">
        <v>7523</v>
      </c>
      <c r="BV2361" s="1">
        <v>1.1</v>
      </c>
      <c r="EQ2361" s="9" t="s">
        <v>7522</v>
      </c>
      <c r="ER2361" s="21">
        <v>46045.30238425926</v>
      </c>
    </row>
    <row r="2362">
      <c r="A2362" s="9" t="s">
        <v>7524</v>
      </c>
      <c r="B2362" s="20" t="str">
        <f>IFERROR(__xludf.DUMMYFUNCTION("REGEXREPLACE(A2362, ""^https?://[^/]+"", """")"),"/wp-content/uploads/2019/02/should-you-discount-prices-chart.png")</f>
        <v>/wp-content/uploads/2019/02/should-you-discount-prices-chart.png</v>
      </c>
      <c r="F2362" s="1" t="s">
        <v>1047</v>
      </c>
      <c r="G2362" s="1">
        <v>200.0</v>
      </c>
      <c r="H2362" s="1" t="s">
        <v>966</v>
      </c>
      <c r="I2362" s="1" t="s">
        <v>967</v>
      </c>
      <c r="L2362" s="1">
        <v>0.0</v>
      </c>
      <c r="M2362" s="1">
        <v>0.0</v>
      </c>
      <c r="O2362" s="1">
        <v>0.0</v>
      </c>
      <c r="P2362" s="1">
        <v>0.0</v>
      </c>
      <c r="R2362" s="1">
        <v>0.0</v>
      </c>
      <c r="S2362" s="1">
        <v>0.0</v>
      </c>
      <c r="U2362" s="1">
        <v>0.0</v>
      </c>
      <c r="W2362" s="1">
        <v>0.0</v>
      </c>
      <c r="Y2362" s="1">
        <v>0.0</v>
      </c>
      <c r="AA2362" s="1">
        <v>0.0</v>
      </c>
      <c r="AC2362" s="1">
        <v>0.0</v>
      </c>
      <c r="AM2362" s="1">
        <v>61076.0</v>
      </c>
      <c r="AN2362" s="1">
        <v>61076.0</v>
      </c>
      <c r="AO2362" s="1">
        <v>61076.0</v>
      </c>
      <c r="AP2362" s="1">
        <v>23.397</v>
      </c>
      <c r="AR2362" s="1">
        <v>0.0</v>
      </c>
      <c r="AW2362" s="1">
        <v>0.0</v>
      </c>
      <c r="AX2362" s="1">
        <v>5.0</v>
      </c>
      <c r="AY2362" s="1">
        <v>4.0</v>
      </c>
      <c r="BA2362" s="1">
        <v>0.0</v>
      </c>
      <c r="BB2362" s="1">
        <v>0.0</v>
      </c>
      <c r="BC2362" s="1">
        <v>0.0</v>
      </c>
      <c r="BD2362" s="1">
        <v>0.0</v>
      </c>
      <c r="BE2362" s="1">
        <v>0.0</v>
      </c>
      <c r="BF2362" s="1">
        <v>0.0</v>
      </c>
      <c r="BG2362" s="1">
        <v>0.0</v>
      </c>
      <c r="BH2362" s="1">
        <v>0.0</v>
      </c>
      <c r="BI2362" s="1">
        <v>0.0</v>
      </c>
      <c r="BJ2362" s="1">
        <v>0.0</v>
      </c>
      <c r="BP2362" s="1">
        <v>0.271</v>
      </c>
      <c r="BQ2362" s="1" t="s">
        <v>7525</v>
      </c>
      <c r="BV2362" s="1">
        <v>1.1</v>
      </c>
      <c r="EQ2362" s="9" t="s">
        <v>7524</v>
      </c>
      <c r="ER2362" s="21">
        <v>46045.302395833336</v>
      </c>
    </row>
    <row r="2363">
      <c r="A2363" s="9" t="s">
        <v>7526</v>
      </c>
      <c r="B2363" s="20" t="str">
        <f>IFERROR(__xludf.DUMMYFUNCTION("REGEXREPLACE(A2363, ""^https?://[^/]+"", """")"),"/wp-content/uploads/2019/02/should-you-discount-your-prices.jpg")</f>
        <v>/wp-content/uploads/2019/02/should-you-discount-your-prices.jpg</v>
      </c>
      <c r="F2363" s="1" t="s">
        <v>1004</v>
      </c>
      <c r="G2363" s="1">
        <v>200.0</v>
      </c>
      <c r="H2363" s="1" t="s">
        <v>966</v>
      </c>
      <c r="I2363" s="1" t="s">
        <v>967</v>
      </c>
      <c r="L2363" s="1">
        <v>0.0</v>
      </c>
      <c r="M2363" s="1">
        <v>0.0</v>
      </c>
      <c r="O2363" s="1">
        <v>0.0</v>
      </c>
      <c r="P2363" s="1">
        <v>0.0</v>
      </c>
      <c r="R2363" s="1">
        <v>0.0</v>
      </c>
      <c r="S2363" s="1">
        <v>0.0</v>
      </c>
      <c r="U2363" s="1">
        <v>0.0</v>
      </c>
      <c r="W2363" s="1">
        <v>0.0</v>
      </c>
      <c r="Y2363" s="1">
        <v>0.0</v>
      </c>
      <c r="AA2363" s="1">
        <v>0.0</v>
      </c>
      <c r="AC2363" s="1">
        <v>0.0</v>
      </c>
      <c r="AM2363" s="1">
        <v>147125.0</v>
      </c>
      <c r="AN2363" s="1">
        <v>147125.0</v>
      </c>
      <c r="AO2363" s="1">
        <v>147125.0</v>
      </c>
      <c r="AP2363" s="1">
        <v>56.361</v>
      </c>
      <c r="AR2363" s="1">
        <v>0.0</v>
      </c>
      <c r="AW2363" s="1">
        <v>0.0</v>
      </c>
      <c r="AX2363" s="1">
        <v>5.0</v>
      </c>
      <c r="AY2363" s="1">
        <v>4.0</v>
      </c>
      <c r="BA2363" s="1">
        <v>0.0</v>
      </c>
      <c r="BB2363" s="1">
        <v>0.0</v>
      </c>
      <c r="BC2363" s="1">
        <v>0.0</v>
      </c>
      <c r="BD2363" s="1">
        <v>0.0</v>
      </c>
      <c r="BE2363" s="1">
        <v>0.0</v>
      </c>
      <c r="BF2363" s="1">
        <v>0.0</v>
      </c>
      <c r="BG2363" s="1">
        <v>0.0</v>
      </c>
      <c r="BH2363" s="1">
        <v>0.0</v>
      </c>
      <c r="BI2363" s="1">
        <v>0.0</v>
      </c>
      <c r="BJ2363" s="1">
        <v>0.0</v>
      </c>
      <c r="BP2363" s="1">
        <v>0.266</v>
      </c>
      <c r="BQ2363" s="1" t="s">
        <v>7527</v>
      </c>
      <c r="BV2363" s="1">
        <v>1.1</v>
      </c>
      <c r="EQ2363" s="9" t="s">
        <v>7526</v>
      </c>
      <c r="ER2363" s="21">
        <v>46045.302395833336</v>
      </c>
    </row>
    <row r="2364">
      <c r="A2364" s="9" t="s">
        <v>7528</v>
      </c>
      <c r="B2364" s="20" t="str">
        <f>IFERROR(__xludf.DUMMYFUNCTION("REGEXREPLACE(A2364, ""^https?://[^/]+"", """")"),"/hiring-a-salesperson-inside-industry-can-destroy-sales/")</f>
        <v>/hiring-a-salesperson-inside-industry-can-destroy-sales/</v>
      </c>
      <c r="C2364" s="1" t="s">
        <v>7529</v>
      </c>
      <c r="F2364" s="1" t="s">
        <v>965</v>
      </c>
      <c r="G2364" s="1">
        <v>200.0</v>
      </c>
      <c r="H2364" s="1" t="s">
        <v>966</v>
      </c>
      <c r="I2364" s="1" t="s">
        <v>967</v>
      </c>
      <c r="K2364" s="1" t="s">
        <v>7530</v>
      </c>
      <c r="L2364" s="1">
        <v>64.0</v>
      </c>
      <c r="M2364" s="1">
        <v>579.0</v>
      </c>
      <c r="O2364" s="1">
        <v>0.0</v>
      </c>
      <c r="P2364" s="1">
        <v>0.0</v>
      </c>
      <c r="Q2364" s="1" t="s">
        <v>7531</v>
      </c>
      <c r="R2364" s="1">
        <v>150.0</v>
      </c>
      <c r="S2364" s="1">
        <v>929.0</v>
      </c>
      <c r="U2364" s="1">
        <v>0.0</v>
      </c>
      <c r="V2364" s="1" t="s">
        <v>7529</v>
      </c>
      <c r="W2364" s="1">
        <v>68.0</v>
      </c>
      <c r="Y2364" s="1">
        <v>0.0</v>
      </c>
      <c r="AA2364" s="1">
        <v>0.0</v>
      </c>
      <c r="AC2364" s="1">
        <v>0.0</v>
      </c>
      <c r="AD2364" s="1" t="s">
        <v>971</v>
      </c>
      <c r="AG2364" s="9" t="s">
        <v>7528</v>
      </c>
      <c r="AM2364" s="1">
        <v>202563.0</v>
      </c>
      <c r="AN2364" s="1">
        <v>36464.0</v>
      </c>
      <c r="AO2364" s="1">
        <v>36464.0</v>
      </c>
      <c r="AP2364" s="1">
        <v>13.969</v>
      </c>
      <c r="AR2364" s="1">
        <v>1548.0</v>
      </c>
      <c r="AS2364" s="1">
        <v>224.0</v>
      </c>
      <c r="AT2364" s="1">
        <v>6.911</v>
      </c>
      <c r="AU2364" s="1">
        <v>62.373</v>
      </c>
      <c r="AV2364" s="1" t="s">
        <v>990</v>
      </c>
      <c r="AW2364" s="1">
        <v>5.897</v>
      </c>
      <c r="AX2364" s="1">
        <v>5.0</v>
      </c>
      <c r="AY2364" s="1">
        <v>1.0</v>
      </c>
      <c r="AZ2364" s="1">
        <v>1.0</v>
      </c>
      <c r="BA2364" s="1">
        <v>8.0</v>
      </c>
      <c r="BB2364" s="1">
        <v>8.0</v>
      </c>
      <c r="BC2364" s="1">
        <v>0.0</v>
      </c>
      <c r="BD2364" s="1">
        <v>1.06</v>
      </c>
      <c r="BE2364" s="1">
        <v>130.0</v>
      </c>
      <c r="BF2364" s="1">
        <v>48.0</v>
      </c>
      <c r="BG2364" s="1">
        <v>0.0</v>
      </c>
      <c r="BH2364" s="1">
        <v>16.0</v>
      </c>
      <c r="BI2364" s="1">
        <v>8.0</v>
      </c>
      <c r="BJ2364" s="1">
        <v>0.0</v>
      </c>
      <c r="BO2364" s="1" t="s">
        <v>7532</v>
      </c>
      <c r="BP2364" s="1">
        <v>1.034</v>
      </c>
      <c r="BU2364" s="1" t="s">
        <v>974</v>
      </c>
      <c r="BV2364" s="1">
        <v>1.1</v>
      </c>
      <c r="EQ2364" s="9" t="s">
        <v>7528</v>
      </c>
      <c r="ER2364" s="21">
        <v>46045.30238425926</v>
      </c>
    </row>
    <row r="2365">
      <c r="A2365" s="9" t="s">
        <v>7533</v>
      </c>
      <c r="B2365" s="20" t="str">
        <f>IFERROR(__xludf.DUMMYFUNCTION("REGEXREPLACE(A2365, ""^https?://[^/]+"", """")"),"/wp-content/uploads/2019/08/blog-image_shutterstock_1254620098.jpg")</f>
        <v>/wp-content/uploads/2019/08/blog-image_shutterstock_1254620098.jpg</v>
      </c>
      <c r="F2365" s="1" t="s">
        <v>1004</v>
      </c>
      <c r="G2365" s="1">
        <v>200.0</v>
      </c>
      <c r="H2365" s="1" t="s">
        <v>966</v>
      </c>
      <c r="I2365" s="1" t="s">
        <v>967</v>
      </c>
      <c r="L2365" s="1">
        <v>0.0</v>
      </c>
      <c r="M2365" s="1">
        <v>0.0</v>
      </c>
      <c r="O2365" s="1">
        <v>0.0</v>
      </c>
      <c r="P2365" s="1">
        <v>0.0</v>
      </c>
      <c r="R2365" s="1">
        <v>0.0</v>
      </c>
      <c r="S2365" s="1">
        <v>0.0</v>
      </c>
      <c r="U2365" s="1">
        <v>0.0</v>
      </c>
      <c r="W2365" s="1">
        <v>0.0</v>
      </c>
      <c r="Y2365" s="1">
        <v>0.0</v>
      </c>
      <c r="AA2365" s="1">
        <v>0.0</v>
      </c>
      <c r="AC2365" s="1">
        <v>0.0</v>
      </c>
      <c r="AM2365" s="1">
        <v>201390.0</v>
      </c>
      <c r="AN2365" s="1">
        <v>201390.0</v>
      </c>
      <c r="AO2365" s="1">
        <v>201390.0</v>
      </c>
      <c r="AP2365" s="1">
        <v>77.149</v>
      </c>
      <c r="AR2365" s="1">
        <v>0.0</v>
      </c>
      <c r="AW2365" s="1">
        <v>0.0</v>
      </c>
      <c r="AX2365" s="1">
        <v>5.0</v>
      </c>
      <c r="AY2365" s="1">
        <v>4.0</v>
      </c>
      <c r="BA2365" s="1">
        <v>0.0</v>
      </c>
      <c r="BB2365" s="1">
        <v>0.0</v>
      </c>
      <c r="BC2365" s="1">
        <v>0.0</v>
      </c>
      <c r="BD2365" s="1">
        <v>0.0</v>
      </c>
      <c r="BE2365" s="1">
        <v>0.0</v>
      </c>
      <c r="BF2365" s="1">
        <v>0.0</v>
      </c>
      <c r="BG2365" s="1">
        <v>0.0</v>
      </c>
      <c r="BH2365" s="1">
        <v>0.0</v>
      </c>
      <c r="BI2365" s="1">
        <v>0.0</v>
      </c>
      <c r="BJ2365" s="1">
        <v>0.0</v>
      </c>
      <c r="BP2365" s="1">
        <v>0.278</v>
      </c>
      <c r="BQ2365" s="1" t="s">
        <v>7534</v>
      </c>
      <c r="BV2365" s="1">
        <v>1.1</v>
      </c>
      <c r="EQ2365" s="9" t="s">
        <v>7533</v>
      </c>
      <c r="ER2365" s="21">
        <v>46045.302395833336</v>
      </c>
    </row>
    <row r="2366">
      <c r="A2366" s="9" t="s">
        <v>7535</v>
      </c>
      <c r="B2366" s="20" t="str">
        <f>IFERROR(__xludf.DUMMYFUNCTION("REGEXREPLACE(A2366, ""^https?://[^/]+"", """")"),"/wp-content/themes/salesxceleratione/assets/css/style.css?ver=1769123629")</f>
        <v>/wp-content/themes/salesxceleratione/assets/css/style.css?ver=1769123629</v>
      </c>
      <c r="F2366" s="1" t="s">
        <v>1016</v>
      </c>
      <c r="G2366" s="1">
        <v>200.0</v>
      </c>
      <c r="H2366" s="1" t="s">
        <v>966</v>
      </c>
      <c r="I2366" s="1" t="s">
        <v>967</v>
      </c>
      <c r="L2366" s="1">
        <v>0.0</v>
      </c>
      <c r="M2366" s="1">
        <v>0.0</v>
      </c>
      <c r="O2366" s="1">
        <v>0.0</v>
      </c>
      <c r="P2366" s="1">
        <v>0.0</v>
      </c>
      <c r="R2366" s="1">
        <v>0.0</v>
      </c>
      <c r="S2366" s="1">
        <v>0.0</v>
      </c>
      <c r="U2366" s="1">
        <v>0.0</v>
      </c>
      <c r="W2366" s="1">
        <v>0.0</v>
      </c>
      <c r="Y2366" s="1">
        <v>0.0</v>
      </c>
      <c r="AA2366" s="1">
        <v>0.0</v>
      </c>
      <c r="AC2366" s="1">
        <v>0.0</v>
      </c>
      <c r="AM2366" s="1">
        <v>17704.0</v>
      </c>
      <c r="AN2366" s="1">
        <v>17704.0</v>
      </c>
      <c r="AO2366" s="1">
        <v>17704.0</v>
      </c>
      <c r="AP2366" s="1">
        <v>6.782</v>
      </c>
      <c r="AR2366" s="1">
        <v>0.0</v>
      </c>
      <c r="AW2366" s="1">
        <v>0.0</v>
      </c>
      <c r="AX2366" s="1">
        <v>5.0</v>
      </c>
      <c r="AY2366" s="1">
        <v>5.0</v>
      </c>
      <c r="BA2366" s="1">
        <v>0.0</v>
      </c>
      <c r="BB2366" s="1">
        <v>0.0</v>
      </c>
      <c r="BC2366" s="1">
        <v>0.0</v>
      </c>
      <c r="BD2366" s="1">
        <v>0.0</v>
      </c>
      <c r="BE2366" s="1">
        <v>0.0</v>
      </c>
      <c r="BF2366" s="1">
        <v>0.0</v>
      </c>
      <c r="BG2366" s="1">
        <v>0.0</v>
      </c>
      <c r="BH2366" s="1">
        <v>0.0</v>
      </c>
      <c r="BI2366" s="1">
        <v>0.0</v>
      </c>
      <c r="BJ2366" s="1">
        <v>0.0</v>
      </c>
      <c r="BP2366" s="1">
        <v>0.295</v>
      </c>
      <c r="BQ2366" s="1" t="s">
        <v>7536</v>
      </c>
      <c r="BV2366" s="1">
        <v>1.1</v>
      </c>
      <c r="EQ2366" s="9" t="s">
        <v>7535</v>
      </c>
      <c r="ER2366" s="21">
        <v>46045.302395833336</v>
      </c>
    </row>
    <row r="2367">
      <c r="A2367" s="9" t="s">
        <v>7537</v>
      </c>
      <c r="B2367" s="20" t="str">
        <f>IFERROR(__xludf.DUMMYFUNCTION("REGEXREPLACE(A2367, ""^https?://[^/]+"", """")"),"/wp-content/uploads/2019/02/should-you-increase-your-sales-price.jpg")</f>
        <v>/wp-content/uploads/2019/02/should-you-increase-your-sales-price.jpg</v>
      </c>
      <c r="F2367" s="1" t="s">
        <v>1004</v>
      </c>
      <c r="G2367" s="1">
        <v>200.0</v>
      </c>
      <c r="H2367" s="1" t="s">
        <v>966</v>
      </c>
      <c r="I2367" s="1" t="s">
        <v>967</v>
      </c>
      <c r="L2367" s="1">
        <v>0.0</v>
      </c>
      <c r="M2367" s="1">
        <v>0.0</v>
      </c>
      <c r="O2367" s="1">
        <v>0.0</v>
      </c>
      <c r="P2367" s="1">
        <v>0.0</v>
      </c>
      <c r="R2367" s="1">
        <v>0.0</v>
      </c>
      <c r="S2367" s="1">
        <v>0.0</v>
      </c>
      <c r="U2367" s="1">
        <v>0.0</v>
      </c>
      <c r="W2367" s="1">
        <v>0.0</v>
      </c>
      <c r="Y2367" s="1">
        <v>0.0</v>
      </c>
      <c r="AA2367" s="1">
        <v>0.0</v>
      </c>
      <c r="AC2367" s="1">
        <v>0.0</v>
      </c>
      <c r="AM2367" s="1">
        <v>184629.0</v>
      </c>
      <c r="AN2367" s="1">
        <v>184629.0</v>
      </c>
      <c r="AO2367" s="1">
        <v>184629.0</v>
      </c>
      <c r="AP2367" s="1">
        <v>70.728</v>
      </c>
      <c r="AR2367" s="1">
        <v>0.0</v>
      </c>
      <c r="AW2367" s="1">
        <v>0.0</v>
      </c>
      <c r="AX2367" s="1">
        <v>5.0</v>
      </c>
      <c r="AY2367" s="1">
        <v>4.0</v>
      </c>
      <c r="BA2367" s="1">
        <v>0.0</v>
      </c>
      <c r="BB2367" s="1">
        <v>0.0</v>
      </c>
      <c r="BC2367" s="1">
        <v>0.0</v>
      </c>
      <c r="BD2367" s="1">
        <v>0.0</v>
      </c>
      <c r="BE2367" s="1">
        <v>0.0</v>
      </c>
      <c r="BF2367" s="1">
        <v>0.0</v>
      </c>
      <c r="BG2367" s="1">
        <v>0.0</v>
      </c>
      <c r="BH2367" s="1">
        <v>0.0</v>
      </c>
      <c r="BI2367" s="1">
        <v>0.0</v>
      </c>
      <c r="BJ2367" s="1">
        <v>0.0</v>
      </c>
      <c r="BP2367" s="1">
        <v>0.282</v>
      </c>
      <c r="BQ2367" s="1" t="s">
        <v>7538</v>
      </c>
      <c r="BV2367" s="1">
        <v>1.1</v>
      </c>
      <c r="EQ2367" s="9" t="s">
        <v>7537</v>
      </c>
      <c r="ER2367" s="21">
        <v>46045.302395833336</v>
      </c>
    </row>
    <row r="2368">
      <c r="A2368" s="9" t="s">
        <v>7539</v>
      </c>
      <c r="B2368" s="20" t="str">
        <f>IFERROR(__xludf.DUMMYFUNCTION("REGEXREPLACE(A2368, ""^https?://[^/]+"", """")"),"/wp-content/uploads/2019/02/increasing-price-and-maintaining-profit-with-lost-sales-table.png")</f>
        <v>/wp-content/uploads/2019/02/increasing-price-and-maintaining-profit-with-lost-sales-table.png</v>
      </c>
      <c r="F2368" s="1" t="s">
        <v>1047</v>
      </c>
      <c r="G2368" s="1">
        <v>200.0</v>
      </c>
      <c r="H2368" s="1" t="s">
        <v>966</v>
      </c>
      <c r="I2368" s="1" t="s">
        <v>967</v>
      </c>
      <c r="L2368" s="1">
        <v>0.0</v>
      </c>
      <c r="M2368" s="1">
        <v>0.0</v>
      </c>
      <c r="O2368" s="1">
        <v>0.0</v>
      </c>
      <c r="P2368" s="1">
        <v>0.0</v>
      </c>
      <c r="R2368" s="1">
        <v>0.0</v>
      </c>
      <c r="S2368" s="1">
        <v>0.0</v>
      </c>
      <c r="U2368" s="1">
        <v>0.0</v>
      </c>
      <c r="W2368" s="1">
        <v>0.0</v>
      </c>
      <c r="Y2368" s="1">
        <v>0.0</v>
      </c>
      <c r="AA2368" s="1">
        <v>0.0</v>
      </c>
      <c r="AC2368" s="1">
        <v>0.0</v>
      </c>
      <c r="AM2368" s="1">
        <v>53017.0</v>
      </c>
      <c r="AN2368" s="1">
        <v>53017.0</v>
      </c>
      <c r="AO2368" s="1">
        <v>53017.0</v>
      </c>
      <c r="AP2368" s="1">
        <v>20.31</v>
      </c>
      <c r="AR2368" s="1">
        <v>0.0</v>
      </c>
      <c r="AW2368" s="1">
        <v>0.0</v>
      </c>
      <c r="AX2368" s="1">
        <v>5.0</v>
      </c>
      <c r="AY2368" s="1">
        <v>4.0</v>
      </c>
      <c r="BA2368" s="1">
        <v>0.0</v>
      </c>
      <c r="BB2368" s="1">
        <v>0.0</v>
      </c>
      <c r="BC2368" s="1">
        <v>0.0</v>
      </c>
      <c r="BD2368" s="1">
        <v>0.0</v>
      </c>
      <c r="BE2368" s="1">
        <v>0.0</v>
      </c>
      <c r="BF2368" s="1">
        <v>0.0</v>
      </c>
      <c r="BG2368" s="1">
        <v>0.0</v>
      </c>
      <c r="BH2368" s="1">
        <v>0.0</v>
      </c>
      <c r="BI2368" s="1">
        <v>0.0</v>
      </c>
      <c r="BJ2368" s="1">
        <v>0.0</v>
      </c>
      <c r="BP2368" s="1">
        <v>0.343</v>
      </c>
      <c r="BQ2368" s="1" t="s">
        <v>7540</v>
      </c>
      <c r="BV2368" s="1">
        <v>1.1</v>
      </c>
      <c r="EQ2368" s="9" t="s">
        <v>7539</v>
      </c>
      <c r="ER2368" s="21">
        <v>46045.302395833336</v>
      </c>
    </row>
    <row r="2369">
      <c r="A2369" s="9" t="s">
        <v>7541</v>
      </c>
      <c r="B2369" s="20" t="str">
        <f>IFERROR(__xludf.DUMMYFUNCTION("REGEXREPLACE(A2369, ""^https?://[^/]+"", """")"),"/internet-mean-dont-need-a-salesperson/")</f>
        <v>/internet-mean-dont-need-a-salesperson/</v>
      </c>
      <c r="C2369" s="1" t="s">
        <v>7542</v>
      </c>
      <c r="F2369" s="1" t="s">
        <v>965</v>
      </c>
      <c r="G2369" s="1">
        <v>200.0</v>
      </c>
      <c r="H2369" s="1" t="s">
        <v>966</v>
      </c>
      <c r="I2369" s="1" t="s">
        <v>967</v>
      </c>
      <c r="K2369" s="1" t="s">
        <v>7543</v>
      </c>
      <c r="L2369" s="1">
        <v>77.0</v>
      </c>
      <c r="M2369" s="1">
        <v>706.0</v>
      </c>
      <c r="O2369" s="1">
        <v>0.0</v>
      </c>
      <c r="P2369" s="1">
        <v>0.0</v>
      </c>
      <c r="Q2369" s="1" t="s">
        <v>7544</v>
      </c>
      <c r="R2369" s="1">
        <v>130.0</v>
      </c>
      <c r="S2369" s="1">
        <v>825.0</v>
      </c>
      <c r="U2369" s="1">
        <v>0.0</v>
      </c>
      <c r="V2369" s="1" t="s">
        <v>7542</v>
      </c>
      <c r="W2369" s="1">
        <v>52.0</v>
      </c>
      <c r="Y2369" s="1">
        <v>0.0</v>
      </c>
      <c r="AA2369" s="1">
        <v>0.0</v>
      </c>
      <c r="AC2369" s="1">
        <v>0.0</v>
      </c>
      <c r="AD2369" s="1" t="s">
        <v>971</v>
      </c>
      <c r="AG2369" s="9" t="s">
        <v>7541</v>
      </c>
      <c r="AM2369" s="1">
        <v>201849.0</v>
      </c>
      <c r="AN2369" s="1">
        <v>35919.0</v>
      </c>
      <c r="AO2369" s="1">
        <v>35919.0</v>
      </c>
      <c r="AP2369" s="1">
        <v>13.76</v>
      </c>
      <c r="AR2369" s="1">
        <v>1352.0</v>
      </c>
      <c r="AS2369" s="1">
        <v>202.0</v>
      </c>
      <c r="AT2369" s="1">
        <v>6.693</v>
      </c>
      <c r="AU2369" s="1">
        <v>60.814</v>
      </c>
      <c r="AV2369" s="1" t="s">
        <v>990</v>
      </c>
      <c r="AW2369" s="1">
        <v>5.347</v>
      </c>
      <c r="AX2369" s="1">
        <v>5.0</v>
      </c>
      <c r="AY2369" s="1">
        <v>1.0</v>
      </c>
      <c r="AZ2369" s="1">
        <v>1.0</v>
      </c>
      <c r="BA2369" s="1">
        <v>4.0</v>
      </c>
      <c r="BB2369" s="1">
        <v>4.0</v>
      </c>
      <c r="BC2369" s="1">
        <v>0.0</v>
      </c>
      <c r="BD2369" s="1">
        <v>0.53</v>
      </c>
      <c r="BE2369" s="1">
        <v>131.0</v>
      </c>
      <c r="BF2369" s="1">
        <v>49.0</v>
      </c>
      <c r="BG2369" s="1">
        <v>0.0</v>
      </c>
      <c r="BH2369" s="1">
        <v>16.0</v>
      </c>
      <c r="BI2369" s="1">
        <v>8.0</v>
      </c>
      <c r="BJ2369" s="1">
        <v>0.0</v>
      </c>
      <c r="BO2369" s="1" t="s">
        <v>7545</v>
      </c>
      <c r="BP2369" s="1">
        <v>1.493</v>
      </c>
      <c r="BU2369" s="1" t="s">
        <v>974</v>
      </c>
      <c r="BV2369" s="1">
        <v>1.1</v>
      </c>
      <c r="EQ2369" s="9" t="s">
        <v>7541</v>
      </c>
      <c r="ER2369" s="21">
        <v>46045.30238425926</v>
      </c>
    </row>
    <row r="2370">
      <c r="A2370" s="9" t="s">
        <v>7546</v>
      </c>
      <c r="B2370" s="20" t="str">
        <f>IFERROR(__xludf.DUMMYFUNCTION("REGEXREPLACE(A2370, ""^https?://[^/]+"", """")"),"/wp-content/uploads/2019/08/https___specials-images.forbesimg.com_dam_imageserve_1041618784_960x0.jpg")</f>
        <v>/wp-content/uploads/2019/08/https___specials-images.forbesimg.com_dam_imageserve_1041618784_960x0.jpg</v>
      </c>
      <c r="F2370" s="1" t="s">
        <v>1004</v>
      </c>
      <c r="G2370" s="1">
        <v>200.0</v>
      </c>
      <c r="H2370" s="1" t="s">
        <v>966</v>
      </c>
      <c r="I2370" s="1" t="s">
        <v>967</v>
      </c>
      <c r="L2370" s="1">
        <v>0.0</v>
      </c>
      <c r="M2370" s="1">
        <v>0.0</v>
      </c>
      <c r="O2370" s="1">
        <v>0.0</v>
      </c>
      <c r="P2370" s="1">
        <v>0.0</v>
      </c>
      <c r="R2370" s="1">
        <v>0.0</v>
      </c>
      <c r="S2370" s="1">
        <v>0.0</v>
      </c>
      <c r="U2370" s="1">
        <v>0.0</v>
      </c>
      <c r="W2370" s="1">
        <v>0.0</v>
      </c>
      <c r="Y2370" s="1">
        <v>0.0</v>
      </c>
      <c r="AA2370" s="1">
        <v>0.0</v>
      </c>
      <c r="AC2370" s="1">
        <v>0.0</v>
      </c>
      <c r="AM2370" s="1">
        <v>62519.0</v>
      </c>
      <c r="AN2370" s="1">
        <v>62519.0</v>
      </c>
      <c r="AO2370" s="1">
        <v>62519.0</v>
      </c>
      <c r="AP2370" s="1">
        <v>23.95</v>
      </c>
      <c r="AR2370" s="1">
        <v>0.0</v>
      </c>
      <c r="AW2370" s="1">
        <v>0.0</v>
      </c>
      <c r="AX2370" s="1">
        <v>5.0</v>
      </c>
      <c r="AY2370" s="1">
        <v>4.0</v>
      </c>
      <c r="BA2370" s="1">
        <v>0.0</v>
      </c>
      <c r="BB2370" s="1">
        <v>0.0</v>
      </c>
      <c r="BC2370" s="1">
        <v>0.0</v>
      </c>
      <c r="BD2370" s="1">
        <v>0.0</v>
      </c>
      <c r="BE2370" s="1">
        <v>0.0</v>
      </c>
      <c r="BF2370" s="1">
        <v>0.0</v>
      </c>
      <c r="BG2370" s="1">
        <v>0.0</v>
      </c>
      <c r="BH2370" s="1">
        <v>0.0</v>
      </c>
      <c r="BI2370" s="1">
        <v>0.0</v>
      </c>
      <c r="BJ2370" s="1">
        <v>0.0</v>
      </c>
      <c r="BP2370" s="1">
        <v>0.437</v>
      </c>
      <c r="BQ2370" s="1" t="s">
        <v>7547</v>
      </c>
      <c r="BV2370" s="1">
        <v>1.1</v>
      </c>
      <c r="EQ2370" s="9" t="s">
        <v>7546</v>
      </c>
      <c r="ER2370" s="21">
        <v>46045.302407407406</v>
      </c>
    </row>
    <row r="2371">
      <c r="A2371" s="9" t="s">
        <v>7548</v>
      </c>
      <c r="B2371" s="20" t="str">
        <f>IFERROR(__xludf.DUMMYFUNCTION("REGEXREPLACE(A2371, ""^https?://[^/]+"", """")"),"/wp-content/themes/salesxceleratione/assets/css/style.css?ver=1769123630")</f>
        <v>/wp-content/themes/salesxceleratione/assets/css/style.css?ver=1769123630</v>
      </c>
      <c r="F2371" s="1" t="s">
        <v>1016</v>
      </c>
      <c r="G2371" s="1">
        <v>200.0</v>
      </c>
      <c r="H2371" s="1" t="s">
        <v>966</v>
      </c>
      <c r="I2371" s="1" t="s">
        <v>967</v>
      </c>
      <c r="L2371" s="1">
        <v>0.0</v>
      </c>
      <c r="M2371" s="1">
        <v>0.0</v>
      </c>
      <c r="O2371" s="1">
        <v>0.0</v>
      </c>
      <c r="P2371" s="1">
        <v>0.0</v>
      </c>
      <c r="R2371" s="1">
        <v>0.0</v>
      </c>
      <c r="S2371" s="1">
        <v>0.0</v>
      </c>
      <c r="U2371" s="1">
        <v>0.0</v>
      </c>
      <c r="W2371" s="1">
        <v>0.0</v>
      </c>
      <c r="Y2371" s="1">
        <v>0.0</v>
      </c>
      <c r="AA2371" s="1">
        <v>0.0</v>
      </c>
      <c r="AC2371" s="1">
        <v>0.0</v>
      </c>
      <c r="AM2371" s="1">
        <v>17704.0</v>
      </c>
      <c r="AN2371" s="1">
        <v>17704.0</v>
      </c>
      <c r="AO2371" s="1">
        <v>17704.0</v>
      </c>
      <c r="AP2371" s="1">
        <v>6.782</v>
      </c>
      <c r="AR2371" s="1">
        <v>0.0</v>
      </c>
      <c r="AW2371" s="1">
        <v>0.0</v>
      </c>
      <c r="AX2371" s="1">
        <v>5.0</v>
      </c>
      <c r="AY2371" s="1">
        <v>5.0</v>
      </c>
      <c r="BA2371" s="1">
        <v>0.0</v>
      </c>
      <c r="BB2371" s="1">
        <v>0.0</v>
      </c>
      <c r="BC2371" s="1">
        <v>0.0</v>
      </c>
      <c r="BD2371" s="1">
        <v>0.0</v>
      </c>
      <c r="BE2371" s="1">
        <v>0.0</v>
      </c>
      <c r="BF2371" s="1">
        <v>0.0</v>
      </c>
      <c r="BG2371" s="1">
        <v>0.0</v>
      </c>
      <c r="BH2371" s="1">
        <v>0.0</v>
      </c>
      <c r="BI2371" s="1">
        <v>0.0</v>
      </c>
      <c r="BJ2371" s="1">
        <v>0.0</v>
      </c>
      <c r="BP2371" s="1">
        <v>0.79</v>
      </c>
      <c r="BQ2371" s="1" t="s">
        <v>7536</v>
      </c>
      <c r="BV2371" s="1">
        <v>1.1</v>
      </c>
      <c r="EQ2371" s="9" t="s">
        <v>7548</v>
      </c>
      <c r="ER2371" s="21">
        <v>46045.302395833336</v>
      </c>
    </row>
    <row r="2372">
      <c r="A2372" s="9" t="s">
        <v>7549</v>
      </c>
      <c r="B2372" s="20" t="str">
        <f>IFERROR(__xludf.DUMMYFUNCTION("REGEXREPLACE(A2372, ""^https?://[^/]+"", """")"),"/wp-content/uploads/2022/06/AI-in-Sales.jpg")</f>
        <v>/wp-content/uploads/2022/06/AI-in-Sales.jpg</v>
      </c>
      <c r="F2372" s="1" t="s">
        <v>1004</v>
      </c>
      <c r="G2372" s="1">
        <v>200.0</v>
      </c>
      <c r="H2372" s="1" t="s">
        <v>966</v>
      </c>
      <c r="I2372" s="1" t="s">
        <v>967</v>
      </c>
      <c r="L2372" s="1">
        <v>0.0</v>
      </c>
      <c r="M2372" s="1">
        <v>0.0</v>
      </c>
      <c r="O2372" s="1">
        <v>0.0</v>
      </c>
      <c r="P2372" s="1">
        <v>0.0</v>
      </c>
      <c r="R2372" s="1">
        <v>0.0</v>
      </c>
      <c r="S2372" s="1">
        <v>0.0</v>
      </c>
      <c r="U2372" s="1">
        <v>0.0</v>
      </c>
      <c r="W2372" s="1">
        <v>0.0</v>
      </c>
      <c r="Y2372" s="1">
        <v>0.0</v>
      </c>
      <c r="AA2372" s="1">
        <v>0.0</v>
      </c>
      <c r="AC2372" s="1">
        <v>0.0</v>
      </c>
      <c r="AM2372" s="1">
        <v>1134626.0</v>
      </c>
      <c r="AN2372" s="1">
        <v>1134626.0</v>
      </c>
      <c r="AO2372" s="1">
        <v>1134626.0</v>
      </c>
      <c r="AP2372" s="1">
        <v>434.654</v>
      </c>
      <c r="AR2372" s="1">
        <v>0.0</v>
      </c>
      <c r="AW2372" s="1">
        <v>0.0</v>
      </c>
      <c r="AX2372" s="1">
        <v>5.0</v>
      </c>
      <c r="AY2372" s="1">
        <v>4.0</v>
      </c>
      <c r="BA2372" s="1">
        <v>0.0</v>
      </c>
      <c r="BB2372" s="1">
        <v>0.0</v>
      </c>
      <c r="BC2372" s="1">
        <v>0.0</v>
      </c>
      <c r="BD2372" s="1">
        <v>0.0</v>
      </c>
      <c r="BE2372" s="1">
        <v>0.0</v>
      </c>
      <c r="BF2372" s="1">
        <v>0.0</v>
      </c>
      <c r="BG2372" s="1">
        <v>0.0</v>
      </c>
      <c r="BH2372" s="1">
        <v>0.0</v>
      </c>
      <c r="BI2372" s="1">
        <v>0.0</v>
      </c>
      <c r="BJ2372" s="1">
        <v>0.0</v>
      </c>
      <c r="BP2372" s="1">
        <v>0.278</v>
      </c>
      <c r="BQ2372" s="1" t="s">
        <v>7550</v>
      </c>
      <c r="BV2372" s="1">
        <v>1.1</v>
      </c>
      <c r="EQ2372" s="9" t="s">
        <v>7549</v>
      </c>
      <c r="ER2372" s="21">
        <v>46045.302407407406</v>
      </c>
    </row>
    <row r="2373">
      <c r="A2373" s="9" t="s">
        <v>7551</v>
      </c>
      <c r="B2373" s="20" t="str">
        <f>IFERROR(__xludf.DUMMYFUNCTION("REGEXREPLACE(A2373, ""^https?://[^/]+"", """")"),"/wp-content/uploads/2022/04/Startup-Business-2048x2048.jpg")</f>
        <v>/wp-content/uploads/2022/04/Startup-Business-2048x2048.jpg</v>
      </c>
      <c r="F2373" s="1" t="s">
        <v>1004</v>
      </c>
      <c r="G2373" s="1">
        <v>200.0</v>
      </c>
      <c r="H2373" s="1" t="s">
        <v>966</v>
      </c>
      <c r="I2373" s="1" t="s">
        <v>967</v>
      </c>
      <c r="L2373" s="1">
        <v>0.0</v>
      </c>
      <c r="M2373" s="1">
        <v>0.0</v>
      </c>
      <c r="O2373" s="1">
        <v>0.0</v>
      </c>
      <c r="P2373" s="1">
        <v>0.0</v>
      </c>
      <c r="R2373" s="1">
        <v>0.0</v>
      </c>
      <c r="S2373" s="1">
        <v>0.0</v>
      </c>
      <c r="U2373" s="1">
        <v>0.0</v>
      </c>
      <c r="W2373" s="1">
        <v>0.0</v>
      </c>
      <c r="Y2373" s="1">
        <v>0.0</v>
      </c>
      <c r="AA2373" s="1">
        <v>0.0</v>
      </c>
      <c r="AC2373" s="1">
        <v>0.0</v>
      </c>
      <c r="AM2373" s="1">
        <v>209063.0</v>
      </c>
      <c r="AN2373" s="1">
        <v>209063.0</v>
      </c>
      <c r="AO2373" s="1">
        <v>209063.0</v>
      </c>
      <c r="AP2373" s="1">
        <v>80.088</v>
      </c>
      <c r="AR2373" s="1">
        <v>0.0</v>
      </c>
      <c r="AW2373" s="1">
        <v>0.0</v>
      </c>
      <c r="AX2373" s="1">
        <v>5.0</v>
      </c>
      <c r="AY2373" s="1">
        <v>4.0</v>
      </c>
      <c r="BA2373" s="1">
        <v>0.0</v>
      </c>
      <c r="BB2373" s="1">
        <v>0.0</v>
      </c>
      <c r="BC2373" s="1">
        <v>0.0</v>
      </c>
      <c r="BD2373" s="1">
        <v>0.0</v>
      </c>
      <c r="BE2373" s="1">
        <v>0.0</v>
      </c>
      <c r="BF2373" s="1">
        <v>0.0</v>
      </c>
      <c r="BG2373" s="1">
        <v>0.0</v>
      </c>
      <c r="BH2373" s="1">
        <v>0.0</v>
      </c>
      <c r="BI2373" s="1">
        <v>0.0</v>
      </c>
      <c r="BJ2373" s="1">
        <v>0.0</v>
      </c>
      <c r="BP2373" s="1">
        <v>0.28</v>
      </c>
      <c r="BQ2373" s="1" t="s">
        <v>7552</v>
      </c>
      <c r="BV2373" s="1">
        <v>1.1</v>
      </c>
      <c r="EQ2373" s="9" t="s">
        <v>7551</v>
      </c>
      <c r="ER2373" s="21">
        <v>46045.302407407406</v>
      </c>
    </row>
    <row r="2374">
      <c r="A2374" s="9" t="s">
        <v>7553</v>
      </c>
      <c r="B2374" s="20" t="str">
        <f>IFERROR(__xludf.DUMMYFUNCTION("REGEXREPLACE(A2374, ""^https?://[^/]+"", """")"),"/wp-content/uploads/2022/03/Competitive-Advantage-2048x2048.jpg")</f>
        <v>/wp-content/uploads/2022/03/Competitive-Advantage-2048x2048.jpg</v>
      </c>
      <c r="F2374" s="1" t="s">
        <v>1004</v>
      </c>
      <c r="G2374" s="1">
        <v>200.0</v>
      </c>
      <c r="H2374" s="1" t="s">
        <v>966</v>
      </c>
      <c r="I2374" s="1" t="s">
        <v>967</v>
      </c>
      <c r="L2374" s="1">
        <v>0.0</v>
      </c>
      <c r="M2374" s="1">
        <v>0.0</v>
      </c>
      <c r="O2374" s="1">
        <v>0.0</v>
      </c>
      <c r="P2374" s="1">
        <v>0.0</v>
      </c>
      <c r="R2374" s="1">
        <v>0.0</v>
      </c>
      <c r="S2374" s="1">
        <v>0.0</v>
      </c>
      <c r="U2374" s="1">
        <v>0.0</v>
      </c>
      <c r="W2374" s="1">
        <v>0.0</v>
      </c>
      <c r="Y2374" s="1">
        <v>0.0</v>
      </c>
      <c r="AA2374" s="1">
        <v>0.0</v>
      </c>
      <c r="AC2374" s="1">
        <v>0.0</v>
      </c>
      <c r="AM2374" s="1">
        <v>172942.0</v>
      </c>
      <c r="AN2374" s="1">
        <v>172942.0</v>
      </c>
      <c r="AO2374" s="1">
        <v>172942.0</v>
      </c>
      <c r="AP2374" s="1">
        <v>66.251</v>
      </c>
      <c r="AR2374" s="1">
        <v>0.0</v>
      </c>
      <c r="AW2374" s="1">
        <v>0.0</v>
      </c>
      <c r="AX2374" s="1">
        <v>5.0</v>
      </c>
      <c r="AY2374" s="1">
        <v>4.0</v>
      </c>
      <c r="BA2374" s="1">
        <v>0.0</v>
      </c>
      <c r="BB2374" s="1">
        <v>0.0</v>
      </c>
      <c r="BC2374" s="1">
        <v>0.0</v>
      </c>
      <c r="BD2374" s="1">
        <v>0.0</v>
      </c>
      <c r="BE2374" s="1">
        <v>0.0</v>
      </c>
      <c r="BF2374" s="1">
        <v>0.0</v>
      </c>
      <c r="BG2374" s="1">
        <v>0.0</v>
      </c>
      <c r="BH2374" s="1">
        <v>0.0</v>
      </c>
      <c r="BI2374" s="1">
        <v>0.0</v>
      </c>
      <c r="BJ2374" s="1">
        <v>0.0</v>
      </c>
      <c r="BP2374" s="1">
        <v>0.285</v>
      </c>
      <c r="BQ2374" s="1" t="s">
        <v>7554</v>
      </c>
      <c r="BV2374" s="1">
        <v>1.1</v>
      </c>
      <c r="EQ2374" s="9" t="s">
        <v>7553</v>
      </c>
      <c r="ER2374" s="21">
        <v>46045.30241898148</v>
      </c>
    </row>
    <row r="2375">
      <c r="A2375" s="9" t="s">
        <v>7555</v>
      </c>
      <c r="B2375" s="20" t="str">
        <f>IFERROR(__xludf.DUMMYFUNCTION("REGEXREPLACE(A2375, ""^https?://[^/]+"", """")"),"/wp-content/uploads/2022/04/Sales-Strategies-to-Close-the-Deal-2048x2048.jpg")</f>
        <v>/wp-content/uploads/2022/04/Sales-Strategies-to-Close-the-Deal-2048x2048.jpg</v>
      </c>
      <c r="F2375" s="1" t="s">
        <v>1004</v>
      </c>
      <c r="G2375" s="1">
        <v>200.0</v>
      </c>
      <c r="H2375" s="1" t="s">
        <v>966</v>
      </c>
      <c r="I2375" s="1" t="s">
        <v>967</v>
      </c>
      <c r="L2375" s="1">
        <v>0.0</v>
      </c>
      <c r="M2375" s="1">
        <v>0.0</v>
      </c>
      <c r="O2375" s="1">
        <v>0.0</v>
      </c>
      <c r="P2375" s="1">
        <v>0.0</v>
      </c>
      <c r="R2375" s="1">
        <v>0.0</v>
      </c>
      <c r="S2375" s="1">
        <v>0.0</v>
      </c>
      <c r="U2375" s="1">
        <v>0.0</v>
      </c>
      <c r="W2375" s="1">
        <v>0.0</v>
      </c>
      <c r="Y2375" s="1">
        <v>0.0</v>
      </c>
      <c r="AA2375" s="1">
        <v>0.0</v>
      </c>
      <c r="AC2375" s="1">
        <v>0.0</v>
      </c>
      <c r="AM2375" s="1">
        <v>535564.0</v>
      </c>
      <c r="AN2375" s="1">
        <v>535564.0</v>
      </c>
      <c r="AO2375" s="1">
        <v>535564.0</v>
      </c>
      <c r="AP2375" s="1">
        <v>205.164</v>
      </c>
      <c r="AR2375" s="1">
        <v>0.0</v>
      </c>
      <c r="AW2375" s="1">
        <v>0.0</v>
      </c>
      <c r="AX2375" s="1">
        <v>5.0</v>
      </c>
      <c r="AY2375" s="1">
        <v>4.0</v>
      </c>
      <c r="BA2375" s="1">
        <v>0.0</v>
      </c>
      <c r="BB2375" s="1">
        <v>0.0</v>
      </c>
      <c r="BC2375" s="1">
        <v>0.0</v>
      </c>
      <c r="BD2375" s="1">
        <v>0.0</v>
      </c>
      <c r="BE2375" s="1">
        <v>0.0</v>
      </c>
      <c r="BF2375" s="1">
        <v>0.0</v>
      </c>
      <c r="BG2375" s="1">
        <v>0.0</v>
      </c>
      <c r="BH2375" s="1">
        <v>0.0</v>
      </c>
      <c r="BI2375" s="1">
        <v>0.0</v>
      </c>
      <c r="BJ2375" s="1">
        <v>0.0</v>
      </c>
      <c r="BP2375" s="1">
        <v>0.285</v>
      </c>
      <c r="BQ2375" s="1" t="s">
        <v>7556</v>
      </c>
      <c r="BV2375" s="1">
        <v>1.1</v>
      </c>
      <c r="EQ2375" s="9" t="s">
        <v>7555</v>
      </c>
      <c r="ER2375" s="21">
        <v>46045.30241898148</v>
      </c>
    </row>
    <row r="2376">
      <c r="A2376" s="9" t="s">
        <v>7557</v>
      </c>
      <c r="B2376" s="20" t="str">
        <f>IFERROR(__xludf.DUMMYFUNCTION("REGEXREPLACE(A2376, ""^https?://[^/]+"", """")"),"/three-key-elements-to-ensure-success-and-growth-for-your-startup/")</f>
        <v>/three-key-elements-to-ensure-success-and-growth-for-your-startup/</v>
      </c>
      <c r="C2376" s="1" t="s">
        <v>7558</v>
      </c>
      <c r="D2376" s="1" t="s">
        <v>7559</v>
      </c>
      <c r="E2376" s="1" t="s">
        <v>7560</v>
      </c>
      <c r="F2376" s="1" t="s">
        <v>965</v>
      </c>
      <c r="G2376" s="1">
        <v>200.0</v>
      </c>
      <c r="H2376" s="1" t="s">
        <v>966</v>
      </c>
      <c r="I2376" s="1" t="s">
        <v>967</v>
      </c>
      <c r="K2376" s="1" t="s">
        <v>7561</v>
      </c>
      <c r="L2376" s="1">
        <v>89.0</v>
      </c>
      <c r="M2376" s="1">
        <v>817.0</v>
      </c>
      <c r="O2376" s="1">
        <v>0.0</v>
      </c>
      <c r="P2376" s="1">
        <v>0.0</v>
      </c>
      <c r="Q2376" s="1" t="s">
        <v>7562</v>
      </c>
      <c r="R2376" s="1">
        <v>156.0</v>
      </c>
      <c r="S2376" s="1">
        <v>950.0</v>
      </c>
      <c r="U2376" s="1">
        <v>0.0</v>
      </c>
      <c r="V2376" s="1" t="s">
        <v>7558</v>
      </c>
      <c r="W2376" s="1">
        <v>64.0</v>
      </c>
      <c r="Y2376" s="1">
        <v>0.0</v>
      </c>
      <c r="Z2376" s="1" t="s">
        <v>7559</v>
      </c>
      <c r="AA2376" s="1">
        <v>21.0</v>
      </c>
      <c r="AB2376" s="1" t="s">
        <v>7560</v>
      </c>
      <c r="AC2376" s="1">
        <v>25.0</v>
      </c>
      <c r="AD2376" s="1" t="s">
        <v>971</v>
      </c>
      <c r="AG2376" s="9" t="s">
        <v>7557</v>
      </c>
      <c r="AM2376" s="1">
        <v>200870.0</v>
      </c>
      <c r="AN2376" s="1">
        <v>36165.0</v>
      </c>
      <c r="AO2376" s="1">
        <v>36165.0</v>
      </c>
      <c r="AP2376" s="1">
        <v>13.854</v>
      </c>
      <c r="AR2376" s="1">
        <v>1434.0</v>
      </c>
      <c r="AS2376" s="1">
        <v>216.0</v>
      </c>
      <c r="AT2376" s="1">
        <v>6.639</v>
      </c>
      <c r="AU2376" s="1">
        <v>71.073</v>
      </c>
      <c r="AV2376" s="1" t="s">
        <v>1264</v>
      </c>
      <c r="AW2376" s="1">
        <v>5.455</v>
      </c>
      <c r="AX2376" s="1">
        <v>5.0</v>
      </c>
      <c r="AY2376" s="1">
        <v>1.0</v>
      </c>
      <c r="AZ2376" s="1">
        <v>1.0</v>
      </c>
      <c r="BA2376" s="1">
        <v>10.0</v>
      </c>
      <c r="BB2376" s="1">
        <v>10.0</v>
      </c>
      <c r="BC2376" s="1">
        <v>0.0</v>
      </c>
      <c r="BD2376" s="1">
        <v>1.33</v>
      </c>
      <c r="BE2376" s="1">
        <v>129.0</v>
      </c>
      <c r="BF2376" s="1">
        <v>47.0</v>
      </c>
      <c r="BG2376" s="1">
        <v>0.0</v>
      </c>
      <c r="BH2376" s="1">
        <v>16.0</v>
      </c>
      <c r="BI2376" s="1">
        <v>8.0</v>
      </c>
      <c r="BJ2376" s="1">
        <v>0.0</v>
      </c>
      <c r="BO2376" s="1" t="s">
        <v>7563</v>
      </c>
      <c r="BP2376" s="1">
        <v>0.976</v>
      </c>
      <c r="BU2376" s="1" t="s">
        <v>974</v>
      </c>
      <c r="BV2376" s="1">
        <v>1.1</v>
      </c>
      <c r="EQ2376" s="9" t="s">
        <v>7557</v>
      </c>
      <c r="ER2376" s="21">
        <v>46045.302407407406</v>
      </c>
    </row>
    <row r="2377">
      <c r="A2377" s="9" t="s">
        <v>7564</v>
      </c>
      <c r="B2377" s="20" t="str">
        <f>IFERROR(__xludf.DUMMYFUNCTION("REGEXREPLACE(A2377, ""^https?://[^/]+"", """")"),"/sales-growth-bottled-up-how-tech-company-leaders-can-break-free-and-find-renewed-success/")</f>
        <v>/sales-growth-bottled-up-how-tech-company-leaders-can-break-free-and-find-renewed-success/</v>
      </c>
      <c r="C2377" s="1" t="s">
        <v>7565</v>
      </c>
      <c r="D2377" s="1" t="s">
        <v>7566</v>
      </c>
      <c r="E2377" s="1" t="s">
        <v>7567</v>
      </c>
      <c r="F2377" s="1" t="s">
        <v>965</v>
      </c>
      <c r="G2377" s="1">
        <v>200.0</v>
      </c>
      <c r="H2377" s="1" t="s">
        <v>966</v>
      </c>
      <c r="I2377" s="1" t="s">
        <v>967</v>
      </c>
      <c r="K2377" s="1" t="s">
        <v>7568</v>
      </c>
      <c r="L2377" s="1">
        <v>114.0</v>
      </c>
      <c r="M2377" s="1">
        <v>1089.0</v>
      </c>
      <c r="O2377" s="1">
        <v>0.0</v>
      </c>
      <c r="P2377" s="1">
        <v>0.0</v>
      </c>
      <c r="Q2377" s="1" t="s">
        <v>7569</v>
      </c>
      <c r="R2377" s="1">
        <v>151.0</v>
      </c>
      <c r="S2377" s="1">
        <v>945.0</v>
      </c>
      <c r="U2377" s="1">
        <v>0.0</v>
      </c>
      <c r="V2377" s="1" t="s">
        <v>7565</v>
      </c>
      <c r="W2377" s="1">
        <v>89.0</v>
      </c>
      <c r="Y2377" s="1">
        <v>0.0</v>
      </c>
      <c r="Z2377" s="1" t="s">
        <v>7566</v>
      </c>
      <c r="AA2377" s="1">
        <v>56.0</v>
      </c>
      <c r="AB2377" s="1" t="s">
        <v>7567</v>
      </c>
      <c r="AC2377" s="1">
        <v>17.0</v>
      </c>
      <c r="AD2377" s="1" t="s">
        <v>971</v>
      </c>
      <c r="AG2377" s="9" t="s">
        <v>7564</v>
      </c>
      <c r="AM2377" s="1">
        <v>203136.0</v>
      </c>
      <c r="AN2377" s="1">
        <v>36991.0</v>
      </c>
      <c r="AO2377" s="1">
        <v>36991.0</v>
      </c>
      <c r="AP2377" s="1">
        <v>14.171</v>
      </c>
      <c r="AR2377" s="1">
        <v>1729.0</v>
      </c>
      <c r="AS2377" s="1">
        <v>256.0</v>
      </c>
      <c r="AT2377" s="1">
        <v>6.754</v>
      </c>
      <c r="AU2377" s="1">
        <v>62.535</v>
      </c>
      <c r="AV2377" s="1" t="s">
        <v>990</v>
      </c>
      <c r="AW2377" s="1">
        <v>6.463</v>
      </c>
      <c r="AX2377" s="1">
        <v>5.0</v>
      </c>
      <c r="AY2377" s="1">
        <v>1.0</v>
      </c>
      <c r="AZ2377" s="1">
        <v>1.0</v>
      </c>
      <c r="BA2377" s="1">
        <v>13.0</v>
      </c>
      <c r="BB2377" s="1">
        <v>11.0</v>
      </c>
      <c r="BC2377" s="1">
        <v>0.0</v>
      </c>
      <c r="BD2377" s="1">
        <v>1.46</v>
      </c>
      <c r="BE2377" s="1">
        <v>129.0</v>
      </c>
      <c r="BF2377" s="1">
        <v>47.0</v>
      </c>
      <c r="BG2377" s="1">
        <v>0.0</v>
      </c>
      <c r="BH2377" s="1">
        <v>16.0</v>
      </c>
      <c r="BI2377" s="1">
        <v>8.0</v>
      </c>
      <c r="BJ2377" s="1">
        <v>0.0</v>
      </c>
      <c r="BO2377" s="1" t="s">
        <v>7570</v>
      </c>
      <c r="BP2377" s="1">
        <v>1.027</v>
      </c>
      <c r="BU2377" s="1" t="s">
        <v>974</v>
      </c>
      <c r="BV2377" s="1">
        <v>1.1</v>
      </c>
      <c r="EQ2377" s="9" t="s">
        <v>7564</v>
      </c>
      <c r="ER2377" s="21">
        <v>46045.302407407406</v>
      </c>
    </row>
    <row r="2378">
      <c r="A2378" s="9" t="s">
        <v>7571</v>
      </c>
      <c r="B2378" s="20" t="str">
        <f>IFERROR(__xludf.DUMMYFUNCTION("REGEXREPLACE(A2378, ""^https?://[^/]+"", """")"),"/wp-content/uploads/2022/04/Growth-Bottled-Up-2048x2048.jpg")</f>
        <v>/wp-content/uploads/2022/04/Growth-Bottled-Up-2048x2048.jpg</v>
      </c>
      <c r="F2378" s="1" t="s">
        <v>1004</v>
      </c>
      <c r="G2378" s="1">
        <v>200.0</v>
      </c>
      <c r="H2378" s="1" t="s">
        <v>966</v>
      </c>
      <c r="I2378" s="1" t="s">
        <v>967</v>
      </c>
      <c r="L2378" s="1">
        <v>0.0</v>
      </c>
      <c r="M2378" s="1">
        <v>0.0</v>
      </c>
      <c r="O2378" s="1">
        <v>0.0</v>
      </c>
      <c r="P2378" s="1">
        <v>0.0</v>
      </c>
      <c r="R2378" s="1">
        <v>0.0</v>
      </c>
      <c r="S2378" s="1">
        <v>0.0</v>
      </c>
      <c r="U2378" s="1">
        <v>0.0</v>
      </c>
      <c r="W2378" s="1">
        <v>0.0</v>
      </c>
      <c r="Y2378" s="1">
        <v>0.0</v>
      </c>
      <c r="AA2378" s="1">
        <v>0.0</v>
      </c>
      <c r="AC2378" s="1">
        <v>0.0</v>
      </c>
      <c r="AM2378" s="1">
        <v>434127.0</v>
      </c>
      <c r="AN2378" s="1">
        <v>434127.0</v>
      </c>
      <c r="AO2378" s="1">
        <v>434127.0</v>
      </c>
      <c r="AP2378" s="1">
        <v>166.306</v>
      </c>
      <c r="AR2378" s="1">
        <v>0.0</v>
      </c>
      <c r="AW2378" s="1">
        <v>0.0</v>
      </c>
      <c r="AX2378" s="1">
        <v>5.0</v>
      </c>
      <c r="AY2378" s="1">
        <v>4.0</v>
      </c>
      <c r="BA2378" s="1">
        <v>0.0</v>
      </c>
      <c r="BB2378" s="1">
        <v>0.0</v>
      </c>
      <c r="BC2378" s="1">
        <v>0.0</v>
      </c>
      <c r="BD2378" s="1">
        <v>0.0</v>
      </c>
      <c r="BE2378" s="1">
        <v>0.0</v>
      </c>
      <c r="BF2378" s="1">
        <v>0.0</v>
      </c>
      <c r="BG2378" s="1">
        <v>0.0</v>
      </c>
      <c r="BH2378" s="1">
        <v>0.0</v>
      </c>
      <c r="BI2378" s="1">
        <v>0.0</v>
      </c>
      <c r="BJ2378" s="1">
        <v>0.0</v>
      </c>
      <c r="BP2378" s="1">
        <v>0.411</v>
      </c>
      <c r="BQ2378" s="1" t="s">
        <v>7572</v>
      </c>
      <c r="BV2378" s="1">
        <v>1.1</v>
      </c>
      <c r="EQ2378" s="9" t="s">
        <v>7571</v>
      </c>
      <c r="ER2378" s="21">
        <v>46045.30241898148</v>
      </c>
    </row>
    <row r="2379">
      <c r="A2379" s="9" t="s">
        <v>7573</v>
      </c>
      <c r="B2379" s="20" t="str">
        <f>IFERROR(__xludf.DUMMYFUNCTION("REGEXREPLACE(A2379, ""^https?://[^/]+"", """")"),"/gaining-a-competitive-advantage-in-the-new-b2b-buyer-funnel/")</f>
        <v>/gaining-a-competitive-advantage-in-the-new-b2b-buyer-funnel/</v>
      </c>
      <c r="C2379" s="1" t="s">
        <v>7574</v>
      </c>
      <c r="D2379" s="1" t="s">
        <v>7575</v>
      </c>
      <c r="E2379" s="1" t="s">
        <v>7576</v>
      </c>
      <c r="F2379" s="1" t="s">
        <v>965</v>
      </c>
      <c r="G2379" s="1">
        <v>200.0</v>
      </c>
      <c r="H2379" s="1" t="s">
        <v>966</v>
      </c>
      <c r="I2379" s="1" t="s">
        <v>967</v>
      </c>
      <c r="K2379" s="1" t="s">
        <v>7577</v>
      </c>
      <c r="L2379" s="1">
        <v>84.0</v>
      </c>
      <c r="M2379" s="1">
        <v>774.0</v>
      </c>
      <c r="O2379" s="1">
        <v>0.0</v>
      </c>
      <c r="P2379" s="1">
        <v>0.0</v>
      </c>
      <c r="Q2379" s="1" t="s">
        <v>7578</v>
      </c>
      <c r="R2379" s="1">
        <v>122.0</v>
      </c>
      <c r="S2379" s="1">
        <v>746.0</v>
      </c>
      <c r="U2379" s="1">
        <v>0.0</v>
      </c>
      <c r="V2379" s="1" t="s">
        <v>7574</v>
      </c>
      <c r="W2379" s="1">
        <v>59.0</v>
      </c>
      <c r="Y2379" s="1">
        <v>0.0</v>
      </c>
      <c r="Z2379" s="1" t="s">
        <v>7575</v>
      </c>
      <c r="AA2379" s="1">
        <v>33.0</v>
      </c>
      <c r="AB2379" s="1" t="s">
        <v>7576</v>
      </c>
      <c r="AC2379" s="1">
        <v>19.0</v>
      </c>
      <c r="AD2379" s="1" t="s">
        <v>971</v>
      </c>
      <c r="AG2379" s="9" t="s">
        <v>7573</v>
      </c>
      <c r="AM2379" s="1">
        <v>200380.0</v>
      </c>
      <c r="AN2379" s="1">
        <v>36026.0</v>
      </c>
      <c r="AO2379" s="1">
        <v>36026.0</v>
      </c>
      <c r="AP2379" s="1">
        <v>13.801</v>
      </c>
      <c r="AR2379" s="1">
        <v>1404.0</v>
      </c>
      <c r="AS2379" s="1">
        <v>208.0</v>
      </c>
      <c r="AT2379" s="1">
        <v>6.75</v>
      </c>
      <c r="AU2379" s="1">
        <v>65.612</v>
      </c>
      <c r="AV2379" s="1" t="s">
        <v>990</v>
      </c>
      <c r="AW2379" s="1">
        <v>5.557</v>
      </c>
      <c r="AX2379" s="1">
        <v>5.0</v>
      </c>
      <c r="AY2379" s="1">
        <v>1.0</v>
      </c>
      <c r="AZ2379" s="1">
        <v>1.0</v>
      </c>
      <c r="BA2379" s="1">
        <v>10.0</v>
      </c>
      <c r="BB2379" s="1">
        <v>10.0</v>
      </c>
      <c r="BC2379" s="1">
        <v>0.0</v>
      </c>
      <c r="BD2379" s="1">
        <v>1.33</v>
      </c>
      <c r="BE2379" s="1">
        <v>130.0</v>
      </c>
      <c r="BF2379" s="1">
        <v>48.0</v>
      </c>
      <c r="BG2379" s="1">
        <v>0.0</v>
      </c>
      <c r="BH2379" s="1">
        <v>16.0</v>
      </c>
      <c r="BI2379" s="1">
        <v>8.0</v>
      </c>
      <c r="BJ2379" s="1">
        <v>0.0</v>
      </c>
      <c r="BO2379" s="1" t="s">
        <v>7579</v>
      </c>
      <c r="BP2379" s="1">
        <v>1.053</v>
      </c>
      <c r="BU2379" s="1" t="s">
        <v>974</v>
      </c>
      <c r="BV2379" s="1">
        <v>1.1</v>
      </c>
      <c r="EQ2379" s="9" t="s">
        <v>7573</v>
      </c>
      <c r="ER2379" s="21">
        <v>46045.30241898148</v>
      </c>
    </row>
    <row r="2380">
      <c r="A2380" s="9" t="s">
        <v>7580</v>
      </c>
      <c r="B2380" s="20" t="str">
        <f>IFERROR(__xludf.DUMMYFUNCTION("REGEXREPLACE(A2380, ""^https?://[^/]+"", """")"),"/wp-content/uploads/2022/01/assessment-300x300.jpg")</f>
        <v>/wp-content/uploads/2022/01/assessment-300x300.jpg</v>
      </c>
      <c r="F2380" s="1" t="s">
        <v>1004</v>
      </c>
      <c r="G2380" s="1">
        <v>200.0</v>
      </c>
      <c r="H2380" s="1" t="s">
        <v>966</v>
      </c>
      <c r="I2380" s="1" t="s">
        <v>967</v>
      </c>
      <c r="L2380" s="1">
        <v>0.0</v>
      </c>
      <c r="M2380" s="1">
        <v>0.0</v>
      </c>
      <c r="O2380" s="1">
        <v>0.0</v>
      </c>
      <c r="P2380" s="1">
        <v>0.0</v>
      </c>
      <c r="R2380" s="1">
        <v>0.0</v>
      </c>
      <c r="S2380" s="1">
        <v>0.0</v>
      </c>
      <c r="U2380" s="1">
        <v>0.0</v>
      </c>
      <c r="W2380" s="1">
        <v>0.0</v>
      </c>
      <c r="Y2380" s="1">
        <v>0.0</v>
      </c>
      <c r="AA2380" s="1">
        <v>0.0</v>
      </c>
      <c r="AC2380" s="1">
        <v>0.0</v>
      </c>
      <c r="AM2380" s="1">
        <v>20093.0</v>
      </c>
      <c r="AN2380" s="1">
        <v>20093.0</v>
      </c>
      <c r="AO2380" s="1">
        <v>20093.0</v>
      </c>
      <c r="AP2380" s="1">
        <v>7.697</v>
      </c>
      <c r="AR2380" s="1">
        <v>0.0</v>
      </c>
      <c r="AW2380" s="1">
        <v>0.0</v>
      </c>
      <c r="AX2380" s="1">
        <v>5.0</v>
      </c>
      <c r="AY2380" s="1">
        <v>4.0</v>
      </c>
      <c r="BA2380" s="1">
        <v>0.0</v>
      </c>
      <c r="BB2380" s="1">
        <v>0.0</v>
      </c>
      <c r="BC2380" s="1">
        <v>0.0</v>
      </c>
      <c r="BD2380" s="1">
        <v>0.0</v>
      </c>
      <c r="BE2380" s="1">
        <v>0.0</v>
      </c>
      <c r="BF2380" s="1">
        <v>0.0</v>
      </c>
      <c r="BG2380" s="1">
        <v>0.0</v>
      </c>
      <c r="BH2380" s="1">
        <v>0.0</v>
      </c>
      <c r="BI2380" s="1">
        <v>0.0</v>
      </c>
      <c r="BJ2380" s="1">
        <v>0.0</v>
      </c>
      <c r="BP2380" s="1">
        <v>0.311</v>
      </c>
      <c r="BQ2380" s="1" t="s">
        <v>7581</v>
      </c>
      <c r="BV2380" s="1">
        <v>1.1</v>
      </c>
      <c r="EQ2380" s="9" t="s">
        <v>7580</v>
      </c>
      <c r="ER2380" s="21">
        <v>46045.30243055556</v>
      </c>
    </row>
    <row r="2381">
      <c r="A2381" s="9" t="s">
        <v>7582</v>
      </c>
      <c r="B2381" s="20" t="str">
        <f>IFERROR(__xludf.DUMMYFUNCTION("REGEXREPLACE(A2381, ""^https?://[^/]+"", """")"),"/5-emerging-sales-strategies-and-how-to-use-them/")</f>
        <v>/5-emerging-sales-strategies-and-how-to-use-them/</v>
      </c>
      <c r="C2381" s="1" t="s">
        <v>7583</v>
      </c>
      <c r="D2381" s="1" t="s">
        <v>7584</v>
      </c>
      <c r="E2381" s="1" t="s">
        <v>7585</v>
      </c>
      <c r="F2381" s="1" t="s">
        <v>965</v>
      </c>
      <c r="G2381" s="1">
        <v>200.0</v>
      </c>
      <c r="H2381" s="1" t="s">
        <v>966</v>
      </c>
      <c r="I2381" s="1" t="s">
        <v>967</v>
      </c>
      <c r="K2381" s="1" t="s">
        <v>7586</v>
      </c>
      <c r="L2381" s="1">
        <v>75.0</v>
      </c>
      <c r="M2381" s="1">
        <v>695.0</v>
      </c>
      <c r="O2381" s="1">
        <v>0.0</v>
      </c>
      <c r="P2381" s="1">
        <v>0.0</v>
      </c>
      <c r="Q2381" s="1" t="s">
        <v>7587</v>
      </c>
      <c r="R2381" s="1">
        <v>142.0</v>
      </c>
      <c r="S2381" s="1">
        <v>877.0</v>
      </c>
      <c r="U2381" s="1">
        <v>0.0</v>
      </c>
      <c r="V2381" s="1" t="s">
        <v>7583</v>
      </c>
      <c r="W2381" s="1">
        <v>50.0</v>
      </c>
      <c r="Y2381" s="1">
        <v>0.0</v>
      </c>
      <c r="Z2381" s="1" t="s">
        <v>7584</v>
      </c>
      <c r="AA2381" s="1">
        <v>63.0</v>
      </c>
      <c r="AB2381" s="1" t="s">
        <v>7585</v>
      </c>
      <c r="AC2381" s="1">
        <v>80.0</v>
      </c>
      <c r="AD2381" s="1" t="s">
        <v>971</v>
      </c>
      <c r="AG2381" s="9" t="s">
        <v>7582</v>
      </c>
      <c r="AM2381" s="1">
        <v>200715.0</v>
      </c>
      <c r="AN2381" s="1">
        <v>36894.0</v>
      </c>
      <c r="AO2381" s="1">
        <v>36894.0</v>
      </c>
      <c r="AP2381" s="1">
        <v>14.133</v>
      </c>
      <c r="AR2381" s="1">
        <v>1845.0</v>
      </c>
      <c r="AS2381" s="1">
        <v>257.0</v>
      </c>
      <c r="AT2381" s="1">
        <v>7.179</v>
      </c>
      <c r="AU2381" s="1">
        <v>64.784</v>
      </c>
      <c r="AV2381" s="1" t="s">
        <v>990</v>
      </c>
      <c r="AW2381" s="1">
        <v>6.887</v>
      </c>
      <c r="AX2381" s="1">
        <v>5.0</v>
      </c>
      <c r="AY2381" s="1">
        <v>1.0</v>
      </c>
      <c r="AZ2381" s="1">
        <v>1.0</v>
      </c>
      <c r="BA2381" s="1">
        <v>6.0</v>
      </c>
      <c r="BB2381" s="1">
        <v>6.0</v>
      </c>
      <c r="BC2381" s="1">
        <v>0.0</v>
      </c>
      <c r="BD2381" s="1">
        <v>0.8</v>
      </c>
      <c r="BE2381" s="1">
        <v>133.0</v>
      </c>
      <c r="BF2381" s="1">
        <v>49.0</v>
      </c>
      <c r="BG2381" s="1">
        <v>0.0</v>
      </c>
      <c r="BH2381" s="1">
        <v>17.0</v>
      </c>
      <c r="BI2381" s="1">
        <v>9.0</v>
      </c>
      <c r="BJ2381" s="1">
        <v>0.0</v>
      </c>
      <c r="BO2381" s="1" t="s">
        <v>7588</v>
      </c>
      <c r="BP2381" s="1">
        <v>1.476</v>
      </c>
      <c r="BU2381" s="1" t="s">
        <v>974</v>
      </c>
      <c r="BV2381" s="1">
        <v>1.1</v>
      </c>
      <c r="EQ2381" s="9" t="s">
        <v>7582</v>
      </c>
      <c r="ER2381" s="21">
        <v>46045.30241898148</v>
      </c>
    </row>
    <row r="2382">
      <c r="A2382" s="9" t="s">
        <v>7589</v>
      </c>
      <c r="B2382" s="20" t="str">
        <f>IFERROR(__xludf.DUMMYFUNCTION("REGEXREPLACE(A2382, ""^https?://[^/]+"", """")"),"/wp-content/themes/salesxceleratione/assets/css/style.css?ver=1769123631")</f>
        <v>/wp-content/themes/salesxceleratione/assets/css/style.css?ver=1769123631</v>
      </c>
      <c r="F2382" s="1" t="s">
        <v>1016</v>
      </c>
      <c r="G2382" s="1">
        <v>200.0</v>
      </c>
      <c r="H2382" s="1" t="s">
        <v>966</v>
      </c>
      <c r="I2382" s="1" t="s">
        <v>967</v>
      </c>
      <c r="L2382" s="1">
        <v>0.0</v>
      </c>
      <c r="M2382" s="1">
        <v>0.0</v>
      </c>
      <c r="O2382" s="1">
        <v>0.0</v>
      </c>
      <c r="P2382" s="1">
        <v>0.0</v>
      </c>
      <c r="R2382" s="1">
        <v>0.0</v>
      </c>
      <c r="S2382" s="1">
        <v>0.0</v>
      </c>
      <c r="U2382" s="1">
        <v>0.0</v>
      </c>
      <c r="W2382" s="1">
        <v>0.0</v>
      </c>
      <c r="Y2382" s="1">
        <v>0.0</v>
      </c>
      <c r="AA2382" s="1">
        <v>0.0</v>
      </c>
      <c r="AC2382" s="1">
        <v>0.0</v>
      </c>
      <c r="AM2382" s="1">
        <v>17704.0</v>
      </c>
      <c r="AN2382" s="1">
        <v>17704.0</v>
      </c>
      <c r="AO2382" s="1">
        <v>17704.0</v>
      </c>
      <c r="AP2382" s="1">
        <v>6.782</v>
      </c>
      <c r="AR2382" s="1">
        <v>0.0</v>
      </c>
      <c r="AW2382" s="1">
        <v>0.0</v>
      </c>
      <c r="AX2382" s="1">
        <v>5.0</v>
      </c>
      <c r="AY2382" s="1">
        <v>5.0</v>
      </c>
      <c r="BA2382" s="1">
        <v>0.0</v>
      </c>
      <c r="BB2382" s="1">
        <v>0.0</v>
      </c>
      <c r="BC2382" s="1">
        <v>0.0</v>
      </c>
      <c r="BD2382" s="1">
        <v>0.0</v>
      </c>
      <c r="BE2382" s="1">
        <v>0.0</v>
      </c>
      <c r="BF2382" s="1">
        <v>0.0</v>
      </c>
      <c r="BG2382" s="1">
        <v>0.0</v>
      </c>
      <c r="BH2382" s="1">
        <v>0.0</v>
      </c>
      <c r="BI2382" s="1">
        <v>0.0</v>
      </c>
      <c r="BJ2382" s="1">
        <v>0.0</v>
      </c>
      <c r="BP2382" s="1">
        <v>0.258</v>
      </c>
      <c r="BQ2382" s="1" t="s">
        <v>6026</v>
      </c>
      <c r="BV2382" s="1">
        <v>1.1</v>
      </c>
      <c r="EQ2382" s="9" t="s">
        <v>7589</v>
      </c>
      <c r="ER2382" s="21">
        <v>46045.30244212963</v>
      </c>
    </row>
    <row r="2383">
      <c r="A2383" s="9" t="s">
        <v>7590</v>
      </c>
      <c r="B2383" s="20" t="str">
        <f>IFERROR(__xludf.DUMMYFUNCTION("REGEXREPLACE(A2383, ""^https?://[^/]+"", """")"),"/exit-planning-for-modern-leaders-how-to-determine-your-companys-worth/")</f>
        <v>/exit-planning-for-modern-leaders-how-to-determine-your-companys-worth/</v>
      </c>
      <c r="C2383" s="1" t="s">
        <v>7591</v>
      </c>
      <c r="F2383" s="1" t="s">
        <v>965</v>
      </c>
      <c r="G2383" s="1">
        <v>200.0</v>
      </c>
      <c r="H2383" s="1" t="s">
        <v>966</v>
      </c>
      <c r="I2383" s="1" t="s">
        <v>967</v>
      </c>
      <c r="K2383" s="1" t="s">
        <v>7592</v>
      </c>
      <c r="L2383" s="1">
        <v>96.0</v>
      </c>
      <c r="M2383" s="1">
        <v>891.0</v>
      </c>
      <c r="O2383" s="1">
        <v>0.0</v>
      </c>
      <c r="P2383" s="1">
        <v>0.0</v>
      </c>
      <c r="Q2383" s="1" t="s">
        <v>7593</v>
      </c>
      <c r="R2383" s="1">
        <v>112.0</v>
      </c>
      <c r="S2383" s="1">
        <v>673.0</v>
      </c>
      <c r="U2383" s="1">
        <v>0.0</v>
      </c>
      <c r="V2383" s="1" t="s">
        <v>7591</v>
      </c>
      <c r="W2383" s="1">
        <v>71.0</v>
      </c>
      <c r="Y2383" s="1">
        <v>0.0</v>
      </c>
      <c r="AA2383" s="1">
        <v>0.0</v>
      </c>
      <c r="AC2383" s="1">
        <v>0.0</v>
      </c>
      <c r="AD2383" s="1" t="s">
        <v>971</v>
      </c>
      <c r="AG2383" s="9" t="s">
        <v>7590</v>
      </c>
      <c r="AM2383" s="1">
        <v>198361.0</v>
      </c>
      <c r="AN2383" s="1">
        <v>34418.0</v>
      </c>
      <c r="AO2383" s="1">
        <v>34418.0</v>
      </c>
      <c r="AP2383" s="1">
        <v>13.185</v>
      </c>
      <c r="AR2383" s="1">
        <v>794.0</v>
      </c>
      <c r="AS2383" s="1">
        <v>127.0</v>
      </c>
      <c r="AT2383" s="1">
        <v>6.252</v>
      </c>
      <c r="AU2383" s="1">
        <v>66.237</v>
      </c>
      <c r="AV2383" s="1" t="s">
        <v>990</v>
      </c>
      <c r="AW2383" s="1">
        <v>3.628</v>
      </c>
      <c r="AX2383" s="1">
        <v>5.0</v>
      </c>
      <c r="AY2383" s="1">
        <v>1.0</v>
      </c>
      <c r="AZ2383" s="1">
        <v>1.0</v>
      </c>
      <c r="BA2383" s="1">
        <v>3.0</v>
      </c>
      <c r="BB2383" s="1">
        <v>1.0</v>
      </c>
      <c r="BC2383" s="1">
        <v>0.0</v>
      </c>
      <c r="BD2383" s="1">
        <v>0.13</v>
      </c>
      <c r="BE2383" s="1">
        <v>130.0</v>
      </c>
      <c r="BF2383" s="1">
        <v>48.0</v>
      </c>
      <c r="BG2383" s="1">
        <v>0.0</v>
      </c>
      <c r="BH2383" s="1">
        <v>18.0</v>
      </c>
      <c r="BI2383" s="1">
        <v>10.0</v>
      </c>
      <c r="BJ2383" s="1">
        <v>0.0</v>
      </c>
      <c r="BO2383" s="1" t="s">
        <v>7594</v>
      </c>
      <c r="BP2383" s="1">
        <v>1.049</v>
      </c>
      <c r="BU2383" s="1" t="s">
        <v>974</v>
      </c>
      <c r="BV2383" s="1">
        <v>1.1</v>
      </c>
      <c r="EQ2383" s="9" t="s">
        <v>7590</v>
      </c>
      <c r="ER2383" s="21">
        <v>46045.30241898148</v>
      </c>
    </row>
    <row r="2384">
      <c r="A2384" s="9" t="s">
        <v>7595</v>
      </c>
      <c r="B2384" s="20" t="str">
        <f>IFERROR(__xludf.DUMMYFUNCTION("REGEXREPLACE(A2384, ""^https?://[^/]+"", """")"),"/sales-agility-excellence-the-sales-infrastructure-you-need-to-enable-success/")</f>
        <v>/sales-agility-excellence-the-sales-infrastructure-you-need-to-enable-success/</v>
      </c>
      <c r="C2384" s="1" t="s">
        <v>7596</v>
      </c>
      <c r="F2384" s="1" t="s">
        <v>965</v>
      </c>
      <c r="G2384" s="1">
        <v>200.0</v>
      </c>
      <c r="H2384" s="1" t="s">
        <v>966</v>
      </c>
      <c r="I2384" s="1" t="s">
        <v>967</v>
      </c>
      <c r="K2384" s="1" t="s">
        <v>7597</v>
      </c>
      <c r="L2384" s="1">
        <v>121.0</v>
      </c>
      <c r="M2384" s="1">
        <v>1068.0</v>
      </c>
      <c r="O2384" s="1">
        <v>0.0</v>
      </c>
      <c r="P2384" s="1">
        <v>0.0</v>
      </c>
      <c r="Q2384" s="1" t="s">
        <v>7598</v>
      </c>
      <c r="R2384" s="1">
        <v>101.0</v>
      </c>
      <c r="S2384" s="1">
        <v>638.0</v>
      </c>
      <c r="U2384" s="1">
        <v>0.0</v>
      </c>
      <c r="V2384" s="1" t="s">
        <v>7596</v>
      </c>
      <c r="W2384" s="1">
        <v>96.0</v>
      </c>
      <c r="Y2384" s="1">
        <v>0.0</v>
      </c>
      <c r="AA2384" s="1">
        <v>0.0</v>
      </c>
      <c r="AC2384" s="1">
        <v>0.0</v>
      </c>
      <c r="AD2384" s="1" t="s">
        <v>971</v>
      </c>
      <c r="AG2384" s="9" t="s">
        <v>7595</v>
      </c>
      <c r="AM2384" s="1">
        <v>197326.0</v>
      </c>
      <c r="AN2384" s="1">
        <v>33940.0</v>
      </c>
      <c r="AO2384" s="1">
        <v>33940.0</v>
      </c>
      <c r="AP2384" s="1">
        <v>13.002</v>
      </c>
      <c r="AR2384" s="1">
        <v>683.0</v>
      </c>
      <c r="AS2384" s="1">
        <v>119.0</v>
      </c>
      <c r="AT2384" s="1">
        <v>5.739</v>
      </c>
      <c r="AU2384" s="1">
        <v>59.927</v>
      </c>
      <c r="AV2384" s="1" t="s">
        <v>972</v>
      </c>
      <c r="AW2384" s="1">
        <v>3.379</v>
      </c>
      <c r="AX2384" s="1">
        <v>5.0</v>
      </c>
      <c r="AY2384" s="1">
        <v>1.0</v>
      </c>
      <c r="AZ2384" s="1">
        <v>1.0</v>
      </c>
      <c r="BA2384" s="1">
        <v>5.0</v>
      </c>
      <c r="BB2384" s="1">
        <v>3.0</v>
      </c>
      <c r="BC2384" s="1">
        <v>0.0</v>
      </c>
      <c r="BD2384" s="1">
        <v>0.4</v>
      </c>
      <c r="BE2384" s="1">
        <v>130.0</v>
      </c>
      <c r="BF2384" s="1">
        <v>47.0</v>
      </c>
      <c r="BG2384" s="1">
        <v>0.0</v>
      </c>
      <c r="BH2384" s="1">
        <v>17.0</v>
      </c>
      <c r="BI2384" s="1">
        <v>9.0</v>
      </c>
      <c r="BJ2384" s="1">
        <v>0.0</v>
      </c>
      <c r="BO2384" s="1" t="s">
        <v>7599</v>
      </c>
      <c r="BP2384" s="1">
        <v>1.204</v>
      </c>
      <c r="BU2384" s="1" t="s">
        <v>974</v>
      </c>
      <c r="BV2384" s="1">
        <v>1.1</v>
      </c>
      <c r="EQ2384" s="9" t="s">
        <v>7595</v>
      </c>
      <c r="ER2384" s="21">
        <v>46045.30243055556</v>
      </c>
    </row>
    <row r="2385">
      <c r="A2385" s="9" t="s">
        <v>7600</v>
      </c>
      <c r="B2385" s="20" t="str">
        <f>IFERROR(__xludf.DUMMYFUNCTION("REGEXREPLACE(A2385, ""^https?://[^/]+"", """")"),"/wp-content/uploads/2022/03/Exit-Planning-300x200.jpg")</f>
        <v>/wp-content/uploads/2022/03/Exit-Planning-300x200.jpg</v>
      </c>
      <c r="F2385" s="1" t="s">
        <v>1004</v>
      </c>
      <c r="G2385" s="1">
        <v>200.0</v>
      </c>
      <c r="H2385" s="1" t="s">
        <v>966</v>
      </c>
      <c r="I2385" s="1" t="s">
        <v>967</v>
      </c>
      <c r="L2385" s="1">
        <v>0.0</v>
      </c>
      <c r="M2385" s="1">
        <v>0.0</v>
      </c>
      <c r="O2385" s="1">
        <v>0.0</v>
      </c>
      <c r="P2385" s="1">
        <v>0.0</v>
      </c>
      <c r="R2385" s="1">
        <v>0.0</v>
      </c>
      <c r="S2385" s="1">
        <v>0.0</v>
      </c>
      <c r="U2385" s="1">
        <v>0.0</v>
      </c>
      <c r="W2385" s="1">
        <v>0.0</v>
      </c>
      <c r="Y2385" s="1">
        <v>0.0</v>
      </c>
      <c r="AA2385" s="1">
        <v>0.0</v>
      </c>
      <c r="AC2385" s="1">
        <v>0.0</v>
      </c>
      <c r="AM2385" s="1">
        <v>17674.0</v>
      </c>
      <c r="AN2385" s="1">
        <v>17674.0</v>
      </c>
      <c r="AO2385" s="1">
        <v>17674.0</v>
      </c>
      <c r="AP2385" s="1">
        <v>6.771</v>
      </c>
      <c r="AR2385" s="1">
        <v>0.0</v>
      </c>
      <c r="AW2385" s="1">
        <v>0.0</v>
      </c>
      <c r="AX2385" s="1">
        <v>5.0</v>
      </c>
      <c r="AY2385" s="1">
        <v>4.0</v>
      </c>
      <c r="BA2385" s="1">
        <v>0.0</v>
      </c>
      <c r="BB2385" s="1">
        <v>0.0</v>
      </c>
      <c r="BC2385" s="1">
        <v>0.0</v>
      </c>
      <c r="BD2385" s="1">
        <v>0.0</v>
      </c>
      <c r="BE2385" s="1">
        <v>0.0</v>
      </c>
      <c r="BF2385" s="1">
        <v>0.0</v>
      </c>
      <c r="BG2385" s="1">
        <v>0.0</v>
      </c>
      <c r="BH2385" s="1">
        <v>0.0</v>
      </c>
      <c r="BI2385" s="1">
        <v>0.0</v>
      </c>
      <c r="BJ2385" s="1">
        <v>0.0</v>
      </c>
      <c r="BP2385" s="1">
        <v>0.256</v>
      </c>
      <c r="BQ2385" s="1" t="s">
        <v>7601</v>
      </c>
      <c r="BV2385" s="1">
        <v>1.1</v>
      </c>
      <c r="EQ2385" s="9" t="s">
        <v>7600</v>
      </c>
      <c r="ER2385" s="21">
        <v>46045.30244212963</v>
      </c>
    </row>
    <row r="2386">
      <c r="A2386" s="9" t="s">
        <v>7602</v>
      </c>
      <c r="B2386" s="20" t="str">
        <f>IFERROR(__xludf.DUMMYFUNCTION("REGEXREPLACE(A2386, ""^https?://[^/]+"", """")"),"/wp-content/uploads/2021/08/choppy-blue-sea-with-blue-sky-and-sun-300x300.jpg")</f>
        <v>/wp-content/uploads/2021/08/choppy-blue-sea-with-blue-sky-and-sun-300x300.jpg</v>
      </c>
      <c r="F2386" s="1" t="s">
        <v>1004</v>
      </c>
      <c r="G2386" s="1">
        <v>200.0</v>
      </c>
      <c r="H2386" s="1" t="s">
        <v>966</v>
      </c>
      <c r="I2386" s="1" t="s">
        <v>967</v>
      </c>
      <c r="L2386" s="1">
        <v>0.0</v>
      </c>
      <c r="M2386" s="1">
        <v>0.0</v>
      </c>
      <c r="O2386" s="1">
        <v>0.0</v>
      </c>
      <c r="P2386" s="1">
        <v>0.0</v>
      </c>
      <c r="R2386" s="1">
        <v>0.0</v>
      </c>
      <c r="S2386" s="1">
        <v>0.0</v>
      </c>
      <c r="U2386" s="1">
        <v>0.0</v>
      </c>
      <c r="W2386" s="1">
        <v>0.0</v>
      </c>
      <c r="Y2386" s="1">
        <v>0.0</v>
      </c>
      <c r="AA2386" s="1">
        <v>0.0</v>
      </c>
      <c r="AC2386" s="1">
        <v>0.0</v>
      </c>
      <c r="AM2386" s="1">
        <v>14800.0</v>
      </c>
      <c r="AN2386" s="1">
        <v>14800.0</v>
      </c>
      <c r="AO2386" s="1">
        <v>14800.0</v>
      </c>
      <c r="AP2386" s="1">
        <v>5.67</v>
      </c>
      <c r="AR2386" s="1">
        <v>0.0</v>
      </c>
      <c r="AW2386" s="1">
        <v>0.0</v>
      </c>
      <c r="AX2386" s="1">
        <v>5.0</v>
      </c>
      <c r="AY2386" s="1">
        <v>4.0</v>
      </c>
      <c r="BA2386" s="1">
        <v>0.0</v>
      </c>
      <c r="BB2386" s="1">
        <v>0.0</v>
      </c>
      <c r="BC2386" s="1">
        <v>0.0</v>
      </c>
      <c r="BD2386" s="1">
        <v>0.0</v>
      </c>
      <c r="BE2386" s="1">
        <v>0.0</v>
      </c>
      <c r="BF2386" s="1">
        <v>0.0</v>
      </c>
      <c r="BG2386" s="1">
        <v>0.0</v>
      </c>
      <c r="BH2386" s="1">
        <v>0.0</v>
      </c>
      <c r="BI2386" s="1">
        <v>0.0</v>
      </c>
      <c r="BJ2386" s="1">
        <v>0.0</v>
      </c>
      <c r="BP2386" s="1">
        <v>0.276</v>
      </c>
      <c r="BQ2386" s="1" t="s">
        <v>7603</v>
      </c>
      <c r="BV2386" s="1">
        <v>1.1</v>
      </c>
      <c r="EQ2386" s="9" t="s">
        <v>7602</v>
      </c>
      <c r="ER2386" s="21">
        <v>46045.30244212963</v>
      </c>
    </row>
    <row r="2387">
      <c r="A2387" s="9" t="s">
        <v>7604</v>
      </c>
      <c r="B2387" s="20" t="str">
        <f>IFERROR(__xludf.DUMMYFUNCTION("REGEXREPLACE(A2387, ""^https?://[^/]+"", """")"),"/wp-content/uploads/2022/01/https___specials-images.forbesimg.com_imageserve_61e0352da916d2d434a29ba3_Choice-Concept-With-Doors-In-Maze_960x0-300x180.jpg")</f>
        <v>/wp-content/uploads/2022/01/https___specials-images.forbesimg.com_imageserve_61e0352da916d2d434a29ba3_Choice-Concept-With-Doors-In-Maze_960x0-300x180.jpg</v>
      </c>
      <c r="F2387" s="1" t="s">
        <v>1004</v>
      </c>
      <c r="G2387" s="1">
        <v>200.0</v>
      </c>
      <c r="H2387" s="1" t="s">
        <v>966</v>
      </c>
      <c r="I2387" s="1" t="s">
        <v>967</v>
      </c>
      <c r="L2387" s="1">
        <v>0.0</v>
      </c>
      <c r="M2387" s="1">
        <v>0.0</v>
      </c>
      <c r="O2387" s="1">
        <v>0.0</v>
      </c>
      <c r="P2387" s="1">
        <v>0.0</v>
      </c>
      <c r="R2387" s="1">
        <v>0.0</v>
      </c>
      <c r="S2387" s="1">
        <v>0.0</v>
      </c>
      <c r="U2387" s="1">
        <v>0.0</v>
      </c>
      <c r="W2387" s="1">
        <v>0.0</v>
      </c>
      <c r="Y2387" s="1">
        <v>0.0</v>
      </c>
      <c r="AA2387" s="1">
        <v>0.0</v>
      </c>
      <c r="AC2387" s="1">
        <v>0.0</v>
      </c>
      <c r="AM2387" s="1">
        <v>10431.0</v>
      </c>
      <c r="AN2387" s="1">
        <v>10431.0</v>
      </c>
      <c r="AO2387" s="1">
        <v>10431.0</v>
      </c>
      <c r="AP2387" s="1">
        <v>3.996</v>
      </c>
      <c r="AR2387" s="1">
        <v>0.0</v>
      </c>
      <c r="AW2387" s="1">
        <v>0.0</v>
      </c>
      <c r="AX2387" s="1">
        <v>5.0</v>
      </c>
      <c r="AY2387" s="1">
        <v>4.0</v>
      </c>
      <c r="BA2387" s="1">
        <v>0.0</v>
      </c>
      <c r="BB2387" s="1">
        <v>0.0</v>
      </c>
      <c r="BC2387" s="1">
        <v>0.0</v>
      </c>
      <c r="BD2387" s="1">
        <v>0.0</v>
      </c>
      <c r="BE2387" s="1">
        <v>0.0</v>
      </c>
      <c r="BF2387" s="1">
        <v>0.0</v>
      </c>
      <c r="BG2387" s="1">
        <v>0.0</v>
      </c>
      <c r="BH2387" s="1">
        <v>0.0</v>
      </c>
      <c r="BI2387" s="1">
        <v>0.0</v>
      </c>
      <c r="BJ2387" s="1">
        <v>0.0</v>
      </c>
      <c r="BP2387" s="1">
        <v>0.265</v>
      </c>
      <c r="BQ2387" s="1" t="s">
        <v>7605</v>
      </c>
      <c r="BV2387" s="1">
        <v>1.1</v>
      </c>
      <c r="EQ2387" s="9" t="s">
        <v>7604</v>
      </c>
      <c r="ER2387" s="21">
        <v>46045.30244212963</v>
      </c>
    </row>
    <row r="2388">
      <c r="A2388" s="9" t="s">
        <v>7606</v>
      </c>
      <c r="B2388" s="20" t="str">
        <f>IFERROR(__xludf.DUMMYFUNCTION("REGEXREPLACE(A2388, ""^https?://[^/]+"", """")"),"/wp-content/themes/salesxceleratione/assets/css/style.css?ver=1769123633")</f>
        <v>/wp-content/themes/salesxceleratione/assets/css/style.css?ver=1769123633</v>
      </c>
      <c r="F2388" s="1" t="s">
        <v>1016</v>
      </c>
      <c r="G2388" s="1">
        <v>200.0</v>
      </c>
      <c r="H2388" s="1" t="s">
        <v>966</v>
      </c>
      <c r="I2388" s="1" t="s">
        <v>967</v>
      </c>
      <c r="L2388" s="1">
        <v>0.0</v>
      </c>
      <c r="M2388" s="1">
        <v>0.0</v>
      </c>
      <c r="O2388" s="1">
        <v>0.0</v>
      </c>
      <c r="P2388" s="1">
        <v>0.0</v>
      </c>
      <c r="R2388" s="1">
        <v>0.0</v>
      </c>
      <c r="S2388" s="1">
        <v>0.0</v>
      </c>
      <c r="U2388" s="1">
        <v>0.0</v>
      </c>
      <c r="W2388" s="1">
        <v>0.0</v>
      </c>
      <c r="Y2388" s="1">
        <v>0.0</v>
      </c>
      <c r="AA2388" s="1">
        <v>0.0</v>
      </c>
      <c r="AC2388" s="1">
        <v>0.0</v>
      </c>
      <c r="AM2388" s="1">
        <v>17704.0</v>
      </c>
      <c r="AN2388" s="1">
        <v>17704.0</v>
      </c>
      <c r="AO2388" s="1">
        <v>17704.0</v>
      </c>
      <c r="AP2388" s="1">
        <v>6.782</v>
      </c>
      <c r="AR2388" s="1">
        <v>0.0</v>
      </c>
      <c r="AW2388" s="1">
        <v>0.0</v>
      </c>
      <c r="AX2388" s="1">
        <v>5.0</v>
      </c>
      <c r="AY2388" s="1">
        <v>5.0</v>
      </c>
      <c r="BA2388" s="1">
        <v>0.0</v>
      </c>
      <c r="BB2388" s="1">
        <v>0.0</v>
      </c>
      <c r="BC2388" s="1">
        <v>0.0</v>
      </c>
      <c r="BD2388" s="1">
        <v>0.0</v>
      </c>
      <c r="BE2388" s="1">
        <v>0.0</v>
      </c>
      <c r="BF2388" s="1">
        <v>0.0</v>
      </c>
      <c r="BG2388" s="1">
        <v>0.0</v>
      </c>
      <c r="BH2388" s="1">
        <v>0.0</v>
      </c>
      <c r="BI2388" s="1">
        <v>0.0</v>
      </c>
      <c r="BJ2388" s="1">
        <v>0.0</v>
      </c>
      <c r="BP2388" s="1">
        <v>0.268</v>
      </c>
      <c r="BQ2388" s="1" t="s">
        <v>7607</v>
      </c>
      <c r="BV2388" s="1">
        <v>1.1</v>
      </c>
      <c r="EQ2388" s="9" t="s">
        <v>7606</v>
      </c>
      <c r="ER2388" s="21">
        <v>46045.30244212963</v>
      </c>
    </row>
    <row r="2389">
      <c r="A2389" s="9" t="s">
        <v>7608</v>
      </c>
      <c r="B2389" s="20" t="str">
        <f>IFERROR(__xludf.DUMMYFUNCTION("REGEXREPLACE(A2389, ""^https?://[^/]+"", """")"),"/wp-content/uploads/2013/10/Hiring-rightsales.jpg")</f>
        <v>/wp-content/uploads/2013/10/Hiring-rightsales.jpg</v>
      </c>
      <c r="F2389" s="1" t="s">
        <v>1004</v>
      </c>
      <c r="G2389" s="1">
        <v>200.0</v>
      </c>
      <c r="H2389" s="1" t="s">
        <v>966</v>
      </c>
      <c r="I2389" s="1" t="s">
        <v>967</v>
      </c>
      <c r="L2389" s="1">
        <v>0.0</v>
      </c>
      <c r="M2389" s="1">
        <v>0.0</v>
      </c>
      <c r="O2389" s="1">
        <v>0.0</v>
      </c>
      <c r="P2389" s="1">
        <v>0.0</v>
      </c>
      <c r="R2389" s="1">
        <v>0.0</v>
      </c>
      <c r="S2389" s="1">
        <v>0.0</v>
      </c>
      <c r="U2389" s="1">
        <v>0.0</v>
      </c>
      <c r="W2389" s="1">
        <v>0.0</v>
      </c>
      <c r="Y2389" s="1">
        <v>0.0</v>
      </c>
      <c r="AA2389" s="1">
        <v>0.0</v>
      </c>
      <c r="AC2389" s="1">
        <v>0.0</v>
      </c>
      <c r="AM2389" s="1">
        <v>153946.0</v>
      </c>
      <c r="AN2389" s="1">
        <v>153946.0</v>
      </c>
      <c r="AO2389" s="1">
        <v>153946.0</v>
      </c>
      <c r="AP2389" s="1">
        <v>58.974</v>
      </c>
      <c r="AR2389" s="1">
        <v>0.0</v>
      </c>
      <c r="AW2389" s="1">
        <v>0.0</v>
      </c>
      <c r="AX2389" s="1">
        <v>5.0</v>
      </c>
      <c r="AY2389" s="1">
        <v>4.0</v>
      </c>
      <c r="BA2389" s="1">
        <v>0.0</v>
      </c>
      <c r="BB2389" s="1">
        <v>0.0</v>
      </c>
      <c r="BC2389" s="1">
        <v>0.0</v>
      </c>
      <c r="BD2389" s="1">
        <v>0.0</v>
      </c>
      <c r="BE2389" s="1">
        <v>0.0</v>
      </c>
      <c r="BF2389" s="1">
        <v>0.0</v>
      </c>
      <c r="BG2389" s="1">
        <v>0.0</v>
      </c>
      <c r="BH2389" s="1">
        <v>0.0</v>
      </c>
      <c r="BI2389" s="1">
        <v>0.0</v>
      </c>
      <c r="BJ2389" s="1">
        <v>0.0</v>
      </c>
      <c r="BP2389" s="1">
        <v>0.264</v>
      </c>
      <c r="BQ2389" s="1" t="s">
        <v>7609</v>
      </c>
      <c r="BV2389" s="1">
        <v>1.1</v>
      </c>
      <c r="EQ2389" s="9" t="s">
        <v>7608</v>
      </c>
      <c r="ER2389" s="21">
        <v>46045.30244212963</v>
      </c>
    </row>
    <row r="2390">
      <c r="A2390" s="9" t="s">
        <v>7610</v>
      </c>
      <c r="B2390" s="20" t="str">
        <f>IFERROR(__xludf.DUMMYFUNCTION("REGEXREPLACE(A2390, ""^https?://[^/]+"", """")"),"/after-the-pandemic-comes-the-new-business-as-usual-model/")</f>
        <v>/after-the-pandemic-comes-the-new-business-as-usual-model/</v>
      </c>
      <c r="C2390" s="1" t="s">
        <v>7611</v>
      </c>
      <c r="F2390" s="1" t="s">
        <v>965</v>
      </c>
      <c r="G2390" s="1">
        <v>200.0</v>
      </c>
      <c r="H2390" s="1" t="s">
        <v>966</v>
      </c>
      <c r="I2390" s="1" t="s">
        <v>967</v>
      </c>
      <c r="K2390" s="1" t="s">
        <v>7612</v>
      </c>
      <c r="L2390" s="1">
        <v>90.0</v>
      </c>
      <c r="M2390" s="1">
        <v>839.0</v>
      </c>
      <c r="O2390" s="1">
        <v>0.0</v>
      </c>
      <c r="P2390" s="1">
        <v>0.0</v>
      </c>
      <c r="Q2390" s="1" t="s">
        <v>7613</v>
      </c>
      <c r="R2390" s="1">
        <v>95.0</v>
      </c>
      <c r="S2390" s="1">
        <v>579.0</v>
      </c>
      <c r="U2390" s="1">
        <v>0.0</v>
      </c>
      <c r="V2390" s="1" t="s">
        <v>7611</v>
      </c>
      <c r="W2390" s="1">
        <v>65.0</v>
      </c>
      <c r="Y2390" s="1">
        <v>0.0</v>
      </c>
      <c r="AA2390" s="1">
        <v>0.0</v>
      </c>
      <c r="AC2390" s="1">
        <v>0.0</v>
      </c>
      <c r="AD2390" s="1" t="s">
        <v>971</v>
      </c>
      <c r="AG2390" s="9" t="s">
        <v>7610</v>
      </c>
      <c r="AM2390" s="1">
        <v>199196.0</v>
      </c>
      <c r="AN2390" s="1">
        <v>34432.0</v>
      </c>
      <c r="AO2390" s="1">
        <v>34432.0</v>
      </c>
      <c r="AP2390" s="1">
        <v>13.19</v>
      </c>
      <c r="AR2390" s="1">
        <v>705.0</v>
      </c>
      <c r="AS2390" s="1">
        <v>118.0</v>
      </c>
      <c r="AT2390" s="1">
        <v>5.975</v>
      </c>
      <c r="AU2390" s="1">
        <v>63.971</v>
      </c>
      <c r="AV2390" s="1" t="s">
        <v>990</v>
      </c>
      <c r="AW2390" s="1">
        <v>3.367</v>
      </c>
      <c r="AX2390" s="1">
        <v>5.0</v>
      </c>
      <c r="AY2390" s="1">
        <v>1.0</v>
      </c>
      <c r="AZ2390" s="1">
        <v>1.0</v>
      </c>
      <c r="BA2390" s="1">
        <v>5.0</v>
      </c>
      <c r="BB2390" s="1">
        <v>3.0</v>
      </c>
      <c r="BC2390" s="1">
        <v>0.0</v>
      </c>
      <c r="BD2390" s="1">
        <v>0.4</v>
      </c>
      <c r="BE2390" s="1">
        <v>129.0</v>
      </c>
      <c r="BF2390" s="1">
        <v>47.0</v>
      </c>
      <c r="BG2390" s="1">
        <v>0.0</v>
      </c>
      <c r="BH2390" s="1">
        <v>17.0</v>
      </c>
      <c r="BI2390" s="1">
        <v>9.0</v>
      </c>
      <c r="BJ2390" s="1">
        <v>0.0</v>
      </c>
      <c r="BO2390" s="1" t="s">
        <v>7614</v>
      </c>
      <c r="BP2390" s="1">
        <v>0.988</v>
      </c>
      <c r="BU2390" s="1" t="s">
        <v>974</v>
      </c>
      <c r="BV2390" s="1">
        <v>1.1</v>
      </c>
      <c r="EQ2390" s="9" t="s">
        <v>7610</v>
      </c>
      <c r="ER2390" s="21">
        <v>46045.30244212963</v>
      </c>
    </row>
    <row r="2391">
      <c r="A2391" s="9" t="s">
        <v>7615</v>
      </c>
      <c r="B2391" s="20" t="str">
        <f>IFERROR(__xludf.DUMMYFUNCTION("REGEXREPLACE(A2391, ""^https?://[^/]+"", """")"),"/wp-content/uploads/2015/12/Ripples.jpg")</f>
        <v>/wp-content/uploads/2015/12/Ripples.jpg</v>
      </c>
      <c r="F2391" s="1" t="s">
        <v>1004</v>
      </c>
      <c r="G2391" s="1">
        <v>200.0</v>
      </c>
      <c r="H2391" s="1" t="s">
        <v>966</v>
      </c>
      <c r="I2391" s="1" t="s">
        <v>967</v>
      </c>
      <c r="L2391" s="1">
        <v>0.0</v>
      </c>
      <c r="M2391" s="1">
        <v>0.0</v>
      </c>
      <c r="O2391" s="1">
        <v>0.0</v>
      </c>
      <c r="P2391" s="1">
        <v>0.0</v>
      </c>
      <c r="R2391" s="1">
        <v>0.0</v>
      </c>
      <c r="S2391" s="1">
        <v>0.0</v>
      </c>
      <c r="U2391" s="1">
        <v>0.0</v>
      </c>
      <c r="W2391" s="1">
        <v>0.0</v>
      </c>
      <c r="Y2391" s="1">
        <v>0.0</v>
      </c>
      <c r="AA2391" s="1">
        <v>0.0</v>
      </c>
      <c r="AC2391" s="1">
        <v>0.0</v>
      </c>
      <c r="AM2391" s="1">
        <v>30355.0</v>
      </c>
      <c r="AN2391" s="1">
        <v>30355.0</v>
      </c>
      <c r="AO2391" s="1">
        <v>30355.0</v>
      </c>
      <c r="AP2391" s="1">
        <v>11.628</v>
      </c>
      <c r="AR2391" s="1">
        <v>0.0</v>
      </c>
      <c r="AW2391" s="1">
        <v>0.0</v>
      </c>
      <c r="AX2391" s="1">
        <v>5.0</v>
      </c>
      <c r="AY2391" s="1">
        <v>4.0</v>
      </c>
      <c r="BA2391" s="1">
        <v>0.0</v>
      </c>
      <c r="BB2391" s="1">
        <v>0.0</v>
      </c>
      <c r="BC2391" s="1">
        <v>0.0</v>
      </c>
      <c r="BD2391" s="1">
        <v>0.0</v>
      </c>
      <c r="BE2391" s="1">
        <v>0.0</v>
      </c>
      <c r="BF2391" s="1">
        <v>0.0</v>
      </c>
      <c r="BG2391" s="1">
        <v>0.0</v>
      </c>
      <c r="BH2391" s="1">
        <v>0.0</v>
      </c>
      <c r="BI2391" s="1">
        <v>0.0</v>
      </c>
      <c r="BJ2391" s="1">
        <v>0.0</v>
      </c>
      <c r="BP2391" s="1">
        <v>0.261</v>
      </c>
      <c r="BQ2391" s="1" t="s">
        <v>7616</v>
      </c>
      <c r="BV2391" s="1">
        <v>1.1</v>
      </c>
      <c r="EQ2391" s="9" t="s">
        <v>7615</v>
      </c>
      <c r="ER2391" s="21">
        <v>46045.302453703705</v>
      </c>
    </row>
    <row r="2392">
      <c r="A2392" s="9" t="s">
        <v>7617</v>
      </c>
      <c r="B2392" s="20" t="str">
        <f>IFERROR(__xludf.DUMMYFUNCTION("REGEXREPLACE(A2392, ""^https?://[^/]+"", """")"),"/wp-content/uploads/2019/12/Business_Man_Looking_to_Future_Success-2048x2048.jpg")</f>
        <v>/wp-content/uploads/2019/12/Business_Man_Looking_to_Future_Success-2048x2048.jpg</v>
      </c>
      <c r="F2392" s="1" t="s">
        <v>1004</v>
      </c>
      <c r="G2392" s="1">
        <v>200.0</v>
      </c>
      <c r="H2392" s="1" t="s">
        <v>966</v>
      </c>
      <c r="I2392" s="1" t="s">
        <v>967</v>
      </c>
      <c r="L2392" s="1">
        <v>0.0</v>
      </c>
      <c r="M2392" s="1">
        <v>0.0</v>
      </c>
      <c r="O2392" s="1">
        <v>0.0</v>
      </c>
      <c r="P2392" s="1">
        <v>0.0</v>
      </c>
      <c r="R2392" s="1">
        <v>0.0</v>
      </c>
      <c r="S2392" s="1">
        <v>0.0</v>
      </c>
      <c r="U2392" s="1">
        <v>0.0</v>
      </c>
      <c r="W2392" s="1">
        <v>0.0</v>
      </c>
      <c r="Y2392" s="1">
        <v>0.0</v>
      </c>
      <c r="AA2392" s="1">
        <v>0.0</v>
      </c>
      <c r="AC2392" s="1">
        <v>0.0</v>
      </c>
      <c r="AM2392" s="1">
        <v>483739.0</v>
      </c>
      <c r="AN2392" s="1">
        <v>483739.0</v>
      </c>
      <c r="AO2392" s="1">
        <v>483739.0</v>
      </c>
      <c r="AP2392" s="1">
        <v>185.311</v>
      </c>
      <c r="AR2392" s="1">
        <v>0.0</v>
      </c>
      <c r="AW2392" s="1">
        <v>0.0</v>
      </c>
      <c r="AX2392" s="1">
        <v>5.0</v>
      </c>
      <c r="AY2392" s="1">
        <v>4.0</v>
      </c>
      <c r="BA2392" s="1">
        <v>0.0</v>
      </c>
      <c r="BB2392" s="1">
        <v>0.0</v>
      </c>
      <c r="BC2392" s="1">
        <v>0.0</v>
      </c>
      <c r="BD2392" s="1">
        <v>0.0</v>
      </c>
      <c r="BE2392" s="1">
        <v>0.0</v>
      </c>
      <c r="BF2392" s="1">
        <v>0.0</v>
      </c>
      <c r="BG2392" s="1">
        <v>0.0</v>
      </c>
      <c r="BH2392" s="1">
        <v>0.0</v>
      </c>
      <c r="BI2392" s="1">
        <v>0.0</v>
      </c>
      <c r="BJ2392" s="1">
        <v>0.0</v>
      </c>
      <c r="BP2392" s="1">
        <v>0.275</v>
      </c>
      <c r="BQ2392" s="1" t="s">
        <v>7618</v>
      </c>
      <c r="BV2392" s="1">
        <v>1.1</v>
      </c>
      <c r="EQ2392" s="9" t="s">
        <v>7617</v>
      </c>
      <c r="ER2392" s="21">
        <v>46045.302453703705</v>
      </c>
    </row>
    <row r="2393">
      <c r="A2393" s="9" t="s">
        <v>7619</v>
      </c>
      <c r="B2393" s="20" t="str">
        <f>IFERROR(__xludf.DUMMYFUNCTION("REGEXREPLACE(A2393, ""^https?://[^/]+"", """")"),"/how-to-sell-value-in-a-bottom-line-price-conscious-market/")</f>
        <v>/how-to-sell-value-in-a-bottom-line-price-conscious-market/</v>
      </c>
      <c r="C2393" s="1" t="s">
        <v>7620</v>
      </c>
      <c r="F2393" s="1" t="s">
        <v>965</v>
      </c>
      <c r="G2393" s="1">
        <v>200.0</v>
      </c>
      <c r="H2393" s="1" t="s">
        <v>966</v>
      </c>
      <c r="I2393" s="1" t="s">
        <v>967</v>
      </c>
      <c r="K2393" s="1" t="s">
        <v>7621</v>
      </c>
      <c r="L2393" s="1">
        <v>82.0</v>
      </c>
      <c r="M2393" s="1">
        <v>748.0</v>
      </c>
      <c r="O2393" s="1">
        <v>0.0</v>
      </c>
      <c r="P2393" s="1">
        <v>0.0</v>
      </c>
      <c r="Q2393" s="1" t="s">
        <v>7622</v>
      </c>
      <c r="R2393" s="1">
        <v>117.0</v>
      </c>
      <c r="S2393" s="1">
        <v>728.0</v>
      </c>
      <c r="U2393" s="1">
        <v>0.0</v>
      </c>
      <c r="V2393" s="1" t="s">
        <v>7620</v>
      </c>
      <c r="W2393" s="1">
        <v>57.0</v>
      </c>
      <c r="Y2393" s="1">
        <v>0.0</v>
      </c>
      <c r="AA2393" s="1">
        <v>0.0</v>
      </c>
      <c r="AC2393" s="1">
        <v>0.0</v>
      </c>
      <c r="AD2393" s="1" t="s">
        <v>971</v>
      </c>
      <c r="AG2393" s="9" t="s">
        <v>7619</v>
      </c>
      <c r="AM2393" s="1">
        <v>200071.0</v>
      </c>
      <c r="AN2393" s="1">
        <v>34224.0</v>
      </c>
      <c r="AO2393" s="1">
        <v>34224.0</v>
      </c>
      <c r="AP2393" s="1">
        <v>13.111</v>
      </c>
      <c r="AR2393" s="1">
        <v>664.0</v>
      </c>
      <c r="AS2393" s="1">
        <v>112.0</v>
      </c>
      <c r="AT2393" s="1">
        <v>5.929</v>
      </c>
      <c r="AU2393" s="1">
        <v>62.705</v>
      </c>
      <c r="AV2393" s="1" t="s">
        <v>990</v>
      </c>
      <c r="AW2393" s="1">
        <v>3.225</v>
      </c>
      <c r="AX2393" s="1">
        <v>5.0</v>
      </c>
      <c r="AY2393" s="1">
        <v>1.0</v>
      </c>
      <c r="AZ2393" s="1">
        <v>1.0</v>
      </c>
      <c r="BA2393" s="1">
        <v>3.0</v>
      </c>
      <c r="BB2393" s="1">
        <v>1.0</v>
      </c>
      <c r="BC2393" s="1">
        <v>0.0</v>
      </c>
      <c r="BD2393" s="1">
        <v>0.13</v>
      </c>
      <c r="BE2393" s="1">
        <v>130.0</v>
      </c>
      <c r="BF2393" s="1">
        <v>47.0</v>
      </c>
      <c r="BG2393" s="1">
        <v>0.0</v>
      </c>
      <c r="BH2393" s="1">
        <v>17.0</v>
      </c>
      <c r="BI2393" s="1">
        <v>9.0</v>
      </c>
      <c r="BJ2393" s="1">
        <v>0.0</v>
      </c>
      <c r="BO2393" s="1" t="s">
        <v>7623</v>
      </c>
      <c r="BP2393" s="1">
        <v>1.04</v>
      </c>
      <c r="BU2393" s="1" t="s">
        <v>974</v>
      </c>
      <c r="BV2393" s="1">
        <v>1.1</v>
      </c>
      <c r="EQ2393" s="9" t="s">
        <v>7619</v>
      </c>
      <c r="ER2393" s="21">
        <v>46045.30244212963</v>
      </c>
    </row>
    <row r="2394">
      <c r="A2394" s="9" t="s">
        <v>7624</v>
      </c>
      <c r="B2394" s="20" t="str">
        <f>IFERROR(__xludf.DUMMYFUNCTION("REGEXREPLACE(A2394, ""^https?://[^/]+"", """")"),"/wp-content/uploads/2021/03/Change-Your-Path-2.jpg")</f>
        <v>/wp-content/uploads/2021/03/Change-Your-Path-2.jpg</v>
      </c>
      <c r="F2394" s="1" t="s">
        <v>1004</v>
      </c>
      <c r="G2394" s="1">
        <v>200.0</v>
      </c>
      <c r="H2394" s="1" t="s">
        <v>966</v>
      </c>
      <c r="I2394" s="1" t="s">
        <v>967</v>
      </c>
      <c r="L2394" s="1">
        <v>0.0</v>
      </c>
      <c r="M2394" s="1">
        <v>0.0</v>
      </c>
      <c r="O2394" s="1">
        <v>0.0</v>
      </c>
      <c r="P2394" s="1">
        <v>0.0</v>
      </c>
      <c r="R2394" s="1">
        <v>0.0</v>
      </c>
      <c r="S2394" s="1">
        <v>0.0</v>
      </c>
      <c r="U2394" s="1">
        <v>0.0</v>
      </c>
      <c r="W2394" s="1">
        <v>0.0</v>
      </c>
      <c r="Y2394" s="1">
        <v>0.0</v>
      </c>
      <c r="AA2394" s="1">
        <v>0.0</v>
      </c>
      <c r="AC2394" s="1">
        <v>0.0</v>
      </c>
      <c r="AM2394" s="1">
        <v>454462.0</v>
      </c>
      <c r="AN2394" s="1">
        <v>454462.0</v>
      </c>
      <c r="AO2394" s="1">
        <v>454462.0</v>
      </c>
      <c r="AP2394" s="1">
        <v>174.096</v>
      </c>
      <c r="AR2394" s="1">
        <v>0.0</v>
      </c>
      <c r="AW2394" s="1">
        <v>0.0</v>
      </c>
      <c r="AX2394" s="1">
        <v>5.0</v>
      </c>
      <c r="AY2394" s="1">
        <v>4.0</v>
      </c>
      <c r="BA2394" s="1">
        <v>0.0</v>
      </c>
      <c r="BB2394" s="1">
        <v>0.0</v>
      </c>
      <c r="BC2394" s="1">
        <v>0.0</v>
      </c>
      <c r="BD2394" s="1">
        <v>0.0</v>
      </c>
      <c r="BE2394" s="1">
        <v>0.0</v>
      </c>
      <c r="BF2394" s="1">
        <v>0.0</v>
      </c>
      <c r="BG2394" s="1">
        <v>0.0</v>
      </c>
      <c r="BH2394" s="1">
        <v>0.0</v>
      </c>
      <c r="BI2394" s="1">
        <v>0.0</v>
      </c>
      <c r="BJ2394" s="1">
        <v>0.0</v>
      </c>
      <c r="BP2394" s="1">
        <v>0.277</v>
      </c>
      <c r="BQ2394" s="1" t="s">
        <v>7625</v>
      </c>
      <c r="BV2394" s="1">
        <v>1.1</v>
      </c>
      <c r="EQ2394" s="9" t="s">
        <v>7624</v>
      </c>
      <c r="ER2394" s="21">
        <v>46045.302453703705</v>
      </c>
    </row>
    <row r="2395">
      <c r="A2395" s="9" t="s">
        <v>7626</v>
      </c>
      <c r="B2395" s="20" t="str">
        <f>IFERROR(__xludf.DUMMYFUNCTION("REGEXREPLACE(A2395, ""^https?://[^/]+"", """")"),"/wp-content/uploads/2016/05/business-man-many-arms.jpg")</f>
        <v>/wp-content/uploads/2016/05/business-man-many-arms.jpg</v>
      </c>
      <c r="F2395" s="1" t="s">
        <v>1004</v>
      </c>
      <c r="G2395" s="1">
        <v>200.0</v>
      </c>
      <c r="H2395" s="1" t="s">
        <v>966</v>
      </c>
      <c r="I2395" s="1" t="s">
        <v>967</v>
      </c>
      <c r="L2395" s="1">
        <v>0.0</v>
      </c>
      <c r="M2395" s="1">
        <v>0.0</v>
      </c>
      <c r="O2395" s="1">
        <v>0.0</v>
      </c>
      <c r="P2395" s="1">
        <v>0.0</v>
      </c>
      <c r="R2395" s="1">
        <v>0.0</v>
      </c>
      <c r="S2395" s="1">
        <v>0.0</v>
      </c>
      <c r="U2395" s="1">
        <v>0.0</v>
      </c>
      <c r="W2395" s="1">
        <v>0.0</v>
      </c>
      <c r="Y2395" s="1">
        <v>0.0</v>
      </c>
      <c r="AA2395" s="1">
        <v>0.0</v>
      </c>
      <c r="AC2395" s="1">
        <v>0.0</v>
      </c>
      <c r="AM2395" s="1">
        <v>98587.0</v>
      </c>
      <c r="AN2395" s="1">
        <v>98587.0</v>
      </c>
      <c r="AO2395" s="1">
        <v>98587.0</v>
      </c>
      <c r="AP2395" s="1">
        <v>37.767</v>
      </c>
      <c r="AR2395" s="1">
        <v>0.0</v>
      </c>
      <c r="AW2395" s="1">
        <v>0.0</v>
      </c>
      <c r="AX2395" s="1">
        <v>5.0</v>
      </c>
      <c r="AY2395" s="1">
        <v>4.0</v>
      </c>
      <c r="BA2395" s="1">
        <v>0.0</v>
      </c>
      <c r="BB2395" s="1">
        <v>0.0</v>
      </c>
      <c r="BC2395" s="1">
        <v>0.0</v>
      </c>
      <c r="BD2395" s="1">
        <v>0.0</v>
      </c>
      <c r="BE2395" s="1">
        <v>0.0</v>
      </c>
      <c r="BF2395" s="1">
        <v>0.0</v>
      </c>
      <c r="BG2395" s="1">
        <v>0.0</v>
      </c>
      <c r="BH2395" s="1">
        <v>0.0</v>
      </c>
      <c r="BI2395" s="1">
        <v>0.0</v>
      </c>
      <c r="BJ2395" s="1">
        <v>0.0</v>
      </c>
      <c r="BP2395" s="1">
        <v>0.277</v>
      </c>
      <c r="BQ2395" s="1" t="s">
        <v>7627</v>
      </c>
      <c r="BV2395" s="1">
        <v>1.1</v>
      </c>
      <c r="EQ2395" s="9" t="s">
        <v>7626</v>
      </c>
      <c r="ER2395" s="21">
        <v>46045.302453703705</v>
      </c>
    </row>
    <row r="2396">
      <c r="A2396" s="9" t="s">
        <v>7628</v>
      </c>
      <c r="B2396" s="20" t="str">
        <f>IFERROR(__xludf.DUMMYFUNCTION("REGEXREPLACE(A2396, ""^https?://[^/]+"", """")"),"/wp-content/uploads/2016/03/Change-RS-72-560-x-225.jpg")</f>
        <v>/wp-content/uploads/2016/03/Change-RS-72-560-x-225.jpg</v>
      </c>
      <c r="F2396" s="1" t="s">
        <v>1004</v>
      </c>
      <c r="G2396" s="1">
        <v>200.0</v>
      </c>
      <c r="H2396" s="1" t="s">
        <v>966</v>
      </c>
      <c r="I2396" s="1" t="s">
        <v>967</v>
      </c>
      <c r="L2396" s="1">
        <v>0.0</v>
      </c>
      <c r="M2396" s="1">
        <v>0.0</v>
      </c>
      <c r="O2396" s="1">
        <v>0.0</v>
      </c>
      <c r="P2396" s="1">
        <v>0.0</v>
      </c>
      <c r="R2396" s="1">
        <v>0.0</v>
      </c>
      <c r="S2396" s="1">
        <v>0.0</v>
      </c>
      <c r="U2396" s="1">
        <v>0.0</v>
      </c>
      <c r="W2396" s="1">
        <v>0.0</v>
      </c>
      <c r="Y2396" s="1">
        <v>0.0</v>
      </c>
      <c r="AA2396" s="1">
        <v>0.0</v>
      </c>
      <c r="AC2396" s="1">
        <v>0.0</v>
      </c>
      <c r="AM2396" s="1">
        <v>20713.0</v>
      </c>
      <c r="AN2396" s="1">
        <v>20713.0</v>
      </c>
      <c r="AO2396" s="1">
        <v>20713.0</v>
      </c>
      <c r="AP2396" s="1">
        <v>7.935</v>
      </c>
      <c r="AR2396" s="1">
        <v>0.0</v>
      </c>
      <c r="AW2396" s="1">
        <v>0.0</v>
      </c>
      <c r="AX2396" s="1">
        <v>5.0</v>
      </c>
      <c r="AY2396" s="1">
        <v>4.0</v>
      </c>
      <c r="BA2396" s="1">
        <v>0.0</v>
      </c>
      <c r="BB2396" s="1">
        <v>0.0</v>
      </c>
      <c r="BC2396" s="1">
        <v>0.0</v>
      </c>
      <c r="BD2396" s="1">
        <v>0.0</v>
      </c>
      <c r="BE2396" s="1">
        <v>0.0</v>
      </c>
      <c r="BF2396" s="1">
        <v>0.0</v>
      </c>
      <c r="BG2396" s="1">
        <v>0.0</v>
      </c>
      <c r="BH2396" s="1">
        <v>0.0</v>
      </c>
      <c r="BI2396" s="1">
        <v>0.0</v>
      </c>
      <c r="BJ2396" s="1">
        <v>0.0</v>
      </c>
      <c r="BP2396" s="1">
        <v>0.29</v>
      </c>
      <c r="BQ2396" s="1" t="s">
        <v>7629</v>
      </c>
      <c r="BV2396" s="1">
        <v>1.1</v>
      </c>
      <c r="EQ2396" s="9" t="s">
        <v>7628</v>
      </c>
      <c r="ER2396" s="21">
        <v>46045.302465277775</v>
      </c>
    </row>
    <row r="2397">
      <c r="A2397" s="9" t="s">
        <v>7630</v>
      </c>
      <c r="B2397" s="20" t="str">
        <f>IFERROR(__xludf.DUMMYFUNCTION("REGEXREPLACE(A2397, ""^https?://[^/]+"", """")"),"/want-better-sales-results-start-with-a-better-sales-plan/")</f>
        <v>/want-better-sales-results-start-with-a-better-sales-plan/</v>
      </c>
      <c r="C2397" s="1" t="s">
        <v>7631</v>
      </c>
      <c r="F2397" s="1" t="s">
        <v>965</v>
      </c>
      <c r="G2397" s="1">
        <v>200.0</v>
      </c>
      <c r="H2397" s="1" t="s">
        <v>966</v>
      </c>
      <c r="I2397" s="1" t="s">
        <v>967</v>
      </c>
      <c r="K2397" s="1" t="s">
        <v>7632</v>
      </c>
      <c r="L2397" s="1">
        <v>77.0</v>
      </c>
      <c r="M2397" s="1">
        <v>679.0</v>
      </c>
      <c r="O2397" s="1">
        <v>0.0</v>
      </c>
      <c r="P2397" s="1">
        <v>0.0</v>
      </c>
      <c r="Q2397" s="1" t="s">
        <v>7633</v>
      </c>
      <c r="R2397" s="1">
        <v>154.0</v>
      </c>
      <c r="S2397" s="1">
        <v>892.0</v>
      </c>
      <c r="U2397" s="1">
        <v>0.0</v>
      </c>
      <c r="V2397" s="1" t="s">
        <v>7631</v>
      </c>
      <c r="W2397" s="1">
        <v>58.0</v>
      </c>
      <c r="Y2397" s="1">
        <v>0.0</v>
      </c>
      <c r="AA2397" s="1">
        <v>0.0</v>
      </c>
      <c r="AC2397" s="1">
        <v>0.0</v>
      </c>
      <c r="AD2397" s="1" t="s">
        <v>971</v>
      </c>
      <c r="AG2397" s="9" t="s">
        <v>7630</v>
      </c>
      <c r="AM2397" s="1">
        <v>203350.0</v>
      </c>
      <c r="AN2397" s="1">
        <v>36760.0</v>
      </c>
      <c r="AO2397" s="1">
        <v>36760.0</v>
      </c>
      <c r="AP2397" s="1">
        <v>14.082</v>
      </c>
      <c r="AR2397" s="1">
        <v>1635.0</v>
      </c>
      <c r="AS2397" s="1">
        <v>234.0</v>
      </c>
      <c r="AT2397" s="1">
        <v>6.987</v>
      </c>
      <c r="AU2397" s="1">
        <v>68.729</v>
      </c>
      <c r="AV2397" s="1" t="s">
        <v>990</v>
      </c>
      <c r="AW2397" s="1">
        <v>5.972</v>
      </c>
      <c r="AX2397" s="1">
        <v>5.0</v>
      </c>
      <c r="AY2397" s="1">
        <v>1.0</v>
      </c>
      <c r="AZ2397" s="1">
        <v>1.0</v>
      </c>
      <c r="BA2397" s="1">
        <v>3.0</v>
      </c>
      <c r="BB2397" s="1">
        <v>3.0</v>
      </c>
      <c r="BC2397" s="1">
        <v>0.0</v>
      </c>
      <c r="BD2397" s="1">
        <v>0.4</v>
      </c>
      <c r="BE2397" s="1">
        <v>131.0</v>
      </c>
      <c r="BF2397" s="1">
        <v>49.0</v>
      </c>
      <c r="BG2397" s="1">
        <v>0.0</v>
      </c>
      <c r="BH2397" s="1">
        <v>16.0</v>
      </c>
      <c r="BI2397" s="1">
        <v>8.0</v>
      </c>
      <c r="BJ2397" s="1">
        <v>0.0</v>
      </c>
      <c r="BO2397" s="1" t="s">
        <v>7634</v>
      </c>
      <c r="BP2397" s="1">
        <v>1.011</v>
      </c>
      <c r="BU2397" s="1" t="s">
        <v>974</v>
      </c>
      <c r="BV2397" s="1">
        <v>1.1</v>
      </c>
      <c r="EQ2397" s="9" t="s">
        <v>7630</v>
      </c>
      <c r="ER2397" s="21">
        <v>46045.302453703705</v>
      </c>
    </row>
    <row r="2398">
      <c r="A2398" s="9" t="s">
        <v>7635</v>
      </c>
      <c r="B2398" s="20" t="str">
        <f>IFERROR(__xludf.DUMMYFUNCTION("REGEXREPLACE(A2398, ""^https?://[^/]+"", """")"),"/wp-content/uploads/2014/11/SI-Header-3-scaled-1.jpg")</f>
        <v>/wp-content/uploads/2014/11/SI-Header-3-scaled-1.jpg</v>
      </c>
      <c r="F2398" s="1" t="s">
        <v>1004</v>
      </c>
      <c r="G2398" s="1">
        <v>200.0</v>
      </c>
      <c r="H2398" s="1" t="s">
        <v>966</v>
      </c>
      <c r="I2398" s="1" t="s">
        <v>967</v>
      </c>
      <c r="L2398" s="1">
        <v>0.0</v>
      </c>
      <c r="M2398" s="1">
        <v>0.0</v>
      </c>
      <c r="O2398" s="1">
        <v>0.0</v>
      </c>
      <c r="P2398" s="1">
        <v>0.0</v>
      </c>
      <c r="R2398" s="1">
        <v>0.0</v>
      </c>
      <c r="S2398" s="1">
        <v>0.0</v>
      </c>
      <c r="U2398" s="1">
        <v>0.0</v>
      </c>
      <c r="W2398" s="1">
        <v>0.0</v>
      </c>
      <c r="Y2398" s="1">
        <v>0.0</v>
      </c>
      <c r="AA2398" s="1">
        <v>0.0</v>
      </c>
      <c r="AC2398" s="1">
        <v>0.0</v>
      </c>
      <c r="AM2398" s="1">
        <v>147353.0</v>
      </c>
      <c r="AN2398" s="1">
        <v>147353.0</v>
      </c>
      <c r="AO2398" s="1">
        <v>147353.0</v>
      </c>
      <c r="AP2398" s="1">
        <v>56.448</v>
      </c>
      <c r="AR2398" s="1">
        <v>0.0</v>
      </c>
      <c r="AW2398" s="1">
        <v>0.0</v>
      </c>
      <c r="AX2398" s="1">
        <v>5.0</v>
      </c>
      <c r="AY2398" s="1">
        <v>4.0</v>
      </c>
      <c r="BA2398" s="1">
        <v>0.0</v>
      </c>
      <c r="BB2398" s="1">
        <v>0.0</v>
      </c>
      <c r="BC2398" s="1">
        <v>0.0</v>
      </c>
      <c r="BD2398" s="1">
        <v>0.0</v>
      </c>
      <c r="BE2398" s="1">
        <v>0.0</v>
      </c>
      <c r="BF2398" s="1">
        <v>0.0</v>
      </c>
      <c r="BG2398" s="1">
        <v>0.0</v>
      </c>
      <c r="BH2398" s="1">
        <v>0.0</v>
      </c>
      <c r="BI2398" s="1">
        <v>0.0</v>
      </c>
      <c r="BJ2398" s="1">
        <v>0.0</v>
      </c>
      <c r="BP2398" s="1">
        <v>0.275</v>
      </c>
      <c r="BQ2398" s="1" t="s">
        <v>7636</v>
      </c>
      <c r="BV2398" s="1">
        <v>1.1</v>
      </c>
      <c r="EQ2398" s="9" t="s">
        <v>7635</v>
      </c>
      <c r="ER2398" s="21">
        <v>46045.302465277775</v>
      </c>
    </row>
    <row r="2399">
      <c r="A2399" s="9" t="s">
        <v>7637</v>
      </c>
      <c r="B2399" s="20" t="str">
        <f>IFERROR(__xludf.DUMMYFUNCTION("REGEXREPLACE(A2399, ""^https?://[^/]+"", """")"),"/wp-content/themes/salesxceleratione/assets/css/style.css?ver=1769123634")</f>
        <v>/wp-content/themes/salesxceleratione/assets/css/style.css?ver=1769123634</v>
      </c>
      <c r="F2399" s="1" t="s">
        <v>1016</v>
      </c>
      <c r="G2399" s="1">
        <v>200.0</v>
      </c>
      <c r="H2399" s="1" t="s">
        <v>966</v>
      </c>
      <c r="I2399" s="1" t="s">
        <v>967</v>
      </c>
      <c r="L2399" s="1">
        <v>0.0</v>
      </c>
      <c r="M2399" s="1">
        <v>0.0</v>
      </c>
      <c r="O2399" s="1">
        <v>0.0</v>
      </c>
      <c r="P2399" s="1">
        <v>0.0</v>
      </c>
      <c r="R2399" s="1">
        <v>0.0</v>
      </c>
      <c r="S2399" s="1">
        <v>0.0</v>
      </c>
      <c r="U2399" s="1">
        <v>0.0</v>
      </c>
      <c r="W2399" s="1">
        <v>0.0</v>
      </c>
      <c r="Y2399" s="1">
        <v>0.0</v>
      </c>
      <c r="AA2399" s="1">
        <v>0.0</v>
      </c>
      <c r="AC2399" s="1">
        <v>0.0</v>
      </c>
      <c r="AM2399" s="1">
        <v>17704.0</v>
      </c>
      <c r="AN2399" s="1">
        <v>17704.0</v>
      </c>
      <c r="AO2399" s="1">
        <v>17704.0</v>
      </c>
      <c r="AP2399" s="1">
        <v>6.782</v>
      </c>
      <c r="AR2399" s="1">
        <v>0.0</v>
      </c>
      <c r="AW2399" s="1">
        <v>0.0</v>
      </c>
      <c r="AX2399" s="1">
        <v>5.0</v>
      </c>
      <c r="AY2399" s="1">
        <v>5.0</v>
      </c>
      <c r="BA2399" s="1">
        <v>0.0</v>
      </c>
      <c r="BB2399" s="1">
        <v>0.0</v>
      </c>
      <c r="BC2399" s="1">
        <v>0.0</v>
      </c>
      <c r="BD2399" s="1">
        <v>0.0</v>
      </c>
      <c r="BE2399" s="1">
        <v>0.0</v>
      </c>
      <c r="BF2399" s="1">
        <v>0.0</v>
      </c>
      <c r="BG2399" s="1">
        <v>0.0</v>
      </c>
      <c r="BH2399" s="1">
        <v>0.0</v>
      </c>
      <c r="BI2399" s="1">
        <v>0.0</v>
      </c>
      <c r="BJ2399" s="1">
        <v>0.0</v>
      </c>
      <c r="BP2399" s="1">
        <v>0.28</v>
      </c>
      <c r="BQ2399" s="1" t="s">
        <v>7638</v>
      </c>
      <c r="BV2399" s="1">
        <v>1.1</v>
      </c>
      <c r="EQ2399" s="9" t="s">
        <v>7637</v>
      </c>
      <c r="ER2399" s="21">
        <v>46045.302465277775</v>
      </c>
    </row>
    <row r="2400">
      <c r="A2400" s="9" t="s">
        <v>7639</v>
      </c>
      <c r="B2400" s="20" t="str">
        <f>IFERROR(__xludf.DUMMYFUNCTION("REGEXREPLACE(A2400, ""^https?://[^/]+"", """")"),"/how-to-use-your-past-to-shape-a-more-purposeful-future/")</f>
        <v>/how-to-use-your-past-to-shape-a-more-purposeful-future/</v>
      </c>
      <c r="C2400" s="1" t="s">
        <v>7640</v>
      </c>
      <c r="F2400" s="1" t="s">
        <v>965</v>
      </c>
      <c r="G2400" s="1">
        <v>200.0</v>
      </c>
      <c r="H2400" s="1" t="s">
        <v>966</v>
      </c>
      <c r="I2400" s="1" t="s">
        <v>967</v>
      </c>
      <c r="K2400" s="1" t="s">
        <v>7641</v>
      </c>
      <c r="L2400" s="1">
        <v>79.0</v>
      </c>
      <c r="M2400" s="1">
        <v>725.0</v>
      </c>
      <c r="O2400" s="1">
        <v>0.0</v>
      </c>
      <c r="P2400" s="1">
        <v>0.0</v>
      </c>
      <c r="Q2400" s="1" t="s">
        <v>7642</v>
      </c>
      <c r="R2400" s="1">
        <v>114.0</v>
      </c>
      <c r="S2400" s="1">
        <v>748.0</v>
      </c>
      <c r="U2400" s="1">
        <v>0.0</v>
      </c>
      <c r="V2400" s="1" t="s">
        <v>7640</v>
      </c>
      <c r="W2400" s="1">
        <v>54.0</v>
      </c>
      <c r="Y2400" s="1">
        <v>0.0</v>
      </c>
      <c r="AA2400" s="1">
        <v>0.0</v>
      </c>
      <c r="AC2400" s="1">
        <v>0.0</v>
      </c>
      <c r="AD2400" s="1" t="s">
        <v>971</v>
      </c>
      <c r="AG2400" s="9" t="s">
        <v>7639</v>
      </c>
      <c r="AM2400" s="1">
        <v>201841.0</v>
      </c>
      <c r="AN2400" s="1">
        <v>36565.0</v>
      </c>
      <c r="AO2400" s="1">
        <v>36565.0</v>
      </c>
      <c r="AP2400" s="1">
        <v>14.007</v>
      </c>
      <c r="AR2400" s="1">
        <v>1494.0</v>
      </c>
      <c r="AS2400" s="1">
        <v>237.0</v>
      </c>
      <c r="AT2400" s="1">
        <v>6.304</v>
      </c>
      <c r="AU2400" s="1">
        <v>66.741</v>
      </c>
      <c r="AV2400" s="1" t="s">
        <v>990</v>
      </c>
      <c r="AW2400" s="1">
        <v>5.75</v>
      </c>
      <c r="AX2400" s="1">
        <v>5.0</v>
      </c>
      <c r="AY2400" s="1">
        <v>1.0</v>
      </c>
      <c r="AZ2400" s="1">
        <v>1.0</v>
      </c>
      <c r="BA2400" s="1">
        <v>4.0</v>
      </c>
      <c r="BB2400" s="1">
        <v>4.0</v>
      </c>
      <c r="BC2400" s="1">
        <v>0.0</v>
      </c>
      <c r="BD2400" s="1">
        <v>0.53</v>
      </c>
      <c r="BE2400" s="1">
        <v>134.0</v>
      </c>
      <c r="BF2400" s="1">
        <v>49.0</v>
      </c>
      <c r="BG2400" s="1">
        <v>0.0</v>
      </c>
      <c r="BH2400" s="1">
        <v>17.0</v>
      </c>
      <c r="BI2400" s="1">
        <v>9.0</v>
      </c>
      <c r="BJ2400" s="1">
        <v>0.0</v>
      </c>
      <c r="BO2400" s="1" t="s">
        <v>7643</v>
      </c>
      <c r="BP2400" s="1">
        <v>1.006</v>
      </c>
      <c r="BU2400" s="1" t="s">
        <v>974</v>
      </c>
      <c r="BV2400" s="1">
        <v>1.1</v>
      </c>
      <c r="EQ2400" s="9" t="s">
        <v>7639</v>
      </c>
      <c r="ER2400" s="21">
        <v>46045.302453703705</v>
      </c>
    </row>
    <row r="2401">
      <c r="A2401" s="9" t="s">
        <v>7644</v>
      </c>
      <c r="B2401" s="20" t="str">
        <f>IFERROR(__xludf.DUMMYFUNCTION("REGEXREPLACE(A2401, ""^https?://[^/]+"", """")"),"/what-makes-a-great-sales-manager-these-12-skills-are-a-good-start/")</f>
        <v>/what-makes-a-great-sales-manager-these-12-skills-are-a-good-start/</v>
      </c>
      <c r="C2401" s="1" t="s">
        <v>7645</v>
      </c>
      <c r="F2401" s="1" t="s">
        <v>965</v>
      </c>
      <c r="G2401" s="1">
        <v>200.0</v>
      </c>
      <c r="H2401" s="1" t="s">
        <v>966</v>
      </c>
      <c r="I2401" s="1" t="s">
        <v>967</v>
      </c>
      <c r="K2401" s="1" t="s">
        <v>7646</v>
      </c>
      <c r="L2401" s="1">
        <v>53.0</v>
      </c>
      <c r="M2401" s="1">
        <v>495.0</v>
      </c>
      <c r="O2401" s="1">
        <v>0.0</v>
      </c>
      <c r="P2401" s="1">
        <v>0.0</v>
      </c>
      <c r="Q2401" s="1" t="s">
        <v>7647</v>
      </c>
      <c r="R2401" s="1">
        <v>153.0</v>
      </c>
      <c r="S2401" s="1">
        <v>935.0</v>
      </c>
      <c r="U2401" s="1">
        <v>0.0</v>
      </c>
      <c r="V2401" s="1" t="s">
        <v>7645</v>
      </c>
      <c r="W2401" s="1">
        <v>67.0</v>
      </c>
      <c r="Y2401" s="1">
        <v>0.0</v>
      </c>
      <c r="AA2401" s="1">
        <v>0.0</v>
      </c>
      <c r="AC2401" s="1">
        <v>0.0</v>
      </c>
      <c r="AD2401" s="1" t="s">
        <v>971</v>
      </c>
      <c r="AG2401" s="9" t="s">
        <v>7644</v>
      </c>
      <c r="AM2401" s="1">
        <v>206318.0</v>
      </c>
      <c r="AN2401" s="1">
        <v>37673.0</v>
      </c>
      <c r="AO2401" s="1">
        <v>37673.0</v>
      </c>
      <c r="AP2401" s="1">
        <v>14.432</v>
      </c>
      <c r="AR2401" s="1">
        <v>1969.0</v>
      </c>
      <c r="AS2401" s="1">
        <v>282.0</v>
      </c>
      <c r="AT2401" s="1">
        <v>6.982</v>
      </c>
      <c r="AU2401" s="1">
        <v>64.534</v>
      </c>
      <c r="AV2401" s="1" t="s">
        <v>990</v>
      </c>
      <c r="AW2401" s="1">
        <v>6.992</v>
      </c>
      <c r="AX2401" s="1">
        <v>5.0</v>
      </c>
      <c r="AY2401" s="1">
        <v>1.0</v>
      </c>
      <c r="AZ2401" s="1">
        <v>1.0</v>
      </c>
      <c r="BA2401" s="1">
        <v>4.0</v>
      </c>
      <c r="BB2401" s="1">
        <v>4.0</v>
      </c>
      <c r="BC2401" s="1">
        <v>0.0</v>
      </c>
      <c r="BD2401" s="1">
        <v>0.53</v>
      </c>
      <c r="BE2401" s="1">
        <v>136.0</v>
      </c>
      <c r="BF2401" s="1">
        <v>50.0</v>
      </c>
      <c r="BG2401" s="1">
        <v>0.0</v>
      </c>
      <c r="BH2401" s="1">
        <v>16.0</v>
      </c>
      <c r="BI2401" s="1">
        <v>8.0</v>
      </c>
      <c r="BJ2401" s="1">
        <v>0.0</v>
      </c>
      <c r="BO2401" s="1" t="s">
        <v>7648</v>
      </c>
      <c r="BP2401" s="1">
        <v>1.05</v>
      </c>
      <c r="BU2401" s="1" t="s">
        <v>974</v>
      </c>
      <c r="BV2401" s="1">
        <v>1.1</v>
      </c>
      <c r="EQ2401" s="9" t="s">
        <v>7644</v>
      </c>
      <c r="ER2401" s="21">
        <v>46045.302453703705</v>
      </c>
    </row>
    <row r="2402">
      <c r="A2402" s="9" t="s">
        <v>7649</v>
      </c>
      <c r="B2402" s="20" t="str">
        <f>IFERROR(__xludf.DUMMYFUNCTION("REGEXREPLACE(A2402, ""^https?://[^/]+"", """")"),"/wp-content/uploads/2014/12/shutterstock_148996061_rdax_225x150.jpg")</f>
        <v>/wp-content/uploads/2014/12/shutterstock_148996061_rdax_225x150.jpg</v>
      </c>
      <c r="F2402" s="1" t="s">
        <v>1004</v>
      </c>
      <c r="G2402" s="1">
        <v>200.0</v>
      </c>
      <c r="H2402" s="1" t="s">
        <v>966</v>
      </c>
      <c r="I2402" s="1" t="s">
        <v>967</v>
      </c>
      <c r="L2402" s="1">
        <v>0.0</v>
      </c>
      <c r="M2402" s="1">
        <v>0.0</v>
      </c>
      <c r="O2402" s="1">
        <v>0.0</v>
      </c>
      <c r="P2402" s="1">
        <v>0.0</v>
      </c>
      <c r="R2402" s="1">
        <v>0.0</v>
      </c>
      <c r="S2402" s="1">
        <v>0.0</v>
      </c>
      <c r="U2402" s="1">
        <v>0.0</v>
      </c>
      <c r="W2402" s="1">
        <v>0.0</v>
      </c>
      <c r="Y2402" s="1">
        <v>0.0</v>
      </c>
      <c r="AA2402" s="1">
        <v>0.0</v>
      </c>
      <c r="AC2402" s="1">
        <v>0.0</v>
      </c>
      <c r="AM2402" s="1">
        <v>11686.0</v>
      </c>
      <c r="AN2402" s="1">
        <v>11686.0</v>
      </c>
      <c r="AO2402" s="1">
        <v>11686.0</v>
      </c>
      <c r="AP2402" s="1">
        <v>4.477</v>
      </c>
      <c r="AR2402" s="1">
        <v>0.0</v>
      </c>
      <c r="AW2402" s="1">
        <v>0.0</v>
      </c>
      <c r="AX2402" s="1">
        <v>5.0</v>
      </c>
      <c r="AY2402" s="1">
        <v>4.0</v>
      </c>
      <c r="BA2402" s="1">
        <v>0.0</v>
      </c>
      <c r="BB2402" s="1">
        <v>0.0</v>
      </c>
      <c r="BC2402" s="1">
        <v>0.0</v>
      </c>
      <c r="BD2402" s="1">
        <v>0.0</v>
      </c>
      <c r="BE2402" s="1">
        <v>0.0</v>
      </c>
      <c r="BF2402" s="1">
        <v>0.0</v>
      </c>
      <c r="BG2402" s="1">
        <v>0.0</v>
      </c>
      <c r="BH2402" s="1">
        <v>0.0</v>
      </c>
      <c r="BI2402" s="1">
        <v>0.0</v>
      </c>
      <c r="BJ2402" s="1">
        <v>0.0</v>
      </c>
      <c r="BP2402" s="1">
        <v>0.264</v>
      </c>
      <c r="BQ2402" s="1" t="s">
        <v>3349</v>
      </c>
      <c r="BV2402" s="1">
        <v>1.1</v>
      </c>
      <c r="EQ2402" s="9" t="s">
        <v>7649</v>
      </c>
      <c r="ER2402" s="21">
        <v>46045.30247685185</v>
      </c>
    </row>
    <row r="2403">
      <c r="A2403" s="9" t="s">
        <v>7650</v>
      </c>
      <c r="B2403" s="20" t="str">
        <f>IFERROR(__xludf.DUMMYFUNCTION("REGEXREPLACE(A2403, ""^https?://[^/]+"", """")"),"/wp-content/themes/salesxceleratione/assets/css/style.css?ver=1769123635")</f>
        <v>/wp-content/themes/salesxceleratione/assets/css/style.css?ver=1769123635</v>
      </c>
      <c r="F2403" s="1" t="s">
        <v>1016</v>
      </c>
      <c r="G2403" s="1">
        <v>200.0</v>
      </c>
      <c r="H2403" s="1" t="s">
        <v>966</v>
      </c>
      <c r="I2403" s="1" t="s">
        <v>967</v>
      </c>
      <c r="L2403" s="1">
        <v>0.0</v>
      </c>
      <c r="M2403" s="1">
        <v>0.0</v>
      </c>
      <c r="O2403" s="1">
        <v>0.0</v>
      </c>
      <c r="P2403" s="1">
        <v>0.0</v>
      </c>
      <c r="R2403" s="1">
        <v>0.0</v>
      </c>
      <c r="S2403" s="1">
        <v>0.0</v>
      </c>
      <c r="U2403" s="1">
        <v>0.0</v>
      </c>
      <c r="W2403" s="1">
        <v>0.0</v>
      </c>
      <c r="Y2403" s="1">
        <v>0.0</v>
      </c>
      <c r="AA2403" s="1">
        <v>0.0</v>
      </c>
      <c r="AC2403" s="1">
        <v>0.0</v>
      </c>
      <c r="AM2403" s="1">
        <v>17704.0</v>
      </c>
      <c r="AN2403" s="1">
        <v>17704.0</v>
      </c>
      <c r="AO2403" s="1">
        <v>17704.0</v>
      </c>
      <c r="AP2403" s="1">
        <v>6.782</v>
      </c>
      <c r="AR2403" s="1">
        <v>0.0</v>
      </c>
      <c r="AW2403" s="1">
        <v>0.0</v>
      </c>
      <c r="AX2403" s="1">
        <v>5.0</v>
      </c>
      <c r="AY2403" s="1">
        <v>5.0</v>
      </c>
      <c r="BA2403" s="1">
        <v>0.0</v>
      </c>
      <c r="BB2403" s="1">
        <v>0.0</v>
      </c>
      <c r="BC2403" s="1">
        <v>0.0</v>
      </c>
      <c r="BD2403" s="1">
        <v>0.0</v>
      </c>
      <c r="BE2403" s="1">
        <v>0.0</v>
      </c>
      <c r="BF2403" s="1">
        <v>0.0</v>
      </c>
      <c r="BG2403" s="1">
        <v>0.0</v>
      </c>
      <c r="BH2403" s="1">
        <v>0.0</v>
      </c>
      <c r="BI2403" s="1">
        <v>0.0</v>
      </c>
      <c r="BJ2403" s="1">
        <v>0.0</v>
      </c>
      <c r="BP2403" s="1">
        <v>0.303</v>
      </c>
      <c r="BQ2403" s="1" t="s">
        <v>7651</v>
      </c>
      <c r="BV2403" s="1">
        <v>1.1</v>
      </c>
      <c r="EQ2403" s="9" t="s">
        <v>7650</v>
      </c>
      <c r="ER2403" s="21">
        <v>46045.30247685185</v>
      </c>
    </row>
    <row r="2404">
      <c r="A2404" s="9" t="s">
        <v>7652</v>
      </c>
      <c r="B2404" s="20" t="str">
        <f>IFERROR(__xludf.DUMMYFUNCTION("REGEXREPLACE(A2404, ""^https?://[^/]+"", """")"),"/wp-content/uploads/2015/01/images.jpg")</f>
        <v>/wp-content/uploads/2015/01/images.jpg</v>
      </c>
      <c r="F2404" s="1" t="s">
        <v>1004</v>
      </c>
      <c r="G2404" s="1">
        <v>200.0</v>
      </c>
      <c r="H2404" s="1" t="s">
        <v>966</v>
      </c>
      <c r="I2404" s="1" t="s">
        <v>967</v>
      </c>
      <c r="L2404" s="1">
        <v>0.0</v>
      </c>
      <c r="M2404" s="1">
        <v>0.0</v>
      </c>
      <c r="O2404" s="1">
        <v>0.0</v>
      </c>
      <c r="P2404" s="1">
        <v>0.0</v>
      </c>
      <c r="R2404" s="1">
        <v>0.0</v>
      </c>
      <c r="S2404" s="1">
        <v>0.0</v>
      </c>
      <c r="U2404" s="1">
        <v>0.0</v>
      </c>
      <c r="W2404" s="1">
        <v>0.0</v>
      </c>
      <c r="Y2404" s="1">
        <v>0.0</v>
      </c>
      <c r="AA2404" s="1">
        <v>0.0</v>
      </c>
      <c r="AC2404" s="1">
        <v>0.0</v>
      </c>
      <c r="AM2404" s="1">
        <v>8274.0</v>
      </c>
      <c r="AN2404" s="1">
        <v>8274.0</v>
      </c>
      <c r="AO2404" s="1">
        <v>8274.0</v>
      </c>
      <c r="AP2404" s="1">
        <v>3.17</v>
      </c>
      <c r="AR2404" s="1">
        <v>0.0</v>
      </c>
      <c r="AW2404" s="1">
        <v>0.0</v>
      </c>
      <c r="AX2404" s="1">
        <v>5.0</v>
      </c>
      <c r="AY2404" s="1">
        <v>4.0</v>
      </c>
      <c r="BA2404" s="1">
        <v>0.0</v>
      </c>
      <c r="BB2404" s="1">
        <v>0.0</v>
      </c>
      <c r="BC2404" s="1">
        <v>0.0</v>
      </c>
      <c r="BD2404" s="1">
        <v>0.0</v>
      </c>
      <c r="BE2404" s="1">
        <v>0.0</v>
      </c>
      <c r="BF2404" s="1">
        <v>0.0</v>
      </c>
      <c r="BG2404" s="1">
        <v>0.0</v>
      </c>
      <c r="BH2404" s="1">
        <v>0.0</v>
      </c>
      <c r="BI2404" s="1">
        <v>0.0</v>
      </c>
      <c r="BJ2404" s="1">
        <v>0.0</v>
      </c>
      <c r="BP2404" s="1">
        <v>0.27</v>
      </c>
      <c r="BQ2404" s="1" t="s">
        <v>7653</v>
      </c>
      <c r="BV2404" s="1">
        <v>1.1</v>
      </c>
      <c r="EQ2404" s="9" t="s">
        <v>7652</v>
      </c>
      <c r="ER2404" s="21">
        <v>46045.30247685185</v>
      </c>
    </row>
    <row r="2405">
      <c r="A2405" s="9" t="s">
        <v>7654</v>
      </c>
      <c r="B2405" s="20" t="str">
        <f>IFERROR(__xludf.DUMMYFUNCTION("REGEXREPLACE(A2405, ""^https?://[^/]+"", """")"),"/wp-content/uploads/2015/08/Youre-Fired-RS-72-dpi-560-x-281.jpg")</f>
        <v>/wp-content/uploads/2015/08/Youre-Fired-RS-72-dpi-560-x-281.jpg</v>
      </c>
      <c r="F2405" s="1" t="s">
        <v>1004</v>
      </c>
      <c r="G2405" s="1">
        <v>200.0</v>
      </c>
      <c r="H2405" s="1" t="s">
        <v>966</v>
      </c>
      <c r="I2405" s="1" t="s">
        <v>967</v>
      </c>
      <c r="L2405" s="1">
        <v>0.0</v>
      </c>
      <c r="M2405" s="1">
        <v>0.0</v>
      </c>
      <c r="O2405" s="1">
        <v>0.0</v>
      </c>
      <c r="P2405" s="1">
        <v>0.0</v>
      </c>
      <c r="R2405" s="1">
        <v>0.0</v>
      </c>
      <c r="S2405" s="1">
        <v>0.0</v>
      </c>
      <c r="U2405" s="1">
        <v>0.0</v>
      </c>
      <c r="W2405" s="1">
        <v>0.0</v>
      </c>
      <c r="Y2405" s="1">
        <v>0.0</v>
      </c>
      <c r="AA2405" s="1">
        <v>0.0</v>
      </c>
      <c r="AC2405" s="1">
        <v>0.0</v>
      </c>
      <c r="AM2405" s="1">
        <v>52867.0</v>
      </c>
      <c r="AN2405" s="1">
        <v>52867.0</v>
      </c>
      <c r="AO2405" s="1">
        <v>52867.0</v>
      </c>
      <c r="AP2405" s="1">
        <v>20.252</v>
      </c>
      <c r="AR2405" s="1">
        <v>0.0</v>
      </c>
      <c r="AW2405" s="1">
        <v>0.0</v>
      </c>
      <c r="AX2405" s="1">
        <v>5.0</v>
      </c>
      <c r="AY2405" s="1">
        <v>4.0</v>
      </c>
      <c r="BA2405" s="1">
        <v>0.0</v>
      </c>
      <c r="BB2405" s="1">
        <v>0.0</v>
      </c>
      <c r="BC2405" s="1">
        <v>0.0</v>
      </c>
      <c r="BD2405" s="1">
        <v>0.0</v>
      </c>
      <c r="BE2405" s="1">
        <v>0.0</v>
      </c>
      <c r="BF2405" s="1">
        <v>0.0</v>
      </c>
      <c r="BG2405" s="1">
        <v>0.0</v>
      </c>
      <c r="BH2405" s="1">
        <v>0.0</v>
      </c>
      <c r="BI2405" s="1">
        <v>0.0</v>
      </c>
      <c r="BJ2405" s="1">
        <v>0.0</v>
      </c>
      <c r="BP2405" s="1">
        <v>0.27</v>
      </c>
      <c r="BQ2405" s="1" t="s">
        <v>7655</v>
      </c>
      <c r="BV2405" s="1">
        <v>1.1</v>
      </c>
      <c r="EQ2405" s="9" t="s">
        <v>7654</v>
      </c>
      <c r="ER2405" s="21">
        <v>46045.30248842593</v>
      </c>
    </row>
    <row r="2406">
      <c r="A2406" s="9" t="s">
        <v>7656</v>
      </c>
      <c r="B2406" s="20" t="str">
        <f>IFERROR(__xludf.DUMMYFUNCTION("REGEXREPLACE(A2406, ""^https?://[^/]+"", """")"),"/wp-content/uploads/2021/03/Gig-Economy.png")</f>
        <v>/wp-content/uploads/2021/03/Gig-Economy.png</v>
      </c>
      <c r="F2406" s="1" t="s">
        <v>1047</v>
      </c>
      <c r="G2406" s="1">
        <v>200.0</v>
      </c>
      <c r="H2406" s="1" t="s">
        <v>966</v>
      </c>
      <c r="I2406" s="1" t="s">
        <v>967</v>
      </c>
      <c r="L2406" s="1">
        <v>0.0</v>
      </c>
      <c r="M2406" s="1">
        <v>0.0</v>
      </c>
      <c r="O2406" s="1">
        <v>0.0</v>
      </c>
      <c r="P2406" s="1">
        <v>0.0</v>
      </c>
      <c r="R2406" s="1">
        <v>0.0</v>
      </c>
      <c r="S2406" s="1">
        <v>0.0</v>
      </c>
      <c r="U2406" s="1">
        <v>0.0</v>
      </c>
      <c r="W2406" s="1">
        <v>0.0</v>
      </c>
      <c r="Y2406" s="1">
        <v>0.0</v>
      </c>
      <c r="AA2406" s="1">
        <v>0.0</v>
      </c>
      <c r="AC2406" s="1">
        <v>0.0</v>
      </c>
      <c r="AM2406" s="1">
        <v>1068124.0</v>
      </c>
      <c r="AN2406" s="1">
        <v>1068124.0</v>
      </c>
      <c r="AO2406" s="1">
        <v>1068124.0</v>
      </c>
      <c r="AP2406" s="1">
        <v>409.178</v>
      </c>
      <c r="AR2406" s="1">
        <v>0.0</v>
      </c>
      <c r="AW2406" s="1">
        <v>0.0</v>
      </c>
      <c r="AX2406" s="1">
        <v>5.0</v>
      </c>
      <c r="AY2406" s="1">
        <v>4.0</v>
      </c>
      <c r="BA2406" s="1">
        <v>0.0</v>
      </c>
      <c r="BB2406" s="1">
        <v>0.0</v>
      </c>
      <c r="BC2406" s="1">
        <v>0.0</v>
      </c>
      <c r="BD2406" s="1">
        <v>0.0</v>
      </c>
      <c r="BE2406" s="1">
        <v>0.0</v>
      </c>
      <c r="BF2406" s="1">
        <v>0.0</v>
      </c>
      <c r="BG2406" s="1">
        <v>0.0</v>
      </c>
      <c r="BH2406" s="1">
        <v>0.0</v>
      </c>
      <c r="BI2406" s="1">
        <v>0.0</v>
      </c>
      <c r="BJ2406" s="1">
        <v>0.0</v>
      </c>
      <c r="BP2406" s="1">
        <v>0.278</v>
      </c>
      <c r="BQ2406" s="1" t="s">
        <v>7657</v>
      </c>
      <c r="BV2406" s="1">
        <v>1.1</v>
      </c>
      <c r="EQ2406" s="9" t="s">
        <v>7656</v>
      </c>
      <c r="ER2406" s="21">
        <v>46045.30248842593</v>
      </c>
    </row>
    <row r="2407">
      <c r="A2407" s="9" t="s">
        <v>7658</v>
      </c>
      <c r="B2407" s="20" t="str">
        <f>IFERROR(__xludf.DUMMYFUNCTION("REGEXREPLACE(A2407, ""^https?://[^/]+"", """")"),"/wp-content/themes/salesxceleratione/assets/css/style.css?ver=1769123636")</f>
        <v>/wp-content/themes/salesxceleratione/assets/css/style.css?ver=1769123636</v>
      </c>
      <c r="F2407" s="1" t="s">
        <v>1016</v>
      </c>
      <c r="G2407" s="1">
        <v>200.0</v>
      </c>
      <c r="H2407" s="1" t="s">
        <v>966</v>
      </c>
      <c r="I2407" s="1" t="s">
        <v>967</v>
      </c>
      <c r="L2407" s="1">
        <v>0.0</v>
      </c>
      <c r="M2407" s="1">
        <v>0.0</v>
      </c>
      <c r="O2407" s="1">
        <v>0.0</v>
      </c>
      <c r="P2407" s="1">
        <v>0.0</v>
      </c>
      <c r="R2407" s="1">
        <v>0.0</v>
      </c>
      <c r="S2407" s="1">
        <v>0.0</v>
      </c>
      <c r="U2407" s="1">
        <v>0.0</v>
      </c>
      <c r="W2407" s="1">
        <v>0.0</v>
      </c>
      <c r="Y2407" s="1">
        <v>0.0</v>
      </c>
      <c r="AA2407" s="1">
        <v>0.0</v>
      </c>
      <c r="AC2407" s="1">
        <v>0.0</v>
      </c>
      <c r="AM2407" s="1">
        <v>17704.0</v>
      </c>
      <c r="AN2407" s="1">
        <v>17704.0</v>
      </c>
      <c r="AO2407" s="1">
        <v>17704.0</v>
      </c>
      <c r="AP2407" s="1">
        <v>6.782</v>
      </c>
      <c r="AR2407" s="1">
        <v>0.0</v>
      </c>
      <c r="AW2407" s="1">
        <v>0.0</v>
      </c>
      <c r="AX2407" s="1">
        <v>5.0</v>
      </c>
      <c r="AY2407" s="1">
        <v>5.0</v>
      </c>
      <c r="BA2407" s="1">
        <v>0.0</v>
      </c>
      <c r="BB2407" s="1">
        <v>0.0</v>
      </c>
      <c r="BC2407" s="1">
        <v>0.0</v>
      </c>
      <c r="BD2407" s="1">
        <v>0.0</v>
      </c>
      <c r="BE2407" s="1">
        <v>0.0</v>
      </c>
      <c r="BF2407" s="1">
        <v>0.0</v>
      </c>
      <c r="BG2407" s="1">
        <v>0.0</v>
      </c>
      <c r="BH2407" s="1">
        <v>0.0</v>
      </c>
      <c r="BI2407" s="1">
        <v>0.0</v>
      </c>
      <c r="BJ2407" s="1">
        <v>0.0</v>
      </c>
      <c r="BP2407" s="1">
        <v>0.285</v>
      </c>
      <c r="BQ2407" s="1" t="s">
        <v>7659</v>
      </c>
      <c r="BV2407" s="1">
        <v>1.1</v>
      </c>
      <c r="EQ2407" s="9" t="s">
        <v>7658</v>
      </c>
      <c r="ER2407" s="21">
        <v>46045.30248842593</v>
      </c>
    </row>
    <row r="2408">
      <c r="A2408" s="9" t="s">
        <v>7660</v>
      </c>
      <c r="B2408" s="20" t="str">
        <f>IFERROR(__xludf.DUMMYFUNCTION("REGEXREPLACE(A2408, ""^https?://[^/]+"", """")"),"/wp-content/uploads/2021/03/Sales-Leader-Meeting-with-Sales-Team.png")</f>
        <v>/wp-content/uploads/2021/03/Sales-Leader-Meeting-with-Sales-Team.png</v>
      </c>
      <c r="F2408" s="1" t="s">
        <v>1047</v>
      </c>
      <c r="G2408" s="1">
        <v>200.0</v>
      </c>
      <c r="H2408" s="1" t="s">
        <v>966</v>
      </c>
      <c r="I2408" s="1" t="s">
        <v>967</v>
      </c>
      <c r="L2408" s="1">
        <v>0.0</v>
      </c>
      <c r="M2408" s="1">
        <v>0.0</v>
      </c>
      <c r="O2408" s="1">
        <v>0.0</v>
      </c>
      <c r="P2408" s="1">
        <v>0.0</v>
      </c>
      <c r="R2408" s="1">
        <v>0.0</v>
      </c>
      <c r="S2408" s="1">
        <v>0.0</v>
      </c>
      <c r="U2408" s="1">
        <v>0.0</v>
      </c>
      <c r="W2408" s="1">
        <v>0.0</v>
      </c>
      <c r="Y2408" s="1">
        <v>0.0</v>
      </c>
      <c r="AA2408" s="1">
        <v>0.0</v>
      </c>
      <c r="AC2408" s="1">
        <v>0.0</v>
      </c>
      <c r="AM2408" s="1">
        <v>1100472.0</v>
      </c>
      <c r="AN2408" s="1">
        <v>1100472.0</v>
      </c>
      <c r="AO2408" s="1">
        <v>1100472.0</v>
      </c>
      <c r="AP2408" s="1">
        <v>421.57</v>
      </c>
      <c r="AR2408" s="1">
        <v>0.0</v>
      </c>
      <c r="AW2408" s="1">
        <v>0.0</v>
      </c>
      <c r="AX2408" s="1">
        <v>5.0</v>
      </c>
      <c r="AY2408" s="1">
        <v>4.0</v>
      </c>
      <c r="BA2408" s="1">
        <v>0.0</v>
      </c>
      <c r="BB2408" s="1">
        <v>0.0</v>
      </c>
      <c r="BC2408" s="1">
        <v>0.0</v>
      </c>
      <c r="BD2408" s="1">
        <v>0.0</v>
      </c>
      <c r="BE2408" s="1">
        <v>0.0</v>
      </c>
      <c r="BF2408" s="1">
        <v>0.0</v>
      </c>
      <c r="BG2408" s="1">
        <v>0.0</v>
      </c>
      <c r="BH2408" s="1">
        <v>0.0</v>
      </c>
      <c r="BI2408" s="1">
        <v>0.0</v>
      </c>
      <c r="BJ2408" s="1">
        <v>0.0</v>
      </c>
      <c r="BP2408" s="1">
        <v>0.266</v>
      </c>
      <c r="BQ2408" s="1" t="s">
        <v>7661</v>
      </c>
      <c r="BV2408" s="1">
        <v>1.1</v>
      </c>
      <c r="EQ2408" s="9" t="s">
        <v>7660</v>
      </c>
      <c r="ER2408" s="21">
        <v>46045.30248842593</v>
      </c>
    </row>
    <row r="2409">
      <c r="A2409" s="9" t="s">
        <v>7662</v>
      </c>
      <c r="B2409" s="20" t="str">
        <f>IFERROR(__xludf.DUMMYFUNCTION("REGEXREPLACE(A2409, ""^https?://[^/]+"", """")"),"/wp-content/uploads/2021/04/Sales-Leadership-Meeting-scaled-1.jpg")</f>
        <v>/wp-content/uploads/2021/04/Sales-Leadership-Meeting-scaled-1.jpg</v>
      </c>
      <c r="F2409" s="1" t="s">
        <v>1004</v>
      </c>
      <c r="G2409" s="1">
        <v>200.0</v>
      </c>
      <c r="H2409" s="1" t="s">
        <v>966</v>
      </c>
      <c r="I2409" s="1" t="s">
        <v>967</v>
      </c>
      <c r="L2409" s="1">
        <v>0.0</v>
      </c>
      <c r="M2409" s="1">
        <v>0.0</v>
      </c>
      <c r="O2409" s="1">
        <v>0.0</v>
      </c>
      <c r="P2409" s="1">
        <v>0.0</v>
      </c>
      <c r="R2409" s="1">
        <v>0.0</v>
      </c>
      <c r="S2409" s="1">
        <v>0.0</v>
      </c>
      <c r="U2409" s="1">
        <v>0.0</v>
      </c>
      <c r="W2409" s="1">
        <v>0.0</v>
      </c>
      <c r="Y2409" s="1">
        <v>0.0</v>
      </c>
      <c r="AA2409" s="1">
        <v>0.0</v>
      </c>
      <c r="AC2409" s="1">
        <v>0.0</v>
      </c>
      <c r="AM2409" s="1">
        <v>245546.0</v>
      </c>
      <c r="AN2409" s="1">
        <v>245546.0</v>
      </c>
      <c r="AO2409" s="1">
        <v>245546.0</v>
      </c>
      <c r="AP2409" s="1">
        <v>94.064</v>
      </c>
      <c r="AR2409" s="1">
        <v>0.0</v>
      </c>
      <c r="AW2409" s="1">
        <v>0.0</v>
      </c>
      <c r="AX2409" s="1">
        <v>5.0</v>
      </c>
      <c r="AY2409" s="1">
        <v>4.0</v>
      </c>
      <c r="BA2409" s="1">
        <v>0.0</v>
      </c>
      <c r="BB2409" s="1">
        <v>0.0</v>
      </c>
      <c r="BC2409" s="1">
        <v>0.0</v>
      </c>
      <c r="BD2409" s="1">
        <v>0.0</v>
      </c>
      <c r="BE2409" s="1">
        <v>0.0</v>
      </c>
      <c r="BF2409" s="1">
        <v>0.0</v>
      </c>
      <c r="BG2409" s="1">
        <v>0.0</v>
      </c>
      <c r="BH2409" s="1">
        <v>0.0</v>
      </c>
      <c r="BI2409" s="1">
        <v>0.0</v>
      </c>
      <c r="BJ2409" s="1">
        <v>0.0</v>
      </c>
      <c r="BP2409" s="1">
        <v>0.285</v>
      </c>
      <c r="BQ2409" s="1" t="s">
        <v>7663</v>
      </c>
      <c r="BV2409" s="1">
        <v>1.1</v>
      </c>
      <c r="EQ2409" s="9" t="s">
        <v>7662</v>
      </c>
      <c r="ER2409" s="21">
        <v>46045.30248842593</v>
      </c>
    </row>
    <row r="2410">
      <c r="A2410" s="9" t="s">
        <v>7664</v>
      </c>
      <c r="B2410" s="20" t="str">
        <f>IFERROR(__xludf.DUMMYFUNCTION("REGEXREPLACE(A2410, ""^https?://[^/]+"", """")"),"/wp-content/uploads/2021/05/Confident-Sales-Leader-in-Team-Meeting-scaled-1.jpg")</f>
        <v>/wp-content/uploads/2021/05/Confident-Sales-Leader-in-Team-Meeting-scaled-1.jpg</v>
      </c>
      <c r="F2410" s="1" t="s">
        <v>1004</v>
      </c>
      <c r="G2410" s="1">
        <v>200.0</v>
      </c>
      <c r="H2410" s="1" t="s">
        <v>966</v>
      </c>
      <c r="I2410" s="1" t="s">
        <v>967</v>
      </c>
      <c r="L2410" s="1">
        <v>0.0</v>
      </c>
      <c r="M2410" s="1">
        <v>0.0</v>
      </c>
      <c r="O2410" s="1">
        <v>0.0</v>
      </c>
      <c r="P2410" s="1">
        <v>0.0</v>
      </c>
      <c r="R2410" s="1">
        <v>0.0</v>
      </c>
      <c r="S2410" s="1">
        <v>0.0</v>
      </c>
      <c r="U2410" s="1">
        <v>0.0</v>
      </c>
      <c r="W2410" s="1">
        <v>0.0</v>
      </c>
      <c r="Y2410" s="1">
        <v>0.0</v>
      </c>
      <c r="AA2410" s="1">
        <v>0.0</v>
      </c>
      <c r="AC2410" s="1">
        <v>0.0</v>
      </c>
      <c r="AM2410" s="1">
        <v>232306.0</v>
      </c>
      <c r="AN2410" s="1">
        <v>232306.0</v>
      </c>
      <c r="AO2410" s="1">
        <v>232306.0</v>
      </c>
      <c r="AP2410" s="1">
        <v>88.992</v>
      </c>
      <c r="AR2410" s="1">
        <v>0.0</v>
      </c>
      <c r="AW2410" s="1">
        <v>0.0</v>
      </c>
      <c r="AX2410" s="1">
        <v>5.0</v>
      </c>
      <c r="AY2410" s="1">
        <v>4.0</v>
      </c>
      <c r="BA2410" s="1">
        <v>0.0</v>
      </c>
      <c r="BB2410" s="1">
        <v>0.0</v>
      </c>
      <c r="BC2410" s="1">
        <v>0.0</v>
      </c>
      <c r="BD2410" s="1">
        <v>0.0</v>
      </c>
      <c r="BE2410" s="1">
        <v>0.0</v>
      </c>
      <c r="BF2410" s="1">
        <v>0.0</v>
      </c>
      <c r="BG2410" s="1">
        <v>0.0</v>
      </c>
      <c r="BH2410" s="1">
        <v>0.0</v>
      </c>
      <c r="BI2410" s="1">
        <v>0.0</v>
      </c>
      <c r="BJ2410" s="1">
        <v>0.0</v>
      </c>
      <c r="BP2410" s="1">
        <v>0.404</v>
      </c>
      <c r="BQ2410" s="1" t="s">
        <v>7665</v>
      </c>
      <c r="BV2410" s="1">
        <v>1.1</v>
      </c>
      <c r="EQ2410" s="9" t="s">
        <v>7664</v>
      </c>
      <c r="ER2410" s="21">
        <v>46045.30248842593</v>
      </c>
    </row>
    <row r="2411">
      <c r="A2411" s="9" t="s">
        <v>7666</v>
      </c>
      <c r="B2411" s="20" t="str">
        <f>IFERROR(__xludf.DUMMYFUNCTION("REGEXREPLACE(A2411, ""^https?://[^/]+"", """")"),"/wp-content/uploads/2021/06/Business-Owner-in-Sales-Team-Meeting.jpg")</f>
        <v>/wp-content/uploads/2021/06/Business-Owner-in-Sales-Team-Meeting.jpg</v>
      </c>
      <c r="F2411" s="1" t="s">
        <v>1004</v>
      </c>
      <c r="G2411" s="1">
        <v>200.0</v>
      </c>
      <c r="H2411" s="1" t="s">
        <v>966</v>
      </c>
      <c r="I2411" s="1" t="s">
        <v>967</v>
      </c>
      <c r="L2411" s="1">
        <v>0.0</v>
      </c>
      <c r="M2411" s="1">
        <v>0.0</v>
      </c>
      <c r="O2411" s="1">
        <v>0.0</v>
      </c>
      <c r="P2411" s="1">
        <v>0.0</v>
      </c>
      <c r="R2411" s="1">
        <v>0.0</v>
      </c>
      <c r="S2411" s="1">
        <v>0.0</v>
      </c>
      <c r="U2411" s="1">
        <v>0.0</v>
      </c>
      <c r="W2411" s="1">
        <v>0.0</v>
      </c>
      <c r="Y2411" s="1">
        <v>0.0</v>
      </c>
      <c r="AA2411" s="1">
        <v>0.0</v>
      </c>
      <c r="AC2411" s="1">
        <v>0.0</v>
      </c>
      <c r="AM2411" s="1">
        <v>112089.0</v>
      </c>
      <c r="AN2411" s="1">
        <v>112089.0</v>
      </c>
      <c r="AO2411" s="1">
        <v>112089.0</v>
      </c>
      <c r="AP2411" s="1">
        <v>42.939</v>
      </c>
      <c r="AR2411" s="1">
        <v>0.0</v>
      </c>
      <c r="AW2411" s="1">
        <v>0.0</v>
      </c>
      <c r="AX2411" s="1">
        <v>5.0</v>
      </c>
      <c r="AY2411" s="1">
        <v>4.0</v>
      </c>
      <c r="BA2411" s="1">
        <v>0.0</v>
      </c>
      <c r="BB2411" s="1">
        <v>0.0</v>
      </c>
      <c r="BC2411" s="1">
        <v>0.0</v>
      </c>
      <c r="BD2411" s="1">
        <v>0.0</v>
      </c>
      <c r="BE2411" s="1">
        <v>0.0</v>
      </c>
      <c r="BF2411" s="1">
        <v>0.0</v>
      </c>
      <c r="BG2411" s="1">
        <v>0.0</v>
      </c>
      <c r="BH2411" s="1">
        <v>0.0</v>
      </c>
      <c r="BI2411" s="1">
        <v>0.0</v>
      </c>
      <c r="BJ2411" s="1">
        <v>0.0</v>
      </c>
      <c r="BP2411" s="1">
        <v>0.283</v>
      </c>
      <c r="BQ2411" s="1" t="s">
        <v>6128</v>
      </c>
      <c r="BV2411" s="1">
        <v>1.1</v>
      </c>
      <c r="EQ2411" s="9" t="s">
        <v>7666</v>
      </c>
      <c r="ER2411" s="21">
        <v>46045.30248842593</v>
      </c>
    </row>
    <row r="2412">
      <c r="A2412" s="9" t="s">
        <v>7667</v>
      </c>
      <c r="B2412" s="20" t="str">
        <f>IFERROR(__xludf.DUMMYFUNCTION("REGEXREPLACE(A2412, ""^https?://[^/]+"", """")"),"/wp-content/themes/salesxceleratione/assets/css/style.css?ver=1769123638")</f>
        <v>/wp-content/themes/salesxceleratione/assets/css/style.css?ver=1769123638</v>
      </c>
      <c r="F2412" s="1" t="s">
        <v>1016</v>
      </c>
      <c r="G2412" s="1">
        <v>200.0</v>
      </c>
      <c r="H2412" s="1" t="s">
        <v>966</v>
      </c>
      <c r="I2412" s="1" t="s">
        <v>967</v>
      </c>
      <c r="L2412" s="1">
        <v>0.0</v>
      </c>
      <c r="M2412" s="1">
        <v>0.0</v>
      </c>
      <c r="O2412" s="1">
        <v>0.0</v>
      </c>
      <c r="P2412" s="1">
        <v>0.0</v>
      </c>
      <c r="R2412" s="1">
        <v>0.0</v>
      </c>
      <c r="S2412" s="1">
        <v>0.0</v>
      </c>
      <c r="U2412" s="1">
        <v>0.0</v>
      </c>
      <c r="W2412" s="1">
        <v>0.0</v>
      </c>
      <c r="Y2412" s="1">
        <v>0.0</v>
      </c>
      <c r="AA2412" s="1">
        <v>0.0</v>
      </c>
      <c r="AC2412" s="1">
        <v>0.0</v>
      </c>
      <c r="AM2412" s="1">
        <v>17704.0</v>
      </c>
      <c r="AN2412" s="1">
        <v>17704.0</v>
      </c>
      <c r="AO2412" s="1">
        <v>17704.0</v>
      </c>
      <c r="AP2412" s="1">
        <v>6.782</v>
      </c>
      <c r="AR2412" s="1">
        <v>0.0</v>
      </c>
      <c r="AW2412" s="1">
        <v>0.0</v>
      </c>
      <c r="AX2412" s="1">
        <v>5.0</v>
      </c>
      <c r="AY2412" s="1">
        <v>5.0</v>
      </c>
      <c r="BA2412" s="1">
        <v>0.0</v>
      </c>
      <c r="BB2412" s="1">
        <v>0.0</v>
      </c>
      <c r="BC2412" s="1">
        <v>0.0</v>
      </c>
      <c r="BD2412" s="1">
        <v>0.0</v>
      </c>
      <c r="BE2412" s="1">
        <v>0.0</v>
      </c>
      <c r="BF2412" s="1">
        <v>0.0</v>
      </c>
      <c r="BG2412" s="1">
        <v>0.0</v>
      </c>
      <c r="BH2412" s="1">
        <v>0.0</v>
      </c>
      <c r="BI2412" s="1">
        <v>0.0</v>
      </c>
      <c r="BJ2412" s="1">
        <v>0.0</v>
      </c>
      <c r="BP2412" s="1">
        <v>0.257</v>
      </c>
      <c r="BQ2412" s="1" t="s">
        <v>6188</v>
      </c>
      <c r="BV2412" s="1">
        <v>1.1</v>
      </c>
      <c r="EQ2412" s="9" t="s">
        <v>7667</v>
      </c>
      <c r="ER2412" s="21">
        <v>46045.30248842593</v>
      </c>
    </row>
    <row r="2413">
      <c r="A2413" s="9" t="s">
        <v>7668</v>
      </c>
      <c r="B2413" s="20" t="str">
        <f>IFERROR(__xludf.DUMMYFUNCTION("REGEXREPLACE(A2413, ""^https?://[^/]+"", """")"),"/wp-content/uploads/2021/03/Sales-Process-Meeting-scaled-1.jpg")</f>
        <v>/wp-content/uploads/2021/03/Sales-Process-Meeting-scaled-1.jpg</v>
      </c>
      <c r="F2413" s="1" t="s">
        <v>1004</v>
      </c>
      <c r="G2413" s="1">
        <v>200.0</v>
      </c>
      <c r="H2413" s="1" t="s">
        <v>966</v>
      </c>
      <c r="I2413" s="1" t="s">
        <v>967</v>
      </c>
      <c r="L2413" s="1">
        <v>0.0</v>
      </c>
      <c r="M2413" s="1">
        <v>0.0</v>
      </c>
      <c r="O2413" s="1">
        <v>0.0</v>
      </c>
      <c r="P2413" s="1">
        <v>0.0</v>
      </c>
      <c r="R2413" s="1">
        <v>0.0</v>
      </c>
      <c r="S2413" s="1">
        <v>0.0</v>
      </c>
      <c r="U2413" s="1">
        <v>0.0</v>
      </c>
      <c r="W2413" s="1">
        <v>0.0</v>
      </c>
      <c r="Y2413" s="1">
        <v>0.0</v>
      </c>
      <c r="AA2413" s="1">
        <v>0.0</v>
      </c>
      <c r="AC2413" s="1">
        <v>0.0</v>
      </c>
      <c r="AM2413" s="1">
        <v>178516.0</v>
      </c>
      <c r="AN2413" s="1">
        <v>178516.0</v>
      </c>
      <c r="AO2413" s="1">
        <v>178516.0</v>
      </c>
      <c r="AP2413" s="1">
        <v>68.386</v>
      </c>
      <c r="AR2413" s="1">
        <v>0.0</v>
      </c>
      <c r="AW2413" s="1">
        <v>0.0</v>
      </c>
      <c r="AX2413" s="1">
        <v>5.0</v>
      </c>
      <c r="AY2413" s="1">
        <v>4.0</v>
      </c>
      <c r="BA2413" s="1">
        <v>0.0</v>
      </c>
      <c r="BB2413" s="1">
        <v>0.0</v>
      </c>
      <c r="BC2413" s="1">
        <v>0.0</v>
      </c>
      <c r="BD2413" s="1">
        <v>0.0</v>
      </c>
      <c r="BE2413" s="1">
        <v>0.0</v>
      </c>
      <c r="BF2413" s="1">
        <v>0.0</v>
      </c>
      <c r="BG2413" s="1">
        <v>0.0</v>
      </c>
      <c r="BH2413" s="1">
        <v>0.0</v>
      </c>
      <c r="BI2413" s="1">
        <v>0.0</v>
      </c>
      <c r="BJ2413" s="1">
        <v>0.0</v>
      </c>
      <c r="BP2413" s="1">
        <v>0.29</v>
      </c>
      <c r="BQ2413" s="1" t="s">
        <v>7669</v>
      </c>
      <c r="BV2413" s="1">
        <v>1.1</v>
      </c>
      <c r="EQ2413" s="9" t="s">
        <v>7668</v>
      </c>
      <c r="ER2413" s="21">
        <v>46045.30248842593</v>
      </c>
    </row>
    <row r="2414">
      <c r="A2414" s="9" t="s">
        <v>7670</v>
      </c>
      <c r="B2414" s="20" t="str">
        <f>IFERROR(__xludf.DUMMYFUNCTION("REGEXREPLACE(A2414, ""^https?://[^/]+"", """")"),"/wp-content/uploads/2020/03/Buinesswoman_leading_a_team-1-scaled-1-2048x2048.jpg")</f>
        <v>/wp-content/uploads/2020/03/Buinesswoman_leading_a_team-1-scaled-1-2048x2048.jpg</v>
      </c>
      <c r="F2414" s="1" t="s">
        <v>1004</v>
      </c>
      <c r="G2414" s="1">
        <v>200.0</v>
      </c>
      <c r="H2414" s="1" t="s">
        <v>966</v>
      </c>
      <c r="I2414" s="1" t="s">
        <v>967</v>
      </c>
      <c r="L2414" s="1">
        <v>0.0</v>
      </c>
      <c r="M2414" s="1">
        <v>0.0</v>
      </c>
      <c r="O2414" s="1">
        <v>0.0</v>
      </c>
      <c r="P2414" s="1">
        <v>0.0</v>
      </c>
      <c r="R2414" s="1">
        <v>0.0</v>
      </c>
      <c r="S2414" s="1">
        <v>0.0</v>
      </c>
      <c r="U2414" s="1">
        <v>0.0</v>
      </c>
      <c r="W2414" s="1">
        <v>0.0</v>
      </c>
      <c r="Y2414" s="1">
        <v>0.0</v>
      </c>
      <c r="AA2414" s="1">
        <v>0.0</v>
      </c>
      <c r="AC2414" s="1">
        <v>0.0</v>
      </c>
      <c r="AM2414" s="1">
        <v>308007.0</v>
      </c>
      <c r="AN2414" s="1">
        <v>308007.0</v>
      </c>
      <c r="AO2414" s="1">
        <v>308007.0</v>
      </c>
      <c r="AP2414" s="1">
        <v>117.992</v>
      </c>
      <c r="AR2414" s="1">
        <v>0.0</v>
      </c>
      <c r="AW2414" s="1">
        <v>0.0</v>
      </c>
      <c r="AX2414" s="1">
        <v>5.0</v>
      </c>
      <c r="AY2414" s="1">
        <v>4.0</v>
      </c>
      <c r="BA2414" s="1">
        <v>0.0</v>
      </c>
      <c r="BB2414" s="1">
        <v>0.0</v>
      </c>
      <c r="BC2414" s="1">
        <v>0.0</v>
      </c>
      <c r="BD2414" s="1">
        <v>0.0</v>
      </c>
      <c r="BE2414" s="1">
        <v>0.0</v>
      </c>
      <c r="BF2414" s="1">
        <v>0.0</v>
      </c>
      <c r="BG2414" s="1">
        <v>0.0</v>
      </c>
      <c r="BH2414" s="1">
        <v>0.0</v>
      </c>
      <c r="BI2414" s="1">
        <v>0.0</v>
      </c>
      <c r="BJ2414" s="1">
        <v>0.0</v>
      </c>
      <c r="BP2414" s="1">
        <v>0.265</v>
      </c>
      <c r="BQ2414" s="1" t="s">
        <v>7671</v>
      </c>
      <c r="BV2414" s="1">
        <v>1.1</v>
      </c>
      <c r="EQ2414" s="9" t="s">
        <v>7670</v>
      </c>
      <c r="ER2414" s="21">
        <v>46045.30248842593</v>
      </c>
    </row>
    <row r="2415">
      <c r="A2415" s="9" t="s">
        <v>7672</v>
      </c>
      <c r="B2415" s="20" t="str">
        <f>IFERROR(__xludf.DUMMYFUNCTION("REGEXREPLACE(A2415, ""^https?://[^/]+"", """")"),"/wp-content/uploads/2021/07/Businessman-Walking-away-from-Work-scaled-1.jpg")</f>
        <v>/wp-content/uploads/2021/07/Businessman-Walking-away-from-Work-scaled-1.jpg</v>
      </c>
      <c r="F2415" s="1" t="s">
        <v>1004</v>
      </c>
      <c r="G2415" s="1">
        <v>200.0</v>
      </c>
      <c r="H2415" s="1" t="s">
        <v>966</v>
      </c>
      <c r="I2415" s="1" t="s">
        <v>967</v>
      </c>
      <c r="L2415" s="1">
        <v>0.0</v>
      </c>
      <c r="M2415" s="1">
        <v>0.0</v>
      </c>
      <c r="O2415" s="1">
        <v>0.0</v>
      </c>
      <c r="P2415" s="1">
        <v>0.0</v>
      </c>
      <c r="R2415" s="1">
        <v>0.0</v>
      </c>
      <c r="S2415" s="1">
        <v>0.0</v>
      </c>
      <c r="U2415" s="1">
        <v>0.0</v>
      </c>
      <c r="W2415" s="1">
        <v>0.0</v>
      </c>
      <c r="Y2415" s="1">
        <v>0.0</v>
      </c>
      <c r="AA2415" s="1">
        <v>0.0</v>
      </c>
      <c r="AC2415" s="1">
        <v>0.0</v>
      </c>
      <c r="AM2415" s="1">
        <v>87669.0</v>
      </c>
      <c r="AN2415" s="1">
        <v>87669.0</v>
      </c>
      <c r="AO2415" s="1">
        <v>87669.0</v>
      </c>
      <c r="AP2415" s="1">
        <v>33.584</v>
      </c>
      <c r="AR2415" s="1">
        <v>0.0</v>
      </c>
      <c r="AW2415" s="1">
        <v>0.0</v>
      </c>
      <c r="AX2415" s="1">
        <v>5.0</v>
      </c>
      <c r="AY2415" s="1">
        <v>4.0</v>
      </c>
      <c r="BA2415" s="1">
        <v>0.0</v>
      </c>
      <c r="BB2415" s="1">
        <v>0.0</v>
      </c>
      <c r="BC2415" s="1">
        <v>0.0</v>
      </c>
      <c r="BD2415" s="1">
        <v>0.0</v>
      </c>
      <c r="BE2415" s="1">
        <v>0.0</v>
      </c>
      <c r="BF2415" s="1">
        <v>0.0</v>
      </c>
      <c r="BG2415" s="1">
        <v>0.0</v>
      </c>
      <c r="BH2415" s="1">
        <v>0.0</v>
      </c>
      <c r="BI2415" s="1">
        <v>0.0</v>
      </c>
      <c r="BJ2415" s="1">
        <v>0.0</v>
      </c>
      <c r="BP2415" s="1">
        <v>0.28</v>
      </c>
      <c r="BQ2415" s="1" t="s">
        <v>7673</v>
      </c>
      <c r="BV2415" s="1">
        <v>1.1</v>
      </c>
      <c r="EQ2415" s="9" t="s">
        <v>7672</v>
      </c>
      <c r="ER2415" s="21">
        <v>46045.3025</v>
      </c>
    </row>
    <row r="2416">
      <c r="A2416" s="9" t="s">
        <v>7674</v>
      </c>
      <c r="B2416" s="20" t="str">
        <f>IFERROR(__xludf.DUMMYFUNCTION("REGEXREPLACE(A2416, ""^https?://[^/]+"", """")"),"/wp-content/uploads/2021/05/Buinessman-Traveling-for-Work.png")</f>
        <v>/wp-content/uploads/2021/05/Buinessman-Traveling-for-Work.png</v>
      </c>
      <c r="F2416" s="1" t="s">
        <v>1047</v>
      </c>
      <c r="G2416" s="1">
        <v>200.0</v>
      </c>
      <c r="H2416" s="1" t="s">
        <v>966</v>
      </c>
      <c r="I2416" s="1" t="s">
        <v>967</v>
      </c>
      <c r="L2416" s="1">
        <v>0.0</v>
      </c>
      <c r="M2416" s="1">
        <v>0.0</v>
      </c>
      <c r="O2416" s="1">
        <v>0.0</v>
      </c>
      <c r="P2416" s="1">
        <v>0.0</v>
      </c>
      <c r="R2416" s="1">
        <v>0.0</v>
      </c>
      <c r="S2416" s="1">
        <v>0.0</v>
      </c>
      <c r="U2416" s="1">
        <v>0.0</v>
      </c>
      <c r="W2416" s="1">
        <v>0.0</v>
      </c>
      <c r="Y2416" s="1">
        <v>0.0</v>
      </c>
      <c r="AA2416" s="1">
        <v>0.0</v>
      </c>
      <c r="AC2416" s="1">
        <v>0.0</v>
      </c>
      <c r="AM2416" s="1">
        <v>1097668.0</v>
      </c>
      <c r="AN2416" s="1">
        <v>1097668.0</v>
      </c>
      <c r="AO2416" s="1">
        <v>1097668.0</v>
      </c>
      <c r="AP2416" s="1">
        <v>420.496</v>
      </c>
      <c r="AR2416" s="1">
        <v>0.0</v>
      </c>
      <c r="AW2416" s="1">
        <v>0.0</v>
      </c>
      <c r="AX2416" s="1">
        <v>5.0</v>
      </c>
      <c r="AY2416" s="1">
        <v>4.0</v>
      </c>
      <c r="BA2416" s="1">
        <v>0.0</v>
      </c>
      <c r="BB2416" s="1">
        <v>0.0</v>
      </c>
      <c r="BC2416" s="1">
        <v>0.0</v>
      </c>
      <c r="BD2416" s="1">
        <v>0.0</v>
      </c>
      <c r="BE2416" s="1">
        <v>0.0</v>
      </c>
      <c r="BF2416" s="1">
        <v>0.0</v>
      </c>
      <c r="BG2416" s="1">
        <v>0.0</v>
      </c>
      <c r="BH2416" s="1">
        <v>0.0</v>
      </c>
      <c r="BI2416" s="1">
        <v>0.0</v>
      </c>
      <c r="BJ2416" s="1">
        <v>0.0</v>
      </c>
      <c r="BP2416" s="1">
        <v>0.277</v>
      </c>
      <c r="BQ2416" s="1" t="s">
        <v>7675</v>
      </c>
      <c r="BV2416" s="1">
        <v>1.1</v>
      </c>
      <c r="EQ2416" s="9" t="s">
        <v>7674</v>
      </c>
      <c r="ER2416" s="21">
        <v>46045.3025</v>
      </c>
    </row>
    <row r="2417">
      <c r="A2417" s="9" t="s">
        <v>7676</v>
      </c>
      <c r="B2417" s="20" t="str">
        <f>IFERROR(__xludf.DUMMYFUNCTION("REGEXREPLACE(A2417, ""^https?://[^/]+"", """")"),"/wp-content/uploads/2021/07/Businessman-Holding-Flag-in-Sky-on-a-Mountain-scaled-1.jpg")</f>
        <v>/wp-content/uploads/2021/07/Businessman-Holding-Flag-in-Sky-on-a-Mountain-scaled-1.jpg</v>
      </c>
      <c r="F2417" s="1" t="s">
        <v>1004</v>
      </c>
      <c r="G2417" s="1">
        <v>200.0</v>
      </c>
      <c r="H2417" s="1" t="s">
        <v>966</v>
      </c>
      <c r="I2417" s="1" t="s">
        <v>967</v>
      </c>
      <c r="L2417" s="1">
        <v>0.0</v>
      </c>
      <c r="M2417" s="1">
        <v>0.0</v>
      </c>
      <c r="O2417" s="1">
        <v>0.0</v>
      </c>
      <c r="P2417" s="1">
        <v>0.0</v>
      </c>
      <c r="R2417" s="1">
        <v>0.0</v>
      </c>
      <c r="S2417" s="1">
        <v>0.0</v>
      </c>
      <c r="U2417" s="1">
        <v>0.0</v>
      </c>
      <c r="W2417" s="1">
        <v>0.0</v>
      </c>
      <c r="Y2417" s="1">
        <v>0.0</v>
      </c>
      <c r="AA2417" s="1">
        <v>0.0</v>
      </c>
      <c r="AC2417" s="1">
        <v>0.0</v>
      </c>
      <c r="AM2417" s="1">
        <v>76058.0</v>
      </c>
      <c r="AN2417" s="1">
        <v>76058.0</v>
      </c>
      <c r="AO2417" s="1">
        <v>76058.0</v>
      </c>
      <c r="AP2417" s="1">
        <v>29.136</v>
      </c>
      <c r="AR2417" s="1">
        <v>0.0</v>
      </c>
      <c r="AW2417" s="1">
        <v>0.0</v>
      </c>
      <c r="AX2417" s="1">
        <v>5.0</v>
      </c>
      <c r="AY2417" s="1">
        <v>4.0</v>
      </c>
      <c r="BA2417" s="1">
        <v>0.0</v>
      </c>
      <c r="BB2417" s="1">
        <v>0.0</v>
      </c>
      <c r="BC2417" s="1">
        <v>0.0</v>
      </c>
      <c r="BD2417" s="1">
        <v>0.0</v>
      </c>
      <c r="BE2417" s="1">
        <v>0.0</v>
      </c>
      <c r="BF2417" s="1">
        <v>0.0</v>
      </c>
      <c r="BG2417" s="1">
        <v>0.0</v>
      </c>
      <c r="BH2417" s="1">
        <v>0.0</v>
      </c>
      <c r="BI2417" s="1">
        <v>0.0</v>
      </c>
      <c r="BJ2417" s="1">
        <v>0.0</v>
      </c>
      <c r="BP2417" s="1">
        <v>0.27</v>
      </c>
      <c r="BQ2417" s="1" t="s">
        <v>7677</v>
      </c>
      <c r="BV2417" s="1">
        <v>1.1</v>
      </c>
      <c r="EQ2417" s="9" t="s">
        <v>7676</v>
      </c>
      <c r="ER2417" s="21">
        <v>46045.3025</v>
      </c>
    </row>
    <row r="2418">
      <c r="A2418" s="9" t="s">
        <v>7678</v>
      </c>
      <c r="B2418" s="20" t="str">
        <f>IFERROR(__xludf.DUMMYFUNCTION("REGEXREPLACE(A2418, ""^https?://[^/]+"", """")"),"/wp-content/themes/salesxceleratione/assets/css/style.css?ver=1769123639")</f>
        <v>/wp-content/themes/salesxceleratione/assets/css/style.css?ver=1769123639</v>
      </c>
      <c r="F2418" s="1" t="s">
        <v>1016</v>
      </c>
      <c r="G2418" s="1">
        <v>200.0</v>
      </c>
      <c r="H2418" s="1" t="s">
        <v>966</v>
      </c>
      <c r="I2418" s="1" t="s">
        <v>967</v>
      </c>
      <c r="L2418" s="1">
        <v>0.0</v>
      </c>
      <c r="M2418" s="1">
        <v>0.0</v>
      </c>
      <c r="O2418" s="1">
        <v>0.0</v>
      </c>
      <c r="P2418" s="1">
        <v>0.0</v>
      </c>
      <c r="R2418" s="1">
        <v>0.0</v>
      </c>
      <c r="S2418" s="1">
        <v>0.0</v>
      </c>
      <c r="U2418" s="1">
        <v>0.0</v>
      </c>
      <c r="W2418" s="1">
        <v>0.0</v>
      </c>
      <c r="Y2418" s="1">
        <v>0.0</v>
      </c>
      <c r="AA2418" s="1">
        <v>0.0</v>
      </c>
      <c r="AC2418" s="1">
        <v>0.0</v>
      </c>
      <c r="AM2418" s="1">
        <v>17704.0</v>
      </c>
      <c r="AN2418" s="1">
        <v>17704.0</v>
      </c>
      <c r="AO2418" s="1">
        <v>17704.0</v>
      </c>
      <c r="AP2418" s="1">
        <v>6.782</v>
      </c>
      <c r="AR2418" s="1">
        <v>0.0</v>
      </c>
      <c r="AW2418" s="1">
        <v>0.0</v>
      </c>
      <c r="AX2418" s="1">
        <v>5.0</v>
      </c>
      <c r="AY2418" s="1">
        <v>5.0</v>
      </c>
      <c r="BA2418" s="1">
        <v>0.0</v>
      </c>
      <c r="BB2418" s="1">
        <v>0.0</v>
      </c>
      <c r="BC2418" s="1">
        <v>0.0</v>
      </c>
      <c r="BD2418" s="1">
        <v>0.0</v>
      </c>
      <c r="BE2418" s="1">
        <v>0.0</v>
      </c>
      <c r="BF2418" s="1">
        <v>0.0</v>
      </c>
      <c r="BG2418" s="1">
        <v>0.0</v>
      </c>
      <c r="BH2418" s="1">
        <v>0.0</v>
      </c>
      <c r="BI2418" s="1">
        <v>0.0</v>
      </c>
      <c r="BJ2418" s="1">
        <v>0.0</v>
      </c>
      <c r="BP2418" s="1">
        <v>0.272</v>
      </c>
      <c r="BQ2418" s="1" t="s">
        <v>7679</v>
      </c>
      <c r="BV2418" s="1">
        <v>1.1</v>
      </c>
      <c r="EQ2418" s="9" t="s">
        <v>7678</v>
      </c>
      <c r="ER2418" s="21">
        <v>46045.3025</v>
      </c>
    </row>
    <row r="2419">
      <c r="A2419" s="9" t="s">
        <v>6226</v>
      </c>
      <c r="B2419" s="20" t="str">
        <f>IFERROR(__xludf.DUMMYFUNCTION("REGEXREPLACE(A2419, ""^https?://[^/]+"", """")"),"/contact-us/become-a-sales-consultant/advisor-blogs/")</f>
        <v>/contact-us/become-a-sales-consultant/advisor-blogs/</v>
      </c>
      <c r="F2419" s="1" t="s">
        <v>965</v>
      </c>
      <c r="G2419" s="1">
        <v>301.0</v>
      </c>
      <c r="H2419" s="1" t="s">
        <v>1304</v>
      </c>
      <c r="I2419" s="1" t="s">
        <v>1214</v>
      </c>
      <c r="J2419" s="1" t="s">
        <v>1305</v>
      </c>
      <c r="L2419" s="1">
        <v>0.0</v>
      </c>
      <c r="M2419" s="1">
        <v>0.0</v>
      </c>
      <c r="O2419" s="1">
        <v>0.0</v>
      </c>
      <c r="P2419" s="1">
        <v>0.0</v>
      </c>
      <c r="R2419" s="1">
        <v>0.0</v>
      </c>
      <c r="S2419" s="1">
        <v>0.0</v>
      </c>
      <c r="U2419" s="1">
        <v>0.0</v>
      </c>
      <c r="W2419" s="1">
        <v>0.0</v>
      </c>
      <c r="Y2419" s="1">
        <v>0.0</v>
      </c>
      <c r="AA2419" s="1">
        <v>0.0</v>
      </c>
      <c r="AC2419" s="1">
        <v>0.0</v>
      </c>
      <c r="AM2419" s="1">
        <v>0.0</v>
      </c>
      <c r="AN2419" s="1">
        <v>0.0</v>
      </c>
      <c r="AO2419" s="1">
        <v>0.0</v>
      </c>
      <c r="AP2419" s="1">
        <v>0.0</v>
      </c>
      <c r="AR2419" s="1">
        <v>0.0</v>
      </c>
      <c r="AW2419" s="1">
        <v>0.0</v>
      </c>
      <c r="AX2419" s="1">
        <v>5.0</v>
      </c>
      <c r="AY2419" s="1">
        <v>3.0</v>
      </c>
      <c r="BA2419" s="1">
        <v>0.0</v>
      </c>
      <c r="BB2419" s="1">
        <v>0.0</v>
      </c>
      <c r="BC2419" s="1">
        <v>0.0</v>
      </c>
      <c r="BD2419" s="1">
        <v>0.0</v>
      </c>
      <c r="BE2419" s="1">
        <v>0.0</v>
      </c>
      <c r="BF2419" s="1">
        <v>0.0</v>
      </c>
      <c r="BG2419" s="1">
        <v>0.0</v>
      </c>
      <c r="BH2419" s="1">
        <v>0.0</v>
      </c>
      <c r="BI2419" s="1">
        <v>0.0</v>
      </c>
      <c r="BJ2419" s="1">
        <v>0.0</v>
      </c>
      <c r="BP2419" s="1">
        <v>0.561</v>
      </c>
      <c r="BR2419" s="9" t="s">
        <v>6825</v>
      </c>
      <c r="BS2419" s="1" t="s">
        <v>1307</v>
      </c>
      <c r="BV2419" s="1">
        <v>1.1</v>
      </c>
      <c r="EQ2419" s="9" t="s">
        <v>6226</v>
      </c>
      <c r="ER2419" s="21">
        <v>46045.3025</v>
      </c>
    </row>
    <row r="2420">
      <c r="A2420" s="9" t="s">
        <v>7680</v>
      </c>
      <c r="B2420" s="20" t="str">
        <f>IFERROR(__xludf.DUMMYFUNCTION("REGEXREPLACE(A2420, ""^https?://[^/]+"", """")"),"/wp-content/uploads/2020/07/IndyCar-Race-2.jpg")</f>
        <v>/wp-content/uploads/2020/07/IndyCar-Race-2.jpg</v>
      </c>
      <c r="F2420" s="1" t="s">
        <v>1004</v>
      </c>
      <c r="G2420" s="1">
        <v>200.0</v>
      </c>
      <c r="H2420" s="1" t="s">
        <v>966</v>
      </c>
      <c r="I2420" s="1" t="s">
        <v>967</v>
      </c>
      <c r="L2420" s="1">
        <v>0.0</v>
      </c>
      <c r="M2420" s="1">
        <v>0.0</v>
      </c>
      <c r="O2420" s="1">
        <v>0.0</v>
      </c>
      <c r="P2420" s="1">
        <v>0.0</v>
      </c>
      <c r="R2420" s="1">
        <v>0.0</v>
      </c>
      <c r="S2420" s="1">
        <v>0.0</v>
      </c>
      <c r="U2420" s="1">
        <v>0.0</v>
      </c>
      <c r="W2420" s="1">
        <v>0.0</v>
      </c>
      <c r="Y2420" s="1">
        <v>0.0</v>
      </c>
      <c r="AA2420" s="1">
        <v>0.0</v>
      </c>
      <c r="AC2420" s="1">
        <v>0.0</v>
      </c>
      <c r="AM2420" s="1">
        <v>24391.0</v>
      </c>
      <c r="AN2420" s="1">
        <v>24391.0</v>
      </c>
      <c r="AO2420" s="1">
        <v>24391.0</v>
      </c>
      <c r="AP2420" s="1">
        <v>9.344</v>
      </c>
      <c r="AR2420" s="1">
        <v>0.0</v>
      </c>
      <c r="AW2420" s="1">
        <v>0.0</v>
      </c>
      <c r="AX2420" s="1">
        <v>5.0</v>
      </c>
      <c r="AY2420" s="1">
        <v>4.0</v>
      </c>
      <c r="BA2420" s="1">
        <v>0.0</v>
      </c>
      <c r="BB2420" s="1">
        <v>0.0</v>
      </c>
      <c r="BC2420" s="1">
        <v>0.0</v>
      </c>
      <c r="BD2420" s="1">
        <v>0.0</v>
      </c>
      <c r="BE2420" s="1">
        <v>0.0</v>
      </c>
      <c r="BF2420" s="1">
        <v>0.0</v>
      </c>
      <c r="BG2420" s="1">
        <v>0.0</v>
      </c>
      <c r="BH2420" s="1">
        <v>0.0</v>
      </c>
      <c r="BI2420" s="1">
        <v>0.0</v>
      </c>
      <c r="BJ2420" s="1">
        <v>0.0</v>
      </c>
      <c r="BP2420" s="1">
        <v>0.269</v>
      </c>
      <c r="BQ2420" s="1" t="s">
        <v>6217</v>
      </c>
      <c r="BV2420" s="1">
        <v>1.1</v>
      </c>
      <c r="EQ2420" s="9" t="s">
        <v>7680</v>
      </c>
      <c r="ER2420" s="21">
        <v>46045.3025</v>
      </c>
    </row>
    <row r="2421">
      <c r="A2421" s="9" t="s">
        <v>7681</v>
      </c>
      <c r="B2421" s="20" t="str">
        <f>IFERROR(__xludf.DUMMYFUNCTION("REGEXREPLACE(A2421, ""^https?://[^/]+"", """")"),"/why-small-to-mid-sized-businesses-need-sales-leadership-consultants-in-a-crisis/")</f>
        <v>/why-small-to-mid-sized-businesses-need-sales-leadership-consultants-in-a-crisis/</v>
      </c>
      <c r="C2421" s="1" t="s">
        <v>7682</v>
      </c>
      <c r="F2421" s="1" t="s">
        <v>965</v>
      </c>
      <c r="G2421" s="1">
        <v>200.0</v>
      </c>
      <c r="H2421" s="1" t="s">
        <v>966</v>
      </c>
      <c r="I2421" s="1" t="s">
        <v>967</v>
      </c>
      <c r="K2421" s="1" t="s">
        <v>7683</v>
      </c>
      <c r="L2421" s="1">
        <v>104.0</v>
      </c>
      <c r="M2421" s="1">
        <v>945.0</v>
      </c>
      <c r="O2421" s="1">
        <v>0.0</v>
      </c>
      <c r="P2421" s="1">
        <v>0.0</v>
      </c>
      <c r="Q2421" s="1" t="s">
        <v>7684</v>
      </c>
      <c r="R2421" s="1">
        <v>145.0</v>
      </c>
      <c r="S2421" s="1">
        <v>910.0</v>
      </c>
      <c r="U2421" s="1">
        <v>0.0</v>
      </c>
      <c r="V2421" s="1" t="s">
        <v>7682</v>
      </c>
      <c r="W2421" s="1">
        <v>79.0</v>
      </c>
      <c r="Y2421" s="1">
        <v>0.0</v>
      </c>
      <c r="AA2421" s="1">
        <v>0.0</v>
      </c>
      <c r="AC2421" s="1">
        <v>0.0</v>
      </c>
      <c r="AD2421" s="1" t="s">
        <v>971</v>
      </c>
      <c r="AG2421" s="9" t="s">
        <v>7681</v>
      </c>
      <c r="AM2421" s="1">
        <v>201942.0</v>
      </c>
      <c r="AN2421" s="1">
        <v>36349.0</v>
      </c>
      <c r="AO2421" s="1">
        <v>36349.0</v>
      </c>
      <c r="AP2421" s="1">
        <v>13.925</v>
      </c>
      <c r="AR2421" s="1">
        <v>1388.0</v>
      </c>
      <c r="AS2421" s="1">
        <v>212.0</v>
      </c>
      <c r="AT2421" s="1">
        <v>6.547</v>
      </c>
      <c r="AU2421" s="1">
        <v>55.37</v>
      </c>
      <c r="AV2421" s="1" t="s">
        <v>972</v>
      </c>
      <c r="AW2421" s="1">
        <v>5.561</v>
      </c>
      <c r="AX2421" s="1">
        <v>5.0</v>
      </c>
      <c r="AY2421" s="1">
        <v>1.0</v>
      </c>
      <c r="AZ2421" s="1">
        <v>1.0</v>
      </c>
      <c r="BA2421" s="1">
        <v>4.0</v>
      </c>
      <c r="BB2421" s="1">
        <v>4.0</v>
      </c>
      <c r="BC2421" s="1">
        <v>0.0</v>
      </c>
      <c r="BD2421" s="1">
        <v>0.53</v>
      </c>
      <c r="BE2421" s="1">
        <v>132.0</v>
      </c>
      <c r="BF2421" s="1">
        <v>49.0</v>
      </c>
      <c r="BG2421" s="1">
        <v>0.0</v>
      </c>
      <c r="BH2421" s="1">
        <v>16.0</v>
      </c>
      <c r="BI2421" s="1">
        <v>8.0</v>
      </c>
      <c r="BJ2421" s="1">
        <v>0.0</v>
      </c>
      <c r="BO2421" s="1" t="s">
        <v>7685</v>
      </c>
      <c r="BP2421" s="1">
        <v>0.992</v>
      </c>
      <c r="BU2421" s="1" t="s">
        <v>974</v>
      </c>
      <c r="BV2421" s="1">
        <v>1.1</v>
      </c>
      <c r="EQ2421" s="9" t="s">
        <v>7681</v>
      </c>
      <c r="ER2421" s="21">
        <v>46045.30248842593</v>
      </c>
    </row>
    <row r="2422">
      <c r="A2422" s="9" t="s">
        <v>7686</v>
      </c>
      <c r="B2422" s="20" t="str">
        <f>IFERROR(__xludf.DUMMYFUNCTION("REGEXREPLACE(A2422, ""^https?://[^/]+"", """")"),"/wp-content/uploads/2020/07/Investor-Meeting-scaled-1.jpg")</f>
        <v>/wp-content/uploads/2020/07/Investor-Meeting-scaled-1.jpg</v>
      </c>
      <c r="F2422" s="1" t="s">
        <v>1004</v>
      </c>
      <c r="G2422" s="1">
        <v>200.0</v>
      </c>
      <c r="H2422" s="1" t="s">
        <v>966</v>
      </c>
      <c r="I2422" s="1" t="s">
        <v>967</v>
      </c>
      <c r="L2422" s="1">
        <v>0.0</v>
      </c>
      <c r="M2422" s="1">
        <v>0.0</v>
      </c>
      <c r="O2422" s="1">
        <v>0.0</v>
      </c>
      <c r="P2422" s="1">
        <v>0.0</v>
      </c>
      <c r="R2422" s="1">
        <v>0.0</v>
      </c>
      <c r="S2422" s="1">
        <v>0.0</v>
      </c>
      <c r="U2422" s="1">
        <v>0.0</v>
      </c>
      <c r="W2422" s="1">
        <v>0.0</v>
      </c>
      <c r="Y2422" s="1">
        <v>0.0</v>
      </c>
      <c r="AA2422" s="1">
        <v>0.0</v>
      </c>
      <c r="AC2422" s="1">
        <v>0.0</v>
      </c>
      <c r="AM2422" s="1">
        <v>248961.0</v>
      </c>
      <c r="AN2422" s="1">
        <v>248961.0</v>
      </c>
      <c r="AO2422" s="1">
        <v>248961.0</v>
      </c>
      <c r="AP2422" s="1">
        <v>95.372</v>
      </c>
      <c r="AR2422" s="1">
        <v>0.0</v>
      </c>
      <c r="AW2422" s="1">
        <v>0.0</v>
      </c>
      <c r="AX2422" s="1">
        <v>5.0</v>
      </c>
      <c r="AY2422" s="1">
        <v>4.0</v>
      </c>
      <c r="BA2422" s="1">
        <v>0.0</v>
      </c>
      <c r="BB2422" s="1">
        <v>0.0</v>
      </c>
      <c r="BC2422" s="1">
        <v>0.0</v>
      </c>
      <c r="BD2422" s="1">
        <v>0.0</v>
      </c>
      <c r="BE2422" s="1">
        <v>0.0</v>
      </c>
      <c r="BF2422" s="1">
        <v>0.0</v>
      </c>
      <c r="BG2422" s="1">
        <v>0.0</v>
      </c>
      <c r="BH2422" s="1">
        <v>0.0</v>
      </c>
      <c r="BI2422" s="1">
        <v>0.0</v>
      </c>
      <c r="BJ2422" s="1">
        <v>0.0</v>
      </c>
      <c r="BP2422" s="1">
        <v>0.283</v>
      </c>
      <c r="BQ2422" s="1" t="s">
        <v>7687</v>
      </c>
      <c r="BV2422" s="1">
        <v>1.1</v>
      </c>
      <c r="EQ2422" s="9" t="s">
        <v>7686</v>
      </c>
      <c r="ER2422" s="21">
        <v>46045.302511574075</v>
      </c>
    </row>
    <row r="2423">
      <c r="A2423" s="9" t="s">
        <v>7688</v>
      </c>
      <c r="B2423" s="20" t="str">
        <f>IFERROR(__xludf.DUMMYFUNCTION("REGEXREPLACE(A2423, ""^https?://[^/]+"", """")"),"/wp-content/uploads/2020/09/Crisis-Sales-Management-scaled-1.jpg")</f>
        <v>/wp-content/uploads/2020/09/Crisis-Sales-Management-scaled-1.jpg</v>
      </c>
      <c r="F2423" s="1" t="s">
        <v>1004</v>
      </c>
      <c r="G2423" s="1">
        <v>200.0</v>
      </c>
      <c r="H2423" s="1" t="s">
        <v>966</v>
      </c>
      <c r="I2423" s="1" t="s">
        <v>967</v>
      </c>
      <c r="L2423" s="1">
        <v>0.0</v>
      </c>
      <c r="M2423" s="1">
        <v>0.0</v>
      </c>
      <c r="O2423" s="1">
        <v>0.0</v>
      </c>
      <c r="P2423" s="1">
        <v>0.0</v>
      </c>
      <c r="R2423" s="1">
        <v>0.0</v>
      </c>
      <c r="S2423" s="1">
        <v>0.0</v>
      </c>
      <c r="U2423" s="1">
        <v>0.0</v>
      </c>
      <c r="W2423" s="1">
        <v>0.0</v>
      </c>
      <c r="Y2423" s="1">
        <v>0.0</v>
      </c>
      <c r="AA2423" s="1">
        <v>0.0</v>
      </c>
      <c r="AC2423" s="1">
        <v>0.0</v>
      </c>
      <c r="AM2423" s="1">
        <v>434621.0</v>
      </c>
      <c r="AN2423" s="1">
        <v>434621.0</v>
      </c>
      <c r="AO2423" s="1">
        <v>434621.0</v>
      </c>
      <c r="AP2423" s="1">
        <v>166.495</v>
      </c>
      <c r="AR2423" s="1">
        <v>0.0</v>
      </c>
      <c r="AW2423" s="1">
        <v>0.0</v>
      </c>
      <c r="AX2423" s="1">
        <v>5.0</v>
      </c>
      <c r="AY2423" s="1">
        <v>4.0</v>
      </c>
      <c r="BA2423" s="1">
        <v>0.0</v>
      </c>
      <c r="BB2423" s="1">
        <v>0.0</v>
      </c>
      <c r="BC2423" s="1">
        <v>0.0</v>
      </c>
      <c r="BD2423" s="1">
        <v>0.0</v>
      </c>
      <c r="BE2423" s="1">
        <v>0.0</v>
      </c>
      <c r="BF2423" s="1">
        <v>0.0</v>
      </c>
      <c r="BG2423" s="1">
        <v>0.0</v>
      </c>
      <c r="BH2423" s="1">
        <v>0.0</v>
      </c>
      <c r="BI2423" s="1">
        <v>0.0</v>
      </c>
      <c r="BJ2423" s="1">
        <v>0.0</v>
      </c>
      <c r="BP2423" s="1">
        <v>0.287</v>
      </c>
      <c r="BQ2423" s="1" t="s">
        <v>7689</v>
      </c>
      <c r="BV2423" s="1">
        <v>1.1</v>
      </c>
      <c r="EQ2423" s="9" t="s">
        <v>7688</v>
      </c>
      <c r="ER2423" s="21">
        <v>46045.302511574075</v>
      </c>
    </row>
    <row r="2424">
      <c r="A2424" s="9" t="s">
        <v>7690</v>
      </c>
      <c r="B2424" s="20" t="str">
        <f>IFERROR(__xludf.DUMMYFUNCTION("REGEXREPLACE(A2424, ""^https?://[^/]+"", """")"),"/wp-content/themes/salesxceleratione/assets/css/style.css?ver=1769123640")</f>
        <v>/wp-content/themes/salesxceleratione/assets/css/style.css?ver=1769123640</v>
      </c>
      <c r="F2424" s="1" t="s">
        <v>1016</v>
      </c>
      <c r="G2424" s="1">
        <v>200.0</v>
      </c>
      <c r="H2424" s="1" t="s">
        <v>966</v>
      </c>
      <c r="I2424" s="1" t="s">
        <v>967</v>
      </c>
      <c r="L2424" s="1">
        <v>0.0</v>
      </c>
      <c r="M2424" s="1">
        <v>0.0</v>
      </c>
      <c r="O2424" s="1">
        <v>0.0</v>
      </c>
      <c r="P2424" s="1">
        <v>0.0</v>
      </c>
      <c r="R2424" s="1">
        <v>0.0</v>
      </c>
      <c r="S2424" s="1">
        <v>0.0</v>
      </c>
      <c r="U2424" s="1">
        <v>0.0</v>
      </c>
      <c r="W2424" s="1">
        <v>0.0</v>
      </c>
      <c r="Y2424" s="1">
        <v>0.0</v>
      </c>
      <c r="AA2424" s="1">
        <v>0.0</v>
      </c>
      <c r="AC2424" s="1">
        <v>0.0</v>
      </c>
      <c r="AM2424" s="1">
        <v>17704.0</v>
      </c>
      <c r="AN2424" s="1">
        <v>17704.0</v>
      </c>
      <c r="AO2424" s="1">
        <v>17704.0</v>
      </c>
      <c r="AP2424" s="1">
        <v>6.782</v>
      </c>
      <c r="AR2424" s="1">
        <v>0.0</v>
      </c>
      <c r="AW2424" s="1">
        <v>0.0</v>
      </c>
      <c r="AX2424" s="1">
        <v>5.0</v>
      </c>
      <c r="AY2424" s="1">
        <v>5.0</v>
      </c>
      <c r="BA2424" s="1">
        <v>0.0</v>
      </c>
      <c r="BB2424" s="1">
        <v>0.0</v>
      </c>
      <c r="BC2424" s="1">
        <v>0.0</v>
      </c>
      <c r="BD2424" s="1">
        <v>0.0</v>
      </c>
      <c r="BE2424" s="1">
        <v>0.0</v>
      </c>
      <c r="BF2424" s="1">
        <v>0.0</v>
      </c>
      <c r="BG2424" s="1">
        <v>0.0</v>
      </c>
      <c r="BH2424" s="1">
        <v>0.0</v>
      </c>
      <c r="BI2424" s="1">
        <v>0.0</v>
      </c>
      <c r="BJ2424" s="1">
        <v>0.0</v>
      </c>
      <c r="BP2424" s="1">
        <v>0.276</v>
      </c>
      <c r="BQ2424" s="1" t="s">
        <v>7691</v>
      </c>
      <c r="BV2424" s="1">
        <v>1.1</v>
      </c>
      <c r="EQ2424" s="9" t="s">
        <v>7690</v>
      </c>
      <c r="ER2424" s="21">
        <v>46045.302511574075</v>
      </c>
    </row>
    <row r="2425">
      <c r="A2425" s="9" t="s">
        <v>7692</v>
      </c>
      <c r="B2425" s="20" t="str">
        <f>IFERROR(__xludf.DUMMYFUNCTION("REGEXREPLACE(A2425, ""^https?://[^/]+"", """")"),"/wp-content/uploads/2020/06/why-i-left-a-successful-career.jpg")</f>
        <v>/wp-content/uploads/2020/06/why-i-left-a-successful-career.jpg</v>
      </c>
      <c r="F2425" s="1" t="s">
        <v>1004</v>
      </c>
      <c r="G2425" s="1">
        <v>200.0</v>
      </c>
      <c r="H2425" s="1" t="s">
        <v>966</v>
      </c>
      <c r="I2425" s="1" t="s">
        <v>967</v>
      </c>
      <c r="L2425" s="1">
        <v>0.0</v>
      </c>
      <c r="M2425" s="1">
        <v>0.0</v>
      </c>
      <c r="O2425" s="1">
        <v>0.0</v>
      </c>
      <c r="P2425" s="1">
        <v>0.0</v>
      </c>
      <c r="R2425" s="1">
        <v>0.0</v>
      </c>
      <c r="S2425" s="1">
        <v>0.0</v>
      </c>
      <c r="U2425" s="1">
        <v>0.0</v>
      </c>
      <c r="W2425" s="1">
        <v>0.0</v>
      </c>
      <c r="Y2425" s="1">
        <v>0.0</v>
      </c>
      <c r="AA2425" s="1">
        <v>0.0</v>
      </c>
      <c r="AC2425" s="1">
        <v>0.0</v>
      </c>
      <c r="AM2425" s="1">
        <v>161785.0</v>
      </c>
      <c r="AN2425" s="1">
        <v>161785.0</v>
      </c>
      <c r="AO2425" s="1">
        <v>161785.0</v>
      </c>
      <c r="AP2425" s="1">
        <v>61.977</v>
      </c>
      <c r="AR2425" s="1">
        <v>0.0</v>
      </c>
      <c r="AW2425" s="1">
        <v>0.0</v>
      </c>
      <c r="AX2425" s="1">
        <v>5.0</v>
      </c>
      <c r="AY2425" s="1">
        <v>4.0</v>
      </c>
      <c r="BA2425" s="1">
        <v>0.0</v>
      </c>
      <c r="BB2425" s="1">
        <v>0.0</v>
      </c>
      <c r="BC2425" s="1">
        <v>0.0</v>
      </c>
      <c r="BD2425" s="1">
        <v>0.0</v>
      </c>
      <c r="BE2425" s="1">
        <v>0.0</v>
      </c>
      <c r="BF2425" s="1">
        <v>0.0</v>
      </c>
      <c r="BG2425" s="1">
        <v>0.0</v>
      </c>
      <c r="BH2425" s="1">
        <v>0.0</v>
      </c>
      <c r="BI2425" s="1">
        <v>0.0</v>
      </c>
      <c r="BJ2425" s="1">
        <v>0.0</v>
      </c>
      <c r="BP2425" s="1">
        <v>0.29</v>
      </c>
      <c r="BQ2425" s="1" t="s">
        <v>6221</v>
      </c>
      <c r="BV2425" s="1">
        <v>1.1</v>
      </c>
      <c r="EQ2425" s="9" t="s">
        <v>7692</v>
      </c>
      <c r="ER2425" s="21">
        <v>46045.302511574075</v>
      </c>
    </row>
    <row r="2426">
      <c r="A2426" s="9" t="s">
        <v>7693</v>
      </c>
      <c r="B2426" s="20" t="str">
        <f>IFERROR(__xludf.DUMMYFUNCTION("REGEXREPLACE(A2426, ""^https?://[^/]+"", """")"),"/wp-content/uploads/2016/11/Trapped-2048x2048.jpg")</f>
        <v>/wp-content/uploads/2016/11/Trapped-2048x2048.jpg</v>
      </c>
      <c r="F2426" s="1" t="s">
        <v>1004</v>
      </c>
      <c r="G2426" s="1">
        <v>200.0</v>
      </c>
      <c r="H2426" s="1" t="s">
        <v>966</v>
      </c>
      <c r="I2426" s="1" t="s">
        <v>967</v>
      </c>
      <c r="L2426" s="1">
        <v>0.0</v>
      </c>
      <c r="M2426" s="1">
        <v>0.0</v>
      </c>
      <c r="O2426" s="1">
        <v>0.0</v>
      </c>
      <c r="P2426" s="1">
        <v>0.0</v>
      </c>
      <c r="R2426" s="1">
        <v>0.0</v>
      </c>
      <c r="S2426" s="1">
        <v>0.0</v>
      </c>
      <c r="U2426" s="1">
        <v>0.0</v>
      </c>
      <c r="W2426" s="1">
        <v>0.0</v>
      </c>
      <c r="Y2426" s="1">
        <v>0.0</v>
      </c>
      <c r="AA2426" s="1">
        <v>0.0</v>
      </c>
      <c r="AC2426" s="1">
        <v>0.0</v>
      </c>
      <c r="AM2426" s="1">
        <v>273894.0</v>
      </c>
      <c r="AN2426" s="1">
        <v>273894.0</v>
      </c>
      <c r="AO2426" s="1">
        <v>273894.0</v>
      </c>
      <c r="AP2426" s="1">
        <v>104.924</v>
      </c>
      <c r="AR2426" s="1">
        <v>0.0</v>
      </c>
      <c r="AW2426" s="1">
        <v>0.0</v>
      </c>
      <c r="AX2426" s="1">
        <v>5.0</v>
      </c>
      <c r="AY2426" s="1">
        <v>4.0</v>
      </c>
      <c r="BA2426" s="1">
        <v>0.0</v>
      </c>
      <c r="BB2426" s="1">
        <v>0.0</v>
      </c>
      <c r="BC2426" s="1">
        <v>0.0</v>
      </c>
      <c r="BD2426" s="1">
        <v>0.0</v>
      </c>
      <c r="BE2426" s="1">
        <v>0.0</v>
      </c>
      <c r="BF2426" s="1">
        <v>0.0</v>
      </c>
      <c r="BG2426" s="1">
        <v>0.0</v>
      </c>
      <c r="BH2426" s="1">
        <v>0.0</v>
      </c>
      <c r="BI2426" s="1">
        <v>0.0</v>
      </c>
      <c r="BJ2426" s="1">
        <v>0.0</v>
      </c>
      <c r="BP2426" s="1">
        <v>0.287</v>
      </c>
      <c r="BQ2426" s="1" t="s">
        <v>7694</v>
      </c>
      <c r="BV2426" s="1">
        <v>1.1</v>
      </c>
      <c r="EQ2426" s="9" t="s">
        <v>7693</v>
      </c>
      <c r="ER2426" s="21">
        <v>46045.30252314815</v>
      </c>
    </row>
    <row r="2427">
      <c r="A2427" s="9" t="s">
        <v>7695</v>
      </c>
      <c r="B2427" s="20" t="str">
        <f>IFERROR(__xludf.DUMMYFUNCTION("REGEXREPLACE(A2427, ""^https?://[^/]+"", """")"),"/wp-content/themes/salesxceleratione/assets/css/style.css?ver=1769123641")</f>
        <v>/wp-content/themes/salesxceleratione/assets/css/style.css?ver=1769123641</v>
      </c>
      <c r="F2427" s="1" t="s">
        <v>1016</v>
      </c>
      <c r="G2427" s="1">
        <v>200.0</v>
      </c>
      <c r="H2427" s="1" t="s">
        <v>966</v>
      </c>
      <c r="I2427" s="1" t="s">
        <v>967</v>
      </c>
      <c r="L2427" s="1">
        <v>0.0</v>
      </c>
      <c r="M2427" s="1">
        <v>0.0</v>
      </c>
      <c r="O2427" s="1">
        <v>0.0</v>
      </c>
      <c r="P2427" s="1">
        <v>0.0</v>
      </c>
      <c r="R2427" s="1">
        <v>0.0</v>
      </c>
      <c r="S2427" s="1">
        <v>0.0</v>
      </c>
      <c r="U2427" s="1">
        <v>0.0</v>
      </c>
      <c r="W2427" s="1">
        <v>0.0</v>
      </c>
      <c r="Y2427" s="1">
        <v>0.0</v>
      </c>
      <c r="AA2427" s="1">
        <v>0.0</v>
      </c>
      <c r="AC2427" s="1">
        <v>0.0</v>
      </c>
      <c r="AM2427" s="1">
        <v>17704.0</v>
      </c>
      <c r="AN2427" s="1">
        <v>17704.0</v>
      </c>
      <c r="AO2427" s="1">
        <v>17704.0</v>
      </c>
      <c r="AP2427" s="1">
        <v>6.782</v>
      </c>
      <c r="AR2427" s="1">
        <v>0.0</v>
      </c>
      <c r="AW2427" s="1">
        <v>0.0</v>
      </c>
      <c r="AX2427" s="1">
        <v>5.0</v>
      </c>
      <c r="AY2427" s="1">
        <v>5.0</v>
      </c>
      <c r="BA2427" s="1">
        <v>0.0</v>
      </c>
      <c r="BB2427" s="1">
        <v>0.0</v>
      </c>
      <c r="BC2427" s="1">
        <v>0.0</v>
      </c>
      <c r="BD2427" s="1">
        <v>0.0</v>
      </c>
      <c r="BE2427" s="1">
        <v>0.0</v>
      </c>
      <c r="BF2427" s="1">
        <v>0.0</v>
      </c>
      <c r="BG2427" s="1">
        <v>0.0</v>
      </c>
      <c r="BH2427" s="1">
        <v>0.0</v>
      </c>
      <c r="BI2427" s="1">
        <v>0.0</v>
      </c>
      <c r="BJ2427" s="1">
        <v>0.0</v>
      </c>
      <c r="BP2427" s="1">
        <v>0.294</v>
      </c>
      <c r="BQ2427" s="1" t="s">
        <v>7696</v>
      </c>
      <c r="BV2427" s="1">
        <v>1.1</v>
      </c>
      <c r="EQ2427" s="9" t="s">
        <v>7695</v>
      </c>
      <c r="ER2427" s="21">
        <v>46045.30252314815</v>
      </c>
    </row>
    <row r="2428">
      <c r="A2428" s="9" t="s">
        <v>7697</v>
      </c>
      <c r="B2428" s="20" t="str">
        <f>IFERROR(__xludf.DUMMYFUNCTION("REGEXREPLACE(A2428, ""^https?://[^/]+"", """")"),"/feeling-trapped-wisdom-experience-can-set-free/")</f>
        <v>/feeling-trapped-wisdom-experience-can-set-free/</v>
      </c>
      <c r="C2428" s="1" t="s">
        <v>7698</v>
      </c>
      <c r="F2428" s="1" t="s">
        <v>965</v>
      </c>
      <c r="G2428" s="1">
        <v>200.0</v>
      </c>
      <c r="H2428" s="1" t="s">
        <v>966</v>
      </c>
      <c r="I2428" s="1" t="s">
        <v>967</v>
      </c>
      <c r="K2428" s="1" t="s">
        <v>7699</v>
      </c>
      <c r="L2428" s="1">
        <v>69.0</v>
      </c>
      <c r="M2428" s="1">
        <v>640.0</v>
      </c>
      <c r="O2428" s="1">
        <v>0.0</v>
      </c>
      <c r="P2428" s="1">
        <v>0.0</v>
      </c>
      <c r="Q2428" s="1" t="s">
        <v>7700</v>
      </c>
      <c r="R2428" s="1">
        <v>154.0</v>
      </c>
      <c r="S2428" s="1">
        <v>955.0</v>
      </c>
      <c r="U2428" s="1">
        <v>0.0</v>
      </c>
      <c r="V2428" s="1" t="s">
        <v>7698</v>
      </c>
      <c r="W2428" s="1">
        <v>64.0</v>
      </c>
      <c r="Y2428" s="1">
        <v>0.0</v>
      </c>
      <c r="AA2428" s="1">
        <v>0.0</v>
      </c>
      <c r="AC2428" s="1">
        <v>0.0</v>
      </c>
      <c r="AD2428" s="1" t="s">
        <v>971</v>
      </c>
      <c r="AG2428" s="9" t="s">
        <v>7697</v>
      </c>
      <c r="AM2428" s="1">
        <v>201114.0</v>
      </c>
      <c r="AN2428" s="1">
        <v>36084.0</v>
      </c>
      <c r="AO2428" s="1">
        <v>36084.0</v>
      </c>
      <c r="AP2428" s="1">
        <v>13.823</v>
      </c>
      <c r="AR2428" s="1">
        <v>1464.0</v>
      </c>
      <c r="AS2428" s="1">
        <v>214.0</v>
      </c>
      <c r="AT2428" s="1">
        <v>6.841</v>
      </c>
      <c r="AU2428" s="1">
        <v>66.924</v>
      </c>
      <c r="AV2428" s="1" t="s">
        <v>990</v>
      </c>
      <c r="AW2428" s="1">
        <v>5.6</v>
      </c>
      <c r="AX2428" s="1">
        <v>5.0</v>
      </c>
      <c r="AY2428" s="1">
        <v>1.0</v>
      </c>
      <c r="AZ2428" s="1">
        <v>1.0</v>
      </c>
      <c r="BA2428" s="1">
        <v>5.0</v>
      </c>
      <c r="BB2428" s="1">
        <v>5.0</v>
      </c>
      <c r="BC2428" s="1">
        <v>0.0</v>
      </c>
      <c r="BD2428" s="1">
        <v>0.66</v>
      </c>
      <c r="BE2428" s="1">
        <v>133.0</v>
      </c>
      <c r="BF2428" s="1">
        <v>49.0</v>
      </c>
      <c r="BG2428" s="1">
        <v>0.0</v>
      </c>
      <c r="BH2428" s="1">
        <v>16.0</v>
      </c>
      <c r="BI2428" s="1">
        <v>8.0</v>
      </c>
      <c r="BJ2428" s="1">
        <v>0.0</v>
      </c>
      <c r="BO2428" s="1" t="s">
        <v>7701</v>
      </c>
      <c r="BP2428" s="1">
        <v>0.984</v>
      </c>
      <c r="BU2428" s="1" t="s">
        <v>974</v>
      </c>
      <c r="BV2428" s="1">
        <v>1.1</v>
      </c>
      <c r="EQ2428" s="9" t="s">
        <v>7697</v>
      </c>
      <c r="ER2428" s="21">
        <v>46045.302511574075</v>
      </c>
    </row>
    <row r="2429">
      <c r="A2429" s="9" t="s">
        <v>7702</v>
      </c>
      <c r="B2429" s="20" t="str">
        <f>IFERROR(__xludf.DUMMYFUNCTION("REGEXREPLACE(A2429, ""^https?://[^/]+"", """")"),"/wp-content/uploads/2020/08/Sales-Leader-Building-a-Sales-Strategy-scaled-1.jpg")</f>
        <v>/wp-content/uploads/2020/08/Sales-Leader-Building-a-Sales-Strategy-scaled-1.jpg</v>
      </c>
      <c r="F2429" s="1" t="s">
        <v>1004</v>
      </c>
      <c r="G2429" s="1">
        <v>200.0</v>
      </c>
      <c r="H2429" s="1" t="s">
        <v>966</v>
      </c>
      <c r="I2429" s="1" t="s">
        <v>967</v>
      </c>
      <c r="L2429" s="1">
        <v>0.0</v>
      </c>
      <c r="M2429" s="1">
        <v>0.0</v>
      </c>
      <c r="O2429" s="1">
        <v>0.0</v>
      </c>
      <c r="P2429" s="1">
        <v>0.0</v>
      </c>
      <c r="R2429" s="1">
        <v>0.0</v>
      </c>
      <c r="S2429" s="1">
        <v>0.0</v>
      </c>
      <c r="U2429" s="1">
        <v>0.0</v>
      </c>
      <c r="W2429" s="1">
        <v>0.0</v>
      </c>
      <c r="Y2429" s="1">
        <v>0.0</v>
      </c>
      <c r="AA2429" s="1">
        <v>0.0</v>
      </c>
      <c r="AC2429" s="1">
        <v>0.0</v>
      </c>
      <c r="AM2429" s="1">
        <v>184334.0</v>
      </c>
      <c r="AN2429" s="1">
        <v>184334.0</v>
      </c>
      <c r="AO2429" s="1">
        <v>184334.0</v>
      </c>
      <c r="AP2429" s="1">
        <v>70.615</v>
      </c>
      <c r="AR2429" s="1">
        <v>0.0</v>
      </c>
      <c r="AW2429" s="1">
        <v>0.0</v>
      </c>
      <c r="AX2429" s="1">
        <v>5.0</v>
      </c>
      <c r="AY2429" s="1">
        <v>4.0</v>
      </c>
      <c r="BA2429" s="1">
        <v>0.0</v>
      </c>
      <c r="BB2429" s="1">
        <v>0.0</v>
      </c>
      <c r="BC2429" s="1">
        <v>0.0</v>
      </c>
      <c r="BD2429" s="1">
        <v>0.0</v>
      </c>
      <c r="BE2429" s="1">
        <v>0.0</v>
      </c>
      <c r="BF2429" s="1">
        <v>0.0</v>
      </c>
      <c r="BG2429" s="1">
        <v>0.0</v>
      </c>
      <c r="BH2429" s="1">
        <v>0.0</v>
      </c>
      <c r="BI2429" s="1">
        <v>0.0</v>
      </c>
      <c r="BJ2429" s="1">
        <v>0.0</v>
      </c>
      <c r="BP2429" s="1">
        <v>0.386</v>
      </c>
      <c r="BQ2429" s="1" t="s">
        <v>7703</v>
      </c>
      <c r="BV2429" s="1">
        <v>1.1</v>
      </c>
      <c r="EQ2429" s="9" t="s">
        <v>7702</v>
      </c>
      <c r="ER2429" s="21">
        <v>46045.30252314815</v>
      </c>
    </row>
    <row r="2430">
      <c r="A2430" s="9" t="s">
        <v>7704</v>
      </c>
      <c r="B2430" s="20" t="str">
        <f>IFERROR(__xludf.DUMMYFUNCTION("REGEXREPLACE(A2430, ""^https?://[^/]+"", """")"),"/wp-content/uploads/2020/07/Business-consultant-conversation-1.jpg")</f>
        <v>/wp-content/uploads/2020/07/Business-consultant-conversation-1.jpg</v>
      </c>
      <c r="F2430" s="1" t="s">
        <v>1004</v>
      </c>
      <c r="G2430" s="1">
        <v>200.0</v>
      </c>
      <c r="H2430" s="1" t="s">
        <v>966</v>
      </c>
      <c r="I2430" s="1" t="s">
        <v>967</v>
      </c>
      <c r="L2430" s="1">
        <v>0.0</v>
      </c>
      <c r="M2430" s="1">
        <v>0.0</v>
      </c>
      <c r="O2430" s="1">
        <v>0.0</v>
      </c>
      <c r="P2430" s="1">
        <v>0.0</v>
      </c>
      <c r="R2430" s="1">
        <v>0.0</v>
      </c>
      <c r="S2430" s="1">
        <v>0.0</v>
      </c>
      <c r="U2430" s="1">
        <v>0.0</v>
      </c>
      <c r="W2430" s="1">
        <v>0.0</v>
      </c>
      <c r="Y2430" s="1">
        <v>0.0</v>
      </c>
      <c r="AA2430" s="1">
        <v>0.0</v>
      </c>
      <c r="AC2430" s="1">
        <v>0.0</v>
      </c>
      <c r="AM2430" s="1">
        <v>135728.0</v>
      </c>
      <c r="AN2430" s="1">
        <v>135728.0</v>
      </c>
      <c r="AO2430" s="1">
        <v>135728.0</v>
      </c>
      <c r="AP2430" s="1">
        <v>51.995</v>
      </c>
      <c r="AR2430" s="1">
        <v>0.0</v>
      </c>
      <c r="AW2430" s="1">
        <v>0.0</v>
      </c>
      <c r="AX2430" s="1">
        <v>5.0</v>
      </c>
      <c r="AY2430" s="1">
        <v>4.0</v>
      </c>
      <c r="BA2430" s="1">
        <v>0.0</v>
      </c>
      <c r="BB2430" s="1">
        <v>0.0</v>
      </c>
      <c r="BC2430" s="1">
        <v>0.0</v>
      </c>
      <c r="BD2430" s="1">
        <v>0.0</v>
      </c>
      <c r="BE2430" s="1">
        <v>0.0</v>
      </c>
      <c r="BF2430" s="1">
        <v>0.0</v>
      </c>
      <c r="BG2430" s="1">
        <v>0.0</v>
      </c>
      <c r="BH2430" s="1">
        <v>0.0</v>
      </c>
      <c r="BI2430" s="1">
        <v>0.0</v>
      </c>
      <c r="BJ2430" s="1">
        <v>0.0</v>
      </c>
      <c r="BP2430" s="1">
        <v>0.271</v>
      </c>
      <c r="BQ2430" s="1" t="s">
        <v>7705</v>
      </c>
      <c r="BV2430" s="1">
        <v>1.1</v>
      </c>
      <c r="EQ2430" s="9" t="s">
        <v>7704</v>
      </c>
      <c r="ER2430" s="21">
        <v>46045.30253472222</v>
      </c>
    </row>
    <row r="2431">
      <c r="A2431" s="9" t="s">
        <v>7706</v>
      </c>
      <c r="B2431" s="20" t="str">
        <f>IFERROR(__xludf.DUMMYFUNCTION("REGEXREPLACE(A2431, ""^https?://[^/]+"", """")"),"/sales-strategy-checklist-2/")</f>
        <v>/sales-strategy-checklist-2/</v>
      </c>
      <c r="F2431" s="1" t="s">
        <v>965</v>
      </c>
      <c r="G2431" s="1">
        <v>301.0</v>
      </c>
      <c r="H2431" s="1" t="s">
        <v>1304</v>
      </c>
      <c r="I2431" s="1" t="s">
        <v>1214</v>
      </c>
      <c r="J2431" s="1" t="s">
        <v>1305</v>
      </c>
      <c r="L2431" s="1">
        <v>0.0</v>
      </c>
      <c r="M2431" s="1">
        <v>0.0</v>
      </c>
      <c r="O2431" s="1">
        <v>0.0</v>
      </c>
      <c r="P2431" s="1">
        <v>0.0</v>
      </c>
      <c r="R2431" s="1">
        <v>0.0</v>
      </c>
      <c r="S2431" s="1">
        <v>0.0</v>
      </c>
      <c r="U2431" s="1">
        <v>0.0</v>
      </c>
      <c r="W2431" s="1">
        <v>0.0</v>
      </c>
      <c r="Y2431" s="1">
        <v>0.0</v>
      </c>
      <c r="AA2431" s="1">
        <v>0.0</v>
      </c>
      <c r="AC2431" s="1">
        <v>0.0</v>
      </c>
      <c r="AM2431" s="1">
        <v>0.0</v>
      </c>
      <c r="AN2431" s="1">
        <v>0.0</v>
      </c>
      <c r="AO2431" s="1">
        <v>0.0</v>
      </c>
      <c r="AP2431" s="1">
        <v>0.0</v>
      </c>
      <c r="AR2431" s="1">
        <v>0.0</v>
      </c>
      <c r="AW2431" s="1">
        <v>0.0</v>
      </c>
      <c r="AX2431" s="1">
        <v>5.0</v>
      </c>
      <c r="AY2431" s="1">
        <v>1.0</v>
      </c>
      <c r="BA2431" s="1">
        <v>1.0</v>
      </c>
      <c r="BB2431" s="1">
        <v>1.0</v>
      </c>
      <c r="BC2431" s="1">
        <v>0.0</v>
      </c>
      <c r="BD2431" s="1">
        <v>0.13</v>
      </c>
      <c r="BE2431" s="1">
        <v>0.0</v>
      </c>
      <c r="BF2431" s="1">
        <v>0.0</v>
      </c>
      <c r="BG2431" s="1">
        <v>0.0</v>
      </c>
      <c r="BH2431" s="1">
        <v>0.0</v>
      </c>
      <c r="BI2431" s="1">
        <v>0.0</v>
      </c>
      <c r="BJ2431" s="1">
        <v>0.0</v>
      </c>
      <c r="BP2431" s="1">
        <v>0.559</v>
      </c>
      <c r="BR2431" s="9" t="s">
        <v>961</v>
      </c>
      <c r="BS2431" s="1" t="s">
        <v>1307</v>
      </c>
      <c r="BV2431" s="1">
        <v>1.1</v>
      </c>
      <c r="EQ2431" s="9" t="s">
        <v>7706</v>
      </c>
      <c r="ER2431" s="21">
        <v>46045.30252314815</v>
      </c>
    </row>
    <row r="2432">
      <c r="A2432" s="9" t="s">
        <v>7707</v>
      </c>
      <c r="B2432" s="20" t="str">
        <f>IFERROR(__xludf.DUMMYFUNCTION("REGEXREPLACE(A2432, ""^https?://[^/]+"", """")"),"/wp-content/uploads/2020/06/Lemons-scaled-1.jpg")</f>
        <v>/wp-content/uploads/2020/06/Lemons-scaled-1.jpg</v>
      </c>
      <c r="F2432" s="1" t="s">
        <v>1004</v>
      </c>
      <c r="G2432" s="1">
        <v>200.0</v>
      </c>
      <c r="H2432" s="1" t="s">
        <v>966</v>
      </c>
      <c r="I2432" s="1" t="s">
        <v>967</v>
      </c>
      <c r="L2432" s="1">
        <v>0.0</v>
      </c>
      <c r="M2432" s="1">
        <v>0.0</v>
      </c>
      <c r="O2432" s="1">
        <v>0.0</v>
      </c>
      <c r="P2432" s="1">
        <v>0.0</v>
      </c>
      <c r="R2432" s="1">
        <v>0.0</v>
      </c>
      <c r="S2432" s="1">
        <v>0.0</v>
      </c>
      <c r="U2432" s="1">
        <v>0.0</v>
      </c>
      <c r="W2432" s="1">
        <v>0.0</v>
      </c>
      <c r="Y2432" s="1">
        <v>0.0</v>
      </c>
      <c r="AA2432" s="1">
        <v>0.0</v>
      </c>
      <c r="AC2432" s="1">
        <v>0.0</v>
      </c>
      <c r="AM2432" s="1">
        <v>234579.0</v>
      </c>
      <c r="AN2432" s="1">
        <v>234579.0</v>
      </c>
      <c r="AO2432" s="1">
        <v>234579.0</v>
      </c>
      <c r="AP2432" s="1">
        <v>89.863</v>
      </c>
      <c r="AR2432" s="1">
        <v>0.0</v>
      </c>
      <c r="AW2432" s="1">
        <v>0.0</v>
      </c>
      <c r="AX2432" s="1">
        <v>5.0</v>
      </c>
      <c r="AY2432" s="1">
        <v>4.0</v>
      </c>
      <c r="BA2432" s="1">
        <v>0.0</v>
      </c>
      <c r="BB2432" s="1">
        <v>0.0</v>
      </c>
      <c r="BC2432" s="1">
        <v>0.0</v>
      </c>
      <c r="BD2432" s="1">
        <v>0.0</v>
      </c>
      <c r="BE2432" s="1">
        <v>0.0</v>
      </c>
      <c r="BF2432" s="1">
        <v>0.0</v>
      </c>
      <c r="BG2432" s="1">
        <v>0.0</v>
      </c>
      <c r="BH2432" s="1">
        <v>0.0</v>
      </c>
      <c r="BI2432" s="1">
        <v>0.0</v>
      </c>
      <c r="BJ2432" s="1">
        <v>0.0</v>
      </c>
      <c r="BP2432" s="1">
        <v>0.266</v>
      </c>
      <c r="BQ2432" s="1" t="s">
        <v>7708</v>
      </c>
      <c r="BV2432" s="1">
        <v>1.1</v>
      </c>
      <c r="EQ2432" s="9" t="s">
        <v>7707</v>
      </c>
      <c r="ER2432" s="21">
        <v>46045.30253472222</v>
      </c>
    </row>
    <row r="2433">
      <c r="A2433" s="9" t="s">
        <v>7709</v>
      </c>
      <c r="B2433" s="20" t="str">
        <f>IFERROR(__xludf.DUMMYFUNCTION("REGEXREPLACE(A2433, ""^https?://[^/]+"", """")"),"/wp-content/uploads/2020/09/marketing-sales.png")</f>
        <v>/wp-content/uploads/2020/09/marketing-sales.png</v>
      </c>
      <c r="F2433" s="1" t="s">
        <v>1047</v>
      </c>
      <c r="G2433" s="1">
        <v>200.0</v>
      </c>
      <c r="H2433" s="1" t="s">
        <v>966</v>
      </c>
      <c r="I2433" s="1" t="s">
        <v>967</v>
      </c>
      <c r="L2433" s="1">
        <v>0.0</v>
      </c>
      <c r="M2433" s="1">
        <v>0.0</v>
      </c>
      <c r="O2433" s="1">
        <v>0.0</v>
      </c>
      <c r="P2433" s="1">
        <v>0.0</v>
      </c>
      <c r="R2433" s="1">
        <v>0.0</v>
      </c>
      <c r="S2433" s="1">
        <v>0.0</v>
      </c>
      <c r="U2433" s="1">
        <v>0.0</v>
      </c>
      <c r="W2433" s="1">
        <v>0.0</v>
      </c>
      <c r="Y2433" s="1">
        <v>0.0</v>
      </c>
      <c r="AA2433" s="1">
        <v>0.0</v>
      </c>
      <c r="AC2433" s="1">
        <v>0.0</v>
      </c>
      <c r="AM2433" s="1">
        <v>36027.0</v>
      </c>
      <c r="AN2433" s="1">
        <v>36027.0</v>
      </c>
      <c r="AO2433" s="1">
        <v>36027.0</v>
      </c>
      <c r="AP2433" s="1">
        <v>13.801</v>
      </c>
      <c r="AR2433" s="1">
        <v>0.0</v>
      </c>
      <c r="AW2433" s="1">
        <v>0.0</v>
      </c>
      <c r="AX2433" s="1">
        <v>5.0</v>
      </c>
      <c r="AY2433" s="1">
        <v>4.0</v>
      </c>
      <c r="BA2433" s="1">
        <v>0.0</v>
      </c>
      <c r="BB2433" s="1">
        <v>0.0</v>
      </c>
      <c r="BC2433" s="1">
        <v>0.0</v>
      </c>
      <c r="BD2433" s="1">
        <v>0.0</v>
      </c>
      <c r="BE2433" s="1">
        <v>0.0</v>
      </c>
      <c r="BF2433" s="1">
        <v>0.0</v>
      </c>
      <c r="BG2433" s="1">
        <v>0.0</v>
      </c>
      <c r="BH2433" s="1">
        <v>0.0</v>
      </c>
      <c r="BI2433" s="1">
        <v>0.0</v>
      </c>
      <c r="BJ2433" s="1">
        <v>0.0</v>
      </c>
      <c r="BP2433" s="1">
        <v>0.268</v>
      </c>
      <c r="BQ2433" s="1" t="s">
        <v>7710</v>
      </c>
      <c r="BV2433" s="1">
        <v>1.1</v>
      </c>
      <c r="EQ2433" s="9" t="s">
        <v>7709</v>
      </c>
      <c r="ER2433" s="21">
        <v>46045.30253472222</v>
      </c>
    </row>
    <row r="2434">
      <c r="A2434" s="9" t="s">
        <v>7711</v>
      </c>
      <c r="B2434" s="20" t="str">
        <f>IFERROR(__xludf.DUMMYFUNCTION("REGEXREPLACE(A2434, ""^https?://[^/]+"", """")"),"/wp-content/uploads/2020/09/marketing-sales-chart.png")</f>
        <v>/wp-content/uploads/2020/09/marketing-sales-chart.png</v>
      </c>
      <c r="F2434" s="1" t="s">
        <v>1047</v>
      </c>
      <c r="G2434" s="1">
        <v>200.0</v>
      </c>
      <c r="H2434" s="1" t="s">
        <v>966</v>
      </c>
      <c r="I2434" s="1" t="s">
        <v>967</v>
      </c>
      <c r="L2434" s="1">
        <v>0.0</v>
      </c>
      <c r="M2434" s="1">
        <v>0.0</v>
      </c>
      <c r="O2434" s="1">
        <v>0.0</v>
      </c>
      <c r="P2434" s="1">
        <v>0.0</v>
      </c>
      <c r="R2434" s="1">
        <v>0.0</v>
      </c>
      <c r="S2434" s="1">
        <v>0.0</v>
      </c>
      <c r="U2434" s="1">
        <v>0.0</v>
      </c>
      <c r="W2434" s="1">
        <v>0.0</v>
      </c>
      <c r="Y2434" s="1">
        <v>0.0</v>
      </c>
      <c r="AA2434" s="1">
        <v>0.0</v>
      </c>
      <c r="AC2434" s="1">
        <v>0.0</v>
      </c>
      <c r="AM2434" s="1">
        <v>12067.0</v>
      </c>
      <c r="AN2434" s="1">
        <v>12067.0</v>
      </c>
      <c r="AO2434" s="1">
        <v>12067.0</v>
      </c>
      <c r="AP2434" s="1">
        <v>4.623</v>
      </c>
      <c r="AR2434" s="1">
        <v>0.0</v>
      </c>
      <c r="AW2434" s="1">
        <v>0.0</v>
      </c>
      <c r="AX2434" s="1">
        <v>5.0</v>
      </c>
      <c r="AY2434" s="1">
        <v>4.0</v>
      </c>
      <c r="BA2434" s="1">
        <v>0.0</v>
      </c>
      <c r="BB2434" s="1">
        <v>0.0</v>
      </c>
      <c r="BC2434" s="1">
        <v>0.0</v>
      </c>
      <c r="BD2434" s="1">
        <v>0.0</v>
      </c>
      <c r="BE2434" s="1">
        <v>0.0</v>
      </c>
      <c r="BF2434" s="1">
        <v>0.0</v>
      </c>
      <c r="BG2434" s="1">
        <v>0.0</v>
      </c>
      <c r="BH2434" s="1">
        <v>0.0</v>
      </c>
      <c r="BI2434" s="1">
        <v>0.0</v>
      </c>
      <c r="BJ2434" s="1">
        <v>0.0</v>
      </c>
      <c r="BP2434" s="1">
        <v>0.278</v>
      </c>
      <c r="BQ2434" s="1" t="s">
        <v>7712</v>
      </c>
      <c r="BV2434" s="1">
        <v>1.1</v>
      </c>
      <c r="EQ2434" s="9" t="s">
        <v>7711</v>
      </c>
      <c r="ER2434" s="21">
        <v>46045.30253472222</v>
      </c>
    </row>
    <row r="2435">
      <c r="A2435" s="9" t="s">
        <v>7713</v>
      </c>
      <c r="B2435" s="20" t="str">
        <f>IFERROR(__xludf.DUMMYFUNCTION("REGEXREPLACE(A2435, ""^https?://[^/]+"", """")"),"/wp-content/uploads/2020/09/3-step-process.png")</f>
        <v>/wp-content/uploads/2020/09/3-step-process.png</v>
      </c>
      <c r="F2435" s="1" t="s">
        <v>1047</v>
      </c>
      <c r="G2435" s="1">
        <v>200.0</v>
      </c>
      <c r="H2435" s="1" t="s">
        <v>966</v>
      </c>
      <c r="I2435" s="1" t="s">
        <v>967</v>
      </c>
      <c r="L2435" s="1">
        <v>0.0</v>
      </c>
      <c r="M2435" s="1">
        <v>0.0</v>
      </c>
      <c r="O2435" s="1">
        <v>0.0</v>
      </c>
      <c r="P2435" s="1">
        <v>0.0</v>
      </c>
      <c r="R2435" s="1">
        <v>0.0</v>
      </c>
      <c r="S2435" s="1">
        <v>0.0</v>
      </c>
      <c r="U2435" s="1">
        <v>0.0</v>
      </c>
      <c r="W2435" s="1">
        <v>0.0</v>
      </c>
      <c r="Y2435" s="1">
        <v>0.0</v>
      </c>
      <c r="AA2435" s="1">
        <v>0.0</v>
      </c>
      <c r="AC2435" s="1">
        <v>0.0</v>
      </c>
      <c r="AM2435" s="1">
        <v>9031.0</v>
      </c>
      <c r="AN2435" s="1">
        <v>9031.0</v>
      </c>
      <c r="AO2435" s="1">
        <v>9031.0</v>
      </c>
      <c r="AP2435" s="1">
        <v>3.46</v>
      </c>
      <c r="AR2435" s="1">
        <v>0.0</v>
      </c>
      <c r="AW2435" s="1">
        <v>0.0</v>
      </c>
      <c r="AX2435" s="1">
        <v>5.0</v>
      </c>
      <c r="AY2435" s="1">
        <v>4.0</v>
      </c>
      <c r="BA2435" s="1">
        <v>0.0</v>
      </c>
      <c r="BB2435" s="1">
        <v>0.0</v>
      </c>
      <c r="BC2435" s="1">
        <v>0.0</v>
      </c>
      <c r="BD2435" s="1">
        <v>0.0</v>
      </c>
      <c r="BE2435" s="1">
        <v>0.0</v>
      </c>
      <c r="BF2435" s="1">
        <v>0.0</v>
      </c>
      <c r="BG2435" s="1">
        <v>0.0</v>
      </c>
      <c r="BH2435" s="1">
        <v>0.0</v>
      </c>
      <c r="BI2435" s="1">
        <v>0.0</v>
      </c>
      <c r="BJ2435" s="1">
        <v>0.0</v>
      </c>
      <c r="BP2435" s="1">
        <v>0.257</v>
      </c>
      <c r="BQ2435" s="1" t="s">
        <v>7714</v>
      </c>
      <c r="BV2435" s="1">
        <v>1.1</v>
      </c>
      <c r="EQ2435" s="9" t="s">
        <v>7713</v>
      </c>
      <c r="ER2435" s="21">
        <v>46045.30253472222</v>
      </c>
    </row>
    <row r="2436">
      <c r="A2436" s="9" t="s">
        <v>7715</v>
      </c>
      <c r="B2436" s="20" t="str">
        <f>IFERROR(__xludf.DUMMYFUNCTION("REGEXREPLACE(A2436, ""^https?://[^/]+"", """")"),"/wp-content/uploads/2020/08/Sales-Leader-Formulating-a-Plan-Forward-scaled-1.jpg")</f>
        <v>/wp-content/uploads/2020/08/Sales-Leader-Formulating-a-Plan-Forward-scaled-1.jpg</v>
      </c>
      <c r="F2436" s="1" t="s">
        <v>1004</v>
      </c>
      <c r="G2436" s="1">
        <v>200.0</v>
      </c>
      <c r="H2436" s="1" t="s">
        <v>966</v>
      </c>
      <c r="I2436" s="1" t="s">
        <v>967</v>
      </c>
      <c r="L2436" s="1">
        <v>0.0</v>
      </c>
      <c r="M2436" s="1">
        <v>0.0</v>
      </c>
      <c r="O2436" s="1">
        <v>0.0</v>
      </c>
      <c r="P2436" s="1">
        <v>0.0</v>
      </c>
      <c r="R2436" s="1">
        <v>0.0</v>
      </c>
      <c r="S2436" s="1">
        <v>0.0</v>
      </c>
      <c r="U2436" s="1">
        <v>0.0</v>
      </c>
      <c r="W2436" s="1">
        <v>0.0</v>
      </c>
      <c r="Y2436" s="1">
        <v>0.0</v>
      </c>
      <c r="AA2436" s="1">
        <v>0.0</v>
      </c>
      <c r="AC2436" s="1">
        <v>0.0</v>
      </c>
      <c r="AM2436" s="1">
        <v>325957.0</v>
      </c>
      <c r="AN2436" s="1">
        <v>325957.0</v>
      </c>
      <c r="AO2436" s="1">
        <v>325957.0</v>
      </c>
      <c r="AP2436" s="1">
        <v>124.868</v>
      </c>
      <c r="AR2436" s="1">
        <v>0.0</v>
      </c>
      <c r="AW2436" s="1">
        <v>0.0</v>
      </c>
      <c r="AX2436" s="1">
        <v>5.0</v>
      </c>
      <c r="AY2436" s="1">
        <v>4.0</v>
      </c>
      <c r="BA2436" s="1">
        <v>0.0</v>
      </c>
      <c r="BB2436" s="1">
        <v>0.0</v>
      </c>
      <c r="BC2436" s="1">
        <v>0.0</v>
      </c>
      <c r="BD2436" s="1">
        <v>0.0</v>
      </c>
      <c r="BE2436" s="1">
        <v>0.0</v>
      </c>
      <c r="BF2436" s="1">
        <v>0.0</v>
      </c>
      <c r="BG2436" s="1">
        <v>0.0</v>
      </c>
      <c r="BH2436" s="1">
        <v>0.0</v>
      </c>
      <c r="BI2436" s="1">
        <v>0.0</v>
      </c>
      <c r="BJ2436" s="1">
        <v>0.0</v>
      </c>
      <c r="BP2436" s="1">
        <v>0.283</v>
      </c>
      <c r="BQ2436" s="1" t="s">
        <v>7716</v>
      </c>
      <c r="BV2436" s="1">
        <v>1.1</v>
      </c>
      <c r="EQ2436" s="9" t="s">
        <v>7715</v>
      </c>
      <c r="ER2436" s="21">
        <v>46045.30253472222</v>
      </c>
    </row>
    <row r="2437">
      <c r="A2437" s="9" t="s">
        <v>7717</v>
      </c>
      <c r="B2437" s="20" t="str">
        <f>IFERROR(__xludf.DUMMYFUNCTION("REGEXREPLACE(A2437, ""^https?://[^/]+"", """")"),"/wp-content/uploads/2017/04/RSpt2-1.jpg")</f>
        <v>/wp-content/uploads/2017/04/RSpt2-1.jpg</v>
      </c>
      <c r="F2437" s="1" t="s">
        <v>1004</v>
      </c>
      <c r="G2437" s="1">
        <v>200.0</v>
      </c>
      <c r="H2437" s="1" t="s">
        <v>966</v>
      </c>
      <c r="I2437" s="1" t="s">
        <v>967</v>
      </c>
      <c r="L2437" s="1">
        <v>0.0</v>
      </c>
      <c r="M2437" s="1">
        <v>0.0</v>
      </c>
      <c r="O2437" s="1">
        <v>0.0</v>
      </c>
      <c r="P2437" s="1">
        <v>0.0</v>
      </c>
      <c r="R2437" s="1">
        <v>0.0</v>
      </c>
      <c r="S2437" s="1">
        <v>0.0</v>
      </c>
      <c r="U2437" s="1">
        <v>0.0</v>
      </c>
      <c r="W2437" s="1">
        <v>0.0</v>
      </c>
      <c r="Y2437" s="1">
        <v>0.0</v>
      </c>
      <c r="AA2437" s="1">
        <v>0.0</v>
      </c>
      <c r="AC2437" s="1">
        <v>0.0</v>
      </c>
      <c r="AM2437" s="1">
        <v>56414.0</v>
      </c>
      <c r="AN2437" s="1">
        <v>56414.0</v>
      </c>
      <c r="AO2437" s="1">
        <v>56414.0</v>
      </c>
      <c r="AP2437" s="1">
        <v>21.611</v>
      </c>
      <c r="AR2437" s="1">
        <v>0.0</v>
      </c>
      <c r="AW2437" s="1">
        <v>0.0</v>
      </c>
      <c r="AX2437" s="1">
        <v>5.0</v>
      </c>
      <c r="AY2437" s="1">
        <v>4.0</v>
      </c>
      <c r="BA2437" s="1">
        <v>0.0</v>
      </c>
      <c r="BB2437" s="1">
        <v>0.0</v>
      </c>
      <c r="BC2437" s="1">
        <v>0.0</v>
      </c>
      <c r="BD2437" s="1">
        <v>0.0</v>
      </c>
      <c r="BE2437" s="1">
        <v>0.0</v>
      </c>
      <c r="BF2437" s="1">
        <v>0.0</v>
      </c>
      <c r="BG2437" s="1">
        <v>0.0</v>
      </c>
      <c r="BH2437" s="1">
        <v>0.0</v>
      </c>
      <c r="BI2437" s="1">
        <v>0.0</v>
      </c>
      <c r="BJ2437" s="1">
        <v>0.0</v>
      </c>
      <c r="BP2437" s="1">
        <v>0.277</v>
      </c>
      <c r="BQ2437" s="1" t="s">
        <v>7718</v>
      </c>
      <c r="BV2437" s="1">
        <v>1.1</v>
      </c>
      <c r="EQ2437" s="9" t="s">
        <v>7717</v>
      </c>
      <c r="ER2437" s="21">
        <v>46045.30253472222</v>
      </c>
    </row>
    <row r="2438">
      <c r="A2438" s="9" t="s">
        <v>7719</v>
      </c>
      <c r="B2438" s="20" t="str">
        <f>IFERROR(__xludf.DUMMYFUNCTION("REGEXREPLACE(A2438, ""^https?://[^/]+"", """")"),"/wp-content/uploads/2019/12/Irritated_Businessman_Holding_Phone-2048x2048.jpg")</f>
        <v>/wp-content/uploads/2019/12/Irritated_Businessman_Holding_Phone-2048x2048.jpg</v>
      </c>
      <c r="F2438" s="1" t="s">
        <v>1004</v>
      </c>
      <c r="G2438" s="1">
        <v>200.0</v>
      </c>
      <c r="H2438" s="1" t="s">
        <v>966</v>
      </c>
      <c r="I2438" s="1" t="s">
        <v>967</v>
      </c>
      <c r="L2438" s="1">
        <v>0.0</v>
      </c>
      <c r="M2438" s="1">
        <v>0.0</v>
      </c>
      <c r="O2438" s="1">
        <v>0.0</v>
      </c>
      <c r="P2438" s="1">
        <v>0.0</v>
      </c>
      <c r="R2438" s="1">
        <v>0.0</v>
      </c>
      <c r="S2438" s="1">
        <v>0.0</v>
      </c>
      <c r="U2438" s="1">
        <v>0.0</v>
      </c>
      <c r="W2438" s="1">
        <v>0.0</v>
      </c>
      <c r="Y2438" s="1">
        <v>0.0</v>
      </c>
      <c r="AA2438" s="1">
        <v>0.0</v>
      </c>
      <c r="AC2438" s="1">
        <v>0.0</v>
      </c>
      <c r="AM2438" s="1">
        <v>414604.0</v>
      </c>
      <c r="AN2438" s="1">
        <v>414604.0</v>
      </c>
      <c r="AO2438" s="1">
        <v>414604.0</v>
      </c>
      <c r="AP2438" s="1">
        <v>158.827</v>
      </c>
      <c r="AR2438" s="1">
        <v>0.0</v>
      </c>
      <c r="AW2438" s="1">
        <v>0.0</v>
      </c>
      <c r="AX2438" s="1">
        <v>5.0</v>
      </c>
      <c r="AY2438" s="1">
        <v>4.0</v>
      </c>
      <c r="BA2438" s="1">
        <v>0.0</v>
      </c>
      <c r="BB2438" s="1">
        <v>0.0</v>
      </c>
      <c r="BC2438" s="1">
        <v>0.0</v>
      </c>
      <c r="BD2438" s="1">
        <v>0.0</v>
      </c>
      <c r="BE2438" s="1">
        <v>0.0</v>
      </c>
      <c r="BF2438" s="1">
        <v>0.0</v>
      </c>
      <c r="BG2438" s="1">
        <v>0.0</v>
      </c>
      <c r="BH2438" s="1">
        <v>0.0</v>
      </c>
      <c r="BI2438" s="1">
        <v>0.0</v>
      </c>
      <c r="BJ2438" s="1">
        <v>0.0</v>
      </c>
      <c r="BP2438" s="1">
        <v>0.266</v>
      </c>
      <c r="BQ2438" s="1" t="s">
        <v>7720</v>
      </c>
      <c r="BV2438" s="1">
        <v>1.1</v>
      </c>
      <c r="EQ2438" s="9" t="s">
        <v>7719</v>
      </c>
      <c r="ER2438" s="21">
        <v>46045.30253472222</v>
      </c>
    </row>
    <row r="2439">
      <c r="A2439" s="9" t="s">
        <v>6287</v>
      </c>
      <c r="B2439" s="20" t="str">
        <f>IFERROR(__xludf.DUMMYFUNCTION("REGEXREPLACE(A2439, ""^https?://[^/]+"", """")"),"/?download=27869")</f>
        <v>/?download=27869</v>
      </c>
      <c r="F2439" s="1" t="s">
        <v>965</v>
      </c>
      <c r="G2439" s="1">
        <v>302.0</v>
      </c>
      <c r="H2439" s="1" t="s">
        <v>2980</v>
      </c>
      <c r="I2439" s="1" t="s">
        <v>1214</v>
      </c>
      <c r="J2439" s="1" t="s">
        <v>1305</v>
      </c>
      <c r="L2439" s="1">
        <v>0.0</v>
      </c>
      <c r="M2439" s="1">
        <v>0.0</v>
      </c>
      <c r="O2439" s="1">
        <v>0.0</v>
      </c>
      <c r="P2439" s="1">
        <v>0.0</v>
      </c>
      <c r="R2439" s="1">
        <v>0.0</v>
      </c>
      <c r="S2439" s="1">
        <v>0.0</v>
      </c>
      <c r="U2439" s="1">
        <v>0.0</v>
      </c>
      <c r="W2439" s="1">
        <v>0.0</v>
      </c>
      <c r="Y2439" s="1">
        <v>0.0</v>
      </c>
      <c r="AA2439" s="1">
        <v>0.0</v>
      </c>
      <c r="AC2439" s="1">
        <v>0.0</v>
      </c>
      <c r="AM2439" s="1">
        <v>0.0</v>
      </c>
      <c r="AN2439" s="1">
        <v>0.0</v>
      </c>
      <c r="AO2439" s="1">
        <v>0.0</v>
      </c>
      <c r="AP2439" s="1">
        <v>0.0</v>
      </c>
      <c r="AR2439" s="1">
        <v>0.0</v>
      </c>
      <c r="AW2439" s="1">
        <v>0.0</v>
      </c>
      <c r="AX2439" s="1">
        <v>5.0</v>
      </c>
      <c r="AY2439" s="1">
        <v>0.0</v>
      </c>
      <c r="BA2439" s="1">
        <v>0.0</v>
      </c>
      <c r="BB2439" s="1">
        <v>0.0</v>
      </c>
      <c r="BC2439" s="1">
        <v>0.0</v>
      </c>
      <c r="BD2439" s="1">
        <v>0.0</v>
      </c>
      <c r="BE2439" s="1">
        <v>0.0</v>
      </c>
      <c r="BF2439" s="1">
        <v>0.0</v>
      </c>
      <c r="BG2439" s="1">
        <v>0.0</v>
      </c>
      <c r="BH2439" s="1">
        <v>0.0</v>
      </c>
      <c r="BI2439" s="1">
        <v>0.0</v>
      </c>
      <c r="BJ2439" s="1">
        <v>0.0</v>
      </c>
      <c r="BP2439" s="1">
        <v>0.557</v>
      </c>
      <c r="BR2439" s="9" t="s">
        <v>7721</v>
      </c>
      <c r="BS2439" s="1" t="s">
        <v>1307</v>
      </c>
      <c r="BV2439" s="1">
        <v>1.1</v>
      </c>
      <c r="EQ2439" s="9" t="s">
        <v>6287</v>
      </c>
      <c r="ER2439" s="21">
        <v>46045.30253472222</v>
      </c>
    </row>
    <row r="2440">
      <c r="A2440" s="9" t="s">
        <v>7722</v>
      </c>
      <c r="B2440" s="20" t="str">
        <f>IFERROR(__xludf.DUMMYFUNCTION("REGEXREPLACE(A2440, ""^https?://[^/]+"", """")"),"/wp-content/uploads/2015/11/Do-You-Need-a-Sales-Consultant-or-a-Sales-Builder--2048x2048.jpg")</f>
        <v>/wp-content/uploads/2015/11/Do-You-Need-a-Sales-Consultant-or-a-Sales-Builder--2048x2048.jpg</v>
      </c>
      <c r="F2440" s="1" t="s">
        <v>1004</v>
      </c>
      <c r="G2440" s="1">
        <v>200.0</v>
      </c>
      <c r="H2440" s="1" t="s">
        <v>966</v>
      </c>
      <c r="I2440" s="1" t="s">
        <v>967</v>
      </c>
      <c r="L2440" s="1">
        <v>0.0</v>
      </c>
      <c r="M2440" s="1">
        <v>0.0</v>
      </c>
      <c r="O2440" s="1">
        <v>0.0</v>
      </c>
      <c r="P2440" s="1">
        <v>0.0</v>
      </c>
      <c r="R2440" s="1">
        <v>0.0</v>
      </c>
      <c r="S2440" s="1">
        <v>0.0</v>
      </c>
      <c r="U2440" s="1">
        <v>0.0</v>
      </c>
      <c r="W2440" s="1">
        <v>0.0</v>
      </c>
      <c r="Y2440" s="1">
        <v>0.0</v>
      </c>
      <c r="AA2440" s="1">
        <v>0.0</v>
      </c>
      <c r="AC2440" s="1">
        <v>0.0</v>
      </c>
      <c r="AM2440" s="1">
        <v>187183.0</v>
      </c>
      <c r="AN2440" s="1">
        <v>187183.0</v>
      </c>
      <c r="AO2440" s="1">
        <v>187183.0</v>
      </c>
      <c r="AP2440" s="1">
        <v>71.706</v>
      </c>
      <c r="AR2440" s="1">
        <v>0.0</v>
      </c>
      <c r="AW2440" s="1">
        <v>0.0</v>
      </c>
      <c r="AX2440" s="1">
        <v>5.0</v>
      </c>
      <c r="AY2440" s="1">
        <v>4.0</v>
      </c>
      <c r="BA2440" s="1">
        <v>0.0</v>
      </c>
      <c r="BB2440" s="1">
        <v>0.0</v>
      </c>
      <c r="BC2440" s="1">
        <v>0.0</v>
      </c>
      <c r="BD2440" s="1">
        <v>0.0</v>
      </c>
      <c r="BE2440" s="1">
        <v>0.0</v>
      </c>
      <c r="BF2440" s="1">
        <v>0.0</v>
      </c>
      <c r="BG2440" s="1">
        <v>0.0</v>
      </c>
      <c r="BH2440" s="1">
        <v>0.0</v>
      </c>
      <c r="BI2440" s="1">
        <v>0.0</v>
      </c>
      <c r="BJ2440" s="1">
        <v>0.0</v>
      </c>
      <c r="BP2440" s="1">
        <v>0.269</v>
      </c>
      <c r="BQ2440" s="1" t="s">
        <v>7723</v>
      </c>
      <c r="BV2440" s="1">
        <v>1.1</v>
      </c>
      <c r="EQ2440" s="9" t="s">
        <v>7722</v>
      </c>
      <c r="ER2440" s="21">
        <v>46045.30253472222</v>
      </c>
    </row>
    <row r="2441">
      <c r="A2441" s="9" t="s">
        <v>7724</v>
      </c>
      <c r="B2441" s="20" t="str">
        <f>IFERROR(__xludf.DUMMYFUNCTION("REGEXREPLACE(A2441, ""^https?://[^/]+"", """")"),"/wp-content/uploads/2016/03/Make-a-Difference-RS-72-560-x-225-2048x2048.jpg")</f>
        <v>/wp-content/uploads/2016/03/Make-a-Difference-RS-72-560-x-225-2048x2048.jpg</v>
      </c>
      <c r="F2441" s="1" t="s">
        <v>1004</v>
      </c>
      <c r="G2441" s="1">
        <v>200.0</v>
      </c>
      <c r="H2441" s="1" t="s">
        <v>966</v>
      </c>
      <c r="I2441" s="1" t="s">
        <v>967</v>
      </c>
      <c r="L2441" s="1">
        <v>0.0</v>
      </c>
      <c r="M2441" s="1">
        <v>0.0</v>
      </c>
      <c r="O2441" s="1">
        <v>0.0</v>
      </c>
      <c r="P2441" s="1">
        <v>0.0</v>
      </c>
      <c r="R2441" s="1">
        <v>0.0</v>
      </c>
      <c r="S2441" s="1">
        <v>0.0</v>
      </c>
      <c r="U2441" s="1">
        <v>0.0</v>
      </c>
      <c r="W2441" s="1">
        <v>0.0</v>
      </c>
      <c r="Y2441" s="1">
        <v>0.0</v>
      </c>
      <c r="AA2441" s="1">
        <v>0.0</v>
      </c>
      <c r="AC2441" s="1">
        <v>0.0</v>
      </c>
      <c r="AM2441" s="1">
        <v>318400.0</v>
      </c>
      <c r="AN2441" s="1">
        <v>318400.0</v>
      </c>
      <c r="AO2441" s="1">
        <v>318400.0</v>
      </c>
      <c r="AP2441" s="1">
        <v>121.973</v>
      </c>
      <c r="AR2441" s="1">
        <v>0.0</v>
      </c>
      <c r="AW2441" s="1">
        <v>0.0</v>
      </c>
      <c r="AX2441" s="1">
        <v>5.0</v>
      </c>
      <c r="AY2441" s="1">
        <v>4.0</v>
      </c>
      <c r="BA2441" s="1">
        <v>0.0</v>
      </c>
      <c r="BB2441" s="1">
        <v>0.0</v>
      </c>
      <c r="BC2441" s="1">
        <v>0.0</v>
      </c>
      <c r="BD2441" s="1">
        <v>0.0</v>
      </c>
      <c r="BE2441" s="1">
        <v>0.0</v>
      </c>
      <c r="BF2441" s="1">
        <v>0.0</v>
      </c>
      <c r="BG2441" s="1">
        <v>0.0</v>
      </c>
      <c r="BH2441" s="1">
        <v>0.0</v>
      </c>
      <c r="BI2441" s="1">
        <v>0.0</v>
      </c>
      <c r="BJ2441" s="1">
        <v>0.0</v>
      </c>
      <c r="BP2441" s="1">
        <v>0.272</v>
      </c>
      <c r="BQ2441" s="1" t="s">
        <v>7725</v>
      </c>
      <c r="BV2441" s="1">
        <v>1.1</v>
      </c>
      <c r="EQ2441" s="9" t="s">
        <v>7724</v>
      </c>
      <c r="ER2441" s="21">
        <v>46045.3025462963</v>
      </c>
    </row>
    <row r="2442">
      <c r="A2442" s="9" t="s">
        <v>7726</v>
      </c>
      <c r="B2442" s="20" t="str">
        <f>IFERROR(__xludf.DUMMYFUNCTION("REGEXREPLACE(A2442, ""^https?://[^/]+"", """")"),"/wp-content/themes/salesxceleratione/assets/css/style.css?ver=1769123643")</f>
        <v>/wp-content/themes/salesxceleratione/assets/css/style.css?ver=1769123643</v>
      </c>
      <c r="F2442" s="1" t="s">
        <v>1016</v>
      </c>
      <c r="G2442" s="1">
        <v>200.0</v>
      </c>
      <c r="H2442" s="1" t="s">
        <v>966</v>
      </c>
      <c r="I2442" s="1" t="s">
        <v>967</v>
      </c>
      <c r="L2442" s="1">
        <v>0.0</v>
      </c>
      <c r="M2442" s="1">
        <v>0.0</v>
      </c>
      <c r="O2442" s="1">
        <v>0.0</v>
      </c>
      <c r="P2442" s="1">
        <v>0.0</v>
      </c>
      <c r="R2442" s="1">
        <v>0.0</v>
      </c>
      <c r="S2442" s="1">
        <v>0.0</v>
      </c>
      <c r="U2442" s="1">
        <v>0.0</v>
      </c>
      <c r="W2442" s="1">
        <v>0.0</v>
      </c>
      <c r="Y2442" s="1">
        <v>0.0</v>
      </c>
      <c r="AA2442" s="1">
        <v>0.0</v>
      </c>
      <c r="AC2442" s="1">
        <v>0.0</v>
      </c>
      <c r="AM2442" s="1">
        <v>17704.0</v>
      </c>
      <c r="AN2442" s="1">
        <v>17704.0</v>
      </c>
      <c r="AO2442" s="1">
        <v>17704.0</v>
      </c>
      <c r="AP2442" s="1">
        <v>6.782</v>
      </c>
      <c r="AR2442" s="1">
        <v>0.0</v>
      </c>
      <c r="AW2442" s="1">
        <v>0.0</v>
      </c>
      <c r="AX2442" s="1">
        <v>5.0</v>
      </c>
      <c r="AY2442" s="1">
        <v>5.0</v>
      </c>
      <c r="BA2442" s="1">
        <v>0.0</v>
      </c>
      <c r="BB2442" s="1">
        <v>0.0</v>
      </c>
      <c r="BC2442" s="1">
        <v>0.0</v>
      </c>
      <c r="BD2442" s="1">
        <v>0.0</v>
      </c>
      <c r="BE2442" s="1">
        <v>0.0</v>
      </c>
      <c r="BF2442" s="1">
        <v>0.0</v>
      </c>
      <c r="BG2442" s="1">
        <v>0.0</v>
      </c>
      <c r="BH2442" s="1">
        <v>0.0</v>
      </c>
      <c r="BI2442" s="1">
        <v>0.0</v>
      </c>
      <c r="BJ2442" s="1">
        <v>0.0</v>
      </c>
      <c r="BP2442" s="1">
        <v>0.272</v>
      </c>
      <c r="BQ2442" s="1" t="s">
        <v>7727</v>
      </c>
      <c r="BV2442" s="1">
        <v>1.1</v>
      </c>
      <c r="EQ2442" s="9" t="s">
        <v>7726</v>
      </c>
      <c r="ER2442" s="21">
        <v>46045.3025462963</v>
      </c>
    </row>
    <row r="2443">
      <c r="A2443" s="9" t="s">
        <v>7728</v>
      </c>
      <c r="B2443" s="20" t="str">
        <f>IFERROR(__xludf.DUMMYFUNCTION("REGEXREPLACE(A2443, ""^https?://[^/]+"", """")"),"/do-you-need-a-sales-consultant-or-a-sales-builder/")</f>
        <v>/do-you-need-a-sales-consultant-or-a-sales-builder/</v>
      </c>
      <c r="C2443" s="1" t="s">
        <v>7729</v>
      </c>
      <c r="F2443" s="1" t="s">
        <v>965</v>
      </c>
      <c r="G2443" s="1">
        <v>200.0</v>
      </c>
      <c r="H2443" s="1" t="s">
        <v>966</v>
      </c>
      <c r="I2443" s="1" t="s">
        <v>967</v>
      </c>
      <c r="K2443" s="1" t="s">
        <v>7730</v>
      </c>
      <c r="L2443" s="1">
        <v>70.0</v>
      </c>
      <c r="M2443" s="1">
        <v>627.0</v>
      </c>
      <c r="O2443" s="1">
        <v>0.0</v>
      </c>
      <c r="P2443" s="1">
        <v>0.0</v>
      </c>
      <c r="Q2443" s="1" t="s">
        <v>7731</v>
      </c>
      <c r="R2443" s="1">
        <v>138.0</v>
      </c>
      <c r="S2443" s="1">
        <v>838.0</v>
      </c>
      <c r="U2443" s="1">
        <v>0.0</v>
      </c>
      <c r="V2443" s="1" t="s">
        <v>7729</v>
      </c>
      <c r="W2443" s="1">
        <v>50.0</v>
      </c>
      <c r="Y2443" s="1">
        <v>0.0</v>
      </c>
      <c r="AA2443" s="1">
        <v>0.0</v>
      </c>
      <c r="AC2443" s="1">
        <v>0.0</v>
      </c>
      <c r="AD2443" s="1" t="s">
        <v>971</v>
      </c>
      <c r="AG2443" s="9" t="s">
        <v>7728</v>
      </c>
      <c r="AM2443" s="1">
        <v>201905.0</v>
      </c>
      <c r="AN2443" s="1">
        <v>35823.0</v>
      </c>
      <c r="AO2443" s="1">
        <v>35823.0</v>
      </c>
      <c r="AP2443" s="1">
        <v>13.723</v>
      </c>
      <c r="AR2443" s="1">
        <v>1368.0</v>
      </c>
      <c r="AS2443" s="1">
        <v>193.0</v>
      </c>
      <c r="AT2443" s="1">
        <v>7.088</v>
      </c>
      <c r="AU2443" s="1">
        <v>66.989</v>
      </c>
      <c r="AV2443" s="1" t="s">
        <v>990</v>
      </c>
      <c r="AW2443" s="1">
        <v>5.233</v>
      </c>
      <c r="AX2443" s="1">
        <v>5.0</v>
      </c>
      <c r="AY2443" s="1">
        <v>1.0</v>
      </c>
      <c r="AZ2443" s="1">
        <v>1.0</v>
      </c>
      <c r="BA2443" s="1">
        <v>6.0</v>
      </c>
      <c r="BB2443" s="1">
        <v>6.0</v>
      </c>
      <c r="BC2443" s="1">
        <v>0.0</v>
      </c>
      <c r="BD2443" s="1">
        <v>0.8</v>
      </c>
      <c r="BE2443" s="1">
        <v>133.0</v>
      </c>
      <c r="BF2443" s="1">
        <v>50.0</v>
      </c>
      <c r="BG2443" s="1">
        <v>0.0</v>
      </c>
      <c r="BH2443" s="1">
        <v>16.0</v>
      </c>
      <c r="BI2443" s="1">
        <v>8.0</v>
      </c>
      <c r="BJ2443" s="1">
        <v>0.0</v>
      </c>
      <c r="BO2443" s="1" t="s">
        <v>7732</v>
      </c>
      <c r="BP2443" s="1">
        <v>0.982</v>
      </c>
      <c r="BU2443" s="1" t="s">
        <v>974</v>
      </c>
      <c r="BV2443" s="1">
        <v>1.1</v>
      </c>
      <c r="EQ2443" s="9" t="s">
        <v>7728</v>
      </c>
      <c r="ER2443" s="21">
        <v>46045.30253472222</v>
      </c>
    </row>
    <row r="2444">
      <c r="A2444" s="9" t="s">
        <v>7733</v>
      </c>
      <c r="B2444" s="20" t="str">
        <f>IFERROR(__xludf.DUMMYFUNCTION("REGEXREPLACE(A2444, ""^https?://[^/]+"", """")"),"/why-no-sales-satisfaction-sales-lessons-learned-rolling-stones/")</f>
        <v>/why-no-sales-satisfaction-sales-lessons-learned-rolling-stones/</v>
      </c>
      <c r="C2444" s="1" t="s">
        <v>7734</v>
      </c>
      <c r="F2444" s="1" t="s">
        <v>965</v>
      </c>
      <c r="G2444" s="1">
        <v>200.0</v>
      </c>
      <c r="H2444" s="1" t="s">
        <v>966</v>
      </c>
      <c r="I2444" s="1" t="s">
        <v>967</v>
      </c>
      <c r="K2444" s="1" t="s">
        <v>7735</v>
      </c>
      <c r="L2444" s="1">
        <v>141.0</v>
      </c>
      <c r="M2444" s="1">
        <v>1240.0</v>
      </c>
      <c r="O2444" s="1">
        <v>0.0</v>
      </c>
      <c r="P2444" s="1">
        <v>0.0</v>
      </c>
      <c r="Q2444" s="1" t="s">
        <v>7736</v>
      </c>
      <c r="R2444" s="1">
        <v>141.0</v>
      </c>
      <c r="S2444" s="1">
        <v>853.0</v>
      </c>
      <c r="U2444" s="1">
        <v>0.0</v>
      </c>
      <c r="V2444" s="1" t="s">
        <v>7734</v>
      </c>
      <c r="W2444" s="1">
        <v>116.0</v>
      </c>
      <c r="Y2444" s="1">
        <v>0.0</v>
      </c>
      <c r="AA2444" s="1">
        <v>0.0</v>
      </c>
      <c r="AC2444" s="1">
        <v>0.0</v>
      </c>
      <c r="AD2444" s="1" t="s">
        <v>971</v>
      </c>
      <c r="AG2444" s="9" t="s">
        <v>7733</v>
      </c>
      <c r="AM2444" s="1">
        <v>198845.0</v>
      </c>
      <c r="AN2444" s="1">
        <v>35287.0</v>
      </c>
      <c r="AO2444" s="1">
        <v>35287.0</v>
      </c>
      <c r="AP2444" s="1">
        <v>13.518</v>
      </c>
      <c r="AR2444" s="1">
        <v>1245.0</v>
      </c>
      <c r="AS2444" s="1">
        <v>185.0</v>
      </c>
      <c r="AT2444" s="1">
        <v>6.73</v>
      </c>
      <c r="AU2444" s="1">
        <v>77.963</v>
      </c>
      <c r="AV2444" s="1" t="s">
        <v>1264</v>
      </c>
      <c r="AW2444" s="1">
        <v>4.817</v>
      </c>
      <c r="AX2444" s="1">
        <v>5.0</v>
      </c>
      <c r="AY2444" s="1">
        <v>1.0</v>
      </c>
      <c r="AZ2444" s="1">
        <v>1.0</v>
      </c>
      <c r="BA2444" s="1">
        <v>1.0</v>
      </c>
      <c r="BB2444" s="1">
        <v>1.0</v>
      </c>
      <c r="BC2444" s="1">
        <v>0.0</v>
      </c>
      <c r="BD2444" s="1">
        <v>0.13</v>
      </c>
      <c r="BE2444" s="1">
        <v>129.0</v>
      </c>
      <c r="BF2444" s="1">
        <v>47.0</v>
      </c>
      <c r="BG2444" s="1">
        <v>0.0</v>
      </c>
      <c r="BH2444" s="1">
        <v>16.0</v>
      </c>
      <c r="BI2444" s="1">
        <v>8.0</v>
      </c>
      <c r="BJ2444" s="1">
        <v>0.0</v>
      </c>
      <c r="BO2444" s="1" t="s">
        <v>7737</v>
      </c>
      <c r="BP2444" s="1">
        <v>1.078</v>
      </c>
      <c r="BU2444" s="1" t="s">
        <v>974</v>
      </c>
      <c r="BV2444" s="1">
        <v>1.1</v>
      </c>
      <c r="EQ2444" s="9" t="s">
        <v>7733</v>
      </c>
      <c r="ER2444" s="21">
        <v>46045.30253472222</v>
      </c>
    </row>
    <row r="2445">
      <c r="A2445" s="9" t="s">
        <v>7738</v>
      </c>
      <c r="B2445" s="20" t="str">
        <f>IFERROR(__xludf.DUMMYFUNCTION("REGEXREPLACE(A2445, ""^https?://[^/]+"", """")"),"/why-customers-dont-return-your-sales-calls/")</f>
        <v>/why-customers-dont-return-your-sales-calls/</v>
      </c>
      <c r="C2445" s="1" t="s">
        <v>7739</v>
      </c>
      <c r="F2445" s="1" t="s">
        <v>965</v>
      </c>
      <c r="G2445" s="1">
        <v>200.0</v>
      </c>
      <c r="H2445" s="1" t="s">
        <v>966</v>
      </c>
      <c r="I2445" s="1" t="s">
        <v>967</v>
      </c>
      <c r="K2445" s="1" t="s">
        <v>7740</v>
      </c>
      <c r="L2445" s="1">
        <v>68.0</v>
      </c>
      <c r="M2445" s="1">
        <v>620.0</v>
      </c>
      <c r="O2445" s="1">
        <v>0.0</v>
      </c>
      <c r="P2445" s="1">
        <v>0.0</v>
      </c>
      <c r="Q2445" s="1" t="s">
        <v>7741</v>
      </c>
      <c r="R2445" s="1">
        <v>72.0</v>
      </c>
      <c r="S2445" s="1">
        <v>452.0</v>
      </c>
      <c r="U2445" s="1">
        <v>0.0</v>
      </c>
      <c r="V2445" s="1" t="s">
        <v>7739</v>
      </c>
      <c r="W2445" s="1">
        <v>43.0</v>
      </c>
      <c r="Y2445" s="1">
        <v>0.0</v>
      </c>
      <c r="AA2445" s="1">
        <v>0.0</v>
      </c>
      <c r="AC2445" s="1">
        <v>0.0</v>
      </c>
      <c r="AD2445" s="1" t="s">
        <v>971</v>
      </c>
      <c r="AG2445" s="9" t="s">
        <v>7738</v>
      </c>
      <c r="AM2445" s="1">
        <v>198583.0</v>
      </c>
      <c r="AN2445" s="1">
        <v>35067.0</v>
      </c>
      <c r="AO2445" s="1">
        <v>35067.0</v>
      </c>
      <c r="AP2445" s="1">
        <v>13.434</v>
      </c>
      <c r="AR2445" s="1">
        <v>1076.0</v>
      </c>
      <c r="AS2445" s="1">
        <v>178.0</v>
      </c>
      <c r="AT2445" s="1">
        <v>6.045</v>
      </c>
      <c r="AU2445" s="1">
        <v>64.286</v>
      </c>
      <c r="AV2445" s="1" t="s">
        <v>990</v>
      </c>
      <c r="AW2445" s="1">
        <v>4.572</v>
      </c>
      <c r="AX2445" s="1">
        <v>5.0</v>
      </c>
      <c r="AY2445" s="1">
        <v>1.0</v>
      </c>
      <c r="AZ2445" s="1">
        <v>1.0</v>
      </c>
      <c r="BA2445" s="1">
        <v>3.0</v>
      </c>
      <c r="BB2445" s="1">
        <v>3.0</v>
      </c>
      <c r="BC2445" s="1">
        <v>0.0</v>
      </c>
      <c r="BD2445" s="1">
        <v>0.4</v>
      </c>
      <c r="BE2445" s="1">
        <v>129.0</v>
      </c>
      <c r="BF2445" s="1">
        <v>47.0</v>
      </c>
      <c r="BG2445" s="1">
        <v>0.0</v>
      </c>
      <c r="BH2445" s="1">
        <v>16.0</v>
      </c>
      <c r="BI2445" s="1">
        <v>8.0</v>
      </c>
      <c r="BJ2445" s="1">
        <v>0.0</v>
      </c>
      <c r="BO2445" s="1" t="s">
        <v>7742</v>
      </c>
      <c r="BP2445" s="1">
        <v>1.048</v>
      </c>
      <c r="BU2445" s="1" t="s">
        <v>974</v>
      </c>
      <c r="BV2445" s="1">
        <v>1.1</v>
      </c>
      <c r="EQ2445" s="9" t="s">
        <v>7738</v>
      </c>
      <c r="ER2445" s="21">
        <v>46045.3025462963</v>
      </c>
    </row>
    <row r="2446">
      <c r="A2446" s="9" t="s">
        <v>7743</v>
      </c>
      <c r="B2446" s="20" t="str">
        <f>IFERROR(__xludf.DUMMYFUNCTION("REGEXREPLACE(A2446, ""^https?://[^/]+"", """")"),"/wp-content/uploads/2016/04/sales-compensation-plan-part-2.jpg")</f>
        <v>/wp-content/uploads/2016/04/sales-compensation-plan-part-2.jpg</v>
      </c>
      <c r="F2446" s="1" t="s">
        <v>1004</v>
      </c>
      <c r="G2446" s="1">
        <v>200.0</v>
      </c>
      <c r="H2446" s="1" t="s">
        <v>966</v>
      </c>
      <c r="I2446" s="1" t="s">
        <v>967</v>
      </c>
      <c r="L2446" s="1">
        <v>0.0</v>
      </c>
      <c r="M2446" s="1">
        <v>0.0</v>
      </c>
      <c r="O2446" s="1">
        <v>0.0</v>
      </c>
      <c r="P2446" s="1">
        <v>0.0</v>
      </c>
      <c r="R2446" s="1">
        <v>0.0</v>
      </c>
      <c r="S2446" s="1">
        <v>0.0</v>
      </c>
      <c r="U2446" s="1">
        <v>0.0</v>
      </c>
      <c r="W2446" s="1">
        <v>0.0</v>
      </c>
      <c r="Y2446" s="1">
        <v>0.0</v>
      </c>
      <c r="AA2446" s="1">
        <v>0.0</v>
      </c>
      <c r="AC2446" s="1">
        <v>0.0</v>
      </c>
      <c r="AM2446" s="1">
        <v>58078.0</v>
      </c>
      <c r="AN2446" s="1">
        <v>58078.0</v>
      </c>
      <c r="AO2446" s="1">
        <v>58078.0</v>
      </c>
      <c r="AP2446" s="1">
        <v>22.249</v>
      </c>
      <c r="AR2446" s="1">
        <v>0.0</v>
      </c>
      <c r="AW2446" s="1">
        <v>0.0</v>
      </c>
      <c r="AX2446" s="1">
        <v>5.0</v>
      </c>
      <c r="AY2446" s="1">
        <v>4.0</v>
      </c>
      <c r="BA2446" s="1">
        <v>0.0</v>
      </c>
      <c r="BB2446" s="1">
        <v>0.0</v>
      </c>
      <c r="BC2446" s="1">
        <v>0.0</v>
      </c>
      <c r="BD2446" s="1">
        <v>0.0</v>
      </c>
      <c r="BE2446" s="1">
        <v>0.0</v>
      </c>
      <c r="BF2446" s="1">
        <v>0.0</v>
      </c>
      <c r="BG2446" s="1">
        <v>0.0</v>
      </c>
      <c r="BH2446" s="1">
        <v>0.0</v>
      </c>
      <c r="BI2446" s="1">
        <v>0.0</v>
      </c>
      <c r="BJ2446" s="1">
        <v>0.0</v>
      </c>
      <c r="BP2446" s="1">
        <v>0.269</v>
      </c>
      <c r="BQ2446" s="1" t="s">
        <v>7744</v>
      </c>
      <c r="BV2446" s="1">
        <v>1.1</v>
      </c>
      <c r="EQ2446" s="9" t="s">
        <v>7743</v>
      </c>
      <c r="ER2446" s="21">
        <v>46045.30255787037</v>
      </c>
    </row>
    <row r="2447">
      <c r="A2447" s="9" t="s">
        <v>7745</v>
      </c>
      <c r="B2447" s="20" t="str">
        <f>IFERROR(__xludf.DUMMYFUNCTION("REGEXREPLACE(A2447, ""^https?://[^/]+"", """")"),"/sales-career-shift-making-difference-outsourced-sales-consultant/")</f>
        <v>/sales-career-shift-making-difference-outsourced-sales-consultant/</v>
      </c>
      <c r="C2447" s="1" t="s">
        <v>7746</v>
      </c>
      <c r="F2447" s="1" t="s">
        <v>965</v>
      </c>
      <c r="G2447" s="1">
        <v>200.0</v>
      </c>
      <c r="H2447" s="1" t="s">
        <v>966</v>
      </c>
      <c r="I2447" s="1" t="s">
        <v>967</v>
      </c>
      <c r="K2447" s="1" t="s">
        <v>7747</v>
      </c>
      <c r="L2447" s="1">
        <v>53.0</v>
      </c>
      <c r="M2447" s="1">
        <v>496.0</v>
      </c>
      <c r="O2447" s="1">
        <v>0.0</v>
      </c>
      <c r="P2447" s="1">
        <v>0.0</v>
      </c>
      <c r="Q2447" s="1" t="s">
        <v>7748</v>
      </c>
      <c r="R2447" s="1">
        <v>143.0</v>
      </c>
      <c r="S2447" s="1">
        <v>888.0</v>
      </c>
      <c r="U2447" s="1">
        <v>0.0</v>
      </c>
      <c r="V2447" s="1" t="s">
        <v>7746</v>
      </c>
      <c r="W2447" s="1">
        <v>73.0</v>
      </c>
      <c r="Y2447" s="1">
        <v>0.0</v>
      </c>
      <c r="AA2447" s="1">
        <v>0.0</v>
      </c>
      <c r="AC2447" s="1">
        <v>0.0</v>
      </c>
      <c r="AD2447" s="1" t="s">
        <v>971</v>
      </c>
      <c r="AG2447" s="9" t="s">
        <v>7745</v>
      </c>
      <c r="AM2447" s="1">
        <v>204596.0</v>
      </c>
      <c r="AN2447" s="1">
        <v>36768.0</v>
      </c>
      <c r="AO2447" s="1">
        <v>36768.0</v>
      </c>
      <c r="AP2447" s="1">
        <v>14.085</v>
      </c>
      <c r="AR2447" s="1">
        <v>1622.0</v>
      </c>
      <c r="AS2447" s="1">
        <v>231.0</v>
      </c>
      <c r="AT2447" s="1">
        <v>7.022</v>
      </c>
      <c r="AU2447" s="1">
        <v>63.263</v>
      </c>
      <c r="AV2447" s="1" t="s">
        <v>990</v>
      </c>
      <c r="AW2447" s="1">
        <v>6.104</v>
      </c>
      <c r="AX2447" s="1">
        <v>5.0</v>
      </c>
      <c r="AY2447" s="1">
        <v>1.0</v>
      </c>
      <c r="AZ2447" s="1">
        <v>1.0</v>
      </c>
      <c r="BA2447" s="1">
        <v>6.0</v>
      </c>
      <c r="BB2447" s="1">
        <v>6.0</v>
      </c>
      <c r="BC2447" s="1">
        <v>0.0</v>
      </c>
      <c r="BD2447" s="1">
        <v>0.8</v>
      </c>
      <c r="BE2447" s="1">
        <v>131.0</v>
      </c>
      <c r="BF2447" s="1">
        <v>48.0</v>
      </c>
      <c r="BG2447" s="1">
        <v>0.0</v>
      </c>
      <c r="BH2447" s="1">
        <v>16.0</v>
      </c>
      <c r="BI2447" s="1">
        <v>8.0</v>
      </c>
      <c r="BJ2447" s="1">
        <v>0.0</v>
      </c>
      <c r="BO2447" s="1" t="s">
        <v>7749</v>
      </c>
      <c r="BP2447" s="1">
        <v>1.527</v>
      </c>
      <c r="BU2447" s="1" t="s">
        <v>974</v>
      </c>
      <c r="BV2447" s="1">
        <v>1.1</v>
      </c>
      <c r="EQ2447" s="9" t="s">
        <v>7745</v>
      </c>
      <c r="ER2447" s="21">
        <v>46045.3025462963</v>
      </c>
    </row>
    <row r="2448">
      <c r="A2448" s="9" t="s">
        <v>7750</v>
      </c>
      <c r="B2448" s="20" t="str">
        <f>IFERROR(__xludf.DUMMYFUNCTION("REGEXREPLACE(A2448, ""^https?://[^/]+"", """")"),"/wp-content/themes/salesxceleratione/assets/css/style.css?ver=1769123644")</f>
        <v>/wp-content/themes/salesxceleratione/assets/css/style.css?ver=1769123644</v>
      </c>
      <c r="F2448" s="1" t="s">
        <v>1016</v>
      </c>
      <c r="G2448" s="1">
        <v>200.0</v>
      </c>
      <c r="H2448" s="1" t="s">
        <v>966</v>
      </c>
      <c r="I2448" s="1" t="s">
        <v>967</v>
      </c>
      <c r="L2448" s="1">
        <v>0.0</v>
      </c>
      <c r="M2448" s="1">
        <v>0.0</v>
      </c>
      <c r="O2448" s="1">
        <v>0.0</v>
      </c>
      <c r="P2448" s="1">
        <v>0.0</v>
      </c>
      <c r="R2448" s="1">
        <v>0.0</v>
      </c>
      <c r="S2448" s="1">
        <v>0.0</v>
      </c>
      <c r="U2448" s="1">
        <v>0.0</v>
      </c>
      <c r="W2448" s="1">
        <v>0.0</v>
      </c>
      <c r="Y2448" s="1">
        <v>0.0</v>
      </c>
      <c r="AA2448" s="1">
        <v>0.0</v>
      </c>
      <c r="AC2448" s="1">
        <v>0.0</v>
      </c>
      <c r="AM2448" s="1">
        <v>17704.0</v>
      </c>
      <c r="AN2448" s="1">
        <v>17704.0</v>
      </c>
      <c r="AO2448" s="1">
        <v>17704.0</v>
      </c>
      <c r="AP2448" s="1">
        <v>6.782</v>
      </c>
      <c r="AR2448" s="1">
        <v>0.0</v>
      </c>
      <c r="AW2448" s="1">
        <v>0.0</v>
      </c>
      <c r="AX2448" s="1">
        <v>5.0</v>
      </c>
      <c r="AY2448" s="1">
        <v>5.0</v>
      </c>
      <c r="BA2448" s="1">
        <v>0.0</v>
      </c>
      <c r="BB2448" s="1">
        <v>0.0</v>
      </c>
      <c r="BC2448" s="1">
        <v>0.0</v>
      </c>
      <c r="BD2448" s="1">
        <v>0.0</v>
      </c>
      <c r="BE2448" s="1">
        <v>0.0</v>
      </c>
      <c r="BF2448" s="1">
        <v>0.0</v>
      </c>
      <c r="BG2448" s="1">
        <v>0.0</v>
      </c>
      <c r="BH2448" s="1">
        <v>0.0</v>
      </c>
      <c r="BI2448" s="1">
        <v>0.0</v>
      </c>
      <c r="BJ2448" s="1">
        <v>0.0</v>
      </c>
      <c r="BP2448" s="1">
        <v>0.264</v>
      </c>
      <c r="BQ2448" s="1" t="s">
        <v>7751</v>
      </c>
      <c r="BV2448" s="1">
        <v>1.1</v>
      </c>
      <c r="EQ2448" s="9" t="s">
        <v>7750</v>
      </c>
      <c r="ER2448" s="21">
        <v>46045.302569444444</v>
      </c>
    </row>
    <row r="2449">
      <c r="A2449" s="9" t="s">
        <v>7752</v>
      </c>
      <c r="B2449" s="20" t="str">
        <f>IFERROR(__xludf.DUMMYFUNCTION("REGEXREPLACE(A2449, ""^https?://[^/]+"", """")"),"/author/dmcmahan/")</f>
        <v>/author/dmcmahan/</v>
      </c>
      <c r="C2449" s="1" t="s">
        <v>7753</v>
      </c>
      <c r="F2449" s="1" t="s">
        <v>965</v>
      </c>
      <c r="G2449" s="1">
        <v>200.0</v>
      </c>
      <c r="H2449" s="1" t="s">
        <v>966</v>
      </c>
      <c r="I2449" s="1" t="s">
        <v>967</v>
      </c>
      <c r="K2449" s="1" t="s">
        <v>7754</v>
      </c>
      <c r="L2449" s="1">
        <v>40.0</v>
      </c>
      <c r="M2449" s="1">
        <v>381.0</v>
      </c>
      <c r="O2449" s="1">
        <v>0.0</v>
      </c>
      <c r="P2449" s="1">
        <v>0.0</v>
      </c>
      <c r="R2449" s="1">
        <v>0.0</v>
      </c>
      <c r="S2449" s="1">
        <v>0.0</v>
      </c>
      <c r="U2449" s="1">
        <v>0.0</v>
      </c>
      <c r="V2449" s="1" t="s">
        <v>7753</v>
      </c>
      <c r="W2449" s="1">
        <v>11.0</v>
      </c>
      <c r="Y2449" s="1">
        <v>0.0</v>
      </c>
      <c r="AA2449" s="1">
        <v>0.0</v>
      </c>
      <c r="AC2449" s="1">
        <v>0.0</v>
      </c>
      <c r="AD2449" s="1" t="s">
        <v>971</v>
      </c>
      <c r="AG2449" s="9" t="s">
        <v>7752</v>
      </c>
      <c r="AM2449" s="1">
        <v>161072.0</v>
      </c>
      <c r="AN2449" s="1">
        <v>30850.0</v>
      </c>
      <c r="AO2449" s="1">
        <v>30850.0</v>
      </c>
      <c r="AP2449" s="1">
        <v>11.818</v>
      </c>
      <c r="AR2449" s="1">
        <v>769.0</v>
      </c>
      <c r="AS2449" s="1">
        <v>123.0</v>
      </c>
      <c r="AT2449" s="1">
        <v>6.252</v>
      </c>
      <c r="AU2449" s="1">
        <v>67.043</v>
      </c>
      <c r="AV2449" s="1" t="s">
        <v>990</v>
      </c>
      <c r="AW2449" s="1">
        <v>4.363</v>
      </c>
      <c r="AX2449" s="1">
        <v>5.0</v>
      </c>
      <c r="AY2449" s="1">
        <v>2.0</v>
      </c>
      <c r="AZ2449" s="1">
        <v>1.0</v>
      </c>
      <c r="BA2449" s="1">
        <v>18.0</v>
      </c>
      <c r="BB2449" s="1">
        <v>6.0</v>
      </c>
      <c r="BC2449" s="1">
        <v>0.0</v>
      </c>
      <c r="BD2449" s="1">
        <v>0.8</v>
      </c>
      <c r="BE2449" s="1">
        <v>140.0</v>
      </c>
      <c r="BF2449" s="1">
        <v>48.0</v>
      </c>
      <c r="BG2449" s="1">
        <v>0.0</v>
      </c>
      <c r="BH2449" s="1">
        <v>16.0</v>
      </c>
      <c r="BI2449" s="1">
        <v>8.0</v>
      </c>
      <c r="BJ2449" s="1">
        <v>0.0</v>
      </c>
      <c r="BO2449" s="1" t="s">
        <v>7755</v>
      </c>
      <c r="BP2449" s="1">
        <v>1.015</v>
      </c>
      <c r="BU2449" s="1" t="s">
        <v>974</v>
      </c>
      <c r="BV2449" s="1">
        <v>1.1</v>
      </c>
      <c r="EQ2449" s="9" t="s">
        <v>7752</v>
      </c>
      <c r="ER2449" s="21">
        <v>46045.30255787037</v>
      </c>
    </row>
    <row r="2450">
      <c r="A2450" s="9" t="s">
        <v>7756</v>
      </c>
      <c r="B2450" s="20" t="str">
        <f>IFERROR(__xludf.DUMMYFUNCTION("REGEXREPLACE(A2450, ""^https?://[^/]+"", """")"),"/new-year-compensation-plan-reviews/")</f>
        <v>/new-year-compensation-plan-reviews/</v>
      </c>
      <c r="C2450" s="1" t="s">
        <v>7757</v>
      </c>
      <c r="F2450" s="1" t="s">
        <v>965</v>
      </c>
      <c r="G2450" s="1">
        <v>200.0</v>
      </c>
      <c r="H2450" s="1" t="s">
        <v>966</v>
      </c>
      <c r="I2450" s="1" t="s">
        <v>967</v>
      </c>
      <c r="K2450" s="1" t="s">
        <v>7758</v>
      </c>
      <c r="L2450" s="1">
        <v>68.0</v>
      </c>
      <c r="M2450" s="1">
        <v>615.0</v>
      </c>
      <c r="O2450" s="1">
        <v>0.0</v>
      </c>
      <c r="P2450" s="1">
        <v>0.0</v>
      </c>
      <c r="Q2450" s="1" t="s">
        <v>7759</v>
      </c>
      <c r="R2450" s="1">
        <v>151.0</v>
      </c>
      <c r="S2450" s="1">
        <v>939.0</v>
      </c>
      <c r="U2450" s="1">
        <v>0.0</v>
      </c>
      <c r="V2450" s="1" t="s">
        <v>7757</v>
      </c>
      <c r="W2450" s="1">
        <v>43.0</v>
      </c>
      <c r="Y2450" s="1">
        <v>0.0</v>
      </c>
      <c r="AA2450" s="1">
        <v>0.0</v>
      </c>
      <c r="AC2450" s="1">
        <v>0.0</v>
      </c>
      <c r="AD2450" s="1" t="s">
        <v>971</v>
      </c>
      <c r="AG2450" s="9" t="s">
        <v>7756</v>
      </c>
      <c r="AM2450" s="1">
        <v>194881.0</v>
      </c>
      <c r="AN2450" s="1">
        <v>33710.0</v>
      </c>
      <c r="AO2450" s="1">
        <v>33710.0</v>
      </c>
      <c r="AP2450" s="1">
        <v>12.914</v>
      </c>
      <c r="AR2450" s="1">
        <v>625.0</v>
      </c>
      <c r="AS2450" s="1">
        <v>108.0</v>
      </c>
      <c r="AT2450" s="1">
        <v>5.787</v>
      </c>
      <c r="AU2450" s="1">
        <v>63.977</v>
      </c>
      <c r="AV2450" s="1" t="s">
        <v>990</v>
      </c>
      <c r="AW2450" s="1">
        <v>3.194</v>
      </c>
      <c r="AX2450" s="1">
        <v>5.0</v>
      </c>
      <c r="AY2450" s="1">
        <v>1.0</v>
      </c>
      <c r="AZ2450" s="1">
        <v>1.0</v>
      </c>
      <c r="BA2450" s="1">
        <v>8.0</v>
      </c>
      <c r="BB2450" s="1">
        <v>6.0</v>
      </c>
      <c r="BC2450" s="1">
        <v>0.0</v>
      </c>
      <c r="BD2450" s="1">
        <v>0.8</v>
      </c>
      <c r="BE2450" s="1">
        <v>129.0</v>
      </c>
      <c r="BF2450" s="1">
        <v>47.0</v>
      </c>
      <c r="BG2450" s="1">
        <v>0.0</v>
      </c>
      <c r="BH2450" s="1">
        <v>17.0</v>
      </c>
      <c r="BI2450" s="1">
        <v>9.0</v>
      </c>
      <c r="BJ2450" s="1">
        <v>0.0</v>
      </c>
      <c r="BO2450" s="1" t="s">
        <v>7760</v>
      </c>
      <c r="BP2450" s="1">
        <v>1.019</v>
      </c>
      <c r="BU2450" s="1" t="s">
        <v>974</v>
      </c>
      <c r="BV2450" s="1">
        <v>1.1</v>
      </c>
      <c r="EQ2450" s="9" t="s">
        <v>7756</v>
      </c>
      <c r="ER2450" s="21">
        <v>46045.30255787037</v>
      </c>
    </row>
    <row r="2451">
      <c r="A2451" s="9" t="s">
        <v>7761</v>
      </c>
      <c r="B2451" s="20" t="str">
        <f>IFERROR(__xludf.DUMMYFUNCTION("REGEXREPLACE(A2451, ""^https?://[^/]+"", """")"),"/wp-content/uploads/2016/08/Life-support.png")</f>
        <v>/wp-content/uploads/2016/08/Life-support.png</v>
      </c>
      <c r="F2451" s="1" t="s">
        <v>1047</v>
      </c>
      <c r="G2451" s="1">
        <v>200.0</v>
      </c>
      <c r="H2451" s="1" t="s">
        <v>966</v>
      </c>
      <c r="I2451" s="1" t="s">
        <v>967</v>
      </c>
      <c r="L2451" s="1">
        <v>0.0</v>
      </c>
      <c r="M2451" s="1">
        <v>0.0</v>
      </c>
      <c r="O2451" s="1">
        <v>0.0</v>
      </c>
      <c r="P2451" s="1">
        <v>0.0</v>
      </c>
      <c r="R2451" s="1">
        <v>0.0</v>
      </c>
      <c r="S2451" s="1">
        <v>0.0</v>
      </c>
      <c r="U2451" s="1">
        <v>0.0</v>
      </c>
      <c r="W2451" s="1">
        <v>0.0</v>
      </c>
      <c r="Y2451" s="1">
        <v>0.0</v>
      </c>
      <c r="AA2451" s="1">
        <v>0.0</v>
      </c>
      <c r="AC2451" s="1">
        <v>0.0</v>
      </c>
      <c r="AM2451" s="1">
        <v>13214.0</v>
      </c>
      <c r="AN2451" s="1">
        <v>13214.0</v>
      </c>
      <c r="AO2451" s="1">
        <v>13214.0</v>
      </c>
      <c r="AP2451" s="1">
        <v>5.062</v>
      </c>
      <c r="AR2451" s="1">
        <v>0.0</v>
      </c>
      <c r="AW2451" s="1">
        <v>0.0</v>
      </c>
      <c r="AX2451" s="1">
        <v>5.0</v>
      </c>
      <c r="AY2451" s="1">
        <v>4.0</v>
      </c>
      <c r="BA2451" s="1">
        <v>0.0</v>
      </c>
      <c r="BB2451" s="1">
        <v>0.0</v>
      </c>
      <c r="BC2451" s="1">
        <v>0.0</v>
      </c>
      <c r="BD2451" s="1">
        <v>0.0</v>
      </c>
      <c r="BE2451" s="1">
        <v>0.0</v>
      </c>
      <c r="BF2451" s="1">
        <v>0.0</v>
      </c>
      <c r="BG2451" s="1">
        <v>0.0</v>
      </c>
      <c r="BH2451" s="1">
        <v>0.0</v>
      </c>
      <c r="BI2451" s="1">
        <v>0.0</v>
      </c>
      <c r="BJ2451" s="1">
        <v>0.0</v>
      </c>
      <c r="BP2451" s="1">
        <v>0.261</v>
      </c>
      <c r="BQ2451" s="1" t="s">
        <v>7762</v>
      </c>
      <c r="BV2451" s="1">
        <v>1.1</v>
      </c>
      <c r="EQ2451" s="9" t="s">
        <v>7761</v>
      </c>
      <c r="ER2451" s="21">
        <v>46045.302569444444</v>
      </c>
    </row>
    <row r="2452">
      <c r="A2452" s="9" t="s">
        <v>7763</v>
      </c>
      <c r="B2452" s="20" t="str">
        <f>IFERROR(__xludf.DUMMYFUNCTION("REGEXREPLACE(A2452, ""^https?://[^/]+"", """")"),"/wp-content/themes/salesxceleratione/assets/css/style.css?ver=1769123671")</f>
        <v>/wp-content/themes/salesxceleratione/assets/css/style.css?ver=1769123671</v>
      </c>
      <c r="F2452" s="1" t="s">
        <v>1016</v>
      </c>
      <c r="G2452" s="1">
        <v>200.0</v>
      </c>
      <c r="H2452" s="1" t="s">
        <v>966</v>
      </c>
      <c r="I2452" s="1" t="s">
        <v>967</v>
      </c>
      <c r="L2452" s="1">
        <v>0.0</v>
      </c>
      <c r="M2452" s="1">
        <v>0.0</v>
      </c>
      <c r="O2452" s="1">
        <v>0.0</v>
      </c>
      <c r="P2452" s="1">
        <v>0.0</v>
      </c>
      <c r="R2452" s="1">
        <v>0.0</v>
      </c>
      <c r="S2452" s="1">
        <v>0.0</v>
      </c>
      <c r="U2452" s="1">
        <v>0.0</v>
      </c>
      <c r="W2452" s="1">
        <v>0.0</v>
      </c>
      <c r="Y2452" s="1">
        <v>0.0</v>
      </c>
      <c r="AA2452" s="1">
        <v>0.0</v>
      </c>
      <c r="AC2452" s="1">
        <v>0.0</v>
      </c>
      <c r="AM2452" s="1">
        <v>17704.0</v>
      </c>
      <c r="AN2452" s="1">
        <v>17704.0</v>
      </c>
      <c r="AO2452" s="1">
        <v>17704.0</v>
      </c>
      <c r="AP2452" s="1">
        <v>6.782</v>
      </c>
      <c r="AR2452" s="1">
        <v>0.0</v>
      </c>
      <c r="AW2452" s="1">
        <v>0.0</v>
      </c>
      <c r="AX2452" s="1">
        <v>5.0</v>
      </c>
      <c r="AY2452" s="1">
        <v>5.0</v>
      </c>
      <c r="BA2452" s="1">
        <v>0.0</v>
      </c>
      <c r="BB2452" s="1">
        <v>0.0</v>
      </c>
      <c r="BC2452" s="1">
        <v>0.0</v>
      </c>
      <c r="BD2452" s="1">
        <v>0.0</v>
      </c>
      <c r="BE2452" s="1">
        <v>0.0</v>
      </c>
      <c r="BF2452" s="1">
        <v>0.0</v>
      </c>
      <c r="BG2452" s="1">
        <v>0.0</v>
      </c>
      <c r="BH2452" s="1">
        <v>0.0</v>
      </c>
      <c r="BI2452" s="1">
        <v>0.0</v>
      </c>
      <c r="BJ2452" s="1">
        <v>0.0</v>
      </c>
      <c r="BP2452" s="1">
        <v>0.28</v>
      </c>
      <c r="BQ2452" s="1" t="s">
        <v>7751</v>
      </c>
      <c r="BV2452" s="1">
        <v>1.1</v>
      </c>
      <c r="EQ2452" s="9" t="s">
        <v>7763</v>
      </c>
      <c r="ER2452" s="21">
        <v>46045.302569444444</v>
      </c>
    </row>
    <row r="2453">
      <c r="A2453" s="9" t="s">
        <v>7764</v>
      </c>
      <c r="B2453" s="20" t="str">
        <f>IFERROR(__xludf.DUMMYFUNCTION("REGEXREPLACE(A2453, ""^https?://[^/]+"", """")"),"/wp-content/uploads/2017/10/Senior-Advisor.jpg")</f>
        <v>/wp-content/uploads/2017/10/Senior-Advisor.jpg</v>
      </c>
      <c r="F2453" s="1" t="s">
        <v>1004</v>
      </c>
      <c r="G2453" s="1">
        <v>200.0</v>
      </c>
      <c r="H2453" s="1" t="s">
        <v>966</v>
      </c>
      <c r="I2453" s="1" t="s">
        <v>967</v>
      </c>
      <c r="L2453" s="1">
        <v>0.0</v>
      </c>
      <c r="M2453" s="1">
        <v>0.0</v>
      </c>
      <c r="O2453" s="1">
        <v>0.0</v>
      </c>
      <c r="P2453" s="1">
        <v>0.0</v>
      </c>
      <c r="R2453" s="1">
        <v>0.0</v>
      </c>
      <c r="S2453" s="1">
        <v>0.0</v>
      </c>
      <c r="U2453" s="1">
        <v>0.0</v>
      </c>
      <c r="W2453" s="1">
        <v>0.0</v>
      </c>
      <c r="Y2453" s="1">
        <v>0.0</v>
      </c>
      <c r="AA2453" s="1">
        <v>0.0</v>
      </c>
      <c r="AC2453" s="1">
        <v>0.0</v>
      </c>
      <c r="AM2453" s="1">
        <v>31247.0</v>
      </c>
      <c r="AN2453" s="1">
        <v>31247.0</v>
      </c>
      <c r="AO2453" s="1">
        <v>31247.0</v>
      </c>
      <c r="AP2453" s="1">
        <v>11.97</v>
      </c>
      <c r="AR2453" s="1">
        <v>0.0</v>
      </c>
      <c r="AW2453" s="1">
        <v>0.0</v>
      </c>
      <c r="AX2453" s="1">
        <v>5.0</v>
      </c>
      <c r="AY2453" s="1">
        <v>4.0</v>
      </c>
      <c r="BA2453" s="1">
        <v>0.0</v>
      </c>
      <c r="BB2453" s="1">
        <v>0.0</v>
      </c>
      <c r="BC2453" s="1">
        <v>0.0</v>
      </c>
      <c r="BD2453" s="1">
        <v>0.0</v>
      </c>
      <c r="BE2453" s="1">
        <v>0.0</v>
      </c>
      <c r="BF2453" s="1">
        <v>0.0</v>
      </c>
      <c r="BG2453" s="1">
        <v>0.0</v>
      </c>
      <c r="BH2453" s="1">
        <v>0.0</v>
      </c>
      <c r="BI2453" s="1">
        <v>0.0</v>
      </c>
      <c r="BJ2453" s="1">
        <v>0.0</v>
      </c>
      <c r="BP2453" s="1">
        <v>0.278</v>
      </c>
      <c r="BQ2453" s="1" t="s">
        <v>7765</v>
      </c>
      <c r="BV2453" s="1">
        <v>1.1</v>
      </c>
      <c r="EQ2453" s="9" t="s">
        <v>7764</v>
      </c>
      <c r="ER2453" s="21">
        <v>46045.302569444444</v>
      </c>
    </row>
    <row r="2454">
      <c r="A2454" s="9" t="s">
        <v>7766</v>
      </c>
      <c r="B2454" s="20" t="str">
        <f>IFERROR(__xludf.DUMMYFUNCTION("REGEXREPLACE(A2454, ""^https?://[^/]+"", """")"),"/wp-content/themes/salesxceleratione/assets/css/style.css?ver=1769123670")</f>
        <v>/wp-content/themes/salesxceleratione/assets/css/style.css?ver=1769123670</v>
      </c>
      <c r="F2454" s="1" t="s">
        <v>1016</v>
      </c>
      <c r="G2454" s="1">
        <v>200.0</v>
      </c>
      <c r="H2454" s="1" t="s">
        <v>966</v>
      </c>
      <c r="I2454" s="1" t="s">
        <v>967</v>
      </c>
      <c r="L2454" s="1">
        <v>0.0</v>
      </c>
      <c r="M2454" s="1">
        <v>0.0</v>
      </c>
      <c r="O2454" s="1">
        <v>0.0</v>
      </c>
      <c r="P2454" s="1">
        <v>0.0</v>
      </c>
      <c r="R2454" s="1">
        <v>0.0</v>
      </c>
      <c r="S2454" s="1">
        <v>0.0</v>
      </c>
      <c r="U2454" s="1">
        <v>0.0</v>
      </c>
      <c r="W2454" s="1">
        <v>0.0</v>
      </c>
      <c r="Y2454" s="1">
        <v>0.0</v>
      </c>
      <c r="AA2454" s="1">
        <v>0.0</v>
      </c>
      <c r="AC2454" s="1">
        <v>0.0</v>
      </c>
      <c r="AM2454" s="1">
        <v>17704.0</v>
      </c>
      <c r="AN2454" s="1">
        <v>17704.0</v>
      </c>
      <c r="AO2454" s="1">
        <v>17704.0</v>
      </c>
      <c r="AP2454" s="1">
        <v>6.782</v>
      </c>
      <c r="AR2454" s="1">
        <v>0.0</v>
      </c>
      <c r="AW2454" s="1">
        <v>0.0</v>
      </c>
      <c r="AX2454" s="1">
        <v>5.0</v>
      </c>
      <c r="AY2454" s="1">
        <v>5.0</v>
      </c>
      <c r="BA2454" s="1">
        <v>0.0</v>
      </c>
      <c r="BB2454" s="1">
        <v>0.0</v>
      </c>
      <c r="BC2454" s="1">
        <v>0.0</v>
      </c>
      <c r="BD2454" s="1">
        <v>0.0</v>
      </c>
      <c r="BE2454" s="1">
        <v>0.0</v>
      </c>
      <c r="BF2454" s="1">
        <v>0.0</v>
      </c>
      <c r="BG2454" s="1">
        <v>0.0</v>
      </c>
      <c r="BH2454" s="1">
        <v>0.0</v>
      </c>
      <c r="BI2454" s="1">
        <v>0.0</v>
      </c>
      <c r="BJ2454" s="1">
        <v>0.0</v>
      </c>
      <c r="BP2454" s="1">
        <v>0.259</v>
      </c>
      <c r="BQ2454" s="1" t="s">
        <v>6838</v>
      </c>
      <c r="BV2454" s="1">
        <v>1.1</v>
      </c>
      <c r="EQ2454" s="9" t="s">
        <v>7766</v>
      </c>
      <c r="ER2454" s="21">
        <v>46045.302569444444</v>
      </c>
    </row>
    <row r="2455">
      <c r="A2455" s="9" t="s">
        <v>7767</v>
      </c>
      <c r="B2455" s="20" t="str">
        <f>IFERROR(__xludf.DUMMYFUNCTION("REGEXREPLACE(A2455, ""^https?://[^/]+"", """")"),"/wp-content/uploads/2020/05/Satisfied-Happy-Businessman-scaled-1.jpg")</f>
        <v>/wp-content/uploads/2020/05/Satisfied-Happy-Businessman-scaled-1.jpg</v>
      </c>
      <c r="F2455" s="1" t="s">
        <v>1004</v>
      </c>
      <c r="G2455" s="1">
        <v>200.0</v>
      </c>
      <c r="H2455" s="1" t="s">
        <v>966</v>
      </c>
      <c r="I2455" s="1" t="s">
        <v>967</v>
      </c>
      <c r="L2455" s="1">
        <v>0.0</v>
      </c>
      <c r="M2455" s="1">
        <v>0.0</v>
      </c>
      <c r="O2455" s="1">
        <v>0.0</v>
      </c>
      <c r="P2455" s="1">
        <v>0.0</v>
      </c>
      <c r="R2455" s="1">
        <v>0.0</v>
      </c>
      <c r="S2455" s="1">
        <v>0.0</v>
      </c>
      <c r="U2455" s="1">
        <v>0.0</v>
      </c>
      <c r="W2455" s="1">
        <v>0.0</v>
      </c>
      <c r="Y2455" s="1">
        <v>0.0</v>
      </c>
      <c r="AA2455" s="1">
        <v>0.0</v>
      </c>
      <c r="AC2455" s="1">
        <v>0.0</v>
      </c>
      <c r="AM2455" s="1">
        <v>220434.0</v>
      </c>
      <c r="AN2455" s="1">
        <v>220434.0</v>
      </c>
      <c r="AO2455" s="1">
        <v>220434.0</v>
      </c>
      <c r="AP2455" s="1">
        <v>84.444</v>
      </c>
      <c r="AR2455" s="1">
        <v>0.0</v>
      </c>
      <c r="AW2455" s="1">
        <v>0.0</v>
      </c>
      <c r="AX2455" s="1">
        <v>5.0</v>
      </c>
      <c r="AY2455" s="1">
        <v>4.0</v>
      </c>
      <c r="BA2455" s="1">
        <v>0.0</v>
      </c>
      <c r="BB2455" s="1">
        <v>0.0</v>
      </c>
      <c r="BC2455" s="1">
        <v>0.0</v>
      </c>
      <c r="BD2455" s="1">
        <v>0.0</v>
      </c>
      <c r="BE2455" s="1">
        <v>0.0</v>
      </c>
      <c r="BF2455" s="1">
        <v>0.0</v>
      </c>
      <c r="BG2455" s="1">
        <v>0.0</v>
      </c>
      <c r="BH2455" s="1">
        <v>0.0</v>
      </c>
      <c r="BI2455" s="1">
        <v>0.0</v>
      </c>
      <c r="BJ2455" s="1">
        <v>0.0</v>
      </c>
      <c r="BP2455" s="1">
        <v>0.273</v>
      </c>
      <c r="BQ2455" s="1" t="s">
        <v>7768</v>
      </c>
      <c r="BV2455" s="1">
        <v>1.1</v>
      </c>
      <c r="EQ2455" s="9" t="s">
        <v>7767</v>
      </c>
      <c r="ER2455" s="21">
        <v>46045.30258101852</v>
      </c>
    </row>
    <row r="2456">
      <c r="A2456" s="9" t="s">
        <v>7769</v>
      </c>
      <c r="B2456" s="20" t="str">
        <f>IFERROR(__xludf.DUMMYFUNCTION("REGEXREPLACE(A2456, ""^https?://[^/]+"", """")"),"/wp-content/uploads/2020/04/Man-Working-in-Home-Office1.jpg")</f>
        <v>/wp-content/uploads/2020/04/Man-Working-in-Home-Office1.jpg</v>
      </c>
      <c r="F2456" s="1" t="s">
        <v>1004</v>
      </c>
      <c r="G2456" s="1">
        <v>200.0</v>
      </c>
      <c r="H2456" s="1" t="s">
        <v>966</v>
      </c>
      <c r="I2456" s="1" t="s">
        <v>967</v>
      </c>
      <c r="L2456" s="1">
        <v>0.0</v>
      </c>
      <c r="M2456" s="1">
        <v>0.0</v>
      </c>
      <c r="O2456" s="1">
        <v>0.0</v>
      </c>
      <c r="P2456" s="1">
        <v>0.0</v>
      </c>
      <c r="R2456" s="1">
        <v>0.0</v>
      </c>
      <c r="S2456" s="1">
        <v>0.0</v>
      </c>
      <c r="U2456" s="1">
        <v>0.0</v>
      </c>
      <c r="W2456" s="1">
        <v>0.0</v>
      </c>
      <c r="Y2456" s="1">
        <v>0.0</v>
      </c>
      <c r="AA2456" s="1">
        <v>0.0</v>
      </c>
      <c r="AC2456" s="1">
        <v>0.0</v>
      </c>
      <c r="AM2456" s="1">
        <v>149742.0</v>
      </c>
      <c r="AN2456" s="1">
        <v>149742.0</v>
      </c>
      <c r="AO2456" s="1">
        <v>149742.0</v>
      </c>
      <c r="AP2456" s="1">
        <v>57.363</v>
      </c>
      <c r="AR2456" s="1">
        <v>0.0</v>
      </c>
      <c r="AW2456" s="1">
        <v>0.0</v>
      </c>
      <c r="AX2456" s="1">
        <v>5.0</v>
      </c>
      <c r="AY2456" s="1">
        <v>4.0</v>
      </c>
      <c r="BA2456" s="1">
        <v>0.0</v>
      </c>
      <c r="BB2456" s="1">
        <v>0.0</v>
      </c>
      <c r="BC2456" s="1">
        <v>0.0</v>
      </c>
      <c r="BD2456" s="1">
        <v>0.0</v>
      </c>
      <c r="BE2456" s="1">
        <v>0.0</v>
      </c>
      <c r="BF2456" s="1">
        <v>0.0</v>
      </c>
      <c r="BG2456" s="1">
        <v>0.0</v>
      </c>
      <c r="BH2456" s="1">
        <v>0.0</v>
      </c>
      <c r="BI2456" s="1">
        <v>0.0</v>
      </c>
      <c r="BJ2456" s="1">
        <v>0.0</v>
      </c>
      <c r="BP2456" s="1">
        <v>0.275</v>
      </c>
      <c r="BQ2456" s="1" t="s">
        <v>7770</v>
      </c>
      <c r="BV2456" s="1">
        <v>1.1</v>
      </c>
      <c r="EQ2456" s="9" t="s">
        <v>7769</v>
      </c>
      <c r="ER2456" s="21">
        <v>46045.30258101852</v>
      </c>
    </row>
    <row r="2457">
      <c r="A2457" s="9" t="s">
        <v>7771</v>
      </c>
      <c r="B2457" s="20" t="str">
        <f>IFERROR(__xludf.DUMMYFUNCTION("REGEXREPLACE(A2457, ""^https?://[^/]+"", """")"),"/wp-content/uploads/2020/05/Woman-Sales-Leader-Leading-a-Team-scaled-1.jpg")</f>
        <v>/wp-content/uploads/2020/05/Woman-Sales-Leader-Leading-a-Team-scaled-1.jpg</v>
      </c>
      <c r="F2457" s="1" t="s">
        <v>1004</v>
      </c>
      <c r="G2457" s="1">
        <v>200.0</v>
      </c>
      <c r="H2457" s="1" t="s">
        <v>966</v>
      </c>
      <c r="I2457" s="1" t="s">
        <v>967</v>
      </c>
      <c r="L2457" s="1">
        <v>0.0</v>
      </c>
      <c r="M2457" s="1">
        <v>0.0</v>
      </c>
      <c r="O2457" s="1">
        <v>0.0</v>
      </c>
      <c r="P2457" s="1">
        <v>0.0</v>
      </c>
      <c r="R2457" s="1">
        <v>0.0</v>
      </c>
      <c r="S2457" s="1">
        <v>0.0</v>
      </c>
      <c r="U2457" s="1">
        <v>0.0</v>
      </c>
      <c r="W2457" s="1">
        <v>0.0</v>
      </c>
      <c r="Y2457" s="1">
        <v>0.0</v>
      </c>
      <c r="AA2457" s="1">
        <v>0.0</v>
      </c>
      <c r="AC2457" s="1">
        <v>0.0</v>
      </c>
      <c r="AM2457" s="1">
        <v>209236.0</v>
      </c>
      <c r="AN2457" s="1">
        <v>209236.0</v>
      </c>
      <c r="AO2457" s="1">
        <v>209236.0</v>
      </c>
      <c r="AP2457" s="1">
        <v>80.154</v>
      </c>
      <c r="AR2457" s="1">
        <v>0.0</v>
      </c>
      <c r="AW2457" s="1">
        <v>0.0</v>
      </c>
      <c r="AX2457" s="1">
        <v>5.0</v>
      </c>
      <c r="AY2457" s="1">
        <v>4.0</v>
      </c>
      <c r="BA2457" s="1">
        <v>0.0</v>
      </c>
      <c r="BB2457" s="1">
        <v>0.0</v>
      </c>
      <c r="BC2457" s="1">
        <v>0.0</v>
      </c>
      <c r="BD2457" s="1">
        <v>0.0</v>
      </c>
      <c r="BE2457" s="1">
        <v>0.0</v>
      </c>
      <c r="BF2457" s="1">
        <v>0.0</v>
      </c>
      <c r="BG2457" s="1">
        <v>0.0</v>
      </c>
      <c r="BH2457" s="1">
        <v>0.0</v>
      </c>
      <c r="BI2457" s="1">
        <v>0.0</v>
      </c>
      <c r="BJ2457" s="1">
        <v>0.0</v>
      </c>
      <c r="BP2457" s="1">
        <v>0.271</v>
      </c>
      <c r="BQ2457" s="1" t="s">
        <v>7772</v>
      </c>
      <c r="BV2457" s="1">
        <v>1.1</v>
      </c>
      <c r="EQ2457" s="9" t="s">
        <v>7771</v>
      </c>
      <c r="ER2457" s="21">
        <v>46045.30258101852</v>
      </c>
    </row>
    <row r="2458">
      <c r="A2458" s="9" t="s">
        <v>7773</v>
      </c>
      <c r="B2458" s="20" t="str">
        <f>IFERROR(__xludf.DUMMYFUNCTION("REGEXREPLACE(A2458, ""^https?://[^/]+"", """")"),"/wp-content/themes/salesxceleratione/assets/css/style.css?ver=1769123669")</f>
        <v>/wp-content/themes/salesxceleratione/assets/css/style.css?ver=1769123669</v>
      </c>
      <c r="F2458" s="1" t="s">
        <v>1016</v>
      </c>
      <c r="G2458" s="1">
        <v>200.0</v>
      </c>
      <c r="H2458" s="1" t="s">
        <v>966</v>
      </c>
      <c r="I2458" s="1" t="s">
        <v>967</v>
      </c>
      <c r="L2458" s="1">
        <v>0.0</v>
      </c>
      <c r="M2458" s="1">
        <v>0.0</v>
      </c>
      <c r="O2458" s="1">
        <v>0.0</v>
      </c>
      <c r="P2458" s="1">
        <v>0.0</v>
      </c>
      <c r="R2458" s="1">
        <v>0.0</v>
      </c>
      <c r="S2458" s="1">
        <v>0.0</v>
      </c>
      <c r="U2458" s="1">
        <v>0.0</v>
      </c>
      <c r="W2458" s="1">
        <v>0.0</v>
      </c>
      <c r="Y2458" s="1">
        <v>0.0</v>
      </c>
      <c r="AA2458" s="1">
        <v>0.0</v>
      </c>
      <c r="AC2458" s="1">
        <v>0.0</v>
      </c>
      <c r="AM2458" s="1">
        <v>17704.0</v>
      </c>
      <c r="AN2458" s="1">
        <v>17704.0</v>
      </c>
      <c r="AO2458" s="1">
        <v>17704.0</v>
      </c>
      <c r="AP2458" s="1">
        <v>6.782</v>
      </c>
      <c r="AR2458" s="1">
        <v>0.0</v>
      </c>
      <c r="AW2458" s="1">
        <v>0.0</v>
      </c>
      <c r="AX2458" s="1">
        <v>5.0</v>
      </c>
      <c r="AY2458" s="1">
        <v>5.0</v>
      </c>
      <c r="BA2458" s="1">
        <v>0.0</v>
      </c>
      <c r="BB2458" s="1">
        <v>0.0</v>
      </c>
      <c r="BC2458" s="1">
        <v>0.0</v>
      </c>
      <c r="BD2458" s="1">
        <v>0.0</v>
      </c>
      <c r="BE2458" s="1">
        <v>0.0</v>
      </c>
      <c r="BF2458" s="1">
        <v>0.0</v>
      </c>
      <c r="BG2458" s="1">
        <v>0.0</v>
      </c>
      <c r="BH2458" s="1">
        <v>0.0</v>
      </c>
      <c r="BI2458" s="1">
        <v>0.0</v>
      </c>
      <c r="BJ2458" s="1">
        <v>0.0</v>
      </c>
      <c r="BP2458" s="1">
        <v>0.314</v>
      </c>
      <c r="BQ2458" s="1" t="s">
        <v>7774</v>
      </c>
      <c r="BV2458" s="1">
        <v>1.1</v>
      </c>
      <c r="EQ2458" s="9" t="s">
        <v>7773</v>
      </c>
      <c r="ER2458" s="21">
        <v>46045.30258101852</v>
      </c>
    </row>
    <row r="2459">
      <c r="A2459" s="9" t="s">
        <v>7775</v>
      </c>
      <c r="B2459" s="20" t="str">
        <f>IFERROR(__xludf.DUMMYFUNCTION("REGEXREPLACE(A2459, ""^https?://[^/]+"", """")"),"/gray-hair-boosts-consultant-credentials/")</f>
        <v>/gray-hair-boosts-consultant-credentials/</v>
      </c>
      <c r="C2459" s="1" t="s">
        <v>7776</v>
      </c>
      <c r="F2459" s="1" t="s">
        <v>965</v>
      </c>
      <c r="G2459" s="1">
        <v>200.0</v>
      </c>
      <c r="H2459" s="1" t="s">
        <v>966</v>
      </c>
      <c r="I2459" s="1" t="s">
        <v>967</v>
      </c>
      <c r="K2459" s="1" t="s">
        <v>7777</v>
      </c>
      <c r="L2459" s="1">
        <v>68.0</v>
      </c>
      <c r="M2459" s="1">
        <v>616.0</v>
      </c>
      <c r="O2459" s="1">
        <v>0.0</v>
      </c>
      <c r="P2459" s="1">
        <v>0.0</v>
      </c>
      <c r="Q2459" s="1" t="s">
        <v>7778</v>
      </c>
      <c r="R2459" s="1">
        <v>155.0</v>
      </c>
      <c r="S2459" s="1">
        <v>960.0</v>
      </c>
      <c r="U2459" s="1">
        <v>0.0</v>
      </c>
      <c r="V2459" s="1" t="s">
        <v>7776</v>
      </c>
      <c r="W2459" s="1">
        <v>43.0</v>
      </c>
      <c r="Y2459" s="1">
        <v>0.0</v>
      </c>
      <c r="AA2459" s="1">
        <v>0.0</v>
      </c>
      <c r="AC2459" s="1">
        <v>0.0</v>
      </c>
      <c r="AD2459" s="1" t="s">
        <v>971</v>
      </c>
      <c r="AG2459" s="9" t="s">
        <v>7775</v>
      </c>
      <c r="AM2459" s="1">
        <v>202129.0</v>
      </c>
      <c r="AN2459" s="1">
        <v>36174.0</v>
      </c>
      <c r="AO2459" s="1">
        <v>36174.0</v>
      </c>
      <c r="AP2459" s="1">
        <v>13.858</v>
      </c>
      <c r="AR2459" s="1">
        <v>1376.0</v>
      </c>
      <c r="AS2459" s="1">
        <v>197.0</v>
      </c>
      <c r="AT2459" s="1">
        <v>6.985</v>
      </c>
      <c r="AU2459" s="1">
        <v>63.562</v>
      </c>
      <c r="AV2459" s="1" t="s">
        <v>990</v>
      </c>
      <c r="AW2459" s="1">
        <v>5.405</v>
      </c>
      <c r="AX2459" s="1">
        <v>5.0</v>
      </c>
      <c r="AY2459" s="1">
        <v>1.0</v>
      </c>
      <c r="AZ2459" s="1">
        <v>1.0</v>
      </c>
      <c r="BA2459" s="1">
        <v>3.0</v>
      </c>
      <c r="BB2459" s="1">
        <v>3.0</v>
      </c>
      <c r="BC2459" s="1">
        <v>0.0</v>
      </c>
      <c r="BD2459" s="1">
        <v>0.4</v>
      </c>
      <c r="BE2459" s="1">
        <v>130.0</v>
      </c>
      <c r="BF2459" s="1">
        <v>47.0</v>
      </c>
      <c r="BG2459" s="1">
        <v>0.0</v>
      </c>
      <c r="BH2459" s="1">
        <v>17.0</v>
      </c>
      <c r="BI2459" s="1">
        <v>9.0</v>
      </c>
      <c r="BJ2459" s="1">
        <v>0.0</v>
      </c>
      <c r="BO2459" s="1" t="s">
        <v>7779</v>
      </c>
      <c r="BP2459" s="1">
        <v>1.009</v>
      </c>
      <c r="BU2459" s="1" t="s">
        <v>974</v>
      </c>
      <c r="BV2459" s="1">
        <v>1.1</v>
      </c>
      <c r="EQ2459" s="9" t="s">
        <v>7775</v>
      </c>
      <c r="ER2459" s="21">
        <v>46045.302569444444</v>
      </c>
    </row>
    <row r="2460">
      <c r="A2460" s="9" t="s">
        <v>7780</v>
      </c>
      <c r="B2460" s="20" t="str">
        <f>IFERROR(__xludf.DUMMYFUNCTION("REGEXREPLACE(A2460, ""^https?://[^/]+"", """")"),"/wp-content/uploads/elementor/css/post-72431.css?ver=1768862527")</f>
        <v>/wp-content/uploads/elementor/css/post-72431.css?ver=1768862527</v>
      </c>
      <c r="F2460" s="1" t="s">
        <v>1016</v>
      </c>
      <c r="G2460" s="1">
        <v>200.0</v>
      </c>
      <c r="H2460" s="1" t="s">
        <v>966</v>
      </c>
      <c r="I2460" s="1" t="s">
        <v>967</v>
      </c>
      <c r="L2460" s="1">
        <v>0.0</v>
      </c>
      <c r="M2460" s="1">
        <v>0.0</v>
      </c>
      <c r="O2460" s="1">
        <v>0.0</v>
      </c>
      <c r="P2460" s="1">
        <v>0.0</v>
      </c>
      <c r="R2460" s="1">
        <v>0.0</v>
      </c>
      <c r="S2460" s="1">
        <v>0.0</v>
      </c>
      <c r="U2460" s="1">
        <v>0.0</v>
      </c>
      <c r="W2460" s="1">
        <v>0.0</v>
      </c>
      <c r="Y2460" s="1">
        <v>0.0</v>
      </c>
      <c r="AA2460" s="1">
        <v>0.0</v>
      </c>
      <c r="AC2460" s="1">
        <v>0.0</v>
      </c>
      <c r="AM2460" s="1">
        <v>411.0</v>
      </c>
      <c r="AN2460" s="1">
        <v>411.0</v>
      </c>
      <c r="AO2460" s="1">
        <v>411.0</v>
      </c>
      <c r="AP2460" s="1">
        <v>0.157</v>
      </c>
      <c r="AR2460" s="1">
        <v>0.0</v>
      </c>
      <c r="AW2460" s="1">
        <v>0.0</v>
      </c>
      <c r="AX2460" s="1">
        <v>5.0</v>
      </c>
      <c r="AY2460" s="1">
        <v>4.0</v>
      </c>
      <c r="BA2460" s="1">
        <v>0.0</v>
      </c>
      <c r="BB2460" s="1">
        <v>0.0</v>
      </c>
      <c r="BC2460" s="1">
        <v>0.0</v>
      </c>
      <c r="BD2460" s="1">
        <v>0.0</v>
      </c>
      <c r="BE2460" s="1">
        <v>0.0</v>
      </c>
      <c r="BF2460" s="1">
        <v>0.0</v>
      </c>
      <c r="BG2460" s="1">
        <v>0.0</v>
      </c>
      <c r="BH2460" s="1">
        <v>0.0</v>
      </c>
      <c r="BI2460" s="1">
        <v>0.0</v>
      </c>
      <c r="BJ2460" s="1">
        <v>0.0</v>
      </c>
      <c r="BP2460" s="1">
        <v>0.278</v>
      </c>
      <c r="BQ2460" s="1" t="s">
        <v>4491</v>
      </c>
      <c r="BV2460" s="1">
        <v>1.1</v>
      </c>
      <c r="EQ2460" s="9" t="s">
        <v>7780</v>
      </c>
      <c r="ER2460" s="21">
        <v>46045.30258101852</v>
      </c>
    </row>
    <row r="2461">
      <c r="A2461" s="9" t="s">
        <v>7781</v>
      </c>
      <c r="B2461" s="20" t="str">
        <f>IFERROR(__xludf.DUMMYFUNCTION("REGEXREPLACE(A2461, ""^https?://[^/]+"", """")"),"/wp-content/themes/salesxceleratione/assets/css/style.css?ver=1769123668")</f>
        <v>/wp-content/themes/salesxceleratione/assets/css/style.css?ver=1769123668</v>
      </c>
      <c r="F2461" s="1" t="s">
        <v>1016</v>
      </c>
      <c r="G2461" s="1">
        <v>200.0</v>
      </c>
      <c r="H2461" s="1" t="s">
        <v>966</v>
      </c>
      <c r="I2461" s="1" t="s">
        <v>967</v>
      </c>
      <c r="L2461" s="1">
        <v>0.0</v>
      </c>
      <c r="M2461" s="1">
        <v>0.0</v>
      </c>
      <c r="O2461" s="1">
        <v>0.0</v>
      </c>
      <c r="P2461" s="1">
        <v>0.0</v>
      </c>
      <c r="R2461" s="1">
        <v>0.0</v>
      </c>
      <c r="S2461" s="1">
        <v>0.0</v>
      </c>
      <c r="U2461" s="1">
        <v>0.0</v>
      </c>
      <c r="W2461" s="1">
        <v>0.0</v>
      </c>
      <c r="Y2461" s="1">
        <v>0.0</v>
      </c>
      <c r="AA2461" s="1">
        <v>0.0</v>
      </c>
      <c r="AC2461" s="1">
        <v>0.0</v>
      </c>
      <c r="AM2461" s="1">
        <v>17704.0</v>
      </c>
      <c r="AN2461" s="1">
        <v>17704.0</v>
      </c>
      <c r="AO2461" s="1">
        <v>17704.0</v>
      </c>
      <c r="AP2461" s="1">
        <v>6.782</v>
      </c>
      <c r="AR2461" s="1">
        <v>0.0</v>
      </c>
      <c r="AW2461" s="1">
        <v>0.0</v>
      </c>
      <c r="AX2461" s="1">
        <v>5.0</v>
      </c>
      <c r="AY2461" s="1">
        <v>5.0</v>
      </c>
      <c r="BA2461" s="1">
        <v>0.0</v>
      </c>
      <c r="BB2461" s="1">
        <v>0.0</v>
      </c>
      <c r="BC2461" s="1">
        <v>0.0</v>
      </c>
      <c r="BD2461" s="1">
        <v>0.0</v>
      </c>
      <c r="BE2461" s="1">
        <v>0.0</v>
      </c>
      <c r="BF2461" s="1">
        <v>0.0</v>
      </c>
      <c r="BG2461" s="1">
        <v>0.0</v>
      </c>
      <c r="BH2461" s="1">
        <v>0.0</v>
      </c>
      <c r="BI2461" s="1">
        <v>0.0</v>
      </c>
      <c r="BJ2461" s="1">
        <v>0.0</v>
      </c>
      <c r="BP2461" s="1">
        <v>0.264</v>
      </c>
      <c r="BQ2461" s="1" t="s">
        <v>6782</v>
      </c>
      <c r="BV2461" s="1">
        <v>1.1</v>
      </c>
      <c r="EQ2461" s="9" t="s">
        <v>7781</v>
      </c>
      <c r="ER2461" s="21">
        <v>46045.30258101852</v>
      </c>
    </row>
    <row r="2462">
      <c r="A2462" s="9" t="s">
        <v>7782</v>
      </c>
      <c r="B2462" s="20" t="str">
        <f>IFERROR(__xludf.DUMMYFUNCTION("REGEXREPLACE(A2462, ""^https?://[^/]+"", """")"),"/wp-content/uploads/elementor/css/post-71940.css?ver=1768887599")</f>
        <v>/wp-content/uploads/elementor/css/post-71940.css?ver=1768887599</v>
      </c>
      <c r="F2462" s="1" t="s">
        <v>1016</v>
      </c>
      <c r="G2462" s="1">
        <v>200.0</v>
      </c>
      <c r="H2462" s="1" t="s">
        <v>966</v>
      </c>
      <c r="I2462" s="1" t="s">
        <v>967</v>
      </c>
      <c r="L2462" s="1">
        <v>0.0</v>
      </c>
      <c r="M2462" s="1">
        <v>0.0</v>
      </c>
      <c r="O2462" s="1">
        <v>0.0</v>
      </c>
      <c r="P2462" s="1">
        <v>0.0</v>
      </c>
      <c r="R2462" s="1">
        <v>0.0</v>
      </c>
      <c r="S2462" s="1">
        <v>0.0</v>
      </c>
      <c r="U2462" s="1">
        <v>0.0</v>
      </c>
      <c r="W2462" s="1">
        <v>0.0</v>
      </c>
      <c r="Y2462" s="1">
        <v>0.0</v>
      </c>
      <c r="AA2462" s="1">
        <v>0.0</v>
      </c>
      <c r="AC2462" s="1">
        <v>0.0</v>
      </c>
      <c r="AM2462" s="1">
        <v>171.0</v>
      </c>
      <c r="AN2462" s="1">
        <v>171.0</v>
      </c>
      <c r="AO2462" s="1">
        <v>171.0</v>
      </c>
      <c r="AP2462" s="1">
        <v>0.066</v>
      </c>
      <c r="AR2462" s="1">
        <v>0.0</v>
      </c>
      <c r="AW2462" s="1">
        <v>0.0</v>
      </c>
      <c r="AX2462" s="1">
        <v>5.0</v>
      </c>
      <c r="AY2462" s="1">
        <v>4.0</v>
      </c>
      <c r="BA2462" s="1">
        <v>0.0</v>
      </c>
      <c r="BB2462" s="1">
        <v>0.0</v>
      </c>
      <c r="BC2462" s="1">
        <v>0.0</v>
      </c>
      <c r="BD2462" s="1">
        <v>0.0</v>
      </c>
      <c r="BE2462" s="1">
        <v>0.0</v>
      </c>
      <c r="BF2462" s="1">
        <v>0.0</v>
      </c>
      <c r="BG2462" s="1">
        <v>0.0</v>
      </c>
      <c r="BH2462" s="1">
        <v>0.0</v>
      </c>
      <c r="BI2462" s="1">
        <v>0.0</v>
      </c>
      <c r="BJ2462" s="1">
        <v>0.0</v>
      </c>
      <c r="BP2462" s="1">
        <v>0.26</v>
      </c>
      <c r="BQ2462" s="1" t="s">
        <v>7783</v>
      </c>
      <c r="BV2462" s="1">
        <v>1.1</v>
      </c>
      <c r="EQ2462" s="9" t="s">
        <v>7782</v>
      </c>
      <c r="ER2462" s="21">
        <v>46045.30259259259</v>
      </c>
    </row>
    <row r="2463">
      <c r="A2463" s="9" t="s">
        <v>7784</v>
      </c>
      <c r="B2463" s="20" t="str">
        <f>IFERROR(__xludf.DUMMYFUNCTION("REGEXREPLACE(A2463, ""^https?://[^/]+"", """")"),"/wp-content/uploads/2015/03/fishing-grandpa-sales-lessons-family-wisdom.png")</f>
        <v>/wp-content/uploads/2015/03/fishing-grandpa-sales-lessons-family-wisdom.png</v>
      </c>
      <c r="F2463" s="1" t="s">
        <v>1047</v>
      </c>
      <c r="G2463" s="1">
        <v>200.0</v>
      </c>
      <c r="H2463" s="1" t="s">
        <v>966</v>
      </c>
      <c r="I2463" s="1" t="s">
        <v>967</v>
      </c>
      <c r="L2463" s="1">
        <v>0.0</v>
      </c>
      <c r="M2463" s="1">
        <v>0.0</v>
      </c>
      <c r="O2463" s="1">
        <v>0.0</v>
      </c>
      <c r="P2463" s="1">
        <v>0.0</v>
      </c>
      <c r="R2463" s="1">
        <v>0.0</v>
      </c>
      <c r="S2463" s="1">
        <v>0.0</v>
      </c>
      <c r="U2463" s="1">
        <v>0.0</v>
      </c>
      <c r="W2463" s="1">
        <v>0.0</v>
      </c>
      <c r="Y2463" s="1">
        <v>0.0</v>
      </c>
      <c r="AA2463" s="1">
        <v>0.0</v>
      </c>
      <c r="AC2463" s="1">
        <v>0.0</v>
      </c>
      <c r="AM2463" s="1">
        <v>218595.0</v>
      </c>
      <c r="AN2463" s="1">
        <v>218595.0</v>
      </c>
      <c r="AO2463" s="1">
        <v>218595.0</v>
      </c>
      <c r="AP2463" s="1">
        <v>83.74</v>
      </c>
      <c r="AR2463" s="1">
        <v>0.0</v>
      </c>
      <c r="AW2463" s="1">
        <v>0.0</v>
      </c>
      <c r="AX2463" s="1">
        <v>5.0</v>
      </c>
      <c r="AY2463" s="1">
        <v>4.0</v>
      </c>
      <c r="BA2463" s="1">
        <v>0.0</v>
      </c>
      <c r="BB2463" s="1">
        <v>0.0</v>
      </c>
      <c r="BC2463" s="1">
        <v>0.0</v>
      </c>
      <c r="BD2463" s="1">
        <v>0.0</v>
      </c>
      <c r="BE2463" s="1">
        <v>0.0</v>
      </c>
      <c r="BF2463" s="1">
        <v>0.0</v>
      </c>
      <c r="BG2463" s="1">
        <v>0.0</v>
      </c>
      <c r="BH2463" s="1">
        <v>0.0</v>
      </c>
      <c r="BI2463" s="1">
        <v>0.0</v>
      </c>
      <c r="BJ2463" s="1">
        <v>0.0</v>
      </c>
      <c r="BP2463" s="1">
        <v>0.273</v>
      </c>
      <c r="BQ2463" s="1" t="s">
        <v>7785</v>
      </c>
      <c r="BV2463" s="1">
        <v>1.1</v>
      </c>
      <c r="EQ2463" s="9" t="s">
        <v>7784</v>
      </c>
      <c r="ER2463" s="21">
        <v>46045.30259259259</v>
      </c>
    </row>
    <row r="2464">
      <c r="A2464" s="9" t="s">
        <v>7786</v>
      </c>
      <c r="B2464" s="20" t="str">
        <f>IFERROR(__xludf.DUMMYFUNCTION("REGEXREPLACE(A2464, ""^https?://[^/]+"", """")"),"/wp-content/themes/salesxceleratione/assets/css/style.css?ver=1769123667")</f>
        <v>/wp-content/themes/salesxceleratione/assets/css/style.css?ver=1769123667</v>
      </c>
      <c r="F2464" s="1" t="s">
        <v>1016</v>
      </c>
      <c r="G2464" s="1">
        <v>200.0</v>
      </c>
      <c r="H2464" s="1" t="s">
        <v>966</v>
      </c>
      <c r="I2464" s="1" t="s">
        <v>967</v>
      </c>
      <c r="L2464" s="1">
        <v>0.0</v>
      </c>
      <c r="M2464" s="1">
        <v>0.0</v>
      </c>
      <c r="O2464" s="1">
        <v>0.0</v>
      </c>
      <c r="P2464" s="1">
        <v>0.0</v>
      </c>
      <c r="R2464" s="1">
        <v>0.0</v>
      </c>
      <c r="S2464" s="1">
        <v>0.0</v>
      </c>
      <c r="U2464" s="1">
        <v>0.0</v>
      </c>
      <c r="W2464" s="1">
        <v>0.0</v>
      </c>
      <c r="Y2464" s="1">
        <v>0.0</v>
      </c>
      <c r="AA2464" s="1">
        <v>0.0</v>
      </c>
      <c r="AC2464" s="1">
        <v>0.0</v>
      </c>
      <c r="AM2464" s="1">
        <v>17704.0</v>
      </c>
      <c r="AN2464" s="1">
        <v>17704.0</v>
      </c>
      <c r="AO2464" s="1">
        <v>17704.0</v>
      </c>
      <c r="AP2464" s="1">
        <v>6.782</v>
      </c>
      <c r="AR2464" s="1">
        <v>0.0</v>
      </c>
      <c r="AW2464" s="1">
        <v>0.0</v>
      </c>
      <c r="AX2464" s="1">
        <v>5.0</v>
      </c>
      <c r="AY2464" s="1">
        <v>5.0</v>
      </c>
      <c r="BA2464" s="1">
        <v>0.0</v>
      </c>
      <c r="BB2464" s="1">
        <v>0.0</v>
      </c>
      <c r="BC2464" s="1">
        <v>0.0</v>
      </c>
      <c r="BD2464" s="1">
        <v>0.0</v>
      </c>
      <c r="BE2464" s="1">
        <v>0.0</v>
      </c>
      <c r="BF2464" s="1">
        <v>0.0</v>
      </c>
      <c r="BG2464" s="1">
        <v>0.0</v>
      </c>
      <c r="BH2464" s="1">
        <v>0.0</v>
      </c>
      <c r="BI2464" s="1">
        <v>0.0</v>
      </c>
      <c r="BJ2464" s="1">
        <v>0.0</v>
      </c>
      <c r="BP2464" s="1">
        <v>0.276</v>
      </c>
      <c r="BQ2464" s="1" t="s">
        <v>7774</v>
      </c>
      <c r="BV2464" s="1">
        <v>1.1</v>
      </c>
      <c r="EQ2464" s="9" t="s">
        <v>7786</v>
      </c>
      <c r="ER2464" s="21">
        <v>46045.30259259259</v>
      </c>
    </row>
    <row r="2465">
      <c r="A2465" s="9" t="s">
        <v>7787</v>
      </c>
      <c r="B2465" s="20" t="str">
        <f>IFERROR(__xludf.DUMMYFUNCTION("REGEXREPLACE(A2465, ""^https?://[^/]+"", """")"),"/wp-content/uploads/2015/03/Three-Cs-Sales-xceleration.png")</f>
        <v>/wp-content/uploads/2015/03/Three-Cs-Sales-xceleration.png</v>
      </c>
      <c r="F2465" s="1" t="s">
        <v>1047</v>
      </c>
      <c r="G2465" s="1">
        <v>200.0</v>
      </c>
      <c r="H2465" s="1" t="s">
        <v>966</v>
      </c>
      <c r="I2465" s="1" t="s">
        <v>967</v>
      </c>
      <c r="L2465" s="1">
        <v>0.0</v>
      </c>
      <c r="M2465" s="1">
        <v>0.0</v>
      </c>
      <c r="O2465" s="1">
        <v>0.0</v>
      </c>
      <c r="P2465" s="1">
        <v>0.0</v>
      </c>
      <c r="R2465" s="1">
        <v>0.0</v>
      </c>
      <c r="S2465" s="1">
        <v>0.0</v>
      </c>
      <c r="U2465" s="1">
        <v>0.0</v>
      </c>
      <c r="W2465" s="1">
        <v>0.0</v>
      </c>
      <c r="Y2465" s="1">
        <v>0.0</v>
      </c>
      <c r="AA2465" s="1">
        <v>0.0</v>
      </c>
      <c r="AC2465" s="1">
        <v>0.0</v>
      </c>
      <c r="AM2465" s="1">
        <v>76309.0</v>
      </c>
      <c r="AN2465" s="1">
        <v>76309.0</v>
      </c>
      <c r="AO2465" s="1">
        <v>76309.0</v>
      </c>
      <c r="AP2465" s="1">
        <v>29.233</v>
      </c>
      <c r="AR2465" s="1">
        <v>0.0</v>
      </c>
      <c r="AW2465" s="1">
        <v>0.0</v>
      </c>
      <c r="AX2465" s="1">
        <v>5.0</v>
      </c>
      <c r="AY2465" s="1">
        <v>4.0</v>
      </c>
      <c r="BA2465" s="1">
        <v>0.0</v>
      </c>
      <c r="BB2465" s="1">
        <v>0.0</v>
      </c>
      <c r="BC2465" s="1">
        <v>0.0</v>
      </c>
      <c r="BD2465" s="1">
        <v>0.0</v>
      </c>
      <c r="BE2465" s="1">
        <v>0.0</v>
      </c>
      <c r="BF2465" s="1">
        <v>0.0</v>
      </c>
      <c r="BG2465" s="1">
        <v>0.0</v>
      </c>
      <c r="BH2465" s="1">
        <v>0.0</v>
      </c>
      <c r="BI2465" s="1">
        <v>0.0</v>
      </c>
      <c r="BJ2465" s="1">
        <v>0.0</v>
      </c>
      <c r="BP2465" s="1">
        <v>0.269</v>
      </c>
      <c r="BQ2465" s="1" t="s">
        <v>7788</v>
      </c>
      <c r="BV2465" s="1">
        <v>1.1</v>
      </c>
      <c r="EQ2465" s="9" t="s">
        <v>7787</v>
      </c>
      <c r="ER2465" s="21">
        <v>46045.30259259259</v>
      </c>
    </row>
    <row r="2466">
      <c r="A2466" s="9" t="s">
        <v>7789</v>
      </c>
      <c r="B2466" s="20" t="str">
        <f>IFERROR(__xludf.DUMMYFUNCTION("REGEXREPLACE(A2466, ""^https?://[^/]+"", """")"),"/wp-content/uploads/2015/03/When-Why-Sales-Manager-Stay-Quiet-200x300.jpg")</f>
        <v>/wp-content/uploads/2015/03/When-Why-Sales-Manager-Stay-Quiet-200x300.jpg</v>
      </c>
      <c r="F2466" s="1" t="s">
        <v>1004</v>
      </c>
      <c r="G2466" s="1">
        <v>200.0</v>
      </c>
      <c r="H2466" s="1" t="s">
        <v>966</v>
      </c>
      <c r="I2466" s="1" t="s">
        <v>967</v>
      </c>
      <c r="L2466" s="1">
        <v>0.0</v>
      </c>
      <c r="M2466" s="1">
        <v>0.0</v>
      </c>
      <c r="O2466" s="1">
        <v>0.0</v>
      </c>
      <c r="P2466" s="1">
        <v>0.0</v>
      </c>
      <c r="R2466" s="1">
        <v>0.0</v>
      </c>
      <c r="S2466" s="1">
        <v>0.0</v>
      </c>
      <c r="U2466" s="1">
        <v>0.0</v>
      </c>
      <c r="W2466" s="1">
        <v>0.0</v>
      </c>
      <c r="Y2466" s="1">
        <v>0.0</v>
      </c>
      <c r="AA2466" s="1">
        <v>0.0</v>
      </c>
      <c r="AC2466" s="1">
        <v>0.0</v>
      </c>
      <c r="AM2466" s="1">
        <v>8701.0</v>
      </c>
      <c r="AN2466" s="1">
        <v>8701.0</v>
      </c>
      <c r="AO2466" s="1">
        <v>8701.0</v>
      </c>
      <c r="AP2466" s="1">
        <v>3.333</v>
      </c>
      <c r="AR2466" s="1">
        <v>0.0</v>
      </c>
      <c r="AW2466" s="1">
        <v>0.0</v>
      </c>
      <c r="AX2466" s="1">
        <v>5.0</v>
      </c>
      <c r="AY2466" s="1">
        <v>4.0</v>
      </c>
      <c r="BA2466" s="1">
        <v>0.0</v>
      </c>
      <c r="BB2466" s="1">
        <v>0.0</v>
      </c>
      <c r="BC2466" s="1">
        <v>0.0</v>
      </c>
      <c r="BD2466" s="1">
        <v>0.0</v>
      </c>
      <c r="BE2466" s="1">
        <v>0.0</v>
      </c>
      <c r="BF2466" s="1">
        <v>0.0</v>
      </c>
      <c r="BG2466" s="1">
        <v>0.0</v>
      </c>
      <c r="BH2466" s="1">
        <v>0.0</v>
      </c>
      <c r="BI2466" s="1">
        <v>0.0</v>
      </c>
      <c r="BJ2466" s="1">
        <v>0.0</v>
      </c>
      <c r="BP2466" s="1">
        <v>0.265</v>
      </c>
      <c r="BQ2466" s="1" t="s">
        <v>7790</v>
      </c>
      <c r="BV2466" s="1">
        <v>1.1</v>
      </c>
      <c r="EQ2466" s="9" t="s">
        <v>7789</v>
      </c>
      <c r="ER2466" s="21">
        <v>46045.30259259259</v>
      </c>
    </row>
    <row r="2467">
      <c r="A2467" s="9" t="s">
        <v>7791</v>
      </c>
      <c r="B2467" s="20" t="str">
        <f>IFERROR(__xludf.DUMMYFUNCTION("REGEXREPLACE(A2467, ""^https?://[^/]+"", """")"),"/how-to-stop-circling-the-top-of-the-sales-funnel-and-make-that-sale")</f>
        <v>/how-to-stop-circling-the-top-of-the-sales-funnel-and-make-that-sale</v>
      </c>
      <c r="F2467" s="1" t="s">
        <v>965</v>
      </c>
      <c r="G2467" s="1">
        <v>301.0</v>
      </c>
      <c r="H2467" s="1" t="s">
        <v>1304</v>
      </c>
      <c r="I2467" s="1" t="s">
        <v>1214</v>
      </c>
      <c r="J2467" s="1" t="s">
        <v>1305</v>
      </c>
      <c r="L2467" s="1">
        <v>0.0</v>
      </c>
      <c r="M2467" s="1">
        <v>0.0</v>
      </c>
      <c r="O2467" s="1">
        <v>0.0</v>
      </c>
      <c r="P2467" s="1">
        <v>0.0</v>
      </c>
      <c r="R2467" s="1">
        <v>0.0</v>
      </c>
      <c r="S2467" s="1">
        <v>0.0</v>
      </c>
      <c r="U2467" s="1">
        <v>0.0</v>
      </c>
      <c r="W2467" s="1">
        <v>0.0</v>
      </c>
      <c r="Y2467" s="1">
        <v>0.0</v>
      </c>
      <c r="AA2467" s="1">
        <v>0.0</v>
      </c>
      <c r="AC2467" s="1">
        <v>0.0</v>
      </c>
      <c r="AM2467" s="1">
        <v>0.0</v>
      </c>
      <c r="AN2467" s="1">
        <v>0.0</v>
      </c>
      <c r="AO2467" s="1">
        <v>0.0</v>
      </c>
      <c r="AP2467" s="1">
        <v>0.0</v>
      </c>
      <c r="AR2467" s="1">
        <v>0.0</v>
      </c>
      <c r="AW2467" s="1">
        <v>0.0</v>
      </c>
      <c r="AX2467" s="1">
        <v>5.0</v>
      </c>
      <c r="AY2467" s="1">
        <v>0.0</v>
      </c>
      <c r="BA2467" s="1">
        <v>1.0</v>
      </c>
      <c r="BB2467" s="1">
        <v>1.0</v>
      </c>
      <c r="BC2467" s="1">
        <v>0.0</v>
      </c>
      <c r="BD2467" s="1">
        <v>0.13</v>
      </c>
      <c r="BE2467" s="1">
        <v>0.0</v>
      </c>
      <c r="BF2467" s="1">
        <v>0.0</v>
      </c>
      <c r="BG2467" s="1">
        <v>0.0</v>
      </c>
      <c r="BH2467" s="1">
        <v>0.0</v>
      </c>
      <c r="BI2467" s="1">
        <v>0.0</v>
      </c>
      <c r="BJ2467" s="1">
        <v>0.0</v>
      </c>
      <c r="BP2467" s="1">
        <v>0.581</v>
      </c>
      <c r="BR2467" s="9" t="s">
        <v>7792</v>
      </c>
      <c r="BS2467" s="1" t="s">
        <v>1307</v>
      </c>
      <c r="BV2467" s="1">
        <v>1.1</v>
      </c>
      <c r="EQ2467" s="9" t="s">
        <v>7791</v>
      </c>
      <c r="ER2467" s="21">
        <v>46045.30259259259</v>
      </c>
    </row>
    <row r="2468">
      <c r="A2468" s="9" t="s">
        <v>7793</v>
      </c>
      <c r="B2468" s="20" t="str">
        <f>IFERROR(__xludf.DUMMYFUNCTION("REGEXREPLACE(A2468, ""^https?://[^/]+"", """")"),"/wp-content/uploads/2015/03/When-Why-Sales-Manager-Should-Simply-Be-Quiet-Sales-Xceleration.png")</f>
        <v>/wp-content/uploads/2015/03/When-Why-Sales-Manager-Should-Simply-Be-Quiet-Sales-Xceleration.png</v>
      </c>
      <c r="F2468" s="1" t="s">
        <v>1047</v>
      </c>
      <c r="G2468" s="1">
        <v>200.0</v>
      </c>
      <c r="H2468" s="1" t="s">
        <v>966</v>
      </c>
      <c r="I2468" s="1" t="s">
        <v>967</v>
      </c>
      <c r="L2468" s="1">
        <v>0.0</v>
      </c>
      <c r="M2468" s="1">
        <v>0.0</v>
      </c>
      <c r="O2468" s="1">
        <v>0.0</v>
      </c>
      <c r="P2468" s="1">
        <v>0.0</v>
      </c>
      <c r="R2468" s="1">
        <v>0.0</v>
      </c>
      <c r="S2468" s="1">
        <v>0.0</v>
      </c>
      <c r="U2468" s="1">
        <v>0.0</v>
      </c>
      <c r="W2468" s="1">
        <v>0.0</v>
      </c>
      <c r="Y2468" s="1">
        <v>0.0</v>
      </c>
      <c r="AA2468" s="1">
        <v>0.0</v>
      </c>
      <c r="AC2468" s="1">
        <v>0.0</v>
      </c>
      <c r="AM2468" s="1">
        <v>65963.0</v>
      </c>
      <c r="AN2468" s="1">
        <v>65963.0</v>
      </c>
      <c r="AO2468" s="1">
        <v>65963.0</v>
      </c>
      <c r="AP2468" s="1">
        <v>25.269</v>
      </c>
      <c r="AR2468" s="1">
        <v>0.0</v>
      </c>
      <c r="AW2468" s="1">
        <v>0.0</v>
      </c>
      <c r="AX2468" s="1">
        <v>5.0</v>
      </c>
      <c r="AY2468" s="1">
        <v>4.0</v>
      </c>
      <c r="BA2468" s="1">
        <v>0.0</v>
      </c>
      <c r="BB2468" s="1">
        <v>0.0</v>
      </c>
      <c r="BC2468" s="1">
        <v>0.0</v>
      </c>
      <c r="BD2468" s="1">
        <v>0.0</v>
      </c>
      <c r="BE2468" s="1">
        <v>0.0</v>
      </c>
      <c r="BF2468" s="1">
        <v>0.0</v>
      </c>
      <c r="BG2468" s="1">
        <v>0.0</v>
      </c>
      <c r="BH2468" s="1">
        <v>0.0</v>
      </c>
      <c r="BI2468" s="1">
        <v>0.0</v>
      </c>
      <c r="BJ2468" s="1">
        <v>0.0</v>
      </c>
      <c r="BP2468" s="1">
        <v>0.264</v>
      </c>
      <c r="BQ2468" s="1" t="s">
        <v>7794</v>
      </c>
      <c r="BV2468" s="1">
        <v>1.1</v>
      </c>
      <c r="EQ2468" s="9" t="s">
        <v>7793</v>
      </c>
      <c r="ER2468" s="21">
        <v>46045.30259259259</v>
      </c>
    </row>
    <row r="2469">
      <c r="A2469" s="9" t="s">
        <v>7795</v>
      </c>
      <c r="B2469" s="20" t="str">
        <f>IFERROR(__xludf.DUMMYFUNCTION("REGEXREPLACE(A2469, ""^https?://[^/]+"", """")"),"/wp-content/uploads/2015/03/Sales-rollercoaster-go-fishing-sales-xceleration.png")</f>
        <v>/wp-content/uploads/2015/03/Sales-rollercoaster-go-fishing-sales-xceleration.png</v>
      </c>
      <c r="F2469" s="1" t="s">
        <v>1047</v>
      </c>
      <c r="G2469" s="1">
        <v>200.0</v>
      </c>
      <c r="H2469" s="1" t="s">
        <v>966</v>
      </c>
      <c r="I2469" s="1" t="s">
        <v>967</v>
      </c>
      <c r="L2469" s="1">
        <v>0.0</v>
      </c>
      <c r="M2469" s="1">
        <v>0.0</v>
      </c>
      <c r="O2469" s="1">
        <v>0.0</v>
      </c>
      <c r="P2469" s="1">
        <v>0.0</v>
      </c>
      <c r="R2469" s="1">
        <v>0.0</v>
      </c>
      <c r="S2469" s="1">
        <v>0.0</v>
      </c>
      <c r="U2469" s="1">
        <v>0.0</v>
      </c>
      <c r="W2469" s="1">
        <v>0.0</v>
      </c>
      <c r="Y2469" s="1">
        <v>0.0</v>
      </c>
      <c r="AA2469" s="1">
        <v>0.0</v>
      </c>
      <c r="AC2469" s="1">
        <v>0.0</v>
      </c>
      <c r="AM2469" s="1">
        <v>99766.0</v>
      </c>
      <c r="AN2469" s="1">
        <v>99766.0</v>
      </c>
      <c r="AO2469" s="1">
        <v>99766.0</v>
      </c>
      <c r="AP2469" s="1">
        <v>38.218</v>
      </c>
      <c r="AR2469" s="1">
        <v>0.0</v>
      </c>
      <c r="AW2469" s="1">
        <v>0.0</v>
      </c>
      <c r="AX2469" s="1">
        <v>5.0</v>
      </c>
      <c r="AY2469" s="1">
        <v>4.0</v>
      </c>
      <c r="BA2469" s="1">
        <v>0.0</v>
      </c>
      <c r="BB2469" s="1">
        <v>0.0</v>
      </c>
      <c r="BC2469" s="1">
        <v>0.0</v>
      </c>
      <c r="BD2469" s="1">
        <v>0.0</v>
      </c>
      <c r="BE2469" s="1">
        <v>0.0</v>
      </c>
      <c r="BF2469" s="1">
        <v>0.0</v>
      </c>
      <c r="BG2469" s="1">
        <v>0.0</v>
      </c>
      <c r="BH2469" s="1">
        <v>0.0</v>
      </c>
      <c r="BI2469" s="1">
        <v>0.0</v>
      </c>
      <c r="BJ2469" s="1">
        <v>0.0</v>
      </c>
      <c r="BP2469" s="1">
        <v>0.267</v>
      </c>
      <c r="BQ2469" s="1" t="s">
        <v>7796</v>
      </c>
      <c r="BV2469" s="1">
        <v>1.1</v>
      </c>
      <c r="EQ2469" s="9" t="s">
        <v>7795</v>
      </c>
      <c r="ER2469" s="21">
        <v>46045.30260416667</v>
      </c>
    </row>
    <row r="2470">
      <c r="A2470" s="9" t="s">
        <v>7797</v>
      </c>
      <c r="B2470" s="20" t="str">
        <f>IFERROR(__xludf.DUMMYFUNCTION("REGEXREPLACE(A2470, ""^https?://[^/]+"", """")"),"/wp-content/themes/salesxceleratione/assets/css/style.css?ver=1769123666")</f>
        <v>/wp-content/themes/salesxceleratione/assets/css/style.css?ver=1769123666</v>
      </c>
      <c r="F2470" s="1" t="s">
        <v>1016</v>
      </c>
      <c r="G2470" s="1">
        <v>200.0</v>
      </c>
      <c r="H2470" s="1" t="s">
        <v>966</v>
      </c>
      <c r="I2470" s="1" t="s">
        <v>967</v>
      </c>
      <c r="L2470" s="1">
        <v>0.0</v>
      </c>
      <c r="M2470" s="1">
        <v>0.0</v>
      </c>
      <c r="O2470" s="1">
        <v>0.0</v>
      </c>
      <c r="P2470" s="1">
        <v>0.0</v>
      </c>
      <c r="R2470" s="1">
        <v>0.0</v>
      </c>
      <c r="S2470" s="1">
        <v>0.0</v>
      </c>
      <c r="U2470" s="1">
        <v>0.0</v>
      </c>
      <c r="W2470" s="1">
        <v>0.0</v>
      </c>
      <c r="Y2470" s="1">
        <v>0.0</v>
      </c>
      <c r="AA2470" s="1">
        <v>0.0</v>
      </c>
      <c r="AC2470" s="1">
        <v>0.0</v>
      </c>
      <c r="AM2470" s="1">
        <v>17704.0</v>
      </c>
      <c r="AN2470" s="1">
        <v>17704.0</v>
      </c>
      <c r="AO2470" s="1">
        <v>17704.0</v>
      </c>
      <c r="AP2470" s="1">
        <v>6.782</v>
      </c>
      <c r="AR2470" s="1">
        <v>0.0</v>
      </c>
      <c r="AW2470" s="1">
        <v>0.0</v>
      </c>
      <c r="AX2470" s="1">
        <v>5.0</v>
      </c>
      <c r="AY2470" s="1">
        <v>5.0</v>
      </c>
      <c r="BA2470" s="1">
        <v>0.0</v>
      </c>
      <c r="BB2470" s="1">
        <v>0.0</v>
      </c>
      <c r="BC2470" s="1">
        <v>0.0</v>
      </c>
      <c r="BD2470" s="1">
        <v>0.0</v>
      </c>
      <c r="BE2470" s="1">
        <v>0.0</v>
      </c>
      <c r="BF2470" s="1">
        <v>0.0</v>
      </c>
      <c r="BG2470" s="1">
        <v>0.0</v>
      </c>
      <c r="BH2470" s="1">
        <v>0.0</v>
      </c>
      <c r="BI2470" s="1">
        <v>0.0</v>
      </c>
      <c r="BJ2470" s="1">
        <v>0.0</v>
      </c>
      <c r="BP2470" s="1">
        <v>0.268</v>
      </c>
      <c r="BQ2470" s="1" t="s">
        <v>7798</v>
      </c>
      <c r="BV2470" s="1">
        <v>1.1</v>
      </c>
      <c r="EQ2470" s="9" t="s">
        <v>7797</v>
      </c>
      <c r="ER2470" s="21">
        <v>46045.30260416667</v>
      </c>
    </row>
    <row r="2471">
      <c r="A2471" s="9" t="s">
        <v>7799</v>
      </c>
      <c r="B2471" s="20" t="str">
        <f>IFERROR(__xludf.DUMMYFUNCTION("REGEXREPLACE(A2471, ""^https?://[^/]+"", """")"),"/wp-content/uploads/2023/06/Defining-Your-Target-Market-download.jpg")</f>
        <v>/wp-content/uploads/2023/06/Defining-Your-Target-Market-download.jpg</v>
      </c>
      <c r="F2471" s="1" t="s">
        <v>1004</v>
      </c>
      <c r="G2471" s="1">
        <v>200.0</v>
      </c>
      <c r="H2471" s="1" t="s">
        <v>966</v>
      </c>
      <c r="I2471" s="1" t="s">
        <v>967</v>
      </c>
      <c r="L2471" s="1">
        <v>0.0</v>
      </c>
      <c r="M2471" s="1">
        <v>0.0</v>
      </c>
      <c r="O2471" s="1">
        <v>0.0</v>
      </c>
      <c r="P2471" s="1">
        <v>0.0</v>
      </c>
      <c r="R2471" s="1">
        <v>0.0</v>
      </c>
      <c r="S2471" s="1">
        <v>0.0</v>
      </c>
      <c r="U2471" s="1">
        <v>0.0</v>
      </c>
      <c r="W2471" s="1">
        <v>0.0</v>
      </c>
      <c r="Y2471" s="1">
        <v>0.0</v>
      </c>
      <c r="AA2471" s="1">
        <v>0.0</v>
      </c>
      <c r="AC2471" s="1">
        <v>0.0</v>
      </c>
      <c r="AM2471" s="1">
        <v>179127.0</v>
      </c>
      <c r="AN2471" s="1">
        <v>179127.0</v>
      </c>
      <c r="AO2471" s="1">
        <v>179127.0</v>
      </c>
      <c r="AP2471" s="1">
        <v>68.62</v>
      </c>
      <c r="AR2471" s="1">
        <v>0.0</v>
      </c>
      <c r="AW2471" s="1">
        <v>0.0</v>
      </c>
      <c r="AX2471" s="1">
        <v>5.0</v>
      </c>
      <c r="AY2471" s="1">
        <v>4.0</v>
      </c>
      <c r="BA2471" s="1">
        <v>0.0</v>
      </c>
      <c r="BB2471" s="1">
        <v>0.0</v>
      </c>
      <c r="BC2471" s="1">
        <v>0.0</v>
      </c>
      <c r="BD2471" s="1">
        <v>0.0</v>
      </c>
      <c r="BE2471" s="1">
        <v>0.0</v>
      </c>
      <c r="BF2471" s="1">
        <v>0.0</v>
      </c>
      <c r="BG2471" s="1">
        <v>0.0</v>
      </c>
      <c r="BH2471" s="1">
        <v>0.0</v>
      </c>
      <c r="BI2471" s="1">
        <v>0.0</v>
      </c>
      <c r="BJ2471" s="1">
        <v>0.0</v>
      </c>
      <c r="BP2471" s="1">
        <v>0.262</v>
      </c>
      <c r="BQ2471" s="1" t="s">
        <v>7800</v>
      </c>
      <c r="BV2471" s="1">
        <v>1.1</v>
      </c>
      <c r="EQ2471" s="9" t="s">
        <v>7799</v>
      </c>
      <c r="ER2471" s="21">
        <v>46045.30260416667</v>
      </c>
    </row>
    <row r="2472">
      <c r="A2472" s="9" t="s">
        <v>7801</v>
      </c>
      <c r="B2472" s="20" t="str">
        <f>IFERROR(__xludf.DUMMYFUNCTION("REGEXREPLACE(A2472, ""^https?://[^/]+"", """")"),"/how-silence-can-help-you-sell-more")</f>
        <v>/how-silence-can-help-you-sell-more</v>
      </c>
      <c r="F2472" s="1" t="s">
        <v>965</v>
      </c>
      <c r="G2472" s="1">
        <v>301.0</v>
      </c>
      <c r="H2472" s="1" t="s">
        <v>1304</v>
      </c>
      <c r="I2472" s="1" t="s">
        <v>1214</v>
      </c>
      <c r="J2472" s="1" t="s">
        <v>1305</v>
      </c>
      <c r="L2472" s="1">
        <v>0.0</v>
      </c>
      <c r="M2472" s="1">
        <v>0.0</v>
      </c>
      <c r="O2472" s="1">
        <v>0.0</v>
      </c>
      <c r="P2472" s="1">
        <v>0.0</v>
      </c>
      <c r="R2472" s="1">
        <v>0.0</v>
      </c>
      <c r="S2472" s="1">
        <v>0.0</v>
      </c>
      <c r="U2472" s="1">
        <v>0.0</v>
      </c>
      <c r="W2472" s="1">
        <v>0.0</v>
      </c>
      <c r="Y2472" s="1">
        <v>0.0</v>
      </c>
      <c r="AA2472" s="1">
        <v>0.0</v>
      </c>
      <c r="AC2472" s="1">
        <v>0.0</v>
      </c>
      <c r="AM2472" s="1">
        <v>0.0</v>
      </c>
      <c r="AN2472" s="1">
        <v>0.0</v>
      </c>
      <c r="AO2472" s="1">
        <v>0.0</v>
      </c>
      <c r="AP2472" s="1">
        <v>0.0</v>
      </c>
      <c r="AR2472" s="1">
        <v>0.0</v>
      </c>
      <c r="AW2472" s="1">
        <v>0.0</v>
      </c>
      <c r="AX2472" s="1">
        <v>5.0</v>
      </c>
      <c r="AY2472" s="1">
        <v>0.0</v>
      </c>
      <c r="BA2472" s="1">
        <v>1.0</v>
      </c>
      <c r="BB2472" s="1">
        <v>1.0</v>
      </c>
      <c r="BC2472" s="1">
        <v>0.0</v>
      </c>
      <c r="BD2472" s="1">
        <v>0.13</v>
      </c>
      <c r="BE2472" s="1">
        <v>0.0</v>
      </c>
      <c r="BF2472" s="1">
        <v>0.0</v>
      </c>
      <c r="BG2472" s="1">
        <v>0.0</v>
      </c>
      <c r="BH2472" s="1">
        <v>0.0</v>
      </c>
      <c r="BI2472" s="1">
        <v>0.0</v>
      </c>
      <c r="BJ2472" s="1">
        <v>0.0</v>
      </c>
      <c r="BP2472" s="1">
        <v>0.612</v>
      </c>
      <c r="BR2472" s="9" t="s">
        <v>5418</v>
      </c>
      <c r="BS2472" s="1" t="s">
        <v>1307</v>
      </c>
      <c r="BV2472" s="1">
        <v>1.1</v>
      </c>
      <c r="EQ2472" s="9" t="s">
        <v>7801</v>
      </c>
      <c r="ER2472" s="21">
        <v>46045.30259259259</v>
      </c>
    </row>
    <row r="2473">
      <c r="A2473" s="9" t="s">
        <v>7802</v>
      </c>
      <c r="B2473" s="20" t="str">
        <f>IFERROR(__xludf.DUMMYFUNCTION("REGEXREPLACE(A2473, ""^https?://[^/]+"", """")"),"/wp-content/themes/salesxceleratione/assets/css/style.css?ver=1769123665")</f>
        <v>/wp-content/themes/salesxceleratione/assets/css/style.css?ver=1769123665</v>
      </c>
      <c r="F2473" s="1" t="s">
        <v>1016</v>
      </c>
      <c r="G2473" s="1">
        <v>200.0</v>
      </c>
      <c r="H2473" s="1" t="s">
        <v>966</v>
      </c>
      <c r="I2473" s="1" t="s">
        <v>967</v>
      </c>
      <c r="L2473" s="1">
        <v>0.0</v>
      </c>
      <c r="M2473" s="1">
        <v>0.0</v>
      </c>
      <c r="O2473" s="1">
        <v>0.0</v>
      </c>
      <c r="P2473" s="1">
        <v>0.0</v>
      </c>
      <c r="R2473" s="1">
        <v>0.0</v>
      </c>
      <c r="S2473" s="1">
        <v>0.0</v>
      </c>
      <c r="U2473" s="1">
        <v>0.0</v>
      </c>
      <c r="W2473" s="1">
        <v>0.0</v>
      </c>
      <c r="Y2473" s="1">
        <v>0.0</v>
      </c>
      <c r="AA2473" s="1">
        <v>0.0</v>
      </c>
      <c r="AC2473" s="1">
        <v>0.0</v>
      </c>
      <c r="AM2473" s="1">
        <v>17704.0</v>
      </c>
      <c r="AN2473" s="1">
        <v>17704.0</v>
      </c>
      <c r="AO2473" s="1">
        <v>17704.0</v>
      </c>
      <c r="AP2473" s="1">
        <v>6.782</v>
      </c>
      <c r="AR2473" s="1">
        <v>0.0</v>
      </c>
      <c r="AW2473" s="1">
        <v>0.0</v>
      </c>
      <c r="AX2473" s="1">
        <v>5.0</v>
      </c>
      <c r="AY2473" s="1">
        <v>5.0</v>
      </c>
      <c r="BA2473" s="1">
        <v>0.0</v>
      </c>
      <c r="BB2473" s="1">
        <v>0.0</v>
      </c>
      <c r="BC2473" s="1">
        <v>0.0</v>
      </c>
      <c r="BD2473" s="1">
        <v>0.0</v>
      </c>
      <c r="BE2473" s="1">
        <v>0.0</v>
      </c>
      <c r="BF2473" s="1">
        <v>0.0</v>
      </c>
      <c r="BG2473" s="1">
        <v>0.0</v>
      </c>
      <c r="BH2473" s="1">
        <v>0.0</v>
      </c>
      <c r="BI2473" s="1">
        <v>0.0</v>
      </c>
      <c r="BJ2473" s="1">
        <v>0.0</v>
      </c>
      <c r="BP2473" s="1">
        <v>0.265</v>
      </c>
      <c r="BQ2473" s="1" t="s">
        <v>7803</v>
      </c>
      <c r="BV2473" s="1">
        <v>1.1</v>
      </c>
      <c r="EQ2473" s="9" t="s">
        <v>7802</v>
      </c>
      <c r="ER2473" s="21">
        <v>46045.30260416667</v>
      </c>
    </row>
    <row r="2474">
      <c r="A2474" s="9" t="s">
        <v>7804</v>
      </c>
      <c r="B2474" s="20" t="str">
        <f>IFERROR(__xludf.DUMMYFUNCTION("REGEXREPLACE(A2474, ""^https?://[^/]+"", """")"),"/wp-content/uploads/2023/06/Target-Market-Analysis-Checklist.pdf")</f>
        <v>/wp-content/uploads/2023/06/Target-Market-Analysis-Checklist.pdf</v>
      </c>
      <c r="F2474" s="1" t="s">
        <v>1730</v>
      </c>
      <c r="G2474" s="1">
        <v>200.0</v>
      </c>
      <c r="H2474" s="1" t="s">
        <v>966</v>
      </c>
      <c r="I2474" s="1" t="s">
        <v>967</v>
      </c>
      <c r="K2474" s="1" t="s">
        <v>7805</v>
      </c>
      <c r="L2474" s="1">
        <v>27.0</v>
      </c>
      <c r="M2474" s="1">
        <v>252.0</v>
      </c>
      <c r="O2474" s="1">
        <v>0.0</v>
      </c>
      <c r="P2474" s="1">
        <v>0.0</v>
      </c>
      <c r="R2474" s="1">
        <v>0.0</v>
      </c>
      <c r="S2474" s="1">
        <v>0.0</v>
      </c>
      <c r="T2474" s="1" t="s">
        <v>7806</v>
      </c>
      <c r="U2474" s="1">
        <v>23.0</v>
      </c>
      <c r="W2474" s="1">
        <v>0.0</v>
      </c>
      <c r="Y2474" s="1">
        <v>0.0</v>
      </c>
      <c r="AA2474" s="1">
        <v>0.0</v>
      </c>
      <c r="AC2474" s="1">
        <v>0.0</v>
      </c>
      <c r="AM2474" s="1">
        <v>140133.0</v>
      </c>
      <c r="AN2474" s="1">
        <v>140133.0</v>
      </c>
      <c r="AO2474" s="1">
        <v>140133.0</v>
      </c>
      <c r="AP2474" s="1">
        <v>53.682</v>
      </c>
      <c r="AR2474" s="1">
        <v>0.0</v>
      </c>
      <c r="AW2474" s="1">
        <v>0.0</v>
      </c>
      <c r="AX2474" s="1">
        <v>5.0</v>
      </c>
      <c r="AY2474" s="1">
        <v>4.0</v>
      </c>
      <c r="AZ2474" s="1">
        <v>1.0</v>
      </c>
      <c r="BA2474" s="1">
        <v>1.0</v>
      </c>
      <c r="BB2474" s="1">
        <v>1.0</v>
      </c>
      <c r="BC2474" s="1">
        <v>0.0</v>
      </c>
      <c r="BD2474" s="1">
        <v>0.13</v>
      </c>
      <c r="BE2474" s="1">
        <v>0.0</v>
      </c>
      <c r="BF2474" s="1">
        <v>0.0</v>
      </c>
      <c r="BG2474" s="1">
        <v>0.0</v>
      </c>
      <c r="BH2474" s="1">
        <v>0.0</v>
      </c>
      <c r="BI2474" s="1">
        <v>0.0</v>
      </c>
      <c r="BJ2474" s="1">
        <v>0.0</v>
      </c>
      <c r="BP2474" s="1">
        <v>0.266</v>
      </c>
      <c r="BQ2474" s="1" t="s">
        <v>7807</v>
      </c>
      <c r="BV2474" s="1">
        <v>1.1</v>
      </c>
      <c r="EQ2474" s="9" t="s">
        <v>7804</v>
      </c>
      <c r="ER2474" s="21">
        <v>46045.30260416667</v>
      </c>
    </row>
    <row r="2475">
      <c r="A2475" s="9" t="s">
        <v>7808</v>
      </c>
      <c r="B2475" s="20" t="str">
        <f>IFERROR(__xludf.DUMMYFUNCTION("REGEXREPLACE(A2475, ""^https?://[^/]+"", """")"),"/wp-content/uploads/2023/06/Image.jpg")</f>
        <v>/wp-content/uploads/2023/06/Image.jpg</v>
      </c>
      <c r="F2475" s="1" t="s">
        <v>1004</v>
      </c>
      <c r="G2475" s="1">
        <v>200.0</v>
      </c>
      <c r="H2475" s="1" t="s">
        <v>966</v>
      </c>
      <c r="I2475" s="1" t="s">
        <v>967</v>
      </c>
      <c r="L2475" s="1">
        <v>0.0</v>
      </c>
      <c r="M2475" s="1">
        <v>0.0</v>
      </c>
      <c r="O2475" s="1">
        <v>0.0</v>
      </c>
      <c r="P2475" s="1">
        <v>0.0</v>
      </c>
      <c r="R2475" s="1">
        <v>0.0</v>
      </c>
      <c r="S2475" s="1">
        <v>0.0</v>
      </c>
      <c r="U2475" s="1">
        <v>0.0</v>
      </c>
      <c r="W2475" s="1">
        <v>0.0</v>
      </c>
      <c r="Y2475" s="1">
        <v>0.0</v>
      </c>
      <c r="AA2475" s="1">
        <v>0.0</v>
      </c>
      <c r="AC2475" s="1">
        <v>0.0</v>
      </c>
      <c r="AM2475" s="1">
        <v>136600.0</v>
      </c>
      <c r="AN2475" s="1">
        <v>136600.0</v>
      </c>
      <c r="AO2475" s="1">
        <v>136600.0</v>
      </c>
      <c r="AP2475" s="1">
        <v>52.329</v>
      </c>
      <c r="AR2475" s="1">
        <v>0.0</v>
      </c>
      <c r="AW2475" s="1">
        <v>0.0</v>
      </c>
      <c r="AX2475" s="1">
        <v>5.0</v>
      </c>
      <c r="AY2475" s="1">
        <v>4.0</v>
      </c>
      <c r="BA2475" s="1">
        <v>0.0</v>
      </c>
      <c r="BB2475" s="1">
        <v>0.0</v>
      </c>
      <c r="BC2475" s="1">
        <v>0.0</v>
      </c>
      <c r="BD2475" s="1">
        <v>0.0</v>
      </c>
      <c r="BE2475" s="1">
        <v>0.0</v>
      </c>
      <c r="BF2475" s="1">
        <v>0.0</v>
      </c>
      <c r="BG2475" s="1">
        <v>0.0</v>
      </c>
      <c r="BH2475" s="1">
        <v>0.0</v>
      </c>
      <c r="BI2475" s="1">
        <v>0.0</v>
      </c>
      <c r="BJ2475" s="1">
        <v>0.0</v>
      </c>
      <c r="BP2475" s="1">
        <v>0.267</v>
      </c>
      <c r="BQ2475" s="1" t="s">
        <v>7809</v>
      </c>
      <c r="BV2475" s="1">
        <v>1.1</v>
      </c>
      <c r="EQ2475" s="9" t="s">
        <v>7808</v>
      </c>
      <c r="ER2475" s="21">
        <v>46045.30260416667</v>
      </c>
    </row>
    <row r="2476">
      <c r="A2476" s="9" t="s">
        <v>7810</v>
      </c>
      <c r="B2476" s="20" t="str">
        <f>IFERROR(__xludf.DUMMYFUNCTION("REGEXREPLACE(A2476, ""^https?://[^/]+"", """")"),"/wp-content/themes/salesxceleratione/assets/css/style.css?ver=1769123664")</f>
        <v>/wp-content/themes/salesxceleratione/assets/css/style.css?ver=1769123664</v>
      </c>
      <c r="F2476" s="1" t="s">
        <v>1016</v>
      </c>
      <c r="G2476" s="1">
        <v>200.0</v>
      </c>
      <c r="H2476" s="1" t="s">
        <v>966</v>
      </c>
      <c r="I2476" s="1" t="s">
        <v>967</v>
      </c>
      <c r="L2476" s="1">
        <v>0.0</v>
      </c>
      <c r="M2476" s="1">
        <v>0.0</v>
      </c>
      <c r="O2476" s="1">
        <v>0.0</v>
      </c>
      <c r="P2476" s="1">
        <v>0.0</v>
      </c>
      <c r="R2476" s="1">
        <v>0.0</v>
      </c>
      <c r="S2476" s="1">
        <v>0.0</v>
      </c>
      <c r="U2476" s="1">
        <v>0.0</v>
      </c>
      <c r="W2476" s="1">
        <v>0.0</v>
      </c>
      <c r="Y2476" s="1">
        <v>0.0</v>
      </c>
      <c r="AA2476" s="1">
        <v>0.0</v>
      </c>
      <c r="AC2476" s="1">
        <v>0.0</v>
      </c>
      <c r="AM2476" s="1">
        <v>17704.0</v>
      </c>
      <c r="AN2476" s="1">
        <v>17704.0</v>
      </c>
      <c r="AO2476" s="1">
        <v>17704.0</v>
      </c>
      <c r="AP2476" s="1">
        <v>6.782</v>
      </c>
      <c r="AR2476" s="1">
        <v>0.0</v>
      </c>
      <c r="AW2476" s="1">
        <v>0.0</v>
      </c>
      <c r="AX2476" s="1">
        <v>5.0</v>
      </c>
      <c r="AY2476" s="1">
        <v>5.0</v>
      </c>
      <c r="BA2476" s="1">
        <v>0.0</v>
      </c>
      <c r="BB2476" s="1">
        <v>0.0</v>
      </c>
      <c r="BC2476" s="1">
        <v>0.0</v>
      </c>
      <c r="BD2476" s="1">
        <v>0.0</v>
      </c>
      <c r="BE2476" s="1">
        <v>0.0</v>
      </c>
      <c r="BF2476" s="1">
        <v>0.0</v>
      </c>
      <c r="BG2476" s="1">
        <v>0.0</v>
      </c>
      <c r="BH2476" s="1">
        <v>0.0</v>
      </c>
      <c r="BI2476" s="1">
        <v>0.0</v>
      </c>
      <c r="BJ2476" s="1">
        <v>0.0</v>
      </c>
      <c r="BP2476" s="1">
        <v>0.257</v>
      </c>
      <c r="BQ2476" s="1" t="s">
        <v>6715</v>
      </c>
      <c r="BV2476" s="1">
        <v>1.1</v>
      </c>
      <c r="EQ2476" s="9" t="s">
        <v>7810</v>
      </c>
      <c r="ER2476" s="21">
        <v>46045.30260416667</v>
      </c>
    </row>
    <row r="2477">
      <c r="A2477" s="9" t="s">
        <v>7811</v>
      </c>
      <c r="B2477" s="20" t="str">
        <f>IFERROR(__xludf.DUMMYFUNCTION("REGEXREPLACE(A2477, ""^https?://[^/]+"", """")"),"/wp-content/themes/salesxceleratione/assets/css/style.css?ver=1769123662")</f>
        <v>/wp-content/themes/salesxceleratione/assets/css/style.css?ver=1769123662</v>
      </c>
      <c r="F2477" s="1" t="s">
        <v>1016</v>
      </c>
      <c r="G2477" s="1">
        <v>200.0</v>
      </c>
      <c r="H2477" s="1" t="s">
        <v>966</v>
      </c>
      <c r="I2477" s="1" t="s">
        <v>967</v>
      </c>
      <c r="L2477" s="1">
        <v>0.0</v>
      </c>
      <c r="M2477" s="1">
        <v>0.0</v>
      </c>
      <c r="O2477" s="1">
        <v>0.0</v>
      </c>
      <c r="P2477" s="1">
        <v>0.0</v>
      </c>
      <c r="R2477" s="1">
        <v>0.0</v>
      </c>
      <c r="S2477" s="1">
        <v>0.0</v>
      </c>
      <c r="U2477" s="1">
        <v>0.0</v>
      </c>
      <c r="W2477" s="1">
        <v>0.0</v>
      </c>
      <c r="Y2477" s="1">
        <v>0.0</v>
      </c>
      <c r="AA2477" s="1">
        <v>0.0</v>
      </c>
      <c r="AC2477" s="1">
        <v>0.0</v>
      </c>
      <c r="AM2477" s="1">
        <v>17704.0</v>
      </c>
      <c r="AN2477" s="1">
        <v>17704.0</v>
      </c>
      <c r="AO2477" s="1">
        <v>17704.0</v>
      </c>
      <c r="AP2477" s="1">
        <v>6.782</v>
      </c>
      <c r="AR2477" s="1">
        <v>0.0</v>
      </c>
      <c r="AW2477" s="1">
        <v>0.0</v>
      </c>
      <c r="AX2477" s="1">
        <v>5.0</v>
      </c>
      <c r="AY2477" s="1">
        <v>5.0</v>
      </c>
      <c r="BA2477" s="1">
        <v>0.0</v>
      </c>
      <c r="BB2477" s="1">
        <v>0.0</v>
      </c>
      <c r="BC2477" s="1">
        <v>0.0</v>
      </c>
      <c r="BD2477" s="1">
        <v>0.0</v>
      </c>
      <c r="BE2477" s="1">
        <v>0.0</v>
      </c>
      <c r="BF2477" s="1">
        <v>0.0</v>
      </c>
      <c r="BG2477" s="1">
        <v>0.0</v>
      </c>
      <c r="BH2477" s="1">
        <v>0.0</v>
      </c>
      <c r="BI2477" s="1">
        <v>0.0</v>
      </c>
      <c r="BJ2477" s="1">
        <v>0.0</v>
      </c>
      <c r="BP2477" s="1">
        <v>0.263</v>
      </c>
      <c r="BQ2477" s="1" t="s">
        <v>6673</v>
      </c>
      <c r="BV2477" s="1">
        <v>1.1</v>
      </c>
      <c r="EQ2477" s="9" t="s">
        <v>7811</v>
      </c>
      <c r="ER2477" s="21">
        <v>46045.30260416667</v>
      </c>
    </row>
    <row r="2478">
      <c r="A2478" s="9" t="s">
        <v>7812</v>
      </c>
      <c r="B2478" s="20" t="str">
        <f>IFERROR(__xludf.DUMMYFUNCTION("REGEXREPLACE(A2478, ""^https?://[^/]+"", """")"),"/wp-content/uploads/2022/12/Recession-Proof-Sales-Strategy.jpg")</f>
        <v>/wp-content/uploads/2022/12/Recession-Proof-Sales-Strategy.jpg</v>
      </c>
      <c r="F2478" s="1" t="s">
        <v>1004</v>
      </c>
      <c r="G2478" s="1">
        <v>200.0</v>
      </c>
      <c r="H2478" s="1" t="s">
        <v>966</v>
      </c>
      <c r="I2478" s="1" t="s">
        <v>967</v>
      </c>
      <c r="L2478" s="1">
        <v>0.0</v>
      </c>
      <c r="M2478" s="1">
        <v>0.0</v>
      </c>
      <c r="O2478" s="1">
        <v>0.0</v>
      </c>
      <c r="P2478" s="1">
        <v>0.0</v>
      </c>
      <c r="R2478" s="1">
        <v>0.0</v>
      </c>
      <c r="S2478" s="1">
        <v>0.0</v>
      </c>
      <c r="U2478" s="1">
        <v>0.0</v>
      </c>
      <c r="W2478" s="1">
        <v>0.0</v>
      </c>
      <c r="Y2478" s="1">
        <v>0.0</v>
      </c>
      <c r="AA2478" s="1">
        <v>0.0</v>
      </c>
      <c r="AC2478" s="1">
        <v>0.0</v>
      </c>
      <c r="AM2478" s="1">
        <v>272208.0</v>
      </c>
      <c r="AN2478" s="1">
        <v>272208.0</v>
      </c>
      <c r="AO2478" s="1">
        <v>272208.0</v>
      </c>
      <c r="AP2478" s="1">
        <v>104.278</v>
      </c>
      <c r="AR2478" s="1">
        <v>0.0</v>
      </c>
      <c r="AW2478" s="1">
        <v>0.0</v>
      </c>
      <c r="AX2478" s="1">
        <v>5.0</v>
      </c>
      <c r="AY2478" s="1">
        <v>4.0</v>
      </c>
      <c r="BA2478" s="1">
        <v>0.0</v>
      </c>
      <c r="BB2478" s="1">
        <v>0.0</v>
      </c>
      <c r="BC2478" s="1">
        <v>0.0</v>
      </c>
      <c r="BD2478" s="1">
        <v>0.0</v>
      </c>
      <c r="BE2478" s="1">
        <v>0.0</v>
      </c>
      <c r="BF2478" s="1">
        <v>0.0</v>
      </c>
      <c r="BG2478" s="1">
        <v>0.0</v>
      </c>
      <c r="BH2478" s="1">
        <v>0.0</v>
      </c>
      <c r="BI2478" s="1">
        <v>0.0</v>
      </c>
      <c r="BJ2478" s="1">
        <v>0.0</v>
      </c>
      <c r="BP2478" s="1">
        <v>0.303</v>
      </c>
      <c r="BQ2478" s="1" t="s">
        <v>7813</v>
      </c>
      <c r="BV2478" s="1">
        <v>1.1</v>
      </c>
      <c r="EQ2478" s="9" t="s">
        <v>7812</v>
      </c>
      <c r="ER2478" s="21">
        <v>46045.30260416667</v>
      </c>
    </row>
    <row r="2479">
      <c r="A2479" s="9" t="s">
        <v>7814</v>
      </c>
      <c r="B2479" s="20" t="str">
        <f>IFERROR(__xludf.DUMMYFUNCTION("REGEXREPLACE(A2479, ""^https?://[^/]+"", """")"),"/wp-content/themes/salesxceleratione/assets/css/style.css?ver=1769123661")</f>
        <v>/wp-content/themes/salesxceleratione/assets/css/style.css?ver=1769123661</v>
      </c>
      <c r="F2479" s="1" t="s">
        <v>1016</v>
      </c>
      <c r="G2479" s="1">
        <v>200.0</v>
      </c>
      <c r="H2479" s="1" t="s">
        <v>966</v>
      </c>
      <c r="I2479" s="1" t="s">
        <v>967</v>
      </c>
      <c r="L2479" s="1">
        <v>0.0</v>
      </c>
      <c r="M2479" s="1">
        <v>0.0</v>
      </c>
      <c r="O2479" s="1">
        <v>0.0</v>
      </c>
      <c r="P2479" s="1">
        <v>0.0</v>
      </c>
      <c r="R2479" s="1">
        <v>0.0</v>
      </c>
      <c r="S2479" s="1">
        <v>0.0</v>
      </c>
      <c r="U2479" s="1">
        <v>0.0</v>
      </c>
      <c r="W2479" s="1">
        <v>0.0</v>
      </c>
      <c r="Y2479" s="1">
        <v>0.0</v>
      </c>
      <c r="AA2479" s="1">
        <v>0.0</v>
      </c>
      <c r="AC2479" s="1">
        <v>0.0</v>
      </c>
      <c r="AM2479" s="1">
        <v>17704.0</v>
      </c>
      <c r="AN2479" s="1">
        <v>17704.0</v>
      </c>
      <c r="AO2479" s="1">
        <v>17704.0</v>
      </c>
      <c r="AP2479" s="1">
        <v>6.782</v>
      </c>
      <c r="AR2479" s="1">
        <v>0.0</v>
      </c>
      <c r="AW2479" s="1">
        <v>0.0</v>
      </c>
      <c r="AX2479" s="1">
        <v>5.0</v>
      </c>
      <c r="AY2479" s="1">
        <v>5.0</v>
      </c>
      <c r="BA2479" s="1">
        <v>0.0</v>
      </c>
      <c r="BB2479" s="1">
        <v>0.0</v>
      </c>
      <c r="BC2479" s="1">
        <v>0.0</v>
      </c>
      <c r="BD2479" s="1">
        <v>0.0</v>
      </c>
      <c r="BE2479" s="1">
        <v>0.0</v>
      </c>
      <c r="BF2479" s="1">
        <v>0.0</v>
      </c>
      <c r="BG2479" s="1">
        <v>0.0</v>
      </c>
      <c r="BH2479" s="1">
        <v>0.0</v>
      </c>
      <c r="BI2479" s="1">
        <v>0.0</v>
      </c>
      <c r="BJ2479" s="1">
        <v>0.0</v>
      </c>
      <c r="BP2479" s="1">
        <v>0.33</v>
      </c>
      <c r="BQ2479" s="1" t="s">
        <v>7815</v>
      </c>
      <c r="BV2479" s="1">
        <v>1.1</v>
      </c>
      <c r="EQ2479" s="9" t="s">
        <v>7814</v>
      </c>
      <c r="ER2479" s="21">
        <v>46045.302615740744</v>
      </c>
    </row>
    <row r="2480">
      <c r="A2480" s="9" t="s">
        <v>7816</v>
      </c>
      <c r="B2480" s="20" t="str">
        <f>IFERROR(__xludf.DUMMYFUNCTION("REGEXREPLACE(A2480, ""^https?://[^/]+"", """")"),"/wp-content/uploads/2021/06/competitive-analysis-500.jpg")</f>
        <v>/wp-content/uploads/2021/06/competitive-analysis-500.jpg</v>
      </c>
      <c r="F2480" s="1" t="s">
        <v>1004</v>
      </c>
      <c r="G2480" s="1">
        <v>200.0</v>
      </c>
      <c r="H2480" s="1" t="s">
        <v>966</v>
      </c>
      <c r="I2480" s="1" t="s">
        <v>967</v>
      </c>
      <c r="L2480" s="1">
        <v>0.0</v>
      </c>
      <c r="M2480" s="1">
        <v>0.0</v>
      </c>
      <c r="O2480" s="1">
        <v>0.0</v>
      </c>
      <c r="P2480" s="1">
        <v>0.0</v>
      </c>
      <c r="R2480" s="1">
        <v>0.0</v>
      </c>
      <c r="S2480" s="1">
        <v>0.0</v>
      </c>
      <c r="U2480" s="1">
        <v>0.0</v>
      </c>
      <c r="W2480" s="1">
        <v>0.0</v>
      </c>
      <c r="Y2480" s="1">
        <v>0.0</v>
      </c>
      <c r="AA2480" s="1">
        <v>0.0</v>
      </c>
      <c r="AC2480" s="1">
        <v>0.0</v>
      </c>
      <c r="AM2480" s="1">
        <v>41470.0</v>
      </c>
      <c r="AN2480" s="1">
        <v>41470.0</v>
      </c>
      <c r="AO2480" s="1">
        <v>41470.0</v>
      </c>
      <c r="AP2480" s="1">
        <v>15.886</v>
      </c>
      <c r="AR2480" s="1">
        <v>0.0</v>
      </c>
      <c r="AW2480" s="1">
        <v>0.0</v>
      </c>
      <c r="AX2480" s="1">
        <v>5.0</v>
      </c>
      <c r="AY2480" s="1">
        <v>4.0</v>
      </c>
      <c r="BA2480" s="1">
        <v>0.0</v>
      </c>
      <c r="BB2480" s="1">
        <v>0.0</v>
      </c>
      <c r="BC2480" s="1">
        <v>0.0</v>
      </c>
      <c r="BD2480" s="1">
        <v>0.0</v>
      </c>
      <c r="BE2480" s="1">
        <v>0.0</v>
      </c>
      <c r="BF2480" s="1">
        <v>0.0</v>
      </c>
      <c r="BG2480" s="1">
        <v>0.0</v>
      </c>
      <c r="BH2480" s="1">
        <v>0.0</v>
      </c>
      <c r="BI2480" s="1">
        <v>0.0</v>
      </c>
      <c r="BJ2480" s="1">
        <v>0.0</v>
      </c>
      <c r="BP2480" s="1">
        <v>0.267</v>
      </c>
      <c r="BQ2480" s="1" t="s">
        <v>7817</v>
      </c>
      <c r="BV2480" s="1">
        <v>1.1</v>
      </c>
      <c r="EQ2480" s="9" t="s">
        <v>7816</v>
      </c>
      <c r="ER2480" s="21">
        <v>46045.302615740744</v>
      </c>
    </row>
    <row r="2481">
      <c r="A2481" s="9" t="s">
        <v>6666</v>
      </c>
      <c r="B2481" s="20" t="str">
        <f>IFERROR(__xludf.DUMMYFUNCTION("REGEXREPLACE(A2481, ""^https?://[^/]+"", """")"),"/no-access/")</f>
        <v>/no-access/</v>
      </c>
      <c r="C2481" s="1" t="s">
        <v>6664</v>
      </c>
      <c r="F2481" s="1" t="s">
        <v>965</v>
      </c>
      <c r="G2481" s="1">
        <v>200.0</v>
      </c>
      <c r="H2481" s="1" t="s">
        <v>966</v>
      </c>
      <c r="I2481" s="1" t="s">
        <v>967</v>
      </c>
      <c r="K2481" s="1" t="s">
        <v>6665</v>
      </c>
      <c r="L2481" s="1">
        <v>29.0</v>
      </c>
      <c r="M2481" s="1">
        <v>265.0</v>
      </c>
      <c r="O2481" s="1">
        <v>0.0</v>
      </c>
      <c r="P2481" s="1">
        <v>0.0</v>
      </c>
      <c r="R2481" s="1">
        <v>0.0</v>
      </c>
      <c r="S2481" s="1">
        <v>0.0</v>
      </c>
      <c r="U2481" s="1">
        <v>0.0</v>
      </c>
      <c r="V2481" s="1" t="s">
        <v>6664</v>
      </c>
      <c r="W2481" s="1">
        <v>9.0</v>
      </c>
      <c r="Y2481" s="1">
        <v>0.0</v>
      </c>
      <c r="AA2481" s="1">
        <v>0.0</v>
      </c>
      <c r="AC2481" s="1">
        <v>0.0</v>
      </c>
      <c r="AD2481" s="1" t="s">
        <v>971</v>
      </c>
      <c r="AG2481" s="9" t="s">
        <v>6666</v>
      </c>
      <c r="AM2481" s="1">
        <v>145638.0</v>
      </c>
      <c r="AN2481" s="1">
        <v>28163.0</v>
      </c>
      <c r="AO2481" s="1">
        <v>28163.0</v>
      </c>
      <c r="AP2481" s="1">
        <v>10.789</v>
      </c>
      <c r="AR2481" s="1">
        <v>526.0</v>
      </c>
      <c r="AS2481" s="1">
        <v>91.0</v>
      </c>
      <c r="AT2481" s="1">
        <v>5.78</v>
      </c>
      <c r="AU2481" s="1">
        <v>61.201</v>
      </c>
      <c r="AV2481" s="1" t="s">
        <v>990</v>
      </c>
      <c r="AW2481" s="1">
        <v>3.862</v>
      </c>
      <c r="AX2481" s="1">
        <v>5.0</v>
      </c>
      <c r="AY2481" s="1">
        <v>1.0</v>
      </c>
      <c r="AZ2481" s="1">
        <v>11.0</v>
      </c>
      <c r="BA2481" s="1">
        <v>0.0</v>
      </c>
      <c r="BB2481" s="1">
        <v>0.0</v>
      </c>
      <c r="BC2481" s="1">
        <v>0.0</v>
      </c>
      <c r="BD2481" s="1">
        <v>0.0</v>
      </c>
      <c r="BE2481" s="1">
        <v>122.0</v>
      </c>
      <c r="BF2481" s="1">
        <v>42.0</v>
      </c>
      <c r="BG2481" s="1">
        <v>0.0</v>
      </c>
      <c r="BH2481" s="1">
        <v>16.0</v>
      </c>
      <c r="BI2481" s="1">
        <v>8.0</v>
      </c>
      <c r="BJ2481" s="1">
        <v>0.0</v>
      </c>
      <c r="BO2481" s="1" t="s">
        <v>7818</v>
      </c>
      <c r="BP2481" s="1">
        <v>0.959</v>
      </c>
      <c r="BU2481" s="1" t="s">
        <v>974</v>
      </c>
      <c r="BV2481" s="1">
        <v>1.1</v>
      </c>
      <c r="EQ2481" s="9" t="s">
        <v>6666</v>
      </c>
      <c r="ER2481" s="21">
        <v>46045.30260416667</v>
      </c>
    </row>
    <row r="2482">
      <c r="A2482" s="9" t="s">
        <v>6713</v>
      </c>
      <c r="B2482" s="20" t="str">
        <f>IFERROR(__xludf.DUMMYFUNCTION("REGEXREPLACE(A2482, ""^https?://[^/]+"", """")"),"/sales-agility-assessment/?locationid=27833113")</f>
        <v>/sales-agility-assessment/?locationid=27833113</v>
      </c>
      <c r="C2482" s="1" t="s">
        <v>1381</v>
      </c>
      <c r="F2482" s="1" t="s">
        <v>965</v>
      </c>
      <c r="G2482" s="1">
        <v>200.0</v>
      </c>
      <c r="H2482" s="1" t="s">
        <v>966</v>
      </c>
      <c r="I2482" s="1" t="s">
        <v>1214</v>
      </c>
      <c r="J2482" s="1" t="s">
        <v>1215</v>
      </c>
      <c r="K2482" s="1" t="s">
        <v>1382</v>
      </c>
      <c r="L2482" s="1">
        <v>79.0</v>
      </c>
      <c r="M2482" s="1">
        <v>719.0</v>
      </c>
      <c r="O2482" s="1">
        <v>0.0</v>
      </c>
      <c r="P2482" s="1">
        <v>0.0</v>
      </c>
      <c r="Q2482" s="1" t="s">
        <v>1383</v>
      </c>
      <c r="R2482" s="1">
        <v>155.0</v>
      </c>
      <c r="S2482" s="1">
        <v>970.0</v>
      </c>
      <c r="U2482" s="1">
        <v>0.0</v>
      </c>
      <c r="V2482" s="1" t="s">
        <v>1381</v>
      </c>
      <c r="W2482" s="1">
        <v>31.0</v>
      </c>
      <c r="Y2482" s="1">
        <v>0.0</v>
      </c>
      <c r="AA2482" s="1">
        <v>0.0</v>
      </c>
      <c r="AC2482" s="1">
        <v>0.0</v>
      </c>
      <c r="AD2482" s="1" t="s">
        <v>971</v>
      </c>
      <c r="AG2482" s="9" t="s">
        <v>1380</v>
      </c>
      <c r="AM2482" s="1">
        <v>221354.0</v>
      </c>
      <c r="AN2482" s="1">
        <v>43059.0</v>
      </c>
      <c r="AO2482" s="1">
        <v>43059.0</v>
      </c>
      <c r="AP2482" s="1">
        <v>16.495</v>
      </c>
      <c r="AR2482" s="1">
        <v>1077.0</v>
      </c>
      <c r="AS2482" s="1">
        <v>195.0</v>
      </c>
      <c r="AT2482" s="1">
        <v>5.523</v>
      </c>
      <c r="AU2482" s="1">
        <v>72.247</v>
      </c>
      <c r="AV2482" s="1" t="s">
        <v>1264</v>
      </c>
      <c r="AW2482" s="1">
        <v>5.467</v>
      </c>
      <c r="AX2482" s="1">
        <v>5.0</v>
      </c>
      <c r="AY2482" s="1">
        <v>1.0</v>
      </c>
      <c r="BA2482" s="1">
        <v>0.0</v>
      </c>
      <c r="BB2482" s="1">
        <v>0.0</v>
      </c>
      <c r="BC2482" s="1">
        <v>0.0</v>
      </c>
      <c r="BD2482" s="1">
        <v>0.0</v>
      </c>
      <c r="BE2482" s="1">
        <v>121.0</v>
      </c>
      <c r="BF2482" s="1">
        <v>42.0</v>
      </c>
      <c r="BG2482" s="1">
        <v>0.0</v>
      </c>
      <c r="BH2482" s="1">
        <v>16.0</v>
      </c>
      <c r="BI2482" s="1">
        <v>8.0</v>
      </c>
      <c r="BJ2482" s="1">
        <v>0.0</v>
      </c>
      <c r="BO2482" s="1" t="s">
        <v>7819</v>
      </c>
      <c r="BP2482" s="1">
        <v>1.359</v>
      </c>
      <c r="BU2482" s="1" t="s">
        <v>974</v>
      </c>
      <c r="BV2482" s="1">
        <v>1.1</v>
      </c>
      <c r="EQ2482" s="9" t="s">
        <v>6713</v>
      </c>
      <c r="ER2482" s="21">
        <v>46045.30260416667</v>
      </c>
    </row>
    <row r="2483">
      <c r="A2483" s="9" t="s">
        <v>7820</v>
      </c>
      <c r="B2483" s="20" t="str">
        <f>IFERROR(__xludf.DUMMYFUNCTION("REGEXREPLACE(A2483, ""^https?://[^/]+"", """")"),"/wp-content/uploads/2018/11/shutterstock_145160692-scaled-2048x2048.jpg")</f>
        <v>/wp-content/uploads/2018/11/shutterstock_145160692-scaled-2048x2048.jpg</v>
      </c>
      <c r="F2483" s="1" t="s">
        <v>1004</v>
      </c>
      <c r="G2483" s="1">
        <v>200.0</v>
      </c>
      <c r="H2483" s="1" t="s">
        <v>966</v>
      </c>
      <c r="I2483" s="1" t="s">
        <v>967</v>
      </c>
      <c r="L2483" s="1">
        <v>0.0</v>
      </c>
      <c r="M2483" s="1">
        <v>0.0</v>
      </c>
      <c r="O2483" s="1">
        <v>0.0</v>
      </c>
      <c r="P2483" s="1">
        <v>0.0</v>
      </c>
      <c r="R2483" s="1">
        <v>0.0</v>
      </c>
      <c r="S2483" s="1">
        <v>0.0</v>
      </c>
      <c r="U2483" s="1">
        <v>0.0</v>
      </c>
      <c r="W2483" s="1">
        <v>0.0</v>
      </c>
      <c r="Y2483" s="1">
        <v>0.0</v>
      </c>
      <c r="AA2483" s="1">
        <v>0.0</v>
      </c>
      <c r="AC2483" s="1">
        <v>0.0</v>
      </c>
      <c r="AM2483" s="1">
        <v>325275.0</v>
      </c>
      <c r="AN2483" s="1">
        <v>325275.0</v>
      </c>
      <c r="AO2483" s="1">
        <v>325275.0</v>
      </c>
      <c r="AP2483" s="1">
        <v>124.607</v>
      </c>
      <c r="AR2483" s="1">
        <v>0.0</v>
      </c>
      <c r="AW2483" s="1">
        <v>0.0</v>
      </c>
      <c r="AX2483" s="1">
        <v>5.0</v>
      </c>
      <c r="AY2483" s="1">
        <v>4.0</v>
      </c>
      <c r="BA2483" s="1">
        <v>0.0</v>
      </c>
      <c r="BB2483" s="1">
        <v>0.0</v>
      </c>
      <c r="BC2483" s="1">
        <v>0.0</v>
      </c>
      <c r="BD2483" s="1">
        <v>0.0</v>
      </c>
      <c r="BE2483" s="1">
        <v>0.0</v>
      </c>
      <c r="BF2483" s="1">
        <v>0.0</v>
      </c>
      <c r="BG2483" s="1">
        <v>0.0</v>
      </c>
      <c r="BH2483" s="1">
        <v>0.0</v>
      </c>
      <c r="BI2483" s="1">
        <v>0.0</v>
      </c>
      <c r="BJ2483" s="1">
        <v>0.0</v>
      </c>
      <c r="BP2483" s="1">
        <v>0.273</v>
      </c>
      <c r="BQ2483" s="1" t="s">
        <v>7821</v>
      </c>
      <c r="BV2483" s="1">
        <v>1.1</v>
      </c>
      <c r="EQ2483" s="9" t="s">
        <v>7820</v>
      </c>
      <c r="ER2483" s="21">
        <v>46045.30262731481</v>
      </c>
    </row>
    <row r="2484">
      <c r="A2484" s="9" t="s">
        <v>7822</v>
      </c>
      <c r="B2484" s="20" t="str">
        <f>IFERROR(__xludf.DUMMYFUNCTION("REGEXREPLACE(A2484, ""^https?://[^/]+"", """")"),"/wp-content/uploads/2023/02/Remote-Work.jpeg")</f>
        <v>/wp-content/uploads/2023/02/Remote-Work.jpeg</v>
      </c>
      <c r="F2484" s="1" t="s">
        <v>1004</v>
      </c>
      <c r="G2484" s="1">
        <v>200.0</v>
      </c>
      <c r="H2484" s="1" t="s">
        <v>966</v>
      </c>
      <c r="I2484" s="1" t="s">
        <v>967</v>
      </c>
      <c r="L2484" s="1">
        <v>0.0</v>
      </c>
      <c r="M2484" s="1">
        <v>0.0</v>
      </c>
      <c r="O2484" s="1">
        <v>0.0</v>
      </c>
      <c r="P2484" s="1">
        <v>0.0</v>
      </c>
      <c r="R2484" s="1">
        <v>0.0</v>
      </c>
      <c r="S2484" s="1">
        <v>0.0</v>
      </c>
      <c r="U2484" s="1">
        <v>0.0</v>
      </c>
      <c r="W2484" s="1">
        <v>0.0</v>
      </c>
      <c r="Y2484" s="1">
        <v>0.0</v>
      </c>
      <c r="AA2484" s="1">
        <v>0.0</v>
      </c>
      <c r="AC2484" s="1">
        <v>0.0</v>
      </c>
      <c r="AM2484" s="1">
        <v>54820.0</v>
      </c>
      <c r="AN2484" s="1">
        <v>54820.0</v>
      </c>
      <c r="AO2484" s="1">
        <v>54820.0</v>
      </c>
      <c r="AP2484" s="1">
        <v>21.001</v>
      </c>
      <c r="AR2484" s="1">
        <v>0.0</v>
      </c>
      <c r="AW2484" s="1">
        <v>0.0</v>
      </c>
      <c r="AX2484" s="1">
        <v>5.0</v>
      </c>
      <c r="AY2484" s="1">
        <v>4.0</v>
      </c>
      <c r="BA2484" s="1">
        <v>0.0</v>
      </c>
      <c r="BB2484" s="1">
        <v>0.0</v>
      </c>
      <c r="BC2484" s="1">
        <v>0.0</v>
      </c>
      <c r="BD2484" s="1">
        <v>0.0</v>
      </c>
      <c r="BE2484" s="1">
        <v>0.0</v>
      </c>
      <c r="BF2484" s="1">
        <v>0.0</v>
      </c>
      <c r="BG2484" s="1">
        <v>0.0</v>
      </c>
      <c r="BH2484" s="1">
        <v>0.0</v>
      </c>
      <c r="BI2484" s="1">
        <v>0.0</v>
      </c>
      <c r="BJ2484" s="1">
        <v>0.0</v>
      </c>
      <c r="BP2484" s="1">
        <v>0.277</v>
      </c>
      <c r="BQ2484" s="1" t="s">
        <v>6606</v>
      </c>
      <c r="BV2484" s="1">
        <v>1.1</v>
      </c>
      <c r="EQ2484" s="9" t="s">
        <v>7822</v>
      </c>
      <c r="ER2484" s="21">
        <v>46045.30262731481</v>
      </c>
    </row>
    <row r="2485">
      <c r="A2485" s="9" t="s">
        <v>7823</v>
      </c>
      <c r="B2485" s="20" t="str">
        <f>IFERROR(__xludf.DUMMYFUNCTION("REGEXREPLACE(A2485, ""^https?://[^/]+"", """")"),"/wp-content/uploads/2019/06/shutterstock_387729373-resized-2048x2048.jpg")</f>
        <v>/wp-content/uploads/2019/06/shutterstock_387729373-resized-2048x2048.jpg</v>
      </c>
      <c r="F2485" s="1" t="s">
        <v>1004</v>
      </c>
      <c r="G2485" s="1">
        <v>200.0</v>
      </c>
      <c r="H2485" s="1" t="s">
        <v>966</v>
      </c>
      <c r="I2485" s="1" t="s">
        <v>967</v>
      </c>
      <c r="L2485" s="1">
        <v>0.0</v>
      </c>
      <c r="M2485" s="1">
        <v>0.0</v>
      </c>
      <c r="O2485" s="1">
        <v>0.0</v>
      </c>
      <c r="P2485" s="1">
        <v>0.0</v>
      </c>
      <c r="R2485" s="1">
        <v>0.0</v>
      </c>
      <c r="S2485" s="1">
        <v>0.0</v>
      </c>
      <c r="U2485" s="1">
        <v>0.0</v>
      </c>
      <c r="W2485" s="1">
        <v>0.0</v>
      </c>
      <c r="Y2485" s="1">
        <v>0.0</v>
      </c>
      <c r="AA2485" s="1">
        <v>0.0</v>
      </c>
      <c r="AC2485" s="1">
        <v>0.0</v>
      </c>
      <c r="AM2485" s="1">
        <v>223927.0</v>
      </c>
      <c r="AN2485" s="1">
        <v>223927.0</v>
      </c>
      <c r="AO2485" s="1">
        <v>223927.0</v>
      </c>
      <c r="AP2485" s="1">
        <v>85.782</v>
      </c>
      <c r="AR2485" s="1">
        <v>0.0</v>
      </c>
      <c r="AW2485" s="1">
        <v>0.0</v>
      </c>
      <c r="AX2485" s="1">
        <v>5.0</v>
      </c>
      <c r="AY2485" s="1">
        <v>4.0</v>
      </c>
      <c r="BA2485" s="1">
        <v>0.0</v>
      </c>
      <c r="BB2485" s="1">
        <v>0.0</v>
      </c>
      <c r="BC2485" s="1">
        <v>0.0</v>
      </c>
      <c r="BD2485" s="1">
        <v>0.0</v>
      </c>
      <c r="BE2485" s="1">
        <v>0.0</v>
      </c>
      <c r="BF2485" s="1">
        <v>0.0</v>
      </c>
      <c r="BG2485" s="1">
        <v>0.0</v>
      </c>
      <c r="BH2485" s="1">
        <v>0.0</v>
      </c>
      <c r="BI2485" s="1">
        <v>0.0</v>
      </c>
      <c r="BJ2485" s="1">
        <v>0.0</v>
      </c>
      <c r="BP2485" s="1">
        <v>0.285</v>
      </c>
      <c r="BQ2485" s="1" t="s">
        <v>7824</v>
      </c>
      <c r="BV2485" s="1">
        <v>1.1</v>
      </c>
      <c r="EQ2485" s="9" t="s">
        <v>7823</v>
      </c>
      <c r="ER2485" s="21">
        <v>46045.30263888889</v>
      </c>
    </row>
    <row r="2486">
      <c r="A2486" s="9" t="s">
        <v>7825</v>
      </c>
      <c r="B2486" s="20" t="str">
        <f>IFERROR(__xludf.DUMMYFUNCTION("REGEXREPLACE(A2486, ""^https?://[^/]+"", """")"),"/why-sales-leadership-training-is-worth-the-investment/")</f>
        <v>/why-sales-leadership-training-is-worth-the-investment/</v>
      </c>
      <c r="C2486" s="1" t="s">
        <v>7826</v>
      </c>
      <c r="F2486" s="1" t="s">
        <v>965</v>
      </c>
      <c r="G2486" s="1">
        <v>200.0</v>
      </c>
      <c r="H2486" s="1" t="s">
        <v>966</v>
      </c>
      <c r="I2486" s="1" t="s">
        <v>967</v>
      </c>
      <c r="K2486" s="1" t="s">
        <v>7827</v>
      </c>
      <c r="L2486" s="1">
        <v>58.0</v>
      </c>
      <c r="M2486" s="1">
        <v>517.0</v>
      </c>
      <c r="O2486" s="1">
        <v>0.0</v>
      </c>
      <c r="P2486" s="1">
        <v>0.0</v>
      </c>
      <c r="Q2486" s="1" t="s">
        <v>7828</v>
      </c>
      <c r="R2486" s="1">
        <v>142.0</v>
      </c>
      <c r="S2486" s="1">
        <v>868.0</v>
      </c>
      <c r="U2486" s="1">
        <v>0.0</v>
      </c>
      <c r="V2486" s="1" t="s">
        <v>7826</v>
      </c>
      <c r="W2486" s="1">
        <v>53.0</v>
      </c>
      <c r="Y2486" s="1">
        <v>0.0</v>
      </c>
      <c r="AA2486" s="1">
        <v>0.0</v>
      </c>
      <c r="AC2486" s="1">
        <v>0.0</v>
      </c>
      <c r="AD2486" s="1" t="s">
        <v>971</v>
      </c>
      <c r="AG2486" s="9" t="s">
        <v>7825</v>
      </c>
      <c r="AM2486" s="1">
        <v>202084.0</v>
      </c>
      <c r="AN2486" s="1">
        <v>36029.0</v>
      </c>
      <c r="AO2486" s="1">
        <v>36029.0</v>
      </c>
      <c r="AP2486" s="1">
        <v>13.802</v>
      </c>
      <c r="AR2486" s="1">
        <v>1404.0</v>
      </c>
      <c r="AS2486" s="1">
        <v>211.0</v>
      </c>
      <c r="AT2486" s="1">
        <v>6.654</v>
      </c>
      <c r="AU2486" s="1">
        <v>56.791</v>
      </c>
      <c r="AV2486" s="1" t="s">
        <v>972</v>
      </c>
      <c r="AW2486" s="1">
        <v>5.583</v>
      </c>
      <c r="AX2486" s="1">
        <v>5.0</v>
      </c>
      <c r="AY2486" s="1">
        <v>1.0</v>
      </c>
      <c r="AZ2486" s="1">
        <v>1.0</v>
      </c>
      <c r="BA2486" s="1">
        <v>7.0</v>
      </c>
      <c r="BB2486" s="1">
        <v>6.0</v>
      </c>
      <c r="BC2486" s="1">
        <v>0.0</v>
      </c>
      <c r="BD2486" s="1">
        <v>0.8</v>
      </c>
      <c r="BE2486" s="1">
        <v>136.0</v>
      </c>
      <c r="BF2486" s="1">
        <v>49.0</v>
      </c>
      <c r="BG2486" s="1">
        <v>0.0</v>
      </c>
      <c r="BH2486" s="1">
        <v>17.0</v>
      </c>
      <c r="BI2486" s="1">
        <v>9.0</v>
      </c>
      <c r="BJ2486" s="1">
        <v>0.0</v>
      </c>
      <c r="BO2486" s="1" t="s">
        <v>7829</v>
      </c>
      <c r="BP2486" s="1">
        <v>1.04</v>
      </c>
      <c r="BU2486" s="1" t="s">
        <v>974</v>
      </c>
      <c r="BV2486" s="1">
        <v>1.1</v>
      </c>
      <c r="EQ2486" s="9" t="s">
        <v>7825</v>
      </c>
      <c r="ER2486" s="21">
        <v>46045.30262731481</v>
      </c>
    </row>
    <row r="2487">
      <c r="A2487" s="9" t="s">
        <v>7830</v>
      </c>
      <c r="B2487" s="20" t="str">
        <f>IFERROR(__xludf.DUMMYFUNCTION("REGEXREPLACE(A2487, ""^https?://[^/]+"", """")"),"/wp-content/uploads/2018/03/shutterstock_231289921.jpg")</f>
        <v>/wp-content/uploads/2018/03/shutterstock_231289921.jpg</v>
      </c>
      <c r="F2487" s="1" t="s">
        <v>1004</v>
      </c>
      <c r="G2487" s="1">
        <v>200.0</v>
      </c>
      <c r="H2487" s="1" t="s">
        <v>966</v>
      </c>
      <c r="I2487" s="1" t="s">
        <v>967</v>
      </c>
      <c r="L2487" s="1">
        <v>0.0</v>
      </c>
      <c r="M2487" s="1">
        <v>0.0</v>
      </c>
      <c r="O2487" s="1">
        <v>0.0</v>
      </c>
      <c r="P2487" s="1">
        <v>0.0</v>
      </c>
      <c r="R2487" s="1">
        <v>0.0</v>
      </c>
      <c r="S2487" s="1">
        <v>0.0</v>
      </c>
      <c r="U2487" s="1">
        <v>0.0</v>
      </c>
      <c r="W2487" s="1">
        <v>0.0</v>
      </c>
      <c r="Y2487" s="1">
        <v>0.0</v>
      </c>
      <c r="AA2487" s="1">
        <v>0.0</v>
      </c>
      <c r="AC2487" s="1">
        <v>0.0</v>
      </c>
      <c r="AM2487" s="1">
        <v>385273.0</v>
      </c>
      <c r="AN2487" s="1">
        <v>385273.0</v>
      </c>
      <c r="AO2487" s="1">
        <v>385273.0</v>
      </c>
      <c r="AP2487" s="1">
        <v>147.591</v>
      </c>
      <c r="AR2487" s="1">
        <v>0.0</v>
      </c>
      <c r="AW2487" s="1">
        <v>0.0</v>
      </c>
      <c r="AX2487" s="1">
        <v>5.0</v>
      </c>
      <c r="AY2487" s="1">
        <v>4.0</v>
      </c>
      <c r="BA2487" s="1">
        <v>0.0</v>
      </c>
      <c r="BB2487" s="1">
        <v>0.0</v>
      </c>
      <c r="BC2487" s="1">
        <v>0.0</v>
      </c>
      <c r="BD2487" s="1">
        <v>0.0</v>
      </c>
      <c r="BE2487" s="1">
        <v>0.0</v>
      </c>
      <c r="BF2487" s="1">
        <v>0.0</v>
      </c>
      <c r="BG2487" s="1">
        <v>0.0</v>
      </c>
      <c r="BH2487" s="1">
        <v>0.0</v>
      </c>
      <c r="BI2487" s="1">
        <v>0.0</v>
      </c>
      <c r="BJ2487" s="1">
        <v>0.0</v>
      </c>
      <c r="BP2487" s="1">
        <v>0.266</v>
      </c>
      <c r="BQ2487" s="1" t="s">
        <v>7831</v>
      </c>
      <c r="BV2487" s="1">
        <v>1.1</v>
      </c>
      <c r="EQ2487" s="9" t="s">
        <v>7830</v>
      </c>
      <c r="ER2487" s="21">
        <v>46045.30263888889</v>
      </c>
    </row>
    <row r="2488">
      <c r="A2488" s="9" t="s">
        <v>7832</v>
      </c>
      <c r="B2488" s="20" t="str">
        <f>IFERROR(__xludf.DUMMYFUNCTION("REGEXREPLACE(A2488, ""^https?://[^/]+"", """")"),"/wp-content/themes/salesxceleratione/assets/css/style.css?ver=1769123660")</f>
        <v>/wp-content/themes/salesxceleratione/assets/css/style.css?ver=1769123660</v>
      </c>
      <c r="F2488" s="1" t="s">
        <v>1016</v>
      </c>
      <c r="G2488" s="1">
        <v>200.0</v>
      </c>
      <c r="H2488" s="1" t="s">
        <v>966</v>
      </c>
      <c r="I2488" s="1" t="s">
        <v>967</v>
      </c>
      <c r="L2488" s="1">
        <v>0.0</v>
      </c>
      <c r="M2488" s="1">
        <v>0.0</v>
      </c>
      <c r="O2488" s="1">
        <v>0.0</v>
      </c>
      <c r="P2488" s="1">
        <v>0.0</v>
      </c>
      <c r="R2488" s="1">
        <v>0.0</v>
      </c>
      <c r="S2488" s="1">
        <v>0.0</v>
      </c>
      <c r="U2488" s="1">
        <v>0.0</v>
      </c>
      <c r="W2488" s="1">
        <v>0.0</v>
      </c>
      <c r="Y2488" s="1">
        <v>0.0</v>
      </c>
      <c r="AA2488" s="1">
        <v>0.0</v>
      </c>
      <c r="AC2488" s="1">
        <v>0.0</v>
      </c>
      <c r="AM2488" s="1">
        <v>17704.0</v>
      </c>
      <c r="AN2488" s="1">
        <v>17704.0</v>
      </c>
      <c r="AO2488" s="1">
        <v>17704.0</v>
      </c>
      <c r="AP2488" s="1">
        <v>6.782</v>
      </c>
      <c r="AR2488" s="1">
        <v>0.0</v>
      </c>
      <c r="AW2488" s="1">
        <v>0.0</v>
      </c>
      <c r="AX2488" s="1">
        <v>5.0</v>
      </c>
      <c r="AY2488" s="1">
        <v>5.0</v>
      </c>
      <c r="BA2488" s="1">
        <v>0.0</v>
      </c>
      <c r="BB2488" s="1">
        <v>0.0</v>
      </c>
      <c r="BC2488" s="1">
        <v>0.0</v>
      </c>
      <c r="BD2488" s="1">
        <v>0.0</v>
      </c>
      <c r="BE2488" s="1">
        <v>0.0</v>
      </c>
      <c r="BF2488" s="1">
        <v>0.0</v>
      </c>
      <c r="BG2488" s="1">
        <v>0.0</v>
      </c>
      <c r="BH2488" s="1">
        <v>0.0</v>
      </c>
      <c r="BI2488" s="1">
        <v>0.0</v>
      </c>
      <c r="BJ2488" s="1">
        <v>0.0</v>
      </c>
      <c r="BP2488" s="1">
        <v>0.292</v>
      </c>
      <c r="BQ2488" s="1" t="s">
        <v>7833</v>
      </c>
      <c r="BV2488" s="1">
        <v>1.1</v>
      </c>
      <c r="EQ2488" s="9" t="s">
        <v>7832</v>
      </c>
      <c r="ER2488" s="21">
        <v>46045.30263888889</v>
      </c>
    </row>
    <row r="2489">
      <c r="A2489" s="9" t="s">
        <v>7834</v>
      </c>
      <c r="B2489" s="20" t="str">
        <f>IFERROR(__xludf.DUMMYFUNCTION("REGEXREPLACE(A2489, ""^https?://[^/]+"", """")"),"/should-your-salesperson-be-in-the-game-on-the-bench-or-off-the-team/")</f>
        <v>/should-your-salesperson-be-in-the-game-on-the-bench-or-off-the-team/</v>
      </c>
      <c r="C2489" s="1" t="s">
        <v>7835</v>
      </c>
      <c r="F2489" s="1" t="s">
        <v>965</v>
      </c>
      <c r="G2489" s="1">
        <v>200.0</v>
      </c>
      <c r="H2489" s="1" t="s">
        <v>966</v>
      </c>
      <c r="I2489" s="1" t="s">
        <v>967</v>
      </c>
      <c r="K2489" s="1" t="s">
        <v>7836</v>
      </c>
      <c r="L2489" s="1">
        <v>95.0</v>
      </c>
      <c r="M2489" s="1">
        <v>867.0</v>
      </c>
      <c r="O2489" s="1">
        <v>0.0</v>
      </c>
      <c r="P2489" s="1">
        <v>0.0</v>
      </c>
      <c r="Q2489" s="1" t="s">
        <v>7837</v>
      </c>
      <c r="R2489" s="1">
        <v>152.0</v>
      </c>
      <c r="S2489" s="1">
        <v>957.0</v>
      </c>
      <c r="U2489" s="1">
        <v>0.0</v>
      </c>
      <c r="V2489" s="1" t="s">
        <v>7835</v>
      </c>
      <c r="W2489" s="1">
        <v>70.0</v>
      </c>
      <c r="Y2489" s="1">
        <v>0.0</v>
      </c>
      <c r="AA2489" s="1">
        <v>0.0</v>
      </c>
      <c r="AC2489" s="1">
        <v>0.0</v>
      </c>
      <c r="AD2489" s="1" t="s">
        <v>971</v>
      </c>
      <c r="AG2489" s="9" t="s">
        <v>7834</v>
      </c>
      <c r="AM2489" s="1">
        <v>202699.0</v>
      </c>
      <c r="AN2489" s="1">
        <v>36409.0</v>
      </c>
      <c r="AO2489" s="1">
        <v>36409.0</v>
      </c>
      <c r="AP2489" s="1">
        <v>13.948</v>
      </c>
      <c r="AR2489" s="1">
        <v>1372.0</v>
      </c>
      <c r="AS2489" s="1">
        <v>229.0</v>
      </c>
      <c r="AT2489" s="1">
        <v>5.991</v>
      </c>
      <c r="AU2489" s="1">
        <v>65.653</v>
      </c>
      <c r="AV2489" s="1" t="s">
        <v>990</v>
      </c>
      <c r="AW2489" s="1">
        <v>5.331</v>
      </c>
      <c r="AX2489" s="1">
        <v>5.0</v>
      </c>
      <c r="AY2489" s="1">
        <v>1.0</v>
      </c>
      <c r="AZ2489" s="1">
        <v>1.0</v>
      </c>
      <c r="BA2489" s="1">
        <v>5.0</v>
      </c>
      <c r="BB2489" s="1">
        <v>5.0</v>
      </c>
      <c r="BC2489" s="1">
        <v>0.0</v>
      </c>
      <c r="BD2489" s="1">
        <v>0.66</v>
      </c>
      <c r="BE2489" s="1">
        <v>134.0</v>
      </c>
      <c r="BF2489" s="1">
        <v>51.0</v>
      </c>
      <c r="BG2489" s="1">
        <v>0.0</v>
      </c>
      <c r="BH2489" s="1">
        <v>16.0</v>
      </c>
      <c r="BI2489" s="1">
        <v>8.0</v>
      </c>
      <c r="BJ2489" s="1">
        <v>0.0</v>
      </c>
      <c r="BO2489" s="1" t="s">
        <v>7838</v>
      </c>
      <c r="BP2489" s="1">
        <v>0.992</v>
      </c>
      <c r="BU2489" s="1" t="s">
        <v>974</v>
      </c>
      <c r="BV2489" s="1">
        <v>1.1</v>
      </c>
      <c r="EQ2489" s="9" t="s">
        <v>7834</v>
      </c>
      <c r="ER2489" s="21">
        <v>46045.30263888889</v>
      </c>
    </row>
    <row r="2490">
      <c r="A2490" s="9" t="s">
        <v>7839</v>
      </c>
      <c r="B2490" s="20" t="str">
        <f>IFERROR(__xludf.DUMMYFUNCTION("REGEXREPLACE(A2490, ""^https?://[^/]+"", """")"),"/active-listening-in-sales/")</f>
        <v>/active-listening-in-sales/</v>
      </c>
      <c r="C2490" s="1" t="s">
        <v>7840</v>
      </c>
      <c r="F2490" s="1" t="s">
        <v>965</v>
      </c>
      <c r="G2490" s="1">
        <v>200.0</v>
      </c>
      <c r="H2490" s="1" t="s">
        <v>966</v>
      </c>
      <c r="I2490" s="1" t="s">
        <v>967</v>
      </c>
      <c r="K2490" s="1" t="s">
        <v>7841</v>
      </c>
      <c r="L2490" s="1">
        <v>73.0</v>
      </c>
      <c r="M2490" s="1">
        <v>635.0</v>
      </c>
      <c r="O2490" s="1">
        <v>0.0</v>
      </c>
      <c r="P2490" s="1">
        <v>0.0</v>
      </c>
      <c r="Q2490" s="1" t="s">
        <v>7842</v>
      </c>
      <c r="R2490" s="1">
        <v>154.0</v>
      </c>
      <c r="S2490" s="1">
        <v>943.0</v>
      </c>
      <c r="U2490" s="1">
        <v>0.0</v>
      </c>
      <c r="V2490" s="1" t="s">
        <v>7840</v>
      </c>
      <c r="W2490" s="1">
        <v>107.0</v>
      </c>
      <c r="Y2490" s="1">
        <v>0.0</v>
      </c>
      <c r="AA2490" s="1">
        <v>0.0</v>
      </c>
      <c r="AC2490" s="1">
        <v>0.0</v>
      </c>
      <c r="AD2490" s="1" t="s">
        <v>971</v>
      </c>
      <c r="AG2490" s="9" t="s">
        <v>7839</v>
      </c>
      <c r="AM2490" s="1">
        <v>202591.0</v>
      </c>
      <c r="AN2490" s="1">
        <v>36366.0</v>
      </c>
      <c r="AO2490" s="1">
        <v>36366.0</v>
      </c>
      <c r="AP2490" s="1">
        <v>13.931</v>
      </c>
      <c r="AR2490" s="1">
        <v>1539.0</v>
      </c>
      <c r="AS2490" s="1">
        <v>230.0</v>
      </c>
      <c r="AT2490" s="1">
        <v>6.691</v>
      </c>
      <c r="AU2490" s="1">
        <v>64.705</v>
      </c>
      <c r="AV2490" s="1" t="s">
        <v>990</v>
      </c>
      <c r="AW2490" s="1">
        <v>5.911</v>
      </c>
      <c r="AX2490" s="1">
        <v>5.0</v>
      </c>
      <c r="AY2490" s="1">
        <v>1.0</v>
      </c>
      <c r="AZ2490" s="1">
        <v>1.0</v>
      </c>
      <c r="BA2490" s="1">
        <v>6.0</v>
      </c>
      <c r="BB2490" s="1">
        <v>6.0</v>
      </c>
      <c r="BC2490" s="1">
        <v>0.0</v>
      </c>
      <c r="BD2490" s="1">
        <v>0.8</v>
      </c>
      <c r="BE2490" s="1">
        <v>137.0</v>
      </c>
      <c r="BF2490" s="1">
        <v>47.0</v>
      </c>
      <c r="BG2490" s="1">
        <v>0.0</v>
      </c>
      <c r="BH2490" s="1">
        <v>16.0</v>
      </c>
      <c r="BI2490" s="1">
        <v>8.0</v>
      </c>
      <c r="BJ2490" s="1">
        <v>0.0</v>
      </c>
      <c r="BO2490" s="1" t="s">
        <v>7843</v>
      </c>
      <c r="BP2490" s="1">
        <v>1.026</v>
      </c>
      <c r="BU2490" s="1" t="s">
        <v>974</v>
      </c>
      <c r="BV2490" s="1">
        <v>1.1</v>
      </c>
      <c r="EQ2490" s="9" t="s">
        <v>7839</v>
      </c>
      <c r="ER2490" s="21">
        <v>46045.30263888889</v>
      </c>
    </row>
    <row r="2491">
      <c r="A2491" s="9" t="s">
        <v>7844</v>
      </c>
      <c r="B2491" s="20" t="str">
        <f>IFERROR(__xludf.DUMMYFUNCTION("REGEXREPLACE(A2491, ""^https?://[^/]+"", """")"),"/wp-content/uploads/2023/03/Future-of-Sales-Disruptors.jpg")</f>
        <v>/wp-content/uploads/2023/03/Future-of-Sales-Disruptors.jpg</v>
      </c>
      <c r="F2491" s="1" t="s">
        <v>1004</v>
      </c>
      <c r="G2491" s="1">
        <v>200.0</v>
      </c>
      <c r="H2491" s="1" t="s">
        <v>966</v>
      </c>
      <c r="I2491" s="1" t="s">
        <v>967</v>
      </c>
      <c r="L2491" s="1">
        <v>0.0</v>
      </c>
      <c r="M2491" s="1">
        <v>0.0</v>
      </c>
      <c r="O2491" s="1">
        <v>0.0</v>
      </c>
      <c r="P2491" s="1">
        <v>0.0</v>
      </c>
      <c r="R2491" s="1">
        <v>0.0</v>
      </c>
      <c r="S2491" s="1">
        <v>0.0</v>
      </c>
      <c r="U2491" s="1">
        <v>0.0</v>
      </c>
      <c r="W2491" s="1">
        <v>0.0</v>
      </c>
      <c r="Y2491" s="1">
        <v>0.0</v>
      </c>
      <c r="AA2491" s="1">
        <v>0.0</v>
      </c>
      <c r="AC2491" s="1">
        <v>0.0</v>
      </c>
      <c r="AM2491" s="1">
        <v>421143.0</v>
      </c>
      <c r="AN2491" s="1">
        <v>421143.0</v>
      </c>
      <c r="AO2491" s="1">
        <v>421143.0</v>
      </c>
      <c r="AP2491" s="1">
        <v>161.332</v>
      </c>
      <c r="AR2491" s="1">
        <v>0.0</v>
      </c>
      <c r="AW2491" s="1">
        <v>0.0</v>
      </c>
      <c r="AX2491" s="1">
        <v>5.0</v>
      </c>
      <c r="AY2491" s="1">
        <v>4.0</v>
      </c>
      <c r="BA2491" s="1">
        <v>0.0</v>
      </c>
      <c r="BB2491" s="1">
        <v>0.0</v>
      </c>
      <c r="BC2491" s="1">
        <v>0.0</v>
      </c>
      <c r="BD2491" s="1">
        <v>0.0</v>
      </c>
      <c r="BE2491" s="1">
        <v>0.0</v>
      </c>
      <c r="BF2491" s="1">
        <v>0.0</v>
      </c>
      <c r="BG2491" s="1">
        <v>0.0</v>
      </c>
      <c r="BH2491" s="1">
        <v>0.0</v>
      </c>
      <c r="BI2491" s="1">
        <v>0.0</v>
      </c>
      <c r="BJ2491" s="1">
        <v>0.0</v>
      </c>
      <c r="BP2491" s="1">
        <v>0.26</v>
      </c>
      <c r="BQ2491" s="1" t="s">
        <v>7845</v>
      </c>
      <c r="BV2491" s="1">
        <v>1.1</v>
      </c>
      <c r="EQ2491" s="9" t="s">
        <v>7844</v>
      </c>
      <c r="ER2491" s="21">
        <v>46045.30267361111</v>
      </c>
    </row>
    <row r="2492">
      <c r="A2492" s="9" t="s">
        <v>7846</v>
      </c>
      <c r="B2492" s="20" t="str">
        <f>IFERROR(__xludf.DUMMYFUNCTION("REGEXREPLACE(A2492, ""^https?://[^/]+"", """")"),"/wp-content/uploads/2021/07/Exit-Strategy-scaled-1-2048x2048.jpg")</f>
        <v>/wp-content/uploads/2021/07/Exit-Strategy-scaled-1-2048x2048.jpg</v>
      </c>
      <c r="F2492" s="1" t="s">
        <v>1004</v>
      </c>
      <c r="G2492" s="1">
        <v>200.0</v>
      </c>
      <c r="H2492" s="1" t="s">
        <v>966</v>
      </c>
      <c r="I2492" s="1" t="s">
        <v>967</v>
      </c>
      <c r="L2492" s="1">
        <v>0.0</v>
      </c>
      <c r="M2492" s="1">
        <v>0.0</v>
      </c>
      <c r="O2492" s="1">
        <v>0.0</v>
      </c>
      <c r="P2492" s="1">
        <v>0.0</v>
      </c>
      <c r="R2492" s="1">
        <v>0.0</v>
      </c>
      <c r="S2492" s="1">
        <v>0.0</v>
      </c>
      <c r="U2492" s="1">
        <v>0.0</v>
      </c>
      <c r="W2492" s="1">
        <v>0.0</v>
      </c>
      <c r="Y2492" s="1">
        <v>0.0</v>
      </c>
      <c r="AA2492" s="1">
        <v>0.0</v>
      </c>
      <c r="AC2492" s="1">
        <v>0.0</v>
      </c>
      <c r="AM2492" s="1">
        <v>269988.0</v>
      </c>
      <c r="AN2492" s="1">
        <v>269988.0</v>
      </c>
      <c r="AO2492" s="1">
        <v>269988.0</v>
      </c>
      <c r="AP2492" s="1">
        <v>103.427</v>
      </c>
      <c r="AR2492" s="1">
        <v>0.0</v>
      </c>
      <c r="AW2492" s="1">
        <v>0.0</v>
      </c>
      <c r="AX2492" s="1">
        <v>5.0</v>
      </c>
      <c r="AY2492" s="1">
        <v>4.0</v>
      </c>
      <c r="BA2492" s="1">
        <v>0.0</v>
      </c>
      <c r="BB2492" s="1">
        <v>0.0</v>
      </c>
      <c r="BC2492" s="1">
        <v>0.0</v>
      </c>
      <c r="BD2492" s="1">
        <v>0.0</v>
      </c>
      <c r="BE2492" s="1">
        <v>0.0</v>
      </c>
      <c r="BF2492" s="1">
        <v>0.0</v>
      </c>
      <c r="BG2492" s="1">
        <v>0.0</v>
      </c>
      <c r="BH2492" s="1">
        <v>0.0</v>
      </c>
      <c r="BI2492" s="1">
        <v>0.0</v>
      </c>
      <c r="BJ2492" s="1">
        <v>0.0</v>
      </c>
      <c r="BP2492" s="1">
        <v>0.283</v>
      </c>
      <c r="BQ2492" s="1" t="s">
        <v>7847</v>
      </c>
      <c r="BV2492" s="1">
        <v>1.1</v>
      </c>
      <c r="EQ2492" s="9" t="s">
        <v>7846</v>
      </c>
      <c r="ER2492" s="21">
        <v>46045.30267361111</v>
      </c>
    </row>
    <row r="2493">
      <c r="A2493" s="9" t="s">
        <v>7848</v>
      </c>
      <c r="B2493" s="20" t="str">
        <f>IFERROR(__xludf.DUMMYFUNCTION("REGEXREPLACE(A2493, ""^https?://[^/]+"", """")"),"/wp-content/uploads/2021/08/choppy-blue-sea-with-blue-sky-and-sun-2048x2048.jpg")</f>
        <v>/wp-content/uploads/2021/08/choppy-blue-sea-with-blue-sky-and-sun-2048x2048.jpg</v>
      </c>
      <c r="F2493" s="1" t="s">
        <v>1004</v>
      </c>
      <c r="G2493" s="1">
        <v>200.0</v>
      </c>
      <c r="H2493" s="1" t="s">
        <v>966</v>
      </c>
      <c r="I2493" s="1" t="s">
        <v>967</v>
      </c>
      <c r="L2493" s="1">
        <v>0.0</v>
      </c>
      <c r="M2493" s="1">
        <v>0.0</v>
      </c>
      <c r="O2493" s="1">
        <v>0.0</v>
      </c>
      <c r="P2493" s="1">
        <v>0.0</v>
      </c>
      <c r="R2493" s="1">
        <v>0.0</v>
      </c>
      <c r="S2493" s="1">
        <v>0.0</v>
      </c>
      <c r="U2493" s="1">
        <v>0.0</v>
      </c>
      <c r="W2493" s="1">
        <v>0.0</v>
      </c>
      <c r="Y2493" s="1">
        <v>0.0</v>
      </c>
      <c r="AA2493" s="1">
        <v>0.0</v>
      </c>
      <c r="AC2493" s="1">
        <v>0.0</v>
      </c>
      <c r="AM2493" s="1">
        <v>275214.0</v>
      </c>
      <c r="AN2493" s="1">
        <v>275214.0</v>
      </c>
      <c r="AO2493" s="1">
        <v>275214.0</v>
      </c>
      <c r="AP2493" s="1">
        <v>105.429</v>
      </c>
      <c r="AR2493" s="1">
        <v>0.0</v>
      </c>
      <c r="AW2493" s="1">
        <v>0.0</v>
      </c>
      <c r="AX2493" s="1">
        <v>5.0</v>
      </c>
      <c r="AY2493" s="1">
        <v>4.0</v>
      </c>
      <c r="BA2493" s="1">
        <v>0.0</v>
      </c>
      <c r="BB2493" s="1">
        <v>0.0</v>
      </c>
      <c r="BC2493" s="1">
        <v>0.0</v>
      </c>
      <c r="BD2493" s="1">
        <v>0.0</v>
      </c>
      <c r="BE2493" s="1">
        <v>0.0</v>
      </c>
      <c r="BF2493" s="1">
        <v>0.0</v>
      </c>
      <c r="BG2493" s="1">
        <v>0.0</v>
      </c>
      <c r="BH2493" s="1">
        <v>0.0</v>
      </c>
      <c r="BI2493" s="1">
        <v>0.0</v>
      </c>
      <c r="BJ2493" s="1">
        <v>0.0</v>
      </c>
      <c r="BP2493" s="1">
        <v>0.3</v>
      </c>
      <c r="BQ2493" s="1" t="s">
        <v>7849</v>
      </c>
      <c r="BV2493" s="1">
        <v>1.1</v>
      </c>
      <c r="EQ2493" s="9" t="s">
        <v>7848</v>
      </c>
      <c r="ER2493" s="21">
        <v>46045.30267361111</v>
      </c>
    </row>
    <row r="2494">
      <c r="A2494" s="9" t="s">
        <v>7850</v>
      </c>
      <c r="B2494" s="20" t="str">
        <f>IFERROR(__xludf.DUMMYFUNCTION("REGEXREPLACE(A2494, ""^https?://[^/]+"", """")"),"/wp-content/uploads/2022/09/Climbing-Mount-Whitney-California.jpg")</f>
        <v>/wp-content/uploads/2022/09/Climbing-Mount-Whitney-California.jpg</v>
      </c>
      <c r="F2494" s="1" t="s">
        <v>1004</v>
      </c>
      <c r="G2494" s="1">
        <v>200.0</v>
      </c>
      <c r="H2494" s="1" t="s">
        <v>966</v>
      </c>
      <c r="I2494" s="1" t="s">
        <v>967</v>
      </c>
      <c r="L2494" s="1">
        <v>0.0</v>
      </c>
      <c r="M2494" s="1">
        <v>0.0</v>
      </c>
      <c r="O2494" s="1">
        <v>0.0</v>
      </c>
      <c r="P2494" s="1">
        <v>0.0</v>
      </c>
      <c r="R2494" s="1">
        <v>0.0</v>
      </c>
      <c r="S2494" s="1">
        <v>0.0</v>
      </c>
      <c r="U2494" s="1">
        <v>0.0</v>
      </c>
      <c r="W2494" s="1">
        <v>0.0</v>
      </c>
      <c r="Y2494" s="1">
        <v>0.0</v>
      </c>
      <c r="AA2494" s="1">
        <v>0.0</v>
      </c>
      <c r="AC2494" s="1">
        <v>0.0</v>
      </c>
      <c r="AM2494" s="1">
        <v>339815.0</v>
      </c>
      <c r="AN2494" s="1">
        <v>339815.0</v>
      </c>
      <c r="AO2494" s="1">
        <v>339815.0</v>
      </c>
      <c r="AP2494" s="1">
        <v>130.177</v>
      </c>
      <c r="AR2494" s="1">
        <v>0.0</v>
      </c>
      <c r="AW2494" s="1">
        <v>0.0</v>
      </c>
      <c r="AX2494" s="1">
        <v>5.0</v>
      </c>
      <c r="AY2494" s="1">
        <v>4.0</v>
      </c>
      <c r="BA2494" s="1">
        <v>0.0</v>
      </c>
      <c r="BB2494" s="1">
        <v>0.0</v>
      </c>
      <c r="BC2494" s="1">
        <v>0.0</v>
      </c>
      <c r="BD2494" s="1">
        <v>0.0</v>
      </c>
      <c r="BE2494" s="1">
        <v>0.0</v>
      </c>
      <c r="BF2494" s="1">
        <v>0.0</v>
      </c>
      <c r="BG2494" s="1">
        <v>0.0</v>
      </c>
      <c r="BH2494" s="1">
        <v>0.0</v>
      </c>
      <c r="BI2494" s="1">
        <v>0.0</v>
      </c>
      <c r="BJ2494" s="1">
        <v>0.0</v>
      </c>
      <c r="BP2494" s="1">
        <v>0.279</v>
      </c>
      <c r="BQ2494" s="1" t="s">
        <v>7851</v>
      </c>
      <c r="BV2494" s="1">
        <v>1.1</v>
      </c>
      <c r="EQ2494" s="9" t="s">
        <v>7850</v>
      </c>
      <c r="ER2494" s="21">
        <v>46045.30268518518</v>
      </c>
    </row>
    <row r="2495">
      <c r="A2495" s="9" t="s">
        <v>7852</v>
      </c>
      <c r="B2495" s="20" t="str">
        <f>IFERROR(__xludf.DUMMYFUNCTION("REGEXREPLACE(A2495, ""^https?://[^/]+"", """")"),"/wp-content/uploads/2022/08/Remote-Sales-Team.jpg")</f>
        <v>/wp-content/uploads/2022/08/Remote-Sales-Team.jpg</v>
      </c>
      <c r="F2495" s="1" t="s">
        <v>1004</v>
      </c>
      <c r="G2495" s="1">
        <v>200.0</v>
      </c>
      <c r="H2495" s="1" t="s">
        <v>966</v>
      </c>
      <c r="I2495" s="1" t="s">
        <v>967</v>
      </c>
      <c r="L2495" s="1">
        <v>0.0</v>
      </c>
      <c r="M2495" s="1">
        <v>0.0</v>
      </c>
      <c r="O2495" s="1">
        <v>0.0</v>
      </c>
      <c r="P2495" s="1">
        <v>0.0</v>
      </c>
      <c r="R2495" s="1">
        <v>0.0</v>
      </c>
      <c r="S2495" s="1">
        <v>0.0</v>
      </c>
      <c r="U2495" s="1">
        <v>0.0</v>
      </c>
      <c r="W2495" s="1">
        <v>0.0</v>
      </c>
      <c r="Y2495" s="1">
        <v>0.0</v>
      </c>
      <c r="AA2495" s="1">
        <v>0.0</v>
      </c>
      <c r="AC2495" s="1">
        <v>0.0</v>
      </c>
      <c r="AM2495" s="1">
        <v>46083.0</v>
      </c>
      <c r="AN2495" s="1">
        <v>46083.0</v>
      </c>
      <c r="AO2495" s="1">
        <v>46083.0</v>
      </c>
      <c r="AP2495" s="1">
        <v>17.654</v>
      </c>
      <c r="AR2495" s="1">
        <v>0.0</v>
      </c>
      <c r="AW2495" s="1">
        <v>0.0</v>
      </c>
      <c r="AX2495" s="1">
        <v>5.0</v>
      </c>
      <c r="AY2495" s="1">
        <v>4.0</v>
      </c>
      <c r="BA2495" s="1">
        <v>0.0</v>
      </c>
      <c r="BB2495" s="1">
        <v>0.0</v>
      </c>
      <c r="BC2495" s="1">
        <v>0.0</v>
      </c>
      <c r="BD2495" s="1">
        <v>0.0</v>
      </c>
      <c r="BE2495" s="1">
        <v>0.0</v>
      </c>
      <c r="BF2495" s="1">
        <v>0.0</v>
      </c>
      <c r="BG2495" s="1">
        <v>0.0</v>
      </c>
      <c r="BH2495" s="1">
        <v>0.0</v>
      </c>
      <c r="BI2495" s="1">
        <v>0.0</v>
      </c>
      <c r="BJ2495" s="1">
        <v>0.0</v>
      </c>
      <c r="BP2495" s="1">
        <v>0.261</v>
      </c>
      <c r="BQ2495" s="1" t="s">
        <v>7853</v>
      </c>
      <c r="BV2495" s="1">
        <v>1.1</v>
      </c>
      <c r="EQ2495" s="9" t="s">
        <v>7852</v>
      </c>
      <c r="ER2495" s="21">
        <v>46045.30268518518</v>
      </c>
    </row>
    <row r="2496">
      <c r="A2496" s="9" t="s">
        <v>7854</v>
      </c>
      <c r="B2496" s="20" t="str">
        <f>IFERROR(__xludf.DUMMYFUNCTION("REGEXREPLACE(A2496, ""^https?://[^/]+"", """")"),"/4-leadership-lessons-i-learned-from-a-mountain-climbing-crisis/")</f>
        <v>/4-leadership-lessons-i-learned-from-a-mountain-climbing-crisis/</v>
      </c>
      <c r="C2496" s="1" t="s">
        <v>7855</v>
      </c>
      <c r="F2496" s="1" t="s">
        <v>965</v>
      </c>
      <c r="G2496" s="1">
        <v>200.0</v>
      </c>
      <c r="H2496" s="1" t="s">
        <v>966</v>
      </c>
      <c r="I2496" s="1" t="s">
        <v>967</v>
      </c>
      <c r="K2496" s="1" t="s">
        <v>7856</v>
      </c>
      <c r="L2496" s="1">
        <v>87.0</v>
      </c>
      <c r="M2496" s="1">
        <v>794.0</v>
      </c>
      <c r="O2496" s="1">
        <v>0.0</v>
      </c>
      <c r="P2496" s="1">
        <v>0.0</v>
      </c>
      <c r="Q2496" s="1" t="s">
        <v>7857</v>
      </c>
      <c r="R2496" s="1">
        <v>169.0</v>
      </c>
      <c r="S2496" s="1">
        <v>1075.0</v>
      </c>
      <c r="U2496" s="1">
        <v>0.0</v>
      </c>
      <c r="V2496" s="1" t="s">
        <v>7855</v>
      </c>
      <c r="W2496" s="1">
        <v>62.0</v>
      </c>
      <c r="Y2496" s="1">
        <v>0.0</v>
      </c>
      <c r="AA2496" s="1">
        <v>0.0</v>
      </c>
      <c r="AC2496" s="1">
        <v>0.0</v>
      </c>
      <c r="AD2496" s="1" t="s">
        <v>971</v>
      </c>
      <c r="AG2496" s="9" t="s">
        <v>7854</v>
      </c>
      <c r="AM2496" s="1">
        <v>198640.0</v>
      </c>
      <c r="AN2496" s="1">
        <v>34431.0</v>
      </c>
      <c r="AO2496" s="1">
        <v>34431.0</v>
      </c>
      <c r="AP2496" s="1">
        <v>13.19</v>
      </c>
      <c r="AR2496" s="1">
        <v>698.0</v>
      </c>
      <c r="AS2496" s="1">
        <v>116.0</v>
      </c>
      <c r="AT2496" s="1">
        <v>6.017</v>
      </c>
      <c r="AU2496" s="1">
        <v>63.04</v>
      </c>
      <c r="AV2496" s="1" t="s">
        <v>990</v>
      </c>
      <c r="AW2496" s="1">
        <v>3.368</v>
      </c>
      <c r="AX2496" s="1">
        <v>5.0</v>
      </c>
      <c r="AY2496" s="1">
        <v>1.0</v>
      </c>
      <c r="AZ2496" s="1">
        <v>1.0</v>
      </c>
      <c r="BA2496" s="1">
        <v>4.0</v>
      </c>
      <c r="BB2496" s="1">
        <v>2.0</v>
      </c>
      <c r="BC2496" s="1">
        <v>0.0</v>
      </c>
      <c r="BD2496" s="1">
        <v>0.27</v>
      </c>
      <c r="BE2496" s="1">
        <v>130.0</v>
      </c>
      <c r="BF2496" s="1">
        <v>47.0</v>
      </c>
      <c r="BG2496" s="1">
        <v>0.0</v>
      </c>
      <c r="BH2496" s="1">
        <v>19.0</v>
      </c>
      <c r="BI2496" s="1">
        <v>11.0</v>
      </c>
      <c r="BJ2496" s="1">
        <v>0.0</v>
      </c>
      <c r="BO2496" s="1" t="s">
        <v>7858</v>
      </c>
      <c r="BP2496" s="1">
        <v>1.003</v>
      </c>
      <c r="BU2496" s="1" t="s">
        <v>974</v>
      </c>
      <c r="BV2496" s="1">
        <v>1.1</v>
      </c>
      <c r="EQ2496" s="9" t="s">
        <v>7854</v>
      </c>
      <c r="ER2496" s="21">
        <v>46045.30267361111</v>
      </c>
    </row>
    <row r="2497">
      <c r="A2497" s="9" t="s">
        <v>7859</v>
      </c>
      <c r="B2497" s="20" t="str">
        <f>IFERROR(__xludf.DUMMYFUNCTION("REGEXREPLACE(A2497, ""^https?://[^/]+"", """")"),"/wp-content/uploads/2021/11/backpack-2048x2048.jpeg")</f>
        <v>/wp-content/uploads/2021/11/backpack-2048x2048.jpeg</v>
      </c>
      <c r="F2497" s="1" t="s">
        <v>1004</v>
      </c>
      <c r="G2497" s="1">
        <v>200.0</v>
      </c>
      <c r="H2497" s="1" t="s">
        <v>966</v>
      </c>
      <c r="I2497" s="1" t="s">
        <v>967</v>
      </c>
      <c r="L2497" s="1">
        <v>0.0</v>
      </c>
      <c r="M2497" s="1">
        <v>0.0</v>
      </c>
      <c r="O2497" s="1">
        <v>0.0</v>
      </c>
      <c r="P2497" s="1">
        <v>0.0</v>
      </c>
      <c r="R2497" s="1">
        <v>0.0</v>
      </c>
      <c r="S2497" s="1">
        <v>0.0</v>
      </c>
      <c r="U2497" s="1">
        <v>0.0</v>
      </c>
      <c r="W2497" s="1">
        <v>0.0</v>
      </c>
      <c r="Y2497" s="1">
        <v>0.0</v>
      </c>
      <c r="AA2497" s="1">
        <v>0.0</v>
      </c>
      <c r="AC2497" s="1">
        <v>0.0</v>
      </c>
      <c r="AM2497" s="1">
        <v>141536.0</v>
      </c>
      <c r="AN2497" s="1">
        <v>141536.0</v>
      </c>
      <c r="AO2497" s="1">
        <v>141536.0</v>
      </c>
      <c r="AP2497" s="1">
        <v>54.22</v>
      </c>
      <c r="AR2497" s="1">
        <v>0.0</v>
      </c>
      <c r="AW2497" s="1">
        <v>0.0</v>
      </c>
      <c r="AX2497" s="1">
        <v>5.0</v>
      </c>
      <c r="AY2497" s="1">
        <v>4.0</v>
      </c>
      <c r="BA2497" s="1">
        <v>0.0</v>
      </c>
      <c r="BB2497" s="1">
        <v>0.0</v>
      </c>
      <c r="BC2497" s="1">
        <v>0.0</v>
      </c>
      <c r="BD2497" s="1">
        <v>0.0</v>
      </c>
      <c r="BE2497" s="1">
        <v>0.0</v>
      </c>
      <c r="BF2497" s="1">
        <v>0.0</v>
      </c>
      <c r="BG2497" s="1">
        <v>0.0</v>
      </c>
      <c r="BH2497" s="1">
        <v>0.0</v>
      </c>
      <c r="BI2497" s="1">
        <v>0.0</v>
      </c>
      <c r="BJ2497" s="1">
        <v>0.0</v>
      </c>
      <c r="BP2497" s="1">
        <v>0.27</v>
      </c>
      <c r="BQ2497" s="1" t="s">
        <v>7860</v>
      </c>
      <c r="BV2497" s="1">
        <v>1.1</v>
      </c>
      <c r="EQ2497" s="9" t="s">
        <v>7859</v>
      </c>
      <c r="ER2497" s="21">
        <v>46045.30268518518</v>
      </c>
    </row>
    <row r="2498">
      <c r="A2498" s="9" t="s">
        <v>7861</v>
      </c>
      <c r="B2498" s="20" t="str">
        <f>IFERROR(__xludf.DUMMYFUNCTION("REGEXREPLACE(A2498, ""^https?://[^/]+"", """")"),"/wp-content/uploads/2022/05/AI-in-Sales.jpg")</f>
        <v>/wp-content/uploads/2022/05/AI-in-Sales.jpg</v>
      </c>
      <c r="F2498" s="1" t="s">
        <v>1004</v>
      </c>
      <c r="G2498" s="1">
        <v>200.0</v>
      </c>
      <c r="H2498" s="1" t="s">
        <v>966</v>
      </c>
      <c r="I2498" s="1" t="s">
        <v>967</v>
      </c>
      <c r="L2498" s="1">
        <v>0.0</v>
      </c>
      <c r="M2498" s="1">
        <v>0.0</v>
      </c>
      <c r="O2498" s="1">
        <v>0.0</v>
      </c>
      <c r="P2498" s="1">
        <v>0.0</v>
      </c>
      <c r="R2498" s="1">
        <v>0.0</v>
      </c>
      <c r="S2498" s="1">
        <v>0.0</v>
      </c>
      <c r="U2498" s="1">
        <v>0.0</v>
      </c>
      <c r="W2498" s="1">
        <v>0.0</v>
      </c>
      <c r="Y2498" s="1">
        <v>0.0</v>
      </c>
      <c r="AA2498" s="1">
        <v>0.0</v>
      </c>
      <c r="AC2498" s="1">
        <v>0.0</v>
      </c>
      <c r="AM2498" s="1">
        <v>332817.0</v>
      </c>
      <c r="AN2498" s="1">
        <v>332817.0</v>
      </c>
      <c r="AO2498" s="1">
        <v>332817.0</v>
      </c>
      <c r="AP2498" s="1">
        <v>127.496</v>
      </c>
      <c r="AR2498" s="1">
        <v>0.0</v>
      </c>
      <c r="AW2498" s="1">
        <v>0.0</v>
      </c>
      <c r="AX2498" s="1">
        <v>5.0</v>
      </c>
      <c r="AY2498" s="1">
        <v>4.0</v>
      </c>
      <c r="BA2498" s="1">
        <v>0.0</v>
      </c>
      <c r="BB2498" s="1">
        <v>0.0</v>
      </c>
      <c r="BC2498" s="1">
        <v>0.0</v>
      </c>
      <c r="BD2498" s="1">
        <v>0.0</v>
      </c>
      <c r="BE2498" s="1">
        <v>0.0</v>
      </c>
      <c r="BF2498" s="1">
        <v>0.0</v>
      </c>
      <c r="BG2498" s="1">
        <v>0.0</v>
      </c>
      <c r="BH2498" s="1">
        <v>0.0</v>
      </c>
      <c r="BI2498" s="1">
        <v>0.0</v>
      </c>
      <c r="BJ2498" s="1">
        <v>0.0</v>
      </c>
      <c r="BP2498" s="1">
        <v>0.266</v>
      </c>
      <c r="BQ2498" s="1" t="s">
        <v>7862</v>
      </c>
      <c r="BV2498" s="1">
        <v>1.1</v>
      </c>
      <c r="EQ2498" s="9" t="s">
        <v>7861</v>
      </c>
      <c r="ER2498" s="21">
        <v>46045.30268518518</v>
      </c>
    </row>
    <row r="2499">
      <c r="A2499" s="9" t="s">
        <v>7863</v>
      </c>
      <c r="B2499" s="20" t="str">
        <f>IFERROR(__xludf.DUMMYFUNCTION("REGEXREPLACE(A2499, ""^https?://[^/]+"", """")"),"/why-a-proper-sales-infrastructure-is-crucial-to-selling-your-business/")</f>
        <v>/why-a-proper-sales-infrastructure-is-crucial-to-selling-your-business/</v>
      </c>
      <c r="C2499" s="1" t="s">
        <v>7864</v>
      </c>
      <c r="F2499" s="1" t="s">
        <v>965</v>
      </c>
      <c r="G2499" s="1">
        <v>200.0</v>
      </c>
      <c r="H2499" s="1" t="s">
        <v>966</v>
      </c>
      <c r="I2499" s="1" t="s">
        <v>967</v>
      </c>
      <c r="K2499" s="1" t="s">
        <v>7865</v>
      </c>
      <c r="L2499" s="1">
        <v>109.0</v>
      </c>
      <c r="M2499" s="1">
        <v>953.0</v>
      </c>
      <c r="O2499" s="1">
        <v>0.0</v>
      </c>
      <c r="P2499" s="1">
        <v>0.0</v>
      </c>
      <c r="Q2499" s="1" t="s">
        <v>7866</v>
      </c>
      <c r="R2499" s="1">
        <v>112.0</v>
      </c>
      <c r="S2499" s="1">
        <v>679.0</v>
      </c>
      <c r="U2499" s="1">
        <v>0.0</v>
      </c>
      <c r="V2499" s="1" t="s">
        <v>7864</v>
      </c>
      <c r="W2499" s="1">
        <v>84.0</v>
      </c>
      <c r="Y2499" s="1">
        <v>0.0</v>
      </c>
      <c r="AA2499" s="1">
        <v>0.0</v>
      </c>
      <c r="AC2499" s="1">
        <v>0.0</v>
      </c>
      <c r="AD2499" s="1" t="s">
        <v>971</v>
      </c>
      <c r="AG2499" s="9" t="s">
        <v>7863</v>
      </c>
      <c r="AM2499" s="1">
        <v>197679.0</v>
      </c>
      <c r="AN2499" s="1">
        <v>33254.0</v>
      </c>
      <c r="AO2499" s="1">
        <v>33254.0</v>
      </c>
      <c r="AP2499" s="1">
        <v>12.739</v>
      </c>
      <c r="AR2499" s="1">
        <v>628.0</v>
      </c>
      <c r="AS2499" s="1">
        <v>107.0</v>
      </c>
      <c r="AT2499" s="1">
        <v>5.869</v>
      </c>
      <c r="AU2499" s="1">
        <v>62.123</v>
      </c>
      <c r="AV2499" s="1" t="s">
        <v>990</v>
      </c>
      <c r="AW2499" s="1">
        <v>3.16</v>
      </c>
      <c r="AX2499" s="1">
        <v>5.0</v>
      </c>
      <c r="AY2499" s="1">
        <v>1.0</v>
      </c>
      <c r="AZ2499" s="1">
        <v>1.0</v>
      </c>
      <c r="BA2499" s="1">
        <v>2.0</v>
      </c>
      <c r="BB2499" s="1">
        <v>2.0</v>
      </c>
      <c r="BC2499" s="1">
        <v>0.0</v>
      </c>
      <c r="BD2499" s="1">
        <v>0.27</v>
      </c>
      <c r="BE2499" s="1">
        <v>129.0</v>
      </c>
      <c r="BF2499" s="1">
        <v>47.0</v>
      </c>
      <c r="BG2499" s="1">
        <v>0.0</v>
      </c>
      <c r="BH2499" s="1">
        <v>17.0</v>
      </c>
      <c r="BI2499" s="1">
        <v>9.0</v>
      </c>
      <c r="BJ2499" s="1">
        <v>0.0</v>
      </c>
      <c r="BO2499" s="1" t="s">
        <v>7867</v>
      </c>
      <c r="BP2499" s="1">
        <v>1.033</v>
      </c>
      <c r="BU2499" s="1" t="s">
        <v>974</v>
      </c>
      <c r="BV2499" s="1">
        <v>1.1</v>
      </c>
      <c r="EQ2499" s="9" t="s">
        <v>7863</v>
      </c>
      <c r="ER2499" s="21">
        <v>46045.30268518518</v>
      </c>
    </row>
    <row r="2500">
      <c r="A2500" s="9" t="s">
        <v>7868</v>
      </c>
      <c r="B2500" s="20" t="str">
        <f>IFERROR(__xludf.DUMMYFUNCTION("REGEXREPLACE(A2500, ""^https?://[^/]+"", """")"),"/wp-content/uploads/2023/07/Overcome-Sales-Challenges.jpg")</f>
        <v>/wp-content/uploads/2023/07/Overcome-Sales-Challenges.jpg</v>
      </c>
      <c r="F2500" s="1" t="s">
        <v>1004</v>
      </c>
      <c r="G2500" s="1">
        <v>200.0</v>
      </c>
      <c r="H2500" s="1" t="s">
        <v>966</v>
      </c>
      <c r="I2500" s="1" t="s">
        <v>967</v>
      </c>
      <c r="L2500" s="1">
        <v>0.0</v>
      </c>
      <c r="M2500" s="1">
        <v>0.0</v>
      </c>
      <c r="O2500" s="1">
        <v>0.0</v>
      </c>
      <c r="P2500" s="1">
        <v>0.0</v>
      </c>
      <c r="R2500" s="1">
        <v>0.0</v>
      </c>
      <c r="S2500" s="1">
        <v>0.0</v>
      </c>
      <c r="U2500" s="1">
        <v>0.0</v>
      </c>
      <c r="W2500" s="1">
        <v>0.0</v>
      </c>
      <c r="Y2500" s="1">
        <v>0.0</v>
      </c>
      <c r="AA2500" s="1">
        <v>0.0</v>
      </c>
      <c r="AC2500" s="1">
        <v>0.0</v>
      </c>
      <c r="AM2500" s="1">
        <v>347997.0</v>
      </c>
      <c r="AN2500" s="1">
        <v>347997.0</v>
      </c>
      <c r="AO2500" s="1">
        <v>347997.0</v>
      </c>
      <c r="AP2500" s="1">
        <v>133.311</v>
      </c>
      <c r="AR2500" s="1">
        <v>0.0</v>
      </c>
      <c r="AW2500" s="1">
        <v>0.0</v>
      </c>
      <c r="AX2500" s="1">
        <v>5.0</v>
      </c>
      <c r="AY2500" s="1">
        <v>4.0</v>
      </c>
      <c r="BA2500" s="1">
        <v>0.0</v>
      </c>
      <c r="BB2500" s="1">
        <v>0.0</v>
      </c>
      <c r="BC2500" s="1">
        <v>0.0</v>
      </c>
      <c r="BD2500" s="1">
        <v>0.0</v>
      </c>
      <c r="BE2500" s="1">
        <v>0.0</v>
      </c>
      <c r="BF2500" s="1">
        <v>0.0</v>
      </c>
      <c r="BG2500" s="1">
        <v>0.0</v>
      </c>
      <c r="BH2500" s="1">
        <v>0.0</v>
      </c>
      <c r="BI2500" s="1">
        <v>0.0</v>
      </c>
      <c r="BJ2500" s="1">
        <v>0.0</v>
      </c>
      <c r="BP2500" s="1">
        <v>0.276</v>
      </c>
      <c r="BQ2500" s="1" t="s">
        <v>7869</v>
      </c>
      <c r="BV2500" s="1">
        <v>1.1</v>
      </c>
      <c r="EQ2500" s="9" t="s">
        <v>7868</v>
      </c>
      <c r="ER2500" s="21">
        <v>46045.30269675926</v>
      </c>
    </row>
    <row r="2501">
      <c r="A2501" s="9" t="s">
        <v>7870</v>
      </c>
      <c r="B2501" s="20" t="str">
        <f>IFERROR(__xludf.DUMMYFUNCTION("REGEXREPLACE(A2501, ""^https?://[^/]+"", """")"),"/wp-content/themes/salesxceleratione/assets/css/style.css?ver=1769123659")</f>
        <v>/wp-content/themes/salesxceleratione/assets/css/style.css?ver=1769123659</v>
      </c>
      <c r="F2501" s="1" t="s">
        <v>1016</v>
      </c>
      <c r="G2501" s="1">
        <v>200.0</v>
      </c>
      <c r="H2501" s="1" t="s">
        <v>966</v>
      </c>
      <c r="I2501" s="1" t="s">
        <v>967</v>
      </c>
      <c r="L2501" s="1">
        <v>0.0</v>
      </c>
      <c r="M2501" s="1">
        <v>0.0</v>
      </c>
      <c r="O2501" s="1">
        <v>0.0</v>
      </c>
      <c r="P2501" s="1">
        <v>0.0</v>
      </c>
      <c r="R2501" s="1">
        <v>0.0</v>
      </c>
      <c r="S2501" s="1">
        <v>0.0</v>
      </c>
      <c r="U2501" s="1">
        <v>0.0</v>
      </c>
      <c r="W2501" s="1">
        <v>0.0</v>
      </c>
      <c r="Y2501" s="1">
        <v>0.0</v>
      </c>
      <c r="AA2501" s="1">
        <v>0.0</v>
      </c>
      <c r="AC2501" s="1">
        <v>0.0</v>
      </c>
      <c r="AM2501" s="1">
        <v>17704.0</v>
      </c>
      <c r="AN2501" s="1">
        <v>17704.0</v>
      </c>
      <c r="AO2501" s="1">
        <v>17704.0</v>
      </c>
      <c r="AP2501" s="1">
        <v>6.782</v>
      </c>
      <c r="AR2501" s="1">
        <v>0.0</v>
      </c>
      <c r="AW2501" s="1">
        <v>0.0</v>
      </c>
      <c r="AX2501" s="1">
        <v>5.0</v>
      </c>
      <c r="AY2501" s="1">
        <v>5.0</v>
      </c>
      <c r="BA2501" s="1">
        <v>0.0</v>
      </c>
      <c r="BB2501" s="1">
        <v>0.0</v>
      </c>
      <c r="BC2501" s="1">
        <v>0.0</v>
      </c>
      <c r="BD2501" s="1">
        <v>0.0</v>
      </c>
      <c r="BE2501" s="1">
        <v>0.0</v>
      </c>
      <c r="BF2501" s="1">
        <v>0.0</v>
      </c>
      <c r="BG2501" s="1">
        <v>0.0</v>
      </c>
      <c r="BH2501" s="1">
        <v>0.0</v>
      </c>
      <c r="BI2501" s="1">
        <v>0.0</v>
      </c>
      <c r="BJ2501" s="1">
        <v>0.0</v>
      </c>
      <c r="BP2501" s="1">
        <v>0.28</v>
      </c>
      <c r="BQ2501" s="1" t="s">
        <v>7871</v>
      </c>
      <c r="BV2501" s="1">
        <v>1.1</v>
      </c>
      <c r="EQ2501" s="9" t="s">
        <v>7870</v>
      </c>
      <c r="ER2501" s="21">
        <v>46045.302708333336</v>
      </c>
    </row>
    <row r="2502">
      <c r="A2502" s="9" t="s">
        <v>7872</v>
      </c>
      <c r="B2502" s="20" t="str">
        <f>IFERROR(__xludf.DUMMYFUNCTION("REGEXREPLACE(A2502, ""^https?://[^/]+"", """")"),"/why-you-must-start-the-new-year-with-a-well-defined-sales-plan/")</f>
        <v>/why-you-must-start-the-new-year-with-a-well-defined-sales-plan/</v>
      </c>
      <c r="C2502" s="1" t="s">
        <v>7873</v>
      </c>
      <c r="F2502" s="1" t="s">
        <v>965</v>
      </c>
      <c r="G2502" s="1">
        <v>200.0</v>
      </c>
      <c r="H2502" s="1" t="s">
        <v>966</v>
      </c>
      <c r="I2502" s="1" t="s">
        <v>967</v>
      </c>
      <c r="K2502" s="1" t="s">
        <v>7874</v>
      </c>
      <c r="L2502" s="1">
        <v>96.0</v>
      </c>
      <c r="M2502" s="1">
        <v>870.0</v>
      </c>
      <c r="O2502" s="1">
        <v>0.0</v>
      </c>
      <c r="P2502" s="1">
        <v>0.0</v>
      </c>
      <c r="Q2502" s="1" t="s">
        <v>7875</v>
      </c>
      <c r="R2502" s="1">
        <v>166.0</v>
      </c>
      <c r="S2502" s="1">
        <v>1001.0</v>
      </c>
      <c r="U2502" s="1">
        <v>0.0</v>
      </c>
      <c r="V2502" s="1" t="s">
        <v>7873</v>
      </c>
      <c r="W2502" s="1">
        <v>71.0</v>
      </c>
      <c r="Y2502" s="1">
        <v>0.0</v>
      </c>
      <c r="AA2502" s="1">
        <v>0.0</v>
      </c>
      <c r="AC2502" s="1">
        <v>0.0</v>
      </c>
      <c r="AD2502" s="1" t="s">
        <v>971</v>
      </c>
      <c r="AG2502" s="9" t="s">
        <v>7872</v>
      </c>
      <c r="AM2502" s="1">
        <v>196801.0</v>
      </c>
      <c r="AN2502" s="1">
        <v>33844.0</v>
      </c>
      <c r="AO2502" s="1">
        <v>33844.0</v>
      </c>
      <c r="AP2502" s="1">
        <v>12.965</v>
      </c>
      <c r="AR2502" s="1">
        <v>635.0</v>
      </c>
      <c r="AS2502" s="1">
        <v>106.0</v>
      </c>
      <c r="AT2502" s="1">
        <v>5.991</v>
      </c>
      <c r="AU2502" s="1">
        <v>66.061</v>
      </c>
      <c r="AV2502" s="1" t="s">
        <v>990</v>
      </c>
      <c r="AW2502" s="1">
        <v>3.159</v>
      </c>
      <c r="AX2502" s="1">
        <v>5.0</v>
      </c>
      <c r="AY2502" s="1">
        <v>1.0</v>
      </c>
      <c r="AZ2502" s="1">
        <v>1.0</v>
      </c>
      <c r="BA2502" s="1">
        <v>2.0</v>
      </c>
      <c r="BB2502" s="1">
        <v>2.0</v>
      </c>
      <c r="BC2502" s="1">
        <v>0.0</v>
      </c>
      <c r="BD2502" s="1">
        <v>0.27</v>
      </c>
      <c r="BE2502" s="1">
        <v>129.0</v>
      </c>
      <c r="BF2502" s="1">
        <v>47.0</v>
      </c>
      <c r="BG2502" s="1">
        <v>0.0</v>
      </c>
      <c r="BH2502" s="1">
        <v>16.0</v>
      </c>
      <c r="BI2502" s="1">
        <v>8.0</v>
      </c>
      <c r="BJ2502" s="1">
        <v>0.0</v>
      </c>
      <c r="BO2502" s="1" t="s">
        <v>7876</v>
      </c>
      <c r="BP2502" s="1">
        <v>0.988</v>
      </c>
      <c r="BU2502" s="1" t="s">
        <v>974</v>
      </c>
      <c r="BV2502" s="1">
        <v>1.1</v>
      </c>
      <c r="EQ2502" s="9" t="s">
        <v>7872</v>
      </c>
      <c r="ER2502" s="21">
        <v>46045.302719907406</v>
      </c>
    </row>
    <row r="2503">
      <c r="A2503" s="9" t="s">
        <v>7877</v>
      </c>
      <c r="B2503" s="20" t="str">
        <f>IFERROR(__xludf.DUMMYFUNCTION("REGEXREPLACE(A2503, ""^https?://[^/]+"", """")"),"/wp-content/uploads/2019/10/https___specials-images.forbesimg.com_dam_imageserve_690357502_960x0-2048x2048.jpg")</f>
        <v>/wp-content/uploads/2019/10/https___specials-images.forbesimg.com_dam_imageserve_690357502_960x0-2048x2048.jpg</v>
      </c>
      <c r="F2503" s="1" t="s">
        <v>1004</v>
      </c>
      <c r="G2503" s="1">
        <v>200.0</v>
      </c>
      <c r="H2503" s="1" t="s">
        <v>966</v>
      </c>
      <c r="I2503" s="1" t="s">
        <v>967</v>
      </c>
      <c r="L2503" s="1">
        <v>0.0</v>
      </c>
      <c r="M2503" s="1">
        <v>0.0</v>
      </c>
      <c r="O2503" s="1">
        <v>0.0</v>
      </c>
      <c r="P2503" s="1">
        <v>0.0</v>
      </c>
      <c r="R2503" s="1">
        <v>0.0</v>
      </c>
      <c r="S2503" s="1">
        <v>0.0</v>
      </c>
      <c r="U2503" s="1">
        <v>0.0</v>
      </c>
      <c r="W2503" s="1">
        <v>0.0</v>
      </c>
      <c r="Y2503" s="1">
        <v>0.0</v>
      </c>
      <c r="AA2503" s="1">
        <v>0.0</v>
      </c>
      <c r="AC2503" s="1">
        <v>0.0</v>
      </c>
      <c r="AM2503" s="1">
        <v>267601.0</v>
      </c>
      <c r="AN2503" s="1">
        <v>267601.0</v>
      </c>
      <c r="AO2503" s="1">
        <v>267601.0</v>
      </c>
      <c r="AP2503" s="1">
        <v>102.513</v>
      </c>
      <c r="AR2503" s="1">
        <v>0.0</v>
      </c>
      <c r="AW2503" s="1">
        <v>0.0</v>
      </c>
      <c r="AX2503" s="1">
        <v>5.0</v>
      </c>
      <c r="AY2503" s="1">
        <v>4.0</v>
      </c>
      <c r="BA2503" s="1">
        <v>0.0</v>
      </c>
      <c r="BB2503" s="1">
        <v>0.0</v>
      </c>
      <c r="BC2503" s="1">
        <v>0.0</v>
      </c>
      <c r="BD2503" s="1">
        <v>0.0</v>
      </c>
      <c r="BE2503" s="1">
        <v>0.0</v>
      </c>
      <c r="BF2503" s="1">
        <v>0.0</v>
      </c>
      <c r="BG2503" s="1">
        <v>0.0</v>
      </c>
      <c r="BH2503" s="1">
        <v>0.0</v>
      </c>
      <c r="BI2503" s="1">
        <v>0.0</v>
      </c>
      <c r="BJ2503" s="1">
        <v>0.0</v>
      </c>
      <c r="BP2503" s="1">
        <v>0.269</v>
      </c>
      <c r="BQ2503" s="1" t="s">
        <v>7878</v>
      </c>
      <c r="BV2503" s="1">
        <v>1.1</v>
      </c>
      <c r="EQ2503" s="9" t="s">
        <v>7877</v>
      </c>
      <c r="ER2503" s="21">
        <v>46045.302766203706</v>
      </c>
    </row>
    <row r="2504">
      <c r="A2504" s="9" t="s">
        <v>7879</v>
      </c>
      <c r="B2504" s="20" t="str">
        <f>IFERROR(__xludf.DUMMYFUNCTION("REGEXREPLACE(A2504, ""^https?://[^/]+"", """")"),"/wp-content/themes/salesxceleratione/assets/css/style.css?ver=1769123658")</f>
        <v>/wp-content/themes/salesxceleratione/assets/css/style.css?ver=1769123658</v>
      </c>
      <c r="F2504" s="1" t="s">
        <v>1016</v>
      </c>
      <c r="G2504" s="1">
        <v>200.0</v>
      </c>
      <c r="H2504" s="1" t="s">
        <v>966</v>
      </c>
      <c r="I2504" s="1" t="s">
        <v>967</v>
      </c>
      <c r="L2504" s="1">
        <v>0.0</v>
      </c>
      <c r="M2504" s="1">
        <v>0.0</v>
      </c>
      <c r="O2504" s="1">
        <v>0.0</v>
      </c>
      <c r="P2504" s="1">
        <v>0.0</v>
      </c>
      <c r="R2504" s="1">
        <v>0.0</v>
      </c>
      <c r="S2504" s="1">
        <v>0.0</v>
      </c>
      <c r="U2504" s="1">
        <v>0.0</v>
      </c>
      <c r="W2504" s="1">
        <v>0.0</v>
      </c>
      <c r="Y2504" s="1">
        <v>0.0</v>
      </c>
      <c r="AA2504" s="1">
        <v>0.0</v>
      </c>
      <c r="AC2504" s="1">
        <v>0.0</v>
      </c>
      <c r="AM2504" s="1">
        <v>17704.0</v>
      </c>
      <c r="AN2504" s="1">
        <v>17704.0</v>
      </c>
      <c r="AO2504" s="1">
        <v>17704.0</v>
      </c>
      <c r="AP2504" s="1">
        <v>6.782</v>
      </c>
      <c r="AR2504" s="1">
        <v>0.0</v>
      </c>
      <c r="AW2504" s="1">
        <v>0.0</v>
      </c>
      <c r="AX2504" s="1">
        <v>5.0</v>
      </c>
      <c r="AY2504" s="1">
        <v>5.0</v>
      </c>
      <c r="BA2504" s="1">
        <v>0.0</v>
      </c>
      <c r="BB2504" s="1">
        <v>0.0</v>
      </c>
      <c r="BC2504" s="1">
        <v>0.0</v>
      </c>
      <c r="BD2504" s="1">
        <v>0.0</v>
      </c>
      <c r="BE2504" s="1">
        <v>0.0</v>
      </c>
      <c r="BF2504" s="1">
        <v>0.0</v>
      </c>
      <c r="BG2504" s="1">
        <v>0.0</v>
      </c>
      <c r="BH2504" s="1">
        <v>0.0</v>
      </c>
      <c r="BI2504" s="1">
        <v>0.0</v>
      </c>
      <c r="BJ2504" s="1">
        <v>0.0</v>
      </c>
      <c r="BP2504" s="1">
        <v>0.285</v>
      </c>
      <c r="BQ2504" s="1" t="s">
        <v>7880</v>
      </c>
      <c r="BV2504" s="1">
        <v>1.1</v>
      </c>
      <c r="EQ2504" s="9" t="s">
        <v>7879</v>
      </c>
      <c r="ER2504" s="21">
        <v>46045.302777777775</v>
      </c>
    </row>
    <row r="2505">
      <c r="A2505" s="9" t="s">
        <v>7881</v>
      </c>
      <c r="B2505" s="20" t="str">
        <f>IFERROR(__xludf.DUMMYFUNCTION("REGEXREPLACE(A2505, ""^https?://[^/]+"", """")"),"/wp-content/uploads/2020/03/Succeeding_as_a_sales_leader-1.jpg")</f>
        <v>/wp-content/uploads/2020/03/Succeeding_as_a_sales_leader-1.jpg</v>
      </c>
      <c r="F2505" s="1" t="s">
        <v>1004</v>
      </c>
      <c r="G2505" s="1">
        <v>200.0</v>
      </c>
      <c r="H2505" s="1" t="s">
        <v>966</v>
      </c>
      <c r="I2505" s="1" t="s">
        <v>967</v>
      </c>
      <c r="L2505" s="1">
        <v>0.0</v>
      </c>
      <c r="M2505" s="1">
        <v>0.0</v>
      </c>
      <c r="O2505" s="1">
        <v>0.0</v>
      </c>
      <c r="P2505" s="1">
        <v>0.0</v>
      </c>
      <c r="R2505" s="1">
        <v>0.0</v>
      </c>
      <c r="S2505" s="1">
        <v>0.0</v>
      </c>
      <c r="U2505" s="1">
        <v>0.0</v>
      </c>
      <c r="W2505" s="1">
        <v>0.0</v>
      </c>
      <c r="Y2505" s="1">
        <v>0.0</v>
      </c>
      <c r="AA2505" s="1">
        <v>0.0</v>
      </c>
      <c r="AC2505" s="1">
        <v>0.0</v>
      </c>
      <c r="AM2505" s="1">
        <v>24103.0</v>
      </c>
      <c r="AN2505" s="1">
        <v>24103.0</v>
      </c>
      <c r="AO2505" s="1">
        <v>24103.0</v>
      </c>
      <c r="AP2505" s="1">
        <v>9.233</v>
      </c>
      <c r="AR2505" s="1">
        <v>0.0</v>
      </c>
      <c r="AW2505" s="1">
        <v>0.0</v>
      </c>
      <c r="AX2505" s="1">
        <v>5.0</v>
      </c>
      <c r="AY2505" s="1">
        <v>4.0</v>
      </c>
      <c r="BA2505" s="1">
        <v>0.0</v>
      </c>
      <c r="BB2505" s="1">
        <v>0.0</v>
      </c>
      <c r="BC2505" s="1">
        <v>0.0</v>
      </c>
      <c r="BD2505" s="1">
        <v>0.0</v>
      </c>
      <c r="BE2505" s="1">
        <v>0.0</v>
      </c>
      <c r="BF2505" s="1">
        <v>0.0</v>
      </c>
      <c r="BG2505" s="1">
        <v>0.0</v>
      </c>
      <c r="BH2505" s="1">
        <v>0.0</v>
      </c>
      <c r="BI2505" s="1">
        <v>0.0</v>
      </c>
      <c r="BJ2505" s="1">
        <v>0.0</v>
      </c>
      <c r="BP2505" s="1">
        <v>0.266</v>
      </c>
      <c r="BQ2505" s="1" t="s">
        <v>7882</v>
      </c>
      <c r="BV2505" s="1">
        <v>1.1</v>
      </c>
      <c r="EQ2505" s="9" t="s">
        <v>7881</v>
      </c>
      <c r="ER2505" s="21">
        <v>46045.30278935185</v>
      </c>
    </row>
    <row r="2506">
      <c r="A2506" s="9" t="s">
        <v>7883</v>
      </c>
      <c r="B2506" s="20" t="str">
        <f>IFERROR(__xludf.DUMMYFUNCTION("REGEXREPLACE(A2506, ""^https?://[^/]+"", """")"),"/wp-content/uploads/2020/11/sales-team-2048x2048.jpg")</f>
        <v>/wp-content/uploads/2020/11/sales-team-2048x2048.jpg</v>
      </c>
      <c r="F2506" s="1" t="s">
        <v>1004</v>
      </c>
      <c r="G2506" s="1">
        <v>200.0</v>
      </c>
      <c r="H2506" s="1" t="s">
        <v>966</v>
      </c>
      <c r="I2506" s="1" t="s">
        <v>967</v>
      </c>
      <c r="L2506" s="1">
        <v>0.0</v>
      </c>
      <c r="M2506" s="1">
        <v>0.0</v>
      </c>
      <c r="O2506" s="1">
        <v>0.0</v>
      </c>
      <c r="P2506" s="1">
        <v>0.0</v>
      </c>
      <c r="R2506" s="1">
        <v>0.0</v>
      </c>
      <c r="S2506" s="1">
        <v>0.0</v>
      </c>
      <c r="U2506" s="1">
        <v>0.0</v>
      </c>
      <c r="W2506" s="1">
        <v>0.0</v>
      </c>
      <c r="Y2506" s="1">
        <v>0.0</v>
      </c>
      <c r="AA2506" s="1">
        <v>0.0</v>
      </c>
      <c r="AC2506" s="1">
        <v>0.0</v>
      </c>
      <c r="AM2506" s="1">
        <v>272626.0</v>
      </c>
      <c r="AN2506" s="1">
        <v>272626.0</v>
      </c>
      <c r="AO2506" s="1">
        <v>272626.0</v>
      </c>
      <c r="AP2506" s="1">
        <v>104.438</v>
      </c>
      <c r="AR2506" s="1">
        <v>0.0</v>
      </c>
      <c r="AW2506" s="1">
        <v>0.0</v>
      </c>
      <c r="AX2506" s="1">
        <v>5.0</v>
      </c>
      <c r="AY2506" s="1">
        <v>4.0</v>
      </c>
      <c r="BA2506" s="1">
        <v>0.0</v>
      </c>
      <c r="BB2506" s="1">
        <v>0.0</v>
      </c>
      <c r="BC2506" s="1">
        <v>0.0</v>
      </c>
      <c r="BD2506" s="1">
        <v>0.0</v>
      </c>
      <c r="BE2506" s="1">
        <v>0.0</v>
      </c>
      <c r="BF2506" s="1">
        <v>0.0</v>
      </c>
      <c r="BG2506" s="1">
        <v>0.0</v>
      </c>
      <c r="BH2506" s="1">
        <v>0.0</v>
      </c>
      <c r="BI2506" s="1">
        <v>0.0</v>
      </c>
      <c r="BJ2506" s="1">
        <v>0.0</v>
      </c>
      <c r="BP2506" s="1">
        <v>0.267</v>
      </c>
      <c r="BQ2506" s="1" t="s">
        <v>7884</v>
      </c>
      <c r="BV2506" s="1">
        <v>1.1</v>
      </c>
      <c r="EQ2506" s="9" t="s">
        <v>7883</v>
      </c>
      <c r="ER2506" s="21">
        <v>46045.30280092593</v>
      </c>
    </row>
    <row r="2507">
      <c r="A2507" s="9" t="s">
        <v>7885</v>
      </c>
      <c r="B2507" s="20" t="str">
        <f>IFERROR(__xludf.DUMMYFUNCTION("REGEXREPLACE(A2507, ""^https?://[^/]+"", """")"),"/six-essential-rules-for-motivating-your-sales-team-to-win-big/")</f>
        <v>/six-essential-rules-for-motivating-your-sales-team-to-win-big/</v>
      </c>
      <c r="C2507" s="1" t="s">
        <v>7886</v>
      </c>
      <c r="F2507" s="1" t="s">
        <v>965</v>
      </c>
      <c r="G2507" s="1">
        <v>200.0</v>
      </c>
      <c r="H2507" s="1" t="s">
        <v>966</v>
      </c>
      <c r="I2507" s="1" t="s">
        <v>967</v>
      </c>
      <c r="K2507" s="1" t="s">
        <v>7887</v>
      </c>
      <c r="L2507" s="1">
        <v>87.0</v>
      </c>
      <c r="M2507" s="1">
        <v>769.0</v>
      </c>
      <c r="O2507" s="1">
        <v>0.0</v>
      </c>
      <c r="P2507" s="1">
        <v>0.0</v>
      </c>
      <c r="Q2507" s="1" t="s">
        <v>7888</v>
      </c>
      <c r="R2507" s="1">
        <v>114.0</v>
      </c>
      <c r="S2507" s="1">
        <v>681.0</v>
      </c>
      <c r="U2507" s="1">
        <v>0.0</v>
      </c>
      <c r="V2507" s="1" t="s">
        <v>7886</v>
      </c>
      <c r="W2507" s="1">
        <v>62.0</v>
      </c>
      <c r="Y2507" s="1">
        <v>0.0</v>
      </c>
      <c r="AA2507" s="1">
        <v>0.0</v>
      </c>
      <c r="AC2507" s="1">
        <v>0.0</v>
      </c>
      <c r="AD2507" s="1" t="s">
        <v>971</v>
      </c>
      <c r="AG2507" s="9" t="s">
        <v>7885</v>
      </c>
      <c r="AM2507" s="1">
        <v>201793.0</v>
      </c>
      <c r="AN2507" s="1">
        <v>36561.0</v>
      </c>
      <c r="AO2507" s="1">
        <v>36561.0</v>
      </c>
      <c r="AP2507" s="1">
        <v>14.006</v>
      </c>
      <c r="AR2507" s="1">
        <v>1629.0</v>
      </c>
      <c r="AS2507" s="1">
        <v>249.0</v>
      </c>
      <c r="AT2507" s="1">
        <v>6.542</v>
      </c>
      <c r="AU2507" s="1">
        <v>65.894</v>
      </c>
      <c r="AV2507" s="1" t="s">
        <v>990</v>
      </c>
      <c r="AW2507" s="1">
        <v>6.081</v>
      </c>
      <c r="AX2507" s="1">
        <v>5.0</v>
      </c>
      <c r="AY2507" s="1">
        <v>1.0</v>
      </c>
      <c r="AZ2507" s="1">
        <v>1.0</v>
      </c>
      <c r="BA2507" s="1">
        <v>1.0</v>
      </c>
      <c r="BB2507" s="1">
        <v>1.0</v>
      </c>
      <c r="BC2507" s="1">
        <v>0.0</v>
      </c>
      <c r="BD2507" s="1">
        <v>0.13</v>
      </c>
      <c r="BE2507" s="1">
        <v>131.0</v>
      </c>
      <c r="BF2507" s="1">
        <v>49.0</v>
      </c>
      <c r="BG2507" s="1">
        <v>0.0</v>
      </c>
      <c r="BH2507" s="1">
        <v>16.0</v>
      </c>
      <c r="BI2507" s="1">
        <v>8.0</v>
      </c>
      <c r="BJ2507" s="1">
        <v>0.0</v>
      </c>
      <c r="BO2507" s="1" t="s">
        <v>7889</v>
      </c>
      <c r="BP2507" s="1">
        <v>1.497</v>
      </c>
      <c r="BU2507" s="1" t="s">
        <v>974</v>
      </c>
      <c r="BV2507" s="1">
        <v>1.1</v>
      </c>
      <c r="EQ2507" s="9" t="s">
        <v>7885</v>
      </c>
      <c r="ER2507" s="21">
        <v>46045.30280092593</v>
      </c>
    </row>
    <row r="2508">
      <c r="A2508" s="9" t="s">
        <v>7890</v>
      </c>
      <c r="B2508" s="20" t="str">
        <f>IFERROR(__xludf.DUMMYFUNCTION("REGEXREPLACE(A2508, ""^https?://[^/]+"", """")"),"/wp-content/uploads/2021/01/working-at-desk-e1608576587284-1024x543-1-2048x2048.jpg")</f>
        <v>/wp-content/uploads/2021/01/working-at-desk-e1608576587284-1024x543-1-2048x2048.jpg</v>
      </c>
      <c r="F2508" s="1" t="s">
        <v>1004</v>
      </c>
      <c r="G2508" s="1">
        <v>200.0</v>
      </c>
      <c r="H2508" s="1" t="s">
        <v>966</v>
      </c>
      <c r="I2508" s="1" t="s">
        <v>967</v>
      </c>
      <c r="L2508" s="1">
        <v>0.0</v>
      </c>
      <c r="M2508" s="1">
        <v>0.0</v>
      </c>
      <c r="O2508" s="1">
        <v>0.0</v>
      </c>
      <c r="P2508" s="1">
        <v>0.0</v>
      </c>
      <c r="R2508" s="1">
        <v>0.0</v>
      </c>
      <c r="S2508" s="1">
        <v>0.0</v>
      </c>
      <c r="U2508" s="1">
        <v>0.0</v>
      </c>
      <c r="W2508" s="1">
        <v>0.0</v>
      </c>
      <c r="Y2508" s="1">
        <v>0.0</v>
      </c>
      <c r="AA2508" s="1">
        <v>0.0</v>
      </c>
      <c r="AC2508" s="1">
        <v>0.0</v>
      </c>
      <c r="AM2508" s="1">
        <v>226892.0</v>
      </c>
      <c r="AN2508" s="1">
        <v>226892.0</v>
      </c>
      <c r="AO2508" s="1">
        <v>226892.0</v>
      </c>
      <c r="AP2508" s="1">
        <v>86.918</v>
      </c>
      <c r="AR2508" s="1">
        <v>0.0</v>
      </c>
      <c r="AW2508" s="1">
        <v>0.0</v>
      </c>
      <c r="AX2508" s="1">
        <v>5.0</v>
      </c>
      <c r="AY2508" s="1">
        <v>4.0</v>
      </c>
      <c r="BA2508" s="1">
        <v>0.0</v>
      </c>
      <c r="BB2508" s="1">
        <v>0.0</v>
      </c>
      <c r="BC2508" s="1">
        <v>0.0</v>
      </c>
      <c r="BD2508" s="1">
        <v>0.0</v>
      </c>
      <c r="BE2508" s="1">
        <v>0.0</v>
      </c>
      <c r="BF2508" s="1">
        <v>0.0</v>
      </c>
      <c r="BG2508" s="1">
        <v>0.0</v>
      </c>
      <c r="BH2508" s="1">
        <v>0.0</v>
      </c>
      <c r="BI2508" s="1">
        <v>0.0</v>
      </c>
      <c r="BJ2508" s="1">
        <v>0.0</v>
      </c>
      <c r="BP2508" s="1">
        <v>1.275</v>
      </c>
      <c r="BQ2508" s="1" t="s">
        <v>7891</v>
      </c>
      <c r="BV2508" s="1">
        <v>1.1</v>
      </c>
      <c r="EQ2508" s="9" t="s">
        <v>7890</v>
      </c>
      <c r="ER2508" s="21">
        <v>46045.3028125</v>
      </c>
    </row>
    <row r="2509">
      <c r="A2509" s="9" t="s">
        <v>7892</v>
      </c>
      <c r="B2509" s="20" t="str">
        <f>IFERROR(__xludf.DUMMYFUNCTION("REGEXREPLACE(A2509, ""^https?://[^/]+"", """")"),"/wp-content/uploads/2020/11/sales-pipeline-2048x2048.jpg")</f>
        <v>/wp-content/uploads/2020/11/sales-pipeline-2048x2048.jpg</v>
      </c>
      <c r="F2509" s="1" t="s">
        <v>1004</v>
      </c>
      <c r="G2509" s="1">
        <v>200.0</v>
      </c>
      <c r="H2509" s="1" t="s">
        <v>966</v>
      </c>
      <c r="I2509" s="1" t="s">
        <v>967</v>
      </c>
      <c r="L2509" s="1">
        <v>0.0</v>
      </c>
      <c r="M2509" s="1">
        <v>0.0</v>
      </c>
      <c r="O2509" s="1">
        <v>0.0</v>
      </c>
      <c r="P2509" s="1">
        <v>0.0</v>
      </c>
      <c r="R2509" s="1">
        <v>0.0</v>
      </c>
      <c r="S2509" s="1">
        <v>0.0</v>
      </c>
      <c r="U2509" s="1">
        <v>0.0</v>
      </c>
      <c r="W2509" s="1">
        <v>0.0</v>
      </c>
      <c r="Y2509" s="1">
        <v>0.0</v>
      </c>
      <c r="AA2509" s="1">
        <v>0.0</v>
      </c>
      <c r="AC2509" s="1">
        <v>0.0</v>
      </c>
      <c r="AM2509" s="1">
        <v>263829.0</v>
      </c>
      <c r="AN2509" s="1">
        <v>263829.0</v>
      </c>
      <c r="AO2509" s="1">
        <v>263829.0</v>
      </c>
      <c r="AP2509" s="1">
        <v>101.068</v>
      </c>
      <c r="AR2509" s="1">
        <v>0.0</v>
      </c>
      <c r="AW2509" s="1">
        <v>0.0</v>
      </c>
      <c r="AX2509" s="1">
        <v>5.0</v>
      </c>
      <c r="AY2509" s="1">
        <v>4.0</v>
      </c>
      <c r="BA2509" s="1">
        <v>0.0</v>
      </c>
      <c r="BB2509" s="1">
        <v>0.0</v>
      </c>
      <c r="BC2509" s="1">
        <v>0.0</v>
      </c>
      <c r="BD2509" s="1">
        <v>0.0</v>
      </c>
      <c r="BE2509" s="1">
        <v>0.0</v>
      </c>
      <c r="BF2509" s="1">
        <v>0.0</v>
      </c>
      <c r="BG2509" s="1">
        <v>0.0</v>
      </c>
      <c r="BH2509" s="1">
        <v>0.0</v>
      </c>
      <c r="BI2509" s="1">
        <v>0.0</v>
      </c>
      <c r="BJ2509" s="1">
        <v>0.0</v>
      </c>
      <c r="BP2509" s="1">
        <v>0.274</v>
      </c>
      <c r="BQ2509" s="1" t="s">
        <v>7893</v>
      </c>
      <c r="BV2509" s="1">
        <v>1.1</v>
      </c>
      <c r="EQ2509" s="9" t="s">
        <v>7892</v>
      </c>
      <c r="ER2509" s="21">
        <v>46045.302824074075</v>
      </c>
    </row>
    <row r="2510">
      <c r="A2510" s="9" t="s">
        <v>7894</v>
      </c>
      <c r="B2510" s="20" t="str">
        <f>IFERROR(__xludf.DUMMYFUNCTION("REGEXREPLACE(A2510, ""^https?://[^/]+"", """")"),"/the-high-performance-traits-that-power-a-high-performance-sales-team/")</f>
        <v>/the-high-performance-traits-that-power-a-high-performance-sales-team/</v>
      </c>
      <c r="C2510" s="1" t="s">
        <v>7895</v>
      </c>
      <c r="D2510" s="1" t="s">
        <v>7896</v>
      </c>
      <c r="F2510" s="1" t="s">
        <v>965</v>
      </c>
      <c r="G2510" s="1">
        <v>200.0</v>
      </c>
      <c r="H2510" s="1" t="s">
        <v>966</v>
      </c>
      <c r="I2510" s="1" t="s">
        <v>967</v>
      </c>
      <c r="K2510" s="1" t="s">
        <v>7897</v>
      </c>
      <c r="L2510" s="1">
        <v>102.0</v>
      </c>
      <c r="M2510" s="1">
        <v>953.0</v>
      </c>
      <c r="O2510" s="1">
        <v>0.0</v>
      </c>
      <c r="P2510" s="1">
        <v>0.0</v>
      </c>
      <c r="Q2510" s="1" t="s">
        <v>7898</v>
      </c>
      <c r="R2510" s="1">
        <v>175.0</v>
      </c>
      <c r="S2510" s="1">
        <v>1106.0</v>
      </c>
      <c r="U2510" s="1">
        <v>0.0</v>
      </c>
      <c r="V2510" s="1" t="s">
        <v>7895</v>
      </c>
      <c r="W2510" s="1">
        <v>77.0</v>
      </c>
      <c r="Y2510" s="1">
        <v>0.0</v>
      </c>
      <c r="Z2510" s="1" t="s">
        <v>7896</v>
      </c>
      <c r="AA2510" s="1">
        <v>34.0</v>
      </c>
      <c r="AC2510" s="1">
        <v>0.0</v>
      </c>
      <c r="AD2510" s="1" t="s">
        <v>971</v>
      </c>
      <c r="AG2510" s="9" t="s">
        <v>7894</v>
      </c>
      <c r="AM2510" s="1">
        <v>199904.0</v>
      </c>
      <c r="AN2510" s="1">
        <v>34178.0</v>
      </c>
      <c r="AO2510" s="1">
        <v>34178.0</v>
      </c>
      <c r="AP2510" s="1">
        <v>13.093</v>
      </c>
      <c r="AR2510" s="1">
        <v>681.0</v>
      </c>
      <c r="AS2510" s="1">
        <v>117.0</v>
      </c>
      <c r="AT2510" s="1">
        <v>5.821</v>
      </c>
      <c r="AU2510" s="1">
        <v>62.288</v>
      </c>
      <c r="AV2510" s="1" t="s">
        <v>990</v>
      </c>
      <c r="AW2510" s="1">
        <v>3.311</v>
      </c>
      <c r="AX2510" s="1">
        <v>5.0</v>
      </c>
      <c r="AY2510" s="1">
        <v>1.0</v>
      </c>
      <c r="AZ2510" s="1">
        <v>1.0</v>
      </c>
      <c r="BA2510" s="1">
        <v>3.0</v>
      </c>
      <c r="BB2510" s="1">
        <v>3.0</v>
      </c>
      <c r="BC2510" s="1">
        <v>0.0</v>
      </c>
      <c r="BD2510" s="1">
        <v>0.4</v>
      </c>
      <c r="BE2510" s="1">
        <v>129.0</v>
      </c>
      <c r="BF2510" s="1">
        <v>47.0</v>
      </c>
      <c r="BG2510" s="1">
        <v>0.0</v>
      </c>
      <c r="BH2510" s="1">
        <v>17.0</v>
      </c>
      <c r="BI2510" s="1">
        <v>9.0</v>
      </c>
      <c r="BJ2510" s="1">
        <v>0.0</v>
      </c>
      <c r="BO2510" s="1" t="s">
        <v>7899</v>
      </c>
      <c r="BP2510" s="1">
        <v>1.434</v>
      </c>
      <c r="BU2510" s="1" t="s">
        <v>974</v>
      </c>
      <c r="BV2510" s="1">
        <v>1.1</v>
      </c>
      <c r="EQ2510" s="9" t="s">
        <v>7894</v>
      </c>
      <c r="ER2510" s="21">
        <v>46045.30280092593</v>
      </c>
    </row>
    <row r="2511">
      <c r="A2511" s="9" t="s">
        <v>7900</v>
      </c>
      <c r="B2511" s="20" t="str">
        <f>IFERROR(__xludf.DUMMYFUNCTION("REGEXREPLACE(A2511, ""^https?://[^/]+"", """")"),"/wp-content/themes/salesxceleratione/assets/css/style.css?ver=1769123657")</f>
        <v>/wp-content/themes/salesxceleratione/assets/css/style.css?ver=1769123657</v>
      </c>
      <c r="F2511" s="1" t="s">
        <v>1016</v>
      </c>
      <c r="G2511" s="1">
        <v>200.0</v>
      </c>
      <c r="H2511" s="1" t="s">
        <v>966</v>
      </c>
      <c r="I2511" s="1" t="s">
        <v>967</v>
      </c>
      <c r="L2511" s="1">
        <v>0.0</v>
      </c>
      <c r="M2511" s="1">
        <v>0.0</v>
      </c>
      <c r="O2511" s="1">
        <v>0.0</v>
      </c>
      <c r="P2511" s="1">
        <v>0.0</v>
      </c>
      <c r="R2511" s="1">
        <v>0.0</v>
      </c>
      <c r="S2511" s="1">
        <v>0.0</v>
      </c>
      <c r="U2511" s="1">
        <v>0.0</v>
      </c>
      <c r="W2511" s="1">
        <v>0.0</v>
      </c>
      <c r="Y2511" s="1">
        <v>0.0</v>
      </c>
      <c r="AA2511" s="1">
        <v>0.0</v>
      </c>
      <c r="AC2511" s="1">
        <v>0.0</v>
      </c>
      <c r="AM2511" s="1">
        <v>17704.0</v>
      </c>
      <c r="AN2511" s="1">
        <v>17704.0</v>
      </c>
      <c r="AO2511" s="1">
        <v>17704.0</v>
      </c>
      <c r="AP2511" s="1">
        <v>6.782</v>
      </c>
      <c r="AR2511" s="1">
        <v>0.0</v>
      </c>
      <c r="AW2511" s="1">
        <v>0.0</v>
      </c>
      <c r="AX2511" s="1">
        <v>5.0</v>
      </c>
      <c r="AY2511" s="1">
        <v>5.0</v>
      </c>
      <c r="BA2511" s="1">
        <v>0.0</v>
      </c>
      <c r="BB2511" s="1">
        <v>0.0</v>
      </c>
      <c r="BC2511" s="1">
        <v>0.0</v>
      </c>
      <c r="BD2511" s="1">
        <v>0.0</v>
      </c>
      <c r="BE2511" s="1">
        <v>0.0</v>
      </c>
      <c r="BF2511" s="1">
        <v>0.0</v>
      </c>
      <c r="BG2511" s="1">
        <v>0.0</v>
      </c>
      <c r="BH2511" s="1">
        <v>0.0</v>
      </c>
      <c r="BI2511" s="1">
        <v>0.0</v>
      </c>
      <c r="BJ2511" s="1">
        <v>0.0</v>
      </c>
      <c r="BP2511" s="1">
        <v>0.287</v>
      </c>
      <c r="BQ2511" s="1" t="s">
        <v>6573</v>
      </c>
      <c r="BV2511" s="1">
        <v>1.1</v>
      </c>
      <c r="EQ2511" s="9" t="s">
        <v>7900</v>
      </c>
      <c r="ER2511" s="21">
        <v>46045.302824074075</v>
      </c>
    </row>
    <row r="2512">
      <c r="A2512" s="9" t="s">
        <v>7901</v>
      </c>
      <c r="B2512" s="20" t="str">
        <f>IFERROR(__xludf.DUMMYFUNCTION("REGEXREPLACE(A2512, ""^https?://[^/]+"", """")"),"/wp-content/uploads/2020/12/Sales-Team-Building-a-Plan-scaled-1-2048x2048.jpg")</f>
        <v>/wp-content/uploads/2020/12/Sales-Team-Building-a-Plan-scaled-1-2048x2048.jpg</v>
      </c>
      <c r="F2512" s="1" t="s">
        <v>1004</v>
      </c>
      <c r="G2512" s="1">
        <v>200.0</v>
      </c>
      <c r="H2512" s="1" t="s">
        <v>966</v>
      </c>
      <c r="I2512" s="1" t="s">
        <v>967</v>
      </c>
      <c r="L2512" s="1">
        <v>0.0</v>
      </c>
      <c r="M2512" s="1">
        <v>0.0</v>
      </c>
      <c r="O2512" s="1">
        <v>0.0</v>
      </c>
      <c r="P2512" s="1">
        <v>0.0</v>
      </c>
      <c r="R2512" s="1">
        <v>0.0</v>
      </c>
      <c r="S2512" s="1">
        <v>0.0</v>
      </c>
      <c r="U2512" s="1">
        <v>0.0</v>
      </c>
      <c r="W2512" s="1">
        <v>0.0</v>
      </c>
      <c r="Y2512" s="1">
        <v>0.0</v>
      </c>
      <c r="AA2512" s="1">
        <v>0.0</v>
      </c>
      <c r="AC2512" s="1">
        <v>0.0</v>
      </c>
      <c r="AM2512" s="1">
        <v>259493.0</v>
      </c>
      <c r="AN2512" s="1">
        <v>259493.0</v>
      </c>
      <c r="AO2512" s="1">
        <v>259493.0</v>
      </c>
      <c r="AP2512" s="1">
        <v>99.407</v>
      </c>
      <c r="AR2512" s="1">
        <v>0.0</v>
      </c>
      <c r="AW2512" s="1">
        <v>0.0</v>
      </c>
      <c r="AX2512" s="1">
        <v>5.0</v>
      </c>
      <c r="AY2512" s="1">
        <v>4.0</v>
      </c>
      <c r="BA2512" s="1">
        <v>0.0</v>
      </c>
      <c r="BB2512" s="1">
        <v>0.0</v>
      </c>
      <c r="BC2512" s="1">
        <v>0.0</v>
      </c>
      <c r="BD2512" s="1">
        <v>0.0</v>
      </c>
      <c r="BE2512" s="1">
        <v>0.0</v>
      </c>
      <c r="BF2512" s="1">
        <v>0.0</v>
      </c>
      <c r="BG2512" s="1">
        <v>0.0</v>
      </c>
      <c r="BH2512" s="1">
        <v>0.0</v>
      </c>
      <c r="BI2512" s="1">
        <v>0.0</v>
      </c>
      <c r="BJ2512" s="1">
        <v>0.0</v>
      </c>
      <c r="BP2512" s="1">
        <v>0.271</v>
      </c>
      <c r="BQ2512" s="1" t="s">
        <v>7902</v>
      </c>
      <c r="BV2512" s="1">
        <v>1.1</v>
      </c>
      <c r="EQ2512" s="9" t="s">
        <v>7901</v>
      </c>
      <c r="ER2512" s="21">
        <v>46045.302824074075</v>
      </c>
    </row>
    <row r="2513">
      <c r="A2513" s="9" t="s">
        <v>7903</v>
      </c>
      <c r="B2513" s="20" t="str">
        <f>IFERROR(__xludf.DUMMYFUNCTION("REGEXREPLACE(A2513, ""^https?://[^/]+"", """")"),"/grace-under-fire-how-to-prepare-your-sales-pipeline-for-2021/")</f>
        <v>/grace-under-fire-how-to-prepare-your-sales-pipeline-for-2021/</v>
      </c>
      <c r="C2513" s="1" t="s">
        <v>7904</v>
      </c>
      <c r="F2513" s="1" t="s">
        <v>965</v>
      </c>
      <c r="G2513" s="1">
        <v>200.0</v>
      </c>
      <c r="H2513" s="1" t="s">
        <v>966</v>
      </c>
      <c r="I2513" s="1" t="s">
        <v>967</v>
      </c>
      <c r="K2513" s="1" t="s">
        <v>7905</v>
      </c>
      <c r="L2513" s="1">
        <v>101.0</v>
      </c>
      <c r="M2513" s="1">
        <v>902.0</v>
      </c>
      <c r="O2513" s="1">
        <v>0.0</v>
      </c>
      <c r="P2513" s="1">
        <v>0.0</v>
      </c>
      <c r="Q2513" s="1" t="s">
        <v>7906</v>
      </c>
      <c r="R2513" s="1">
        <v>180.0</v>
      </c>
      <c r="S2513" s="1">
        <v>1141.0</v>
      </c>
      <c r="U2513" s="1">
        <v>0.0</v>
      </c>
      <c r="V2513" s="1" t="s">
        <v>7904</v>
      </c>
      <c r="W2513" s="1">
        <v>76.0</v>
      </c>
      <c r="Y2513" s="1">
        <v>0.0</v>
      </c>
      <c r="AA2513" s="1">
        <v>0.0</v>
      </c>
      <c r="AC2513" s="1">
        <v>0.0</v>
      </c>
      <c r="AD2513" s="1" t="s">
        <v>971</v>
      </c>
      <c r="AG2513" s="9" t="s">
        <v>7903</v>
      </c>
      <c r="AM2513" s="1">
        <v>197567.0</v>
      </c>
      <c r="AN2513" s="1">
        <v>34220.0</v>
      </c>
      <c r="AO2513" s="1">
        <v>34220.0</v>
      </c>
      <c r="AP2513" s="1">
        <v>13.109</v>
      </c>
      <c r="AR2513" s="1">
        <v>700.0</v>
      </c>
      <c r="AS2513" s="1">
        <v>115.0</v>
      </c>
      <c r="AT2513" s="1">
        <v>6.087</v>
      </c>
      <c r="AU2513" s="1">
        <v>63.846</v>
      </c>
      <c r="AV2513" s="1" t="s">
        <v>990</v>
      </c>
      <c r="AW2513" s="1">
        <v>3.377</v>
      </c>
      <c r="AX2513" s="1">
        <v>5.0</v>
      </c>
      <c r="AY2513" s="1">
        <v>1.0</v>
      </c>
      <c r="AZ2513" s="1">
        <v>1.0</v>
      </c>
      <c r="BA2513" s="1">
        <v>9.0</v>
      </c>
      <c r="BB2513" s="1">
        <v>9.0</v>
      </c>
      <c r="BC2513" s="1">
        <v>0.0</v>
      </c>
      <c r="BD2513" s="1">
        <v>1.19</v>
      </c>
      <c r="BE2513" s="1">
        <v>129.0</v>
      </c>
      <c r="BF2513" s="1">
        <v>47.0</v>
      </c>
      <c r="BG2513" s="1">
        <v>0.0</v>
      </c>
      <c r="BH2513" s="1">
        <v>20.0</v>
      </c>
      <c r="BI2513" s="1">
        <v>12.0</v>
      </c>
      <c r="BJ2513" s="1">
        <v>0.0</v>
      </c>
      <c r="BO2513" s="1" t="s">
        <v>7907</v>
      </c>
      <c r="BP2513" s="1">
        <v>1.015</v>
      </c>
      <c r="BU2513" s="1" t="s">
        <v>974</v>
      </c>
      <c r="BV2513" s="1">
        <v>1.1</v>
      </c>
      <c r="EQ2513" s="9" t="s">
        <v>7903</v>
      </c>
      <c r="ER2513" s="21">
        <v>46045.302824074075</v>
      </c>
    </row>
    <row r="2514">
      <c r="A2514" s="9" t="s">
        <v>7908</v>
      </c>
      <c r="B2514" s="20" t="str">
        <f>IFERROR(__xludf.DUMMYFUNCTION("REGEXREPLACE(A2514, ""^https?://[^/]+"", """")"),"/wp-content/uploads/2020/03/sales-marketing-meeting-1.jpg")</f>
        <v>/wp-content/uploads/2020/03/sales-marketing-meeting-1.jpg</v>
      </c>
      <c r="F2514" s="1" t="s">
        <v>1004</v>
      </c>
      <c r="G2514" s="1">
        <v>200.0</v>
      </c>
      <c r="H2514" s="1" t="s">
        <v>966</v>
      </c>
      <c r="I2514" s="1" t="s">
        <v>967</v>
      </c>
      <c r="L2514" s="1">
        <v>0.0</v>
      </c>
      <c r="M2514" s="1">
        <v>0.0</v>
      </c>
      <c r="O2514" s="1">
        <v>0.0</v>
      </c>
      <c r="P2514" s="1">
        <v>0.0</v>
      </c>
      <c r="R2514" s="1">
        <v>0.0</v>
      </c>
      <c r="S2514" s="1">
        <v>0.0</v>
      </c>
      <c r="U2514" s="1">
        <v>0.0</v>
      </c>
      <c r="W2514" s="1">
        <v>0.0</v>
      </c>
      <c r="Y2514" s="1">
        <v>0.0</v>
      </c>
      <c r="AA2514" s="1">
        <v>0.0</v>
      </c>
      <c r="AC2514" s="1">
        <v>0.0</v>
      </c>
      <c r="AM2514" s="1">
        <v>35002.0</v>
      </c>
      <c r="AN2514" s="1">
        <v>35002.0</v>
      </c>
      <c r="AO2514" s="1">
        <v>35002.0</v>
      </c>
      <c r="AP2514" s="1">
        <v>13.409</v>
      </c>
      <c r="AR2514" s="1">
        <v>0.0</v>
      </c>
      <c r="AW2514" s="1">
        <v>0.0</v>
      </c>
      <c r="AX2514" s="1">
        <v>5.0</v>
      </c>
      <c r="AY2514" s="1">
        <v>4.0</v>
      </c>
      <c r="BA2514" s="1">
        <v>0.0</v>
      </c>
      <c r="BB2514" s="1">
        <v>0.0</v>
      </c>
      <c r="BC2514" s="1">
        <v>0.0</v>
      </c>
      <c r="BD2514" s="1">
        <v>0.0</v>
      </c>
      <c r="BE2514" s="1">
        <v>0.0</v>
      </c>
      <c r="BF2514" s="1">
        <v>0.0</v>
      </c>
      <c r="BG2514" s="1">
        <v>0.0</v>
      </c>
      <c r="BH2514" s="1">
        <v>0.0</v>
      </c>
      <c r="BI2514" s="1">
        <v>0.0</v>
      </c>
      <c r="BJ2514" s="1">
        <v>0.0</v>
      </c>
      <c r="BP2514" s="1">
        <v>0.26</v>
      </c>
      <c r="BQ2514" s="1" t="s">
        <v>7909</v>
      </c>
      <c r="BV2514" s="1">
        <v>1.1</v>
      </c>
      <c r="EQ2514" s="9" t="s">
        <v>7908</v>
      </c>
      <c r="ER2514" s="21">
        <v>46045.30284722222</v>
      </c>
    </row>
    <row r="2515">
      <c r="A2515" s="9" t="s">
        <v>7910</v>
      </c>
      <c r="B2515" s="20" t="str">
        <f>IFERROR(__xludf.DUMMYFUNCTION("REGEXREPLACE(A2515, ""^https?://[^/]+"", """")"),"/how-to-create-a-contingency-plan-for-your-business/")</f>
        <v>/how-to-create-a-contingency-plan-for-your-business/</v>
      </c>
      <c r="C2515" s="1" t="s">
        <v>7911</v>
      </c>
      <c r="F2515" s="1" t="s">
        <v>965</v>
      </c>
      <c r="G2515" s="1">
        <v>200.0</v>
      </c>
      <c r="H2515" s="1" t="s">
        <v>966</v>
      </c>
      <c r="I2515" s="1" t="s">
        <v>967</v>
      </c>
      <c r="K2515" s="1" t="s">
        <v>7912</v>
      </c>
      <c r="L2515" s="1">
        <v>96.0</v>
      </c>
      <c r="M2515" s="1">
        <v>890.0</v>
      </c>
      <c r="O2515" s="1">
        <v>0.0</v>
      </c>
      <c r="P2515" s="1">
        <v>0.0</v>
      </c>
      <c r="Q2515" s="1" t="s">
        <v>7913</v>
      </c>
      <c r="R2515" s="1">
        <v>67.0</v>
      </c>
      <c r="S2515" s="1">
        <v>400.0</v>
      </c>
      <c r="U2515" s="1">
        <v>0.0</v>
      </c>
      <c r="V2515" s="1" t="s">
        <v>7911</v>
      </c>
      <c r="W2515" s="1">
        <v>71.0</v>
      </c>
      <c r="Y2515" s="1">
        <v>0.0</v>
      </c>
      <c r="AA2515" s="1">
        <v>0.0</v>
      </c>
      <c r="AC2515" s="1">
        <v>0.0</v>
      </c>
      <c r="AD2515" s="1" t="s">
        <v>971</v>
      </c>
      <c r="AG2515" s="9" t="s">
        <v>7910</v>
      </c>
      <c r="AM2515" s="1">
        <v>197494.0</v>
      </c>
      <c r="AN2515" s="1">
        <v>34381.0</v>
      </c>
      <c r="AO2515" s="1">
        <v>34381.0</v>
      </c>
      <c r="AP2515" s="1">
        <v>13.171</v>
      </c>
      <c r="AR2515" s="1">
        <v>753.0</v>
      </c>
      <c r="AS2515" s="1">
        <v>121.0</v>
      </c>
      <c r="AT2515" s="1">
        <v>6.223</v>
      </c>
      <c r="AU2515" s="1">
        <v>65.361</v>
      </c>
      <c r="AV2515" s="1" t="s">
        <v>990</v>
      </c>
      <c r="AW2515" s="1">
        <v>3.527</v>
      </c>
      <c r="AX2515" s="1">
        <v>5.0</v>
      </c>
      <c r="AY2515" s="1">
        <v>1.0</v>
      </c>
      <c r="AZ2515" s="1">
        <v>1.0</v>
      </c>
      <c r="BA2515" s="1">
        <v>6.0</v>
      </c>
      <c r="BB2515" s="1">
        <v>6.0</v>
      </c>
      <c r="BC2515" s="1">
        <v>0.0</v>
      </c>
      <c r="BD2515" s="1">
        <v>0.8</v>
      </c>
      <c r="BE2515" s="1">
        <v>129.0</v>
      </c>
      <c r="BF2515" s="1">
        <v>47.0</v>
      </c>
      <c r="BG2515" s="1">
        <v>0.0</v>
      </c>
      <c r="BH2515" s="1">
        <v>20.0</v>
      </c>
      <c r="BI2515" s="1">
        <v>12.0</v>
      </c>
      <c r="BJ2515" s="1">
        <v>0.0</v>
      </c>
      <c r="BO2515" s="1" t="s">
        <v>7914</v>
      </c>
      <c r="BP2515" s="1">
        <v>1.048</v>
      </c>
      <c r="BU2515" s="1" t="s">
        <v>974</v>
      </c>
      <c r="BV2515" s="1">
        <v>1.1</v>
      </c>
      <c r="EQ2515" s="9" t="s">
        <v>7910</v>
      </c>
      <c r="ER2515" s="21">
        <v>46045.302835648145</v>
      </c>
    </row>
    <row r="2516">
      <c r="A2516" s="9" t="s">
        <v>7915</v>
      </c>
      <c r="B2516" s="20" t="str">
        <f>IFERROR(__xludf.DUMMYFUNCTION("REGEXREPLACE(A2516, ""^https?://[^/]+"", """")"),"/wp-content/uploads/elementor/css/post-28923.css?ver=1768910458")</f>
        <v>/wp-content/uploads/elementor/css/post-28923.css?ver=1768910458</v>
      </c>
      <c r="F2516" s="1" t="s">
        <v>1016</v>
      </c>
      <c r="G2516" s="1">
        <v>200.0</v>
      </c>
      <c r="H2516" s="1" t="s">
        <v>966</v>
      </c>
      <c r="I2516" s="1" t="s">
        <v>967</v>
      </c>
      <c r="L2516" s="1">
        <v>0.0</v>
      </c>
      <c r="M2516" s="1">
        <v>0.0</v>
      </c>
      <c r="O2516" s="1">
        <v>0.0</v>
      </c>
      <c r="P2516" s="1">
        <v>0.0</v>
      </c>
      <c r="R2516" s="1">
        <v>0.0</v>
      </c>
      <c r="S2516" s="1">
        <v>0.0</v>
      </c>
      <c r="U2516" s="1">
        <v>0.0</v>
      </c>
      <c r="W2516" s="1">
        <v>0.0</v>
      </c>
      <c r="Y2516" s="1">
        <v>0.0</v>
      </c>
      <c r="AA2516" s="1">
        <v>0.0</v>
      </c>
      <c r="AC2516" s="1">
        <v>0.0</v>
      </c>
      <c r="AM2516" s="1">
        <v>69.0</v>
      </c>
      <c r="AN2516" s="1">
        <v>69.0</v>
      </c>
      <c r="AO2516" s="1">
        <v>69.0</v>
      </c>
      <c r="AP2516" s="1">
        <v>0.026</v>
      </c>
      <c r="AR2516" s="1">
        <v>0.0</v>
      </c>
      <c r="AW2516" s="1">
        <v>0.0</v>
      </c>
      <c r="AX2516" s="1">
        <v>5.0</v>
      </c>
      <c r="AY2516" s="1">
        <v>4.0</v>
      </c>
      <c r="BA2516" s="1">
        <v>0.0</v>
      </c>
      <c r="BB2516" s="1">
        <v>0.0</v>
      </c>
      <c r="BC2516" s="1">
        <v>0.0</v>
      </c>
      <c r="BD2516" s="1">
        <v>0.0</v>
      </c>
      <c r="BE2516" s="1">
        <v>0.0</v>
      </c>
      <c r="BF2516" s="1">
        <v>0.0</v>
      </c>
      <c r="BG2516" s="1">
        <v>0.0</v>
      </c>
      <c r="BH2516" s="1">
        <v>0.0</v>
      </c>
      <c r="BI2516" s="1">
        <v>0.0</v>
      </c>
      <c r="BJ2516" s="1">
        <v>0.0</v>
      </c>
      <c r="BP2516" s="1">
        <v>0.286</v>
      </c>
      <c r="BQ2516" s="1" t="s">
        <v>7916</v>
      </c>
      <c r="BV2516" s="1">
        <v>1.1</v>
      </c>
      <c r="EQ2516" s="9" t="s">
        <v>7915</v>
      </c>
      <c r="ER2516" s="21">
        <v>46045.30284722222</v>
      </c>
    </row>
    <row r="2517">
      <c r="A2517" s="9" t="s">
        <v>7917</v>
      </c>
      <c r="B2517" s="20" t="str">
        <f>IFERROR(__xludf.DUMMYFUNCTION("REGEXREPLACE(A2517, ""^https?://[^/]+"", """")"),"/wp-content/themes/salesxceleratione/assets/css/style.css?ver=1769123656")</f>
        <v>/wp-content/themes/salesxceleratione/assets/css/style.css?ver=1769123656</v>
      </c>
      <c r="F2517" s="1" t="s">
        <v>1016</v>
      </c>
      <c r="G2517" s="1">
        <v>200.0</v>
      </c>
      <c r="H2517" s="1" t="s">
        <v>966</v>
      </c>
      <c r="I2517" s="1" t="s">
        <v>967</v>
      </c>
      <c r="L2517" s="1">
        <v>0.0</v>
      </c>
      <c r="M2517" s="1">
        <v>0.0</v>
      </c>
      <c r="O2517" s="1">
        <v>0.0</v>
      </c>
      <c r="P2517" s="1">
        <v>0.0</v>
      </c>
      <c r="R2517" s="1">
        <v>0.0</v>
      </c>
      <c r="S2517" s="1">
        <v>0.0</v>
      </c>
      <c r="U2517" s="1">
        <v>0.0</v>
      </c>
      <c r="W2517" s="1">
        <v>0.0</v>
      </c>
      <c r="Y2517" s="1">
        <v>0.0</v>
      </c>
      <c r="AA2517" s="1">
        <v>0.0</v>
      </c>
      <c r="AC2517" s="1">
        <v>0.0</v>
      </c>
      <c r="AM2517" s="1">
        <v>17704.0</v>
      </c>
      <c r="AN2517" s="1">
        <v>17704.0</v>
      </c>
      <c r="AO2517" s="1">
        <v>17704.0</v>
      </c>
      <c r="AP2517" s="1">
        <v>6.782</v>
      </c>
      <c r="AR2517" s="1">
        <v>0.0</v>
      </c>
      <c r="AW2517" s="1">
        <v>0.0</v>
      </c>
      <c r="AX2517" s="1">
        <v>5.0</v>
      </c>
      <c r="AY2517" s="1">
        <v>5.0</v>
      </c>
      <c r="BA2517" s="1">
        <v>0.0</v>
      </c>
      <c r="BB2517" s="1">
        <v>0.0</v>
      </c>
      <c r="BC2517" s="1">
        <v>0.0</v>
      </c>
      <c r="BD2517" s="1">
        <v>0.0</v>
      </c>
      <c r="BE2517" s="1">
        <v>0.0</v>
      </c>
      <c r="BF2517" s="1">
        <v>0.0</v>
      </c>
      <c r="BG2517" s="1">
        <v>0.0</v>
      </c>
      <c r="BH2517" s="1">
        <v>0.0</v>
      </c>
      <c r="BI2517" s="1">
        <v>0.0</v>
      </c>
      <c r="BJ2517" s="1">
        <v>0.0</v>
      </c>
      <c r="BP2517" s="1">
        <v>0.278</v>
      </c>
      <c r="BQ2517" s="1" t="s">
        <v>7918</v>
      </c>
      <c r="BV2517" s="1">
        <v>1.1</v>
      </c>
      <c r="EQ2517" s="9" t="s">
        <v>7917</v>
      </c>
      <c r="ER2517" s="21">
        <v>46045.30284722222</v>
      </c>
    </row>
    <row r="2518">
      <c r="A2518" s="9" t="s">
        <v>7919</v>
      </c>
      <c r="B2518" s="20" t="str">
        <f>IFERROR(__xludf.DUMMYFUNCTION("REGEXREPLACE(A2518, ""^https?://[^/]+"", """")"),"/wp-content/uploads/elementor/css/post-72771.css?ver=1768848012")</f>
        <v>/wp-content/uploads/elementor/css/post-72771.css?ver=1768848012</v>
      </c>
      <c r="F2518" s="1" t="s">
        <v>1016</v>
      </c>
      <c r="G2518" s="1">
        <v>200.0</v>
      </c>
      <c r="H2518" s="1" t="s">
        <v>966</v>
      </c>
      <c r="I2518" s="1" t="s">
        <v>967</v>
      </c>
      <c r="L2518" s="1">
        <v>0.0</v>
      </c>
      <c r="M2518" s="1">
        <v>0.0</v>
      </c>
      <c r="O2518" s="1">
        <v>0.0</v>
      </c>
      <c r="P2518" s="1">
        <v>0.0</v>
      </c>
      <c r="R2518" s="1">
        <v>0.0</v>
      </c>
      <c r="S2518" s="1">
        <v>0.0</v>
      </c>
      <c r="U2518" s="1">
        <v>0.0</v>
      </c>
      <c r="W2518" s="1">
        <v>0.0</v>
      </c>
      <c r="Y2518" s="1">
        <v>0.0</v>
      </c>
      <c r="AA2518" s="1">
        <v>0.0</v>
      </c>
      <c r="AC2518" s="1">
        <v>0.0</v>
      </c>
      <c r="AM2518" s="1">
        <v>69.0</v>
      </c>
      <c r="AN2518" s="1">
        <v>69.0</v>
      </c>
      <c r="AO2518" s="1">
        <v>69.0</v>
      </c>
      <c r="AP2518" s="1">
        <v>0.026</v>
      </c>
      <c r="AR2518" s="1">
        <v>0.0</v>
      </c>
      <c r="AW2518" s="1">
        <v>0.0</v>
      </c>
      <c r="AX2518" s="1">
        <v>5.0</v>
      </c>
      <c r="AY2518" s="1">
        <v>4.0</v>
      </c>
      <c r="BA2518" s="1">
        <v>0.0</v>
      </c>
      <c r="BB2518" s="1">
        <v>0.0</v>
      </c>
      <c r="BC2518" s="1">
        <v>0.0</v>
      </c>
      <c r="BD2518" s="1">
        <v>0.0</v>
      </c>
      <c r="BE2518" s="1">
        <v>0.0</v>
      </c>
      <c r="BF2518" s="1">
        <v>0.0</v>
      </c>
      <c r="BG2518" s="1">
        <v>0.0</v>
      </c>
      <c r="BH2518" s="1">
        <v>0.0</v>
      </c>
      <c r="BI2518" s="1">
        <v>0.0</v>
      </c>
      <c r="BJ2518" s="1">
        <v>0.0</v>
      </c>
      <c r="BP2518" s="1">
        <v>0.267</v>
      </c>
      <c r="BQ2518" s="1" t="s">
        <v>7920</v>
      </c>
      <c r="BV2518" s="1">
        <v>1.1</v>
      </c>
      <c r="EQ2518" s="9" t="s">
        <v>7919</v>
      </c>
      <c r="ER2518" s="21">
        <v>46045.3028587963</v>
      </c>
    </row>
    <row r="2519">
      <c r="A2519" s="9" t="s">
        <v>7921</v>
      </c>
      <c r="B2519" s="20" t="str">
        <f>IFERROR(__xludf.DUMMYFUNCTION("REGEXREPLACE(A2519, ""^https?://[^/]+"", """")"),"/out-with-the-old-in-with-the-new-rethinking-your-sales-framework/")</f>
        <v>/out-with-the-old-in-with-the-new-rethinking-your-sales-framework/</v>
      </c>
      <c r="C2519" s="1" t="s">
        <v>7922</v>
      </c>
      <c r="F2519" s="1" t="s">
        <v>965</v>
      </c>
      <c r="G2519" s="1">
        <v>200.0</v>
      </c>
      <c r="H2519" s="1" t="s">
        <v>966</v>
      </c>
      <c r="I2519" s="1" t="s">
        <v>967</v>
      </c>
      <c r="K2519" s="1" t="s">
        <v>7923</v>
      </c>
      <c r="L2519" s="1">
        <v>108.0</v>
      </c>
      <c r="M2519" s="1">
        <v>975.0</v>
      </c>
      <c r="O2519" s="1">
        <v>0.0</v>
      </c>
      <c r="P2519" s="1">
        <v>0.0</v>
      </c>
      <c r="Q2519" s="1" t="s">
        <v>7924</v>
      </c>
      <c r="R2519" s="1">
        <v>74.0</v>
      </c>
      <c r="S2519" s="1">
        <v>428.0</v>
      </c>
      <c r="U2519" s="1">
        <v>0.0</v>
      </c>
      <c r="V2519" s="1" t="s">
        <v>7922</v>
      </c>
      <c r="W2519" s="1">
        <v>83.0</v>
      </c>
      <c r="Y2519" s="1">
        <v>0.0</v>
      </c>
      <c r="AA2519" s="1">
        <v>0.0</v>
      </c>
      <c r="AC2519" s="1">
        <v>0.0</v>
      </c>
      <c r="AD2519" s="1" t="s">
        <v>971</v>
      </c>
      <c r="AG2519" s="9" t="s">
        <v>7921</v>
      </c>
      <c r="AM2519" s="1">
        <v>198251.0</v>
      </c>
      <c r="AN2519" s="1">
        <v>34083.0</v>
      </c>
      <c r="AO2519" s="1">
        <v>34083.0</v>
      </c>
      <c r="AP2519" s="1">
        <v>13.057</v>
      </c>
      <c r="AR2519" s="1">
        <v>701.0</v>
      </c>
      <c r="AS2519" s="1">
        <v>120.0</v>
      </c>
      <c r="AT2519" s="1">
        <v>5.842</v>
      </c>
      <c r="AU2519" s="1">
        <v>67.308</v>
      </c>
      <c r="AV2519" s="1" t="s">
        <v>990</v>
      </c>
      <c r="AW2519" s="1">
        <v>3.335</v>
      </c>
      <c r="AX2519" s="1">
        <v>5.0</v>
      </c>
      <c r="AY2519" s="1">
        <v>1.0</v>
      </c>
      <c r="AZ2519" s="1">
        <v>1.0</v>
      </c>
      <c r="BA2519" s="1">
        <v>9.0</v>
      </c>
      <c r="BB2519" s="1">
        <v>9.0</v>
      </c>
      <c r="BC2519" s="1">
        <v>0.0</v>
      </c>
      <c r="BD2519" s="1">
        <v>1.19</v>
      </c>
      <c r="BE2519" s="1">
        <v>129.0</v>
      </c>
      <c r="BF2519" s="1">
        <v>47.0</v>
      </c>
      <c r="BG2519" s="1">
        <v>0.0</v>
      </c>
      <c r="BH2519" s="1">
        <v>19.0</v>
      </c>
      <c r="BI2519" s="1">
        <v>11.0</v>
      </c>
      <c r="BJ2519" s="1">
        <v>0.0</v>
      </c>
      <c r="BO2519" s="1" t="s">
        <v>7925</v>
      </c>
      <c r="BP2519" s="1">
        <v>1.16</v>
      </c>
      <c r="BU2519" s="1" t="s">
        <v>974</v>
      </c>
      <c r="BV2519" s="1">
        <v>1.1</v>
      </c>
      <c r="EQ2519" s="9" t="s">
        <v>7921</v>
      </c>
      <c r="ER2519" s="21">
        <v>46045.30284722222</v>
      </c>
    </row>
    <row r="2520">
      <c r="A2520" s="9" t="s">
        <v>7926</v>
      </c>
      <c r="B2520" s="20" t="str">
        <f>IFERROR(__xludf.DUMMYFUNCTION("REGEXREPLACE(A2520, ""^https?://[^/]+"", """")"),"/wp-content/themes/salesxceleratione/assets/css/style.css?ver=1769123654")</f>
        <v>/wp-content/themes/salesxceleratione/assets/css/style.css?ver=1769123654</v>
      </c>
      <c r="F2520" s="1" t="s">
        <v>1016</v>
      </c>
      <c r="G2520" s="1">
        <v>200.0</v>
      </c>
      <c r="H2520" s="1" t="s">
        <v>966</v>
      </c>
      <c r="I2520" s="1" t="s">
        <v>967</v>
      </c>
      <c r="L2520" s="1">
        <v>0.0</v>
      </c>
      <c r="M2520" s="1">
        <v>0.0</v>
      </c>
      <c r="O2520" s="1">
        <v>0.0</v>
      </c>
      <c r="P2520" s="1">
        <v>0.0</v>
      </c>
      <c r="R2520" s="1">
        <v>0.0</v>
      </c>
      <c r="S2520" s="1">
        <v>0.0</v>
      </c>
      <c r="U2520" s="1">
        <v>0.0</v>
      </c>
      <c r="W2520" s="1">
        <v>0.0</v>
      </c>
      <c r="Y2520" s="1">
        <v>0.0</v>
      </c>
      <c r="AA2520" s="1">
        <v>0.0</v>
      </c>
      <c r="AC2520" s="1">
        <v>0.0</v>
      </c>
      <c r="AM2520" s="1">
        <v>17704.0</v>
      </c>
      <c r="AN2520" s="1">
        <v>17704.0</v>
      </c>
      <c r="AO2520" s="1">
        <v>17704.0</v>
      </c>
      <c r="AP2520" s="1">
        <v>6.782</v>
      </c>
      <c r="AR2520" s="1">
        <v>0.0</v>
      </c>
      <c r="AW2520" s="1">
        <v>0.0</v>
      </c>
      <c r="AX2520" s="1">
        <v>5.0</v>
      </c>
      <c r="AY2520" s="1">
        <v>5.0</v>
      </c>
      <c r="BA2520" s="1">
        <v>0.0</v>
      </c>
      <c r="BB2520" s="1">
        <v>0.0</v>
      </c>
      <c r="BC2520" s="1">
        <v>0.0</v>
      </c>
      <c r="BD2520" s="1">
        <v>0.0</v>
      </c>
      <c r="BE2520" s="1">
        <v>0.0</v>
      </c>
      <c r="BF2520" s="1">
        <v>0.0</v>
      </c>
      <c r="BG2520" s="1">
        <v>0.0</v>
      </c>
      <c r="BH2520" s="1">
        <v>0.0</v>
      </c>
      <c r="BI2520" s="1">
        <v>0.0</v>
      </c>
      <c r="BJ2520" s="1">
        <v>0.0</v>
      </c>
      <c r="BP2520" s="1">
        <v>0.274</v>
      </c>
      <c r="BQ2520" s="1" t="s">
        <v>7927</v>
      </c>
      <c r="BV2520" s="1">
        <v>1.1</v>
      </c>
      <c r="EQ2520" s="9" t="s">
        <v>7926</v>
      </c>
      <c r="ER2520" s="21">
        <v>46045.30287037037</v>
      </c>
    </row>
    <row r="2521">
      <c r="A2521" s="9" t="s">
        <v>7928</v>
      </c>
      <c r="B2521" s="20" t="str">
        <f>IFERROR(__xludf.DUMMYFUNCTION("REGEXREPLACE(A2521, ""^https?://[^/]+"", """")"),"/5-tips-to-boost-your-sales-performance/")</f>
        <v>/5-tips-to-boost-your-sales-performance/</v>
      </c>
      <c r="C2521" s="1" t="s">
        <v>7929</v>
      </c>
      <c r="D2521" s="1" t="s">
        <v>7930</v>
      </c>
      <c r="E2521" s="1" t="s">
        <v>7931</v>
      </c>
      <c r="F2521" s="1" t="s">
        <v>965</v>
      </c>
      <c r="G2521" s="1">
        <v>200.0</v>
      </c>
      <c r="H2521" s="1" t="s">
        <v>966</v>
      </c>
      <c r="I2521" s="1" t="s">
        <v>967</v>
      </c>
      <c r="K2521" s="1" t="s">
        <v>7932</v>
      </c>
      <c r="L2521" s="1">
        <v>63.0</v>
      </c>
      <c r="M2521" s="1">
        <v>570.0</v>
      </c>
      <c r="O2521" s="1">
        <v>0.0</v>
      </c>
      <c r="P2521" s="1">
        <v>0.0</v>
      </c>
      <c r="Q2521" s="1" t="s">
        <v>7933</v>
      </c>
      <c r="R2521" s="1">
        <v>144.0</v>
      </c>
      <c r="S2521" s="1">
        <v>916.0</v>
      </c>
      <c r="U2521" s="1">
        <v>0.0</v>
      </c>
      <c r="V2521" s="1" t="s">
        <v>7929</v>
      </c>
      <c r="W2521" s="1">
        <v>38.0</v>
      </c>
      <c r="Y2521" s="1">
        <v>0.0</v>
      </c>
      <c r="Z2521" s="1" t="s">
        <v>7930</v>
      </c>
      <c r="AA2521" s="1">
        <v>57.0</v>
      </c>
      <c r="AB2521" s="1" t="s">
        <v>7931</v>
      </c>
      <c r="AC2521" s="1">
        <v>48.0</v>
      </c>
      <c r="AD2521" s="1" t="s">
        <v>971</v>
      </c>
      <c r="AG2521" s="9" t="s">
        <v>7928</v>
      </c>
      <c r="AM2521" s="1">
        <v>204581.0</v>
      </c>
      <c r="AN2521" s="1">
        <v>35779.0</v>
      </c>
      <c r="AO2521" s="1">
        <v>35779.0</v>
      </c>
      <c r="AP2521" s="1">
        <v>13.706</v>
      </c>
      <c r="AR2521" s="1">
        <v>1121.0</v>
      </c>
      <c r="AS2521" s="1">
        <v>178.0</v>
      </c>
      <c r="AT2521" s="1">
        <v>6.298</v>
      </c>
      <c r="AU2521" s="1">
        <v>66.26</v>
      </c>
      <c r="AV2521" s="1" t="s">
        <v>990</v>
      </c>
      <c r="AW2521" s="1">
        <v>4.526</v>
      </c>
      <c r="AX2521" s="1">
        <v>5.0</v>
      </c>
      <c r="AY2521" s="1">
        <v>1.0</v>
      </c>
      <c r="AZ2521" s="1">
        <v>1.0</v>
      </c>
      <c r="BA2521" s="1">
        <v>1.0</v>
      </c>
      <c r="BB2521" s="1">
        <v>1.0</v>
      </c>
      <c r="BC2521" s="1">
        <v>0.0</v>
      </c>
      <c r="BD2521" s="1">
        <v>0.13</v>
      </c>
      <c r="BE2521" s="1">
        <v>137.0</v>
      </c>
      <c r="BF2521" s="1">
        <v>53.0</v>
      </c>
      <c r="BG2521" s="1">
        <v>0.0</v>
      </c>
      <c r="BH2521" s="1">
        <v>16.0</v>
      </c>
      <c r="BI2521" s="1">
        <v>8.0</v>
      </c>
      <c r="BJ2521" s="1">
        <v>0.0</v>
      </c>
      <c r="BO2521" s="1" t="s">
        <v>7934</v>
      </c>
      <c r="BP2521" s="1">
        <v>1.025</v>
      </c>
      <c r="BU2521" s="1" t="s">
        <v>974</v>
      </c>
      <c r="BV2521" s="1">
        <v>1.1</v>
      </c>
      <c r="EQ2521" s="9" t="s">
        <v>7928</v>
      </c>
      <c r="ER2521" s="21">
        <v>46045.3028587963</v>
      </c>
    </row>
    <row r="2522">
      <c r="A2522" s="9" t="s">
        <v>7935</v>
      </c>
      <c r="B2522" s="20" t="str">
        <f>IFERROR(__xludf.DUMMYFUNCTION("REGEXREPLACE(A2522, ""^https?://[^/]+"", """")"),"/wp-content/uploads/2021/01/scrabble-4958237_1280-820x550-1-2048x2048.jpg")</f>
        <v>/wp-content/uploads/2021/01/scrabble-4958237_1280-820x550-1-2048x2048.jpg</v>
      </c>
      <c r="F2522" s="1" t="s">
        <v>1004</v>
      </c>
      <c r="G2522" s="1">
        <v>200.0</v>
      </c>
      <c r="H2522" s="1" t="s">
        <v>966</v>
      </c>
      <c r="I2522" s="1" t="s">
        <v>967</v>
      </c>
      <c r="L2522" s="1">
        <v>0.0</v>
      </c>
      <c r="M2522" s="1">
        <v>0.0</v>
      </c>
      <c r="O2522" s="1">
        <v>0.0</v>
      </c>
      <c r="P2522" s="1">
        <v>0.0</v>
      </c>
      <c r="R2522" s="1">
        <v>0.0</v>
      </c>
      <c r="S2522" s="1">
        <v>0.0</v>
      </c>
      <c r="U2522" s="1">
        <v>0.0</v>
      </c>
      <c r="W2522" s="1">
        <v>0.0</v>
      </c>
      <c r="Y2522" s="1">
        <v>0.0</v>
      </c>
      <c r="AA2522" s="1">
        <v>0.0</v>
      </c>
      <c r="AC2522" s="1">
        <v>0.0</v>
      </c>
      <c r="AM2522" s="1">
        <v>163778.0</v>
      </c>
      <c r="AN2522" s="1">
        <v>163778.0</v>
      </c>
      <c r="AO2522" s="1">
        <v>163778.0</v>
      </c>
      <c r="AP2522" s="1">
        <v>62.74</v>
      </c>
      <c r="AR2522" s="1">
        <v>0.0</v>
      </c>
      <c r="AW2522" s="1">
        <v>0.0</v>
      </c>
      <c r="AX2522" s="1">
        <v>5.0</v>
      </c>
      <c r="AY2522" s="1">
        <v>4.0</v>
      </c>
      <c r="BA2522" s="1">
        <v>0.0</v>
      </c>
      <c r="BB2522" s="1">
        <v>0.0</v>
      </c>
      <c r="BC2522" s="1">
        <v>0.0</v>
      </c>
      <c r="BD2522" s="1">
        <v>0.0</v>
      </c>
      <c r="BE2522" s="1">
        <v>0.0</v>
      </c>
      <c r="BF2522" s="1">
        <v>0.0</v>
      </c>
      <c r="BG2522" s="1">
        <v>0.0</v>
      </c>
      <c r="BH2522" s="1">
        <v>0.0</v>
      </c>
      <c r="BI2522" s="1">
        <v>0.0</v>
      </c>
      <c r="BJ2522" s="1">
        <v>0.0</v>
      </c>
      <c r="BP2522" s="1">
        <v>0.267</v>
      </c>
      <c r="BQ2522" s="1" t="s">
        <v>6464</v>
      </c>
      <c r="BV2522" s="1">
        <v>1.1</v>
      </c>
      <c r="EQ2522" s="9" t="s">
        <v>7935</v>
      </c>
      <c r="ER2522" s="21">
        <v>46045.30287037037</v>
      </c>
    </row>
    <row r="2523">
      <c r="A2523" s="9" t="s">
        <v>7936</v>
      </c>
      <c r="B2523" s="20" t="str">
        <f>IFERROR(__xludf.DUMMYFUNCTION("REGEXREPLACE(A2523, ""^https?://[^/]+"", """")"),"/wp-content/uploads/2021/01/960x0.jpg")</f>
        <v>/wp-content/uploads/2021/01/960x0.jpg</v>
      </c>
      <c r="F2523" s="1" t="s">
        <v>1004</v>
      </c>
      <c r="G2523" s="1">
        <v>200.0</v>
      </c>
      <c r="H2523" s="1" t="s">
        <v>966</v>
      </c>
      <c r="I2523" s="1" t="s">
        <v>967</v>
      </c>
      <c r="L2523" s="1">
        <v>0.0</v>
      </c>
      <c r="M2523" s="1">
        <v>0.0</v>
      </c>
      <c r="O2523" s="1">
        <v>0.0</v>
      </c>
      <c r="P2523" s="1">
        <v>0.0</v>
      </c>
      <c r="R2523" s="1">
        <v>0.0</v>
      </c>
      <c r="S2523" s="1">
        <v>0.0</v>
      </c>
      <c r="U2523" s="1">
        <v>0.0</v>
      </c>
      <c r="W2523" s="1">
        <v>0.0</v>
      </c>
      <c r="Y2523" s="1">
        <v>0.0</v>
      </c>
      <c r="AA2523" s="1">
        <v>0.0</v>
      </c>
      <c r="AC2523" s="1">
        <v>0.0</v>
      </c>
      <c r="AM2523" s="1">
        <v>50130.0</v>
      </c>
      <c r="AN2523" s="1">
        <v>50130.0</v>
      </c>
      <c r="AO2523" s="1">
        <v>50130.0</v>
      </c>
      <c r="AP2523" s="1">
        <v>19.204</v>
      </c>
      <c r="AR2523" s="1">
        <v>0.0</v>
      </c>
      <c r="AW2523" s="1">
        <v>0.0</v>
      </c>
      <c r="AX2523" s="1">
        <v>5.0</v>
      </c>
      <c r="AY2523" s="1">
        <v>4.0</v>
      </c>
      <c r="BA2523" s="1">
        <v>0.0</v>
      </c>
      <c r="BB2523" s="1">
        <v>0.0</v>
      </c>
      <c r="BC2523" s="1">
        <v>0.0</v>
      </c>
      <c r="BD2523" s="1">
        <v>0.0</v>
      </c>
      <c r="BE2523" s="1">
        <v>0.0</v>
      </c>
      <c r="BF2523" s="1">
        <v>0.0</v>
      </c>
      <c r="BG2523" s="1">
        <v>0.0</v>
      </c>
      <c r="BH2523" s="1">
        <v>0.0</v>
      </c>
      <c r="BI2523" s="1">
        <v>0.0</v>
      </c>
      <c r="BJ2523" s="1">
        <v>0.0</v>
      </c>
      <c r="BP2523" s="1">
        <v>0.29</v>
      </c>
      <c r="BQ2523" s="1" t="s">
        <v>7937</v>
      </c>
      <c r="BV2523" s="1">
        <v>1.1</v>
      </c>
      <c r="EQ2523" s="9" t="s">
        <v>7936</v>
      </c>
      <c r="ER2523" s="21">
        <v>46045.30287037037</v>
      </c>
    </row>
    <row r="2524">
      <c r="A2524" s="9" t="s">
        <v>7938</v>
      </c>
      <c r="B2524" s="20" t="str">
        <f>IFERROR(__xludf.DUMMYFUNCTION("REGEXREPLACE(A2524, ""^https?://[^/]+"", """")"),"/wp-content/uploads/2020/09/Career-Crossroads-scaled-1.jpg")</f>
        <v>/wp-content/uploads/2020/09/Career-Crossroads-scaled-1.jpg</v>
      </c>
      <c r="F2524" s="1" t="s">
        <v>1004</v>
      </c>
      <c r="G2524" s="1">
        <v>200.0</v>
      </c>
      <c r="H2524" s="1" t="s">
        <v>966</v>
      </c>
      <c r="I2524" s="1" t="s">
        <v>967</v>
      </c>
      <c r="L2524" s="1">
        <v>0.0</v>
      </c>
      <c r="M2524" s="1">
        <v>0.0</v>
      </c>
      <c r="O2524" s="1">
        <v>0.0</v>
      </c>
      <c r="P2524" s="1">
        <v>0.0</v>
      </c>
      <c r="R2524" s="1">
        <v>0.0</v>
      </c>
      <c r="S2524" s="1">
        <v>0.0</v>
      </c>
      <c r="U2524" s="1">
        <v>0.0</v>
      </c>
      <c r="W2524" s="1">
        <v>0.0</v>
      </c>
      <c r="Y2524" s="1">
        <v>0.0</v>
      </c>
      <c r="AA2524" s="1">
        <v>0.0</v>
      </c>
      <c r="AC2524" s="1">
        <v>0.0</v>
      </c>
      <c r="AM2524" s="1">
        <v>137032.0</v>
      </c>
      <c r="AN2524" s="1">
        <v>137032.0</v>
      </c>
      <c r="AO2524" s="1">
        <v>137032.0</v>
      </c>
      <c r="AP2524" s="1">
        <v>52.494</v>
      </c>
      <c r="AR2524" s="1">
        <v>0.0</v>
      </c>
      <c r="AW2524" s="1">
        <v>0.0</v>
      </c>
      <c r="AX2524" s="1">
        <v>5.0</v>
      </c>
      <c r="AY2524" s="1">
        <v>4.0</v>
      </c>
      <c r="BA2524" s="1">
        <v>0.0</v>
      </c>
      <c r="BB2524" s="1">
        <v>0.0</v>
      </c>
      <c r="BC2524" s="1">
        <v>0.0</v>
      </c>
      <c r="BD2524" s="1">
        <v>0.0</v>
      </c>
      <c r="BE2524" s="1">
        <v>0.0</v>
      </c>
      <c r="BF2524" s="1">
        <v>0.0</v>
      </c>
      <c r="BG2524" s="1">
        <v>0.0</v>
      </c>
      <c r="BH2524" s="1">
        <v>0.0</v>
      </c>
      <c r="BI2524" s="1">
        <v>0.0</v>
      </c>
      <c r="BJ2524" s="1">
        <v>0.0</v>
      </c>
      <c r="BP2524" s="1">
        <v>0.263</v>
      </c>
      <c r="BQ2524" s="1" t="s">
        <v>7939</v>
      </c>
      <c r="BV2524" s="1">
        <v>1.1</v>
      </c>
      <c r="EQ2524" s="9" t="s">
        <v>7938</v>
      </c>
      <c r="ER2524" s="21">
        <v>46045.30287037037</v>
      </c>
    </row>
    <row r="2525">
      <c r="A2525" s="9" t="s">
        <v>7940</v>
      </c>
      <c r="B2525" s="20" t="str">
        <f>IFERROR(__xludf.DUMMYFUNCTION("REGEXREPLACE(A2525, ""^https?://[^/]+"", """")"),"/wp-content/uploads/2020/11/Happy-Sales-Leader-Leading-a-Meeting-scaled-1.jpg")</f>
        <v>/wp-content/uploads/2020/11/Happy-Sales-Leader-Leading-a-Meeting-scaled-1.jpg</v>
      </c>
      <c r="F2525" s="1" t="s">
        <v>1004</v>
      </c>
      <c r="G2525" s="1">
        <v>200.0</v>
      </c>
      <c r="H2525" s="1" t="s">
        <v>966</v>
      </c>
      <c r="I2525" s="1" t="s">
        <v>967</v>
      </c>
      <c r="L2525" s="1">
        <v>0.0</v>
      </c>
      <c r="M2525" s="1">
        <v>0.0</v>
      </c>
      <c r="O2525" s="1">
        <v>0.0</v>
      </c>
      <c r="P2525" s="1">
        <v>0.0</v>
      </c>
      <c r="R2525" s="1">
        <v>0.0</v>
      </c>
      <c r="S2525" s="1">
        <v>0.0</v>
      </c>
      <c r="U2525" s="1">
        <v>0.0</v>
      </c>
      <c r="W2525" s="1">
        <v>0.0</v>
      </c>
      <c r="Y2525" s="1">
        <v>0.0</v>
      </c>
      <c r="AA2525" s="1">
        <v>0.0</v>
      </c>
      <c r="AC2525" s="1">
        <v>0.0</v>
      </c>
      <c r="AM2525" s="1">
        <v>194060.0</v>
      </c>
      <c r="AN2525" s="1">
        <v>194060.0</v>
      </c>
      <c r="AO2525" s="1">
        <v>194060.0</v>
      </c>
      <c r="AP2525" s="1">
        <v>74.341</v>
      </c>
      <c r="AR2525" s="1">
        <v>0.0</v>
      </c>
      <c r="AW2525" s="1">
        <v>0.0</v>
      </c>
      <c r="AX2525" s="1">
        <v>5.0</v>
      </c>
      <c r="AY2525" s="1">
        <v>4.0</v>
      </c>
      <c r="BA2525" s="1">
        <v>0.0</v>
      </c>
      <c r="BB2525" s="1">
        <v>0.0</v>
      </c>
      <c r="BC2525" s="1">
        <v>0.0</v>
      </c>
      <c r="BD2525" s="1">
        <v>0.0</v>
      </c>
      <c r="BE2525" s="1">
        <v>0.0</v>
      </c>
      <c r="BF2525" s="1">
        <v>0.0</v>
      </c>
      <c r="BG2525" s="1">
        <v>0.0</v>
      </c>
      <c r="BH2525" s="1">
        <v>0.0</v>
      </c>
      <c r="BI2525" s="1">
        <v>0.0</v>
      </c>
      <c r="BJ2525" s="1">
        <v>0.0</v>
      </c>
      <c r="BP2525" s="1">
        <v>0.268</v>
      </c>
      <c r="BQ2525" s="1" t="s">
        <v>7941</v>
      </c>
      <c r="BV2525" s="1">
        <v>1.1</v>
      </c>
      <c r="EQ2525" s="9" t="s">
        <v>7940</v>
      </c>
      <c r="ER2525" s="21">
        <v>46045.30287037037</v>
      </c>
    </row>
    <row r="2526">
      <c r="A2526" s="9" t="s">
        <v>7942</v>
      </c>
      <c r="B2526" s="20" t="str">
        <f>IFERROR(__xludf.DUMMYFUNCTION("REGEXREPLACE(A2526, ""^https?://[^/]+"", """")"),"/wp-content/uploads/2020/11/Stressed-Sales-Leader-scaled-1.jpg")</f>
        <v>/wp-content/uploads/2020/11/Stressed-Sales-Leader-scaled-1.jpg</v>
      </c>
      <c r="F2526" s="1" t="s">
        <v>1004</v>
      </c>
      <c r="G2526" s="1">
        <v>200.0</v>
      </c>
      <c r="H2526" s="1" t="s">
        <v>966</v>
      </c>
      <c r="I2526" s="1" t="s">
        <v>967</v>
      </c>
      <c r="L2526" s="1">
        <v>0.0</v>
      </c>
      <c r="M2526" s="1">
        <v>0.0</v>
      </c>
      <c r="O2526" s="1">
        <v>0.0</v>
      </c>
      <c r="P2526" s="1">
        <v>0.0</v>
      </c>
      <c r="R2526" s="1">
        <v>0.0</v>
      </c>
      <c r="S2526" s="1">
        <v>0.0</v>
      </c>
      <c r="U2526" s="1">
        <v>0.0</v>
      </c>
      <c r="W2526" s="1">
        <v>0.0</v>
      </c>
      <c r="Y2526" s="1">
        <v>0.0</v>
      </c>
      <c r="AA2526" s="1">
        <v>0.0</v>
      </c>
      <c r="AC2526" s="1">
        <v>0.0</v>
      </c>
      <c r="AM2526" s="1">
        <v>178474.0</v>
      </c>
      <c r="AN2526" s="1">
        <v>178474.0</v>
      </c>
      <c r="AO2526" s="1">
        <v>178474.0</v>
      </c>
      <c r="AP2526" s="1">
        <v>68.37</v>
      </c>
      <c r="AR2526" s="1">
        <v>0.0</v>
      </c>
      <c r="AW2526" s="1">
        <v>0.0</v>
      </c>
      <c r="AX2526" s="1">
        <v>5.0</v>
      </c>
      <c r="AY2526" s="1">
        <v>4.0</v>
      </c>
      <c r="BA2526" s="1">
        <v>0.0</v>
      </c>
      <c r="BB2526" s="1">
        <v>0.0</v>
      </c>
      <c r="BC2526" s="1">
        <v>0.0</v>
      </c>
      <c r="BD2526" s="1">
        <v>0.0</v>
      </c>
      <c r="BE2526" s="1">
        <v>0.0</v>
      </c>
      <c r="BF2526" s="1">
        <v>0.0</v>
      </c>
      <c r="BG2526" s="1">
        <v>0.0</v>
      </c>
      <c r="BH2526" s="1">
        <v>0.0</v>
      </c>
      <c r="BI2526" s="1">
        <v>0.0</v>
      </c>
      <c r="BJ2526" s="1">
        <v>0.0</v>
      </c>
      <c r="BP2526" s="1">
        <v>0.262</v>
      </c>
      <c r="BQ2526" s="1" t="s">
        <v>7943</v>
      </c>
      <c r="BV2526" s="1">
        <v>1.1</v>
      </c>
      <c r="EQ2526" s="9" t="s">
        <v>7942</v>
      </c>
      <c r="ER2526" s="21">
        <v>46045.30287037037</v>
      </c>
    </row>
    <row r="2527">
      <c r="A2527" s="9" t="s">
        <v>7944</v>
      </c>
      <c r="B2527" s="20" t="str">
        <f>IFERROR(__xludf.DUMMYFUNCTION("REGEXREPLACE(A2527, ""^https?://[^/]+"", """")"),"/wp-content/themes/salesxceleratione/assets/css/style.css?ver=1769123653")</f>
        <v>/wp-content/themes/salesxceleratione/assets/css/style.css?ver=1769123653</v>
      </c>
      <c r="F2527" s="1" t="s">
        <v>1016</v>
      </c>
      <c r="G2527" s="1">
        <v>200.0</v>
      </c>
      <c r="H2527" s="1" t="s">
        <v>966</v>
      </c>
      <c r="I2527" s="1" t="s">
        <v>967</v>
      </c>
      <c r="L2527" s="1">
        <v>0.0</v>
      </c>
      <c r="M2527" s="1">
        <v>0.0</v>
      </c>
      <c r="O2527" s="1">
        <v>0.0</v>
      </c>
      <c r="P2527" s="1">
        <v>0.0</v>
      </c>
      <c r="R2527" s="1">
        <v>0.0</v>
      </c>
      <c r="S2527" s="1">
        <v>0.0</v>
      </c>
      <c r="U2527" s="1">
        <v>0.0</v>
      </c>
      <c r="W2527" s="1">
        <v>0.0</v>
      </c>
      <c r="Y2527" s="1">
        <v>0.0</v>
      </c>
      <c r="AA2527" s="1">
        <v>0.0</v>
      </c>
      <c r="AC2527" s="1">
        <v>0.0</v>
      </c>
      <c r="AM2527" s="1">
        <v>17704.0</v>
      </c>
      <c r="AN2527" s="1">
        <v>17704.0</v>
      </c>
      <c r="AO2527" s="1">
        <v>17704.0</v>
      </c>
      <c r="AP2527" s="1">
        <v>6.782</v>
      </c>
      <c r="AR2527" s="1">
        <v>0.0</v>
      </c>
      <c r="AW2527" s="1">
        <v>0.0</v>
      </c>
      <c r="AX2527" s="1">
        <v>5.0</v>
      </c>
      <c r="AY2527" s="1">
        <v>5.0</v>
      </c>
      <c r="BA2527" s="1">
        <v>0.0</v>
      </c>
      <c r="BB2527" s="1">
        <v>0.0</v>
      </c>
      <c r="BC2527" s="1">
        <v>0.0</v>
      </c>
      <c r="BD2527" s="1">
        <v>0.0</v>
      </c>
      <c r="BE2527" s="1">
        <v>0.0</v>
      </c>
      <c r="BF2527" s="1">
        <v>0.0</v>
      </c>
      <c r="BG2527" s="1">
        <v>0.0</v>
      </c>
      <c r="BH2527" s="1">
        <v>0.0</v>
      </c>
      <c r="BI2527" s="1">
        <v>0.0</v>
      </c>
      <c r="BJ2527" s="1">
        <v>0.0</v>
      </c>
      <c r="BP2527" s="1">
        <v>0.286</v>
      </c>
      <c r="BQ2527" s="1" t="s">
        <v>7945</v>
      </c>
      <c r="BV2527" s="1">
        <v>1.1</v>
      </c>
      <c r="EQ2527" s="9" t="s">
        <v>7944</v>
      </c>
      <c r="ER2527" s="21">
        <v>46045.30287037037</v>
      </c>
    </row>
    <row r="2528">
      <c r="A2528" s="9" t="s">
        <v>7946</v>
      </c>
      <c r="B2528" s="20" t="str">
        <f>IFERROR(__xludf.DUMMYFUNCTION("REGEXREPLACE(A2528, ""^https?://[^/]+"", """")"),"/wp-content/uploads/2020/12/Woman-Sales-VP-Thinking-About-the-Future-scaled-1.jpg")</f>
        <v>/wp-content/uploads/2020/12/Woman-Sales-VP-Thinking-About-the-Future-scaled-1.jpg</v>
      </c>
      <c r="F2528" s="1" t="s">
        <v>1004</v>
      </c>
      <c r="G2528" s="1">
        <v>200.0</v>
      </c>
      <c r="H2528" s="1" t="s">
        <v>966</v>
      </c>
      <c r="I2528" s="1" t="s">
        <v>967</v>
      </c>
      <c r="L2528" s="1">
        <v>0.0</v>
      </c>
      <c r="M2528" s="1">
        <v>0.0</v>
      </c>
      <c r="O2528" s="1">
        <v>0.0</v>
      </c>
      <c r="P2528" s="1">
        <v>0.0</v>
      </c>
      <c r="R2528" s="1">
        <v>0.0</v>
      </c>
      <c r="S2528" s="1">
        <v>0.0</v>
      </c>
      <c r="U2528" s="1">
        <v>0.0</v>
      </c>
      <c r="W2528" s="1">
        <v>0.0</v>
      </c>
      <c r="Y2528" s="1">
        <v>0.0</v>
      </c>
      <c r="AA2528" s="1">
        <v>0.0</v>
      </c>
      <c r="AC2528" s="1">
        <v>0.0</v>
      </c>
      <c r="AM2528" s="1">
        <v>133493.0</v>
      </c>
      <c r="AN2528" s="1">
        <v>133493.0</v>
      </c>
      <c r="AO2528" s="1">
        <v>133493.0</v>
      </c>
      <c r="AP2528" s="1">
        <v>51.139</v>
      </c>
      <c r="AR2528" s="1">
        <v>0.0</v>
      </c>
      <c r="AW2528" s="1">
        <v>0.0</v>
      </c>
      <c r="AX2528" s="1">
        <v>5.0</v>
      </c>
      <c r="AY2528" s="1">
        <v>4.0</v>
      </c>
      <c r="BA2528" s="1">
        <v>0.0</v>
      </c>
      <c r="BB2528" s="1">
        <v>0.0</v>
      </c>
      <c r="BC2528" s="1">
        <v>0.0</v>
      </c>
      <c r="BD2528" s="1">
        <v>0.0</v>
      </c>
      <c r="BE2528" s="1">
        <v>0.0</v>
      </c>
      <c r="BF2528" s="1">
        <v>0.0</v>
      </c>
      <c r="BG2528" s="1">
        <v>0.0</v>
      </c>
      <c r="BH2528" s="1">
        <v>0.0</v>
      </c>
      <c r="BI2528" s="1">
        <v>0.0</v>
      </c>
      <c r="BJ2528" s="1">
        <v>0.0</v>
      </c>
      <c r="BP2528" s="1">
        <v>0.273</v>
      </c>
      <c r="BQ2528" s="1" t="s">
        <v>7947</v>
      </c>
      <c r="BV2528" s="1">
        <v>1.1</v>
      </c>
      <c r="EQ2528" s="9" t="s">
        <v>7946</v>
      </c>
      <c r="ER2528" s="21">
        <v>46045.302881944444</v>
      </c>
    </row>
    <row r="2529">
      <c r="A2529" s="9" t="s">
        <v>7948</v>
      </c>
      <c r="B2529" s="20" t="str">
        <f>IFERROR(__xludf.DUMMYFUNCTION("REGEXREPLACE(A2529, ""^https?://[^/]+"", """")"),"/wp-content/uploads/2021/01/Businessman-Taking-Time-to-Relax-scaled-1.jpg")</f>
        <v>/wp-content/uploads/2021/01/Businessman-Taking-Time-to-Relax-scaled-1.jpg</v>
      </c>
      <c r="F2529" s="1" t="s">
        <v>1004</v>
      </c>
      <c r="G2529" s="1">
        <v>200.0</v>
      </c>
      <c r="H2529" s="1" t="s">
        <v>966</v>
      </c>
      <c r="I2529" s="1" t="s">
        <v>967</v>
      </c>
      <c r="L2529" s="1">
        <v>0.0</v>
      </c>
      <c r="M2529" s="1">
        <v>0.0</v>
      </c>
      <c r="O2529" s="1">
        <v>0.0</v>
      </c>
      <c r="P2529" s="1">
        <v>0.0</v>
      </c>
      <c r="R2529" s="1">
        <v>0.0</v>
      </c>
      <c r="S2529" s="1">
        <v>0.0</v>
      </c>
      <c r="U2529" s="1">
        <v>0.0</v>
      </c>
      <c r="W2529" s="1">
        <v>0.0</v>
      </c>
      <c r="Y2529" s="1">
        <v>0.0</v>
      </c>
      <c r="AA2529" s="1">
        <v>0.0</v>
      </c>
      <c r="AC2529" s="1">
        <v>0.0</v>
      </c>
      <c r="AM2529" s="1">
        <v>274638.0</v>
      </c>
      <c r="AN2529" s="1">
        <v>274638.0</v>
      </c>
      <c r="AO2529" s="1">
        <v>274638.0</v>
      </c>
      <c r="AP2529" s="1">
        <v>105.209</v>
      </c>
      <c r="AR2529" s="1">
        <v>0.0</v>
      </c>
      <c r="AW2529" s="1">
        <v>0.0</v>
      </c>
      <c r="AX2529" s="1">
        <v>5.0</v>
      </c>
      <c r="AY2529" s="1">
        <v>4.0</v>
      </c>
      <c r="BA2529" s="1">
        <v>0.0</v>
      </c>
      <c r="BB2529" s="1">
        <v>0.0</v>
      </c>
      <c r="BC2529" s="1">
        <v>0.0</v>
      </c>
      <c r="BD2529" s="1">
        <v>0.0</v>
      </c>
      <c r="BE2529" s="1">
        <v>0.0</v>
      </c>
      <c r="BF2529" s="1">
        <v>0.0</v>
      </c>
      <c r="BG2529" s="1">
        <v>0.0</v>
      </c>
      <c r="BH2529" s="1">
        <v>0.0</v>
      </c>
      <c r="BI2529" s="1">
        <v>0.0</v>
      </c>
      <c r="BJ2529" s="1">
        <v>0.0</v>
      </c>
      <c r="BP2529" s="1">
        <v>0.278</v>
      </c>
      <c r="BQ2529" s="1" t="s">
        <v>7949</v>
      </c>
      <c r="BV2529" s="1">
        <v>1.1</v>
      </c>
      <c r="EQ2529" s="9" t="s">
        <v>7948</v>
      </c>
      <c r="ER2529" s="21">
        <v>46045.302881944444</v>
      </c>
    </row>
    <row r="2530">
      <c r="A2530" s="9" t="s">
        <v>7950</v>
      </c>
      <c r="B2530" s="20" t="str">
        <f>IFERROR(__xludf.DUMMYFUNCTION("REGEXREPLACE(A2530, ""^https?://[^/]+"", """")"),"/wp-content/uploads/2021/01/Businessman-Climing-the-Steps-scaled-1.jpg")</f>
        <v>/wp-content/uploads/2021/01/Businessman-Climing-the-Steps-scaled-1.jpg</v>
      </c>
      <c r="F2530" s="1" t="s">
        <v>1004</v>
      </c>
      <c r="G2530" s="1">
        <v>200.0</v>
      </c>
      <c r="H2530" s="1" t="s">
        <v>966</v>
      </c>
      <c r="I2530" s="1" t="s">
        <v>967</v>
      </c>
      <c r="L2530" s="1">
        <v>0.0</v>
      </c>
      <c r="M2530" s="1">
        <v>0.0</v>
      </c>
      <c r="O2530" s="1">
        <v>0.0</v>
      </c>
      <c r="P2530" s="1">
        <v>0.0</v>
      </c>
      <c r="R2530" s="1">
        <v>0.0</v>
      </c>
      <c r="S2530" s="1">
        <v>0.0</v>
      </c>
      <c r="U2530" s="1">
        <v>0.0</v>
      </c>
      <c r="W2530" s="1">
        <v>0.0</v>
      </c>
      <c r="Y2530" s="1">
        <v>0.0</v>
      </c>
      <c r="AA2530" s="1">
        <v>0.0</v>
      </c>
      <c r="AC2530" s="1">
        <v>0.0</v>
      </c>
      <c r="AM2530" s="1">
        <v>199143.0</v>
      </c>
      <c r="AN2530" s="1">
        <v>199143.0</v>
      </c>
      <c r="AO2530" s="1">
        <v>199143.0</v>
      </c>
      <c r="AP2530" s="1">
        <v>76.288</v>
      </c>
      <c r="AR2530" s="1">
        <v>0.0</v>
      </c>
      <c r="AW2530" s="1">
        <v>0.0</v>
      </c>
      <c r="AX2530" s="1">
        <v>5.0</v>
      </c>
      <c r="AY2530" s="1">
        <v>4.0</v>
      </c>
      <c r="BA2530" s="1">
        <v>0.0</v>
      </c>
      <c r="BB2530" s="1">
        <v>0.0</v>
      </c>
      <c r="BC2530" s="1">
        <v>0.0</v>
      </c>
      <c r="BD2530" s="1">
        <v>0.0</v>
      </c>
      <c r="BE2530" s="1">
        <v>0.0</v>
      </c>
      <c r="BF2530" s="1">
        <v>0.0</v>
      </c>
      <c r="BG2530" s="1">
        <v>0.0</v>
      </c>
      <c r="BH2530" s="1">
        <v>0.0</v>
      </c>
      <c r="BI2530" s="1">
        <v>0.0</v>
      </c>
      <c r="BJ2530" s="1">
        <v>0.0</v>
      </c>
      <c r="BP2530" s="1">
        <v>0.294</v>
      </c>
      <c r="BQ2530" s="1" t="s">
        <v>7951</v>
      </c>
      <c r="BV2530" s="1">
        <v>1.1</v>
      </c>
      <c r="EQ2530" s="9" t="s">
        <v>7950</v>
      </c>
      <c r="ER2530" s="21">
        <v>46045.302881944444</v>
      </c>
    </row>
    <row r="2531">
      <c r="A2531" s="9" t="s">
        <v>7952</v>
      </c>
      <c r="B2531" s="20" t="str">
        <f>IFERROR(__xludf.DUMMYFUNCTION("REGEXREPLACE(A2531, ""^https?://[^/]+"", """")"),"/wp-content/themes/salesxceleratione/assets/css/style.css?ver=1769123652")</f>
        <v>/wp-content/themes/salesxceleratione/assets/css/style.css?ver=1769123652</v>
      </c>
      <c r="F2531" s="1" t="s">
        <v>1016</v>
      </c>
      <c r="G2531" s="1">
        <v>200.0</v>
      </c>
      <c r="H2531" s="1" t="s">
        <v>966</v>
      </c>
      <c r="I2531" s="1" t="s">
        <v>967</v>
      </c>
      <c r="L2531" s="1">
        <v>0.0</v>
      </c>
      <c r="M2531" s="1">
        <v>0.0</v>
      </c>
      <c r="O2531" s="1">
        <v>0.0</v>
      </c>
      <c r="P2531" s="1">
        <v>0.0</v>
      </c>
      <c r="R2531" s="1">
        <v>0.0</v>
      </c>
      <c r="S2531" s="1">
        <v>0.0</v>
      </c>
      <c r="U2531" s="1">
        <v>0.0</v>
      </c>
      <c r="W2531" s="1">
        <v>0.0</v>
      </c>
      <c r="Y2531" s="1">
        <v>0.0</v>
      </c>
      <c r="AA2531" s="1">
        <v>0.0</v>
      </c>
      <c r="AC2531" s="1">
        <v>0.0</v>
      </c>
      <c r="AM2531" s="1">
        <v>17704.0</v>
      </c>
      <c r="AN2531" s="1">
        <v>17704.0</v>
      </c>
      <c r="AO2531" s="1">
        <v>17704.0</v>
      </c>
      <c r="AP2531" s="1">
        <v>6.782</v>
      </c>
      <c r="AR2531" s="1">
        <v>0.0</v>
      </c>
      <c r="AW2531" s="1">
        <v>0.0</v>
      </c>
      <c r="AX2531" s="1">
        <v>5.0</v>
      </c>
      <c r="AY2531" s="1">
        <v>5.0</v>
      </c>
      <c r="BA2531" s="1">
        <v>0.0</v>
      </c>
      <c r="BB2531" s="1">
        <v>0.0</v>
      </c>
      <c r="BC2531" s="1">
        <v>0.0</v>
      </c>
      <c r="BD2531" s="1">
        <v>0.0</v>
      </c>
      <c r="BE2531" s="1">
        <v>0.0</v>
      </c>
      <c r="BF2531" s="1">
        <v>0.0</v>
      </c>
      <c r="BG2531" s="1">
        <v>0.0</v>
      </c>
      <c r="BH2531" s="1">
        <v>0.0</v>
      </c>
      <c r="BI2531" s="1">
        <v>0.0</v>
      </c>
      <c r="BJ2531" s="1">
        <v>0.0</v>
      </c>
      <c r="BP2531" s="1">
        <v>0.277</v>
      </c>
      <c r="BQ2531" s="1" t="s">
        <v>7953</v>
      </c>
      <c r="BV2531" s="1">
        <v>1.1</v>
      </c>
      <c r="EQ2531" s="9" t="s">
        <v>7952</v>
      </c>
      <c r="ER2531" s="21">
        <v>46045.30289351852</v>
      </c>
    </row>
    <row r="2532">
      <c r="A2532" s="9" t="s">
        <v>6542</v>
      </c>
      <c r="B2532" s="20" t="str">
        <f>IFERROR(__xludf.DUMMYFUNCTION("REGEXREPLACE(A2532, ""^https?://[^/]+"", """")"),"/state-of-sales/?__hstc=264954448.5a75b0ce6ded236b1a525ae32d6f058b.1762363628984.1762363628984.1762460367118.2&amp;__hssc=264954448.17.1762460367118&amp;__hsfp=1415230760")</f>
        <v>/state-of-sales/?__hstc=264954448.5a75b0ce6ded236b1a525ae32d6f058b.1762363628984.1762363628984.1762460367118.2&amp;__hssc=264954448.17.1762460367118&amp;__hsfp=1415230760</v>
      </c>
      <c r="C2532" s="1" t="s">
        <v>1025</v>
      </c>
      <c r="D2532" s="1" t="s">
        <v>1026</v>
      </c>
      <c r="E2532" s="1" t="s">
        <v>1027</v>
      </c>
      <c r="F2532" s="1" t="s">
        <v>965</v>
      </c>
      <c r="G2532" s="1">
        <v>200.0</v>
      </c>
      <c r="H2532" s="1" t="s">
        <v>966</v>
      </c>
      <c r="I2532" s="1" t="s">
        <v>1214</v>
      </c>
      <c r="J2532" s="1" t="s">
        <v>1215</v>
      </c>
      <c r="K2532" s="1" t="s">
        <v>1028</v>
      </c>
      <c r="L2532" s="1">
        <v>63.0</v>
      </c>
      <c r="M2532" s="1">
        <v>550.0</v>
      </c>
      <c r="O2532" s="1">
        <v>0.0</v>
      </c>
      <c r="P2532" s="1">
        <v>0.0</v>
      </c>
      <c r="Q2532" s="1" t="s">
        <v>1029</v>
      </c>
      <c r="R2532" s="1">
        <v>129.0</v>
      </c>
      <c r="S2532" s="1">
        <v>786.0</v>
      </c>
      <c r="U2532" s="1">
        <v>0.0</v>
      </c>
      <c r="V2532" s="1" t="s">
        <v>1025</v>
      </c>
      <c r="W2532" s="1">
        <v>50.0</v>
      </c>
      <c r="Y2532" s="1">
        <v>0.0</v>
      </c>
      <c r="Z2532" s="1" t="s">
        <v>1026</v>
      </c>
      <c r="AA2532" s="1">
        <v>64.0</v>
      </c>
      <c r="AB2532" s="1" t="s">
        <v>1027</v>
      </c>
      <c r="AC2532" s="1">
        <v>14.0</v>
      </c>
      <c r="AD2532" s="1" t="s">
        <v>971</v>
      </c>
      <c r="AG2532" s="9" t="s">
        <v>32</v>
      </c>
      <c r="AM2532" s="1">
        <v>327816.0</v>
      </c>
      <c r="AN2532" s="1">
        <v>49061.0</v>
      </c>
      <c r="AO2532" s="1">
        <v>49061.0</v>
      </c>
      <c r="AP2532" s="1">
        <v>18.794</v>
      </c>
      <c r="AR2532" s="1">
        <v>1964.0</v>
      </c>
      <c r="AS2532" s="1">
        <v>332.0</v>
      </c>
      <c r="AT2532" s="1">
        <v>5.916</v>
      </c>
      <c r="AU2532" s="1">
        <v>58.294</v>
      </c>
      <c r="AV2532" s="1" t="s">
        <v>972</v>
      </c>
      <c r="AW2532" s="1">
        <v>4.572</v>
      </c>
      <c r="AX2532" s="1">
        <v>5.0</v>
      </c>
      <c r="AY2532" s="1">
        <v>1.0</v>
      </c>
      <c r="BA2532" s="1">
        <v>5.0</v>
      </c>
      <c r="BB2532" s="1">
        <v>1.0</v>
      </c>
      <c r="BC2532" s="1">
        <v>0.0</v>
      </c>
      <c r="BD2532" s="1">
        <v>0.13</v>
      </c>
      <c r="BE2532" s="1">
        <v>139.0</v>
      </c>
      <c r="BF2532" s="1">
        <v>48.0</v>
      </c>
      <c r="BG2532" s="1">
        <v>0.0</v>
      </c>
      <c r="BH2532" s="1">
        <v>18.0</v>
      </c>
      <c r="BI2532" s="1">
        <v>8.0</v>
      </c>
      <c r="BJ2532" s="1">
        <v>0.0</v>
      </c>
      <c r="BO2532" s="1" t="s">
        <v>7954</v>
      </c>
      <c r="BP2532" s="1">
        <v>1.4</v>
      </c>
      <c r="BU2532" s="1" t="s">
        <v>974</v>
      </c>
      <c r="BV2532" s="1">
        <v>1.1</v>
      </c>
      <c r="EQ2532" s="9" t="s">
        <v>6542</v>
      </c>
      <c r="ER2532" s="21">
        <v>46045.30287037037</v>
      </c>
    </row>
    <row r="2533">
      <c r="A2533" s="9" t="s">
        <v>7955</v>
      </c>
      <c r="B2533" s="20" t="str">
        <f>IFERROR(__xludf.DUMMYFUNCTION("REGEXREPLACE(A2533, ""^https?://[^/]+"", """")"),"/wp-content/uploads/2020/10/Sales-Leadership-Consultant-Leading-a-Sales-Meeting-scaled-1.jpg")</f>
        <v>/wp-content/uploads/2020/10/Sales-Leadership-Consultant-Leading-a-Sales-Meeting-scaled-1.jpg</v>
      </c>
      <c r="F2533" s="1" t="s">
        <v>1004</v>
      </c>
      <c r="G2533" s="1">
        <v>200.0</v>
      </c>
      <c r="H2533" s="1" t="s">
        <v>966</v>
      </c>
      <c r="I2533" s="1" t="s">
        <v>967</v>
      </c>
      <c r="L2533" s="1">
        <v>0.0</v>
      </c>
      <c r="M2533" s="1">
        <v>0.0</v>
      </c>
      <c r="O2533" s="1">
        <v>0.0</v>
      </c>
      <c r="P2533" s="1">
        <v>0.0</v>
      </c>
      <c r="R2533" s="1">
        <v>0.0</v>
      </c>
      <c r="S2533" s="1">
        <v>0.0</v>
      </c>
      <c r="U2533" s="1">
        <v>0.0</v>
      </c>
      <c r="W2533" s="1">
        <v>0.0</v>
      </c>
      <c r="Y2533" s="1">
        <v>0.0</v>
      </c>
      <c r="AA2533" s="1">
        <v>0.0</v>
      </c>
      <c r="AC2533" s="1">
        <v>0.0</v>
      </c>
      <c r="AM2533" s="1">
        <v>193005.0</v>
      </c>
      <c r="AN2533" s="1">
        <v>193005.0</v>
      </c>
      <c r="AO2533" s="1">
        <v>193005.0</v>
      </c>
      <c r="AP2533" s="1">
        <v>73.937</v>
      </c>
      <c r="AR2533" s="1">
        <v>0.0</v>
      </c>
      <c r="AW2533" s="1">
        <v>0.0</v>
      </c>
      <c r="AX2533" s="1">
        <v>5.0</v>
      </c>
      <c r="AY2533" s="1">
        <v>4.0</v>
      </c>
      <c r="BA2533" s="1">
        <v>0.0</v>
      </c>
      <c r="BB2533" s="1">
        <v>0.0</v>
      </c>
      <c r="BC2533" s="1">
        <v>0.0</v>
      </c>
      <c r="BD2533" s="1">
        <v>0.0</v>
      </c>
      <c r="BE2533" s="1">
        <v>0.0</v>
      </c>
      <c r="BF2533" s="1">
        <v>0.0</v>
      </c>
      <c r="BG2533" s="1">
        <v>0.0</v>
      </c>
      <c r="BH2533" s="1">
        <v>0.0</v>
      </c>
      <c r="BI2533" s="1">
        <v>0.0</v>
      </c>
      <c r="BJ2533" s="1">
        <v>0.0</v>
      </c>
      <c r="BP2533" s="1">
        <v>0.266</v>
      </c>
      <c r="BQ2533" s="1" t="s">
        <v>7956</v>
      </c>
      <c r="BV2533" s="1">
        <v>1.1</v>
      </c>
      <c r="EQ2533" s="9" t="s">
        <v>7955</v>
      </c>
      <c r="ER2533" s="21">
        <v>46045.30289351852</v>
      </c>
    </row>
    <row r="2534">
      <c r="A2534" s="9" t="s">
        <v>7957</v>
      </c>
      <c r="B2534" s="20" t="str">
        <f>IFERROR(__xludf.DUMMYFUNCTION("REGEXREPLACE(A2534, ""^https?://[^/]+"", """")"),"/hope-realized-book-excerpt-gives-insights-into-sales-management-consultant-role/")</f>
        <v>/hope-realized-book-excerpt-gives-insights-into-sales-management-consultant-role/</v>
      </c>
      <c r="C2534" s="1" t="s">
        <v>7958</v>
      </c>
      <c r="F2534" s="1" t="s">
        <v>965</v>
      </c>
      <c r="G2534" s="1">
        <v>200.0</v>
      </c>
      <c r="H2534" s="1" t="s">
        <v>966</v>
      </c>
      <c r="I2534" s="1" t="s">
        <v>967</v>
      </c>
      <c r="K2534" s="1" t="s">
        <v>7959</v>
      </c>
      <c r="L2534" s="1">
        <v>104.0</v>
      </c>
      <c r="M2534" s="1">
        <v>957.0</v>
      </c>
      <c r="O2534" s="1">
        <v>0.0</v>
      </c>
      <c r="P2534" s="1">
        <v>0.0</v>
      </c>
      <c r="Q2534" s="1" t="s">
        <v>7960</v>
      </c>
      <c r="R2534" s="1">
        <v>193.0</v>
      </c>
      <c r="S2534" s="1">
        <v>1208.0</v>
      </c>
      <c r="U2534" s="1">
        <v>0.0</v>
      </c>
      <c r="V2534" s="1" t="s">
        <v>7958</v>
      </c>
      <c r="W2534" s="1">
        <v>79.0</v>
      </c>
      <c r="Y2534" s="1">
        <v>0.0</v>
      </c>
      <c r="AA2534" s="1">
        <v>0.0</v>
      </c>
      <c r="AC2534" s="1">
        <v>0.0</v>
      </c>
      <c r="AD2534" s="1" t="s">
        <v>971</v>
      </c>
      <c r="AG2534" s="9" t="s">
        <v>7957</v>
      </c>
      <c r="AM2534" s="1">
        <v>205760.0</v>
      </c>
      <c r="AN2534" s="1">
        <v>37848.0</v>
      </c>
      <c r="AO2534" s="1">
        <v>37848.0</v>
      </c>
      <c r="AP2534" s="1">
        <v>14.499</v>
      </c>
      <c r="AR2534" s="1">
        <v>1891.0</v>
      </c>
      <c r="AS2534" s="1">
        <v>264.0</v>
      </c>
      <c r="AT2534" s="1">
        <v>7.163</v>
      </c>
      <c r="AU2534" s="1">
        <v>70.898</v>
      </c>
      <c r="AV2534" s="1" t="s">
        <v>1264</v>
      </c>
      <c r="AW2534" s="1">
        <v>6.643</v>
      </c>
      <c r="AX2534" s="1">
        <v>5.0</v>
      </c>
      <c r="AY2534" s="1">
        <v>1.0</v>
      </c>
      <c r="AZ2534" s="1">
        <v>1.0</v>
      </c>
      <c r="BA2534" s="1">
        <v>1.0</v>
      </c>
      <c r="BB2534" s="1">
        <v>1.0</v>
      </c>
      <c r="BC2534" s="1">
        <v>0.0</v>
      </c>
      <c r="BD2534" s="1">
        <v>0.13</v>
      </c>
      <c r="BE2534" s="1">
        <v>133.0</v>
      </c>
      <c r="BF2534" s="1">
        <v>48.0</v>
      </c>
      <c r="BG2534" s="1">
        <v>0.0</v>
      </c>
      <c r="BH2534" s="1">
        <v>18.0</v>
      </c>
      <c r="BI2534" s="1">
        <v>10.0</v>
      </c>
      <c r="BJ2534" s="1">
        <v>0.0</v>
      </c>
      <c r="BO2534" s="1" t="s">
        <v>7961</v>
      </c>
      <c r="BP2534" s="1">
        <v>1.079</v>
      </c>
      <c r="BU2534" s="1" t="s">
        <v>974</v>
      </c>
      <c r="BV2534" s="1">
        <v>1.1</v>
      </c>
      <c r="EQ2534" s="9" t="s">
        <v>7957</v>
      </c>
      <c r="ER2534" s="21">
        <v>46045.302881944444</v>
      </c>
    </row>
    <row r="2535">
      <c r="A2535" s="9" t="s">
        <v>7962</v>
      </c>
      <c r="B2535" s="20" t="str">
        <f>IFERROR(__xludf.DUMMYFUNCTION("REGEXREPLACE(A2535, ""^https?://[^/]+"", """")"),"/wp-content/uploads/2021/01/960x0-2048x2048.jpg")</f>
        <v>/wp-content/uploads/2021/01/960x0-2048x2048.jpg</v>
      </c>
      <c r="F2535" s="1" t="s">
        <v>1004</v>
      </c>
      <c r="G2535" s="1">
        <v>200.0</v>
      </c>
      <c r="H2535" s="1" t="s">
        <v>966</v>
      </c>
      <c r="I2535" s="1" t="s">
        <v>967</v>
      </c>
      <c r="L2535" s="1">
        <v>0.0</v>
      </c>
      <c r="M2535" s="1">
        <v>0.0</v>
      </c>
      <c r="O2535" s="1">
        <v>0.0</v>
      </c>
      <c r="P2535" s="1">
        <v>0.0</v>
      </c>
      <c r="R2535" s="1">
        <v>0.0</v>
      </c>
      <c r="S2535" s="1">
        <v>0.0</v>
      </c>
      <c r="U2535" s="1">
        <v>0.0</v>
      </c>
      <c r="W2535" s="1">
        <v>0.0</v>
      </c>
      <c r="Y2535" s="1">
        <v>0.0</v>
      </c>
      <c r="AA2535" s="1">
        <v>0.0</v>
      </c>
      <c r="AC2535" s="1">
        <v>0.0</v>
      </c>
      <c r="AM2535" s="1">
        <v>226121.0</v>
      </c>
      <c r="AN2535" s="1">
        <v>226121.0</v>
      </c>
      <c r="AO2535" s="1">
        <v>226121.0</v>
      </c>
      <c r="AP2535" s="1">
        <v>86.623</v>
      </c>
      <c r="AR2535" s="1">
        <v>0.0</v>
      </c>
      <c r="AW2535" s="1">
        <v>0.0</v>
      </c>
      <c r="AX2535" s="1">
        <v>5.0</v>
      </c>
      <c r="AY2535" s="1">
        <v>4.0</v>
      </c>
      <c r="BA2535" s="1">
        <v>0.0</v>
      </c>
      <c r="BB2535" s="1">
        <v>0.0</v>
      </c>
      <c r="BC2535" s="1">
        <v>0.0</v>
      </c>
      <c r="BD2535" s="1">
        <v>0.0</v>
      </c>
      <c r="BE2535" s="1">
        <v>0.0</v>
      </c>
      <c r="BF2535" s="1">
        <v>0.0</v>
      </c>
      <c r="BG2535" s="1">
        <v>0.0</v>
      </c>
      <c r="BH2535" s="1">
        <v>0.0</v>
      </c>
      <c r="BI2535" s="1">
        <v>0.0</v>
      </c>
      <c r="BJ2535" s="1">
        <v>0.0</v>
      </c>
      <c r="BP2535" s="1">
        <v>0.276</v>
      </c>
      <c r="BQ2535" s="1" t="s">
        <v>6492</v>
      </c>
      <c r="BV2535" s="1">
        <v>1.1</v>
      </c>
      <c r="EQ2535" s="9" t="s">
        <v>7962</v>
      </c>
      <c r="ER2535" s="21">
        <v>46045.30289351852</v>
      </c>
    </row>
    <row r="2536">
      <c r="A2536" s="9" t="s">
        <v>7963</v>
      </c>
      <c r="B2536" s="20" t="str">
        <f>IFERROR(__xludf.DUMMYFUNCTION("REGEXREPLACE(A2536, ""^https?://[^/]+"", """")"),"/how-to-start-your-second-half-of-significance-and-fulfilling-your-life-purpose/")</f>
        <v>/how-to-start-your-second-half-of-significance-and-fulfilling-your-life-purpose/</v>
      </c>
      <c r="C2536" s="1" t="s">
        <v>7964</v>
      </c>
      <c r="F2536" s="1" t="s">
        <v>965</v>
      </c>
      <c r="G2536" s="1">
        <v>200.0</v>
      </c>
      <c r="H2536" s="1" t="s">
        <v>966</v>
      </c>
      <c r="I2536" s="1" t="s">
        <v>967</v>
      </c>
      <c r="K2536" s="1" t="s">
        <v>7965</v>
      </c>
      <c r="L2536" s="1">
        <v>49.0</v>
      </c>
      <c r="M2536" s="1">
        <v>419.0</v>
      </c>
      <c r="O2536" s="1">
        <v>0.0</v>
      </c>
      <c r="P2536" s="1">
        <v>0.0</v>
      </c>
      <c r="Q2536" s="1" t="s">
        <v>7966</v>
      </c>
      <c r="R2536" s="1">
        <v>111.0</v>
      </c>
      <c r="S2536" s="1">
        <v>655.0</v>
      </c>
      <c r="U2536" s="1">
        <v>0.0</v>
      </c>
      <c r="V2536" s="1" t="s">
        <v>7964</v>
      </c>
      <c r="W2536" s="1">
        <v>78.0</v>
      </c>
      <c r="Y2536" s="1">
        <v>0.0</v>
      </c>
      <c r="AA2536" s="1">
        <v>0.0</v>
      </c>
      <c r="AC2536" s="1">
        <v>0.0</v>
      </c>
      <c r="AD2536" s="1" t="s">
        <v>971</v>
      </c>
      <c r="AG2536" s="9" t="s">
        <v>7963</v>
      </c>
      <c r="AM2536" s="1">
        <v>202357.0</v>
      </c>
      <c r="AN2536" s="1">
        <v>36335.0</v>
      </c>
      <c r="AO2536" s="1">
        <v>36335.0</v>
      </c>
      <c r="AP2536" s="1">
        <v>13.919</v>
      </c>
      <c r="AR2536" s="1">
        <v>1485.0</v>
      </c>
      <c r="AS2536" s="1">
        <v>230.0</v>
      </c>
      <c r="AT2536" s="1">
        <v>6.457</v>
      </c>
      <c r="AU2536" s="1">
        <v>73.98</v>
      </c>
      <c r="AV2536" s="1" t="s">
        <v>1264</v>
      </c>
      <c r="AW2536" s="1">
        <v>5.474</v>
      </c>
      <c r="AX2536" s="1">
        <v>5.0</v>
      </c>
      <c r="AY2536" s="1">
        <v>1.0</v>
      </c>
      <c r="AZ2536" s="1">
        <v>1.0</v>
      </c>
      <c r="BA2536" s="1">
        <v>2.0</v>
      </c>
      <c r="BB2536" s="1">
        <v>2.0</v>
      </c>
      <c r="BC2536" s="1">
        <v>0.0</v>
      </c>
      <c r="BD2536" s="1">
        <v>0.27</v>
      </c>
      <c r="BE2536" s="1">
        <v>134.0</v>
      </c>
      <c r="BF2536" s="1">
        <v>51.0</v>
      </c>
      <c r="BG2536" s="1">
        <v>0.0</v>
      </c>
      <c r="BH2536" s="1">
        <v>17.0</v>
      </c>
      <c r="BI2536" s="1">
        <v>9.0</v>
      </c>
      <c r="BJ2536" s="1">
        <v>0.0</v>
      </c>
      <c r="BO2536" s="1" t="s">
        <v>7967</v>
      </c>
      <c r="BP2536" s="1">
        <v>1.034</v>
      </c>
      <c r="BU2536" s="1" t="s">
        <v>974</v>
      </c>
      <c r="BV2536" s="1">
        <v>1.1</v>
      </c>
      <c r="EQ2536" s="9" t="s">
        <v>7963</v>
      </c>
      <c r="ER2536" s="21">
        <v>46045.30289351852</v>
      </c>
    </row>
    <row r="2537">
      <c r="A2537" s="9" t="s">
        <v>7968</v>
      </c>
      <c r="B2537" s="20" t="str">
        <f>IFERROR(__xludf.DUMMYFUNCTION("REGEXREPLACE(A2537, ""^https?://[^/]+"", """")"),"/ready-to-take-the-steve-harvey-jump-into-sales-consulting/")</f>
        <v>/ready-to-take-the-steve-harvey-jump-into-sales-consulting/</v>
      </c>
      <c r="C2537" s="1" t="s">
        <v>7969</v>
      </c>
      <c r="F2537" s="1" t="s">
        <v>965</v>
      </c>
      <c r="G2537" s="1">
        <v>200.0</v>
      </c>
      <c r="H2537" s="1" t="s">
        <v>966</v>
      </c>
      <c r="I2537" s="1" t="s">
        <v>967</v>
      </c>
      <c r="K2537" s="1" t="s">
        <v>7970</v>
      </c>
      <c r="L2537" s="1">
        <v>83.0</v>
      </c>
      <c r="M2537" s="1">
        <v>756.0</v>
      </c>
      <c r="O2537" s="1">
        <v>0.0</v>
      </c>
      <c r="P2537" s="1">
        <v>0.0</v>
      </c>
      <c r="Q2537" s="1" t="s">
        <v>7971</v>
      </c>
      <c r="R2537" s="1">
        <v>152.0</v>
      </c>
      <c r="S2537" s="1">
        <v>941.0</v>
      </c>
      <c r="U2537" s="1">
        <v>0.0</v>
      </c>
      <c r="V2537" s="1" t="s">
        <v>7969</v>
      </c>
      <c r="W2537" s="1">
        <v>58.0</v>
      </c>
      <c r="Y2537" s="1">
        <v>0.0</v>
      </c>
      <c r="AA2537" s="1">
        <v>0.0</v>
      </c>
      <c r="AC2537" s="1">
        <v>0.0</v>
      </c>
      <c r="AD2537" s="1" t="s">
        <v>971</v>
      </c>
      <c r="AG2537" s="9" t="s">
        <v>7968</v>
      </c>
      <c r="AM2537" s="1">
        <v>199626.0</v>
      </c>
      <c r="AN2537" s="1">
        <v>35880.0</v>
      </c>
      <c r="AO2537" s="1">
        <v>35880.0</v>
      </c>
      <c r="AP2537" s="1">
        <v>13.745</v>
      </c>
      <c r="AR2537" s="1">
        <v>1430.0</v>
      </c>
      <c r="AS2537" s="1">
        <v>221.0</v>
      </c>
      <c r="AT2537" s="1">
        <v>6.471</v>
      </c>
      <c r="AU2537" s="1">
        <v>74.373</v>
      </c>
      <c r="AV2537" s="1" t="s">
        <v>1264</v>
      </c>
      <c r="AW2537" s="1">
        <v>5.406</v>
      </c>
      <c r="AX2537" s="1">
        <v>5.0</v>
      </c>
      <c r="AY2537" s="1">
        <v>1.0</v>
      </c>
      <c r="AZ2537" s="1">
        <v>1.0</v>
      </c>
      <c r="BA2537" s="1">
        <v>2.0</v>
      </c>
      <c r="BB2537" s="1">
        <v>2.0</v>
      </c>
      <c r="BC2537" s="1">
        <v>0.0</v>
      </c>
      <c r="BD2537" s="1">
        <v>0.27</v>
      </c>
      <c r="BE2537" s="1">
        <v>130.0</v>
      </c>
      <c r="BF2537" s="1">
        <v>48.0</v>
      </c>
      <c r="BG2537" s="1">
        <v>0.0</v>
      </c>
      <c r="BH2537" s="1">
        <v>17.0</v>
      </c>
      <c r="BI2537" s="1">
        <v>9.0</v>
      </c>
      <c r="BJ2537" s="1">
        <v>0.0</v>
      </c>
      <c r="BO2537" s="1" t="s">
        <v>7972</v>
      </c>
      <c r="BP2537" s="1">
        <v>1.464</v>
      </c>
      <c r="BU2537" s="1" t="s">
        <v>974</v>
      </c>
      <c r="BV2537" s="1">
        <v>1.1</v>
      </c>
      <c r="EQ2537" s="9" t="s">
        <v>7968</v>
      </c>
      <c r="ER2537" s="21">
        <v>46045.30289351852</v>
      </c>
    </row>
    <row r="2538">
      <c r="A2538" s="9" t="s">
        <v>7973</v>
      </c>
      <c r="B2538" s="20" t="str">
        <f>IFERROR(__xludf.DUMMYFUNCTION("REGEXREPLACE(A2538, ""^https?://[^/]+"", """")"),"/wp-content/uploads/2021/01/scrabble-4958237_1280-820x550-1.jpg")</f>
        <v>/wp-content/uploads/2021/01/scrabble-4958237_1280-820x550-1.jpg</v>
      </c>
      <c r="F2538" s="1" t="s">
        <v>1004</v>
      </c>
      <c r="G2538" s="1">
        <v>200.0</v>
      </c>
      <c r="H2538" s="1" t="s">
        <v>966</v>
      </c>
      <c r="I2538" s="1" t="s">
        <v>967</v>
      </c>
      <c r="L2538" s="1">
        <v>0.0</v>
      </c>
      <c r="M2538" s="1">
        <v>0.0</v>
      </c>
      <c r="O2538" s="1">
        <v>0.0</v>
      </c>
      <c r="P2538" s="1">
        <v>0.0</v>
      </c>
      <c r="R2538" s="1">
        <v>0.0</v>
      </c>
      <c r="S2538" s="1">
        <v>0.0</v>
      </c>
      <c r="U2538" s="1">
        <v>0.0</v>
      </c>
      <c r="W2538" s="1">
        <v>0.0</v>
      </c>
      <c r="Y2538" s="1">
        <v>0.0</v>
      </c>
      <c r="AA2538" s="1">
        <v>0.0</v>
      </c>
      <c r="AC2538" s="1">
        <v>0.0</v>
      </c>
      <c r="AM2538" s="1">
        <v>36290.0</v>
      </c>
      <c r="AN2538" s="1">
        <v>36290.0</v>
      </c>
      <c r="AO2538" s="1">
        <v>36290.0</v>
      </c>
      <c r="AP2538" s="1">
        <v>13.902</v>
      </c>
      <c r="AR2538" s="1">
        <v>0.0</v>
      </c>
      <c r="AW2538" s="1">
        <v>0.0</v>
      </c>
      <c r="AX2538" s="1">
        <v>5.0</v>
      </c>
      <c r="AY2538" s="1">
        <v>4.0</v>
      </c>
      <c r="BA2538" s="1">
        <v>0.0</v>
      </c>
      <c r="BB2538" s="1">
        <v>0.0</v>
      </c>
      <c r="BC2538" s="1">
        <v>0.0</v>
      </c>
      <c r="BD2538" s="1">
        <v>0.0</v>
      </c>
      <c r="BE2538" s="1">
        <v>0.0</v>
      </c>
      <c r="BF2538" s="1">
        <v>0.0</v>
      </c>
      <c r="BG2538" s="1">
        <v>0.0</v>
      </c>
      <c r="BH2538" s="1">
        <v>0.0</v>
      </c>
      <c r="BI2538" s="1">
        <v>0.0</v>
      </c>
      <c r="BJ2538" s="1">
        <v>0.0</v>
      </c>
      <c r="BP2538" s="1">
        <v>0.26</v>
      </c>
      <c r="BQ2538" s="1" t="s">
        <v>7974</v>
      </c>
      <c r="BV2538" s="1">
        <v>1.1</v>
      </c>
      <c r="EQ2538" s="9" t="s">
        <v>7973</v>
      </c>
      <c r="ER2538" s="21">
        <v>46045.30290509259</v>
      </c>
    </row>
    <row r="2539">
      <c r="A2539" s="9" t="s">
        <v>7975</v>
      </c>
      <c r="B2539" s="20" t="str">
        <f>IFERROR(__xludf.DUMMYFUNCTION("REGEXREPLACE(A2539, ""^https?://[^/]+"", """")"),"/wp-content/uploads/2021/02/Time-for-Change-scaled-1.jpg")</f>
        <v>/wp-content/uploads/2021/02/Time-for-Change-scaled-1.jpg</v>
      </c>
      <c r="F2539" s="1" t="s">
        <v>1004</v>
      </c>
      <c r="G2539" s="1">
        <v>200.0</v>
      </c>
      <c r="H2539" s="1" t="s">
        <v>966</v>
      </c>
      <c r="I2539" s="1" t="s">
        <v>967</v>
      </c>
      <c r="L2539" s="1">
        <v>0.0</v>
      </c>
      <c r="M2539" s="1">
        <v>0.0</v>
      </c>
      <c r="O2539" s="1">
        <v>0.0</v>
      </c>
      <c r="P2539" s="1">
        <v>0.0</v>
      </c>
      <c r="R2539" s="1">
        <v>0.0</v>
      </c>
      <c r="S2539" s="1">
        <v>0.0</v>
      </c>
      <c r="U2539" s="1">
        <v>0.0</v>
      </c>
      <c r="W2539" s="1">
        <v>0.0</v>
      </c>
      <c r="Y2539" s="1">
        <v>0.0</v>
      </c>
      <c r="AA2539" s="1">
        <v>0.0</v>
      </c>
      <c r="AC2539" s="1">
        <v>0.0</v>
      </c>
      <c r="AM2539" s="1">
        <v>75286.0</v>
      </c>
      <c r="AN2539" s="1">
        <v>75286.0</v>
      </c>
      <c r="AO2539" s="1">
        <v>75286.0</v>
      </c>
      <c r="AP2539" s="1">
        <v>28.841</v>
      </c>
      <c r="AR2539" s="1">
        <v>0.0</v>
      </c>
      <c r="AW2539" s="1">
        <v>0.0</v>
      </c>
      <c r="AX2539" s="1">
        <v>5.0</v>
      </c>
      <c r="AY2539" s="1">
        <v>4.0</v>
      </c>
      <c r="BA2539" s="1">
        <v>0.0</v>
      </c>
      <c r="BB2539" s="1">
        <v>0.0</v>
      </c>
      <c r="BC2539" s="1">
        <v>0.0</v>
      </c>
      <c r="BD2539" s="1">
        <v>0.0</v>
      </c>
      <c r="BE2539" s="1">
        <v>0.0</v>
      </c>
      <c r="BF2539" s="1">
        <v>0.0</v>
      </c>
      <c r="BG2539" s="1">
        <v>0.0</v>
      </c>
      <c r="BH2539" s="1">
        <v>0.0</v>
      </c>
      <c r="BI2539" s="1">
        <v>0.0</v>
      </c>
      <c r="BJ2539" s="1">
        <v>0.0</v>
      </c>
      <c r="BP2539" s="1">
        <v>0.274</v>
      </c>
      <c r="BQ2539" s="1" t="s">
        <v>7976</v>
      </c>
      <c r="BV2539" s="1">
        <v>1.1</v>
      </c>
      <c r="EQ2539" s="9" t="s">
        <v>7975</v>
      </c>
      <c r="ER2539" s="21">
        <v>46045.30290509259</v>
      </c>
    </row>
    <row r="2540">
      <c r="A2540" s="9" t="s">
        <v>7977</v>
      </c>
      <c r="B2540" s="20" t="str">
        <f>IFERROR(__xludf.DUMMYFUNCTION("REGEXREPLACE(A2540, ""^https?://[^/]+"", """")"),"/wp-content/uploads/2022/12/hiring-in-a-recession.jpg")</f>
        <v>/wp-content/uploads/2022/12/hiring-in-a-recession.jpg</v>
      </c>
      <c r="F2540" s="1" t="s">
        <v>1004</v>
      </c>
      <c r="G2540" s="1">
        <v>200.0</v>
      </c>
      <c r="H2540" s="1" t="s">
        <v>966</v>
      </c>
      <c r="I2540" s="1" t="s">
        <v>967</v>
      </c>
      <c r="L2540" s="1">
        <v>0.0</v>
      </c>
      <c r="M2540" s="1">
        <v>0.0</v>
      </c>
      <c r="O2540" s="1">
        <v>0.0</v>
      </c>
      <c r="P2540" s="1">
        <v>0.0</v>
      </c>
      <c r="R2540" s="1">
        <v>0.0</v>
      </c>
      <c r="S2540" s="1">
        <v>0.0</v>
      </c>
      <c r="U2540" s="1">
        <v>0.0</v>
      </c>
      <c r="W2540" s="1">
        <v>0.0</v>
      </c>
      <c r="Y2540" s="1">
        <v>0.0</v>
      </c>
      <c r="AA2540" s="1">
        <v>0.0</v>
      </c>
      <c r="AC2540" s="1">
        <v>0.0</v>
      </c>
      <c r="AM2540" s="1">
        <v>152477.0</v>
      </c>
      <c r="AN2540" s="1">
        <v>152477.0</v>
      </c>
      <c r="AO2540" s="1">
        <v>152477.0</v>
      </c>
      <c r="AP2540" s="1">
        <v>58.411</v>
      </c>
      <c r="AR2540" s="1">
        <v>0.0</v>
      </c>
      <c r="AW2540" s="1">
        <v>0.0</v>
      </c>
      <c r="AX2540" s="1">
        <v>5.0</v>
      </c>
      <c r="AY2540" s="1">
        <v>4.0</v>
      </c>
      <c r="BA2540" s="1">
        <v>0.0</v>
      </c>
      <c r="BB2540" s="1">
        <v>0.0</v>
      </c>
      <c r="BC2540" s="1">
        <v>0.0</v>
      </c>
      <c r="BD2540" s="1">
        <v>0.0</v>
      </c>
      <c r="BE2540" s="1">
        <v>0.0</v>
      </c>
      <c r="BF2540" s="1">
        <v>0.0</v>
      </c>
      <c r="BG2540" s="1">
        <v>0.0</v>
      </c>
      <c r="BH2540" s="1">
        <v>0.0</v>
      </c>
      <c r="BI2540" s="1">
        <v>0.0</v>
      </c>
      <c r="BJ2540" s="1">
        <v>0.0</v>
      </c>
      <c r="BP2540" s="1">
        <v>0.25</v>
      </c>
      <c r="BQ2540" s="1" t="s">
        <v>6419</v>
      </c>
      <c r="BV2540" s="1">
        <v>1.1</v>
      </c>
      <c r="EQ2540" s="9" t="s">
        <v>7977</v>
      </c>
      <c r="ER2540" s="21">
        <v>46045.30291666667</v>
      </c>
    </row>
    <row r="2541">
      <c r="A2541" s="9" t="s">
        <v>7978</v>
      </c>
      <c r="B2541" s="20" t="str">
        <f>IFERROR(__xludf.DUMMYFUNCTION("REGEXREPLACE(A2541, ""^https?://[^/]+"", """")"),"/wp-content/themes/salesxceleratione/assets/css/style.css?ver=1769123651")</f>
        <v>/wp-content/themes/salesxceleratione/assets/css/style.css?ver=1769123651</v>
      </c>
      <c r="F2541" s="1" t="s">
        <v>1016</v>
      </c>
      <c r="G2541" s="1">
        <v>200.0</v>
      </c>
      <c r="H2541" s="1" t="s">
        <v>966</v>
      </c>
      <c r="I2541" s="1" t="s">
        <v>967</v>
      </c>
      <c r="L2541" s="1">
        <v>0.0</v>
      </c>
      <c r="M2541" s="1">
        <v>0.0</v>
      </c>
      <c r="O2541" s="1">
        <v>0.0</v>
      </c>
      <c r="P2541" s="1">
        <v>0.0</v>
      </c>
      <c r="R2541" s="1">
        <v>0.0</v>
      </c>
      <c r="S2541" s="1">
        <v>0.0</v>
      </c>
      <c r="U2541" s="1">
        <v>0.0</v>
      </c>
      <c r="W2541" s="1">
        <v>0.0</v>
      </c>
      <c r="Y2541" s="1">
        <v>0.0</v>
      </c>
      <c r="AA2541" s="1">
        <v>0.0</v>
      </c>
      <c r="AC2541" s="1">
        <v>0.0</v>
      </c>
      <c r="AM2541" s="1">
        <v>17704.0</v>
      </c>
      <c r="AN2541" s="1">
        <v>17704.0</v>
      </c>
      <c r="AO2541" s="1">
        <v>17704.0</v>
      </c>
      <c r="AP2541" s="1">
        <v>6.782</v>
      </c>
      <c r="AR2541" s="1">
        <v>0.0</v>
      </c>
      <c r="AW2541" s="1">
        <v>0.0</v>
      </c>
      <c r="AX2541" s="1">
        <v>5.0</v>
      </c>
      <c r="AY2541" s="1">
        <v>5.0</v>
      </c>
      <c r="BA2541" s="1">
        <v>0.0</v>
      </c>
      <c r="BB2541" s="1">
        <v>0.0</v>
      </c>
      <c r="BC2541" s="1">
        <v>0.0</v>
      </c>
      <c r="BD2541" s="1">
        <v>0.0</v>
      </c>
      <c r="BE2541" s="1">
        <v>0.0</v>
      </c>
      <c r="BF2541" s="1">
        <v>0.0</v>
      </c>
      <c r="BG2541" s="1">
        <v>0.0</v>
      </c>
      <c r="BH2541" s="1">
        <v>0.0</v>
      </c>
      <c r="BI2541" s="1">
        <v>0.0</v>
      </c>
      <c r="BJ2541" s="1">
        <v>0.0</v>
      </c>
      <c r="BP2541" s="1">
        <v>0.273</v>
      </c>
      <c r="BQ2541" s="1" t="s">
        <v>7979</v>
      </c>
      <c r="BV2541" s="1">
        <v>1.1</v>
      </c>
      <c r="EQ2541" s="9" t="s">
        <v>7978</v>
      </c>
      <c r="ER2541" s="21">
        <v>46045.30291666667</v>
      </c>
    </row>
    <row r="2542">
      <c r="A2542" s="9" t="s">
        <v>7980</v>
      </c>
      <c r="B2542" s="20" t="str">
        <f>IFERROR(__xludf.DUMMYFUNCTION("REGEXREPLACE(A2542, ""^https?://[^/]+"", """")"),"/wp-content/uploads/elementor/css/post-26774.css?ver=1768898586")</f>
        <v>/wp-content/uploads/elementor/css/post-26774.css?ver=1768898586</v>
      </c>
      <c r="F2542" s="1" t="s">
        <v>1016</v>
      </c>
      <c r="G2542" s="1">
        <v>200.0</v>
      </c>
      <c r="H2542" s="1" t="s">
        <v>966</v>
      </c>
      <c r="I2542" s="1" t="s">
        <v>967</v>
      </c>
      <c r="L2542" s="1">
        <v>0.0</v>
      </c>
      <c r="M2542" s="1">
        <v>0.0</v>
      </c>
      <c r="O2542" s="1">
        <v>0.0</v>
      </c>
      <c r="P2542" s="1">
        <v>0.0</v>
      </c>
      <c r="R2542" s="1">
        <v>0.0</v>
      </c>
      <c r="S2542" s="1">
        <v>0.0</v>
      </c>
      <c r="U2542" s="1">
        <v>0.0</v>
      </c>
      <c r="W2542" s="1">
        <v>0.0</v>
      </c>
      <c r="Y2542" s="1">
        <v>0.0</v>
      </c>
      <c r="AA2542" s="1">
        <v>0.0</v>
      </c>
      <c r="AC2542" s="1">
        <v>0.0</v>
      </c>
      <c r="AM2542" s="1">
        <v>138.0</v>
      </c>
      <c r="AN2542" s="1">
        <v>138.0</v>
      </c>
      <c r="AO2542" s="1">
        <v>138.0</v>
      </c>
      <c r="AP2542" s="1">
        <v>0.053</v>
      </c>
      <c r="AR2542" s="1">
        <v>0.0</v>
      </c>
      <c r="AW2542" s="1">
        <v>0.0</v>
      </c>
      <c r="AX2542" s="1">
        <v>5.0</v>
      </c>
      <c r="AY2542" s="1">
        <v>4.0</v>
      </c>
      <c r="BA2542" s="1">
        <v>0.0</v>
      </c>
      <c r="BB2542" s="1">
        <v>0.0</v>
      </c>
      <c r="BC2542" s="1">
        <v>0.0</v>
      </c>
      <c r="BD2542" s="1">
        <v>0.0</v>
      </c>
      <c r="BE2542" s="1">
        <v>0.0</v>
      </c>
      <c r="BF2542" s="1">
        <v>0.0</v>
      </c>
      <c r="BG2542" s="1">
        <v>0.0</v>
      </c>
      <c r="BH2542" s="1">
        <v>0.0</v>
      </c>
      <c r="BI2542" s="1">
        <v>0.0</v>
      </c>
      <c r="BJ2542" s="1">
        <v>0.0</v>
      </c>
      <c r="BP2542" s="1">
        <v>0.273</v>
      </c>
      <c r="BQ2542" s="1" t="s">
        <v>7981</v>
      </c>
      <c r="BV2542" s="1">
        <v>1.1</v>
      </c>
      <c r="EQ2542" s="9" t="s">
        <v>7980</v>
      </c>
      <c r="ER2542" s="21">
        <v>46045.302928240744</v>
      </c>
    </row>
    <row r="2543">
      <c r="A2543" s="9" t="s">
        <v>7982</v>
      </c>
      <c r="B2543" s="20" t="str">
        <f>IFERROR(__xludf.DUMMYFUNCTION("REGEXREPLACE(A2543, ""^https?://[^/]+"", """")"),"/wp-content/uploads/2022/03/Sales-Group-Meeting.jpg")</f>
        <v>/wp-content/uploads/2022/03/Sales-Group-Meeting.jpg</v>
      </c>
      <c r="F2543" s="1" t="s">
        <v>1004</v>
      </c>
      <c r="G2543" s="1">
        <v>200.0</v>
      </c>
      <c r="H2543" s="1" t="s">
        <v>966</v>
      </c>
      <c r="I2543" s="1" t="s">
        <v>967</v>
      </c>
      <c r="L2543" s="1">
        <v>0.0</v>
      </c>
      <c r="M2543" s="1">
        <v>0.0</v>
      </c>
      <c r="O2543" s="1">
        <v>0.0</v>
      </c>
      <c r="P2543" s="1">
        <v>0.0</v>
      </c>
      <c r="R2543" s="1">
        <v>0.0</v>
      </c>
      <c r="S2543" s="1">
        <v>0.0</v>
      </c>
      <c r="U2543" s="1">
        <v>0.0</v>
      </c>
      <c r="W2543" s="1">
        <v>0.0</v>
      </c>
      <c r="Y2543" s="1">
        <v>0.0</v>
      </c>
      <c r="AA2543" s="1">
        <v>0.0</v>
      </c>
      <c r="AC2543" s="1">
        <v>0.0</v>
      </c>
      <c r="AM2543" s="1">
        <v>257321.0</v>
      </c>
      <c r="AN2543" s="1">
        <v>257321.0</v>
      </c>
      <c r="AO2543" s="1">
        <v>257321.0</v>
      </c>
      <c r="AP2543" s="1">
        <v>98.575</v>
      </c>
      <c r="AR2543" s="1">
        <v>0.0</v>
      </c>
      <c r="AW2543" s="1">
        <v>0.0</v>
      </c>
      <c r="AX2543" s="1">
        <v>5.0</v>
      </c>
      <c r="AY2543" s="1">
        <v>4.0</v>
      </c>
      <c r="BA2543" s="1">
        <v>0.0</v>
      </c>
      <c r="BB2543" s="1">
        <v>0.0</v>
      </c>
      <c r="BC2543" s="1">
        <v>0.0</v>
      </c>
      <c r="BD2543" s="1">
        <v>0.0</v>
      </c>
      <c r="BE2543" s="1">
        <v>0.0</v>
      </c>
      <c r="BF2543" s="1">
        <v>0.0</v>
      </c>
      <c r="BG2543" s="1">
        <v>0.0</v>
      </c>
      <c r="BH2543" s="1">
        <v>0.0</v>
      </c>
      <c r="BI2543" s="1">
        <v>0.0</v>
      </c>
      <c r="BJ2543" s="1">
        <v>0.0</v>
      </c>
      <c r="BP2543" s="1">
        <v>0.321</v>
      </c>
      <c r="BQ2543" s="1" t="s">
        <v>7983</v>
      </c>
      <c r="BV2543" s="1">
        <v>1.1</v>
      </c>
      <c r="EQ2543" s="9" t="s">
        <v>7982</v>
      </c>
      <c r="ER2543" s="21">
        <v>46045.302939814814</v>
      </c>
    </row>
    <row r="2544">
      <c r="A2544" s="9" t="s">
        <v>7984</v>
      </c>
      <c r="B2544" s="20" t="str">
        <f>IFERROR(__xludf.DUMMYFUNCTION("REGEXREPLACE(A2544, ""^https?://[^/]+"", """")"),"/wp-content/uploads/2022/06/Proactive-Hiring.jpg")</f>
        <v>/wp-content/uploads/2022/06/Proactive-Hiring.jpg</v>
      </c>
      <c r="F2544" s="1" t="s">
        <v>1004</v>
      </c>
      <c r="G2544" s="1">
        <v>200.0</v>
      </c>
      <c r="H2544" s="1" t="s">
        <v>966</v>
      </c>
      <c r="I2544" s="1" t="s">
        <v>967</v>
      </c>
      <c r="L2544" s="1">
        <v>0.0</v>
      </c>
      <c r="M2544" s="1">
        <v>0.0</v>
      </c>
      <c r="O2544" s="1">
        <v>0.0</v>
      </c>
      <c r="P2544" s="1">
        <v>0.0</v>
      </c>
      <c r="R2544" s="1">
        <v>0.0</v>
      </c>
      <c r="S2544" s="1">
        <v>0.0</v>
      </c>
      <c r="U2544" s="1">
        <v>0.0</v>
      </c>
      <c r="W2544" s="1">
        <v>0.0</v>
      </c>
      <c r="Y2544" s="1">
        <v>0.0</v>
      </c>
      <c r="AA2544" s="1">
        <v>0.0</v>
      </c>
      <c r="AC2544" s="1">
        <v>0.0</v>
      </c>
      <c r="AM2544" s="1">
        <v>218820.0</v>
      </c>
      <c r="AN2544" s="1">
        <v>218820.0</v>
      </c>
      <c r="AO2544" s="1">
        <v>218820.0</v>
      </c>
      <c r="AP2544" s="1">
        <v>83.826</v>
      </c>
      <c r="AR2544" s="1">
        <v>0.0</v>
      </c>
      <c r="AW2544" s="1">
        <v>0.0</v>
      </c>
      <c r="AX2544" s="1">
        <v>5.0</v>
      </c>
      <c r="AY2544" s="1">
        <v>4.0</v>
      </c>
      <c r="BA2544" s="1">
        <v>0.0</v>
      </c>
      <c r="BB2544" s="1">
        <v>0.0</v>
      </c>
      <c r="BC2544" s="1">
        <v>0.0</v>
      </c>
      <c r="BD2544" s="1">
        <v>0.0</v>
      </c>
      <c r="BE2544" s="1">
        <v>0.0</v>
      </c>
      <c r="BF2544" s="1">
        <v>0.0</v>
      </c>
      <c r="BG2544" s="1">
        <v>0.0</v>
      </c>
      <c r="BH2544" s="1">
        <v>0.0</v>
      </c>
      <c r="BI2544" s="1">
        <v>0.0</v>
      </c>
      <c r="BJ2544" s="1">
        <v>0.0</v>
      </c>
      <c r="BP2544" s="1">
        <v>0.281</v>
      </c>
      <c r="BQ2544" s="1" t="s">
        <v>7985</v>
      </c>
      <c r="BV2544" s="1">
        <v>1.1</v>
      </c>
      <c r="EQ2544" s="9" t="s">
        <v>7984</v>
      </c>
      <c r="ER2544" s="21">
        <v>46045.30295138889</v>
      </c>
    </row>
    <row r="2545">
      <c r="A2545" s="9" t="s">
        <v>7986</v>
      </c>
      <c r="B2545" s="20" t="str">
        <f>IFERROR(__xludf.DUMMYFUNCTION("REGEXREPLACE(A2545, ""^https?://[^/]+"", """")"),"/wp-content/themes/salesxceleratione/assets/css/style.css?ver=1769123650")</f>
        <v>/wp-content/themes/salesxceleratione/assets/css/style.css?ver=1769123650</v>
      </c>
      <c r="F2545" s="1" t="s">
        <v>1016</v>
      </c>
      <c r="G2545" s="1">
        <v>200.0</v>
      </c>
      <c r="H2545" s="1" t="s">
        <v>966</v>
      </c>
      <c r="I2545" s="1" t="s">
        <v>967</v>
      </c>
      <c r="L2545" s="1">
        <v>0.0</v>
      </c>
      <c r="M2545" s="1">
        <v>0.0</v>
      </c>
      <c r="O2545" s="1">
        <v>0.0</v>
      </c>
      <c r="P2545" s="1">
        <v>0.0</v>
      </c>
      <c r="R2545" s="1">
        <v>0.0</v>
      </c>
      <c r="S2545" s="1">
        <v>0.0</v>
      </c>
      <c r="U2545" s="1">
        <v>0.0</v>
      </c>
      <c r="W2545" s="1">
        <v>0.0</v>
      </c>
      <c r="Y2545" s="1">
        <v>0.0</v>
      </c>
      <c r="AA2545" s="1">
        <v>0.0</v>
      </c>
      <c r="AC2545" s="1">
        <v>0.0</v>
      </c>
      <c r="AM2545" s="1">
        <v>17704.0</v>
      </c>
      <c r="AN2545" s="1">
        <v>17704.0</v>
      </c>
      <c r="AO2545" s="1">
        <v>17704.0</v>
      </c>
      <c r="AP2545" s="1">
        <v>6.782</v>
      </c>
      <c r="AR2545" s="1">
        <v>0.0</v>
      </c>
      <c r="AW2545" s="1">
        <v>0.0</v>
      </c>
      <c r="AX2545" s="1">
        <v>5.0</v>
      </c>
      <c r="AY2545" s="1">
        <v>5.0</v>
      </c>
      <c r="BA2545" s="1">
        <v>0.0</v>
      </c>
      <c r="BB2545" s="1">
        <v>0.0</v>
      </c>
      <c r="BC2545" s="1">
        <v>0.0</v>
      </c>
      <c r="BD2545" s="1">
        <v>0.0</v>
      </c>
      <c r="BE2545" s="1">
        <v>0.0</v>
      </c>
      <c r="BF2545" s="1">
        <v>0.0</v>
      </c>
      <c r="BG2545" s="1">
        <v>0.0</v>
      </c>
      <c r="BH2545" s="1">
        <v>0.0</v>
      </c>
      <c r="BI2545" s="1">
        <v>0.0</v>
      </c>
      <c r="BJ2545" s="1">
        <v>0.0</v>
      </c>
      <c r="BP2545" s="1">
        <v>0.283</v>
      </c>
      <c r="BQ2545" s="1" t="s">
        <v>7979</v>
      </c>
      <c r="BV2545" s="1">
        <v>1.1</v>
      </c>
      <c r="EQ2545" s="9" t="s">
        <v>7986</v>
      </c>
      <c r="ER2545" s="21">
        <v>46045.30295138889</v>
      </c>
    </row>
    <row r="2546">
      <c r="A2546" s="9" t="s">
        <v>7987</v>
      </c>
      <c r="B2546" s="20" t="str">
        <f>IFERROR(__xludf.DUMMYFUNCTION("REGEXREPLACE(A2546, ""^https?://[^/]+"", """")"),"/breakaway-sales-recruiting/case-study-download/")</f>
        <v>/breakaway-sales-recruiting/case-study-download/</v>
      </c>
      <c r="C2546" s="1" t="s">
        <v>7988</v>
      </c>
      <c r="F2546" s="1" t="s">
        <v>965</v>
      </c>
      <c r="G2546" s="1">
        <v>200.0</v>
      </c>
      <c r="H2546" s="1" t="s">
        <v>966</v>
      </c>
      <c r="I2546" s="1" t="s">
        <v>967</v>
      </c>
      <c r="K2546" s="1" t="s">
        <v>7989</v>
      </c>
      <c r="L2546" s="1">
        <v>39.0</v>
      </c>
      <c r="M2546" s="1">
        <v>364.0</v>
      </c>
      <c r="O2546" s="1">
        <v>0.0</v>
      </c>
      <c r="P2546" s="1">
        <v>0.0</v>
      </c>
      <c r="Q2546" s="1" t="s">
        <v>7990</v>
      </c>
      <c r="R2546" s="1">
        <v>53.0</v>
      </c>
      <c r="S2546" s="1">
        <v>330.0</v>
      </c>
      <c r="U2546" s="1">
        <v>0.0</v>
      </c>
      <c r="V2546" s="1" t="s">
        <v>7988</v>
      </c>
      <c r="W2546" s="1">
        <v>19.0</v>
      </c>
      <c r="Y2546" s="1">
        <v>0.0</v>
      </c>
      <c r="AA2546" s="1">
        <v>0.0</v>
      </c>
      <c r="AC2546" s="1">
        <v>0.0</v>
      </c>
      <c r="AD2546" s="1" t="s">
        <v>971</v>
      </c>
      <c r="AG2546" s="9" t="s">
        <v>7987</v>
      </c>
      <c r="AM2546" s="1">
        <v>149350.0</v>
      </c>
      <c r="AN2546" s="1">
        <v>28189.0</v>
      </c>
      <c r="AO2546" s="1">
        <v>28189.0</v>
      </c>
      <c r="AP2546" s="1">
        <v>10.799</v>
      </c>
      <c r="AR2546" s="1">
        <v>536.0</v>
      </c>
      <c r="AS2546" s="1">
        <v>92.0</v>
      </c>
      <c r="AT2546" s="1">
        <v>5.826</v>
      </c>
      <c r="AU2546" s="1">
        <v>61.079</v>
      </c>
      <c r="AV2546" s="1" t="s">
        <v>990</v>
      </c>
      <c r="AW2546" s="1">
        <v>3.809</v>
      </c>
      <c r="AX2546" s="1">
        <v>5.0</v>
      </c>
      <c r="AY2546" s="1">
        <v>2.0</v>
      </c>
      <c r="AZ2546" s="1">
        <v>1.0</v>
      </c>
      <c r="BA2546" s="1">
        <v>1.0</v>
      </c>
      <c r="BB2546" s="1">
        <v>1.0</v>
      </c>
      <c r="BC2546" s="1">
        <v>0.0</v>
      </c>
      <c r="BD2546" s="1">
        <v>0.13</v>
      </c>
      <c r="BE2546" s="1">
        <v>122.0</v>
      </c>
      <c r="BF2546" s="1">
        <v>42.0</v>
      </c>
      <c r="BG2546" s="1">
        <v>0.0</v>
      </c>
      <c r="BH2546" s="1">
        <v>16.0</v>
      </c>
      <c r="BI2546" s="1">
        <v>8.0</v>
      </c>
      <c r="BJ2546" s="1">
        <v>0.0</v>
      </c>
      <c r="BO2546" s="1" t="s">
        <v>7991</v>
      </c>
      <c r="BP2546" s="1">
        <v>0.984</v>
      </c>
      <c r="BU2546" s="1" t="s">
        <v>974</v>
      </c>
      <c r="BV2546" s="1">
        <v>1.1</v>
      </c>
      <c r="EQ2546" s="9" t="s">
        <v>7987</v>
      </c>
      <c r="ER2546" s="21">
        <v>46045.30295138889</v>
      </c>
    </row>
    <row r="2547">
      <c r="A2547" s="9" t="s">
        <v>7992</v>
      </c>
      <c r="B2547" s="20" t="str">
        <f>IFERROR(__xludf.DUMMYFUNCTION("REGEXREPLACE(A2547, ""^https?://[^/]+"", """")"),"/wp-content/uploads/2022/04/Recruiting-Candidate-2048x2048.jpg")</f>
        <v>/wp-content/uploads/2022/04/Recruiting-Candidate-2048x2048.jpg</v>
      </c>
      <c r="F2547" s="1" t="s">
        <v>1004</v>
      </c>
      <c r="G2547" s="1">
        <v>200.0</v>
      </c>
      <c r="H2547" s="1" t="s">
        <v>966</v>
      </c>
      <c r="I2547" s="1" t="s">
        <v>967</v>
      </c>
      <c r="L2547" s="1">
        <v>0.0</v>
      </c>
      <c r="M2547" s="1">
        <v>0.0</v>
      </c>
      <c r="O2547" s="1">
        <v>0.0</v>
      </c>
      <c r="P2547" s="1">
        <v>0.0</v>
      </c>
      <c r="R2547" s="1">
        <v>0.0</v>
      </c>
      <c r="S2547" s="1">
        <v>0.0</v>
      </c>
      <c r="U2547" s="1">
        <v>0.0</v>
      </c>
      <c r="W2547" s="1">
        <v>0.0</v>
      </c>
      <c r="Y2547" s="1">
        <v>0.0</v>
      </c>
      <c r="AA2547" s="1">
        <v>0.0</v>
      </c>
      <c r="AC2547" s="1">
        <v>0.0</v>
      </c>
      <c r="AM2547" s="1">
        <v>105705.0</v>
      </c>
      <c r="AN2547" s="1">
        <v>105705.0</v>
      </c>
      <c r="AO2547" s="1">
        <v>105705.0</v>
      </c>
      <c r="AP2547" s="1">
        <v>40.494</v>
      </c>
      <c r="AR2547" s="1">
        <v>0.0</v>
      </c>
      <c r="AW2547" s="1">
        <v>0.0</v>
      </c>
      <c r="AX2547" s="1">
        <v>5.0</v>
      </c>
      <c r="AY2547" s="1">
        <v>4.0</v>
      </c>
      <c r="BA2547" s="1">
        <v>0.0</v>
      </c>
      <c r="BB2547" s="1">
        <v>0.0</v>
      </c>
      <c r="BC2547" s="1">
        <v>0.0</v>
      </c>
      <c r="BD2547" s="1">
        <v>0.0</v>
      </c>
      <c r="BE2547" s="1">
        <v>0.0</v>
      </c>
      <c r="BF2547" s="1">
        <v>0.0</v>
      </c>
      <c r="BG2547" s="1">
        <v>0.0</v>
      </c>
      <c r="BH2547" s="1">
        <v>0.0</v>
      </c>
      <c r="BI2547" s="1">
        <v>0.0</v>
      </c>
      <c r="BJ2547" s="1">
        <v>0.0</v>
      </c>
      <c r="BP2547" s="1">
        <v>0.268</v>
      </c>
      <c r="BQ2547" s="1" t="s">
        <v>6425</v>
      </c>
      <c r="BV2547" s="1">
        <v>1.1</v>
      </c>
      <c r="EQ2547" s="9" t="s">
        <v>7992</v>
      </c>
      <c r="ER2547" s="21">
        <v>46045.30299768518</v>
      </c>
    </row>
    <row r="2548">
      <c r="A2548" s="9" t="s">
        <v>7993</v>
      </c>
      <c r="B2548" s="20" t="str">
        <f>IFERROR(__xludf.DUMMYFUNCTION("REGEXREPLACE(A2548, ""^https?://[^/]+"", """")"),"/wp-content/uploads/2023/04/Onboarding-for-Sales-Success.jpg")</f>
        <v>/wp-content/uploads/2023/04/Onboarding-for-Sales-Success.jpg</v>
      </c>
      <c r="F2548" s="1" t="s">
        <v>1004</v>
      </c>
      <c r="G2548" s="1">
        <v>200.0</v>
      </c>
      <c r="H2548" s="1" t="s">
        <v>966</v>
      </c>
      <c r="I2548" s="1" t="s">
        <v>967</v>
      </c>
      <c r="L2548" s="1">
        <v>0.0</v>
      </c>
      <c r="M2548" s="1">
        <v>0.0</v>
      </c>
      <c r="O2548" s="1">
        <v>0.0</v>
      </c>
      <c r="P2548" s="1">
        <v>0.0</v>
      </c>
      <c r="R2548" s="1">
        <v>0.0</v>
      </c>
      <c r="S2548" s="1">
        <v>0.0</v>
      </c>
      <c r="U2548" s="1">
        <v>0.0</v>
      </c>
      <c r="W2548" s="1">
        <v>0.0</v>
      </c>
      <c r="Y2548" s="1">
        <v>0.0</v>
      </c>
      <c r="AA2548" s="1">
        <v>0.0</v>
      </c>
      <c r="AC2548" s="1">
        <v>0.0</v>
      </c>
      <c r="AM2548" s="1">
        <v>235829.0</v>
      </c>
      <c r="AN2548" s="1">
        <v>235829.0</v>
      </c>
      <c r="AO2548" s="1">
        <v>235829.0</v>
      </c>
      <c r="AP2548" s="1">
        <v>90.342</v>
      </c>
      <c r="AR2548" s="1">
        <v>0.0</v>
      </c>
      <c r="AW2548" s="1">
        <v>0.0</v>
      </c>
      <c r="AX2548" s="1">
        <v>5.0</v>
      </c>
      <c r="AY2548" s="1">
        <v>4.0</v>
      </c>
      <c r="BA2548" s="1">
        <v>0.0</v>
      </c>
      <c r="BB2548" s="1">
        <v>0.0</v>
      </c>
      <c r="BC2548" s="1">
        <v>0.0</v>
      </c>
      <c r="BD2548" s="1">
        <v>0.0</v>
      </c>
      <c r="BE2548" s="1">
        <v>0.0</v>
      </c>
      <c r="BF2548" s="1">
        <v>0.0</v>
      </c>
      <c r="BG2548" s="1">
        <v>0.0</v>
      </c>
      <c r="BH2548" s="1">
        <v>0.0</v>
      </c>
      <c r="BI2548" s="1">
        <v>0.0</v>
      </c>
      <c r="BJ2548" s="1">
        <v>0.0</v>
      </c>
      <c r="BP2548" s="1">
        <v>0.273</v>
      </c>
      <c r="BQ2548" s="1" t="s">
        <v>6415</v>
      </c>
      <c r="BV2548" s="1">
        <v>1.1</v>
      </c>
      <c r="EQ2548" s="9" t="s">
        <v>7993</v>
      </c>
      <c r="ER2548" s="21">
        <v>46045.30299768518</v>
      </c>
    </row>
    <row r="2549">
      <c r="A2549" s="9" t="s">
        <v>7994</v>
      </c>
      <c r="B2549" s="20" t="str">
        <f>IFERROR(__xludf.DUMMYFUNCTION("REGEXREPLACE(A2549, ""^https?://[^/]+"", """")"),"/wp-content/themes/salesxceleratione/assets/css/style.css?ver=1769123649")</f>
        <v>/wp-content/themes/salesxceleratione/assets/css/style.css?ver=1769123649</v>
      </c>
      <c r="F2549" s="1" t="s">
        <v>1016</v>
      </c>
      <c r="G2549" s="1">
        <v>200.0</v>
      </c>
      <c r="H2549" s="1" t="s">
        <v>966</v>
      </c>
      <c r="I2549" s="1" t="s">
        <v>967</v>
      </c>
      <c r="L2549" s="1">
        <v>0.0</v>
      </c>
      <c r="M2549" s="1">
        <v>0.0</v>
      </c>
      <c r="O2549" s="1">
        <v>0.0</v>
      </c>
      <c r="P2549" s="1">
        <v>0.0</v>
      </c>
      <c r="R2549" s="1">
        <v>0.0</v>
      </c>
      <c r="S2549" s="1">
        <v>0.0</v>
      </c>
      <c r="U2549" s="1">
        <v>0.0</v>
      </c>
      <c r="W2549" s="1">
        <v>0.0</v>
      </c>
      <c r="Y2549" s="1">
        <v>0.0</v>
      </c>
      <c r="AA2549" s="1">
        <v>0.0</v>
      </c>
      <c r="AC2549" s="1">
        <v>0.0</v>
      </c>
      <c r="AM2549" s="1">
        <v>17704.0</v>
      </c>
      <c r="AN2549" s="1">
        <v>17704.0</v>
      </c>
      <c r="AO2549" s="1">
        <v>17704.0</v>
      </c>
      <c r="AP2549" s="1">
        <v>6.782</v>
      </c>
      <c r="AR2549" s="1">
        <v>0.0</v>
      </c>
      <c r="AW2549" s="1">
        <v>0.0</v>
      </c>
      <c r="AX2549" s="1">
        <v>5.0</v>
      </c>
      <c r="AY2549" s="1">
        <v>5.0</v>
      </c>
      <c r="BA2549" s="1">
        <v>0.0</v>
      </c>
      <c r="BB2549" s="1">
        <v>0.0</v>
      </c>
      <c r="BC2549" s="1">
        <v>0.0</v>
      </c>
      <c r="BD2549" s="1">
        <v>0.0</v>
      </c>
      <c r="BE2549" s="1">
        <v>0.0</v>
      </c>
      <c r="BF2549" s="1">
        <v>0.0</v>
      </c>
      <c r="BG2549" s="1">
        <v>0.0</v>
      </c>
      <c r="BH2549" s="1">
        <v>0.0</v>
      </c>
      <c r="BI2549" s="1">
        <v>0.0</v>
      </c>
      <c r="BJ2549" s="1">
        <v>0.0</v>
      </c>
      <c r="BP2549" s="1">
        <v>0.271</v>
      </c>
      <c r="BQ2549" s="1" t="s">
        <v>7995</v>
      </c>
      <c r="BV2549" s="1">
        <v>1.1</v>
      </c>
      <c r="EQ2549" s="9" t="s">
        <v>7994</v>
      </c>
      <c r="ER2549" s="21">
        <v>46045.30299768518</v>
      </c>
    </row>
    <row r="2550">
      <c r="A2550" s="9" t="s">
        <v>7996</v>
      </c>
      <c r="B2550" s="20" t="str">
        <f>IFERROR(__xludf.DUMMYFUNCTION("REGEXREPLACE(A2550, ""^https?://[^/]+"", """")"),"/wp-content/uploads/2022/03/Sales-Infrastructure-Meeting-2048x2048.jpg")</f>
        <v>/wp-content/uploads/2022/03/Sales-Infrastructure-Meeting-2048x2048.jpg</v>
      </c>
      <c r="F2550" s="1" t="s">
        <v>1004</v>
      </c>
      <c r="G2550" s="1">
        <v>200.0</v>
      </c>
      <c r="H2550" s="1" t="s">
        <v>966</v>
      </c>
      <c r="I2550" s="1" t="s">
        <v>967</v>
      </c>
      <c r="L2550" s="1">
        <v>0.0</v>
      </c>
      <c r="M2550" s="1">
        <v>0.0</v>
      </c>
      <c r="O2550" s="1">
        <v>0.0</v>
      </c>
      <c r="P2550" s="1">
        <v>0.0</v>
      </c>
      <c r="R2550" s="1">
        <v>0.0</v>
      </c>
      <c r="S2550" s="1">
        <v>0.0</v>
      </c>
      <c r="U2550" s="1">
        <v>0.0</v>
      </c>
      <c r="W2550" s="1">
        <v>0.0</v>
      </c>
      <c r="Y2550" s="1">
        <v>0.0</v>
      </c>
      <c r="AA2550" s="1">
        <v>0.0</v>
      </c>
      <c r="AC2550" s="1">
        <v>0.0</v>
      </c>
      <c r="AM2550" s="1">
        <v>355893.0</v>
      </c>
      <c r="AN2550" s="1">
        <v>355893.0</v>
      </c>
      <c r="AO2550" s="1">
        <v>355893.0</v>
      </c>
      <c r="AP2550" s="1">
        <v>136.336</v>
      </c>
      <c r="AR2550" s="1">
        <v>0.0</v>
      </c>
      <c r="AW2550" s="1">
        <v>0.0</v>
      </c>
      <c r="AX2550" s="1">
        <v>5.0</v>
      </c>
      <c r="AY2550" s="1">
        <v>4.0</v>
      </c>
      <c r="BA2550" s="1">
        <v>0.0</v>
      </c>
      <c r="BB2550" s="1">
        <v>0.0</v>
      </c>
      <c r="BC2550" s="1">
        <v>0.0</v>
      </c>
      <c r="BD2550" s="1">
        <v>0.0</v>
      </c>
      <c r="BE2550" s="1">
        <v>0.0</v>
      </c>
      <c r="BF2550" s="1">
        <v>0.0</v>
      </c>
      <c r="BG2550" s="1">
        <v>0.0</v>
      </c>
      <c r="BH2550" s="1">
        <v>0.0</v>
      </c>
      <c r="BI2550" s="1">
        <v>0.0</v>
      </c>
      <c r="BJ2550" s="1">
        <v>0.0</v>
      </c>
      <c r="BP2550" s="1">
        <v>0.265</v>
      </c>
      <c r="BQ2550" s="1" t="s">
        <v>7997</v>
      </c>
      <c r="BV2550" s="1">
        <v>1.1</v>
      </c>
      <c r="EQ2550" s="9" t="s">
        <v>7996</v>
      </c>
      <c r="ER2550" s="21">
        <v>46045.30299768518</v>
      </c>
    </row>
    <row r="2551">
      <c r="A2551" s="9" t="s">
        <v>7998</v>
      </c>
      <c r="B2551" s="20" t="str">
        <f>IFERROR(__xludf.DUMMYFUNCTION("REGEXREPLACE(A2551, ""^https?://[^/]+"", """")"),"/wp-content/uploads/2022/04/hiring-sales-talent-500-1.jpeg")</f>
        <v>/wp-content/uploads/2022/04/hiring-sales-talent-500-1.jpeg</v>
      </c>
      <c r="F2551" s="1" t="s">
        <v>1004</v>
      </c>
      <c r="G2551" s="1">
        <v>200.0</v>
      </c>
      <c r="H2551" s="1" t="s">
        <v>966</v>
      </c>
      <c r="I2551" s="1" t="s">
        <v>967</v>
      </c>
      <c r="L2551" s="1">
        <v>0.0</v>
      </c>
      <c r="M2551" s="1">
        <v>0.0</v>
      </c>
      <c r="O2551" s="1">
        <v>0.0</v>
      </c>
      <c r="P2551" s="1">
        <v>0.0</v>
      </c>
      <c r="R2551" s="1">
        <v>0.0</v>
      </c>
      <c r="S2551" s="1">
        <v>0.0</v>
      </c>
      <c r="U2551" s="1">
        <v>0.0</v>
      </c>
      <c r="W2551" s="1">
        <v>0.0</v>
      </c>
      <c r="Y2551" s="1">
        <v>0.0</v>
      </c>
      <c r="AA2551" s="1">
        <v>0.0</v>
      </c>
      <c r="AC2551" s="1">
        <v>0.0</v>
      </c>
      <c r="AM2551" s="1">
        <v>53856.0</v>
      </c>
      <c r="AN2551" s="1">
        <v>53856.0</v>
      </c>
      <c r="AO2551" s="1">
        <v>53856.0</v>
      </c>
      <c r="AP2551" s="1">
        <v>20.631</v>
      </c>
      <c r="AR2551" s="1">
        <v>0.0</v>
      </c>
      <c r="AW2551" s="1">
        <v>0.0</v>
      </c>
      <c r="AX2551" s="1">
        <v>5.0</v>
      </c>
      <c r="AY2551" s="1">
        <v>4.0</v>
      </c>
      <c r="BA2551" s="1">
        <v>0.0</v>
      </c>
      <c r="BB2551" s="1">
        <v>0.0</v>
      </c>
      <c r="BC2551" s="1">
        <v>0.0</v>
      </c>
      <c r="BD2551" s="1">
        <v>0.0</v>
      </c>
      <c r="BE2551" s="1">
        <v>0.0</v>
      </c>
      <c r="BF2551" s="1">
        <v>0.0</v>
      </c>
      <c r="BG2551" s="1">
        <v>0.0</v>
      </c>
      <c r="BH2551" s="1">
        <v>0.0</v>
      </c>
      <c r="BI2551" s="1">
        <v>0.0</v>
      </c>
      <c r="BJ2551" s="1">
        <v>0.0</v>
      </c>
      <c r="BP2551" s="1">
        <v>0.271</v>
      </c>
      <c r="BQ2551" s="1" t="s">
        <v>7999</v>
      </c>
      <c r="BV2551" s="1">
        <v>1.1</v>
      </c>
      <c r="EQ2551" s="9" t="s">
        <v>7998</v>
      </c>
      <c r="ER2551" s="21">
        <v>46045.30299768518</v>
      </c>
    </row>
    <row r="2552">
      <c r="A2552" s="9" t="s">
        <v>8000</v>
      </c>
      <c r="B2552" s="20" t="str">
        <f>IFERROR(__xludf.DUMMYFUNCTION("REGEXREPLACE(A2552, ""^https?://[^/]+"", """")"),"/wp-content/uploads/2022/10/Onboarding-2048x2048.jpg")</f>
        <v>/wp-content/uploads/2022/10/Onboarding-2048x2048.jpg</v>
      </c>
      <c r="F2552" s="1" t="s">
        <v>1004</v>
      </c>
      <c r="G2552" s="1">
        <v>200.0</v>
      </c>
      <c r="H2552" s="1" t="s">
        <v>966</v>
      </c>
      <c r="I2552" s="1" t="s">
        <v>967</v>
      </c>
      <c r="L2552" s="1">
        <v>0.0</v>
      </c>
      <c r="M2552" s="1">
        <v>0.0</v>
      </c>
      <c r="O2552" s="1">
        <v>0.0</v>
      </c>
      <c r="P2552" s="1">
        <v>0.0</v>
      </c>
      <c r="R2552" s="1">
        <v>0.0</v>
      </c>
      <c r="S2552" s="1">
        <v>0.0</v>
      </c>
      <c r="U2552" s="1">
        <v>0.0</v>
      </c>
      <c r="W2552" s="1">
        <v>0.0</v>
      </c>
      <c r="Y2552" s="1">
        <v>0.0</v>
      </c>
      <c r="AA2552" s="1">
        <v>0.0</v>
      </c>
      <c r="AC2552" s="1">
        <v>0.0</v>
      </c>
      <c r="AM2552" s="1">
        <v>200401.0</v>
      </c>
      <c r="AN2552" s="1">
        <v>200401.0</v>
      </c>
      <c r="AO2552" s="1">
        <v>200401.0</v>
      </c>
      <c r="AP2552" s="1">
        <v>76.77</v>
      </c>
      <c r="AR2552" s="1">
        <v>0.0</v>
      </c>
      <c r="AW2552" s="1">
        <v>0.0</v>
      </c>
      <c r="AX2552" s="1">
        <v>5.0</v>
      </c>
      <c r="AY2552" s="1">
        <v>4.0</v>
      </c>
      <c r="BA2552" s="1">
        <v>0.0</v>
      </c>
      <c r="BB2552" s="1">
        <v>0.0</v>
      </c>
      <c r="BC2552" s="1">
        <v>0.0</v>
      </c>
      <c r="BD2552" s="1">
        <v>0.0</v>
      </c>
      <c r="BE2552" s="1">
        <v>0.0</v>
      </c>
      <c r="BF2552" s="1">
        <v>0.0</v>
      </c>
      <c r="BG2552" s="1">
        <v>0.0</v>
      </c>
      <c r="BH2552" s="1">
        <v>0.0</v>
      </c>
      <c r="BI2552" s="1">
        <v>0.0</v>
      </c>
      <c r="BJ2552" s="1">
        <v>0.0</v>
      </c>
      <c r="BP2552" s="1">
        <v>0.289</v>
      </c>
      <c r="BQ2552" s="1" t="s">
        <v>6417</v>
      </c>
      <c r="BV2552" s="1">
        <v>1.1</v>
      </c>
      <c r="EQ2552" s="9" t="s">
        <v>8000</v>
      </c>
      <c r="ER2552" s="21">
        <v>46045.30299768518</v>
      </c>
    </row>
    <row r="2553">
      <c r="A2553" s="9" t="s">
        <v>8001</v>
      </c>
      <c r="B2553" s="20" t="str">
        <f>IFERROR(__xludf.DUMMYFUNCTION("REGEXREPLACE(A2553, ""^https?://[^/]+"", """")"),"/one-year-salesperson-onboarding-plan/")</f>
        <v>/one-year-salesperson-onboarding-plan/</v>
      </c>
      <c r="C2553" s="1" t="s">
        <v>8002</v>
      </c>
      <c r="F2553" s="1" t="s">
        <v>965</v>
      </c>
      <c r="G2553" s="1">
        <v>200.0</v>
      </c>
      <c r="H2553" s="1" t="s">
        <v>966</v>
      </c>
      <c r="I2553" s="1" t="s">
        <v>967</v>
      </c>
      <c r="K2553" s="1" t="s">
        <v>8003</v>
      </c>
      <c r="L2553" s="1">
        <v>68.0</v>
      </c>
      <c r="M2553" s="1">
        <v>624.0</v>
      </c>
      <c r="O2553" s="1">
        <v>0.0</v>
      </c>
      <c r="P2553" s="1">
        <v>0.0</v>
      </c>
      <c r="Q2553" s="1" t="s">
        <v>8004</v>
      </c>
      <c r="R2553" s="1">
        <v>127.0</v>
      </c>
      <c r="S2553" s="1">
        <v>786.0</v>
      </c>
      <c r="U2553" s="1">
        <v>0.0</v>
      </c>
      <c r="V2553" s="1" t="s">
        <v>8002</v>
      </c>
      <c r="W2553" s="1">
        <v>36.0</v>
      </c>
      <c r="Y2553" s="1">
        <v>0.0</v>
      </c>
      <c r="AA2553" s="1">
        <v>0.0</v>
      </c>
      <c r="AC2553" s="1">
        <v>0.0</v>
      </c>
      <c r="AD2553" s="1" t="s">
        <v>971</v>
      </c>
      <c r="AG2553" s="9" t="s">
        <v>8001</v>
      </c>
      <c r="AM2553" s="1">
        <v>145639.0</v>
      </c>
      <c r="AN2553" s="1">
        <v>27728.0</v>
      </c>
      <c r="AO2553" s="1">
        <v>27728.0</v>
      </c>
      <c r="AP2553" s="1">
        <v>10.622</v>
      </c>
      <c r="AR2553" s="1">
        <v>529.0</v>
      </c>
      <c r="AS2553" s="1">
        <v>91.0</v>
      </c>
      <c r="AT2553" s="1">
        <v>5.813</v>
      </c>
      <c r="AU2553" s="1">
        <v>60.841</v>
      </c>
      <c r="AV2553" s="1" t="s">
        <v>990</v>
      </c>
      <c r="AW2553" s="1">
        <v>3.881</v>
      </c>
      <c r="AX2553" s="1">
        <v>5.0</v>
      </c>
      <c r="AY2553" s="1">
        <v>1.0</v>
      </c>
      <c r="AZ2553" s="1">
        <v>1.0</v>
      </c>
      <c r="BA2553" s="1">
        <v>1.0</v>
      </c>
      <c r="BB2553" s="1">
        <v>1.0</v>
      </c>
      <c r="BC2553" s="1">
        <v>0.0</v>
      </c>
      <c r="BD2553" s="1">
        <v>0.13</v>
      </c>
      <c r="BE2553" s="1">
        <v>122.0</v>
      </c>
      <c r="BF2553" s="1">
        <v>42.0</v>
      </c>
      <c r="BG2553" s="1">
        <v>0.0</v>
      </c>
      <c r="BH2553" s="1">
        <v>16.0</v>
      </c>
      <c r="BI2553" s="1">
        <v>8.0</v>
      </c>
      <c r="BJ2553" s="1">
        <v>0.0</v>
      </c>
      <c r="BO2553" s="1" t="s">
        <v>8005</v>
      </c>
      <c r="BP2553" s="1">
        <v>0.957</v>
      </c>
      <c r="BU2553" s="1" t="s">
        <v>974</v>
      </c>
      <c r="BV2553" s="1">
        <v>1.1</v>
      </c>
      <c r="EQ2553" s="9" t="s">
        <v>8001</v>
      </c>
      <c r="ER2553" s="21">
        <v>46045.30299768518</v>
      </c>
    </row>
    <row r="2554">
      <c r="A2554" s="9" t="s">
        <v>8006</v>
      </c>
      <c r="B2554" s="20" t="str">
        <f>IFERROR(__xludf.DUMMYFUNCTION("REGEXREPLACE(A2554, ""^https?://[^/]+"", """")"),"/wp-content/uploads/2023/02/Hiring-Smarter.jpg")</f>
        <v>/wp-content/uploads/2023/02/Hiring-Smarter.jpg</v>
      </c>
      <c r="F2554" s="1" t="s">
        <v>1004</v>
      </c>
      <c r="G2554" s="1">
        <v>200.0</v>
      </c>
      <c r="H2554" s="1" t="s">
        <v>966</v>
      </c>
      <c r="I2554" s="1" t="s">
        <v>967</v>
      </c>
      <c r="L2554" s="1">
        <v>0.0</v>
      </c>
      <c r="M2554" s="1">
        <v>0.0</v>
      </c>
      <c r="O2554" s="1">
        <v>0.0</v>
      </c>
      <c r="P2554" s="1">
        <v>0.0</v>
      </c>
      <c r="R2554" s="1">
        <v>0.0</v>
      </c>
      <c r="S2554" s="1">
        <v>0.0</v>
      </c>
      <c r="U2554" s="1">
        <v>0.0</v>
      </c>
      <c r="W2554" s="1">
        <v>0.0</v>
      </c>
      <c r="Y2554" s="1">
        <v>0.0</v>
      </c>
      <c r="AA2554" s="1">
        <v>0.0</v>
      </c>
      <c r="AC2554" s="1">
        <v>0.0</v>
      </c>
      <c r="AM2554" s="1">
        <v>159033.0</v>
      </c>
      <c r="AN2554" s="1">
        <v>159033.0</v>
      </c>
      <c r="AO2554" s="1">
        <v>159033.0</v>
      </c>
      <c r="AP2554" s="1">
        <v>60.923</v>
      </c>
      <c r="AR2554" s="1">
        <v>0.0</v>
      </c>
      <c r="AW2554" s="1">
        <v>0.0</v>
      </c>
      <c r="AX2554" s="1">
        <v>5.0</v>
      </c>
      <c r="AY2554" s="1">
        <v>4.0</v>
      </c>
      <c r="BA2554" s="1">
        <v>0.0</v>
      </c>
      <c r="BB2554" s="1">
        <v>0.0</v>
      </c>
      <c r="BC2554" s="1">
        <v>0.0</v>
      </c>
      <c r="BD2554" s="1">
        <v>0.0</v>
      </c>
      <c r="BE2554" s="1">
        <v>0.0</v>
      </c>
      <c r="BF2554" s="1">
        <v>0.0</v>
      </c>
      <c r="BG2554" s="1">
        <v>0.0</v>
      </c>
      <c r="BH2554" s="1">
        <v>0.0</v>
      </c>
      <c r="BI2554" s="1">
        <v>0.0</v>
      </c>
      <c r="BJ2554" s="1">
        <v>0.0</v>
      </c>
      <c r="BP2554" s="1">
        <v>0.274</v>
      </c>
      <c r="BQ2554" s="1" t="s">
        <v>8007</v>
      </c>
      <c r="BV2554" s="1">
        <v>1.1</v>
      </c>
      <c r="EQ2554" s="9" t="s">
        <v>8006</v>
      </c>
      <c r="ER2554" s="21">
        <v>46045.30300925926</v>
      </c>
    </row>
    <row r="2555">
      <c r="A2555" s="9" t="s">
        <v>8008</v>
      </c>
      <c r="B2555" s="20" t="str">
        <f>IFERROR(__xludf.DUMMYFUNCTION("REGEXREPLACE(A2555, ""^https?://[^/]+"", """")"),"/wp-content/uploads/2022/08/sales-jobs-are-changing.jpg")</f>
        <v>/wp-content/uploads/2022/08/sales-jobs-are-changing.jpg</v>
      </c>
      <c r="F2555" s="1" t="s">
        <v>1004</v>
      </c>
      <c r="G2555" s="1">
        <v>200.0</v>
      </c>
      <c r="H2555" s="1" t="s">
        <v>966</v>
      </c>
      <c r="I2555" s="1" t="s">
        <v>967</v>
      </c>
      <c r="L2555" s="1">
        <v>0.0</v>
      </c>
      <c r="M2555" s="1">
        <v>0.0</v>
      </c>
      <c r="O2555" s="1">
        <v>0.0</v>
      </c>
      <c r="P2555" s="1">
        <v>0.0</v>
      </c>
      <c r="R2555" s="1">
        <v>0.0</v>
      </c>
      <c r="S2555" s="1">
        <v>0.0</v>
      </c>
      <c r="U2555" s="1">
        <v>0.0</v>
      </c>
      <c r="W2555" s="1">
        <v>0.0</v>
      </c>
      <c r="Y2555" s="1">
        <v>0.0</v>
      </c>
      <c r="AA2555" s="1">
        <v>0.0</v>
      </c>
      <c r="AC2555" s="1">
        <v>0.0</v>
      </c>
      <c r="AM2555" s="1">
        <v>73040.0</v>
      </c>
      <c r="AN2555" s="1">
        <v>73040.0</v>
      </c>
      <c r="AO2555" s="1">
        <v>73040.0</v>
      </c>
      <c r="AP2555" s="1">
        <v>27.98</v>
      </c>
      <c r="AR2555" s="1">
        <v>0.0</v>
      </c>
      <c r="AW2555" s="1">
        <v>0.0</v>
      </c>
      <c r="AX2555" s="1">
        <v>5.0</v>
      </c>
      <c r="AY2555" s="1">
        <v>4.0</v>
      </c>
      <c r="BA2555" s="1">
        <v>0.0</v>
      </c>
      <c r="BB2555" s="1">
        <v>0.0</v>
      </c>
      <c r="BC2555" s="1">
        <v>0.0</v>
      </c>
      <c r="BD2555" s="1">
        <v>0.0</v>
      </c>
      <c r="BE2555" s="1">
        <v>0.0</v>
      </c>
      <c r="BF2555" s="1">
        <v>0.0</v>
      </c>
      <c r="BG2555" s="1">
        <v>0.0</v>
      </c>
      <c r="BH2555" s="1">
        <v>0.0</v>
      </c>
      <c r="BI2555" s="1">
        <v>0.0</v>
      </c>
      <c r="BJ2555" s="1">
        <v>0.0</v>
      </c>
      <c r="BP2555" s="1">
        <v>0.282</v>
      </c>
      <c r="BQ2555" s="1" t="s">
        <v>8009</v>
      </c>
      <c r="BV2555" s="1">
        <v>1.1</v>
      </c>
      <c r="EQ2555" s="9" t="s">
        <v>8008</v>
      </c>
      <c r="ER2555" s="21">
        <v>46045.30300925926</v>
      </c>
    </row>
    <row r="2556">
      <c r="A2556" s="9" t="s">
        <v>8010</v>
      </c>
      <c r="B2556" s="20" t="str">
        <f>IFERROR(__xludf.DUMMYFUNCTION("REGEXREPLACE(A2556, ""^https?://[^/]+"", """")"),"/wp-content/uploads/2022/04/Callen-Todd-275x275-1-100x100.jpg")</f>
        <v>/wp-content/uploads/2022/04/Callen-Todd-275x275-1-100x100.jpg</v>
      </c>
      <c r="F2556" s="1" t="s">
        <v>1004</v>
      </c>
      <c r="G2556" s="1">
        <v>200.0</v>
      </c>
      <c r="H2556" s="1" t="s">
        <v>966</v>
      </c>
      <c r="I2556" s="1" t="s">
        <v>967</v>
      </c>
      <c r="L2556" s="1">
        <v>0.0</v>
      </c>
      <c r="M2556" s="1">
        <v>0.0</v>
      </c>
      <c r="O2556" s="1">
        <v>0.0</v>
      </c>
      <c r="P2556" s="1">
        <v>0.0</v>
      </c>
      <c r="R2556" s="1">
        <v>0.0</v>
      </c>
      <c r="S2556" s="1">
        <v>0.0</v>
      </c>
      <c r="U2556" s="1">
        <v>0.0</v>
      </c>
      <c r="W2556" s="1">
        <v>0.0</v>
      </c>
      <c r="Y2556" s="1">
        <v>0.0</v>
      </c>
      <c r="AA2556" s="1">
        <v>0.0</v>
      </c>
      <c r="AC2556" s="1">
        <v>0.0</v>
      </c>
      <c r="AM2556" s="1">
        <v>2628.0</v>
      </c>
      <c r="AN2556" s="1">
        <v>2628.0</v>
      </c>
      <c r="AO2556" s="1">
        <v>2628.0</v>
      </c>
      <c r="AP2556" s="1">
        <v>1.007</v>
      </c>
      <c r="AR2556" s="1">
        <v>0.0</v>
      </c>
      <c r="AW2556" s="1">
        <v>0.0</v>
      </c>
      <c r="AX2556" s="1">
        <v>5.0</v>
      </c>
      <c r="AY2556" s="1">
        <v>4.0</v>
      </c>
      <c r="BA2556" s="1">
        <v>0.0</v>
      </c>
      <c r="BB2556" s="1">
        <v>0.0</v>
      </c>
      <c r="BC2556" s="1">
        <v>0.0</v>
      </c>
      <c r="BD2556" s="1">
        <v>0.0</v>
      </c>
      <c r="BE2556" s="1">
        <v>0.0</v>
      </c>
      <c r="BF2556" s="1">
        <v>0.0</v>
      </c>
      <c r="BG2556" s="1">
        <v>0.0</v>
      </c>
      <c r="BH2556" s="1">
        <v>0.0</v>
      </c>
      <c r="BI2556" s="1">
        <v>0.0</v>
      </c>
      <c r="BJ2556" s="1">
        <v>0.0</v>
      </c>
      <c r="BP2556" s="1">
        <v>0.266</v>
      </c>
      <c r="BQ2556" s="1" t="s">
        <v>8011</v>
      </c>
      <c r="BV2556" s="1">
        <v>1.1</v>
      </c>
      <c r="EQ2556" s="9" t="s">
        <v>8010</v>
      </c>
      <c r="ER2556" s="21">
        <v>46045.30300925926</v>
      </c>
    </row>
    <row r="2557">
      <c r="A2557" s="9" t="s">
        <v>8012</v>
      </c>
      <c r="B2557" s="20" t="str">
        <f>IFERROR(__xludf.DUMMYFUNCTION("REGEXREPLACE(A2557, ""^https?://[^/]+"", """")"),"/wp-content/uploads/2022/03/Sales-Group-Meeting-2048x2048.jpg")</f>
        <v>/wp-content/uploads/2022/03/Sales-Group-Meeting-2048x2048.jpg</v>
      </c>
      <c r="F2557" s="1" t="s">
        <v>1004</v>
      </c>
      <c r="G2557" s="1">
        <v>200.0</v>
      </c>
      <c r="H2557" s="1" t="s">
        <v>966</v>
      </c>
      <c r="I2557" s="1" t="s">
        <v>967</v>
      </c>
      <c r="L2557" s="1">
        <v>0.0</v>
      </c>
      <c r="M2557" s="1">
        <v>0.0</v>
      </c>
      <c r="O2557" s="1">
        <v>0.0</v>
      </c>
      <c r="P2557" s="1">
        <v>0.0</v>
      </c>
      <c r="R2557" s="1">
        <v>0.0</v>
      </c>
      <c r="S2557" s="1">
        <v>0.0</v>
      </c>
      <c r="U2557" s="1">
        <v>0.0</v>
      </c>
      <c r="W2557" s="1">
        <v>0.0</v>
      </c>
      <c r="Y2557" s="1">
        <v>0.0</v>
      </c>
      <c r="AA2557" s="1">
        <v>0.0</v>
      </c>
      <c r="AC2557" s="1">
        <v>0.0</v>
      </c>
      <c r="AM2557" s="1">
        <v>425802.0</v>
      </c>
      <c r="AN2557" s="1">
        <v>425802.0</v>
      </c>
      <c r="AO2557" s="1">
        <v>425802.0</v>
      </c>
      <c r="AP2557" s="1">
        <v>163.117</v>
      </c>
      <c r="AR2557" s="1">
        <v>0.0</v>
      </c>
      <c r="AW2557" s="1">
        <v>0.0</v>
      </c>
      <c r="AX2557" s="1">
        <v>5.0</v>
      </c>
      <c r="AY2557" s="1">
        <v>4.0</v>
      </c>
      <c r="BA2557" s="1">
        <v>0.0</v>
      </c>
      <c r="BB2557" s="1">
        <v>0.0</v>
      </c>
      <c r="BC2557" s="1">
        <v>0.0</v>
      </c>
      <c r="BD2557" s="1">
        <v>0.0</v>
      </c>
      <c r="BE2557" s="1">
        <v>0.0</v>
      </c>
      <c r="BF2557" s="1">
        <v>0.0</v>
      </c>
      <c r="BG2557" s="1">
        <v>0.0</v>
      </c>
      <c r="BH2557" s="1">
        <v>0.0</v>
      </c>
      <c r="BI2557" s="1">
        <v>0.0</v>
      </c>
      <c r="BJ2557" s="1">
        <v>0.0</v>
      </c>
      <c r="BP2557" s="1">
        <v>0.269</v>
      </c>
      <c r="BQ2557" s="1" t="s">
        <v>6354</v>
      </c>
      <c r="BV2557" s="1">
        <v>1.1</v>
      </c>
      <c r="EQ2557" s="9" t="s">
        <v>8012</v>
      </c>
      <c r="ER2557" s="21">
        <v>46045.30300925926</v>
      </c>
    </row>
    <row r="2558">
      <c r="A2558" s="9" t="s">
        <v>8013</v>
      </c>
      <c r="B2558" s="20" t="str">
        <f>IFERROR(__xludf.DUMMYFUNCTION("REGEXREPLACE(A2558, ""^https?://[^/]+"", """")"),"/wp-content/themes/salesxceleratione/assets/css/style.css?ver=1769123648")</f>
        <v>/wp-content/themes/salesxceleratione/assets/css/style.css?ver=1769123648</v>
      </c>
      <c r="F2558" s="1" t="s">
        <v>1016</v>
      </c>
      <c r="G2558" s="1">
        <v>200.0</v>
      </c>
      <c r="H2558" s="1" t="s">
        <v>966</v>
      </c>
      <c r="I2558" s="1" t="s">
        <v>967</v>
      </c>
      <c r="L2558" s="1">
        <v>0.0</v>
      </c>
      <c r="M2558" s="1">
        <v>0.0</v>
      </c>
      <c r="O2558" s="1">
        <v>0.0</v>
      </c>
      <c r="P2558" s="1">
        <v>0.0</v>
      </c>
      <c r="R2558" s="1">
        <v>0.0</v>
      </c>
      <c r="S2558" s="1">
        <v>0.0</v>
      </c>
      <c r="U2558" s="1">
        <v>0.0</v>
      </c>
      <c r="W2558" s="1">
        <v>0.0</v>
      </c>
      <c r="Y2558" s="1">
        <v>0.0</v>
      </c>
      <c r="AA2558" s="1">
        <v>0.0</v>
      </c>
      <c r="AC2558" s="1">
        <v>0.0</v>
      </c>
      <c r="AM2558" s="1">
        <v>17704.0</v>
      </c>
      <c r="AN2558" s="1">
        <v>17704.0</v>
      </c>
      <c r="AO2558" s="1">
        <v>17704.0</v>
      </c>
      <c r="AP2558" s="1">
        <v>6.782</v>
      </c>
      <c r="AR2558" s="1">
        <v>0.0</v>
      </c>
      <c r="AW2558" s="1">
        <v>0.0</v>
      </c>
      <c r="AX2558" s="1">
        <v>5.0</v>
      </c>
      <c r="AY2558" s="1">
        <v>5.0</v>
      </c>
      <c r="BA2558" s="1">
        <v>0.0</v>
      </c>
      <c r="BB2558" s="1">
        <v>0.0</v>
      </c>
      <c r="BC2558" s="1">
        <v>0.0</v>
      </c>
      <c r="BD2558" s="1">
        <v>0.0</v>
      </c>
      <c r="BE2558" s="1">
        <v>0.0</v>
      </c>
      <c r="BF2558" s="1">
        <v>0.0</v>
      </c>
      <c r="BG2558" s="1">
        <v>0.0</v>
      </c>
      <c r="BH2558" s="1">
        <v>0.0</v>
      </c>
      <c r="BI2558" s="1">
        <v>0.0</v>
      </c>
      <c r="BJ2558" s="1">
        <v>0.0</v>
      </c>
      <c r="BP2558" s="1">
        <v>0.274</v>
      </c>
      <c r="BQ2558" s="1" t="s">
        <v>7995</v>
      </c>
      <c r="BV2558" s="1">
        <v>1.1</v>
      </c>
      <c r="EQ2558" s="9" t="s">
        <v>8013</v>
      </c>
      <c r="ER2558" s="21">
        <v>46045.30300925926</v>
      </c>
    </row>
    <row r="2559">
      <c r="A2559" s="9" t="s">
        <v>8014</v>
      </c>
      <c r="B2559" s="20" t="str">
        <f>IFERROR(__xludf.DUMMYFUNCTION("REGEXREPLACE(A2559, ""^https?://[^/]+"", """")"),"/wp-content/uploads/2022/03/Sales-Infrastructure-Meeting.jpg")</f>
        <v>/wp-content/uploads/2022/03/Sales-Infrastructure-Meeting.jpg</v>
      </c>
      <c r="F2559" s="1" t="s">
        <v>1004</v>
      </c>
      <c r="G2559" s="1">
        <v>200.0</v>
      </c>
      <c r="H2559" s="1" t="s">
        <v>966</v>
      </c>
      <c r="I2559" s="1" t="s">
        <v>967</v>
      </c>
      <c r="L2559" s="1">
        <v>0.0</v>
      </c>
      <c r="M2559" s="1">
        <v>0.0</v>
      </c>
      <c r="O2559" s="1">
        <v>0.0</v>
      </c>
      <c r="P2559" s="1">
        <v>0.0</v>
      </c>
      <c r="R2559" s="1">
        <v>0.0</v>
      </c>
      <c r="S2559" s="1">
        <v>0.0</v>
      </c>
      <c r="U2559" s="1">
        <v>0.0</v>
      </c>
      <c r="W2559" s="1">
        <v>0.0</v>
      </c>
      <c r="Y2559" s="1">
        <v>0.0</v>
      </c>
      <c r="AA2559" s="1">
        <v>0.0</v>
      </c>
      <c r="AC2559" s="1">
        <v>0.0</v>
      </c>
      <c r="AM2559" s="1">
        <v>240391.0</v>
      </c>
      <c r="AN2559" s="1">
        <v>240391.0</v>
      </c>
      <c r="AO2559" s="1">
        <v>240391.0</v>
      </c>
      <c r="AP2559" s="1">
        <v>92.089</v>
      </c>
      <c r="AR2559" s="1">
        <v>0.0</v>
      </c>
      <c r="AW2559" s="1">
        <v>0.0</v>
      </c>
      <c r="AX2559" s="1">
        <v>5.0</v>
      </c>
      <c r="AY2559" s="1">
        <v>4.0</v>
      </c>
      <c r="BA2559" s="1">
        <v>0.0</v>
      </c>
      <c r="BB2559" s="1">
        <v>0.0</v>
      </c>
      <c r="BC2559" s="1">
        <v>0.0</v>
      </c>
      <c r="BD2559" s="1">
        <v>0.0</v>
      </c>
      <c r="BE2559" s="1">
        <v>0.0</v>
      </c>
      <c r="BF2559" s="1">
        <v>0.0</v>
      </c>
      <c r="BG2559" s="1">
        <v>0.0</v>
      </c>
      <c r="BH2559" s="1">
        <v>0.0</v>
      </c>
      <c r="BI2559" s="1">
        <v>0.0</v>
      </c>
      <c r="BJ2559" s="1">
        <v>0.0</v>
      </c>
      <c r="BP2559" s="1">
        <v>0.267</v>
      </c>
      <c r="BQ2559" s="1" t="s">
        <v>8015</v>
      </c>
      <c r="BV2559" s="1">
        <v>1.1</v>
      </c>
      <c r="EQ2559" s="9" t="s">
        <v>8014</v>
      </c>
      <c r="ER2559" s="21">
        <v>46045.30302083334</v>
      </c>
    </row>
    <row r="2560">
      <c r="A2560" s="9" t="s">
        <v>8016</v>
      </c>
      <c r="B2560" s="20" t="str">
        <f>IFERROR(__xludf.DUMMYFUNCTION("REGEXREPLACE(A2560, ""^https?://[^/]+"", """")"),"/wp-content/uploads/2022/04/Finding-top-sales-talent.jpg")</f>
        <v>/wp-content/uploads/2022/04/Finding-top-sales-talent.jpg</v>
      </c>
      <c r="F2560" s="1" t="s">
        <v>1004</v>
      </c>
      <c r="G2560" s="1">
        <v>200.0</v>
      </c>
      <c r="H2560" s="1" t="s">
        <v>966</v>
      </c>
      <c r="I2560" s="1" t="s">
        <v>967</v>
      </c>
      <c r="L2560" s="1">
        <v>0.0</v>
      </c>
      <c r="M2560" s="1">
        <v>0.0</v>
      </c>
      <c r="O2560" s="1">
        <v>0.0</v>
      </c>
      <c r="P2560" s="1">
        <v>0.0</v>
      </c>
      <c r="R2560" s="1">
        <v>0.0</v>
      </c>
      <c r="S2560" s="1">
        <v>0.0</v>
      </c>
      <c r="U2560" s="1">
        <v>0.0</v>
      </c>
      <c r="W2560" s="1">
        <v>0.0</v>
      </c>
      <c r="Y2560" s="1">
        <v>0.0</v>
      </c>
      <c r="AA2560" s="1">
        <v>0.0</v>
      </c>
      <c r="AC2560" s="1">
        <v>0.0</v>
      </c>
      <c r="AM2560" s="1">
        <v>164866.0</v>
      </c>
      <c r="AN2560" s="1">
        <v>164866.0</v>
      </c>
      <c r="AO2560" s="1">
        <v>164866.0</v>
      </c>
      <c r="AP2560" s="1">
        <v>63.157</v>
      </c>
      <c r="AR2560" s="1">
        <v>0.0</v>
      </c>
      <c r="AW2560" s="1">
        <v>0.0</v>
      </c>
      <c r="AX2560" s="1">
        <v>5.0</v>
      </c>
      <c r="AY2560" s="1">
        <v>4.0</v>
      </c>
      <c r="BA2560" s="1">
        <v>0.0</v>
      </c>
      <c r="BB2560" s="1">
        <v>0.0</v>
      </c>
      <c r="BC2560" s="1">
        <v>0.0</v>
      </c>
      <c r="BD2560" s="1">
        <v>0.0</v>
      </c>
      <c r="BE2560" s="1">
        <v>0.0</v>
      </c>
      <c r="BF2560" s="1">
        <v>0.0</v>
      </c>
      <c r="BG2560" s="1">
        <v>0.0</v>
      </c>
      <c r="BH2560" s="1">
        <v>0.0</v>
      </c>
      <c r="BI2560" s="1">
        <v>0.0</v>
      </c>
      <c r="BJ2560" s="1">
        <v>0.0</v>
      </c>
      <c r="BP2560" s="1">
        <v>0.261</v>
      </c>
      <c r="BQ2560" s="1" t="s">
        <v>8017</v>
      </c>
      <c r="BV2560" s="1">
        <v>1.1</v>
      </c>
      <c r="EQ2560" s="9" t="s">
        <v>8016</v>
      </c>
      <c r="ER2560" s="21">
        <v>46045.30302083334</v>
      </c>
    </row>
    <row r="2561">
      <c r="A2561" s="9" t="s">
        <v>8018</v>
      </c>
      <c r="B2561" s="20" t="str">
        <f>IFERROR(__xludf.DUMMYFUNCTION("REGEXREPLACE(A2561, ""^https?://[^/]+"", """")"),"/fueling-sales-by-building-the-best-sales-engine/")</f>
        <v>/fueling-sales-by-building-the-best-sales-engine/</v>
      </c>
      <c r="F2561" s="1" t="s">
        <v>965</v>
      </c>
      <c r="G2561" s="1">
        <v>301.0</v>
      </c>
      <c r="H2561" s="1" t="s">
        <v>1304</v>
      </c>
      <c r="I2561" s="1" t="s">
        <v>1214</v>
      </c>
      <c r="J2561" s="1" t="s">
        <v>1305</v>
      </c>
      <c r="L2561" s="1">
        <v>0.0</v>
      </c>
      <c r="M2561" s="1">
        <v>0.0</v>
      </c>
      <c r="O2561" s="1">
        <v>0.0</v>
      </c>
      <c r="P2561" s="1">
        <v>0.0</v>
      </c>
      <c r="R2561" s="1">
        <v>0.0</v>
      </c>
      <c r="S2561" s="1">
        <v>0.0</v>
      </c>
      <c r="U2561" s="1">
        <v>0.0</v>
      </c>
      <c r="W2561" s="1">
        <v>0.0</v>
      </c>
      <c r="Y2561" s="1">
        <v>0.0</v>
      </c>
      <c r="AA2561" s="1">
        <v>0.0</v>
      </c>
      <c r="AC2561" s="1">
        <v>0.0</v>
      </c>
      <c r="AM2561" s="1">
        <v>0.0</v>
      </c>
      <c r="AN2561" s="1">
        <v>0.0</v>
      </c>
      <c r="AO2561" s="1">
        <v>0.0</v>
      </c>
      <c r="AP2561" s="1">
        <v>0.0</v>
      </c>
      <c r="AR2561" s="1">
        <v>0.0</v>
      </c>
      <c r="AW2561" s="1">
        <v>0.0</v>
      </c>
      <c r="AX2561" s="1">
        <v>5.0</v>
      </c>
      <c r="AY2561" s="1">
        <v>1.0</v>
      </c>
      <c r="BA2561" s="1">
        <v>1.0</v>
      </c>
      <c r="BB2561" s="1">
        <v>1.0</v>
      </c>
      <c r="BC2561" s="1">
        <v>0.0</v>
      </c>
      <c r="BD2561" s="1">
        <v>0.13</v>
      </c>
      <c r="BE2561" s="1">
        <v>0.0</v>
      </c>
      <c r="BF2561" s="1">
        <v>0.0</v>
      </c>
      <c r="BG2561" s="1">
        <v>0.0</v>
      </c>
      <c r="BH2561" s="1">
        <v>0.0</v>
      </c>
      <c r="BI2561" s="1">
        <v>0.0</v>
      </c>
      <c r="BJ2561" s="1">
        <v>0.0</v>
      </c>
      <c r="BP2561" s="1">
        <v>1.136</v>
      </c>
      <c r="BR2561" s="9" t="s">
        <v>8019</v>
      </c>
      <c r="BS2561" s="1" t="s">
        <v>1307</v>
      </c>
      <c r="BV2561" s="1">
        <v>1.1</v>
      </c>
      <c r="EQ2561" s="9" t="s">
        <v>8018</v>
      </c>
      <c r="ER2561" s="21">
        <v>46045.30302083334</v>
      </c>
    </row>
    <row r="2562">
      <c r="A2562" s="9" t="s">
        <v>8020</v>
      </c>
      <c r="B2562" s="20" t="str">
        <f>IFERROR(__xludf.DUMMYFUNCTION("REGEXREPLACE(A2562, ""^https?://[^/]+"", """")"),"/sales-agility-assessment/?locationid=29377935")</f>
        <v>/sales-agility-assessment/?locationid=29377935</v>
      </c>
      <c r="C2562" s="1" t="s">
        <v>1381</v>
      </c>
      <c r="F2562" s="1" t="s">
        <v>965</v>
      </c>
      <c r="G2562" s="1">
        <v>200.0</v>
      </c>
      <c r="H2562" s="1" t="s">
        <v>966</v>
      </c>
      <c r="I2562" s="1" t="s">
        <v>1214</v>
      </c>
      <c r="J2562" s="1" t="s">
        <v>1215</v>
      </c>
      <c r="K2562" s="1" t="s">
        <v>1382</v>
      </c>
      <c r="L2562" s="1">
        <v>79.0</v>
      </c>
      <c r="M2562" s="1">
        <v>719.0</v>
      </c>
      <c r="O2562" s="1">
        <v>0.0</v>
      </c>
      <c r="P2562" s="1">
        <v>0.0</v>
      </c>
      <c r="Q2562" s="1" t="s">
        <v>1383</v>
      </c>
      <c r="R2562" s="1">
        <v>155.0</v>
      </c>
      <c r="S2562" s="1">
        <v>970.0</v>
      </c>
      <c r="U2562" s="1">
        <v>0.0</v>
      </c>
      <c r="V2562" s="1" t="s">
        <v>1381</v>
      </c>
      <c r="W2562" s="1">
        <v>31.0</v>
      </c>
      <c r="Y2562" s="1">
        <v>0.0</v>
      </c>
      <c r="AA2562" s="1">
        <v>0.0</v>
      </c>
      <c r="AC2562" s="1">
        <v>0.0</v>
      </c>
      <c r="AD2562" s="1" t="s">
        <v>971</v>
      </c>
      <c r="AG2562" s="9" t="s">
        <v>1380</v>
      </c>
      <c r="AM2562" s="1">
        <v>221354.0</v>
      </c>
      <c r="AN2562" s="1">
        <v>43058.0</v>
      </c>
      <c r="AO2562" s="1">
        <v>43058.0</v>
      </c>
      <c r="AP2562" s="1">
        <v>16.495</v>
      </c>
      <c r="AR2562" s="1">
        <v>1077.0</v>
      </c>
      <c r="AS2562" s="1">
        <v>195.0</v>
      </c>
      <c r="AT2562" s="1">
        <v>5.523</v>
      </c>
      <c r="AU2562" s="1">
        <v>72.169</v>
      </c>
      <c r="AV2562" s="1" t="s">
        <v>1264</v>
      </c>
      <c r="AW2562" s="1">
        <v>5.467</v>
      </c>
      <c r="AX2562" s="1">
        <v>5.0</v>
      </c>
      <c r="AY2562" s="1">
        <v>1.0</v>
      </c>
      <c r="BA2562" s="1">
        <v>3.0</v>
      </c>
      <c r="BB2562" s="1">
        <v>3.0</v>
      </c>
      <c r="BC2562" s="1">
        <v>0.0</v>
      </c>
      <c r="BD2562" s="1">
        <v>0.4</v>
      </c>
      <c r="BE2562" s="1">
        <v>121.0</v>
      </c>
      <c r="BF2562" s="1">
        <v>42.0</v>
      </c>
      <c r="BG2562" s="1">
        <v>0.0</v>
      </c>
      <c r="BH2562" s="1">
        <v>16.0</v>
      </c>
      <c r="BI2562" s="1">
        <v>8.0</v>
      </c>
      <c r="BJ2562" s="1">
        <v>0.0</v>
      </c>
      <c r="BO2562" s="1" t="s">
        <v>8021</v>
      </c>
      <c r="BP2562" s="1">
        <v>1.364</v>
      </c>
      <c r="BU2562" s="1" t="s">
        <v>974</v>
      </c>
      <c r="BV2562" s="1">
        <v>1.1</v>
      </c>
      <c r="EQ2562" s="9" t="s">
        <v>8020</v>
      </c>
      <c r="ER2562" s="21">
        <v>46045.30300925926</v>
      </c>
    </row>
    <row r="2563">
      <c r="A2563" s="9" t="s">
        <v>8022</v>
      </c>
      <c r="B2563" s="20" t="str">
        <f>IFERROR(__xludf.DUMMYFUNCTION("REGEXREPLACE(A2563, ""^https?://[^/]+"", """")"),"/sales-hiring-skills-assessment/")</f>
        <v>/sales-hiring-skills-assessment/</v>
      </c>
      <c r="F2563" s="1" t="s">
        <v>965</v>
      </c>
      <c r="G2563" s="1">
        <v>301.0</v>
      </c>
      <c r="H2563" s="1" t="s">
        <v>1304</v>
      </c>
      <c r="I2563" s="1" t="s">
        <v>1214</v>
      </c>
      <c r="J2563" s="1" t="s">
        <v>1305</v>
      </c>
      <c r="L2563" s="1">
        <v>0.0</v>
      </c>
      <c r="M2563" s="1">
        <v>0.0</v>
      </c>
      <c r="O2563" s="1">
        <v>0.0</v>
      </c>
      <c r="P2563" s="1">
        <v>0.0</v>
      </c>
      <c r="R2563" s="1">
        <v>0.0</v>
      </c>
      <c r="S2563" s="1">
        <v>0.0</v>
      </c>
      <c r="U2563" s="1">
        <v>0.0</v>
      </c>
      <c r="W2563" s="1">
        <v>0.0</v>
      </c>
      <c r="Y2563" s="1">
        <v>0.0</v>
      </c>
      <c r="AA2563" s="1">
        <v>0.0</v>
      </c>
      <c r="AC2563" s="1">
        <v>0.0</v>
      </c>
      <c r="AM2563" s="1">
        <v>0.0</v>
      </c>
      <c r="AN2563" s="1">
        <v>0.0</v>
      </c>
      <c r="AO2563" s="1">
        <v>0.0</v>
      </c>
      <c r="AP2563" s="1">
        <v>0.0</v>
      </c>
      <c r="AR2563" s="1">
        <v>0.0</v>
      </c>
      <c r="AW2563" s="1">
        <v>0.0</v>
      </c>
      <c r="AX2563" s="1">
        <v>5.0</v>
      </c>
      <c r="AY2563" s="1">
        <v>1.0</v>
      </c>
      <c r="BA2563" s="1">
        <v>2.0</v>
      </c>
      <c r="BB2563" s="1">
        <v>1.0</v>
      </c>
      <c r="BC2563" s="1">
        <v>0.0</v>
      </c>
      <c r="BD2563" s="1">
        <v>0.13</v>
      </c>
      <c r="BE2563" s="1">
        <v>0.0</v>
      </c>
      <c r="BF2563" s="1">
        <v>0.0</v>
      </c>
      <c r="BG2563" s="1">
        <v>0.0</v>
      </c>
      <c r="BH2563" s="1">
        <v>0.0</v>
      </c>
      <c r="BI2563" s="1">
        <v>0.0</v>
      </c>
      <c r="BJ2563" s="1">
        <v>0.0</v>
      </c>
      <c r="BP2563" s="1">
        <v>0.565</v>
      </c>
      <c r="BR2563" s="9" t="s">
        <v>8023</v>
      </c>
      <c r="BS2563" s="1" t="s">
        <v>1307</v>
      </c>
      <c r="BV2563" s="1">
        <v>1.1</v>
      </c>
      <c r="EQ2563" s="9" t="s">
        <v>8022</v>
      </c>
      <c r="ER2563" s="21">
        <v>46045.303032407406</v>
      </c>
    </row>
    <row r="2564">
      <c r="A2564" s="9" t="s">
        <v>8024</v>
      </c>
      <c r="B2564" s="20" t="str">
        <f>IFERROR(__xludf.DUMMYFUNCTION("REGEXREPLACE(A2564, ""^https?://[^/]+"", """")"),"/wp-content/uploads/2022/04/hiring-sales-talent-500-1-2048x2048.jpeg")</f>
        <v>/wp-content/uploads/2022/04/hiring-sales-talent-500-1-2048x2048.jpeg</v>
      </c>
      <c r="F2564" s="1" t="s">
        <v>1004</v>
      </c>
      <c r="G2564" s="1">
        <v>200.0</v>
      </c>
      <c r="H2564" s="1" t="s">
        <v>966</v>
      </c>
      <c r="I2564" s="1" t="s">
        <v>967</v>
      </c>
      <c r="L2564" s="1">
        <v>0.0</v>
      </c>
      <c r="M2564" s="1">
        <v>0.0</v>
      </c>
      <c r="O2564" s="1">
        <v>0.0</v>
      </c>
      <c r="P2564" s="1">
        <v>0.0</v>
      </c>
      <c r="R2564" s="1">
        <v>0.0</v>
      </c>
      <c r="S2564" s="1">
        <v>0.0</v>
      </c>
      <c r="U2564" s="1">
        <v>0.0</v>
      </c>
      <c r="W2564" s="1">
        <v>0.0</v>
      </c>
      <c r="Y2564" s="1">
        <v>0.0</v>
      </c>
      <c r="AA2564" s="1">
        <v>0.0</v>
      </c>
      <c r="AC2564" s="1">
        <v>0.0</v>
      </c>
      <c r="AM2564" s="1">
        <v>418595.0</v>
      </c>
      <c r="AN2564" s="1">
        <v>418595.0</v>
      </c>
      <c r="AO2564" s="1">
        <v>418595.0</v>
      </c>
      <c r="AP2564" s="1">
        <v>160.356</v>
      </c>
      <c r="AR2564" s="1">
        <v>0.0</v>
      </c>
      <c r="AW2564" s="1">
        <v>0.0</v>
      </c>
      <c r="AX2564" s="1">
        <v>5.0</v>
      </c>
      <c r="AY2564" s="1">
        <v>4.0</v>
      </c>
      <c r="BA2564" s="1">
        <v>0.0</v>
      </c>
      <c r="BB2564" s="1">
        <v>0.0</v>
      </c>
      <c r="BC2564" s="1">
        <v>0.0</v>
      </c>
      <c r="BD2564" s="1">
        <v>0.0</v>
      </c>
      <c r="BE2564" s="1">
        <v>0.0</v>
      </c>
      <c r="BF2564" s="1">
        <v>0.0</v>
      </c>
      <c r="BG2564" s="1">
        <v>0.0</v>
      </c>
      <c r="BH2564" s="1">
        <v>0.0</v>
      </c>
      <c r="BI2564" s="1">
        <v>0.0</v>
      </c>
      <c r="BJ2564" s="1">
        <v>0.0</v>
      </c>
      <c r="BP2564" s="1">
        <v>0.267</v>
      </c>
      <c r="BQ2564" s="1" t="s">
        <v>6434</v>
      </c>
      <c r="BV2564" s="1">
        <v>1.1</v>
      </c>
      <c r="EQ2564" s="9" t="s">
        <v>8024</v>
      </c>
      <c r="ER2564" s="21">
        <v>46045.303032407406</v>
      </c>
    </row>
    <row r="2565">
      <c r="A2565" s="9" t="s">
        <v>8025</v>
      </c>
      <c r="B2565" s="20" t="str">
        <f>IFERROR(__xludf.DUMMYFUNCTION("REGEXREPLACE(A2565, ""^https?://[^/]+"", """")"),"/wp-content/themes/salesxceleratione/assets/css/style.css?ver=1769123647")</f>
        <v>/wp-content/themes/salesxceleratione/assets/css/style.css?ver=1769123647</v>
      </c>
      <c r="F2565" s="1" t="s">
        <v>1016</v>
      </c>
      <c r="G2565" s="1">
        <v>200.0</v>
      </c>
      <c r="H2565" s="1" t="s">
        <v>966</v>
      </c>
      <c r="I2565" s="1" t="s">
        <v>967</v>
      </c>
      <c r="L2565" s="1">
        <v>0.0</v>
      </c>
      <c r="M2565" s="1">
        <v>0.0</v>
      </c>
      <c r="O2565" s="1">
        <v>0.0</v>
      </c>
      <c r="P2565" s="1">
        <v>0.0</v>
      </c>
      <c r="R2565" s="1">
        <v>0.0</v>
      </c>
      <c r="S2565" s="1">
        <v>0.0</v>
      </c>
      <c r="U2565" s="1">
        <v>0.0</v>
      </c>
      <c r="W2565" s="1">
        <v>0.0</v>
      </c>
      <c r="Y2565" s="1">
        <v>0.0</v>
      </c>
      <c r="AA2565" s="1">
        <v>0.0</v>
      </c>
      <c r="AC2565" s="1">
        <v>0.0</v>
      </c>
      <c r="AM2565" s="1">
        <v>11096.0</v>
      </c>
      <c r="AN2565" s="1">
        <v>11096.0</v>
      </c>
      <c r="AO2565" s="1">
        <v>11096.0</v>
      </c>
      <c r="AP2565" s="1">
        <v>4.251</v>
      </c>
      <c r="AR2565" s="1">
        <v>0.0</v>
      </c>
      <c r="AW2565" s="1">
        <v>0.0</v>
      </c>
      <c r="AX2565" s="1">
        <v>5.0</v>
      </c>
      <c r="AY2565" s="1">
        <v>5.0</v>
      </c>
      <c r="BA2565" s="1">
        <v>0.0</v>
      </c>
      <c r="BB2565" s="1">
        <v>0.0</v>
      </c>
      <c r="BC2565" s="1">
        <v>0.0</v>
      </c>
      <c r="BD2565" s="1">
        <v>0.0</v>
      </c>
      <c r="BE2565" s="1">
        <v>0.0</v>
      </c>
      <c r="BF2565" s="1">
        <v>0.0</v>
      </c>
      <c r="BG2565" s="1">
        <v>0.0</v>
      </c>
      <c r="BH2565" s="1">
        <v>0.0</v>
      </c>
      <c r="BI2565" s="1">
        <v>0.0</v>
      </c>
      <c r="BJ2565" s="1">
        <v>0.0</v>
      </c>
      <c r="BP2565" s="1">
        <v>0.266</v>
      </c>
      <c r="BQ2565" s="1" t="s">
        <v>6378</v>
      </c>
      <c r="BV2565" s="1">
        <v>1.1</v>
      </c>
      <c r="EQ2565" s="9" t="s">
        <v>8025</v>
      </c>
      <c r="ER2565" s="21">
        <v>46045.303032407406</v>
      </c>
    </row>
    <row r="2566">
      <c r="A2566" s="9" t="s">
        <v>8026</v>
      </c>
      <c r="B2566" s="20" t="str">
        <f>IFERROR(__xludf.DUMMYFUNCTION("REGEXREPLACE(A2566, ""^https?://[^/]+"", """")"),"/author/tcallen/")</f>
        <v>/author/tcallen/</v>
      </c>
      <c r="C2566" s="1" t="s">
        <v>8027</v>
      </c>
      <c r="F2566" s="1" t="s">
        <v>965</v>
      </c>
      <c r="G2566" s="1">
        <v>200.0</v>
      </c>
      <c r="H2566" s="1" t="s">
        <v>966</v>
      </c>
      <c r="I2566" s="1" t="s">
        <v>967</v>
      </c>
      <c r="K2566" s="1" t="s">
        <v>8028</v>
      </c>
      <c r="L2566" s="1">
        <v>40.0</v>
      </c>
      <c r="M2566" s="1">
        <v>359.0</v>
      </c>
      <c r="O2566" s="1">
        <v>0.0</v>
      </c>
      <c r="P2566" s="1">
        <v>0.0</v>
      </c>
      <c r="R2566" s="1">
        <v>0.0</v>
      </c>
      <c r="S2566" s="1">
        <v>0.0</v>
      </c>
      <c r="U2566" s="1">
        <v>0.0</v>
      </c>
      <c r="V2566" s="1" t="s">
        <v>8027</v>
      </c>
      <c r="W2566" s="1">
        <v>11.0</v>
      </c>
      <c r="Y2566" s="1">
        <v>0.0</v>
      </c>
      <c r="AA2566" s="1">
        <v>0.0</v>
      </c>
      <c r="AC2566" s="1">
        <v>0.0</v>
      </c>
      <c r="AD2566" s="1" t="s">
        <v>971</v>
      </c>
      <c r="AG2566" s="9" t="s">
        <v>8026</v>
      </c>
      <c r="AM2566" s="1">
        <v>153919.0</v>
      </c>
      <c r="AN2566" s="1">
        <v>30071.0</v>
      </c>
      <c r="AO2566" s="1">
        <v>30071.0</v>
      </c>
      <c r="AP2566" s="1">
        <v>11.52</v>
      </c>
      <c r="AR2566" s="1">
        <v>647.0</v>
      </c>
      <c r="AS2566" s="1">
        <v>107.0</v>
      </c>
      <c r="AT2566" s="1">
        <v>6.047</v>
      </c>
      <c r="AU2566" s="1">
        <v>63.795</v>
      </c>
      <c r="AV2566" s="1" t="s">
        <v>990</v>
      </c>
      <c r="AW2566" s="1">
        <v>4.117</v>
      </c>
      <c r="AX2566" s="1">
        <v>5.0</v>
      </c>
      <c r="AY2566" s="1">
        <v>2.0</v>
      </c>
      <c r="AZ2566" s="1">
        <v>1.0</v>
      </c>
      <c r="BA2566" s="1">
        <v>6.0</v>
      </c>
      <c r="BB2566" s="1">
        <v>2.0</v>
      </c>
      <c r="BC2566" s="1">
        <v>0.0</v>
      </c>
      <c r="BD2566" s="1">
        <v>0.27</v>
      </c>
      <c r="BE2566" s="1">
        <v>130.0</v>
      </c>
      <c r="BF2566" s="1">
        <v>46.0</v>
      </c>
      <c r="BG2566" s="1">
        <v>0.0</v>
      </c>
      <c r="BH2566" s="1">
        <v>16.0</v>
      </c>
      <c r="BI2566" s="1">
        <v>8.0</v>
      </c>
      <c r="BJ2566" s="1">
        <v>0.0</v>
      </c>
      <c r="BO2566" s="1" t="s">
        <v>8029</v>
      </c>
      <c r="BP2566" s="1">
        <v>1.582</v>
      </c>
      <c r="BU2566" s="1" t="s">
        <v>974</v>
      </c>
      <c r="BV2566" s="1">
        <v>1.1</v>
      </c>
      <c r="EQ2566" s="9" t="s">
        <v>8026</v>
      </c>
      <c r="ER2566" s="21">
        <v>46045.30302083334</v>
      </c>
    </row>
    <row r="2567">
      <c r="A2567" s="9" t="s">
        <v>8030</v>
      </c>
      <c r="B2567" s="20" t="str">
        <f>IFERROR(__xludf.DUMMYFUNCTION("REGEXREPLACE(A2567, ""^https?://[^/]+"", """")"),"/wp-content/uploads/2022/10/Onboarding.jpg")</f>
        <v>/wp-content/uploads/2022/10/Onboarding.jpg</v>
      </c>
      <c r="F2567" s="1" t="s">
        <v>1004</v>
      </c>
      <c r="G2567" s="1">
        <v>200.0</v>
      </c>
      <c r="H2567" s="1" t="s">
        <v>966</v>
      </c>
      <c r="I2567" s="1" t="s">
        <v>967</v>
      </c>
      <c r="L2567" s="1">
        <v>0.0</v>
      </c>
      <c r="M2567" s="1">
        <v>0.0</v>
      </c>
      <c r="O2567" s="1">
        <v>0.0</v>
      </c>
      <c r="P2567" s="1">
        <v>0.0</v>
      </c>
      <c r="R2567" s="1">
        <v>0.0</v>
      </c>
      <c r="S2567" s="1">
        <v>0.0</v>
      </c>
      <c r="U2567" s="1">
        <v>0.0</v>
      </c>
      <c r="W2567" s="1">
        <v>0.0</v>
      </c>
      <c r="Y2567" s="1">
        <v>0.0</v>
      </c>
      <c r="AA2567" s="1">
        <v>0.0</v>
      </c>
      <c r="AC2567" s="1">
        <v>0.0</v>
      </c>
      <c r="AM2567" s="1">
        <v>105309.0</v>
      </c>
      <c r="AN2567" s="1">
        <v>105309.0</v>
      </c>
      <c r="AO2567" s="1">
        <v>105309.0</v>
      </c>
      <c r="AP2567" s="1">
        <v>40.342</v>
      </c>
      <c r="AR2567" s="1">
        <v>0.0</v>
      </c>
      <c r="AW2567" s="1">
        <v>0.0</v>
      </c>
      <c r="AX2567" s="1">
        <v>5.0</v>
      </c>
      <c r="AY2567" s="1">
        <v>4.0</v>
      </c>
      <c r="BA2567" s="1">
        <v>0.0</v>
      </c>
      <c r="BB2567" s="1">
        <v>0.0</v>
      </c>
      <c r="BC2567" s="1">
        <v>0.0</v>
      </c>
      <c r="BD2567" s="1">
        <v>0.0</v>
      </c>
      <c r="BE2567" s="1">
        <v>0.0</v>
      </c>
      <c r="BF2567" s="1">
        <v>0.0</v>
      </c>
      <c r="BG2567" s="1">
        <v>0.0</v>
      </c>
      <c r="BH2567" s="1">
        <v>0.0</v>
      </c>
      <c r="BI2567" s="1">
        <v>0.0</v>
      </c>
      <c r="BJ2567" s="1">
        <v>0.0</v>
      </c>
      <c r="BP2567" s="1">
        <v>0.277</v>
      </c>
      <c r="BQ2567" s="1" t="s">
        <v>8031</v>
      </c>
      <c r="BV2567" s="1">
        <v>1.1</v>
      </c>
      <c r="EQ2567" s="9" t="s">
        <v>8030</v>
      </c>
      <c r="ER2567" s="21">
        <v>46045.303032407406</v>
      </c>
    </row>
    <row r="2568">
      <c r="A2568" s="9" t="s">
        <v>8032</v>
      </c>
      <c r="B2568" s="20" t="str">
        <f>IFERROR(__xludf.DUMMYFUNCTION("REGEXREPLACE(A2568, ""^https?://[^/]+"", """")"),"/wp-content/uploads/2022/12/Job-Hopping.jpg")</f>
        <v>/wp-content/uploads/2022/12/Job-Hopping.jpg</v>
      </c>
      <c r="F2568" s="1" t="s">
        <v>1004</v>
      </c>
      <c r="G2568" s="1">
        <v>200.0</v>
      </c>
      <c r="H2568" s="1" t="s">
        <v>966</v>
      </c>
      <c r="I2568" s="1" t="s">
        <v>967</v>
      </c>
      <c r="L2568" s="1">
        <v>0.0</v>
      </c>
      <c r="M2568" s="1">
        <v>0.0</v>
      </c>
      <c r="O2568" s="1">
        <v>0.0</v>
      </c>
      <c r="P2568" s="1">
        <v>0.0</v>
      </c>
      <c r="R2568" s="1">
        <v>0.0</v>
      </c>
      <c r="S2568" s="1">
        <v>0.0</v>
      </c>
      <c r="U2568" s="1">
        <v>0.0</v>
      </c>
      <c r="W2568" s="1">
        <v>0.0</v>
      </c>
      <c r="Y2568" s="1">
        <v>0.0</v>
      </c>
      <c r="AA2568" s="1">
        <v>0.0</v>
      </c>
      <c r="AC2568" s="1">
        <v>0.0</v>
      </c>
      <c r="AM2568" s="1">
        <v>159411.0</v>
      </c>
      <c r="AN2568" s="1">
        <v>159411.0</v>
      </c>
      <c r="AO2568" s="1">
        <v>159411.0</v>
      </c>
      <c r="AP2568" s="1">
        <v>61.067</v>
      </c>
      <c r="AR2568" s="1">
        <v>0.0</v>
      </c>
      <c r="AW2568" s="1">
        <v>0.0</v>
      </c>
      <c r="AX2568" s="1">
        <v>5.0</v>
      </c>
      <c r="AY2568" s="1">
        <v>4.0</v>
      </c>
      <c r="BA2568" s="1">
        <v>0.0</v>
      </c>
      <c r="BB2568" s="1">
        <v>0.0</v>
      </c>
      <c r="BC2568" s="1">
        <v>0.0</v>
      </c>
      <c r="BD2568" s="1">
        <v>0.0</v>
      </c>
      <c r="BE2568" s="1">
        <v>0.0</v>
      </c>
      <c r="BF2568" s="1">
        <v>0.0</v>
      </c>
      <c r="BG2568" s="1">
        <v>0.0</v>
      </c>
      <c r="BH2568" s="1">
        <v>0.0</v>
      </c>
      <c r="BI2568" s="1">
        <v>0.0</v>
      </c>
      <c r="BJ2568" s="1">
        <v>0.0</v>
      </c>
      <c r="BP2568" s="1">
        <v>0.281</v>
      </c>
      <c r="BQ2568" s="1" t="s">
        <v>8033</v>
      </c>
      <c r="BV2568" s="1">
        <v>1.1</v>
      </c>
      <c r="EQ2568" s="9" t="s">
        <v>8032</v>
      </c>
      <c r="ER2568" s="21">
        <v>46045.30304398148</v>
      </c>
    </row>
    <row r="2569">
      <c r="A2569" s="9" t="s">
        <v>8034</v>
      </c>
      <c r="B2569" s="20" t="str">
        <f>IFERROR(__xludf.DUMMYFUNCTION("REGEXREPLACE(A2569, ""^https?://[^/]+"", """")"),"/wp-content/themes/salesxceleratione/assets/css/style.css?ver=1769123646")</f>
        <v>/wp-content/themes/salesxceleratione/assets/css/style.css?ver=1769123646</v>
      </c>
      <c r="F2569" s="1" t="s">
        <v>1016</v>
      </c>
      <c r="G2569" s="1">
        <v>200.0</v>
      </c>
      <c r="H2569" s="1" t="s">
        <v>966</v>
      </c>
      <c r="I2569" s="1" t="s">
        <v>967</v>
      </c>
      <c r="L2569" s="1">
        <v>0.0</v>
      </c>
      <c r="M2569" s="1">
        <v>0.0</v>
      </c>
      <c r="O2569" s="1">
        <v>0.0</v>
      </c>
      <c r="P2569" s="1">
        <v>0.0</v>
      </c>
      <c r="R2569" s="1">
        <v>0.0</v>
      </c>
      <c r="S2569" s="1">
        <v>0.0</v>
      </c>
      <c r="U2569" s="1">
        <v>0.0</v>
      </c>
      <c r="W2569" s="1">
        <v>0.0</v>
      </c>
      <c r="Y2569" s="1">
        <v>0.0</v>
      </c>
      <c r="AA2569" s="1">
        <v>0.0</v>
      </c>
      <c r="AC2569" s="1">
        <v>0.0</v>
      </c>
      <c r="AM2569" s="1">
        <v>17704.0</v>
      </c>
      <c r="AN2569" s="1">
        <v>17704.0</v>
      </c>
      <c r="AO2569" s="1">
        <v>17704.0</v>
      </c>
      <c r="AP2569" s="1">
        <v>6.782</v>
      </c>
      <c r="AR2569" s="1">
        <v>0.0</v>
      </c>
      <c r="AW2569" s="1">
        <v>0.0</v>
      </c>
      <c r="AX2569" s="1">
        <v>5.0</v>
      </c>
      <c r="AY2569" s="1">
        <v>5.0</v>
      </c>
      <c r="BA2569" s="1">
        <v>0.0</v>
      </c>
      <c r="BB2569" s="1">
        <v>0.0</v>
      </c>
      <c r="BC2569" s="1">
        <v>0.0</v>
      </c>
      <c r="BD2569" s="1">
        <v>0.0</v>
      </c>
      <c r="BE2569" s="1">
        <v>0.0</v>
      </c>
      <c r="BF2569" s="1">
        <v>0.0</v>
      </c>
      <c r="BG2569" s="1">
        <v>0.0</v>
      </c>
      <c r="BH2569" s="1">
        <v>0.0</v>
      </c>
      <c r="BI2569" s="1">
        <v>0.0</v>
      </c>
      <c r="BJ2569" s="1">
        <v>0.0</v>
      </c>
      <c r="BP2569" s="1">
        <v>0.272</v>
      </c>
      <c r="BQ2569" s="1" t="s">
        <v>8035</v>
      </c>
      <c r="BV2569" s="1">
        <v>1.1</v>
      </c>
      <c r="EQ2569" s="9" t="s">
        <v>8034</v>
      </c>
      <c r="ER2569" s="21">
        <v>46045.30304398148</v>
      </c>
    </row>
    <row r="2570">
      <c r="A2570" s="9" t="s">
        <v>8036</v>
      </c>
      <c r="B2570" s="20" t="str">
        <f>IFERROR(__xludf.DUMMYFUNCTION("REGEXREPLACE(A2570, ""^https?://[^/]+"", """")"),"/wp-content/uploads/2022/04/Recruiting-Candidate.jpg")</f>
        <v>/wp-content/uploads/2022/04/Recruiting-Candidate.jpg</v>
      </c>
      <c r="F2570" s="1" t="s">
        <v>1004</v>
      </c>
      <c r="G2570" s="1">
        <v>200.0</v>
      </c>
      <c r="H2570" s="1" t="s">
        <v>966</v>
      </c>
      <c r="I2570" s="1" t="s">
        <v>967</v>
      </c>
      <c r="L2570" s="1">
        <v>0.0</v>
      </c>
      <c r="M2570" s="1">
        <v>0.0</v>
      </c>
      <c r="O2570" s="1">
        <v>0.0</v>
      </c>
      <c r="P2570" s="1">
        <v>0.0</v>
      </c>
      <c r="R2570" s="1">
        <v>0.0</v>
      </c>
      <c r="S2570" s="1">
        <v>0.0</v>
      </c>
      <c r="U2570" s="1">
        <v>0.0</v>
      </c>
      <c r="W2570" s="1">
        <v>0.0</v>
      </c>
      <c r="Y2570" s="1">
        <v>0.0</v>
      </c>
      <c r="AA2570" s="1">
        <v>0.0</v>
      </c>
      <c r="AC2570" s="1">
        <v>0.0</v>
      </c>
      <c r="AM2570" s="1">
        <v>67088.0</v>
      </c>
      <c r="AN2570" s="1">
        <v>67088.0</v>
      </c>
      <c r="AO2570" s="1">
        <v>67088.0</v>
      </c>
      <c r="AP2570" s="1">
        <v>25.7</v>
      </c>
      <c r="AR2570" s="1">
        <v>0.0</v>
      </c>
      <c r="AW2570" s="1">
        <v>0.0</v>
      </c>
      <c r="AX2570" s="1">
        <v>5.0</v>
      </c>
      <c r="AY2570" s="1">
        <v>4.0</v>
      </c>
      <c r="BA2570" s="1">
        <v>0.0</v>
      </c>
      <c r="BB2570" s="1">
        <v>0.0</v>
      </c>
      <c r="BC2570" s="1">
        <v>0.0</v>
      </c>
      <c r="BD2570" s="1">
        <v>0.0</v>
      </c>
      <c r="BE2570" s="1">
        <v>0.0</v>
      </c>
      <c r="BF2570" s="1">
        <v>0.0</v>
      </c>
      <c r="BG2570" s="1">
        <v>0.0</v>
      </c>
      <c r="BH2570" s="1">
        <v>0.0</v>
      </c>
      <c r="BI2570" s="1">
        <v>0.0</v>
      </c>
      <c r="BJ2570" s="1">
        <v>0.0</v>
      </c>
      <c r="BP2570" s="1">
        <v>1.268</v>
      </c>
      <c r="BQ2570" s="1" t="s">
        <v>8037</v>
      </c>
      <c r="BV2570" s="1">
        <v>1.1</v>
      </c>
      <c r="EQ2570" s="9" t="s">
        <v>8036</v>
      </c>
      <c r="ER2570" s="21">
        <v>46045.303032407406</v>
      </c>
    </row>
    <row r="2571">
      <c r="A2571" s="9" t="s">
        <v>8038</v>
      </c>
      <c r="B2571" s="20" t="str">
        <f>IFERROR(__xludf.DUMMYFUNCTION("REGEXREPLACE(A2571, ""^https?://[^/]+"", """")"),"/wp-content/uploads/2021/02/case-study-jp-thumb-768x440.jpg")</f>
        <v>/wp-content/uploads/2021/02/case-study-jp-thumb-768x440.jpg</v>
      </c>
      <c r="F2571" s="1" t="s">
        <v>1004</v>
      </c>
      <c r="G2571" s="1">
        <v>200.0</v>
      </c>
      <c r="H2571" s="1" t="s">
        <v>966</v>
      </c>
      <c r="I2571" s="1" t="s">
        <v>967</v>
      </c>
      <c r="L2571" s="1">
        <v>0.0</v>
      </c>
      <c r="M2571" s="1">
        <v>0.0</v>
      </c>
      <c r="O2571" s="1">
        <v>0.0</v>
      </c>
      <c r="P2571" s="1">
        <v>0.0</v>
      </c>
      <c r="R2571" s="1">
        <v>0.0</v>
      </c>
      <c r="S2571" s="1">
        <v>0.0</v>
      </c>
      <c r="U2571" s="1">
        <v>0.0</v>
      </c>
      <c r="W2571" s="1">
        <v>0.0</v>
      </c>
      <c r="Y2571" s="1">
        <v>0.0</v>
      </c>
      <c r="AA2571" s="1">
        <v>0.0</v>
      </c>
      <c r="AC2571" s="1">
        <v>0.0</v>
      </c>
      <c r="AM2571" s="1">
        <v>36243.0</v>
      </c>
      <c r="AN2571" s="1">
        <v>36243.0</v>
      </c>
      <c r="AO2571" s="1">
        <v>36243.0</v>
      </c>
      <c r="AP2571" s="1">
        <v>13.884</v>
      </c>
      <c r="AR2571" s="1">
        <v>0.0</v>
      </c>
      <c r="AW2571" s="1">
        <v>0.0</v>
      </c>
      <c r="AX2571" s="1">
        <v>5.0</v>
      </c>
      <c r="AY2571" s="1">
        <v>4.0</v>
      </c>
      <c r="BA2571" s="1">
        <v>0.0</v>
      </c>
      <c r="BB2571" s="1">
        <v>0.0</v>
      </c>
      <c r="BC2571" s="1">
        <v>0.0</v>
      </c>
      <c r="BD2571" s="1">
        <v>0.0</v>
      </c>
      <c r="BE2571" s="1">
        <v>0.0</v>
      </c>
      <c r="BF2571" s="1">
        <v>0.0</v>
      </c>
      <c r="BG2571" s="1">
        <v>0.0</v>
      </c>
      <c r="BH2571" s="1">
        <v>0.0</v>
      </c>
      <c r="BI2571" s="1">
        <v>0.0</v>
      </c>
      <c r="BJ2571" s="1">
        <v>0.0</v>
      </c>
      <c r="BP2571" s="1">
        <v>0.277</v>
      </c>
      <c r="BQ2571" s="1" t="s">
        <v>8039</v>
      </c>
      <c r="BV2571" s="1">
        <v>1.1</v>
      </c>
      <c r="EQ2571" s="9" t="s">
        <v>8038</v>
      </c>
      <c r="ER2571" s="21">
        <v>46045.30304398148</v>
      </c>
    </row>
    <row r="2572">
      <c r="A2572" s="9" t="s">
        <v>8040</v>
      </c>
      <c r="B2572" s="20" t="str">
        <f>IFERROR(__xludf.DUMMYFUNCTION("REGEXREPLACE(A2572, ""^https?://[^/]+"", """")"),"/wp-content/uploads/2021/02/case-study-sx1-thumb-768x440.jpg")</f>
        <v>/wp-content/uploads/2021/02/case-study-sx1-thumb-768x440.jpg</v>
      </c>
      <c r="F2572" s="1" t="s">
        <v>1004</v>
      </c>
      <c r="G2572" s="1">
        <v>200.0</v>
      </c>
      <c r="H2572" s="1" t="s">
        <v>966</v>
      </c>
      <c r="I2572" s="1" t="s">
        <v>967</v>
      </c>
      <c r="L2572" s="1">
        <v>0.0</v>
      </c>
      <c r="M2572" s="1">
        <v>0.0</v>
      </c>
      <c r="O2572" s="1">
        <v>0.0</v>
      </c>
      <c r="P2572" s="1">
        <v>0.0</v>
      </c>
      <c r="R2572" s="1">
        <v>0.0</v>
      </c>
      <c r="S2572" s="1">
        <v>0.0</v>
      </c>
      <c r="U2572" s="1">
        <v>0.0</v>
      </c>
      <c r="W2572" s="1">
        <v>0.0</v>
      </c>
      <c r="Y2572" s="1">
        <v>0.0</v>
      </c>
      <c r="AA2572" s="1">
        <v>0.0</v>
      </c>
      <c r="AC2572" s="1">
        <v>0.0</v>
      </c>
      <c r="AM2572" s="1">
        <v>45928.0</v>
      </c>
      <c r="AN2572" s="1">
        <v>45928.0</v>
      </c>
      <c r="AO2572" s="1">
        <v>45928.0</v>
      </c>
      <c r="AP2572" s="1">
        <v>17.594</v>
      </c>
      <c r="AR2572" s="1">
        <v>0.0</v>
      </c>
      <c r="AW2572" s="1">
        <v>0.0</v>
      </c>
      <c r="AX2572" s="1">
        <v>5.0</v>
      </c>
      <c r="AY2572" s="1">
        <v>4.0</v>
      </c>
      <c r="BA2572" s="1">
        <v>0.0</v>
      </c>
      <c r="BB2572" s="1">
        <v>0.0</v>
      </c>
      <c r="BC2572" s="1">
        <v>0.0</v>
      </c>
      <c r="BD2572" s="1">
        <v>0.0</v>
      </c>
      <c r="BE2572" s="1">
        <v>0.0</v>
      </c>
      <c r="BF2572" s="1">
        <v>0.0</v>
      </c>
      <c r="BG2572" s="1">
        <v>0.0</v>
      </c>
      <c r="BH2572" s="1">
        <v>0.0</v>
      </c>
      <c r="BI2572" s="1">
        <v>0.0</v>
      </c>
      <c r="BJ2572" s="1">
        <v>0.0</v>
      </c>
      <c r="BP2572" s="1">
        <v>0.268</v>
      </c>
      <c r="BQ2572" s="1" t="s">
        <v>8041</v>
      </c>
      <c r="BV2572" s="1">
        <v>1.1</v>
      </c>
      <c r="EQ2572" s="9" t="s">
        <v>8040</v>
      </c>
      <c r="ER2572" s="21">
        <v>46045.30304398148</v>
      </c>
    </row>
    <row r="2573">
      <c r="A2573" s="9" t="s">
        <v>8042</v>
      </c>
      <c r="B2573" s="20" t="str">
        <f>IFERROR(__xludf.DUMMYFUNCTION("REGEXREPLACE(A2573, ""^https?://[^/]+"", """")"),"/author/neptuneweb/")</f>
        <v>/author/neptuneweb/</v>
      </c>
      <c r="C2573" s="1" t="s">
        <v>8043</v>
      </c>
      <c r="F2573" s="1" t="s">
        <v>965</v>
      </c>
      <c r="G2573" s="1">
        <v>200.0</v>
      </c>
      <c r="H2573" s="1" t="s">
        <v>966</v>
      </c>
      <c r="I2573" s="1" t="s">
        <v>967</v>
      </c>
      <c r="K2573" s="1" t="s">
        <v>8044</v>
      </c>
      <c r="L2573" s="1">
        <v>39.0</v>
      </c>
      <c r="M2573" s="1">
        <v>363.0</v>
      </c>
      <c r="O2573" s="1">
        <v>0.0</v>
      </c>
      <c r="P2573" s="1">
        <v>0.0</v>
      </c>
      <c r="R2573" s="1">
        <v>0.0</v>
      </c>
      <c r="S2573" s="1">
        <v>0.0</v>
      </c>
      <c r="U2573" s="1">
        <v>0.0</v>
      </c>
      <c r="V2573" s="1" t="s">
        <v>8043</v>
      </c>
      <c r="W2573" s="1">
        <v>10.0</v>
      </c>
      <c r="Y2573" s="1">
        <v>0.0</v>
      </c>
      <c r="AA2573" s="1">
        <v>0.0</v>
      </c>
      <c r="AC2573" s="1">
        <v>0.0</v>
      </c>
      <c r="AD2573" s="1" t="s">
        <v>971</v>
      </c>
      <c r="AG2573" s="9" t="s">
        <v>8042</v>
      </c>
      <c r="AH2573" s="9" t="s">
        <v>8045</v>
      </c>
      <c r="AM2573" s="1">
        <v>173885.0</v>
      </c>
      <c r="AN2573" s="1">
        <v>31777.0</v>
      </c>
      <c r="AO2573" s="1">
        <v>31777.0</v>
      </c>
      <c r="AP2573" s="1">
        <v>12.173</v>
      </c>
      <c r="AR2573" s="1">
        <v>981.0</v>
      </c>
      <c r="AS2573" s="1">
        <v>159.0</v>
      </c>
      <c r="AT2573" s="1">
        <v>6.17</v>
      </c>
      <c r="AU2573" s="1">
        <v>63.453</v>
      </c>
      <c r="AV2573" s="1" t="s">
        <v>990</v>
      </c>
      <c r="AW2573" s="1">
        <v>4.868</v>
      </c>
      <c r="AX2573" s="1">
        <v>5.0</v>
      </c>
      <c r="AY2573" s="1">
        <v>2.0</v>
      </c>
      <c r="AZ2573" s="1">
        <v>1.0</v>
      </c>
      <c r="BA2573" s="1">
        <v>39.0</v>
      </c>
      <c r="BB2573" s="1">
        <v>13.0</v>
      </c>
      <c r="BC2573" s="1">
        <v>0.0</v>
      </c>
      <c r="BD2573" s="1">
        <v>1.72</v>
      </c>
      <c r="BE2573" s="1">
        <v>161.0</v>
      </c>
      <c r="BF2573" s="1">
        <v>55.0</v>
      </c>
      <c r="BG2573" s="1">
        <v>0.0</v>
      </c>
      <c r="BH2573" s="1">
        <v>16.0</v>
      </c>
      <c r="BI2573" s="1">
        <v>8.0</v>
      </c>
      <c r="BJ2573" s="1">
        <v>0.0</v>
      </c>
      <c r="BO2573" s="1" t="s">
        <v>8046</v>
      </c>
      <c r="BP2573" s="1">
        <v>1.071</v>
      </c>
      <c r="BU2573" s="1" t="s">
        <v>974</v>
      </c>
      <c r="BV2573" s="1">
        <v>1.1</v>
      </c>
      <c r="EQ2573" s="9" t="s">
        <v>8042</v>
      </c>
      <c r="ER2573" s="21">
        <v>46045.303032407406</v>
      </c>
    </row>
    <row r="2574">
      <c r="A2574" s="9" t="s">
        <v>8047</v>
      </c>
      <c r="B2574" s="20" t="str">
        <f>IFERROR(__xludf.DUMMYFUNCTION("REGEXREPLACE(A2574, ""^https?://[^/]+"", """")"),"/wp-content/themes/salesxceleratione/assets/css/style.css?ver=1769123645")</f>
        <v>/wp-content/themes/salesxceleratione/assets/css/style.css?ver=1769123645</v>
      </c>
      <c r="F2574" s="1" t="s">
        <v>1016</v>
      </c>
      <c r="G2574" s="1">
        <v>200.0</v>
      </c>
      <c r="H2574" s="1" t="s">
        <v>966</v>
      </c>
      <c r="I2574" s="1" t="s">
        <v>967</v>
      </c>
      <c r="L2574" s="1">
        <v>0.0</v>
      </c>
      <c r="M2574" s="1">
        <v>0.0</v>
      </c>
      <c r="O2574" s="1">
        <v>0.0</v>
      </c>
      <c r="P2574" s="1">
        <v>0.0</v>
      </c>
      <c r="R2574" s="1">
        <v>0.0</v>
      </c>
      <c r="S2574" s="1">
        <v>0.0</v>
      </c>
      <c r="U2574" s="1">
        <v>0.0</v>
      </c>
      <c r="W2574" s="1">
        <v>0.0</v>
      </c>
      <c r="Y2574" s="1">
        <v>0.0</v>
      </c>
      <c r="AA2574" s="1">
        <v>0.0</v>
      </c>
      <c r="AC2574" s="1">
        <v>0.0</v>
      </c>
      <c r="AM2574" s="1">
        <v>17704.0</v>
      </c>
      <c r="AN2574" s="1">
        <v>17704.0</v>
      </c>
      <c r="AO2574" s="1">
        <v>17704.0</v>
      </c>
      <c r="AP2574" s="1">
        <v>6.782</v>
      </c>
      <c r="AR2574" s="1">
        <v>0.0</v>
      </c>
      <c r="AW2574" s="1">
        <v>0.0</v>
      </c>
      <c r="AX2574" s="1">
        <v>5.0</v>
      </c>
      <c r="AY2574" s="1">
        <v>5.0</v>
      </c>
      <c r="BA2574" s="1">
        <v>0.0</v>
      </c>
      <c r="BB2574" s="1">
        <v>0.0</v>
      </c>
      <c r="BC2574" s="1">
        <v>0.0</v>
      </c>
      <c r="BD2574" s="1">
        <v>0.0</v>
      </c>
      <c r="BE2574" s="1">
        <v>0.0</v>
      </c>
      <c r="BF2574" s="1">
        <v>0.0</v>
      </c>
      <c r="BG2574" s="1">
        <v>0.0</v>
      </c>
      <c r="BH2574" s="1">
        <v>0.0</v>
      </c>
      <c r="BI2574" s="1">
        <v>0.0</v>
      </c>
      <c r="BJ2574" s="1">
        <v>0.0</v>
      </c>
      <c r="BP2574" s="1">
        <v>0.273</v>
      </c>
      <c r="BQ2574" s="1" t="s">
        <v>8035</v>
      </c>
      <c r="BV2574" s="1">
        <v>1.1</v>
      </c>
      <c r="EQ2574" s="9" t="s">
        <v>8047</v>
      </c>
      <c r="ER2574" s="21">
        <v>46045.30305555555</v>
      </c>
    </row>
    <row r="2575">
      <c r="A2575" s="9" t="s">
        <v>8048</v>
      </c>
      <c r="B2575" s="20" t="str">
        <f>IFERROR(__xludf.DUMMYFUNCTION("REGEXREPLACE(A2575, ""^https?://[^/]+"", """")"),"/wp-content/uploads/2020/12/shutterstock_633365168-scaled-1.jpg")</f>
        <v>/wp-content/uploads/2020/12/shutterstock_633365168-scaled-1.jpg</v>
      </c>
      <c r="F2575" s="1" t="s">
        <v>1004</v>
      </c>
      <c r="G2575" s="1">
        <v>200.0</v>
      </c>
      <c r="H2575" s="1" t="s">
        <v>966</v>
      </c>
      <c r="I2575" s="1" t="s">
        <v>967</v>
      </c>
      <c r="L2575" s="1">
        <v>0.0</v>
      </c>
      <c r="M2575" s="1">
        <v>0.0</v>
      </c>
      <c r="O2575" s="1">
        <v>0.0</v>
      </c>
      <c r="P2575" s="1">
        <v>0.0</v>
      </c>
      <c r="R2575" s="1">
        <v>0.0</v>
      </c>
      <c r="S2575" s="1">
        <v>0.0</v>
      </c>
      <c r="U2575" s="1">
        <v>0.0</v>
      </c>
      <c r="W2575" s="1">
        <v>0.0</v>
      </c>
      <c r="Y2575" s="1">
        <v>0.0</v>
      </c>
      <c r="AA2575" s="1">
        <v>0.0</v>
      </c>
      <c r="AC2575" s="1">
        <v>0.0</v>
      </c>
      <c r="AM2575" s="1">
        <v>262120.0</v>
      </c>
      <c r="AN2575" s="1">
        <v>262120.0</v>
      </c>
      <c r="AO2575" s="1">
        <v>262120.0</v>
      </c>
      <c r="AP2575" s="1">
        <v>100.413</v>
      </c>
      <c r="AR2575" s="1">
        <v>0.0</v>
      </c>
      <c r="AW2575" s="1">
        <v>0.0</v>
      </c>
      <c r="AX2575" s="1">
        <v>5.0</v>
      </c>
      <c r="AY2575" s="1">
        <v>4.0</v>
      </c>
      <c r="BA2575" s="1">
        <v>0.0</v>
      </c>
      <c r="BB2575" s="1">
        <v>0.0</v>
      </c>
      <c r="BC2575" s="1">
        <v>0.0</v>
      </c>
      <c r="BD2575" s="1">
        <v>0.0</v>
      </c>
      <c r="BE2575" s="1">
        <v>0.0</v>
      </c>
      <c r="BF2575" s="1">
        <v>0.0</v>
      </c>
      <c r="BG2575" s="1">
        <v>0.0</v>
      </c>
      <c r="BH2575" s="1">
        <v>0.0</v>
      </c>
      <c r="BI2575" s="1">
        <v>0.0</v>
      </c>
      <c r="BJ2575" s="1">
        <v>0.0</v>
      </c>
      <c r="BP2575" s="1">
        <v>0.27</v>
      </c>
      <c r="BQ2575" s="1" t="s">
        <v>8049</v>
      </c>
      <c r="BV2575" s="1">
        <v>1.1</v>
      </c>
      <c r="EQ2575" s="9" t="s">
        <v>8048</v>
      </c>
      <c r="ER2575" s="21">
        <v>46045.30305555555</v>
      </c>
    </row>
    <row r="2576">
      <c r="A2576" s="9" t="s">
        <v>8050</v>
      </c>
      <c r="B2576" s="20" t="str">
        <f>IFERROR(__xludf.DUMMYFUNCTION("REGEXREPLACE(A2576, ""^https?://[^/]+"", """")"),"/wp-content/uploads/2017/07/shutterstock_392367181-1.jpg")</f>
        <v>/wp-content/uploads/2017/07/shutterstock_392367181-1.jpg</v>
      </c>
      <c r="F2576" s="1" t="s">
        <v>1004</v>
      </c>
      <c r="G2576" s="1">
        <v>200.0</v>
      </c>
      <c r="H2576" s="1" t="s">
        <v>966</v>
      </c>
      <c r="I2576" s="1" t="s">
        <v>967</v>
      </c>
      <c r="L2576" s="1">
        <v>0.0</v>
      </c>
      <c r="M2576" s="1">
        <v>0.0</v>
      </c>
      <c r="O2576" s="1">
        <v>0.0</v>
      </c>
      <c r="P2576" s="1">
        <v>0.0</v>
      </c>
      <c r="R2576" s="1">
        <v>0.0</v>
      </c>
      <c r="S2576" s="1">
        <v>0.0</v>
      </c>
      <c r="U2576" s="1">
        <v>0.0</v>
      </c>
      <c r="W2576" s="1">
        <v>0.0</v>
      </c>
      <c r="Y2576" s="1">
        <v>0.0</v>
      </c>
      <c r="AA2576" s="1">
        <v>0.0</v>
      </c>
      <c r="AC2576" s="1">
        <v>0.0</v>
      </c>
      <c r="AM2576" s="1">
        <v>64120.0</v>
      </c>
      <c r="AN2576" s="1">
        <v>64120.0</v>
      </c>
      <c r="AO2576" s="1">
        <v>64120.0</v>
      </c>
      <c r="AP2576" s="1">
        <v>24.563</v>
      </c>
      <c r="AR2576" s="1">
        <v>0.0</v>
      </c>
      <c r="AW2576" s="1">
        <v>0.0</v>
      </c>
      <c r="AX2576" s="1">
        <v>5.0</v>
      </c>
      <c r="AY2576" s="1">
        <v>4.0</v>
      </c>
      <c r="BA2576" s="1">
        <v>0.0</v>
      </c>
      <c r="BB2576" s="1">
        <v>0.0</v>
      </c>
      <c r="BC2576" s="1">
        <v>0.0</v>
      </c>
      <c r="BD2576" s="1">
        <v>0.0</v>
      </c>
      <c r="BE2576" s="1">
        <v>0.0</v>
      </c>
      <c r="BF2576" s="1">
        <v>0.0</v>
      </c>
      <c r="BG2576" s="1">
        <v>0.0</v>
      </c>
      <c r="BH2576" s="1">
        <v>0.0</v>
      </c>
      <c r="BI2576" s="1">
        <v>0.0</v>
      </c>
      <c r="BJ2576" s="1">
        <v>0.0</v>
      </c>
      <c r="BP2576" s="1">
        <v>0.271</v>
      </c>
      <c r="BQ2576" s="1" t="s">
        <v>8051</v>
      </c>
      <c r="BV2576" s="1">
        <v>1.1</v>
      </c>
      <c r="EQ2576" s="9" t="s">
        <v>8050</v>
      </c>
      <c r="ER2576" s="21">
        <v>46045.30306712963</v>
      </c>
    </row>
    <row r="2577">
      <c r="A2577" s="9" t="s">
        <v>8052</v>
      </c>
      <c r="B2577" s="20" t="str">
        <f>IFERROR(__xludf.DUMMYFUNCTION("REGEXREPLACE(A2577, ""^https?://[^/]+"", """")"),"/wp-content/uploads/2016/03/Make-a-Difference-RS-72-560-x-225.jpg")</f>
        <v>/wp-content/uploads/2016/03/Make-a-Difference-RS-72-560-x-225.jpg</v>
      </c>
      <c r="F2577" s="1" t="s">
        <v>1004</v>
      </c>
      <c r="G2577" s="1">
        <v>200.0</v>
      </c>
      <c r="H2577" s="1" t="s">
        <v>966</v>
      </c>
      <c r="I2577" s="1" t="s">
        <v>967</v>
      </c>
      <c r="L2577" s="1">
        <v>0.0</v>
      </c>
      <c r="M2577" s="1">
        <v>0.0</v>
      </c>
      <c r="O2577" s="1">
        <v>0.0</v>
      </c>
      <c r="P2577" s="1">
        <v>0.0</v>
      </c>
      <c r="R2577" s="1">
        <v>0.0</v>
      </c>
      <c r="S2577" s="1">
        <v>0.0</v>
      </c>
      <c r="U2577" s="1">
        <v>0.0</v>
      </c>
      <c r="W2577" s="1">
        <v>0.0</v>
      </c>
      <c r="Y2577" s="1">
        <v>0.0</v>
      </c>
      <c r="AA2577" s="1">
        <v>0.0</v>
      </c>
      <c r="AC2577" s="1">
        <v>0.0</v>
      </c>
      <c r="AM2577" s="1">
        <v>29453.0</v>
      </c>
      <c r="AN2577" s="1">
        <v>29453.0</v>
      </c>
      <c r="AO2577" s="1">
        <v>29453.0</v>
      </c>
      <c r="AP2577" s="1">
        <v>11.283</v>
      </c>
      <c r="AR2577" s="1">
        <v>0.0</v>
      </c>
      <c r="AW2577" s="1">
        <v>0.0</v>
      </c>
      <c r="AX2577" s="1">
        <v>6.0</v>
      </c>
      <c r="AY2577" s="1">
        <v>4.0</v>
      </c>
      <c r="BA2577" s="1">
        <v>0.0</v>
      </c>
      <c r="BB2577" s="1">
        <v>0.0</v>
      </c>
      <c r="BC2577" s="1">
        <v>0.0</v>
      </c>
      <c r="BD2577" s="1">
        <v>0.0</v>
      </c>
      <c r="BE2577" s="1">
        <v>0.0</v>
      </c>
      <c r="BF2577" s="1">
        <v>0.0</v>
      </c>
      <c r="BG2577" s="1">
        <v>0.0</v>
      </c>
      <c r="BH2577" s="1">
        <v>0.0</v>
      </c>
      <c r="BI2577" s="1">
        <v>0.0</v>
      </c>
      <c r="BJ2577" s="1">
        <v>0.0</v>
      </c>
      <c r="BP2577" s="1">
        <v>0.267</v>
      </c>
      <c r="BQ2577" s="1" t="s">
        <v>7629</v>
      </c>
      <c r="BV2577" s="1">
        <v>1.1</v>
      </c>
      <c r="EQ2577" s="9" t="s">
        <v>8052</v>
      </c>
      <c r="ER2577" s="21">
        <v>46045.30306712963</v>
      </c>
    </row>
    <row r="2578">
      <c r="A2578" s="9" t="s">
        <v>8053</v>
      </c>
      <c r="B2578" s="20" t="str">
        <f>IFERROR(__xludf.DUMMYFUNCTION("REGEXREPLACE(A2578, ""^https?://[^/]+"", """")"),"/wp-content/themes/salesxceleratione/assets/css/style.css?ver=1769123741")</f>
        <v>/wp-content/themes/salesxceleratione/assets/css/style.css?ver=1769123741</v>
      </c>
      <c r="F2578" s="1" t="s">
        <v>1016</v>
      </c>
      <c r="G2578" s="1">
        <v>200.0</v>
      </c>
      <c r="H2578" s="1" t="s">
        <v>966</v>
      </c>
      <c r="I2578" s="1" t="s">
        <v>967</v>
      </c>
      <c r="L2578" s="1">
        <v>0.0</v>
      </c>
      <c r="M2578" s="1">
        <v>0.0</v>
      </c>
      <c r="O2578" s="1">
        <v>0.0</v>
      </c>
      <c r="P2578" s="1">
        <v>0.0</v>
      </c>
      <c r="R2578" s="1">
        <v>0.0</v>
      </c>
      <c r="S2578" s="1">
        <v>0.0</v>
      </c>
      <c r="U2578" s="1">
        <v>0.0</v>
      </c>
      <c r="W2578" s="1">
        <v>0.0</v>
      </c>
      <c r="Y2578" s="1">
        <v>0.0</v>
      </c>
      <c r="AA2578" s="1">
        <v>0.0</v>
      </c>
      <c r="AC2578" s="1">
        <v>0.0</v>
      </c>
      <c r="AM2578" s="1">
        <v>17704.0</v>
      </c>
      <c r="AN2578" s="1">
        <v>17704.0</v>
      </c>
      <c r="AO2578" s="1">
        <v>17704.0</v>
      </c>
      <c r="AP2578" s="1">
        <v>6.782</v>
      </c>
      <c r="AR2578" s="1">
        <v>0.0</v>
      </c>
      <c r="AW2578" s="1">
        <v>0.0</v>
      </c>
      <c r="AX2578" s="1">
        <v>6.0</v>
      </c>
      <c r="AY2578" s="1">
        <v>5.0</v>
      </c>
      <c r="BA2578" s="1">
        <v>0.0</v>
      </c>
      <c r="BB2578" s="1">
        <v>0.0</v>
      </c>
      <c r="BC2578" s="1">
        <v>0.0</v>
      </c>
      <c r="BD2578" s="1">
        <v>0.0</v>
      </c>
      <c r="BE2578" s="1">
        <v>0.0</v>
      </c>
      <c r="BF2578" s="1">
        <v>0.0</v>
      </c>
      <c r="BG2578" s="1">
        <v>0.0</v>
      </c>
      <c r="BH2578" s="1">
        <v>0.0</v>
      </c>
      <c r="BI2578" s="1">
        <v>0.0</v>
      </c>
      <c r="BJ2578" s="1">
        <v>0.0</v>
      </c>
      <c r="BP2578" s="1">
        <v>0.276</v>
      </c>
      <c r="BQ2578" s="1" t="s">
        <v>8054</v>
      </c>
      <c r="BV2578" s="1">
        <v>1.1</v>
      </c>
      <c r="EQ2578" s="9" t="s">
        <v>8053</v>
      </c>
      <c r="ER2578" s="21">
        <v>46045.303078703706</v>
      </c>
    </row>
    <row r="2579">
      <c r="A2579" s="9" t="s">
        <v>8055</v>
      </c>
      <c r="B2579" s="20" t="str">
        <f>IFERROR(__xludf.DUMMYFUNCTION("REGEXREPLACE(A2579, ""^https?://[^/]+"", """")"),"/wp-content/uploads/2019/12/Irritated_Businessman_Holding_Phone.jpg")</f>
        <v>/wp-content/uploads/2019/12/Irritated_Businessman_Holding_Phone.jpg</v>
      </c>
      <c r="F2579" s="1" t="s">
        <v>1004</v>
      </c>
      <c r="G2579" s="1">
        <v>200.0</v>
      </c>
      <c r="H2579" s="1" t="s">
        <v>966</v>
      </c>
      <c r="I2579" s="1" t="s">
        <v>967</v>
      </c>
      <c r="L2579" s="1">
        <v>0.0</v>
      </c>
      <c r="M2579" s="1">
        <v>0.0</v>
      </c>
      <c r="O2579" s="1">
        <v>0.0</v>
      </c>
      <c r="P2579" s="1">
        <v>0.0</v>
      </c>
      <c r="R2579" s="1">
        <v>0.0</v>
      </c>
      <c r="S2579" s="1">
        <v>0.0</v>
      </c>
      <c r="U2579" s="1">
        <v>0.0</v>
      </c>
      <c r="W2579" s="1">
        <v>0.0</v>
      </c>
      <c r="Y2579" s="1">
        <v>0.0</v>
      </c>
      <c r="AA2579" s="1">
        <v>0.0</v>
      </c>
      <c r="AC2579" s="1">
        <v>0.0</v>
      </c>
      <c r="AM2579" s="1">
        <v>136956.0</v>
      </c>
      <c r="AN2579" s="1">
        <v>136956.0</v>
      </c>
      <c r="AO2579" s="1">
        <v>136956.0</v>
      </c>
      <c r="AP2579" s="1">
        <v>52.465</v>
      </c>
      <c r="AR2579" s="1">
        <v>0.0</v>
      </c>
      <c r="AW2579" s="1">
        <v>0.0</v>
      </c>
      <c r="AX2579" s="1">
        <v>6.0</v>
      </c>
      <c r="AY2579" s="1">
        <v>4.0</v>
      </c>
      <c r="BA2579" s="1">
        <v>0.0</v>
      </c>
      <c r="BB2579" s="1">
        <v>0.0</v>
      </c>
      <c r="BC2579" s="1">
        <v>0.0</v>
      </c>
      <c r="BD2579" s="1">
        <v>0.0</v>
      </c>
      <c r="BE2579" s="1">
        <v>0.0</v>
      </c>
      <c r="BF2579" s="1">
        <v>0.0</v>
      </c>
      <c r="BG2579" s="1">
        <v>0.0</v>
      </c>
      <c r="BH2579" s="1">
        <v>0.0</v>
      </c>
      <c r="BI2579" s="1">
        <v>0.0</v>
      </c>
      <c r="BJ2579" s="1">
        <v>0.0</v>
      </c>
      <c r="BP2579" s="1">
        <v>0.266</v>
      </c>
      <c r="BQ2579" s="1" t="s">
        <v>8056</v>
      </c>
      <c r="BV2579" s="1">
        <v>1.1</v>
      </c>
      <c r="EQ2579" s="9" t="s">
        <v>8055</v>
      </c>
      <c r="ER2579" s="21">
        <v>46045.303078703706</v>
      </c>
    </row>
    <row r="2580">
      <c r="A2580" s="9" t="s">
        <v>8057</v>
      </c>
      <c r="B2580" s="20" t="str">
        <f>IFERROR(__xludf.DUMMYFUNCTION("REGEXREPLACE(A2580, ""^https?://[^/]+"", """")"),"/wp-content/uploads/2017/04/rolling.jpg")</f>
        <v>/wp-content/uploads/2017/04/rolling.jpg</v>
      </c>
      <c r="F2580" s="1" t="s">
        <v>1004</v>
      </c>
      <c r="G2580" s="1">
        <v>200.0</v>
      </c>
      <c r="H2580" s="1" t="s">
        <v>966</v>
      </c>
      <c r="I2580" s="1" t="s">
        <v>967</v>
      </c>
      <c r="L2580" s="1">
        <v>0.0</v>
      </c>
      <c r="M2580" s="1">
        <v>0.0</v>
      </c>
      <c r="O2580" s="1">
        <v>0.0</v>
      </c>
      <c r="P2580" s="1">
        <v>0.0</v>
      </c>
      <c r="R2580" s="1">
        <v>0.0</v>
      </c>
      <c r="S2580" s="1">
        <v>0.0</v>
      </c>
      <c r="U2580" s="1">
        <v>0.0</v>
      </c>
      <c r="W2580" s="1">
        <v>0.0</v>
      </c>
      <c r="Y2580" s="1">
        <v>0.0</v>
      </c>
      <c r="AA2580" s="1">
        <v>0.0</v>
      </c>
      <c r="AC2580" s="1">
        <v>0.0</v>
      </c>
      <c r="AM2580" s="1">
        <v>55310.0</v>
      </c>
      <c r="AN2580" s="1">
        <v>55310.0</v>
      </c>
      <c r="AO2580" s="1">
        <v>55310.0</v>
      </c>
      <c r="AP2580" s="1">
        <v>21.188</v>
      </c>
      <c r="AR2580" s="1">
        <v>0.0</v>
      </c>
      <c r="AW2580" s="1">
        <v>0.0</v>
      </c>
      <c r="AX2580" s="1">
        <v>6.0</v>
      </c>
      <c r="AY2580" s="1">
        <v>4.0</v>
      </c>
      <c r="BA2580" s="1">
        <v>0.0</v>
      </c>
      <c r="BB2580" s="1">
        <v>0.0</v>
      </c>
      <c r="BC2580" s="1">
        <v>0.0</v>
      </c>
      <c r="BD2580" s="1">
        <v>0.0</v>
      </c>
      <c r="BE2580" s="1">
        <v>0.0</v>
      </c>
      <c r="BF2580" s="1">
        <v>0.0</v>
      </c>
      <c r="BG2580" s="1">
        <v>0.0</v>
      </c>
      <c r="BH2580" s="1">
        <v>0.0</v>
      </c>
      <c r="BI2580" s="1">
        <v>0.0</v>
      </c>
      <c r="BJ2580" s="1">
        <v>0.0</v>
      </c>
      <c r="BP2580" s="1">
        <v>0.262</v>
      </c>
      <c r="BQ2580" s="1" t="s">
        <v>8058</v>
      </c>
      <c r="BV2580" s="1">
        <v>1.1</v>
      </c>
      <c r="EQ2580" s="9" t="s">
        <v>8057</v>
      </c>
      <c r="ER2580" s="21">
        <v>46045.303078703706</v>
      </c>
    </row>
    <row r="2581">
      <c r="A2581" s="9" t="s">
        <v>8059</v>
      </c>
      <c r="B2581" s="20" t="str">
        <f>IFERROR(__xludf.DUMMYFUNCTION("REGEXREPLACE(A2581, ""^https?://[^/]+"", """")"),"/wp-content/uploads/2015/10/writing-933262_640-2048x2048.jpg")</f>
        <v>/wp-content/uploads/2015/10/writing-933262_640-2048x2048.jpg</v>
      </c>
      <c r="F2581" s="1" t="s">
        <v>1004</v>
      </c>
      <c r="G2581" s="1">
        <v>200.0</v>
      </c>
      <c r="H2581" s="1" t="s">
        <v>966</v>
      </c>
      <c r="I2581" s="1" t="s">
        <v>967</v>
      </c>
      <c r="L2581" s="1">
        <v>0.0</v>
      </c>
      <c r="M2581" s="1">
        <v>0.0</v>
      </c>
      <c r="O2581" s="1">
        <v>0.0</v>
      </c>
      <c r="P2581" s="1">
        <v>0.0</v>
      </c>
      <c r="R2581" s="1">
        <v>0.0</v>
      </c>
      <c r="S2581" s="1">
        <v>0.0</v>
      </c>
      <c r="U2581" s="1">
        <v>0.0</v>
      </c>
      <c r="W2581" s="1">
        <v>0.0</v>
      </c>
      <c r="Y2581" s="1">
        <v>0.0</v>
      </c>
      <c r="AA2581" s="1">
        <v>0.0</v>
      </c>
      <c r="AC2581" s="1">
        <v>0.0</v>
      </c>
      <c r="AM2581" s="1">
        <v>196521.0</v>
      </c>
      <c r="AN2581" s="1">
        <v>196521.0</v>
      </c>
      <c r="AO2581" s="1">
        <v>196521.0</v>
      </c>
      <c r="AP2581" s="1">
        <v>75.283</v>
      </c>
      <c r="AR2581" s="1">
        <v>0.0</v>
      </c>
      <c r="AW2581" s="1">
        <v>0.0</v>
      </c>
      <c r="AX2581" s="1">
        <v>6.0</v>
      </c>
      <c r="AY2581" s="1">
        <v>4.0</v>
      </c>
      <c r="BA2581" s="1">
        <v>0.0</v>
      </c>
      <c r="BB2581" s="1">
        <v>0.0</v>
      </c>
      <c r="BC2581" s="1">
        <v>0.0</v>
      </c>
      <c r="BD2581" s="1">
        <v>0.0</v>
      </c>
      <c r="BE2581" s="1">
        <v>0.0</v>
      </c>
      <c r="BF2581" s="1">
        <v>0.0</v>
      </c>
      <c r="BG2581" s="1">
        <v>0.0</v>
      </c>
      <c r="BH2581" s="1">
        <v>0.0</v>
      </c>
      <c r="BI2581" s="1">
        <v>0.0</v>
      </c>
      <c r="BJ2581" s="1">
        <v>0.0</v>
      </c>
      <c r="BP2581" s="1">
        <v>0.281</v>
      </c>
      <c r="BQ2581" s="1" t="s">
        <v>8060</v>
      </c>
      <c r="BV2581" s="1">
        <v>1.1</v>
      </c>
      <c r="EQ2581" s="9" t="s">
        <v>8059</v>
      </c>
      <c r="ER2581" s="21">
        <v>46045.303078703706</v>
      </c>
    </row>
    <row r="2582">
      <c r="A2582" s="9" t="s">
        <v>8061</v>
      </c>
      <c r="B2582" s="20" t="str">
        <f>IFERROR(__xludf.DUMMYFUNCTION("REGEXREPLACE(A2582, ""^https?://[^/]+"", """")"),"/wp-content/uploads/2016/07/Hiring-Outsourcing-RS-72-560-x-225-2048x2048.jpg")</f>
        <v>/wp-content/uploads/2016/07/Hiring-Outsourcing-RS-72-560-x-225-2048x2048.jpg</v>
      </c>
      <c r="F2582" s="1" t="s">
        <v>1004</v>
      </c>
      <c r="G2582" s="1">
        <v>200.0</v>
      </c>
      <c r="H2582" s="1" t="s">
        <v>966</v>
      </c>
      <c r="I2582" s="1" t="s">
        <v>967</v>
      </c>
      <c r="L2582" s="1">
        <v>0.0</v>
      </c>
      <c r="M2582" s="1">
        <v>0.0</v>
      </c>
      <c r="O2582" s="1">
        <v>0.0</v>
      </c>
      <c r="P2582" s="1">
        <v>0.0</v>
      </c>
      <c r="R2582" s="1">
        <v>0.0</v>
      </c>
      <c r="S2582" s="1">
        <v>0.0</v>
      </c>
      <c r="U2582" s="1">
        <v>0.0</v>
      </c>
      <c r="W2582" s="1">
        <v>0.0</v>
      </c>
      <c r="Y2582" s="1">
        <v>0.0</v>
      </c>
      <c r="AA2582" s="1">
        <v>0.0</v>
      </c>
      <c r="AC2582" s="1">
        <v>0.0</v>
      </c>
      <c r="AM2582" s="1">
        <v>364223.0</v>
      </c>
      <c r="AN2582" s="1">
        <v>364223.0</v>
      </c>
      <c r="AO2582" s="1">
        <v>364223.0</v>
      </c>
      <c r="AP2582" s="1">
        <v>139.527</v>
      </c>
      <c r="AR2582" s="1">
        <v>0.0</v>
      </c>
      <c r="AW2582" s="1">
        <v>0.0</v>
      </c>
      <c r="AX2582" s="1">
        <v>6.0</v>
      </c>
      <c r="AY2582" s="1">
        <v>4.0</v>
      </c>
      <c r="BA2582" s="1">
        <v>0.0</v>
      </c>
      <c r="BB2582" s="1">
        <v>0.0</v>
      </c>
      <c r="BC2582" s="1">
        <v>0.0</v>
      </c>
      <c r="BD2582" s="1">
        <v>0.0</v>
      </c>
      <c r="BE2582" s="1">
        <v>0.0</v>
      </c>
      <c r="BF2582" s="1">
        <v>0.0</v>
      </c>
      <c r="BG2582" s="1">
        <v>0.0</v>
      </c>
      <c r="BH2582" s="1">
        <v>0.0</v>
      </c>
      <c r="BI2582" s="1">
        <v>0.0</v>
      </c>
      <c r="BJ2582" s="1">
        <v>0.0</v>
      </c>
      <c r="BP2582" s="1">
        <v>0.282</v>
      </c>
      <c r="BQ2582" s="1" t="s">
        <v>8062</v>
      </c>
      <c r="BV2582" s="1">
        <v>1.1</v>
      </c>
      <c r="EQ2582" s="9" t="s">
        <v>8061</v>
      </c>
      <c r="ER2582" s="21">
        <v>46045.303078703706</v>
      </c>
    </row>
    <row r="2583">
      <c r="A2583" s="9" t="s">
        <v>8063</v>
      </c>
      <c r="B2583" s="20" t="str">
        <f>IFERROR(__xludf.DUMMYFUNCTION("REGEXREPLACE(A2583, ""^https?://[^/]+"", """")"),"/wp-content/uploads/2015/11/Do-You-Need-a-Sales-Consultant-or-a-Sales-Builder-.jpg")</f>
        <v>/wp-content/uploads/2015/11/Do-You-Need-a-Sales-Consultant-or-a-Sales-Builder-.jpg</v>
      </c>
      <c r="F2583" s="1" t="s">
        <v>1004</v>
      </c>
      <c r="G2583" s="1">
        <v>200.0</v>
      </c>
      <c r="H2583" s="1" t="s">
        <v>966</v>
      </c>
      <c r="I2583" s="1" t="s">
        <v>967</v>
      </c>
      <c r="L2583" s="1">
        <v>0.0</v>
      </c>
      <c r="M2583" s="1">
        <v>0.0</v>
      </c>
      <c r="O2583" s="1">
        <v>0.0</v>
      </c>
      <c r="P2583" s="1">
        <v>0.0</v>
      </c>
      <c r="R2583" s="1">
        <v>0.0</v>
      </c>
      <c r="S2583" s="1">
        <v>0.0</v>
      </c>
      <c r="U2583" s="1">
        <v>0.0</v>
      </c>
      <c r="W2583" s="1">
        <v>0.0</v>
      </c>
      <c r="Y2583" s="1">
        <v>0.0</v>
      </c>
      <c r="AA2583" s="1">
        <v>0.0</v>
      </c>
      <c r="AC2583" s="1">
        <v>0.0</v>
      </c>
      <c r="AM2583" s="1">
        <v>27678.0</v>
      </c>
      <c r="AN2583" s="1">
        <v>27678.0</v>
      </c>
      <c r="AO2583" s="1">
        <v>27678.0</v>
      </c>
      <c r="AP2583" s="1">
        <v>10.603</v>
      </c>
      <c r="AR2583" s="1">
        <v>0.0</v>
      </c>
      <c r="AW2583" s="1">
        <v>0.0</v>
      </c>
      <c r="AX2583" s="1">
        <v>6.0</v>
      </c>
      <c r="AY2583" s="1">
        <v>4.0</v>
      </c>
      <c r="BA2583" s="1">
        <v>0.0</v>
      </c>
      <c r="BB2583" s="1">
        <v>0.0</v>
      </c>
      <c r="BC2583" s="1">
        <v>0.0</v>
      </c>
      <c r="BD2583" s="1">
        <v>0.0</v>
      </c>
      <c r="BE2583" s="1">
        <v>0.0</v>
      </c>
      <c r="BF2583" s="1">
        <v>0.0</v>
      </c>
      <c r="BG2583" s="1">
        <v>0.0</v>
      </c>
      <c r="BH2583" s="1">
        <v>0.0</v>
      </c>
      <c r="BI2583" s="1">
        <v>0.0</v>
      </c>
      <c r="BJ2583" s="1">
        <v>0.0</v>
      </c>
      <c r="BP2583" s="1">
        <v>0.279</v>
      </c>
      <c r="BQ2583" s="1" t="s">
        <v>8064</v>
      </c>
      <c r="BV2583" s="1">
        <v>1.1</v>
      </c>
      <c r="EQ2583" s="9" t="s">
        <v>8063</v>
      </c>
      <c r="ER2583" s="21">
        <v>46045.303078703706</v>
      </c>
    </row>
    <row r="2584">
      <c r="A2584" s="9" t="s">
        <v>8065</v>
      </c>
      <c r="B2584" s="20" t="str">
        <f>IFERROR(__xludf.DUMMYFUNCTION("REGEXREPLACE(A2584, ""^https?://[^/]+"", """")"),"/wp-content/themes/salesxceleratione/assets/css/style.css?ver=1769123740")</f>
        <v>/wp-content/themes/salesxceleratione/assets/css/style.css?ver=1769123740</v>
      </c>
      <c r="F2584" s="1" t="s">
        <v>1016</v>
      </c>
      <c r="G2584" s="1">
        <v>200.0</v>
      </c>
      <c r="H2584" s="1" t="s">
        <v>966</v>
      </c>
      <c r="I2584" s="1" t="s">
        <v>967</v>
      </c>
      <c r="L2584" s="1">
        <v>0.0</v>
      </c>
      <c r="M2584" s="1">
        <v>0.0</v>
      </c>
      <c r="O2584" s="1">
        <v>0.0</v>
      </c>
      <c r="P2584" s="1">
        <v>0.0</v>
      </c>
      <c r="R2584" s="1">
        <v>0.0</v>
      </c>
      <c r="S2584" s="1">
        <v>0.0</v>
      </c>
      <c r="U2584" s="1">
        <v>0.0</v>
      </c>
      <c r="W2584" s="1">
        <v>0.0</v>
      </c>
      <c r="Y2584" s="1">
        <v>0.0</v>
      </c>
      <c r="AA2584" s="1">
        <v>0.0</v>
      </c>
      <c r="AC2584" s="1">
        <v>0.0</v>
      </c>
      <c r="AM2584" s="1">
        <v>17704.0</v>
      </c>
      <c r="AN2584" s="1">
        <v>17704.0</v>
      </c>
      <c r="AO2584" s="1">
        <v>17704.0</v>
      </c>
      <c r="AP2584" s="1">
        <v>6.782</v>
      </c>
      <c r="AR2584" s="1">
        <v>0.0</v>
      </c>
      <c r="AW2584" s="1">
        <v>0.0</v>
      </c>
      <c r="AX2584" s="1">
        <v>6.0</v>
      </c>
      <c r="AY2584" s="1">
        <v>5.0</v>
      </c>
      <c r="BA2584" s="1">
        <v>0.0</v>
      </c>
      <c r="BB2584" s="1">
        <v>0.0</v>
      </c>
      <c r="BC2584" s="1">
        <v>0.0</v>
      </c>
      <c r="BD2584" s="1">
        <v>0.0</v>
      </c>
      <c r="BE2584" s="1">
        <v>0.0</v>
      </c>
      <c r="BF2584" s="1">
        <v>0.0</v>
      </c>
      <c r="BG2584" s="1">
        <v>0.0</v>
      </c>
      <c r="BH2584" s="1">
        <v>0.0</v>
      </c>
      <c r="BI2584" s="1">
        <v>0.0</v>
      </c>
      <c r="BJ2584" s="1">
        <v>0.0</v>
      </c>
      <c r="BP2584" s="1">
        <v>0.27</v>
      </c>
      <c r="BQ2584" s="1" t="s">
        <v>7751</v>
      </c>
      <c r="BV2584" s="1">
        <v>1.1</v>
      </c>
      <c r="EQ2584" s="9" t="s">
        <v>8065</v>
      </c>
      <c r="ER2584" s="21">
        <v>46045.303078703706</v>
      </c>
    </row>
    <row r="2585">
      <c r="A2585" s="9" t="s">
        <v>8066</v>
      </c>
      <c r="B2585" s="20" t="str">
        <f>IFERROR(__xludf.DUMMYFUNCTION("REGEXREPLACE(A2585, ""^https?://[^/]+"", """")"),"/wp-content/themes/salesxceleratione/assets/css/style.css?ver=1769123738")</f>
        <v>/wp-content/themes/salesxceleratione/assets/css/style.css?ver=1769123738</v>
      </c>
      <c r="F2585" s="1" t="s">
        <v>1016</v>
      </c>
      <c r="G2585" s="1">
        <v>200.0</v>
      </c>
      <c r="H2585" s="1" t="s">
        <v>966</v>
      </c>
      <c r="I2585" s="1" t="s">
        <v>967</v>
      </c>
      <c r="L2585" s="1">
        <v>0.0</v>
      </c>
      <c r="M2585" s="1">
        <v>0.0</v>
      </c>
      <c r="O2585" s="1">
        <v>0.0</v>
      </c>
      <c r="P2585" s="1">
        <v>0.0</v>
      </c>
      <c r="R2585" s="1">
        <v>0.0</v>
      </c>
      <c r="S2585" s="1">
        <v>0.0</v>
      </c>
      <c r="U2585" s="1">
        <v>0.0</v>
      </c>
      <c r="W2585" s="1">
        <v>0.0</v>
      </c>
      <c r="Y2585" s="1">
        <v>0.0</v>
      </c>
      <c r="AA2585" s="1">
        <v>0.0</v>
      </c>
      <c r="AC2585" s="1">
        <v>0.0</v>
      </c>
      <c r="AM2585" s="1">
        <v>17704.0</v>
      </c>
      <c r="AN2585" s="1">
        <v>17704.0</v>
      </c>
      <c r="AO2585" s="1">
        <v>17704.0</v>
      </c>
      <c r="AP2585" s="1">
        <v>6.782</v>
      </c>
      <c r="AR2585" s="1">
        <v>0.0</v>
      </c>
      <c r="AW2585" s="1">
        <v>0.0</v>
      </c>
      <c r="AX2585" s="1">
        <v>6.0</v>
      </c>
      <c r="AY2585" s="1">
        <v>5.0</v>
      </c>
      <c r="BA2585" s="1">
        <v>0.0</v>
      </c>
      <c r="BB2585" s="1">
        <v>0.0</v>
      </c>
      <c r="BC2585" s="1">
        <v>0.0</v>
      </c>
      <c r="BD2585" s="1">
        <v>0.0</v>
      </c>
      <c r="BE2585" s="1">
        <v>0.0</v>
      </c>
      <c r="BF2585" s="1">
        <v>0.0</v>
      </c>
      <c r="BG2585" s="1">
        <v>0.0</v>
      </c>
      <c r="BH2585" s="1">
        <v>0.0</v>
      </c>
      <c r="BI2585" s="1">
        <v>0.0</v>
      </c>
      <c r="BJ2585" s="1">
        <v>0.0</v>
      </c>
      <c r="BP2585" s="1">
        <v>0.282</v>
      </c>
      <c r="BQ2585" s="1" t="s">
        <v>8067</v>
      </c>
      <c r="BV2585" s="1">
        <v>1.1</v>
      </c>
      <c r="EQ2585" s="9" t="s">
        <v>8066</v>
      </c>
      <c r="ER2585" s="21">
        <v>46045.303078703706</v>
      </c>
    </row>
    <row r="2586">
      <c r="A2586" s="9" t="s">
        <v>6341</v>
      </c>
      <c r="B2586" s="20" t="str">
        <f>IFERROR(__xludf.DUMMYFUNCTION("REGEXREPLACE(A2586, ""^https?://[^/]+"", """")"),"/sales-agility-assessment/?locationid=29359900")</f>
        <v>/sales-agility-assessment/?locationid=29359900</v>
      </c>
      <c r="C2586" s="1" t="s">
        <v>1381</v>
      </c>
      <c r="F2586" s="1" t="s">
        <v>965</v>
      </c>
      <c r="G2586" s="1">
        <v>200.0</v>
      </c>
      <c r="H2586" s="1" t="s">
        <v>966</v>
      </c>
      <c r="I2586" s="1" t="s">
        <v>1214</v>
      </c>
      <c r="J2586" s="1" t="s">
        <v>1215</v>
      </c>
      <c r="K2586" s="1" t="s">
        <v>1382</v>
      </c>
      <c r="L2586" s="1">
        <v>79.0</v>
      </c>
      <c r="M2586" s="1">
        <v>719.0</v>
      </c>
      <c r="O2586" s="1">
        <v>0.0</v>
      </c>
      <c r="P2586" s="1">
        <v>0.0</v>
      </c>
      <c r="Q2586" s="1" t="s">
        <v>1383</v>
      </c>
      <c r="R2586" s="1">
        <v>155.0</v>
      </c>
      <c r="S2586" s="1">
        <v>970.0</v>
      </c>
      <c r="U2586" s="1">
        <v>0.0</v>
      </c>
      <c r="V2586" s="1" t="s">
        <v>1381</v>
      </c>
      <c r="W2586" s="1">
        <v>31.0</v>
      </c>
      <c r="Y2586" s="1">
        <v>0.0</v>
      </c>
      <c r="AA2586" s="1">
        <v>0.0</v>
      </c>
      <c r="AC2586" s="1">
        <v>0.0</v>
      </c>
      <c r="AD2586" s="1" t="s">
        <v>971</v>
      </c>
      <c r="AG2586" s="9" t="s">
        <v>1380</v>
      </c>
      <c r="AM2586" s="1">
        <v>221354.0</v>
      </c>
      <c r="AN2586" s="1">
        <v>43057.0</v>
      </c>
      <c r="AO2586" s="1">
        <v>43057.0</v>
      </c>
      <c r="AP2586" s="1">
        <v>16.494</v>
      </c>
      <c r="AR2586" s="1">
        <v>1077.0</v>
      </c>
      <c r="AS2586" s="1">
        <v>195.0</v>
      </c>
      <c r="AT2586" s="1">
        <v>5.523</v>
      </c>
      <c r="AU2586" s="1">
        <v>72.247</v>
      </c>
      <c r="AV2586" s="1" t="s">
        <v>1264</v>
      </c>
      <c r="AW2586" s="1">
        <v>5.467</v>
      </c>
      <c r="AX2586" s="1">
        <v>5.0</v>
      </c>
      <c r="AY2586" s="1">
        <v>1.0</v>
      </c>
      <c r="BA2586" s="1">
        <v>0.0</v>
      </c>
      <c r="BB2586" s="1">
        <v>0.0</v>
      </c>
      <c r="BC2586" s="1">
        <v>0.0</v>
      </c>
      <c r="BD2586" s="1">
        <v>0.0</v>
      </c>
      <c r="BE2586" s="1">
        <v>121.0</v>
      </c>
      <c r="BF2586" s="1">
        <v>42.0</v>
      </c>
      <c r="BG2586" s="1">
        <v>0.0</v>
      </c>
      <c r="BH2586" s="1">
        <v>16.0</v>
      </c>
      <c r="BI2586" s="1">
        <v>8.0</v>
      </c>
      <c r="BJ2586" s="1">
        <v>0.0</v>
      </c>
      <c r="BO2586" s="1" t="s">
        <v>8068</v>
      </c>
      <c r="BP2586" s="1">
        <v>1.253</v>
      </c>
      <c r="BU2586" s="1" t="s">
        <v>974</v>
      </c>
      <c r="BV2586" s="1">
        <v>1.1</v>
      </c>
      <c r="EQ2586" s="9" t="s">
        <v>6341</v>
      </c>
      <c r="ER2586" s="21">
        <v>46045.30306712963</v>
      </c>
    </row>
    <row r="2587">
      <c r="A2587" s="9" t="s">
        <v>8069</v>
      </c>
      <c r="B2587" s="20" t="str">
        <f>IFERROR(__xludf.DUMMYFUNCTION("REGEXREPLACE(A2587, ""^https?://[^/]+"", """")"),"/the-win-loss-paradox/")</f>
        <v>/the-win-loss-paradox/</v>
      </c>
      <c r="C2587" s="1" t="s">
        <v>8070</v>
      </c>
      <c r="F2587" s="1" t="s">
        <v>965</v>
      </c>
      <c r="G2587" s="1">
        <v>200.0</v>
      </c>
      <c r="H2587" s="1" t="s">
        <v>966</v>
      </c>
      <c r="I2587" s="1" t="s">
        <v>967</v>
      </c>
      <c r="K2587" s="1" t="s">
        <v>8071</v>
      </c>
      <c r="L2587" s="1">
        <v>45.0</v>
      </c>
      <c r="M2587" s="1">
        <v>425.0</v>
      </c>
      <c r="O2587" s="1">
        <v>0.0</v>
      </c>
      <c r="P2587" s="1">
        <v>0.0</v>
      </c>
      <c r="Q2587" s="1" t="s">
        <v>8072</v>
      </c>
      <c r="R2587" s="1">
        <v>145.0</v>
      </c>
      <c r="S2587" s="1">
        <v>902.0</v>
      </c>
      <c r="U2587" s="1">
        <v>0.0</v>
      </c>
      <c r="V2587" s="1" t="s">
        <v>8070</v>
      </c>
      <c r="W2587" s="1">
        <v>20.0</v>
      </c>
      <c r="Y2587" s="1">
        <v>0.0</v>
      </c>
      <c r="AA2587" s="1">
        <v>0.0</v>
      </c>
      <c r="AC2587" s="1">
        <v>0.0</v>
      </c>
      <c r="AD2587" s="1" t="s">
        <v>971</v>
      </c>
      <c r="AG2587" s="9" t="s">
        <v>8069</v>
      </c>
      <c r="AM2587" s="1">
        <v>195830.0</v>
      </c>
      <c r="AN2587" s="1">
        <v>34184.0</v>
      </c>
      <c r="AO2587" s="1">
        <v>34184.0</v>
      </c>
      <c r="AP2587" s="1">
        <v>13.095</v>
      </c>
      <c r="AR2587" s="1">
        <v>885.0</v>
      </c>
      <c r="AS2587" s="1">
        <v>140.0</v>
      </c>
      <c r="AT2587" s="1">
        <v>6.321</v>
      </c>
      <c r="AU2587" s="1">
        <v>70.125</v>
      </c>
      <c r="AV2587" s="1" t="s">
        <v>1264</v>
      </c>
      <c r="AW2587" s="1">
        <v>3.894</v>
      </c>
      <c r="AX2587" s="1">
        <v>6.0</v>
      </c>
      <c r="AY2587" s="1">
        <v>1.0</v>
      </c>
      <c r="AZ2587" s="1">
        <v>1.0</v>
      </c>
      <c r="BA2587" s="1">
        <v>4.0</v>
      </c>
      <c r="BB2587" s="1">
        <v>4.0</v>
      </c>
      <c r="BC2587" s="1">
        <v>0.0</v>
      </c>
      <c r="BD2587" s="1">
        <v>0.53</v>
      </c>
      <c r="BE2587" s="1">
        <v>129.0</v>
      </c>
      <c r="BF2587" s="1">
        <v>47.0</v>
      </c>
      <c r="BG2587" s="1">
        <v>0.0</v>
      </c>
      <c r="BH2587" s="1">
        <v>16.0</v>
      </c>
      <c r="BI2587" s="1">
        <v>8.0</v>
      </c>
      <c r="BJ2587" s="1">
        <v>0.0</v>
      </c>
      <c r="BO2587" s="1" t="s">
        <v>8073</v>
      </c>
      <c r="BP2587" s="1">
        <v>0.998</v>
      </c>
      <c r="BU2587" s="1" t="s">
        <v>974</v>
      </c>
      <c r="BV2587" s="1">
        <v>1.1</v>
      </c>
      <c r="EQ2587" s="9" t="s">
        <v>8069</v>
      </c>
      <c r="ER2587" s="21">
        <v>46045.303078703706</v>
      </c>
    </row>
    <row r="2588">
      <c r="A2588" s="9" t="s">
        <v>8074</v>
      </c>
      <c r="B2588" s="20" t="str">
        <f>IFERROR(__xludf.DUMMYFUNCTION("REGEXREPLACE(A2588, ""^https?://[^/]+"", """")"),"/wp-content/uploads/2016/11/Trapped.jpg")</f>
        <v>/wp-content/uploads/2016/11/Trapped.jpg</v>
      </c>
      <c r="F2588" s="1" t="s">
        <v>1004</v>
      </c>
      <c r="G2588" s="1">
        <v>200.0</v>
      </c>
      <c r="H2588" s="1" t="s">
        <v>966</v>
      </c>
      <c r="I2588" s="1" t="s">
        <v>967</v>
      </c>
      <c r="L2588" s="1">
        <v>0.0</v>
      </c>
      <c r="M2588" s="1">
        <v>0.0</v>
      </c>
      <c r="O2588" s="1">
        <v>0.0</v>
      </c>
      <c r="P2588" s="1">
        <v>0.0</v>
      </c>
      <c r="R2588" s="1">
        <v>0.0</v>
      </c>
      <c r="S2588" s="1">
        <v>0.0</v>
      </c>
      <c r="U2588" s="1">
        <v>0.0</v>
      </c>
      <c r="W2588" s="1">
        <v>0.0</v>
      </c>
      <c r="Y2588" s="1">
        <v>0.0</v>
      </c>
      <c r="AA2588" s="1">
        <v>0.0</v>
      </c>
      <c r="AC2588" s="1">
        <v>0.0</v>
      </c>
      <c r="AM2588" s="1">
        <v>41736.0</v>
      </c>
      <c r="AN2588" s="1">
        <v>41736.0</v>
      </c>
      <c r="AO2588" s="1">
        <v>41736.0</v>
      </c>
      <c r="AP2588" s="1">
        <v>15.988</v>
      </c>
      <c r="AR2588" s="1">
        <v>0.0</v>
      </c>
      <c r="AW2588" s="1">
        <v>0.0</v>
      </c>
      <c r="AX2588" s="1">
        <v>6.0</v>
      </c>
      <c r="AY2588" s="1">
        <v>4.0</v>
      </c>
      <c r="BA2588" s="1">
        <v>0.0</v>
      </c>
      <c r="BB2588" s="1">
        <v>0.0</v>
      </c>
      <c r="BC2588" s="1">
        <v>0.0</v>
      </c>
      <c r="BD2588" s="1">
        <v>0.0</v>
      </c>
      <c r="BE2588" s="1">
        <v>0.0</v>
      </c>
      <c r="BF2588" s="1">
        <v>0.0</v>
      </c>
      <c r="BG2588" s="1">
        <v>0.0</v>
      </c>
      <c r="BH2588" s="1">
        <v>0.0</v>
      </c>
      <c r="BI2588" s="1">
        <v>0.0</v>
      </c>
      <c r="BJ2588" s="1">
        <v>0.0</v>
      </c>
      <c r="BP2588" s="1">
        <v>0.276</v>
      </c>
      <c r="BQ2588" s="1" t="s">
        <v>7765</v>
      </c>
      <c r="BV2588" s="1">
        <v>1.1</v>
      </c>
      <c r="EQ2588" s="9" t="s">
        <v>8074</v>
      </c>
      <c r="ER2588" s="21">
        <v>46045.303090277775</v>
      </c>
    </row>
    <row r="2589">
      <c r="A2589" s="9" t="s">
        <v>8075</v>
      </c>
      <c r="B2589" s="20" t="str">
        <f>IFERROR(__xludf.DUMMYFUNCTION("REGEXREPLACE(A2589, ""^https?://[^/]+"", """")"),"/wp-content/themes/salesxceleratione/assets/css/style.css?ver=1769123736")</f>
        <v>/wp-content/themes/salesxceleratione/assets/css/style.css?ver=1769123736</v>
      </c>
      <c r="F2589" s="1" t="s">
        <v>1016</v>
      </c>
      <c r="G2589" s="1">
        <v>200.0</v>
      </c>
      <c r="H2589" s="1" t="s">
        <v>966</v>
      </c>
      <c r="I2589" s="1" t="s">
        <v>967</v>
      </c>
      <c r="L2589" s="1">
        <v>0.0</v>
      </c>
      <c r="M2589" s="1">
        <v>0.0</v>
      </c>
      <c r="O2589" s="1">
        <v>0.0</v>
      </c>
      <c r="P2589" s="1">
        <v>0.0</v>
      </c>
      <c r="R2589" s="1">
        <v>0.0</v>
      </c>
      <c r="S2589" s="1">
        <v>0.0</v>
      </c>
      <c r="U2589" s="1">
        <v>0.0</v>
      </c>
      <c r="W2589" s="1">
        <v>0.0</v>
      </c>
      <c r="Y2589" s="1">
        <v>0.0</v>
      </c>
      <c r="AA2589" s="1">
        <v>0.0</v>
      </c>
      <c r="AC2589" s="1">
        <v>0.0</v>
      </c>
      <c r="AM2589" s="1">
        <v>17704.0</v>
      </c>
      <c r="AN2589" s="1">
        <v>17704.0</v>
      </c>
      <c r="AO2589" s="1">
        <v>17704.0</v>
      </c>
      <c r="AP2589" s="1">
        <v>6.782</v>
      </c>
      <c r="AR2589" s="1">
        <v>0.0</v>
      </c>
      <c r="AW2589" s="1">
        <v>0.0</v>
      </c>
      <c r="AX2589" s="1">
        <v>6.0</v>
      </c>
      <c r="AY2589" s="1">
        <v>5.0</v>
      </c>
      <c r="BA2589" s="1">
        <v>0.0</v>
      </c>
      <c r="BB2589" s="1">
        <v>0.0</v>
      </c>
      <c r="BC2589" s="1">
        <v>0.0</v>
      </c>
      <c r="BD2589" s="1">
        <v>0.0</v>
      </c>
      <c r="BE2589" s="1">
        <v>0.0</v>
      </c>
      <c r="BF2589" s="1">
        <v>0.0</v>
      </c>
      <c r="BG2589" s="1">
        <v>0.0</v>
      </c>
      <c r="BH2589" s="1">
        <v>0.0</v>
      </c>
      <c r="BI2589" s="1">
        <v>0.0</v>
      </c>
      <c r="BJ2589" s="1">
        <v>0.0</v>
      </c>
      <c r="BP2589" s="1">
        <v>0.281</v>
      </c>
      <c r="BQ2589" s="1" t="s">
        <v>8076</v>
      </c>
      <c r="BV2589" s="1">
        <v>1.1</v>
      </c>
      <c r="EQ2589" s="9" t="s">
        <v>8075</v>
      </c>
      <c r="ER2589" s="21">
        <v>46045.303090277775</v>
      </c>
    </row>
    <row r="2590">
      <c r="A2590" s="9" t="s">
        <v>8077</v>
      </c>
      <c r="B2590" s="20" t="str">
        <f>IFERROR(__xludf.DUMMYFUNCTION("REGEXREPLACE(A2590, ""^https?://[^/]+"", """")"),"/wp-content/uploads/2020/03/Buinesswoman_leading_a_team-1-scaled-1.jpg")</f>
        <v>/wp-content/uploads/2020/03/Buinesswoman_leading_a_team-1-scaled-1.jpg</v>
      </c>
      <c r="F2590" s="1" t="s">
        <v>1004</v>
      </c>
      <c r="G2590" s="1">
        <v>200.0</v>
      </c>
      <c r="H2590" s="1" t="s">
        <v>966</v>
      </c>
      <c r="I2590" s="1" t="s">
        <v>967</v>
      </c>
      <c r="L2590" s="1">
        <v>0.0</v>
      </c>
      <c r="M2590" s="1">
        <v>0.0</v>
      </c>
      <c r="O2590" s="1">
        <v>0.0</v>
      </c>
      <c r="P2590" s="1">
        <v>0.0</v>
      </c>
      <c r="R2590" s="1">
        <v>0.0</v>
      </c>
      <c r="S2590" s="1">
        <v>0.0</v>
      </c>
      <c r="U2590" s="1">
        <v>0.0</v>
      </c>
      <c r="W2590" s="1">
        <v>0.0</v>
      </c>
      <c r="Y2590" s="1">
        <v>0.0</v>
      </c>
      <c r="AA2590" s="1">
        <v>0.0</v>
      </c>
      <c r="AC2590" s="1">
        <v>0.0</v>
      </c>
      <c r="AM2590" s="1">
        <v>213106.0</v>
      </c>
      <c r="AN2590" s="1">
        <v>213106.0</v>
      </c>
      <c r="AO2590" s="1">
        <v>213106.0</v>
      </c>
      <c r="AP2590" s="1">
        <v>81.637</v>
      </c>
      <c r="AR2590" s="1">
        <v>0.0</v>
      </c>
      <c r="AW2590" s="1">
        <v>0.0</v>
      </c>
      <c r="AX2590" s="1">
        <v>6.0</v>
      </c>
      <c r="AY2590" s="1">
        <v>4.0</v>
      </c>
      <c r="BA2590" s="1">
        <v>0.0</v>
      </c>
      <c r="BB2590" s="1">
        <v>0.0</v>
      </c>
      <c r="BC2590" s="1">
        <v>0.0</v>
      </c>
      <c r="BD2590" s="1">
        <v>0.0</v>
      </c>
      <c r="BE2590" s="1">
        <v>0.0</v>
      </c>
      <c r="BF2590" s="1">
        <v>0.0</v>
      </c>
      <c r="BG2590" s="1">
        <v>0.0</v>
      </c>
      <c r="BH2590" s="1">
        <v>0.0</v>
      </c>
      <c r="BI2590" s="1">
        <v>0.0</v>
      </c>
      <c r="BJ2590" s="1">
        <v>0.0</v>
      </c>
      <c r="BP2590" s="1">
        <v>0.274</v>
      </c>
      <c r="BQ2590" s="1" t="s">
        <v>8078</v>
      </c>
      <c r="BV2590" s="1">
        <v>1.1</v>
      </c>
      <c r="EQ2590" s="9" t="s">
        <v>8077</v>
      </c>
      <c r="ER2590" s="21">
        <v>46045.303090277775</v>
      </c>
    </row>
    <row r="2591">
      <c r="A2591" s="9" t="s">
        <v>8079</v>
      </c>
      <c r="B2591" s="20" t="str">
        <f>IFERROR(__xludf.DUMMYFUNCTION("REGEXREPLACE(A2591, ""^https?://[^/]+"", """")"),"/wp-content/uploads/2019/05/38f6cdfc-764f-11e9-87e1-d2f370493534-1.jpg")</f>
        <v>/wp-content/uploads/2019/05/38f6cdfc-764f-11e9-87e1-d2f370493534-1.jpg</v>
      </c>
      <c r="F2591" s="1" t="s">
        <v>1004</v>
      </c>
      <c r="G2591" s="1">
        <v>200.0</v>
      </c>
      <c r="H2591" s="1" t="s">
        <v>966</v>
      </c>
      <c r="I2591" s="1" t="s">
        <v>967</v>
      </c>
      <c r="L2591" s="1">
        <v>0.0</v>
      </c>
      <c r="M2591" s="1">
        <v>0.0</v>
      </c>
      <c r="O2591" s="1">
        <v>0.0</v>
      </c>
      <c r="P2591" s="1">
        <v>0.0</v>
      </c>
      <c r="R2591" s="1">
        <v>0.0</v>
      </c>
      <c r="S2591" s="1">
        <v>0.0</v>
      </c>
      <c r="U2591" s="1">
        <v>0.0</v>
      </c>
      <c r="W2591" s="1">
        <v>0.0</v>
      </c>
      <c r="Y2591" s="1">
        <v>0.0</v>
      </c>
      <c r="AA2591" s="1">
        <v>0.0</v>
      </c>
      <c r="AC2591" s="1">
        <v>0.0</v>
      </c>
      <c r="AM2591" s="1">
        <v>34854.0</v>
      </c>
      <c r="AN2591" s="1">
        <v>34854.0</v>
      </c>
      <c r="AO2591" s="1">
        <v>34854.0</v>
      </c>
      <c r="AP2591" s="1">
        <v>13.352</v>
      </c>
      <c r="AR2591" s="1">
        <v>0.0</v>
      </c>
      <c r="AW2591" s="1">
        <v>0.0</v>
      </c>
      <c r="AX2591" s="1">
        <v>6.0</v>
      </c>
      <c r="AY2591" s="1">
        <v>4.0</v>
      </c>
      <c r="BA2591" s="1">
        <v>0.0</v>
      </c>
      <c r="BB2591" s="1">
        <v>0.0</v>
      </c>
      <c r="BC2591" s="1">
        <v>0.0</v>
      </c>
      <c r="BD2591" s="1">
        <v>0.0</v>
      </c>
      <c r="BE2591" s="1">
        <v>0.0</v>
      </c>
      <c r="BF2591" s="1">
        <v>0.0</v>
      </c>
      <c r="BG2591" s="1">
        <v>0.0</v>
      </c>
      <c r="BH2591" s="1">
        <v>0.0</v>
      </c>
      <c r="BI2591" s="1">
        <v>0.0</v>
      </c>
      <c r="BJ2591" s="1">
        <v>0.0</v>
      </c>
      <c r="BP2591" s="1">
        <v>0.448</v>
      </c>
      <c r="BQ2591" s="1" t="s">
        <v>8080</v>
      </c>
      <c r="BV2591" s="1">
        <v>1.1</v>
      </c>
      <c r="EQ2591" s="9" t="s">
        <v>8079</v>
      </c>
      <c r="ER2591" s="21">
        <v>46045.303090277775</v>
      </c>
    </row>
    <row r="2592">
      <c r="A2592" s="9" t="s">
        <v>8081</v>
      </c>
      <c r="B2592" s="20" t="str">
        <f>IFERROR(__xludf.DUMMYFUNCTION("REGEXREPLACE(A2592, ""^https?://[^/]+"", """")"),"/wp-content/uploads/2019/12/Business_Man_Looking_to_Future_Success.jpg")</f>
        <v>/wp-content/uploads/2019/12/Business_Man_Looking_to_Future_Success.jpg</v>
      </c>
      <c r="F2592" s="1" t="s">
        <v>1004</v>
      </c>
      <c r="G2592" s="1">
        <v>200.0</v>
      </c>
      <c r="H2592" s="1" t="s">
        <v>966</v>
      </c>
      <c r="I2592" s="1" t="s">
        <v>967</v>
      </c>
      <c r="L2592" s="1">
        <v>0.0</v>
      </c>
      <c r="M2592" s="1">
        <v>0.0</v>
      </c>
      <c r="O2592" s="1">
        <v>0.0</v>
      </c>
      <c r="P2592" s="1">
        <v>0.0</v>
      </c>
      <c r="R2592" s="1">
        <v>0.0</v>
      </c>
      <c r="S2592" s="1">
        <v>0.0</v>
      </c>
      <c r="U2592" s="1">
        <v>0.0</v>
      </c>
      <c r="W2592" s="1">
        <v>0.0</v>
      </c>
      <c r="Y2592" s="1">
        <v>0.0</v>
      </c>
      <c r="AA2592" s="1">
        <v>0.0</v>
      </c>
      <c r="AC2592" s="1">
        <v>0.0</v>
      </c>
      <c r="AM2592" s="1">
        <v>172030.0</v>
      </c>
      <c r="AN2592" s="1">
        <v>172030.0</v>
      </c>
      <c r="AO2592" s="1">
        <v>172030.0</v>
      </c>
      <c r="AP2592" s="1">
        <v>65.901</v>
      </c>
      <c r="AR2592" s="1">
        <v>0.0</v>
      </c>
      <c r="AW2592" s="1">
        <v>0.0</v>
      </c>
      <c r="AX2592" s="1">
        <v>6.0</v>
      </c>
      <c r="AY2592" s="1">
        <v>4.0</v>
      </c>
      <c r="BA2592" s="1">
        <v>0.0</v>
      </c>
      <c r="BB2592" s="1">
        <v>0.0</v>
      </c>
      <c r="BC2592" s="1">
        <v>0.0</v>
      </c>
      <c r="BD2592" s="1">
        <v>0.0</v>
      </c>
      <c r="BE2592" s="1">
        <v>0.0</v>
      </c>
      <c r="BF2592" s="1">
        <v>0.0</v>
      </c>
      <c r="BG2592" s="1">
        <v>0.0</v>
      </c>
      <c r="BH2592" s="1">
        <v>0.0</v>
      </c>
      <c r="BI2592" s="1">
        <v>0.0</v>
      </c>
      <c r="BJ2592" s="1">
        <v>0.0</v>
      </c>
      <c r="BP2592" s="1">
        <v>0.387</v>
      </c>
      <c r="BQ2592" s="1" t="s">
        <v>8082</v>
      </c>
      <c r="BV2592" s="1">
        <v>1.1</v>
      </c>
      <c r="EQ2592" s="9" t="s">
        <v>8081</v>
      </c>
      <c r="ER2592" s="21">
        <v>46045.303090277775</v>
      </c>
    </row>
    <row r="2593">
      <c r="A2593" s="9" t="s">
        <v>8083</v>
      </c>
      <c r="B2593" s="20" t="str">
        <f>IFERROR(__xludf.DUMMYFUNCTION("REGEXREPLACE(A2593, ""^https?://[^/]+"", """")"),"/small-business-owners-outsource/")</f>
        <v>/small-business-owners-outsource/</v>
      </c>
      <c r="C2593" s="1" t="s">
        <v>8084</v>
      </c>
      <c r="F2593" s="1" t="s">
        <v>965</v>
      </c>
      <c r="G2593" s="1">
        <v>200.0</v>
      </c>
      <c r="H2593" s="1" t="s">
        <v>966</v>
      </c>
      <c r="I2593" s="1" t="s">
        <v>967</v>
      </c>
      <c r="K2593" s="1" t="s">
        <v>8085</v>
      </c>
      <c r="L2593" s="1">
        <v>64.0</v>
      </c>
      <c r="M2593" s="1">
        <v>591.0</v>
      </c>
      <c r="O2593" s="1">
        <v>0.0</v>
      </c>
      <c r="P2593" s="1">
        <v>0.0</v>
      </c>
      <c r="Q2593" s="1" t="s">
        <v>8086</v>
      </c>
      <c r="R2593" s="1">
        <v>150.0</v>
      </c>
      <c r="S2593" s="1">
        <v>953.0</v>
      </c>
      <c r="U2593" s="1">
        <v>0.0</v>
      </c>
      <c r="V2593" s="1" t="s">
        <v>8084</v>
      </c>
      <c r="W2593" s="1">
        <v>35.0</v>
      </c>
      <c r="Y2593" s="1">
        <v>0.0</v>
      </c>
      <c r="AA2593" s="1">
        <v>0.0</v>
      </c>
      <c r="AC2593" s="1">
        <v>0.0</v>
      </c>
      <c r="AD2593" s="1" t="s">
        <v>971</v>
      </c>
      <c r="AG2593" s="9" t="s">
        <v>8083</v>
      </c>
      <c r="AM2593" s="1">
        <v>204933.0</v>
      </c>
      <c r="AN2593" s="1">
        <v>36619.0</v>
      </c>
      <c r="AO2593" s="1">
        <v>36619.0</v>
      </c>
      <c r="AP2593" s="1">
        <v>14.028</v>
      </c>
      <c r="AR2593" s="1">
        <v>1552.0</v>
      </c>
      <c r="AS2593" s="1">
        <v>219.0</v>
      </c>
      <c r="AT2593" s="1">
        <v>7.087</v>
      </c>
      <c r="AU2593" s="1">
        <v>62.167</v>
      </c>
      <c r="AV2593" s="1" t="s">
        <v>990</v>
      </c>
      <c r="AW2593" s="1">
        <v>5.875</v>
      </c>
      <c r="AX2593" s="1">
        <v>6.0</v>
      </c>
      <c r="AY2593" s="1">
        <v>1.0</v>
      </c>
      <c r="AZ2593" s="1">
        <v>1.0</v>
      </c>
      <c r="BA2593" s="1">
        <v>2.0</v>
      </c>
      <c r="BB2593" s="1">
        <v>2.0</v>
      </c>
      <c r="BC2593" s="1">
        <v>0.0</v>
      </c>
      <c r="BD2593" s="1">
        <v>0.27</v>
      </c>
      <c r="BE2593" s="1">
        <v>132.0</v>
      </c>
      <c r="BF2593" s="1">
        <v>49.0</v>
      </c>
      <c r="BG2593" s="1">
        <v>0.0</v>
      </c>
      <c r="BH2593" s="1">
        <v>16.0</v>
      </c>
      <c r="BI2593" s="1">
        <v>8.0</v>
      </c>
      <c r="BJ2593" s="1">
        <v>0.0</v>
      </c>
      <c r="BO2593" s="1" t="s">
        <v>8087</v>
      </c>
      <c r="BP2593" s="1">
        <v>1.018</v>
      </c>
      <c r="BU2593" s="1" t="s">
        <v>974</v>
      </c>
      <c r="BV2593" s="1">
        <v>1.1</v>
      </c>
      <c r="EQ2593" s="9" t="s">
        <v>8083</v>
      </c>
      <c r="ER2593" s="21">
        <v>46045.303078703706</v>
      </c>
    </row>
    <row r="2594">
      <c r="A2594" s="9" t="s">
        <v>8088</v>
      </c>
      <c r="B2594" s="20" t="str">
        <f>IFERROR(__xludf.DUMMYFUNCTION("REGEXREPLACE(A2594, ""^https?://[^/]+"", """")"),"/wp-content/themes/salesxceleratione/assets/css/style.css?ver=1769123733")</f>
        <v>/wp-content/themes/salesxceleratione/assets/css/style.css?ver=1769123733</v>
      </c>
      <c r="F2594" s="1" t="s">
        <v>1016</v>
      </c>
      <c r="G2594" s="1">
        <v>200.0</v>
      </c>
      <c r="H2594" s="1" t="s">
        <v>966</v>
      </c>
      <c r="I2594" s="1" t="s">
        <v>967</v>
      </c>
      <c r="L2594" s="1">
        <v>0.0</v>
      </c>
      <c r="M2594" s="1">
        <v>0.0</v>
      </c>
      <c r="O2594" s="1">
        <v>0.0</v>
      </c>
      <c r="P2594" s="1">
        <v>0.0</v>
      </c>
      <c r="R2594" s="1">
        <v>0.0</v>
      </c>
      <c r="S2594" s="1">
        <v>0.0</v>
      </c>
      <c r="U2594" s="1">
        <v>0.0</v>
      </c>
      <c r="W2594" s="1">
        <v>0.0</v>
      </c>
      <c r="Y2594" s="1">
        <v>0.0</v>
      </c>
      <c r="AA2594" s="1">
        <v>0.0</v>
      </c>
      <c r="AC2594" s="1">
        <v>0.0</v>
      </c>
      <c r="AM2594" s="1">
        <v>17704.0</v>
      </c>
      <c r="AN2594" s="1">
        <v>17704.0</v>
      </c>
      <c r="AO2594" s="1">
        <v>17704.0</v>
      </c>
      <c r="AP2594" s="1">
        <v>6.782</v>
      </c>
      <c r="AR2594" s="1">
        <v>0.0</v>
      </c>
      <c r="AW2594" s="1">
        <v>0.0</v>
      </c>
      <c r="AX2594" s="1">
        <v>6.0</v>
      </c>
      <c r="AY2594" s="1">
        <v>5.0</v>
      </c>
      <c r="BA2594" s="1">
        <v>0.0</v>
      </c>
      <c r="BB2594" s="1">
        <v>0.0</v>
      </c>
      <c r="BC2594" s="1">
        <v>0.0</v>
      </c>
      <c r="BD2594" s="1">
        <v>0.0</v>
      </c>
      <c r="BE2594" s="1">
        <v>0.0</v>
      </c>
      <c r="BF2594" s="1">
        <v>0.0</v>
      </c>
      <c r="BG2594" s="1">
        <v>0.0</v>
      </c>
      <c r="BH2594" s="1">
        <v>0.0</v>
      </c>
      <c r="BI2594" s="1">
        <v>0.0</v>
      </c>
      <c r="BJ2594" s="1">
        <v>0.0</v>
      </c>
      <c r="BP2594" s="1">
        <v>0.269</v>
      </c>
      <c r="BQ2594" s="1" t="s">
        <v>8076</v>
      </c>
      <c r="BV2594" s="1">
        <v>1.1</v>
      </c>
      <c r="EQ2594" s="9" t="s">
        <v>8088</v>
      </c>
      <c r="ER2594" s="21">
        <v>46045.30310185185</v>
      </c>
    </row>
    <row r="2595">
      <c r="A2595" s="9" t="s">
        <v>8089</v>
      </c>
      <c r="B2595" s="20" t="str">
        <f>IFERROR(__xludf.DUMMYFUNCTION("REGEXREPLACE(A2595, ""^https?://[^/]+"", """")"),"/wp-content/uploads/2015/11/Sales-Plan-RS-72-dpi-560-x-225.jpg")</f>
        <v>/wp-content/uploads/2015/11/Sales-Plan-RS-72-dpi-560-x-225.jpg</v>
      </c>
      <c r="F2595" s="1" t="s">
        <v>1004</v>
      </c>
      <c r="G2595" s="1">
        <v>200.0</v>
      </c>
      <c r="H2595" s="1" t="s">
        <v>966</v>
      </c>
      <c r="I2595" s="1" t="s">
        <v>967</v>
      </c>
      <c r="L2595" s="1">
        <v>0.0</v>
      </c>
      <c r="M2595" s="1">
        <v>0.0</v>
      </c>
      <c r="O2595" s="1">
        <v>0.0</v>
      </c>
      <c r="P2595" s="1">
        <v>0.0</v>
      </c>
      <c r="R2595" s="1">
        <v>0.0</v>
      </c>
      <c r="S2595" s="1">
        <v>0.0</v>
      </c>
      <c r="U2595" s="1">
        <v>0.0</v>
      </c>
      <c r="W2595" s="1">
        <v>0.0</v>
      </c>
      <c r="Y2595" s="1">
        <v>0.0</v>
      </c>
      <c r="AA2595" s="1">
        <v>0.0</v>
      </c>
      <c r="AC2595" s="1">
        <v>0.0</v>
      </c>
      <c r="AM2595" s="1">
        <v>33911.0</v>
      </c>
      <c r="AN2595" s="1">
        <v>33911.0</v>
      </c>
      <c r="AO2595" s="1">
        <v>33911.0</v>
      </c>
      <c r="AP2595" s="1">
        <v>12.991</v>
      </c>
      <c r="AR2595" s="1">
        <v>0.0</v>
      </c>
      <c r="AW2595" s="1">
        <v>0.0</v>
      </c>
      <c r="AX2595" s="1">
        <v>6.0</v>
      </c>
      <c r="AY2595" s="1">
        <v>4.0</v>
      </c>
      <c r="BA2595" s="1">
        <v>0.0</v>
      </c>
      <c r="BB2595" s="1">
        <v>0.0</v>
      </c>
      <c r="BC2595" s="1">
        <v>0.0</v>
      </c>
      <c r="BD2595" s="1">
        <v>0.0</v>
      </c>
      <c r="BE2595" s="1">
        <v>0.0</v>
      </c>
      <c r="BF2595" s="1">
        <v>0.0</v>
      </c>
      <c r="BG2595" s="1">
        <v>0.0</v>
      </c>
      <c r="BH2595" s="1">
        <v>0.0</v>
      </c>
      <c r="BI2595" s="1">
        <v>0.0</v>
      </c>
      <c r="BJ2595" s="1">
        <v>0.0</v>
      </c>
      <c r="BP2595" s="1">
        <v>0.274</v>
      </c>
      <c r="BQ2595" s="1" t="s">
        <v>8090</v>
      </c>
      <c r="BV2595" s="1">
        <v>1.1</v>
      </c>
      <c r="EQ2595" s="9" t="s">
        <v>8089</v>
      </c>
      <c r="ER2595" s="21">
        <v>46045.30310185185</v>
      </c>
    </row>
    <row r="2596">
      <c r="A2596" s="9" t="s">
        <v>7721</v>
      </c>
      <c r="B2596" s="20" t="str">
        <f>IFERROR(__xludf.DUMMYFUNCTION("REGEXREPLACE(A2596, ""^https?://[^/]+"", """")"),"/no-access/download-id/27869/")</f>
        <v>/no-access/download-id/27869/</v>
      </c>
      <c r="C2596" s="1" t="s">
        <v>6664</v>
      </c>
      <c r="F2596" s="1" t="s">
        <v>965</v>
      </c>
      <c r="G2596" s="1">
        <v>200.0</v>
      </c>
      <c r="H2596" s="1" t="s">
        <v>966</v>
      </c>
      <c r="I2596" s="1" t="s">
        <v>1214</v>
      </c>
      <c r="J2596" s="1" t="s">
        <v>1215</v>
      </c>
      <c r="K2596" s="1" t="s">
        <v>6665</v>
      </c>
      <c r="L2596" s="1">
        <v>29.0</v>
      </c>
      <c r="M2596" s="1">
        <v>265.0</v>
      </c>
      <c r="O2596" s="1">
        <v>0.0</v>
      </c>
      <c r="P2596" s="1">
        <v>0.0</v>
      </c>
      <c r="R2596" s="1">
        <v>0.0</v>
      </c>
      <c r="S2596" s="1">
        <v>0.0</v>
      </c>
      <c r="U2596" s="1">
        <v>0.0</v>
      </c>
      <c r="V2596" s="1" t="s">
        <v>6664</v>
      </c>
      <c r="W2596" s="1">
        <v>9.0</v>
      </c>
      <c r="Y2596" s="1">
        <v>0.0</v>
      </c>
      <c r="AA2596" s="1">
        <v>0.0</v>
      </c>
      <c r="AC2596" s="1">
        <v>0.0</v>
      </c>
      <c r="AD2596" s="1" t="s">
        <v>971</v>
      </c>
      <c r="AG2596" s="9" t="s">
        <v>6666</v>
      </c>
      <c r="AM2596" s="1">
        <v>145754.0</v>
      </c>
      <c r="AN2596" s="1">
        <v>28287.0</v>
      </c>
      <c r="AO2596" s="1">
        <v>28287.0</v>
      </c>
      <c r="AP2596" s="1">
        <v>10.836</v>
      </c>
      <c r="AR2596" s="1">
        <v>538.0</v>
      </c>
      <c r="AS2596" s="1">
        <v>93.0</v>
      </c>
      <c r="AT2596" s="1">
        <v>5.785</v>
      </c>
      <c r="AU2596" s="1">
        <v>61.483</v>
      </c>
      <c r="AV2596" s="1" t="s">
        <v>990</v>
      </c>
      <c r="AW2596" s="1">
        <v>3.905</v>
      </c>
      <c r="AX2596" s="1">
        <v>6.0</v>
      </c>
      <c r="AY2596" s="1">
        <v>3.0</v>
      </c>
      <c r="BA2596" s="1">
        <v>0.0</v>
      </c>
      <c r="BB2596" s="1">
        <v>0.0</v>
      </c>
      <c r="BC2596" s="1">
        <v>0.0</v>
      </c>
      <c r="BD2596" s="1">
        <v>0.0</v>
      </c>
      <c r="BE2596" s="1">
        <v>123.0</v>
      </c>
      <c r="BF2596" s="1">
        <v>42.0</v>
      </c>
      <c r="BG2596" s="1">
        <v>0.0</v>
      </c>
      <c r="BH2596" s="1">
        <v>16.0</v>
      </c>
      <c r="BI2596" s="1">
        <v>8.0</v>
      </c>
      <c r="BJ2596" s="1">
        <v>0.0</v>
      </c>
      <c r="BO2596" s="1" t="s">
        <v>8091</v>
      </c>
      <c r="BP2596" s="1">
        <v>1.356</v>
      </c>
      <c r="BU2596" s="1" t="s">
        <v>974</v>
      </c>
      <c r="BV2596" s="1">
        <v>1.1</v>
      </c>
      <c r="EQ2596" s="9" t="s">
        <v>7721</v>
      </c>
      <c r="ER2596" s="21">
        <v>46045.303078703706</v>
      </c>
    </row>
    <row r="2597">
      <c r="A2597" s="9" t="s">
        <v>8092</v>
      </c>
      <c r="B2597" s="20" t="str">
        <f>IFERROR(__xludf.DUMMYFUNCTION("REGEXREPLACE(A2597, ""^https?://[^/]+"", """")"),"/how-to-implement-a-crisis-sales-plan/")</f>
        <v>/how-to-implement-a-crisis-sales-plan/</v>
      </c>
      <c r="C2597" s="1" t="s">
        <v>8093</v>
      </c>
      <c r="F2597" s="1" t="s">
        <v>965</v>
      </c>
      <c r="G2597" s="1">
        <v>200.0</v>
      </c>
      <c r="H2597" s="1" t="s">
        <v>966</v>
      </c>
      <c r="I2597" s="1" t="s">
        <v>967</v>
      </c>
      <c r="K2597" s="1" t="s">
        <v>8094</v>
      </c>
      <c r="L2597" s="1">
        <v>61.0</v>
      </c>
      <c r="M2597" s="1">
        <v>550.0</v>
      </c>
      <c r="O2597" s="1">
        <v>0.0</v>
      </c>
      <c r="P2597" s="1">
        <v>0.0</v>
      </c>
      <c r="Q2597" s="1" t="s">
        <v>8095</v>
      </c>
      <c r="R2597" s="1">
        <v>160.0</v>
      </c>
      <c r="S2597" s="1">
        <v>973.0</v>
      </c>
      <c r="U2597" s="1">
        <v>0.0</v>
      </c>
      <c r="V2597" s="1" t="s">
        <v>8093</v>
      </c>
      <c r="W2597" s="1">
        <v>36.0</v>
      </c>
      <c r="Y2597" s="1">
        <v>0.0</v>
      </c>
      <c r="AA2597" s="1">
        <v>0.0</v>
      </c>
      <c r="AC2597" s="1">
        <v>0.0</v>
      </c>
      <c r="AD2597" s="1" t="s">
        <v>971</v>
      </c>
      <c r="AG2597" s="9" t="s">
        <v>8092</v>
      </c>
      <c r="AM2597" s="1">
        <v>206384.0</v>
      </c>
      <c r="AN2597" s="1">
        <v>37127.0</v>
      </c>
      <c r="AO2597" s="1">
        <v>37127.0</v>
      </c>
      <c r="AP2597" s="1">
        <v>14.223</v>
      </c>
      <c r="AR2597" s="1">
        <v>1657.0</v>
      </c>
      <c r="AS2597" s="1">
        <v>246.0</v>
      </c>
      <c r="AT2597" s="1">
        <v>6.736</v>
      </c>
      <c r="AU2597" s="1">
        <v>59.849</v>
      </c>
      <c r="AV2597" s="1" t="s">
        <v>972</v>
      </c>
      <c r="AW2597" s="1">
        <v>6.118</v>
      </c>
      <c r="AX2597" s="1">
        <v>6.0</v>
      </c>
      <c r="AY2597" s="1">
        <v>1.0</v>
      </c>
      <c r="AZ2597" s="1">
        <v>1.0</v>
      </c>
      <c r="BA2597" s="1">
        <v>1.0</v>
      </c>
      <c r="BB2597" s="1">
        <v>1.0</v>
      </c>
      <c r="BC2597" s="1">
        <v>0.0</v>
      </c>
      <c r="BD2597" s="1">
        <v>0.13</v>
      </c>
      <c r="BE2597" s="1">
        <v>131.0</v>
      </c>
      <c r="BF2597" s="1">
        <v>48.0</v>
      </c>
      <c r="BG2597" s="1">
        <v>0.0</v>
      </c>
      <c r="BH2597" s="1">
        <v>16.0</v>
      </c>
      <c r="BI2597" s="1">
        <v>8.0</v>
      </c>
      <c r="BJ2597" s="1">
        <v>0.0</v>
      </c>
      <c r="BO2597" s="1" t="s">
        <v>8096</v>
      </c>
      <c r="BP2597" s="1">
        <v>1.065</v>
      </c>
      <c r="BU2597" s="1" t="s">
        <v>974</v>
      </c>
      <c r="BV2597" s="1">
        <v>1.1</v>
      </c>
      <c r="EQ2597" s="9" t="s">
        <v>8092</v>
      </c>
      <c r="ER2597" s="21">
        <v>46045.303090277775</v>
      </c>
    </row>
    <row r="2598">
      <c r="A2598" s="9" t="s">
        <v>8097</v>
      </c>
      <c r="B2598" s="20" t="str">
        <f>IFERROR(__xludf.DUMMYFUNCTION("REGEXREPLACE(A2598, ""^https?://[^/]+"", """")"),"/wp-content/uploads/2015/07/Profit-Article-Image-2048x2048.jpg")</f>
        <v>/wp-content/uploads/2015/07/Profit-Article-Image-2048x2048.jpg</v>
      </c>
      <c r="F2598" s="1" t="s">
        <v>1004</v>
      </c>
      <c r="G2598" s="1">
        <v>200.0</v>
      </c>
      <c r="H2598" s="1" t="s">
        <v>966</v>
      </c>
      <c r="I2598" s="1" t="s">
        <v>967</v>
      </c>
      <c r="L2598" s="1">
        <v>0.0</v>
      </c>
      <c r="M2598" s="1">
        <v>0.0</v>
      </c>
      <c r="O2598" s="1">
        <v>0.0</v>
      </c>
      <c r="P2598" s="1">
        <v>0.0</v>
      </c>
      <c r="R2598" s="1">
        <v>0.0</v>
      </c>
      <c r="S2598" s="1">
        <v>0.0</v>
      </c>
      <c r="U2598" s="1">
        <v>0.0</v>
      </c>
      <c r="W2598" s="1">
        <v>0.0</v>
      </c>
      <c r="Y2598" s="1">
        <v>0.0</v>
      </c>
      <c r="AA2598" s="1">
        <v>0.0</v>
      </c>
      <c r="AC2598" s="1">
        <v>0.0</v>
      </c>
      <c r="AM2598" s="1">
        <v>124644.0</v>
      </c>
      <c r="AN2598" s="1">
        <v>124644.0</v>
      </c>
      <c r="AO2598" s="1">
        <v>124644.0</v>
      </c>
      <c r="AP2598" s="1">
        <v>47.749</v>
      </c>
      <c r="AR2598" s="1">
        <v>0.0</v>
      </c>
      <c r="AW2598" s="1">
        <v>0.0</v>
      </c>
      <c r="AX2598" s="1">
        <v>6.0</v>
      </c>
      <c r="AY2598" s="1">
        <v>4.0</v>
      </c>
      <c r="BA2598" s="1">
        <v>0.0</v>
      </c>
      <c r="BB2598" s="1">
        <v>0.0</v>
      </c>
      <c r="BC2598" s="1">
        <v>0.0</v>
      </c>
      <c r="BD2598" s="1">
        <v>0.0</v>
      </c>
      <c r="BE2598" s="1">
        <v>0.0</v>
      </c>
      <c r="BF2598" s="1">
        <v>0.0</v>
      </c>
      <c r="BG2598" s="1">
        <v>0.0</v>
      </c>
      <c r="BH2598" s="1">
        <v>0.0</v>
      </c>
      <c r="BI2598" s="1">
        <v>0.0</v>
      </c>
      <c r="BJ2598" s="1">
        <v>0.0</v>
      </c>
      <c r="BP2598" s="1">
        <v>0.269</v>
      </c>
      <c r="BQ2598" s="1" t="s">
        <v>8098</v>
      </c>
      <c r="BV2598" s="1">
        <v>1.1</v>
      </c>
      <c r="EQ2598" s="9" t="s">
        <v>8097</v>
      </c>
      <c r="ER2598" s="21">
        <v>46045.30310185185</v>
      </c>
    </row>
    <row r="2599">
      <c r="A2599" s="9" t="s">
        <v>8099</v>
      </c>
      <c r="B2599" s="20" t="str">
        <f>IFERROR(__xludf.DUMMYFUNCTION("REGEXREPLACE(A2599, ""^https?://[^/]+"", """")"),"/wp-content/themes/salesxceleratione/assets/css/style.css?ver=1769123732")</f>
        <v>/wp-content/themes/salesxceleratione/assets/css/style.css?ver=1769123732</v>
      </c>
      <c r="F2599" s="1" t="s">
        <v>1016</v>
      </c>
      <c r="G2599" s="1">
        <v>200.0</v>
      </c>
      <c r="H2599" s="1" t="s">
        <v>966</v>
      </c>
      <c r="I2599" s="1" t="s">
        <v>967</v>
      </c>
      <c r="L2599" s="1">
        <v>0.0</v>
      </c>
      <c r="M2599" s="1">
        <v>0.0</v>
      </c>
      <c r="O2599" s="1">
        <v>0.0</v>
      </c>
      <c r="P2599" s="1">
        <v>0.0</v>
      </c>
      <c r="R2599" s="1">
        <v>0.0</v>
      </c>
      <c r="S2599" s="1">
        <v>0.0</v>
      </c>
      <c r="U2599" s="1">
        <v>0.0</v>
      </c>
      <c r="W2599" s="1">
        <v>0.0</v>
      </c>
      <c r="Y2599" s="1">
        <v>0.0</v>
      </c>
      <c r="AA2599" s="1">
        <v>0.0</v>
      </c>
      <c r="AC2599" s="1">
        <v>0.0</v>
      </c>
      <c r="AM2599" s="1">
        <v>17704.0</v>
      </c>
      <c r="AN2599" s="1">
        <v>17704.0</v>
      </c>
      <c r="AO2599" s="1">
        <v>17704.0</v>
      </c>
      <c r="AP2599" s="1">
        <v>6.782</v>
      </c>
      <c r="AR2599" s="1">
        <v>0.0</v>
      </c>
      <c r="AW2599" s="1">
        <v>0.0</v>
      </c>
      <c r="AX2599" s="1">
        <v>6.0</v>
      </c>
      <c r="AY2599" s="1">
        <v>5.0</v>
      </c>
      <c r="BA2599" s="1">
        <v>0.0</v>
      </c>
      <c r="BB2599" s="1">
        <v>0.0</v>
      </c>
      <c r="BC2599" s="1">
        <v>0.0</v>
      </c>
      <c r="BD2599" s="1">
        <v>0.0</v>
      </c>
      <c r="BE2599" s="1">
        <v>0.0</v>
      </c>
      <c r="BF2599" s="1">
        <v>0.0</v>
      </c>
      <c r="BG2599" s="1">
        <v>0.0</v>
      </c>
      <c r="BH2599" s="1">
        <v>0.0</v>
      </c>
      <c r="BI2599" s="1">
        <v>0.0</v>
      </c>
      <c r="BJ2599" s="1">
        <v>0.0</v>
      </c>
      <c r="BP2599" s="1">
        <v>0.254</v>
      </c>
      <c r="BQ2599" s="1" t="s">
        <v>7638</v>
      </c>
      <c r="BV2599" s="1">
        <v>1.1</v>
      </c>
      <c r="EQ2599" s="9" t="s">
        <v>8099</v>
      </c>
      <c r="ER2599" s="21">
        <v>46045.30310185185</v>
      </c>
    </row>
    <row r="2600">
      <c r="A2600" s="9" t="s">
        <v>8100</v>
      </c>
      <c r="B2600" s="20" t="str">
        <f>IFERROR(__xludf.DUMMYFUNCTION("REGEXREPLACE(A2600, ""^https?://[^/]+"", """")"),"/wp-content/uploads/2015/03/strategic-sales-planning-business-on-track-sales-xcerleation-2048x2048.png")</f>
        <v>/wp-content/uploads/2015/03/strategic-sales-planning-business-on-track-sales-xcerleation-2048x2048.png</v>
      </c>
      <c r="F2600" s="1" t="s">
        <v>1047</v>
      </c>
      <c r="G2600" s="1">
        <v>200.0</v>
      </c>
      <c r="H2600" s="1" t="s">
        <v>966</v>
      </c>
      <c r="I2600" s="1" t="s">
        <v>967</v>
      </c>
      <c r="L2600" s="1">
        <v>0.0</v>
      </c>
      <c r="M2600" s="1">
        <v>0.0</v>
      </c>
      <c r="O2600" s="1">
        <v>0.0</v>
      </c>
      <c r="P2600" s="1">
        <v>0.0</v>
      </c>
      <c r="R2600" s="1">
        <v>0.0</v>
      </c>
      <c r="S2600" s="1">
        <v>0.0</v>
      </c>
      <c r="U2600" s="1">
        <v>0.0</v>
      </c>
      <c r="W2600" s="1">
        <v>0.0</v>
      </c>
      <c r="Y2600" s="1">
        <v>0.0</v>
      </c>
      <c r="AA2600" s="1">
        <v>0.0</v>
      </c>
      <c r="AC2600" s="1">
        <v>0.0</v>
      </c>
      <c r="AM2600" s="1">
        <v>2115301.0</v>
      </c>
      <c r="AN2600" s="1">
        <v>2115301.0</v>
      </c>
      <c r="AO2600" s="1">
        <v>2115301.0</v>
      </c>
      <c r="AP2600" s="1">
        <v>810.332</v>
      </c>
      <c r="AR2600" s="1">
        <v>0.0</v>
      </c>
      <c r="AW2600" s="1">
        <v>0.0</v>
      </c>
      <c r="AX2600" s="1">
        <v>6.0</v>
      </c>
      <c r="AY2600" s="1">
        <v>4.0</v>
      </c>
      <c r="BA2600" s="1">
        <v>0.0</v>
      </c>
      <c r="BB2600" s="1">
        <v>0.0</v>
      </c>
      <c r="BC2600" s="1">
        <v>0.0</v>
      </c>
      <c r="BD2600" s="1">
        <v>0.0</v>
      </c>
      <c r="BE2600" s="1">
        <v>0.0</v>
      </c>
      <c r="BF2600" s="1">
        <v>0.0</v>
      </c>
      <c r="BG2600" s="1">
        <v>0.0</v>
      </c>
      <c r="BH2600" s="1">
        <v>0.0</v>
      </c>
      <c r="BI2600" s="1">
        <v>0.0</v>
      </c>
      <c r="BJ2600" s="1">
        <v>0.0</v>
      </c>
      <c r="BP2600" s="1">
        <v>0.273</v>
      </c>
      <c r="BQ2600" s="1" t="s">
        <v>8101</v>
      </c>
      <c r="BV2600" s="1">
        <v>1.1</v>
      </c>
      <c r="EQ2600" s="9" t="s">
        <v>8100</v>
      </c>
      <c r="ER2600" s="21">
        <v>46045.30310185185</v>
      </c>
    </row>
    <row r="2601">
      <c r="A2601" s="9" t="s">
        <v>8102</v>
      </c>
      <c r="B2601" s="20" t="str">
        <f>IFERROR(__xludf.DUMMYFUNCTION("REGEXREPLACE(A2601, ""^https?://[^/]+"", """")"),"/wp-content/uploads/2022/01/https___specials-images.forbesimg.com_imageserve_61e0352da916d2d434a29ba3_Choice-Concept-With-Doors-In-Maze_960x0.jpg")</f>
        <v>/wp-content/uploads/2022/01/https___specials-images.forbesimg.com_imageserve_61e0352da916d2d434a29ba3_Choice-Concept-With-Doors-In-Maze_960x0.jpg</v>
      </c>
      <c r="F2601" s="1" t="s">
        <v>1004</v>
      </c>
      <c r="G2601" s="1">
        <v>200.0</v>
      </c>
      <c r="H2601" s="1" t="s">
        <v>966</v>
      </c>
      <c r="I2601" s="1" t="s">
        <v>967</v>
      </c>
      <c r="L2601" s="1">
        <v>0.0</v>
      </c>
      <c r="M2601" s="1">
        <v>0.0</v>
      </c>
      <c r="O2601" s="1">
        <v>0.0</v>
      </c>
      <c r="P2601" s="1">
        <v>0.0</v>
      </c>
      <c r="R2601" s="1">
        <v>0.0</v>
      </c>
      <c r="S2601" s="1">
        <v>0.0</v>
      </c>
      <c r="U2601" s="1">
        <v>0.0</v>
      </c>
      <c r="W2601" s="1">
        <v>0.0</v>
      </c>
      <c r="Y2601" s="1">
        <v>0.0</v>
      </c>
      <c r="AA2601" s="1">
        <v>0.0</v>
      </c>
      <c r="AC2601" s="1">
        <v>0.0</v>
      </c>
      <c r="AM2601" s="1">
        <v>50804.0</v>
      </c>
      <c r="AN2601" s="1">
        <v>50804.0</v>
      </c>
      <c r="AO2601" s="1">
        <v>50804.0</v>
      </c>
      <c r="AP2601" s="1">
        <v>19.462</v>
      </c>
      <c r="AR2601" s="1">
        <v>0.0</v>
      </c>
      <c r="AW2601" s="1">
        <v>0.0</v>
      </c>
      <c r="AX2601" s="1">
        <v>6.0</v>
      </c>
      <c r="AY2601" s="1">
        <v>4.0</v>
      </c>
      <c r="BA2601" s="1">
        <v>0.0</v>
      </c>
      <c r="BB2601" s="1">
        <v>0.0</v>
      </c>
      <c r="BC2601" s="1">
        <v>0.0</v>
      </c>
      <c r="BD2601" s="1">
        <v>0.0</v>
      </c>
      <c r="BE2601" s="1">
        <v>0.0</v>
      </c>
      <c r="BF2601" s="1">
        <v>0.0</v>
      </c>
      <c r="BG2601" s="1">
        <v>0.0</v>
      </c>
      <c r="BH2601" s="1">
        <v>0.0</v>
      </c>
      <c r="BI2601" s="1">
        <v>0.0</v>
      </c>
      <c r="BJ2601" s="1">
        <v>0.0</v>
      </c>
      <c r="BP2601" s="1">
        <v>0.27</v>
      </c>
      <c r="BQ2601" s="1" t="s">
        <v>7605</v>
      </c>
      <c r="BV2601" s="1">
        <v>1.1</v>
      </c>
      <c r="EQ2601" s="9" t="s">
        <v>8102</v>
      </c>
      <c r="ER2601" s="21">
        <v>46045.30310185185</v>
      </c>
    </row>
    <row r="2602">
      <c r="A2602" s="9" t="s">
        <v>8103</v>
      </c>
      <c r="B2602" s="20" t="str">
        <f>IFERROR(__xludf.DUMMYFUNCTION("REGEXREPLACE(A2602, ""^https?://[^/]+"", """")"),"/halftime-is-prime-time-to-move-from-success-to-significance/")</f>
        <v>/halftime-is-prime-time-to-move-from-success-to-significance/</v>
      </c>
      <c r="C2602" s="1" t="s">
        <v>8104</v>
      </c>
      <c r="F2602" s="1" t="s">
        <v>965</v>
      </c>
      <c r="G2602" s="1">
        <v>200.0</v>
      </c>
      <c r="H2602" s="1" t="s">
        <v>966</v>
      </c>
      <c r="I2602" s="1" t="s">
        <v>967</v>
      </c>
      <c r="K2602" s="1" t="s">
        <v>8105</v>
      </c>
      <c r="L2602" s="1">
        <v>84.0</v>
      </c>
      <c r="M2602" s="1">
        <v>764.0</v>
      </c>
      <c r="O2602" s="1">
        <v>0.0</v>
      </c>
      <c r="P2602" s="1">
        <v>0.0</v>
      </c>
      <c r="Q2602" s="1" t="s">
        <v>8106</v>
      </c>
      <c r="R2602" s="1">
        <v>154.0</v>
      </c>
      <c r="S2602" s="1">
        <v>918.0</v>
      </c>
      <c r="U2602" s="1">
        <v>0.0</v>
      </c>
      <c r="V2602" s="1" t="s">
        <v>8104</v>
      </c>
      <c r="W2602" s="1">
        <v>59.0</v>
      </c>
      <c r="Y2602" s="1">
        <v>0.0</v>
      </c>
      <c r="AA2602" s="1">
        <v>0.0</v>
      </c>
      <c r="AC2602" s="1">
        <v>0.0</v>
      </c>
      <c r="AD2602" s="1" t="s">
        <v>971</v>
      </c>
      <c r="AG2602" s="9" t="s">
        <v>8103</v>
      </c>
      <c r="AM2602" s="1">
        <v>201713.0</v>
      </c>
      <c r="AN2602" s="1">
        <v>36507.0</v>
      </c>
      <c r="AO2602" s="1">
        <v>36507.0</v>
      </c>
      <c r="AP2602" s="1">
        <v>13.985</v>
      </c>
      <c r="AR2602" s="1">
        <v>1546.0</v>
      </c>
      <c r="AS2602" s="1">
        <v>222.0</v>
      </c>
      <c r="AT2602" s="1">
        <v>6.964</v>
      </c>
      <c r="AU2602" s="1">
        <v>70.787</v>
      </c>
      <c r="AV2602" s="1" t="s">
        <v>1264</v>
      </c>
      <c r="AW2602" s="1">
        <v>5.743</v>
      </c>
      <c r="AX2602" s="1">
        <v>6.0</v>
      </c>
      <c r="AY2602" s="1">
        <v>1.0</v>
      </c>
      <c r="AZ2602" s="1">
        <v>1.0</v>
      </c>
      <c r="BA2602" s="1">
        <v>4.0</v>
      </c>
      <c r="BB2602" s="1">
        <v>3.0</v>
      </c>
      <c r="BC2602" s="1">
        <v>0.0</v>
      </c>
      <c r="BD2602" s="1">
        <v>0.4</v>
      </c>
      <c r="BE2602" s="1">
        <v>131.0</v>
      </c>
      <c r="BF2602" s="1">
        <v>48.0</v>
      </c>
      <c r="BG2602" s="1">
        <v>0.0</v>
      </c>
      <c r="BH2602" s="1">
        <v>17.0</v>
      </c>
      <c r="BI2602" s="1">
        <v>9.0</v>
      </c>
      <c r="BJ2602" s="1">
        <v>0.0</v>
      </c>
      <c r="BO2602" s="1" t="s">
        <v>8107</v>
      </c>
      <c r="BP2602" s="1">
        <v>1.057</v>
      </c>
      <c r="BU2602" s="1" t="s">
        <v>974</v>
      </c>
      <c r="BV2602" s="1">
        <v>1.1</v>
      </c>
      <c r="EQ2602" s="9" t="s">
        <v>8103</v>
      </c>
      <c r="ER2602" s="21">
        <v>46045.30310185185</v>
      </c>
    </row>
    <row r="2603">
      <c r="A2603" s="9" t="s">
        <v>8108</v>
      </c>
      <c r="B2603" s="20" t="str">
        <f>IFERROR(__xludf.DUMMYFUNCTION("REGEXREPLACE(A2603, ""^https?://[^/]+"", """")"),"/wp-content/themes/salesxceleratione/assets/css/style.css?ver=1769123731")</f>
        <v>/wp-content/themes/salesxceleratione/assets/css/style.css?ver=1769123731</v>
      </c>
      <c r="F2603" s="1" t="s">
        <v>1016</v>
      </c>
      <c r="G2603" s="1">
        <v>200.0</v>
      </c>
      <c r="H2603" s="1" t="s">
        <v>966</v>
      </c>
      <c r="I2603" s="1" t="s">
        <v>967</v>
      </c>
      <c r="L2603" s="1">
        <v>0.0</v>
      </c>
      <c r="M2603" s="1">
        <v>0.0</v>
      </c>
      <c r="O2603" s="1">
        <v>0.0</v>
      </c>
      <c r="P2603" s="1">
        <v>0.0</v>
      </c>
      <c r="R2603" s="1">
        <v>0.0</v>
      </c>
      <c r="S2603" s="1">
        <v>0.0</v>
      </c>
      <c r="U2603" s="1">
        <v>0.0</v>
      </c>
      <c r="W2603" s="1">
        <v>0.0</v>
      </c>
      <c r="Y2603" s="1">
        <v>0.0</v>
      </c>
      <c r="AA2603" s="1">
        <v>0.0</v>
      </c>
      <c r="AC2603" s="1">
        <v>0.0</v>
      </c>
      <c r="AM2603" s="1">
        <v>17704.0</v>
      </c>
      <c r="AN2603" s="1">
        <v>17704.0</v>
      </c>
      <c r="AO2603" s="1">
        <v>17704.0</v>
      </c>
      <c r="AP2603" s="1">
        <v>6.782</v>
      </c>
      <c r="AR2603" s="1">
        <v>0.0</v>
      </c>
      <c r="AW2603" s="1">
        <v>0.0</v>
      </c>
      <c r="AX2603" s="1">
        <v>6.0</v>
      </c>
      <c r="AY2603" s="1">
        <v>5.0</v>
      </c>
      <c r="BA2603" s="1">
        <v>0.0</v>
      </c>
      <c r="BB2603" s="1">
        <v>0.0</v>
      </c>
      <c r="BC2603" s="1">
        <v>0.0</v>
      </c>
      <c r="BD2603" s="1">
        <v>0.0</v>
      </c>
      <c r="BE2603" s="1">
        <v>0.0</v>
      </c>
      <c r="BF2603" s="1">
        <v>0.0</v>
      </c>
      <c r="BG2603" s="1">
        <v>0.0</v>
      </c>
      <c r="BH2603" s="1">
        <v>0.0</v>
      </c>
      <c r="BI2603" s="1">
        <v>0.0</v>
      </c>
      <c r="BJ2603" s="1">
        <v>0.0</v>
      </c>
      <c r="BP2603" s="1">
        <v>0.28</v>
      </c>
      <c r="BQ2603" s="1" t="s">
        <v>8109</v>
      </c>
      <c r="BV2603" s="1">
        <v>1.1</v>
      </c>
      <c r="EQ2603" s="9" t="s">
        <v>8108</v>
      </c>
      <c r="ER2603" s="21">
        <v>46045.30311342593</v>
      </c>
    </row>
    <row r="2604">
      <c r="A2604" s="9" t="s">
        <v>8110</v>
      </c>
      <c r="B2604" s="20" t="str">
        <f>IFERROR(__xludf.DUMMYFUNCTION("REGEXREPLACE(A2604, ""^https?://[^/]+"", """")"),"/wp-content/uploads/2021/08/choppy-blue-sea-with-blue-sky-and-sun.jpg")</f>
        <v>/wp-content/uploads/2021/08/choppy-blue-sea-with-blue-sky-and-sun.jpg</v>
      </c>
      <c r="F2604" s="1" t="s">
        <v>1004</v>
      </c>
      <c r="G2604" s="1">
        <v>200.0</v>
      </c>
      <c r="H2604" s="1" t="s">
        <v>966</v>
      </c>
      <c r="I2604" s="1" t="s">
        <v>967</v>
      </c>
      <c r="L2604" s="1">
        <v>0.0</v>
      </c>
      <c r="M2604" s="1">
        <v>0.0</v>
      </c>
      <c r="O2604" s="1">
        <v>0.0</v>
      </c>
      <c r="P2604" s="1">
        <v>0.0</v>
      </c>
      <c r="R2604" s="1">
        <v>0.0</v>
      </c>
      <c r="S2604" s="1">
        <v>0.0</v>
      </c>
      <c r="U2604" s="1">
        <v>0.0</v>
      </c>
      <c r="W2604" s="1">
        <v>0.0</v>
      </c>
      <c r="Y2604" s="1">
        <v>0.0</v>
      </c>
      <c r="AA2604" s="1">
        <v>0.0</v>
      </c>
      <c r="AC2604" s="1">
        <v>0.0</v>
      </c>
      <c r="AM2604" s="1">
        <v>63527.0</v>
      </c>
      <c r="AN2604" s="1">
        <v>63527.0</v>
      </c>
      <c r="AO2604" s="1">
        <v>63527.0</v>
      </c>
      <c r="AP2604" s="1">
        <v>24.336</v>
      </c>
      <c r="AR2604" s="1">
        <v>0.0</v>
      </c>
      <c r="AW2604" s="1">
        <v>0.0</v>
      </c>
      <c r="AX2604" s="1">
        <v>6.0</v>
      </c>
      <c r="AY2604" s="1">
        <v>4.0</v>
      </c>
      <c r="BA2604" s="1">
        <v>0.0</v>
      </c>
      <c r="BB2604" s="1">
        <v>0.0</v>
      </c>
      <c r="BC2604" s="1">
        <v>0.0</v>
      </c>
      <c r="BD2604" s="1">
        <v>0.0</v>
      </c>
      <c r="BE2604" s="1">
        <v>0.0</v>
      </c>
      <c r="BF2604" s="1">
        <v>0.0</v>
      </c>
      <c r="BG2604" s="1">
        <v>0.0</v>
      </c>
      <c r="BH2604" s="1">
        <v>0.0</v>
      </c>
      <c r="BI2604" s="1">
        <v>0.0</v>
      </c>
      <c r="BJ2604" s="1">
        <v>0.0</v>
      </c>
      <c r="BP2604" s="1">
        <v>0.27</v>
      </c>
      <c r="BQ2604" s="1" t="s">
        <v>8111</v>
      </c>
      <c r="BV2604" s="1">
        <v>1.1</v>
      </c>
      <c r="EQ2604" s="9" t="s">
        <v>8110</v>
      </c>
      <c r="ER2604" s="21">
        <v>46045.30311342593</v>
      </c>
    </row>
    <row r="2605">
      <c r="A2605" s="9" t="s">
        <v>8112</v>
      </c>
      <c r="B2605" s="20" t="str">
        <f>IFERROR(__xludf.DUMMYFUNCTION("REGEXREPLACE(A2605, ""^https?://[^/]+"", """")"),"/how-strategic-sales-planning-can-keep-your-business-on-track-for-success/")</f>
        <v>/how-strategic-sales-planning-can-keep-your-business-on-track-for-success/</v>
      </c>
      <c r="C2605" s="1" t="s">
        <v>8113</v>
      </c>
      <c r="F2605" s="1" t="s">
        <v>965</v>
      </c>
      <c r="G2605" s="1">
        <v>200.0</v>
      </c>
      <c r="H2605" s="1" t="s">
        <v>966</v>
      </c>
      <c r="I2605" s="1" t="s">
        <v>967</v>
      </c>
      <c r="K2605" s="1" t="s">
        <v>8114</v>
      </c>
      <c r="L2605" s="1">
        <v>67.0</v>
      </c>
      <c r="M2605" s="1">
        <v>585.0</v>
      </c>
      <c r="O2605" s="1">
        <v>0.0</v>
      </c>
      <c r="P2605" s="1">
        <v>0.0</v>
      </c>
      <c r="Q2605" s="1" t="s">
        <v>8115</v>
      </c>
      <c r="R2605" s="1">
        <v>157.0</v>
      </c>
      <c r="S2605" s="1">
        <v>952.0</v>
      </c>
      <c r="U2605" s="1">
        <v>0.0</v>
      </c>
      <c r="V2605" s="1" t="s">
        <v>8113</v>
      </c>
      <c r="W2605" s="1">
        <v>72.0</v>
      </c>
      <c r="Y2605" s="1">
        <v>0.0</v>
      </c>
      <c r="AA2605" s="1">
        <v>0.0</v>
      </c>
      <c r="AC2605" s="1">
        <v>0.0</v>
      </c>
      <c r="AD2605" s="1" t="s">
        <v>971</v>
      </c>
      <c r="AG2605" s="9" t="s">
        <v>8112</v>
      </c>
      <c r="AM2605" s="1">
        <v>201305.0</v>
      </c>
      <c r="AN2605" s="1">
        <v>35938.0</v>
      </c>
      <c r="AO2605" s="1">
        <v>35938.0</v>
      </c>
      <c r="AP2605" s="1">
        <v>13.767</v>
      </c>
      <c r="AR2605" s="1">
        <v>1360.0</v>
      </c>
      <c r="AS2605" s="1">
        <v>207.0</v>
      </c>
      <c r="AT2605" s="1">
        <v>6.57</v>
      </c>
      <c r="AU2605" s="1">
        <v>67.046</v>
      </c>
      <c r="AV2605" s="1" t="s">
        <v>990</v>
      </c>
      <c r="AW2605" s="1">
        <v>5.288</v>
      </c>
      <c r="AX2605" s="1">
        <v>6.0</v>
      </c>
      <c r="AY2605" s="1">
        <v>1.0</v>
      </c>
      <c r="AZ2605" s="1">
        <v>1.0</v>
      </c>
      <c r="BA2605" s="1">
        <v>2.0</v>
      </c>
      <c r="BB2605" s="1">
        <v>2.0</v>
      </c>
      <c r="BC2605" s="1">
        <v>0.0</v>
      </c>
      <c r="BD2605" s="1">
        <v>0.27</v>
      </c>
      <c r="BE2605" s="1">
        <v>131.0</v>
      </c>
      <c r="BF2605" s="1">
        <v>48.0</v>
      </c>
      <c r="BG2605" s="1">
        <v>0.0</v>
      </c>
      <c r="BH2605" s="1">
        <v>16.0</v>
      </c>
      <c r="BI2605" s="1">
        <v>8.0</v>
      </c>
      <c r="BJ2605" s="1">
        <v>0.0</v>
      </c>
      <c r="BO2605" s="1" t="s">
        <v>8116</v>
      </c>
      <c r="BP2605" s="1">
        <v>1.041</v>
      </c>
      <c r="BU2605" s="1" t="s">
        <v>974</v>
      </c>
      <c r="BV2605" s="1">
        <v>1.1</v>
      </c>
      <c r="EQ2605" s="9" t="s">
        <v>8112</v>
      </c>
      <c r="ER2605" s="21">
        <v>46045.30310185185</v>
      </c>
    </row>
    <row r="2606">
      <c r="A2606" s="9" t="s">
        <v>8117</v>
      </c>
      <c r="B2606" s="20" t="str">
        <f>IFERROR(__xludf.DUMMYFUNCTION("REGEXREPLACE(A2606, ""^https?://[^/]+"", """")"),"/wp-content/uploads/2020/06/shutterstock_738625801-scaled-1-2048x2048.jpg")</f>
        <v>/wp-content/uploads/2020/06/shutterstock_738625801-scaled-1-2048x2048.jpg</v>
      </c>
      <c r="F2606" s="1" t="s">
        <v>1004</v>
      </c>
      <c r="G2606" s="1">
        <v>200.0</v>
      </c>
      <c r="H2606" s="1" t="s">
        <v>966</v>
      </c>
      <c r="I2606" s="1" t="s">
        <v>967</v>
      </c>
      <c r="L2606" s="1">
        <v>0.0</v>
      </c>
      <c r="M2606" s="1">
        <v>0.0</v>
      </c>
      <c r="O2606" s="1">
        <v>0.0</v>
      </c>
      <c r="P2606" s="1">
        <v>0.0</v>
      </c>
      <c r="R2606" s="1">
        <v>0.0</v>
      </c>
      <c r="S2606" s="1">
        <v>0.0</v>
      </c>
      <c r="U2606" s="1">
        <v>0.0</v>
      </c>
      <c r="W2606" s="1">
        <v>0.0</v>
      </c>
      <c r="Y2606" s="1">
        <v>0.0</v>
      </c>
      <c r="AA2606" s="1">
        <v>0.0</v>
      </c>
      <c r="AC2606" s="1">
        <v>0.0</v>
      </c>
      <c r="AM2606" s="1">
        <v>259911.0</v>
      </c>
      <c r="AN2606" s="1">
        <v>259911.0</v>
      </c>
      <c r="AO2606" s="1">
        <v>259911.0</v>
      </c>
      <c r="AP2606" s="1">
        <v>99.567</v>
      </c>
      <c r="AR2606" s="1">
        <v>0.0</v>
      </c>
      <c r="AW2606" s="1">
        <v>0.0</v>
      </c>
      <c r="AX2606" s="1">
        <v>6.0</v>
      </c>
      <c r="AY2606" s="1">
        <v>4.0</v>
      </c>
      <c r="BA2606" s="1">
        <v>0.0</v>
      </c>
      <c r="BB2606" s="1">
        <v>0.0</v>
      </c>
      <c r="BC2606" s="1">
        <v>0.0</v>
      </c>
      <c r="BD2606" s="1">
        <v>0.0</v>
      </c>
      <c r="BE2606" s="1">
        <v>0.0</v>
      </c>
      <c r="BF2606" s="1">
        <v>0.0</v>
      </c>
      <c r="BG2606" s="1">
        <v>0.0</v>
      </c>
      <c r="BH2606" s="1">
        <v>0.0</v>
      </c>
      <c r="BI2606" s="1">
        <v>0.0</v>
      </c>
      <c r="BJ2606" s="1">
        <v>0.0</v>
      </c>
      <c r="BP2606" s="1">
        <v>0.265</v>
      </c>
      <c r="BQ2606" s="1" t="s">
        <v>8118</v>
      </c>
      <c r="BV2606" s="1">
        <v>1.1</v>
      </c>
      <c r="EQ2606" s="9" t="s">
        <v>8117</v>
      </c>
      <c r="ER2606" s="21">
        <v>46045.30311342593</v>
      </c>
    </row>
    <row r="2607">
      <c r="A2607" s="9" t="s">
        <v>8119</v>
      </c>
      <c r="B2607" s="20" t="str">
        <f>IFERROR(__xludf.DUMMYFUNCTION("REGEXREPLACE(A2607, ""^https?://[^/]+"", """")"),"/its-about-profit-not-sales/")</f>
        <v>/its-about-profit-not-sales/</v>
      </c>
      <c r="C2607" s="1" t="s">
        <v>8120</v>
      </c>
      <c r="F2607" s="1" t="s">
        <v>965</v>
      </c>
      <c r="G2607" s="1">
        <v>200.0</v>
      </c>
      <c r="H2607" s="1" t="s">
        <v>966</v>
      </c>
      <c r="I2607" s="1" t="s">
        <v>967</v>
      </c>
      <c r="K2607" s="1" t="s">
        <v>8121</v>
      </c>
      <c r="L2607" s="1">
        <v>52.0</v>
      </c>
      <c r="M2607" s="1">
        <v>453.0</v>
      </c>
      <c r="O2607" s="1">
        <v>0.0</v>
      </c>
      <c r="P2607" s="1">
        <v>0.0</v>
      </c>
      <c r="Q2607" s="1" t="s">
        <v>8122</v>
      </c>
      <c r="R2607" s="1">
        <v>155.0</v>
      </c>
      <c r="S2607" s="1">
        <v>953.0</v>
      </c>
      <c r="U2607" s="1">
        <v>0.0</v>
      </c>
      <c r="V2607" s="1" t="s">
        <v>8120</v>
      </c>
      <c r="W2607" s="1">
        <v>27.0</v>
      </c>
      <c r="Y2607" s="1">
        <v>0.0</v>
      </c>
      <c r="AA2607" s="1">
        <v>0.0</v>
      </c>
      <c r="AC2607" s="1">
        <v>0.0</v>
      </c>
      <c r="AD2607" s="1" t="s">
        <v>971</v>
      </c>
      <c r="AG2607" s="9" t="s">
        <v>8119</v>
      </c>
      <c r="AM2607" s="1">
        <v>199885.0</v>
      </c>
      <c r="AN2607" s="1">
        <v>35574.0</v>
      </c>
      <c r="AO2607" s="1">
        <v>35574.0</v>
      </c>
      <c r="AP2607" s="1">
        <v>13.628</v>
      </c>
      <c r="AR2607" s="1">
        <v>1166.0</v>
      </c>
      <c r="AS2607" s="1">
        <v>175.0</v>
      </c>
      <c r="AT2607" s="1">
        <v>6.663</v>
      </c>
      <c r="AU2607" s="1">
        <v>69.835</v>
      </c>
      <c r="AV2607" s="1" t="s">
        <v>990</v>
      </c>
      <c r="AW2607" s="1">
        <v>4.652</v>
      </c>
      <c r="AX2607" s="1">
        <v>6.0</v>
      </c>
      <c r="AY2607" s="1">
        <v>1.0</v>
      </c>
      <c r="AZ2607" s="1">
        <v>1.0</v>
      </c>
      <c r="BA2607" s="1">
        <v>2.0</v>
      </c>
      <c r="BB2607" s="1">
        <v>2.0</v>
      </c>
      <c r="BC2607" s="1">
        <v>0.0</v>
      </c>
      <c r="BD2607" s="1">
        <v>0.27</v>
      </c>
      <c r="BE2607" s="1">
        <v>132.0</v>
      </c>
      <c r="BF2607" s="1">
        <v>49.0</v>
      </c>
      <c r="BG2607" s="1">
        <v>0.0</v>
      </c>
      <c r="BH2607" s="1">
        <v>16.0</v>
      </c>
      <c r="BI2607" s="1">
        <v>8.0</v>
      </c>
      <c r="BJ2607" s="1">
        <v>0.0</v>
      </c>
      <c r="BO2607" s="1" t="s">
        <v>8123</v>
      </c>
      <c r="BP2607" s="1">
        <v>0.982</v>
      </c>
      <c r="BU2607" s="1" t="s">
        <v>974</v>
      </c>
      <c r="BV2607" s="1">
        <v>1.1</v>
      </c>
      <c r="EQ2607" s="9" t="s">
        <v>8119</v>
      </c>
      <c r="ER2607" s="21">
        <v>46045.30310185185</v>
      </c>
    </row>
    <row r="2608">
      <c r="A2608" s="9" t="s">
        <v>8124</v>
      </c>
      <c r="B2608" s="20" t="str">
        <f>IFERROR(__xludf.DUMMYFUNCTION("REGEXREPLACE(A2608, ""^https?://[^/]+"", """")"),"/wp-content/uploads/2022/01/assessment.jpg")</f>
        <v>/wp-content/uploads/2022/01/assessment.jpg</v>
      </c>
      <c r="F2608" s="1" t="s">
        <v>1004</v>
      </c>
      <c r="G2608" s="1">
        <v>200.0</v>
      </c>
      <c r="H2608" s="1" t="s">
        <v>966</v>
      </c>
      <c r="I2608" s="1" t="s">
        <v>967</v>
      </c>
      <c r="L2608" s="1">
        <v>0.0</v>
      </c>
      <c r="M2608" s="1">
        <v>0.0</v>
      </c>
      <c r="O2608" s="1">
        <v>0.0</v>
      </c>
      <c r="P2608" s="1">
        <v>0.0</v>
      </c>
      <c r="R2608" s="1">
        <v>0.0</v>
      </c>
      <c r="S2608" s="1">
        <v>0.0</v>
      </c>
      <c r="U2608" s="1">
        <v>0.0</v>
      </c>
      <c r="W2608" s="1">
        <v>0.0</v>
      </c>
      <c r="Y2608" s="1">
        <v>0.0</v>
      </c>
      <c r="AA2608" s="1">
        <v>0.0</v>
      </c>
      <c r="AC2608" s="1">
        <v>0.0</v>
      </c>
      <c r="AM2608" s="1">
        <v>383077.0</v>
      </c>
      <c r="AN2608" s="1">
        <v>383077.0</v>
      </c>
      <c r="AO2608" s="1">
        <v>383077.0</v>
      </c>
      <c r="AP2608" s="1">
        <v>146.75</v>
      </c>
      <c r="AR2608" s="1">
        <v>0.0</v>
      </c>
      <c r="AW2608" s="1">
        <v>0.0</v>
      </c>
      <c r="AX2608" s="1">
        <v>6.0</v>
      </c>
      <c r="AY2608" s="1">
        <v>4.0</v>
      </c>
      <c r="BA2608" s="1">
        <v>0.0</v>
      </c>
      <c r="BB2608" s="1">
        <v>0.0</v>
      </c>
      <c r="BC2608" s="1">
        <v>0.0</v>
      </c>
      <c r="BD2608" s="1">
        <v>0.0</v>
      </c>
      <c r="BE2608" s="1">
        <v>0.0</v>
      </c>
      <c r="BF2608" s="1">
        <v>0.0</v>
      </c>
      <c r="BG2608" s="1">
        <v>0.0</v>
      </c>
      <c r="BH2608" s="1">
        <v>0.0</v>
      </c>
      <c r="BI2608" s="1">
        <v>0.0</v>
      </c>
      <c r="BJ2608" s="1">
        <v>0.0</v>
      </c>
      <c r="BP2608" s="1">
        <v>0.261</v>
      </c>
      <c r="BQ2608" s="1" t="s">
        <v>8125</v>
      </c>
      <c r="BV2608" s="1">
        <v>1.1</v>
      </c>
      <c r="EQ2608" s="9" t="s">
        <v>8124</v>
      </c>
      <c r="ER2608" s="21">
        <v>46045.30311342593</v>
      </c>
    </row>
    <row r="2609">
      <c r="A2609" s="9" t="s">
        <v>8126</v>
      </c>
      <c r="B2609" s="20" t="str">
        <f>IFERROR(__xludf.DUMMYFUNCTION("REGEXREPLACE(A2609, ""^https?://[^/]+"", """")"),"/wp-content/uploads/2016/05/Compensation-Payment-Plan--2048x2048.jpg")</f>
        <v>/wp-content/uploads/2016/05/Compensation-Payment-Plan--2048x2048.jpg</v>
      </c>
      <c r="F2609" s="1" t="s">
        <v>1004</v>
      </c>
      <c r="G2609" s="1">
        <v>200.0</v>
      </c>
      <c r="H2609" s="1" t="s">
        <v>966</v>
      </c>
      <c r="I2609" s="1" t="s">
        <v>967</v>
      </c>
      <c r="L2609" s="1">
        <v>0.0</v>
      </c>
      <c r="M2609" s="1">
        <v>0.0</v>
      </c>
      <c r="O2609" s="1">
        <v>0.0</v>
      </c>
      <c r="P2609" s="1">
        <v>0.0</v>
      </c>
      <c r="R2609" s="1">
        <v>0.0</v>
      </c>
      <c r="S2609" s="1">
        <v>0.0</v>
      </c>
      <c r="U2609" s="1">
        <v>0.0</v>
      </c>
      <c r="W2609" s="1">
        <v>0.0</v>
      </c>
      <c r="Y2609" s="1">
        <v>0.0</v>
      </c>
      <c r="AA2609" s="1">
        <v>0.0</v>
      </c>
      <c r="AC2609" s="1">
        <v>0.0</v>
      </c>
      <c r="AM2609" s="1">
        <v>164672.0</v>
      </c>
      <c r="AN2609" s="1">
        <v>164672.0</v>
      </c>
      <c r="AO2609" s="1">
        <v>164672.0</v>
      </c>
      <c r="AP2609" s="1">
        <v>63.083</v>
      </c>
      <c r="AR2609" s="1">
        <v>0.0</v>
      </c>
      <c r="AW2609" s="1">
        <v>0.0</v>
      </c>
      <c r="AX2609" s="1">
        <v>6.0</v>
      </c>
      <c r="AY2609" s="1">
        <v>4.0</v>
      </c>
      <c r="BA2609" s="1">
        <v>0.0</v>
      </c>
      <c r="BB2609" s="1">
        <v>0.0</v>
      </c>
      <c r="BC2609" s="1">
        <v>0.0</v>
      </c>
      <c r="BD2609" s="1">
        <v>0.0</v>
      </c>
      <c r="BE2609" s="1">
        <v>0.0</v>
      </c>
      <c r="BF2609" s="1">
        <v>0.0</v>
      </c>
      <c r="BG2609" s="1">
        <v>0.0</v>
      </c>
      <c r="BH2609" s="1">
        <v>0.0</v>
      </c>
      <c r="BI2609" s="1">
        <v>0.0</v>
      </c>
      <c r="BJ2609" s="1">
        <v>0.0</v>
      </c>
      <c r="BP2609" s="1">
        <v>0.268</v>
      </c>
      <c r="BQ2609" s="1" t="s">
        <v>8127</v>
      </c>
      <c r="BV2609" s="1">
        <v>1.1</v>
      </c>
      <c r="EQ2609" s="9" t="s">
        <v>8126</v>
      </c>
      <c r="ER2609" s="21">
        <v>46045.30311342593</v>
      </c>
    </row>
    <row r="2610">
      <c r="A2610" s="9" t="s">
        <v>8128</v>
      </c>
      <c r="B2610" s="20" t="str">
        <f>IFERROR(__xludf.DUMMYFUNCTION("REGEXREPLACE(A2610, ""^https?://[^/]+"", """")"),"/5-ways-to-assess-sales-performance-amid-a-global-pandemic/")</f>
        <v>/5-ways-to-assess-sales-performance-amid-a-global-pandemic/</v>
      </c>
      <c r="C2610" s="1" t="s">
        <v>8129</v>
      </c>
      <c r="D2610" s="1" t="s">
        <v>8130</v>
      </c>
      <c r="E2610" s="1" t="s">
        <v>8131</v>
      </c>
      <c r="F2610" s="1" t="s">
        <v>965</v>
      </c>
      <c r="G2610" s="1">
        <v>200.0</v>
      </c>
      <c r="H2610" s="1" t="s">
        <v>966</v>
      </c>
      <c r="I2610" s="1" t="s">
        <v>967</v>
      </c>
      <c r="K2610" s="1" t="s">
        <v>8132</v>
      </c>
      <c r="L2610" s="1">
        <v>94.0</v>
      </c>
      <c r="M2610" s="1">
        <v>883.0</v>
      </c>
      <c r="O2610" s="1">
        <v>0.0</v>
      </c>
      <c r="P2610" s="1">
        <v>0.0</v>
      </c>
      <c r="Q2610" s="1" t="s">
        <v>8133</v>
      </c>
      <c r="R2610" s="1">
        <v>69.0</v>
      </c>
      <c r="S2610" s="1">
        <v>448.0</v>
      </c>
      <c r="U2610" s="1">
        <v>0.0</v>
      </c>
      <c r="V2610" s="1" t="s">
        <v>8129</v>
      </c>
      <c r="W2610" s="1">
        <v>69.0</v>
      </c>
      <c r="Y2610" s="1">
        <v>0.0</v>
      </c>
      <c r="Z2610" s="1" t="s">
        <v>8130</v>
      </c>
      <c r="AA2610" s="1">
        <v>41.0</v>
      </c>
      <c r="AB2610" s="1" t="s">
        <v>8131</v>
      </c>
      <c r="AC2610" s="1">
        <v>31.0</v>
      </c>
      <c r="AD2610" s="1" t="s">
        <v>971</v>
      </c>
      <c r="AG2610" s="9" t="s">
        <v>8128</v>
      </c>
      <c r="AM2610" s="1">
        <v>207738.0</v>
      </c>
      <c r="AN2610" s="1">
        <v>38336.0</v>
      </c>
      <c r="AO2610" s="1">
        <v>38336.0</v>
      </c>
      <c r="AP2610" s="1">
        <v>14.686</v>
      </c>
      <c r="AR2610" s="1">
        <v>1805.0</v>
      </c>
      <c r="AS2610" s="1">
        <v>254.0</v>
      </c>
      <c r="AT2610" s="1">
        <v>7.106</v>
      </c>
      <c r="AU2610" s="1">
        <v>65.762</v>
      </c>
      <c r="AV2610" s="1" t="s">
        <v>990</v>
      </c>
      <c r="AW2610" s="1">
        <v>6.465</v>
      </c>
      <c r="AX2610" s="1">
        <v>6.0</v>
      </c>
      <c r="AY2610" s="1">
        <v>1.0</v>
      </c>
      <c r="AZ2610" s="1">
        <v>1.0</v>
      </c>
      <c r="BA2610" s="1">
        <v>1.0</v>
      </c>
      <c r="BB2610" s="1">
        <v>1.0</v>
      </c>
      <c r="BC2610" s="1">
        <v>0.0</v>
      </c>
      <c r="BD2610" s="1">
        <v>0.13</v>
      </c>
      <c r="BE2610" s="1">
        <v>130.0</v>
      </c>
      <c r="BF2610" s="1">
        <v>47.0</v>
      </c>
      <c r="BG2610" s="1">
        <v>0.0</v>
      </c>
      <c r="BH2610" s="1">
        <v>29.0</v>
      </c>
      <c r="BI2610" s="1">
        <v>21.0</v>
      </c>
      <c r="BJ2610" s="1">
        <v>0.0</v>
      </c>
      <c r="BO2610" s="1" t="s">
        <v>8134</v>
      </c>
      <c r="BP2610" s="1">
        <v>0.975</v>
      </c>
      <c r="BU2610" s="1" t="s">
        <v>974</v>
      </c>
      <c r="BV2610" s="1">
        <v>1.1</v>
      </c>
      <c r="EQ2610" s="9" t="s">
        <v>8128</v>
      </c>
      <c r="ER2610" s="21">
        <v>46045.30311342593</v>
      </c>
    </row>
    <row r="2611">
      <c r="A2611" s="9" t="s">
        <v>8135</v>
      </c>
      <c r="B2611" s="20" t="str">
        <f>IFERROR(__xludf.DUMMYFUNCTION("REGEXREPLACE(A2611, ""^https?://[^/]+"", """")"),"/wp-content/uploads/2022/03/Exit-Planning.jpg")</f>
        <v>/wp-content/uploads/2022/03/Exit-Planning.jpg</v>
      </c>
      <c r="F2611" s="1" t="s">
        <v>1004</v>
      </c>
      <c r="G2611" s="1">
        <v>200.0</v>
      </c>
      <c r="H2611" s="1" t="s">
        <v>966</v>
      </c>
      <c r="I2611" s="1" t="s">
        <v>967</v>
      </c>
      <c r="L2611" s="1">
        <v>0.0</v>
      </c>
      <c r="M2611" s="1">
        <v>0.0</v>
      </c>
      <c r="O2611" s="1">
        <v>0.0</v>
      </c>
      <c r="P2611" s="1">
        <v>0.0</v>
      </c>
      <c r="R2611" s="1">
        <v>0.0</v>
      </c>
      <c r="S2611" s="1">
        <v>0.0</v>
      </c>
      <c r="U2611" s="1">
        <v>0.0</v>
      </c>
      <c r="W2611" s="1">
        <v>0.0</v>
      </c>
      <c r="Y2611" s="1">
        <v>0.0</v>
      </c>
      <c r="AA2611" s="1">
        <v>0.0</v>
      </c>
      <c r="AC2611" s="1">
        <v>0.0</v>
      </c>
      <c r="AM2611" s="1">
        <v>336476.0</v>
      </c>
      <c r="AN2611" s="1">
        <v>336476.0</v>
      </c>
      <c r="AO2611" s="1">
        <v>336476.0</v>
      </c>
      <c r="AP2611" s="1">
        <v>128.898</v>
      </c>
      <c r="AR2611" s="1">
        <v>0.0</v>
      </c>
      <c r="AW2611" s="1">
        <v>0.0</v>
      </c>
      <c r="AX2611" s="1">
        <v>6.0</v>
      </c>
      <c r="AY2611" s="1">
        <v>4.0</v>
      </c>
      <c r="BA2611" s="1">
        <v>0.0</v>
      </c>
      <c r="BB2611" s="1">
        <v>0.0</v>
      </c>
      <c r="BC2611" s="1">
        <v>0.0</v>
      </c>
      <c r="BD2611" s="1">
        <v>0.0</v>
      </c>
      <c r="BE2611" s="1">
        <v>0.0</v>
      </c>
      <c r="BF2611" s="1">
        <v>0.0</v>
      </c>
      <c r="BG2611" s="1">
        <v>0.0</v>
      </c>
      <c r="BH2611" s="1">
        <v>0.0</v>
      </c>
      <c r="BI2611" s="1">
        <v>0.0</v>
      </c>
      <c r="BJ2611" s="1">
        <v>0.0</v>
      </c>
      <c r="BP2611" s="1">
        <v>0.265</v>
      </c>
      <c r="BQ2611" s="1" t="s">
        <v>8136</v>
      </c>
      <c r="BV2611" s="1">
        <v>1.1</v>
      </c>
      <c r="EQ2611" s="9" t="s">
        <v>8135</v>
      </c>
      <c r="ER2611" s="21">
        <v>46045.303125</v>
      </c>
    </row>
    <row r="2612">
      <c r="A2612" s="9" t="s">
        <v>8137</v>
      </c>
      <c r="B2612" s="20" t="str">
        <f>IFERROR(__xludf.DUMMYFUNCTION("REGEXREPLACE(A2612, ""^https?://[^/]+"", """")"),"/manage-sales-success-compensation/")</f>
        <v>/manage-sales-success-compensation/</v>
      </c>
      <c r="C2612" s="1" t="s">
        <v>8138</v>
      </c>
      <c r="F2612" s="1" t="s">
        <v>965</v>
      </c>
      <c r="G2612" s="1">
        <v>200.0</v>
      </c>
      <c r="H2612" s="1" t="s">
        <v>966</v>
      </c>
      <c r="I2612" s="1" t="s">
        <v>967</v>
      </c>
      <c r="K2612" s="1" t="s">
        <v>8139</v>
      </c>
      <c r="L2612" s="1">
        <v>61.0</v>
      </c>
      <c r="M2612" s="1">
        <v>595.0</v>
      </c>
      <c r="O2612" s="1">
        <v>0.0</v>
      </c>
      <c r="P2612" s="1">
        <v>0.0</v>
      </c>
      <c r="Q2612" s="1" t="s">
        <v>8140</v>
      </c>
      <c r="R2612" s="1">
        <v>133.0</v>
      </c>
      <c r="S2612" s="1">
        <v>784.0</v>
      </c>
      <c r="U2612" s="1">
        <v>0.0</v>
      </c>
      <c r="V2612" s="1" t="s">
        <v>8138</v>
      </c>
      <c r="W2612" s="1">
        <v>95.0</v>
      </c>
      <c r="Y2612" s="1">
        <v>0.0</v>
      </c>
      <c r="AA2612" s="1">
        <v>0.0</v>
      </c>
      <c r="AC2612" s="1">
        <v>0.0</v>
      </c>
      <c r="AD2612" s="1" t="s">
        <v>971</v>
      </c>
      <c r="AG2612" s="9" t="s">
        <v>8137</v>
      </c>
      <c r="AM2612" s="1">
        <v>195668.0</v>
      </c>
      <c r="AN2612" s="1">
        <v>34034.0</v>
      </c>
      <c r="AO2612" s="1">
        <v>34034.0</v>
      </c>
      <c r="AP2612" s="1">
        <v>13.038</v>
      </c>
      <c r="AR2612" s="1">
        <v>724.0</v>
      </c>
      <c r="AS2612" s="1">
        <v>123.0</v>
      </c>
      <c r="AT2612" s="1">
        <v>5.886</v>
      </c>
      <c r="AU2612" s="1">
        <v>60.756</v>
      </c>
      <c r="AV2612" s="1" t="s">
        <v>990</v>
      </c>
      <c r="AW2612" s="1">
        <v>3.514</v>
      </c>
      <c r="AX2612" s="1">
        <v>6.0</v>
      </c>
      <c r="AY2612" s="1">
        <v>1.0</v>
      </c>
      <c r="AZ2612" s="1">
        <v>1.0</v>
      </c>
      <c r="BA2612" s="1">
        <v>7.0</v>
      </c>
      <c r="BB2612" s="1">
        <v>5.0</v>
      </c>
      <c r="BC2612" s="1">
        <v>0.0</v>
      </c>
      <c r="BD2612" s="1">
        <v>0.66</v>
      </c>
      <c r="BE2612" s="1">
        <v>134.0</v>
      </c>
      <c r="BF2612" s="1">
        <v>51.0</v>
      </c>
      <c r="BG2612" s="1">
        <v>0.0</v>
      </c>
      <c r="BH2612" s="1">
        <v>17.0</v>
      </c>
      <c r="BI2612" s="1">
        <v>9.0</v>
      </c>
      <c r="BJ2612" s="1">
        <v>0.0</v>
      </c>
      <c r="BO2612" s="1" t="s">
        <v>8141</v>
      </c>
      <c r="BP2612" s="1">
        <v>1.082</v>
      </c>
      <c r="BU2612" s="1" t="s">
        <v>974</v>
      </c>
      <c r="BV2612" s="1">
        <v>1.1</v>
      </c>
      <c r="EQ2612" s="9" t="s">
        <v>8137</v>
      </c>
      <c r="ER2612" s="21">
        <v>46045.30311342593</v>
      </c>
    </row>
    <row r="2613">
      <c r="A2613" s="9" t="s">
        <v>8142</v>
      </c>
      <c r="B2613" s="20" t="str">
        <f>IFERROR(__xludf.DUMMYFUNCTION("REGEXREPLACE(A2613, ""^https?://[^/]+"", """")"),"/a-business-leaders-guide-to-a-seamless-exit-strategy/")</f>
        <v>/a-business-leaders-guide-to-a-seamless-exit-strategy/</v>
      </c>
      <c r="C2613" s="1" t="s">
        <v>8143</v>
      </c>
      <c r="D2613" s="1" t="s">
        <v>8144</v>
      </c>
      <c r="E2613" s="1" t="s">
        <v>8145</v>
      </c>
      <c r="F2613" s="1" t="s">
        <v>965</v>
      </c>
      <c r="G2613" s="1">
        <v>200.0</v>
      </c>
      <c r="H2613" s="1" t="s">
        <v>966</v>
      </c>
      <c r="I2613" s="1" t="s">
        <v>967</v>
      </c>
      <c r="K2613" s="1" t="s">
        <v>8146</v>
      </c>
      <c r="L2613" s="1">
        <v>78.0</v>
      </c>
      <c r="M2613" s="1">
        <v>700.0</v>
      </c>
      <c r="O2613" s="1">
        <v>0.0</v>
      </c>
      <c r="P2613" s="1">
        <v>0.0</v>
      </c>
      <c r="Q2613" s="1" t="s">
        <v>8147</v>
      </c>
      <c r="R2613" s="1">
        <v>142.0</v>
      </c>
      <c r="S2613" s="1">
        <v>856.0</v>
      </c>
      <c r="U2613" s="1">
        <v>0.0</v>
      </c>
      <c r="V2613" s="1" t="s">
        <v>8143</v>
      </c>
      <c r="W2613" s="1">
        <v>53.0</v>
      </c>
      <c r="Y2613" s="1">
        <v>0.0</v>
      </c>
      <c r="Z2613" s="1" t="s">
        <v>8144</v>
      </c>
      <c r="AA2613" s="1">
        <v>43.0</v>
      </c>
      <c r="AB2613" s="1" t="s">
        <v>8145</v>
      </c>
      <c r="AC2613" s="1">
        <v>29.0</v>
      </c>
      <c r="AD2613" s="1" t="s">
        <v>971</v>
      </c>
      <c r="AG2613" s="9" t="s">
        <v>8142</v>
      </c>
      <c r="AM2613" s="1">
        <v>211773.0</v>
      </c>
      <c r="AN2613" s="1">
        <v>40028.0</v>
      </c>
      <c r="AO2613" s="1">
        <v>40028.0</v>
      </c>
      <c r="AP2613" s="1">
        <v>15.334</v>
      </c>
      <c r="AR2613" s="1">
        <v>2655.0</v>
      </c>
      <c r="AS2613" s="1">
        <v>370.0</v>
      </c>
      <c r="AT2613" s="1">
        <v>7.176</v>
      </c>
      <c r="AU2613" s="1">
        <v>66.773</v>
      </c>
      <c r="AV2613" s="1" t="s">
        <v>990</v>
      </c>
      <c r="AW2613" s="1">
        <v>8.682</v>
      </c>
      <c r="AX2613" s="1">
        <v>6.0</v>
      </c>
      <c r="AY2613" s="1">
        <v>1.0</v>
      </c>
      <c r="AZ2613" s="1">
        <v>1.0</v>
      </c>
      <c r="BA2613" s="1">
        <v>1.0</v>
      </c>
      <c r="BB2613" s="1">
        <v>1.0</v>
      </c>
      <c r="BC2613" s="1">
        <v>0.0</v>
      </c>
      <c r="BD2613" s="1">
        <v>0.13</v>
      </c>
      <c r="BE2613" s="1">
        <v>132.0</v>
      </c>
      <c r="BF2613" s="1">
        <v>49.0</v>
      </c>
      <c r="BG2613" s="1">
        <v>0.0</v>
      </c>
      <c r="BH2613" s="1">
        <v>37.0</v>
      </c>
      <c r="BI2613" s="1">
        <v>28.0</v>
      </c>
      <c r="BJ2613" s="1">
        <v>0.0</v>
      </c>
      <c r="BO2613" s="1" t="s">
        <v>8148</v>
      </c>
      <c r="BP2613" s="1">
        <v>1.03</v>
      </c>
      <c r="BU2613" s="1" t="s">
        <v>974</v>
      </c>
      <c r="BV2613" s="1">
        <v>1.1</v>
      </c>
      <c r="EQ2613" s="9" t="s">
        <v>8142</v>
      </c>
      <c r="ER2613" s="21">
        <v>46045.303125</v>
      </c>
    </row>
    <row r="2614">
      <c r="A2614" s="9" t="s">
        <v>8149</v>
      </c>
      <c r="B2614" s="20" t="str">
        <f>IFERROR(__xludf.DUMMYFUNCTION("REGEXREPLACE(A2614, ""^https?://[^/]+"", """")"),"/wp-content/uploads/2022/04/Sales-Strategies-to-Close-the-Deal.jpg")</f>
        <v>/wp-content/uploads/2022/04/Sales-Strategies-to-Close-the-Deal.jpg</v>
      </c>
      <c r="F2614" s="1" t="s">
        <v>1004</v>
      </c>
      <c r="G2614" s="1">
        <v>200.0</v>
      </c>
      <c r="H2614" s="1" t="s">
        <v>966</v>
      </c>
      <c r="I2614" s="1" t="s">
        <v>967</v>
      </c>
      <c r="L2614" s="1">
        <v>0.0</v>
      </c>
      <c r="M2614" s="1">
        <v>0.0</v>
      </c>
      <c r="O2614" s="1">
        <v>0.0</v>
      </c>
      <c r="P2614" s="1">
        <v>0.0</v>
      </c>
      <c r="R2614" s="1">
        <v>0.0</v>
      </c>
      <c r="S2614" s="1">
        <v>0.0</v>
      </c>
      <c r="U2614" s="1">
        <v>0.0</v>
      </c>
      <c r="W2614" s="1">
        <v>0.0</v>
      </c>
      <c r="Y2614" s="1">
        <v>0.0</v>
      </c>
      <c r="AA2614" s="1">
        <v>0.0</v>
      </c>
      <c r="AC2614" s="1">
        <v>0.0</v>
      </c>
      <c r="AM2614" s="1">
        <v>395510.0</v>
      </c>
      <c r="AN2614" s="1">
        <v>395510.0</v>
      </c>
      <c r="AO2614" s="1">
        <v>395510.0</v>
      </c>
      <c r="AP2614" s="1">
        <v>151.512</v>
      </c>
      <c r="AR2614" s="1">
        <v>0.0</v>
      </c>
      <c r="AW2614" s="1">
        <v>0.0</v>
      </c>
      <c r="AX2614" s="1">
        <v>6.0</v>
      </c>
      <c r="AY2614" s="1">
        <v>4.0</v>
      </c>
      <c r="BA2614" s="1">
        <v>0.0</v>
      </c>
      <c r="BB2614" s="1">
        <v>0.0</v>
      </c>
      <c r="BC2614" s="1">
        <v>0.0</v>
      </c>
      <c r="BD2614" s="1">
        <v>0.0</v>
      </c>
      <c r="BE2614" s="1">
        <v>0.0</v>
      </c>
      <c r="BF2614" s="1">
        <v>0.0</v>
      </c>
      <c r="BG2614" s="1">
        <v>0.0</v>
      </c>
      <c r="BH2614" s="1">
        <v>0.0</v>
      </c>
      <c r="BI2614" s="1">
        <v>0.0</v>
      </c>
      <c r="BJ2614" s="1">
        <v>0.0</v>
      </c>
      <c r="BP2614" s="1">
        <v>0.266</v>
      </c>
      <c r="BQ2614" s="1" t="s">
        <v>8150</v>
      </c>
      <c r="BV2614" s="1">
        <v>1.1</v>
      </c>
      <c r="EQ2614" s="9" t="s">
        <v>8149</v>
      </c>
      <c r="ER2614" s="21">
        <v>46045.303136574075</v>
      </c>
    </row>
    <row r="2615">
      <c r="A2615" s="9" t="s">
        <v>8151</v>
      </c>
      <c r="B2615" s="20" t="str">
        <f>IFERROR(__xludf.DUMMYFUNCTION("REGEXREPLACE(A2615, ""^https?://[^/]+"", """")"),"/wp-content/themes/salesxceleratione/assets/css/style.css?ver=1769123730")</f>
        <v>/wp-content/themes/salesxceleratione/assets/css/style.css?ver=1769123730</v>
      </c>
      <c r="F2615" s="1" t="s">
        <v>1016</v>
      </c>
      <c r="G2615" s="1">
        <v>200.0</v>
      </c>
      <c r="H2615" s="1" t="s">
        <v>966</v>
      </c>
      <c r="I2615" s="1" t="s">
        <v>967</v>
      </c>
      <c r="L2615" s="1">
        <v>0.0</v>
      </c>
      <c r="M2615" s="1">
        <v>0.0</v>
      </c>
      <c r="O2615" s="1">
        <v>0.0</v>
      </c>
      <c r="P2615" s="1">
        <v>0.0</v>
      </c>
      <c r="R2615" s="1">
        <v>0.0</v>
      </c>
      <c r="S2615" s="1">
        <v>0.0</v>
      </c>
      <c r="U2615" s="1">
        <v>0.0</v>
      </c>
      <c r="W2615" s="1">
        <v>0.0</v>
      </c>
      <c r="Y2615" s="1">
        <v>0.0</v>
      </c>
      <c r="AA2615" s="1">
        <v>0.0</v>
      </c>
      <c r="AC2615" s="1">
        <v>0.0</v>
      </c>
      <c r="AM2615" s="1">
        <v>17704.0</v>
      </c>
      <c r="AN2615" s="1">
        <v>17704.0</v>
      </c>
      <c r="AO2615" s="1">
        <v>17704.0</v>
      </c>
      <c r="AP2615" s="1">
        <v>6.782</v>
      </c>
      <c r="AR2615" s="1">
        <v>0.0</v>
      </c>
      <c r="AW2615" s="1">
        <v>0.0</v>
      </c>
      <c r="AX2615" s="1">
        <v>6.0</v>
      </c>
      <c r="AY2615" s="1">
        <v>5.0</v>
      </c>
      <c r="BA2615" s="1">
        <v>0.0</v>
      </c>
      <c r="BB2615" s="1">
        <v>0.0</v>
      </c>
      <c r="BC2615" s="1">
        <v>0.0</v>
      </c>
      <c r="BD2615" s="1">
        <v>0.0</v>
      </c>
      <c r="BE2615" s="1">
        <v>0.0</v>
      </c>
      <c r="BF2615" s="1">
        <v>0.0</v>
      </c>
      <c r="BG2615" s="1">
        <v>0.0</v>
      </c>
      <c r="BH2615" s="1">
        <v>0.0</v>
      </c>
      <c r="BI2615" s="1">
        <v>0.0</v>
      </c>
      <c r="BJ2615" s="1">
        <v>0.0</v>
      </c>
      <c r="BP2615" s="1">
        <v>0.294</v>
      </c>
      <c r="BQ2615" s="1" t="s">
        <v>8152</v>
      </c>
      <c r="BV2615" s="1">
        <v>1.1</v>
      </c>
      <c r="EQ2615" s="9" t="s">
        <v>8151</v>
      </c>
      <c r="ER2615" s="21">
        <v>46045.303136574075</v>
      </c>
    </row>
    <row r="2616">
      <c r="A2616" s="9" t="s">
        <v>8153</v>
      </c>
      <c r="B2616" s="20" t="str">
        <f>IFERROR(__xludf.DUMMYFUNCTION("REGEXREPLACE(A2616, ""^https?://[^/]+"", """")"),"/wp-content/uploads/2023/02/Enhance-Sales-Performance.jpg")</f>
        <v>/wp-content/uploads/2023/02/Enhance-Sales-Performance.jpg</v>
      </c>
      <c r="F2616" s="1" t="s">
        <v>1004</v>
      </c>
      <c r="G2616" s="1">
        <v>200.0</v>
      </c>
      <c r="H2616" s="1" t="s">
        <v>966</v>
      </c>
      <c r="I2616" s="1" t="s">
        <v>967</v>
      </c>
      <c r="L2616" s="1">
        <v>0.0</v>
      </c>
      <c r="M2616" s="1">
        <v>0.0</v>
      </c>
      <c r="O2616" s="1">
        <v>0.0</v>
      </c>
      <c r="P2616" s="1">
        <v>0.0</v>
      </c>
      <c r="R2616" s="1">
        <v>0.0</v>
      </c>
      <c r="S2616" s="1">
        <v>0.0</v>
      </c>
      <c r="U2616" s="1">
        <v>0.0</v>
      </c>
      <c r="W2616" s="1">
        <v>0.0</v>
      </c>
      <c r="Y2616" s="1">
        <v>0.0</v>
      </c>
      <c r="AA2616" s="1">
        <v>0.0</v>
      </c>
      <c r="AC2616" s="1">
        <v>0.0</v>
      </c>
      <c r="AM2616" s="1">
        <v>148580.0</v>
      </c>
      <c r="AN2616" s="1">
        <v>148580.0</v>
      </c>
      <c r="AO2616" s="1">
        <v>148580.0</v>
      </c>
      <c r="AP2616" s="1">
        <v>56.918</v>
      </c>
      <c r="AR2616" s="1">
        <v>0.0</v>
      </c>
      <c r="AW2616" s="1">
        <v>0.0</v>
      </c>
      <c r="AX2616" s="1">
        <v>6.0</v>
      </c>
      <c r="AY2616" s="1">
        <v>4.0</v>
      </c>
      <c r="BA2616" s="1">
        <v>0.0</v>
      </c>
      <c r="BB2616" s="1">
        <v>0.0</v>
      </c>
      <c r="BC2616" s="1">
        <v>0.0</v>
      </c>
      <c r="BD2616" s="1">
        <v>0.0</v>
      </c>
      <c r="BE2616" s="1">
        <v>0.0</v>
      </c>
      <c r="BF2616" s="1">
        <v>0.0</v>
      </c>
      <c r="BG2616" s="1">
        <v>0.0</v>
      </c>
      <c r="BH2616" s="1">
        <v>0.0</v>
      </c>
      <c r="BI2616" s="1">
        <v>0.0</v>
      </c>
      <c r="BJ2616" s="1">
        <v>0.0</v>
      </c>
      <c r="BP2616" s="1">
        <v>0.28</v>
      </c>
      <c r="BQ2616" s="1" t="s">
        <v>8154</v>
      </c>
      <c r="BV2616" s="1">
        <v>1.1</v>
      </c>
      <c r="EQ2616" s="9" t="s">
        <v>8153</v>
      </c>
      <c r="ER2616" s="21">
        <v>46045.303136574075</v>
      </c>
    </row>
    <row r="2617">
      <c r="A2617" s="9" t="s">
        <v>8155</v>
      </c>
      <c r="B2617" s="20" t="str">
        <f>IFERROR(__xludf.DUMMYFUNCTION("REGEXREPLACE(A2617, ""^https?://[^/]+"", """")"),"/books/4th-edition-2022-state-of-sales/")</f>
        <v>/books/4th-edition-2022-state-of-sales/</v>
      </c>
      <c r="F2617" s="1" t="s">
        <v>965</v>
      </c>
      <c r="G2617" s="1">
        <v>301.0</v>
      </c>
      <c r="H2617" s="1" t="s">
        <v>1304</v>
      </c>
      <c r="I2617" s="1" t="s">
        <v>1214</v>
      </c>
      <c r="J2617" s="1" t="s">
        <v>1305</v>
      </c>
      <c r="L2617" s="1">
        <v>0.0</v>
      </c>
      <c r="M2617" s="1">
        <v>0.0</v>
      </c>
      <c r="O2617" s="1">
        <v>0.0</v>
      </c>
      <c r="P2617" s="1">
        <v>0.0</v>
      </c>
      <c r="R2617" s="1">
        <v>0.0</v>
      </c>
      <c r="S2617" s="1">
        <v>0.0</v>
      </c>
      <c r="U2617" s="1">
        <v>0.0</v>
      </c>
      <c r="W2617" s="1">
        <v>0.0</v>
      </c>
      <c r="Y2617" s="1">
        <v>0.0</v>
      </c>
      <c r="AA2617" s="1">
        <v>0.0</v>
      </c>
      <c r="AC2617" s="1">
        <v>0.0</v>
      </c>
      <c r="AM2617" s="1">
        <v>0.0</v>
      </c>
      <c r="AN2617" s="1">
        <v>0.0</v>
      </c>
      <c r="AO2617" s="1">
        <v>0.0</v>
      </c>
      <c r="AP2617" s="1">
        <v>0.0</v>
      </c>
      <c r="AR2617" s="1">
        <v>0.0</v>
      </c>
      <c r="AW2617" s="1">
        <v>0.0</v>
      </c>
      <c r="AX2617" s="1">
        <v>6.0</v>
      </c>
      <c r="AY2617" s="1">
        <v>2.0</v>
      </c>
      <c r="BA2617" s="1">
        <v>1.0</v>
      </c>
      <c r="BB2617" s="1">
        <v>1.0</v>
      </c>
      <c r="BC2617" s="1">
        <v>0.0</v>
      </c>
      <c r="BD2617" s="1">
        <v>0.13</v>
      </c>
      <c r="BE2617" s="1">
        <v>0.0</v>
      </c>
      <c r="BF2617" s="1">
        <v>0.0</v>
      </c>
      <c r="BG2617" s="1">
        <v>0.0</v>
      </c>
      <c r="BH2617" s="1">
        <v>0.0</v>
      </c>
      <c r="BI2617" s="1">
        <v>0.0</v>
      </c>
      <c r="BJ2617" s="1">
        <v>0.0</v>
      </c>
      <c r="BP2617" s="1">
        <v>0.588</v>
      </c>
      <c r="BR2617" s="9" t="s">
        <v>8156</v>
      </c>
      <c r="BS2617" s="1" t="s">
        <v>1307</v>
      </c>
      <c r="BV2617" s="1">
        <v>1.1</v>
      </c>
      <c r="EQ2617" s="9" t="s">
        <v>8155</v>
      </c>
      <c r="ER2617" s="21">
        <v>46045.303136574075</v>
      </c>
    </row>
    <row r="2618">
      <c r="A2618" s="9" t="s">
        <v>8157</v>
      </c>
      <c r="B2618" s="20" t="str">
        <f>IFERROR(__xludf.DUMMYFUNCTION("REGEXREPLACE(A2618, ""^https?://[^/]+"", """")"),"/sales-tools/")</f>
        <v>/sales-tools/</v>
      </c>
      <c r="F2618" s="1" t="s">
        <v>965</v>
      </c>
      <c r="G2618" s="1">
        <v>301.0</v>
      </c>
      <c r="H2618" s="1" t="s">
        <v>1304</v>
      </c>
      <c r="I2618" s="1" t="s">
        <v>1214</v>
      </c>
      <c r="J2618" s="1" t="s">
        <v>1305</v>
      </c>
      <c r="L2618" s="1">
        <v>0.0</v>
      </c>
      <c r="M2618" s="1">
        <v>0.0</v>
      </c>
      <c r="O2618" s="1">
        <v>0.0</v>
      </c>
      <c r="P2618" s="1">
        <v>0.0</v>
      </c>
      <c r="R2618" s="1">
        <v>0.0</v>
      </c>
      <c r="S2618" s="1">
        <v>0.0</v>
      </c>
      <c r="U2618" s="1">
        <v>0.0</v>
      </c>
      <c r="W2618" s="1">
        <v>0.0</v>
      </c>
      <c r="Y2618" s="1">
        <v>0.0</v>
      </c>
      <c r="AA2618" s="1">
        <v>0.0</v>
      </c>
      <c r="AC2618" s="1">
        <v>0.0</v>
      </c>
      <c r="AM2618" s="1">
        <v>0.0</v>
      </c>
      <c r="AN2618" s="1">
        <v>0.0</v>
      </c>
      <c r="AO2618" s="1">
        <v>0.0</v>
      </c>
      <c r="AP2618" s="1">
        <v>0.0</v>
      </c>
      <c r="AR2618" s="1">
        <v>0.0</v>
      </c>
      <c r="AW2618" s="1">
        <v>0.0</v>
      </c>
      <c r="AX2618" s="1">
        <v>6.0</v>
      </c>
      <c r="AY2618" s="1">
        <v>1.0</v>
      </c>
      <c r="BA2618" s="1">
        <v>1.0</v>
      </c>
      <c r="BB2618" s="1">
        <v>1.0</v>
      </c>
      <c r="BC2618" s="1">
        <v>0.0</v>
      </c>
      <c r="BD2618" s="1">
        <v>0.13</v>
      </c>
      <c r="BE2618" s="1">
        <v>0.0</v>
      </c>
      <c r="BF2618" s="1">
        <v>0.0</v>
      </c>
      <c r="BG2618" s="1">
        <v>0.0</v>
      </c>
      <c r="BH2618" s="1">
        <v>0.0</v>
      </c>
      <c r="BI2618" s="1">
        <v>0.0</v>
      </c>
      <c r="BJ2618" s="1">
        <v>0.0</v>
      </c>
      <c r="BP2618" s="1">
        <v>0.593</v>
      </c>
      <c r="BR2618" s="9" t="s">
        <v>1164</v>
      </c>
      <c r="BS2618" s="1" t="s">
        <v>1307</v>
      </c>
      <c r="BV2618" s="1">
        <v>1.1</v>
      </c>
      <c r="EQ2618" s="9" t="s">
        <v>8157</v>
      </c>
      <c r="ER2618" s="21">
        <v>46045.303136574075</v>
      </c>
    </row>
    <row r="2619">
      <c r="A2619" s="9" t="s">
        <v>8158</v>
      </c>
      <c r="B2619" s="20" t="str">
        <f>IFERROR(__xludf.DUMMYFUNCTION("REGEXREPLACE(A2619, ""^https?://[^/]+"", """")"),"/wp-content/uploads/elementor/css/post-25469.css?ver=1768881743")</f>
        <v>/wp-content/uploads/elementor/css/post-25469.css?ver=1768881743</v>
      </c>
      <c r="F2619" s="1" t="s">
        <v>1016</v>
      </c>
      <c r="G2619" s="1">
        <v>200.0</v>
      </c>
      <c r="H2619" s="1" t="s">
        <v>966</v>
      </c>
      <c r="I2619" s="1" t="s">
        <v>967</v>
      </c>
      <c r="L2619" s="1">
        <v>0.0</v>
      </c>
      <c r="M2619" s="1">
        <v>0.0</v>
      </c>
      <c r="O2619" s="1">
        <v>0.0</v>
      </c>
      <c r="P2619" s="1">
        <v>0.0</v>
      </c>
      <c r="R2619" s="1">
        <v>0.0</v>
      </c>
      <c r="S2619" s="1">
        <v>0.0</v>
      </c>
      <c r="U2619" s="1">
        <v>0.0</v>
      </c>
      <c r="W2619" s="1">
        <v>0.0</v>
      </c>
      <c r="Y2619" s="1">
        <v>0.0</v>
      </c>
      <c r="AA2619" s="1">
        <v>0.0</v>
      </c>
      <c r="AC2619" s="1">
        <v>0.0</v>
      </c>
      <c r="AM2619" s="1">
        <v>69.0</v>
      </c>
      <c r="AN2619" s="1">
        <v>69.0</v>
      </c>
      <c r="AO2619" s="1">
        <v>69.0</v>
      </c>
      <c r="AP2619" s="1">
        <v>0.026</v>
      </c>
      <c r="AR2619" s="1">
        <v>0.0</v>
      </c>
      <c r="AW2619" s="1">
        <v>0.0</v>
      </c>
      <c r="AX2619" s="1">
        <v>6.0</v>
      </c>
      <c r="AY2619" s="1">
        <v>4.0</v>
      </c>
      <c r="BA2619" s="1">
        <v>0.0</v>
      </c>
      <c r="BB2619" s="1">
        <v>0.0</v>
      </c>
      <c r="BC2619" s="1">
        <v>0.0</v>
      </c>
      <c r="BD2619" s="1">
        <v>0.0</v>
      </c>
      <c r="BE2619" s="1">
        <v>0.0</v>
      </c>
      <c r="BF2619" s="1">
        <v>0.0</v>
      </c>
      <c r="BG2619" s="1">
        <v>0.0</v>
      </c>
      <c r="BH2619" s="1">
        <v>0.0</v>
      </c>
      <c r="BI2619" s="1">
        <v>0.0</v>
      </c>
      <c r="BJ2619" s="1">
        <v>0.0</v>
      </c>
      <c r="BP2619" s="1">
        <v>0.284</v>
      </c>
      <c r="BQ2619" s="1" t="s">
        <v>8159</v>
      </c>
      <c r="BV2619" s="1">
        <v>1.1</v>
      </c>
      <c r="EQ2619" s="9" t="s">
        <v>8158</v>
      </c>
      <c r="ER2619" s="21">
        <v>46045.303136574075</v>
      </c>
    </row>
    <row r="2620">
      <c r="A2620" s="9" t="s">
        <v>8160</v>
      </c>
      <c r="B2620" s="20" t="str">
        <f>IFERROR(__xludf.DUMMYFUNCTION("REGEXREPLACE(A2620, ""^https?://[^/]+"", """")"),"/wp-content/uploads/2021/06/competitive-analysis-500-2048x2048.jpg")</f>
        <v>/wp-content/uploads/2021/06/competitive-analysis-500-2048x2048.jpg</v>
      </c>
      <c r="F2620" s="1" t="s">
        <v>1004</v>
      </c>
      <c r="G2620" s="1">
        <v>200.0</v>
      </c>
      <c r="H2620" s="1" t="s">
        <v>966</v>
      </c>
      <c r="I2620" s="1" t="s">
        <v>967</v>
      </c>
      <c r="L2620" s="1">
        <v>0.0</v>
      </c>
      <c r="M2620" s="1">
        <v>0.0</v>
      </c>
      <c r="O2620" s="1">
        <v>0.0</v>
      </c>
      <c r="P2620" s="1">
        <v>0.0</v>
      </c>
      <c r="R2620" s="1">
        <v>0.0</v>
      </c>
      <c r="S2620" s="1">
        <v>0.0</v>
      </c>
      <c r="U2620" s="1">
        <v>0.0</v>
      </c>
      <c r="W2620" s="1">
        <v>0.0</v>
      </c>
      <c r="Y2620" s="1">
        <v>0.0</v>
      </c>
      <c r="AA2620" s="1">
        <v>0.0</v>
      </c>
      <c r="AC2620" s="1">
        <v>0.0</v>
      </c>
      <c r="AM2620" s="1">
        <v>320366.0</v>
      </c>
      <c r="AN2620" s="1">
        <v>320366.0</v>
      </c>
      <c r="AO2620" s="1">
        <v>320366.0</v>
      </c>
      <c r="AP2620" s="1">
        <v>122.726</v>
      </c>
      <c r="AR2620" s="1">
        <v>0.0</v>
      </c>
      <c r="AW2620" s="1">
        <v>0.0</v>
      </c>
      <c r="AX2620" s="1">
        <v>6.0</v>
      </c>
      <c r="AY2620" s="1">
        <v>4.0</v>
      </c>
      <c r="BA2620" s="1">
        <v>0.0</v>
      </c>
      <c r="BB2620" s="1">
        <v>0.0</v>
      </c>
      <c r="BC2620" s="1">
        <v>0.0</v>
      </c>
      <c r="BD2620" s="1">
        <v>0.0</v>
      </c>
      <c r="BE2620" s="1">
        <v>0.0</v>
      </c>
      <c r="BF2620" s="1">
        <v>0.0</v>
      </c>
      <c r="BG2620" s="1">
        <v>0.0</v>
      </c>
      <c r="BH2620" s="1">
        <v>0.0</v>
      </c>
      <c r="BI2620" s="1">
        <v>0.0</v>
      </c>
      <c r="BJ2620" s="1">
        <v>0.0</v>
      </c>
      <c r="BP2620" s="1">
        <v>0.263</v>
      </c>
      <c r="BQ2620" s="1" t="s">
        <v>6633</v>
      </c>
      <c r="BV2620" s="1">
        <v>1.1</v>
      </c>
      <c r="EQ2620" s="9" t="s">
        <v>8160</v>
      </c>
      <c r="ER2620" s="21">
        <v>46045.303148148145</v>
      </c>
    </row>
    <row r="2621">
      <c r="A2621" s="9" t="s">
        <v>8161</v>
      </c>
      <c r="B2621" s="20" t="str">
        <f>IFERROR(__xludf.DUMMYFUNCTION("REGEXREPLACE(A2621, ""^https?://[^/]+"", """")"),"/wp-content/themes/salesxceleratione/assets/css/style.css?ver=1769123729")</f>
        <v>/wp-content/themes/salesxceleratione/assets/css/style.css?ver=1769123729</v>
      </c>
      <c r="F2621" s="1" t="s">
        <v>1016</v>
      </c>
      <c r="G2621" s="1">
        <v>200.0</v>
      </c>
      <c r="H2621" s="1" t="s">
        <v>966</v>
      </c>
      <c r="I2621" s="1" t="s">
        <v>967</v>
      </c>
      <c r="L2621" s="1">
        <v>0.0</v>
      </c>
      <c r="M2621" s="1">
        <v>0.0</v>
      </c>
      <c r="O2621" s="1">
        <v>0.0</v>
      </c>
      <c r="P2621" s="1">
        <v>0.0</v>
      </c>
      <c r="R2621" s="1">
        <v>0.0</v>
      </c>
      <c r="S2621" s="1">
        <v>0.0</v>
      </c>
      <c r="U2621" s="1">
        <v>0.0</v>
      </c>
      <c r="W2621" s="1">
        <v>0.0</v>
      </c>
      <c r="Y2621" s="1">
        <v>0.0</v>
      </c>
      <c r="AA2621" s="1">
        <v>0.0</v>
      </c>
      <c r="AC2621" s="1">
        <v>0.0</v>
      </c>
      <c r="AM2621" s="1">
        <v>17704.0</v>
      </c>
      <c r="AN2621" s="1">
        <v>17704.0</v>
      </c>
      <c r="AO2621" s="1">
        <v>17704.0</v>
      </c>
      <c r="AP2621" s="1">
        <v>6.782</v>
      </c>
      <c r="AR2621" s="1">
        <v>0.0</v>
      </c>
      <c r="AW2621" s="1">
        <v>0.0</v>
      </c>
      <c r="AX2621" s="1">
        <v>6.0</v>
      </c>
      <c r="AY2621" s="1">
        <v>5.0</v>
      </c>
      <c r="BA2621" s="1">
        <v>0.0</v>
      </c>
      <c r="BB2621" s="1">
        <v>0.0</v>
      </c>
      <c r="BC2621" s="1">
        <v>0.0</v>
      </c>
      <c r="BD2621" s="1">
        <v>0.0</v>
      </c>
      <c r="BE2621" s="1">
        <v>0.0</v>
      </c>
      <c r="BF2621" s="1">
        <v>0.0</v>
      </c>
      <c r="BG2621" s="1">
        <v>0.0</v>
      </c>
      <c r="BH2621" s="1">
        <v>0.0</v>
      </c>
      <c r="BI2621" s="1">
        <v>0.0</v>
      </c>
      <c r="BJ2621" s="1">
        <v>0.0</v>
      </c>
      <c r="BP2621" s="1">
        <v>0.286</v>
      </c>
      <c r="BQ2621" s="1" t="s">
        <v>8162</v>
      </c>
      <c r="BV2621" s="1">
        <v>1.1</v>
      </c>
      <c r="EQ2621" s="9" t="s">
        <v>8161</v>
      </c>
      <c r="ER2621" s="21">
        <v>46045.303148148145</v>
      </c>
    </row>
    <row r="2622">
      <c r="A2622" s="9" t="s">
        <v>8163</v>
      </c>
      <c r="B2622" s="20" t="str">
        <f>IFERROR(__xludf.DUMMYFUNCTION("REGEXREPLACE(A2622, ""^https?://[^/]+"", """")"),"/wp-content/uploads/2022/03/Competitive-Advantage.jpg")</f>
        <v>/wp-content/uploads/2022/03/Competitive-Advantage.jpg</v>
      </c>
      <c r="F2622" s="1" t="s">
        <v>1004</v>
      </c>
      <c r="G2622" s="1">
        <v>200.0</v>
      </c>
      <c r="H2622" s="1" t="s">
        <v>966</v>
      </c>
      <c r="I2622" s="1" t="s">
        <v>967</v>
      </c>
      <c r="L2622" s="1">
        <v>0.0</v>
      </c>
      <c r="M2622" s="1">
        <v>0.0</v>
      </c>
      <c r="O2622" s="1">
        <v>0.0</v>
      </c>
      <c r="P2622" s="1">
        <v>0.0</v>
      </c>
      <c r="R2622" s="1">
        <v>0.0</v>
      </c>
      <c r="S2622" s="1">
        <v>0.0</v>
      </c>
      <c r="U2622" s="1">
        <v>0.0</v>
      </c>
      <c r="W2622" s="1">
        <v>0.0</v>
      </c>
      <c r="Y2622" s="1">
        <v>0.0</v>
      </c>
      <c r="AA2622" s="1">
        <v>0.0</v>
      </c>
      <c r="AC2622" s="1">
        <v>0.0</v>
      </c>
      <c r="AM2622" s="1">
        <v>101595.0</v>
      </c>
      <c r="AN2622" s="1">
        <v>101595.0</v>
      </c>
      <c r="AO2622" s="1">
        <v>101595.0</v>
      </c>
      <c r="AP2622" s="1">
        <v>38.919</v>
      </c>
      <c r="AR2622" s="1">
        <v>0.0</v>
      </c>
      <c r="AW2622" s="1">
        <v>0.0</v>
      </c>
      <c r="AX2622" s="1">
        <v>6.0</v>
      </c>
      <c r="AY2622" s="1">
        <v>4.0</v>
      </c>
      <c r="BA2622" s="1">
        <v>0.0</v>
      </c>
      <c r="BB2622" s="1">
        <v>0.0</v>
      </c>
      <c r="BC2622" s="1">
        <v>0.0</v>
      </c>
      <c r="BD2622" s="1">
        <v>0.0</v>
      </c>
      <c r="BE2622" s="1">
        <v>0.0</v>
      </c>
      <c r="BF2622" s="1">
        <v>0.0</v>
      </c>
      <c r="BG2622" s="1">
        <v>0.0</v>
      </c>
      <c r="BH2622" s="1">
        <v>0.0</v>
      </c>
      <c r="BI2622" s="1">
        <v>0.0</v>
      </c>
      <c r="BJ2622" s="1">
        <v>0.0</v>
      </c>
      <c r="BP2622" s="1">
        <v>0.279</v>
      </c>
      <c r="BQ2622" s="1" t="s">
        <v>8164</v>
      </c>
      <c r="BV2622" s="1">
        <v>1.1</v>
      </c>
      <c r="EQ2622" s="9" t="s">
        <v>8163</v>
      </c>
      <c r="ER2622" s="21">
        <v>46045.303148148145</v>
      </c>
    </row>
    <row r="2623">
      <c r="A2623" s="9" t="s">
        <v>8165</v>
      </c>
      <c r="B2623" s="20" t="str">
        <f>IFERROR(__xludf.DUMMYFUNCTION("REGEXREPLACE(A2623, ""^https?://[^/]+"", """")"),"/infographics/gaining-a-competitive-advantage/")</f>
        <v>/infographics/gaining-a-competitive-advantage/</v>
      </c>
      <c r="F2623" s="1" t="s">
        <v>965</v>
      </c>
      <c r="G2623" s="1">
        <v>302.0</v>
      </c>
      <c r="H2623" s="1" t="s">
        <v>2980</v>
      </c>
      <c r="I2623" s="1" t="s">
        <v>1214</v>
      </c>
      <c r="J2623" s="1" t="s">
        <v>1305</v>
      </c>
      <c r="L2623" s="1">
        <v>0.0</v>
      </c>
      <c r="M2623" s="1">
        <v>0.0</v>
      </c>
      <c r="O2623" s="1">
        <v>0.0</v>
      </c>
      <c r="P2623" s="1">
        <v>0.0</v>
      </c>
      <c r="R2623" s="1">
        <v>0.0</v>
      </c>
      <c r="S2623" s="1">
        <v>0.0</v>
      </c>
      <c r="U2623" s="1">
        <v>0.0</v>
      </c>
      <c r="W2623" s="1">
        <v>0.0</v>
      </c>
      <c r="Y2623" s="1">
        <v>0.0</v>
      </c>
      <c r="AA2623" s="1">
        <v>0.0</v>
      </c>
      <c r="AC2623" s="1">
        <v>0.0</v>
      </c>
      <c r="AM2623" s="1">
        <v>0.0</v>
      </c>
      <c r="AN2623" s="1">
        <v>0.0</v>
      </c>
      <c r="AO2623" s="1">
        <v>0.0</v>
      </c>
      <c r="AP2623" s="1">
        <v>0.0</v>
      </c>
      <c r="AR2623" s="1">
        <v>0.0</v>
      </c>
      <c r="AW2623" s="1">
        <v>0.0</v>
      </c>
      <c r="AX2623" s="1">
        <v>6.0</v>
      </c>
      <c r="AY2623" s="1">
        <v>2.0</v>
      </c>
      <c r="BA2623" s="1">
        <v>1.0</v>
      </c>
      <c r="BB2623" s="1">
        <v>1.0</v>
      </c>
      <c r="BC2623" s="1">
        <v>0.0</v>
      </c>
      <c r="BD2623" s="1">
        <v>0.13</v>
      </c>
      <c r="BE2623" s="1">
        <v>0.0</v>
      </c>
      <c r="BF2623" s="1">
        <v>0.0</v>
      </c>
      <c r="BG2623" s="1">
        <v>0.0</v>
      </c>
      <c r="BH2623" s="1">
        <v>0.0</v>
      </c>
      <c r="BI2623" s="1">
        <v>0.0</v>
      </c>
      <c r="BJ2623" s="1">
        <v>0.0</v>
      </c>
      <c r="BP2623" s="1">
        <v>0.595</v>
      </c>
      <c r="BR2623" s="9" t="s">
        <v>8166</v>
      </c>
      <c r="BS2623" s="1" t="s">
        <v>1307</v>
      </c>
      <c r="BV2623" s="1">
        <v>1.1</v>
      </c>
      <c r="EQ2623" s="9" t="s">
        <v>8165</v>
      </c>
      <c r="ER2623" s="21">
        <v>46045.303148148145</v>
      </c>
    </row>
    <row r="2624">
      <c r="A2624" s="9" t="s">
        <v>8167</v>
      </c>
      <c r="B2624" s="20" t="str">
        <f>IFERROR(__xludf.DUMMYFUNCTION("REGEXREPLACE(A2624, ""^https?://[^/]+"", """")"),"/wp-content/uploads/2022/04/Growth-Bottled-Up.jpg")</f>
        <v>/wp-content/uploads/2022/04/Growth-Bottled-Up.jpg</v>
      </c>
      <c r="F2624" s="1" t="s">
        <v>1004</v>
      </c>
      <c r="G2624" s="1">
        <v>200.0</v>
      </c>
      <c r="H2624" s="1" t="s">
        <v>966</v>
      </c>
      <c r="I2624" s="1" t="s">
        <v>967</v>
      </c>
      <c r="L2624" s="1">
        <v>0.0</v>
      </c>
      <c r="M2624" s="1">
        <v>0.0</v>
      </c>
      <c r="O2624" s="1">
        <v>0.0</v>
      </c>
      <c r="P2624" s="1">
        <v>0.0</v>
      </c>
      <c r="R2624" s="1">
        <v>0.0</v>
      </c>
      <c r="S2624" s="1">
        <v>0.0</v>
      </c>
      <c r="U2624" s="1">
        <v>0.0</v>
      </c>
      <c r="W2624" s="1">
        <v>0.0</v>
      </c>
      <c r="Y2624" s="1">
        <v>0.0</v>
      </c>
      <c r="AA2624" s="1">
        <v>0.0</v>
      </c>
      <c r="AC2624" s="1">
        <v>0.0</v>
      </c>
      <c r="AM2624" s="1">
        <v>269128.0</v>
      </c>
      <c r="AN2624" s="1">
        <v>269128.0</v>
      </c>
      <c r="AO2624" s="1">
        <v>269128.0</v>
      </c>
      <c r="AP2624" s="1">
        <v>103.098</v>
      </c>
      <c r="AR2624" s="1">
        <v>0.0</v>
      </c>
      <c r="AW2624" s="1">
        <v>0.0</v>
      </c>
      <c r="AX2624" s="1">
        <v>6.0</v>
      </c>
      <c r="AY2624" s="1">
        <v>4.0</v>
      </c>
      <c r="BA2624" s="1">
        <v>0.0</v>
      </c>
      <c r="BB2624" s="1">
        <v>0.0</v>
      </c>
      <c r="BC2624" s="1">
        <v>0.0</v>
      </c>
      <c r="BD2624" s="1">
        <v>0.0</v>
      </c>
      <c r="BE2624" s="1">
        <v>0.0</v>
      </c>
      <c r="BF2624" s="1">
        <v>0.0</v>
      </c>
      <c r="BG2624" s="1">
        <v>0.0</v>
      </c>
      <c r="BH2624" s="1">
        <v>0.0</v>
      </c>
      <c r="BI2624" s="1">
        <v>0.0</v>
      </c>
      <c r="BJ2624" s="1">
        <v>0.0</v>
      </c>
      <c r="BP2624" s="1">
        <v>0.274</v>
      </c>
      <c r="BQ2624" s="1" t="s">
        <v>8168</v>
      </c>
      <c r="BV2624" s="1">
        <v>1.1</v>
      </c>
      <c r="EQ2624" s="9" t="s">
        <v>8167</v>
      </c>
      <c r="ER2624" s="21">
        <v>46045.303148148145</v>
      </c>
    </row>
    <row r="2625">
      <c r="A2625" s="9" t="s">
        <v>8169</v>
      </c>
      <c r="B2625" s="20" t="str">
        <f>IFERROR(__xludf.DUMMYFUNCTION("REGEXREPLACE(A2625, ""^https?://[^/]+"", """")"),"/wp-content/uploads/2022/04/Startup-Business.jpg")</f>
        <v>/wp-content/uploads/2022/04/Startup-Business.jpg</v>
      </c>
      <c r="F2625" s="1" t="s">
        <v>1004</v>
      </c>
      <c r="G2625" s="1">
        <v>200.0</v>
      </c>
      <c r="H2625" s="1" t="s">
        <v>966</v>
      </c>
      <c r="I2625" s="1" t="s">
        <v>967</v>
      </c>
      <c r="L2625" s="1">
        <v>0.0</v>
      </c>
      <c r="M2625" s="1">
        <v>0.0</v>
      </c>
      <c r="O2625" s="1">
        <v>0.0</v>
      </c>
      <c r="P2625" s="1">
        <v>0.0</v>
      </c>
      <c r="R2625" s="1">
        <v>0.0</v>
      </c>
      <c r="S2625" s="1">
        <v>0.0</v>
      </c>
      <c r="U2625" s="1">
        <v>0.0</v>
      </c>
      <c r="W2625" s="1">
        <v>0.0</v>
      </c>
      <c r="Y2625" s="1">
        <v>0.0</v>
      </c>
      <c r="AA2625" s="1">
        <v>0.0</v>
      </c>
      <c r="AC2625" s="1">
        <v>0.0</v>
      </c>
      <c r="AM2625" s="1">
        <v>126756.0</v>
      </c>
      <c r="AN2625" s="1">
        <v>126756.0</v>
      </c>
      <c r="AO2625" s="1">
        <v>126756.0</v>
      </c>
      <c r="AP2625" s="1">
        <v>48.558</v>
      </c>
      <c r="AR2625" s="1">
        <v>0.0</v>
      </c>
      <c r="AW2625" s="1">
        <v>0.0</v>
      </c>
      <c r="AX2625" s="1">
        <v>6.0</v>
      </c>
      <c r="AY2625" s="1">
        <v>4.0</v>
      </c>
      <c r="BA2625" s="1">
        <v>0.0</v>
      </c>
      <c r="BB2625" s="1">
        <v>0.0</v>
      </c>
      <c r="BC2625" s="1">
        <v>0.0</v>
      </c>
      <c r="BD2625" s="1">
        <v>0.0</v>
      </c>
      <c r="BE2625" s="1">
        <v>0.0</v>
      </c>
      <c r="BF2625" s="1">
        <v>0.0</v>
      </c>
      <c r="BG2625" s="1">
        <v>0.0</v>
      </c>
      <c r="BH2625" s="1">
        <v>0.0</v>
      </c>
      <c r="BI2625" s="1">
        <v>0.0</v>
      </c>
      <c r="BJ2625" s="1">
        <v>0.0</v>
      </c>
      <c r="BP2625" s="1">
        <v>0.272</v>
      </c>
      <c r="BQ2625" s="1" t="s">
        <v>8170</v>
      </c>
      <c r="BV2625" s="1">
        <v>1.1</v>
      </c>
      <c r="EQ2625" s="9" t="s">
        <v>8169</v>
      </c>
      <c r="ER2625" s="21">
        <v>46045.303148148145</v>
      </c>
    </row>
    <row r="2626">
      <c r="A2626" s="9" t="s">
        <v>8171</v>
      </c>
      <c r="B2626" s="20" t="str">
        <f>IFERROR(__xludf.DUMMYFUNCTION("REGEXREPLACE(A2626, ""^https?://[^/]+"", """")"),"/wp-content/themes/salesxceleratione/assets/css/style.css?ver=1769123728")</f>
        <v>/wp-content/themes/salesxceleratione/assets/css/style.css?ver=1769123728</v>
      </c>
      <c r="F2626" s="1" t="s">
        <v>1016</v>
      </c>
      <c r="G2626" s="1">
        <v>200.0</v>
      </c>
      <c r="H2626" s="1" t="s">
        <v>966</v>
      </c>
      <c r="I2626" s="1" t="s">
        <v>967</v>
      </c>
      <c r="L2626" s="1">
        <v>0.0</v>
      </c>
      <c r="M2626" s="1">
        <v>0.0</v>
      </c>
      <c r="O2626" s="1">
        <v>0.0</v>
      </c>
      <c r="P2626" s="1">
        <v>0.0</v>
      </c>
      <c r="R2626" s="1">
        <v>0.0</v>
      </c>
      <c r="S2626" s="1">
        <v>0.0</v>
      </c>
      <c r="U2626" s="1">
        <v>0.0</v>
      </c>
      <c r="W2626" s="1">
        <v>0.0</v>
      </c>
      <c r="Y2626" s="1">
        <v>0.0</v>
      </c>
      <c r="AA2626" s="1">
        <v>0.0</v>
      </c>
      <c r="AC2626" s="1">
        <v>0.0</v>
      </c>
      <c r="AM2626" s="1">
        <v>17704.0</v>
      </c>
      <c r="AN2626" s="1">
        <v>17704.0</v>
      </c>
      <c r="AO2626" s="1">
        <v>17704.0</v>
      </c>
      <c r="AP2626" s="1">
        <v>6.782</v>
      </c>
      <c r="AR2626" s="1">
        <v>0.0</v>
      </c>
      <c r="AW2626" s="1">
        <v>0.0</v>
      </c>
      <c r="AX2626" s="1">
        <v>6.0</v>
      </c>
      <c r="AY2626" s="1">
        <v>5.0</v>
      </c>
      <c r="BA2626" s="1">
        <v>0.0</v>
      </c>
      <c r="BB2626" s="1">
        <v>0.0</v>
      </c>
      <c r="BC2626" s="1">
        <v>0.0</v>
      </c>
      <c r="BD2626" s="1">
        <v>0.0</v>
      </c>
      <c r="BE2626" s="1">
        <v>0.0</v>
      </c>
      <c r="BF2626" s="1">
        <v>0.0</v>
      </c>
      <c r="BG2626" s="1">
        <v>0.0</v>
      </c>
      <c r="BH2626" s="1">
        <v>0.0</v>
      </c>
      <c r="BI2626" s="1">
        <v>0.0</v>
      </c>
      <c r="BJ2626" s="1">
        <v>0.0</v>
      </c>
      <c r="BP2626" s="1">
        <v>0.285</v>
      </c>
      <c r="BQ2626" s="1" t="s">
        <v>8172</v>
      </c>
      <c r="BV2626" s="1">
        <v>1.1</v>
      </c>
      <c r="EQ2626" s="9" t="s">
        <v>8171</v>
      </c>
      <c r="ER2626" s="21">
        <v>46045.303148148145</v>
      </c>
    </row>
    <row r="2627">
      <c r="A2627" s="9" t="s">
        <v>8173</v>
      </c>
      <c r="B2627" s="20" t="str">
        <f>IFERROR(__xludf.DUMMYFUNCTION("REGEXREPLACE(A2627, ""^https?://[^/]+"", """")"),"/wp-content/uploads/2022/04/Screen-with-Kep-Performance-Indicators-2048x2048.jpg")</f>
        <v>/wp-content/uploads/2022/04/Screen-with-Kep-Performance-Indicators-2048x2048.jpg</v>
      </c>
      <c r="F2627" s="1" t="s">
        <v>1004</v>
      </c>
      <c r="G2627" s="1">
        <v>200.0</v>
      </c>
      <c r="H2627" s="1" t="s">
        <v>966</v>
      </c>
      <c r="I2627" s="1" t="s">
        <v>967</v>
      </c>
      <c r="L2627" s="1">
        <v>0.0</v>
      </c>
      <c r="M2627" s="1">
        <v>0.0</v>
      </c>
      <c r="O2627" s="1">
        <v>0.0</v>
      </c>
      <c r="P2627" s="1">
        <v>0.0</v>
      </c>
      <c r="R2627" s="1">
        <v>0.0</v>
      </c>
      <c r="S2627" s="1">
        <v>0.0</v>
      </c>
      <c r="U2627" s="1">
        <v>0.0</v>
      </c>
      <c r="W2627" s="1">
        <v>0.0</v>
      </c>
      <c r="Y2627" s="1">
        <v>0.0</v>
      </c>
      <c r="AA2627" s="1">
        <v>0.0</v>
      </c>
      <c r="AC2627" s="1">
        <v>0.0</v>
      </c>
      <c r="AM2627" s="1">
        <v>267998.0</v>
      </c>
      <c r="AN2627" s="1">
        <v>267998.0</v>
      </c>
      <c r="AO2627" s="1">
        <v>267998.0</v>
      </c>
      <c r="AP2627" s="1">
        <v>102.665</v>
      </c>
      <c r="AR2627" s="1">
        <v>0.0</v>
      </c>
      <c r="AW2627" s="1">
        <v>0.0</v>
      </c>
      <c r="AX2627" s="1">
        <v>6.0</v>
      </c>
      <c r="AY2627" s="1">
        <v>4.0</v>
      </c>
      <c r="BA2627" s="1">
        <v>0.0</v>
      </c>
      <c r="BB2627" s="1">
        <v>0.0</v>
      </c>
      <c r="BC2627" s="1">
        <v>0.0</v>
      </c>
      <c r="BD2627" s="1">
        <v>0.0</v>
      </c>
      <c r="BE2627" s="1">
        <v>0.0</v>
      </c>
      <c r="BF2627" s="1">
        <v>0.0</v>
      </c>
      <c r="BG2627" s="1">
        <v>0.0</v>
      </c>
      <c r="BH2627" s="1">
        <v>0.0</v>
      </c>
      <c r="BI2627" s="1">
        <v>0.0</v>
      </c>
      <c r="BJ2627" s="1">
        <v>0.0</v>
      </c>
      <c r="BP2627" s="1">
        <v>0.273</v>
      </c>
      <c r="BQ2627" s="1" t="s">
        <v>7433</v>
      </c>
      <c r="BV2627" s="1">
        <v>1.1</v>
      </c>
      <c r="EQ2627" s="9" t="s">
        <v>8173</v>
      </c>
      <c r="ER2627" s="21">
        <v>46045.30315972222</v>
      </c>
    </row>
    <row r="2628">
      <c r="A2628" s="9" t="s">
        <v>8174</v>
      </c>
      <c r="B2628" s="20" t="str">
        <f>IFERROR(__xludf.DUMMYFUNCTION("REGEXREPLACE(A2628, ""^https?://[^/]+"", """")"),"/wp-content/themes/salesxceleratione/assets/css/style.css?ver=1769123727")</f>
        <v>/wp-content/themes/salesxceleratione/assets/css/style.css?ver=1769123727</v>
      </c>
      <c r="F2628" s="1" t="s">
        <v>1016</v>
      </c>
      <c r="G2628" s="1">
        <v>200.0</v>
      </c>
      <c r="H2628" s="1" t="s">
        <v>966</v>
      </c>
      <c r="I2628" s="1" t="s">
        <v>967</v>
      </c>
      <c r="L2628" s="1">
        <v>0.0</v>
      </c>
      <c r="M2628" s="1">
        <v>0.0</v>
      </c>
      <c r="O2628" s="1">
        <v>0.0</v>
      </c>
      <c r="P2628" s="1">
        <v>0.0</v>
      </c>
      <c r="R2628" s="1">
        <v>0.0</v>
      </c>
      <c r="S2628" s="1">
        <v>0.0</v>
      </c>
      <c r="U2628" s="1">
        <v>0.0</v>
      </c>
      <c r="W2628" s="1">
        <v>0.0</v>
      </c>
      <c r="Y2628" s="1">
        <v>0.0</v>
      </c>
      <c r="AA2628" s="1">
        <v>0.0</v>
      </c>
      <c r="AC2628" s="1">
        <v>0.0</v>
      </c>
      <c r="AM2628" s="1">
        <v>17704.0</v>
      </c>
      <c r="AN2628" s="1">
        <v>17704.0</v>
      </c>
      <c r="AO2628" s="1">
        <v>17704.0</v>
      </c>
      <c r="AP2628" s="1">
        <v>6.782</v>
      </c>
      <c r="AR2628" s="1">
        <v>0.0</v>
      </c>
      <c r="AW2628" s="1">
        <v>0.0</v>
      </c>
      <c r="AX2628" s="1">
        <v>6.0</v>
      </c>
      <c r="AY2628" s="1">
        <v>5.0</v>
      </c>
      <c r="BA2628" s="1">
        <v>0.0</v>
      </c>
      <c r="BB2628" s="1">
        <v>0.0</v>
      </c>
      <c r="BC2628" s="1">
        <v>0.0</v>
      </c>
      <c r="BD2628" s="1">
        <v>0.0</v>
      </c>
      <c r="BE2628" s="1">
        <v>0.0</v>
      </c>
      <c r="BF2628" s="1">
        <v>0.0</v>
      </c>
      <c r="BG2628" s="1">
        <v>0.0</v>
      </c>
      <c r="BH2628" s="1">
        <v>0.0</v>
      </c>
      <c r="BI2628" s="1">
        <v>0.0</v>
      </c>
      <c r="BJ2628" s="1">
        <v>0.0</v>
      </c>
      <c r="BP2628" s="1">
        <v>0.276</v>
      </c>
      <c r="BQ2628" s="1" t="s">
        <v>8172</v>
      </c>
      <c r="BV2628" s="1">
        <v>1.1</v>
      </c>
      <c r="EQ2628" s="9" t="s">
        <v>8174</v>
      </c>
      <c r="ER2628" s="21">
        <v>46045.30315972222</v>
      </c>
    </row>
    <row r="2629">
      <c r="A2629" s="9" t="s">
        <v>8175</v>
      </c>
      <c r="B2629" s="20" t="str">
        <f>IFERROR(__xludf.DUMMYFUNCTION("REGEXREPLACE(A2629, ""^https?://[^/]+"", """")"),"/how-to-increase-sales-7-ways-to-enhance-sales-performance/")</f>
        <v>/how-to-increase-sales-7-ways-to-enhance-sales-performance/</v>
      </c>
      <c r="C2629" s="1" t="s">
        <v>8176</v>
      </c>
      <c r="D2629" s="1" t="s">
        <v>8177</v>
      </c>
      <c r="E2629" s="1" t="s">
        <v>8178</v>
      </c>
      <c r="F2629" s="1" t="s">
        <v>965</v>
      </c>
      <c r="G2629" s="1">
        <v>200.0</v>
      </c>
      <c r="H2629" s="1" t="s">
        <v>966</v>
      </c>
      <c r="I2629" s="1" t="s">
        <v>967</v>
      </c>
      <c r="K2629" s="1" t="s">
        <v>8179</v>
      </c>
      <c r="L2629" s="1">
        <v>83.0</v>
      </c>
      <c r="M2629" s="1">
        <v>767.0</v>
      </c>
      <c r="O2629" s="1">
        <v>0.0</v>
      </c>
      <c r="P2629" s="1">
        <v>0.0</v>
      </c>
      <c r="Q2629" s="1" t="s">
        <v>8180</v>
      </c>
      <c r="R2629" s="1">
        <v>139.0</v>
      </c>
      <c r="S2629" s="1">
        <v>896.0</v>
      </c>
      <c r="U2629" s="1">
        <v>0.0</v>
      </c>
      <c r="V2629" s="1" t="s">
        <v>8176</v>
      </c>
      <c r="W2629" s="1">
        <v>58.0</v>
      </c>
      <c r="Y2629" s="1">
        <v>0.0</v>
      </c>
      <c r="Z2629" s="1" t="s">
        <v>8177</v>
      </c>
      <c r="AA2629" s="1">
        <v>74.0</v>
      </c>
      <c r="AB2629" s="1" t="s">
        <v>8178</v>
      </c>
      <c r="AC2629" s="1">
        <v>27.0</v>
      </c>
      <c r="AD2629" s="1" t="s">
        <v>971</v>
      </c>
      <c r="AG2629" s="9" t="s">
        <v>8175</v>
      </c>
      <c r="AM2629" s="1">
        <v>212518.0</v>
      </c>
      <c r="AN2629" s="1">
        <v>38990.0</v>
      </c>
      <c r="AO2629" s="1">
        <v>38990.0</v>
      </c>
      <c r="AP2629" s="1">
        <v>14.936</v>
      </c>
      <c r="AR2629" s="1">
        <v>2202.0</v>
      </c>
      <c r="AS2629" s="1">
        <v>327.0</v>
      </c>
      <c r="AT2629" s="1">
        <v>6.734</v>
      </c>
      <c r="AU2629" s="1">
        <v>59.5</v>
      </c>
      <c r="AV2629" s="1" t="s">
        <v>972</v>
      </c>
      <c r="AW2629" s="1">
        <v>7.652</v>
      </c>
      <c r="AX2629" s="1">
        <v>6.0</v>
      </c>
      <c r="AY2629" s="1">
        <v>1.0</v>
      </c>
      <c r="AZ2629" s="1">
        <v>1.0</v>
      </c>
      <c r="BA2629" s="1">
        <v>3.0</v>
      </c>
      <c r="BB2629" s="1">
        <v>3.0</v>
      </c>
      <c r="BC2629" s="1">
        <v>0.0</v>
      </c>
      <c r="BD2629" s="1">
        <v>0.4</v>
      </c>
      <c r="BE2629" s="1">
        <v>133.0</v>
      </c>
      <c r="BF2629" s="1">
        <v>50.0</v>
      </c>
      <c r="BG2629" s="1">
        <v>0.0</v>
      </c>
      <c r="BH2629" s="1">
        <v>16.0</v>
      </c>
      <c r="BI2629" s="1">
        <v>8.0</v>
      </c>
      <c r="BJ2629" s="1">
        <v>0.0</v>
      </c>
      <c r="BO2629" s="1" t="s">
        <v>8181</v>
      </c>
      <c r="BP2629" s="1">
        <v>1.043</v>
      </c>
      <c r="BU2629" s="1" t="s">
        <v>974</v>
      </c>
      <c r="BV2629" s="1">
        <v>1.1</v>
      </c>
      <c r="EQ2629" s="9" t="s">
        <v>8175</v>
      </c>
      <c r="ER2629" s="21">
        <v>46045.303148148145</v>
      </c>
    </row>
    <row r="2630">
      <c r="A2630" s="9" t="s">
        <v>8182</v>
      </c>
      <c r="B2630" s="20" t="str">
        <f>IFERROR(__xludf.DUMMYFUNCTION("REGEXREPLACE(A2630, ""^https?://[^/]+"", """")"),"/wp-content/uploads/2018/01/Need-a-salesperson-650-x-325-72-dpi.jpg")</f>
        <v>/wp-content/uploads/2018/01/Need-a-salesperson-650-x-325-72-dpi.jpg</v>
      </c>
      <c r="F2630" s="1" t="s">
        <v>1004</v>
      </c>
      <c r="G2630" s="1">
        <v>200.0</v>
      </c>
      <c r="H2630" s="1" t="s">
        <v>966</v>
      </c>
      <c r="I2630" s="1" t="s">
        <v>967</v>
      </c>
      <c r="L2630" s="1">
        <v>0.0</v>
      </c>
      <c r="M2630" s="1">
        <v>0.0</v>
      </c>
      <c r="O2630" s="1">
        <v>0.0</v>
      </c>
      <c r="P2630" s="1">
        <v>0.0</v>
      </c>
      <c r="R2630" s="1">
        <v>0.0</v>
      </c>
      <c r="S2630" s="1">
        <v>0.0</v>
      </c>
      <c r="U2630" s="1">
        <v>0.0</v>
      </c>
      <c r="W2630" s="1">
        <v>0.0</v>
      </c>
      <c r="Y2630" s="1">
        <v>0.0</v>
      </c>
      <c r="AA2630" s="1">
        <v>0.0</v>
      </c>
      <c r="AC2630" s="1">
        <v>0.0</v>
      </c>
      <c r="AM2630" s="1">
        <v>25914.0</v>
      </c>
      <c r="AN2630" s="1">
        <v>25914.0</v>
      </c>
      <c r="AO2630" s="1">
        <v>25914.0</v>
      </c>
      <c r="AP2630" s="1">
        <v>9.927</v>
      </c>
      <c r="AR2630" s="1">
        <v>0.0</v>
      </c>
      <c r="AW2630" s="1">
        <v>0.0</v>
      </c>
      <c r="AX2630" s="1">
        <v>6.0</v>
      </c>
      <c r="AY2630" s="1">
        <v>4.0</v>
      </c>
      <c r="BA2630" s="1">
        <v>0.0</v>
      </c>
      <c r="BB2630" s="1">
        <v>0.0</v>
      </c>
      <c r="BC2630" s="1">
        <v>0.0</v>
      </c>
      <c r="BD2630" s="1">
        <v>0.0</v>
      </c>
      <c r="BE2630" s="1">
        <v>0.0</v>
      </c>
      <c r="BF2630" s="1">
        <v>0.0</v>
      </c>
      <c r="BG2630" s="1">
        <v>0.0</v>
      </c>
      <c r="BH2630" s="1">
        <v>0.0</v>
      </c>
      <c r="BI2630" s="1">
        <v>0.0</v>
      </c>
      <c r="BJ2630" s="1">
        <v>0.0</v>
      </c>
      <c r="BP2630" s="1">
        <v>0.271</v>
      </c>
      <c r="BQ2630" s="1" t="s">
        <v>8183</v>
      </c>
      <c r="BV2630" s="1">
        <v>1.1</v>
      </c>
      <c r="EQ2630" s="9" t="s">
        <v>8182</v>
      </c>
      <c r="ER2630" s="21">
        <v>46045.30315972222</v>
      </c>
    </row>
    <row r="2631">
      <c r="A2631" s="9" t="s">
        <v>8184</v>
      </c>
      <c r="B2631" s="20" t="str">
        <f>IFERROR(__xludf.DUMMYFUNCTION("REGEXREPLACE(A2631, ""^https?://[^/]+"", """")"),"/wp-content/uploads/2016/10/Hiring-a-Salesperson-Break-Down-Barriers-RS-72-560-x-225.jpg")</f>
        <v>/wp-content/uploads/2016/10/Hiring-a-Salesperson-Break-Down-Barriers-RS-72-560-x-225.jpg</v>
      </c>
      <c r="F2631" s="1" t="s">
        <v>1004</v>
      </c>
      <c r="G2631" s="1">
        <v>200.0</v>
      </c>
      <c r="H2631" s="1" t="s">
        <v>966</v>
      </c>
      <c r="I2631" s="1" t="s">
        <v>967</v>
      </c>
      <c r="L2631" s="1">
        <v>0.0</v>
      </c>
      <c r="M2631" s="1">
        <v>0.0</v>
      </c>
      <c r="O2631" s="1">
        <v>0.0</v>
      </c>
      <c r="P2631" s="1">
        <v>0.0</v>
      </c>
      <c r="R2631" s="1">
        <v>0.0</v>
      </c>
      <c r="S2631" s="1">
        <v>0.0</v>
      </c>
      <c r="U2631" s="1">
        <v>0.0</v>
      </c>
      <c r="W2631" s="1">
        <v>0.0</v>
      </c>
      <c r="Y2631" s="1">
        <v>0.0</v>
      </c>
      <c r="AA2631" s="1">
        <v>0.0</v>
      </c>
      <c r="AC2631" s="1">
        <v>0.0</v>
      </c>
      <c r="AM2631" s="1">
        <v>20254.0</v>
      </c>
      <c r="AN2631" s="1">
        <v>20254.0</v>
      </c>
      <c r="AO2631" s="1">
        <v>20254.0</v>
      </c>
      <c r="AP2631" s="1">
        <v>7.759</v>
      </c>
      <c r="AR2631" s="1">
        <v>0.0</v>
      </c>
      <c r="AW2631" s="1">
        <v>0.0</v>
      </c>
      <c r="AX2631" s="1">
        <v>6.0</v>
      </c>
      <c r="AY2631" s="1">
        <v>4.0</v>
      </c>
      <c r="BA2631" s="1">
        <v>0.0</v>
      </c>
      <c r="BB2631" s="1">
        <v>0.0</v>
      </c>
      <c r="BC2631" s="1">
        <v>0.0</v>
      </c>
      <c r="BD2631" s="1">
        <v>0.0</v>
      </c>
      <c r="BE2631" s="1">
        <v>0.0</v>
      </c>
      <c r="BF2631" s="1">
        <v>0.0</v>
      </c>
      <c r="BG2631" s="1">
        <v>0.0</v>
      </c>
      <c r="BH2631" s="1">
        <v>0.0</v>
      </c>
      <c r="BI2631" s="1">
        <v>0.0</v>
      </c>
      <c r="BJ2631" s="1">
        <v>0.0</v>
      </c>
      <c r="BP2631" s="1">
        <v>0.282</v>
      </c>
      <c r="BQ2631" s="1" t="s">
        <v>8185</v>
      </c>
      <c r="BV2631" s="1">
        <v>1.1</v>
      </c>
      <c r="EQ2631" s="9" t="s">
        <v>8184</v>
      </c>
      <c r="ER2631" s="21">
        <v>46045.30315972222</v>
      </c>
    </row>
    <row r="2632">
      <c r="A2632" s="9" t="s">
        <v>8186</v>
      </c>
      <c r="B2632" s="20" t="str">
        <f>IFERROR(__xludf.DUMMYFUNCTION("REGEXREPLACE(A2632, ""^https?://[^/]+"", """")"),"/wp-content/themes/salesxceleratione/assets/css/style.css?ver=1769123726")</f>
        <v>/wp-content/themes/salesxceleratione/assets/css/style.css?ver=1769123726</v>
      </c>
      <c r="F2632" s="1" t="s">
        <v>1016</v>
      </c>
      <c r="G2632" s="1">
        <v>200.0</v>
      </c>
      <c r="H2632" s="1" t="s">
        <v>966</v>
      </c>
      <c r="I2632" s="1" t="s">
        <v>967</v>
      </c>
      <c r="L2632" s="1">
        <v>0.0</v>
      </c>
      <c r="M2632" s="1">
        <v>0.0</v>
      </c>
      <c r="O2632" s="1">
        <v>0.0</v>
      </c>
      <c r="P2632" s="1">
        <v>0.0</v>
      </c>
      <c r="R2632" s="1">
        <v>0.0</v>
      </c>
      <c r="S2632" s="1">
        <v>0.0</v>
      </c>
      <c r="U2632" s="1">
        <v>0.0</v>
      </c>
      <c r="W2632" s="1">
        <v>0.0</v>
      </c>
      <c r="Y2632" s="1">
        <v>0.0</v>
      </c>
      <c r="AA2632" s="1">
        <v>0.0</v>
      </c>
      <c r="AC2632" s="1">
        <v>0.0</v>
      </c>
      <c r="AM2632" s="1">
        <v>17704.0</v>
      </c>
      <c r="AN2632" s="1">
        <v>17704.0</v>
      </c>
      <c r="AO2632" s="1">
        <v>17704.0</v>
      </c>
      <c r="AP2632" s="1">
        <v>6.782</v>
      </c>
      <c r="AR2632" s="1">
        <v>0.0</v>
      </c>
      <c r="AW2632" s="1">
        <v>0.0</v>
      </c>
      <c r="AX2632" s="1">
        <v>6.0</v>
      </c>
      <c r="AY2632" s="1">
        <v>5.0</v>
      </c>
      <c r="BA2632" s="1">
        <v>0.0</v>
      </c>
      <c r="BB2632" s="1">
        <v>0.0</v>
      </c>
      <c r="BC2632" s="1">
        <v>0.0</v>
      </c>
      <c r="BD2632" s="1">
        <v>0.0</v>
      </c>
      <c r="BE2632" s="1">
        <v>0.0</v>
      </c>
      <c r="BF2632" s="1">
        <v>0.0</v>
      </c>
      <c r="BG2632" s="1">
        <v>0.0</v>
      </c>
      <c r="BH2632" s="1">
        <v>0.0</v>
      </c>
      <c r="BI2632" s="1">
        <v>0.0</v>
      </c>
      <c r="BJ2632" s="1">
        <v>0.0</v>
      </c>
      <c r="BP2632" s="1">
        <v>0.273</v>
      </c>
      <c r="BQ2632" s="1" t="s">
        <v>8172</v>
      </c>
      <c r="BV2632" s="1">
        <v>1.1</v>
      </c>
      <c r="EQ2632" s="9" t="s">
        <v>8186</v>
      </c>
      <c r="ER2632" s="21">
        <v>46045.30315972222</v>
      </c>
    </row>
    <row r="2633">
      <c r="A2633" s="9" t="s">
        <v>8187</v>
      </c>
      <c r="B2633" s="20" t="str">
        <f>IFERROR(__xludf.DUMMYFUNCTION("REGEXREPLACE(A2633, ""^https?://[^/]+"", """")"),"/wp-content/uploads/2017/05/SinkOrSwimBlog-1.jpg")</f>
        <v>/wp-content/uploads/2017/05/SinkOrSwimBlog-1.jpg</v>
      </c>
      <c r="F2633" s="1" t="s">
        <v>1004</v>
      </c>
      <c r="G2633" s="1">
        <v>200.0</v>
      </c>
      <c r="H2633" s="1" t="s">
        <v>966</v>
      </c>
      <c r="I2633" s="1" t="s">
        <v>967</v>
      </c>
      <c r="L2633" s="1">
        <v>0.0</v>
      </c>
      <c r="M2633" s="1">
        <v>0.0</v>
      </c>
      <c r="O2633" s="1">
        <v>0.0</v>
      </c>
      <c r="P2633" s="1">
        <v>0.0</v>
      </c>
      <c r="R2633" s="1">
        <v>0.0</v>
      </c>
      <c r="S2633" s="1">
        <v>0.0</v>
      </c>
      <c r="U2633" s="1">
        <v>0.0</v>
      </c>
      <c r="W2633" s="1">
        <v>0.0</v>
      </c>
      <c r="Y2633" s="1">
        <v>0.0</v>
      </c>
      <c r="AA2633" s="1">
        <v>0.0</v>
      </c>
      <c r="AC2633" s="1">
        <v>0.0</v>
      </c>
      <c r="AM2633" s="1">
        <v>41608.0</v>
      </c>
      <c r="AN2633" s="1">
        <v>41608.0</v>
      </c>
      <c r="AO2633" s="1">
        <v>41608.0</v>
      </c>
      <c r="AP2633" s="1">
        <v>15.939</v>
      </c>
      <c r="AR2633" s="1">
        <v>0.0</v>
      </c>
      <c r="AW2633" s="1">
        <v>0.0</v>
      </c>
      <c r="AX2633" s="1">
        <v>6.0</v>
      </c>
      <c r="AY2633" s="1">
        <v>4.0</v>
      </c>
      <c r="BA2633" s="1">
        <v>0.0</v>
      </c>
      <c r="BB2633" s="1">
        <v>0.0</v>
      </c>
      <c r="BC2633" s="1">
        <v>0.0</v>
      </c>
      <c r="BD2633" s="1">
        <v>0.0</v>
      </c>
      <c r="BE2633" s="1">
        <v>0.0</v>
      </c>
      <c r="BF2633" s="1">
        <v>0.0</v>
      </c>
      <c r="BG2633" s="1">
        <v>0.0</v>
      </c>
      <c r="BH2633" s="1">
        <v>0.0</v>
      </c>
      <c r="BI2633" s="1">
        <v>0.0</v>
      </c>
      <c r="BJ2633" s="1">
        <v>0.0</v>
      </c>
      <c r="BP2633" s="1">
        <v>0.267</v>
      </c>
      <c r="BQ2633" s="1" t="s">
        <v>8188</v>
      </c>
      <c r="BV2633" s="1">
        <v>1.1</v>
      </c>
      <c r="EQ2633" s="9" t="s">
        <v>8187</v>
      </c>
      <c r="ER2633" s="21">
        <v>46045.30315972222</v>
      </c>
    </row>
    <row r="2634">
      <c r="A2634" s="9" t="s">
        <v>8189</v>
      </c>
      <c r="B2634" s="20" t="str">
        <f>IFERROR(__xludf.DUMMYFUNCTION("REGEXREPLACE(A2634, ""^https?://[^/]+"", """")"),"/wp-content/themes/salesxceleratione/assets/css/style.css?ver=1769123725")</f>
        <v>/wp-content/themes/salesxceleratione/assets/css/style.css?ver=1769123725</v>
      </c>
      <c r="F2634" s="1" t="s">
        <v>1016</v>
      </c>
      <c r="G2634" s="1">
        <v>200.0</v>
      </c>
      <c r="H2634" s="1" t="s">
        <v>966</v>
      </c>
      <c r="I2634" s="1" t="s">
        <v>967</v>
      </c>
      <c r="L2634" s="1">
        <v>0.0</v>
      </c>
      <c r="M2634" s="1">
        <v>0.0</v>
      </c>
      <c r="O2634" s="1">
        <v>0.0</v>
      </c>
      <c r="P2634" s="1">
        <v>0.0</v>
      </c>
      <c r="R2634" s="1">
        <v>0.0</v>
      </c>
      <c r="S2634" s="1">
        <v>0.0</v>
      </c>
      <c r="U2634" s="1">
        <v>0.0</v>
      </c>
      <c r="W2634" s="1">
        <v>0.0</v>
      </c>
      <c r="Y2634" s="1">
        <v>0.0</v>
      </c>
      <c r="AA2634" s="1">
        <v>0.0</v>
      </c>
      <c r="AC2634" s="1">
        <v>0.0</v>
      </c>
      <c r="AM2634" s="1">
        <v>17704.0</v>
      </c>
      <c r="AN2634" s="1">
        <v>17704.0</v>
      </c>
      <c r="AO2634" s="1">
        <v>17704.0</v>
      </c>
      <c r="AP2634" s="1">
        <v>6.782</v>
      </c>
      <c r="AR2634" s="1">
        <v>0.0</v>
      </c>
      <c r="AW2634" s="1">
        <v>0.0</v>
      </c>
      <c r="AX2634" s="1">
        <v>6.0</v>
      </c>
      <c r="AY2634" s="1">
        <v>5.0</v>
      </c>
      <c r="BA2634" s="1">
        <v>0.0</v>
      </c>
      <c r="BB2634" s="1">
        <v>0.0</v>
      </c>
      <c r="BC2634" s="1">
        <v>0.0</v>
      </c>
      <c r="BD2634" s="1">
        <v>0.0</v>
      </c>
      <c r="BE2634" s="1">
        <v>0.0</v>
      </c>
      <c r="BF2634" s="1">
        <v>0.0</v>
      </c>
      <c r="BG2634" s="1">
        <v>0.0</v>
      </c>
      <c r="BH2634" s="1">
        <v>0.0</v>
      </c>
      <c r="BI2634" s="1">
        <v>0.0</v>
      </c>
      <c r="BJ2634" s="1">
        <v>0.0</v>
      </c>
      <c r="BP2634" s="1">
        <v>0.279</v>
      </c>
      <c r="BQ2634" s="1" t="s">
        <v>8172</v>
      </c>
      <c r="BV2634" s="1">
        <v>1.1</v>
      </c>
      <c r="EQ2634" s="9" t="s">
        <v>8189</v>
      </c>
      <c r="ER2634" s="21">
        <v>46045.30315972222</v>
      </c>
    </row>
    <row r="2635">
      <c r="A2635" s="9" t="s">
        <v>8190</v>
      </c>
      <c r="B2635" s="20" t="str">
        <f>IFERROR(__xludf.DUMMYFUNCTION("REGEXREPLACE(A2635, ""^https?://[^/]+"", """")"),"/author/tgardner/")</f>
        <v>/author/tgardner/</v>
      </c>
      <c r="C2635" s="1" t="s">
        <v>8191</v>
      </c>
      <c r="F2635" s="1" t="s">
        <v>965</v>
      </c>
      <c r="G2635" s="1">
        <v>200.0</v>
      </c>
      <c r="H2635" s="1" t="s">
        <v>966</v>
      </c>
      <c r="I2635" s="1" t="s">
        <v>967</v>
      </c>
      <c r="K2635" s="1" t="s">
        <v>8192</v>
      </c>
      <c r="L2635" s="1">
        <v>40.0</v>
      </c>
      <c r="M2635" s="1">
        <v>371.0</v>
      </c>
      <c r="O2635" s="1">
        <v>0.0</v>
      </c>
      <c r="P2635" s="1">
        <v>0.0</v>
      </c>
      <c r="R2635" s="1">
        <v>0.0</v>
      </c>
      <c r="S2635" s="1">
        <v>0.0</v>
      </c>
      <c r="U2635" s="1">
        <v>0.0</v>
      </c>
      <c r="V2635" s="1" t="s">
        <v>8191</v>
      </c>
      <c r="W2635" s="1">
        <v>11.0</v>
      </c>
      <c r="Y2635" s="1">
        <v>0.0</v>
      </c>
      <c r="AA2635" s="1">
        <v>0.0</v>
      </c>
      <c r="AC2635" s="1">
        <v>0.0</v>
      </c>
      <c r="AD2635" s="1" t="s">
        <v>971</v>
      </c>
      <c r="AG2635" s="9" t="s">
        <v>8190</v>
      </c>
      <c r="AM2635" s="1">
        <v>150719.0</v>
      </c>
      <c r="AN2635" s="1">
        <v>29268.0</v>
      </c>
      <c r="AO2635" s="1">
        <v>29268.0</v>
      </c>
      <c r="AP2635" s="1">
        <v>11.212</v>
      </c>
      <c r="AR2635" s="1">
        <v>569.0</v>
      </c>
      <c r="AS2635" s="1">
        <v>99.0</v>
      </c>
      <c r="AT2635" s="1">
        <v>5.747</v>
      </c>
      <c r="AU2635" s="1">
        <v>62.578</v>
      </c>
      <c r="AV2635" s="1" t="s">
        <v>990</v>
      </c>
      <c r="AW2635" s="1">
        <v>3.905</v>
      </c>
      <c r="AX2635" s="1">
        <v>6.0</v>
      </c>
      <c r="AY2635" s="1">
        <v>2.0</v>
      </c>
      <c r="AZ2635" s="1">
        <v>1.0</v>
      </c>
      <c r="BA2635" s="1">
        <v>3.0</v>
      </c>
      <c r="BB2635" s="1">
        <v>1.0</v>
      </c>
      <c r="BC2635" s="1">
        <v>0.0</v>
      </c>
      <c r="BD2635" s="1">
        <v>0.13</v>
      </c>
      <c r="BE2635" s="1">
        <v>125.0</v>
      </c>
      <c r="BF2635" s="1">
        <v>43.0</v>
      </c>
      <c r="BG2635" s="1">
        <v>0.0</v>
      </c>
      <c r="BH2635" s="1">
        <v>16.0</v>
      </c>
      <c r="BI2635" s="1">
        <v>8.0</v>
      </c>
      <c r="BJ2635" s="1">
        <v>0.0</v>
      </c>
      <c r="BO2635" s="1" t="s">
        <v>8193</v>
      </c>
      <c r="BP2635" s="1">
        <v>1.039</v>
      </c>
      <c r="BU2635" s="1" t="s">
        <v>974</v>
      </c>
      <c r="BV2635" s="1">
        <v>1.1</v>
      </c>
      <c r="EQ2635" s="9" t="s">
        <v>8190</v>
      </c>
      <c r="ER2635" s="21">
        <v>46045.303148148145</v>
      </c>
    </row>
    <row r="2636">
      <c r="A2636" s="9" t="s">
        <v>8194</v>
      </c>
      <c r="B2636" s="20" t="str">
        <f>IFERROR(__xludf.DUMMYFUNCTION("REGEXREPLACE(A2636, ""^https?://[^/]+"", """")"),"/wp-content/uploads/2017/07/WhatnottodoBlog-300x151.jpg")</f>
        <v>/wp-content/uploads/2017/07/WhatnottodoBlog-300x151.jpg</v>
      </c>
      <c r="F2636" s="1" t="s">
        <v>1004</v>
      </c>
      <c r="G2636" s="1">
        <v>200.0</v>
      </c>
      <c r="H2636" s="1" t="s">
        <v>966</v>
      </c>
      <c r="I2636" s="1" t="s">
        <v>967</v>
      </c>
      <c r="L2636" s="1">
        <v>0.0</v>
      </c>
      <c r="M2636" s="1">
        <v>0.0</v>
      </c>
      <c r="O2636" s="1">
        <v>0.0</v>
      </c>
      <c r="P2636" s="1">
        <v>0.0</v>
      </c>
      <c r="R2636" s="1">
        <v>0.0</v>
      </c>
      <c r="S2636" s="1">
        <v>0.0</v>
      </c>
      <c r="U2636" s="1">
        <v>0.0</v>
      </c>
      <c r="W2636" s="1">
        <v>0.0</v>
      </c>
      <c r="Y2636" s="1">
        <v>0.0</v>
      </c>
      <c r="AA2636" s="1">
        <v>0.0</v>
      </c>
      <c r="AC2636" s="1">
        <v>0.0</v>
      </c>
      <c r="AM2636" s="1">
        <v>8899.0</v>
      </c>
      <c r="AN2636" s="1">
        <v>8899.0</v>
      </c>
      <c r="AO2636" s="1">
        <v>8899.0</v>
      </c>
      <c r="AP2636" s="1">
        <v>3.409</v>
      </c>
      <c r="AR2636" s="1">
        <v>0.0</v>
      </c>
      <c r="AW2636" s="1">
        <v>0.0</v>
      </c>
      <c r="AX2636" s="1">
        <v>6.0</v>
      </c>
      <c r="AY2636" s="1">
        <v>4.0</v>
      </c>
      <c r="BA2636" s="1">
        <v>0.0</v>
      </c>
      <c r="BB2636" s="1">
        <v>0.0</v>
      </c>
      <c r="BC2636" s="1">
        <v>0.0</v>
      </c>
      <c r="BD2636" s="1">
        <v>0.0</v>
      </c>
      <c r="BE2636" s="1">
        <v>0.0</v>
      </c>
      <c r="BF2636" s="1">
        <v>0.0</v>
      </c>
      <c r="BG2636" s="1">
        <v>0.0</v>
      </c>
      <c r="BH2636" s="1">
        <v>0.0</v>
      </c>
      <c r="BI2636" s="1">
        <v>0.0</v>
      </c>
      <c r="BJ2636" s="1">
        <v>0.0</v>
      </c>
      <c r="BP2636" s="1">
        <v>0.27</v>
      </c>
      <c r="BQ2636" s="1" t="s">
        <v>8195</v>
      </c>
      <c r="BV2636" s="1">
        <v>1.1</v>
      </c>
      <c r="EQ2636" s="9" t="s">
        <v>8194</v>
      </c>
      <c r="ER2636" s="21">
        <v>46045.30315972222</v>
      </c>
    </row>
    <row r="2637">
      <c r="A2637" s="9" t="s">
        <v>8196</v>
      </c>
      <c r="B2637" s="20" t="str">
        <f>IFERROR(__xludf.DUMMYFUNCTION("REGEXREPLACE(A2637, ""^https?://[^/]+"", """")"),"/wp-content/uploads/2016/08/Talent-vs-talented-300x143.png")</f>
        <v>/wp-content/uploads/2016/08/Talent-vs-talented-300x143.png</v>
      </c>
      <c r="F2637" s="1" t="s">
        <v>1047</v>
      </c>
      <c r="G2637" s="1">
        <v>200.0</v>
      </c>
      <c r="H2637" s="1" t="s">
        <v>966</v>
      </c>
      <c r="I2637" s="1" t="s">
        <v>967</v>
      </c>
      <c r="L2637" s="1">
        <v>0.0</v>
      </c>
      <c r="M2637" s="1">
        <v>0.0</v>
      </c>
      <c r="O2637" s="1">
        <v>0.0</v>
      </c>
      <c r="P2637" s="1">
        <v>0.0</v>
      </c>
      <c r="R2637" s="1">
        <v>0.0</v>
      </c>
      <c r="S2637" s="1">
        <v>0.0</v>
      </c>
      <c r="U2637" s="1">
        <v>0.0</v>
      </c>
      <c r="W2637" s="1">
        <v>0.0</v>
      </c>
      <c r="Y2637" s="1">
        <v>0.0</v>
      </c>
      <c r="AA2637" s="1">
        <v>0.0</v>
      </c>
      <c r="AC2637" s="1">
        <v>0.0</v>
      </c>
      <c r="AM2637" s="1">
        <v>28205.0</v>
      </c>
      <c r="AN2637" s="1">
        <v>28205.0</v>
      </c>
      <c r="AO2637" s="1">
        <v>28205.0</v>
      </c>
      <c r="AP2637" s="1">
        <v>10.805</v>
      </c>
      <c r="AR2637" s="1">
        <v>0.0</v>
      </c>
      <c r="AW2637" s="1">
        <v>0.0</v>
      </c>
      <c r="AX2637" s="1">
        <v>6.0</v>
      </c>
      <c r="AY2637" s="1">
        <v>4.0</v>
      </c>
      <c r="BA2637" s="1">
        <v>0.0</v>
      </c>
      <c r="BB2637" s="1">
        <v>0.0</v>
      </c>
      <c r="BC2637" s="1">
        <v>0.0</v>
      </c>
      <c r="BD2637" s="1">
        <v>0.0</v>
      </c>
      <c r="BE2637" s="1">
        <v>0.0</v>
      </c>
      <c r="BF2637" s="1">
        <v>0.0</v>
      </c>
      <c r="BG2637" s="1">
        <v>0.0</v>
      </c>
      <c r="BH2637" s="1">
        <v>0.0</v>
      </c>
      <c r="BI2637" s="1">
        <v>0.0</v>
      </c>
      <c r="BJ2637" s="1">
        <v>0.0</v>
      </c>
      <c r="BP2637" s="1">
        <v>0.265</v>
      </c>
      <c r="BQ2637" s="1" t="s">
        <v>8197</v>
      </c>
      <c r="BV2637" s="1">
        <v>1.1</v>
      </c>
      <c r="EQ2637" s="9" t="s">
        <v>8196</v>
      </c>
      <c r="ER2637" s="21">
        <v>46045.30315972222</v>
      </c>
    </row>
    <row r="2638">
      <c r="A2638" s="9" t="s">
        <v>7506</v>
      </c>
      <c r="B2638" s="20" t="str">
        <f>IFERROR(__xludf.DUMMYFUNCTION("REGEXREPLACE(A2638, ""^https?://[^/]+"", """")"),"/?download=27866")</f>
        <v>/?download=27866</v>
      </c>
      <c r="F2638" s="1" t="s">
        <v>965</v>
      </c>
      <c r="G2638" s="1">
        <v>302.0</v>
      </c>
      <c r="H2638" s="1" t="s">
        <v>2980</v>
      </c>
      <c r="I2638" s="1" t="s">
        <v>1214</v>
      </c>
      <c r="J2638" s="1" t="s">
        <v>1305</v>
      </c>
      <c r="L2638" s="1">
        <v>0.0</v>
      </c>
      <c r="M2638" s="1">
        <v>0.0</v>
      </c>
      <c r="O2638" s="1">
        <v>0.0</v>
      </c>
      <c r="P2638" s="1">
        <v>0.0</v>
      </c>
      <c r="R2638" s="1">
        <v>0.0</v>
      </c>
      <c r="S2638" s="1">
        <v>0.0</v>
      </c>
      <c r="U2638" s="1">
        <v>0.0</v>
      </c>
      <c r="W2638" s="1">
        <v>0.0</v>
      </c>
      <c r="Y2638" s="1">
        <v>0.0</v>
      </c>
      <c r="AA2638" s="1">
        <v>0.0</v>
      </c>
      <c r="AC2638" s="1">
        <v>0.0</v>
      </c>
      <c r="AM2638" s="1">
        <v>0.0</v>
      </c>
      <c r="AN2638" s="1">
        <v>0.0</v>
      </c>
      <c r="AO2638" s="1">
        <v>0.0</v>
      </c>
      <c r="AP2638" s="1">
        <v>0.0</v>
      </c>
      <c r="AR2638" s="1">
        <v>0.0</v>
      </c>
      <c r="AW2638" s="1">
        <v>0.0</v>
      </c>
      <c r="AX2638" s="1">
        <v>6.0</v>
      </c>
      <c r="AY2638" s="1">
        <v>0.0</v>
      </c>
      <c r="BA2638" s="1">
        <v>0.0</v>
      </c>
      <c r="BB2638" s="1">
        <v>0.0</v>
      </c>
      <c r="BC2638" s="1">
        <v>0.0</v>
      </c>
      <c r="BD2638" s="1">
        <v>0.0</v>
      </c>
      <c r="BE2638" s="1">
        <v>0.0</v>
      </c>
      <c r="BF2638" s="1">
        <v>0.0</v>
      </c>
      <c r="BG2638" s="1">
        <v>0.0</v>
      </c>
      <c r="BH2638" s="1">
        <v>0.0</v>
      </c>
      <c r="BI2638" s="1">
        <v>0.0</v>
      </c>
      <c r="BJ2638" s="1">
        <v>0.0</v>
      </c>
      <c r="BP2638" s="1">
        <v>0.542</v>
      </c>
      <c r="BR2638" s="9" t="s">
        <v>8198</v>
      </c>
      <c r="BS2638" s="1" t="s">
        <v>1307</v>
      </c>
      <c r="BV2638" s="1">
        <v>1.1</v>
      </c>
      <c r="EQ2638" s="9" t="s">
        <v>7506</v>
      </c>
      <c r="ER2638" s="21">
        <v>46045.30315972222</v>
      </c>
    </row>
    <row r="2639">
      <c r="A2639" s="9" t="s">
        <v>8199</v>
      </c>
      <c r="B2639" s="20" t="str">
        <f>IFERROR(__xludf.DUMMYFUNCTION("REGEXREPLACE(A2639, ""^https?://[^/]+"", """")"),"/wp-content/uploads/2017/02/Tall-Businessman-Featured-300x150.jpg")</f>
        <v>/wp-content/uploads/2017/02/Tall-Businessman-Featured-300x150.jpg</v>
      </c>
      <c r="F2639" s="1" t="s">
        <v>1004</v>
      </c>
      <c r="G2639" s="1">
        <v>200.0</v>
      </c>
      <c r="H2639" s="1" t="s">
        <v>966</v>
      </c>
      <c r="I2639" s="1" t="s">
        <v>967</v>
      </c>
      <c r="L2639" s="1">
        <v>0.0</v>
      </c>
      <c r="M2639" s="1">
        <v>0.0</v>
      </c>
      <c r="O2639" s="1">
        <v>0.0</v>
      </c>
      <c r="P2639" s="1">
        <v>0.0</v>
      </c>
      <c r="R2639" s="1">
        <v>0.0</v>
      </c>
      <c r="S2639" s="1">
        <v>0.0</v>
      </c>
      <c r="U2639" s="1">
        <v>0.0</v>
      </c>
      <c r="W2639" s="1">
        <v>0.0</v>
      </c>
      <c r="Y2639" s="1">
        <v>0.0</v>
      </c>
      <c r="AA2639" s="1">
        <v>0.0</v>
      </c>
      <c r="AC2639" s="1">
        <v>0.0</v>
      </c>
      <c r="AM2639" s="1">
        <v>8080.0</v>
      </c>
      <c r="AN2639" s="1">
        <v>8080.0</v>
      </c>
      <c r="AO2639" s="1">
        <v>8080.0</v>
      </c>
      <c r="AP2639" s="1">
        <v>3.095</v>
      </c>
      <c r="AR2639" s="1">
        <v>0.0</v>
      </c>
      <c r="AW2639" s="1">
        <v>0.0</v>
      </c>
      <c r="AX2639" s="1">
        <v>6.0</v>
      </c>
      <c r="AY2639" s="1">
        <v>4.0</v>
      </c>
      <c r="BA2639" s="1">
        <v>0.0</v>
      </c>
      <c r="BB2639" s="1">
        <v>0.0</v>
      </c>
      <c r="BC2639" s="1">
        <v>0.0</v>
      </c>
      <c r="BD2639" s="1">
        <v>0.0</v>
      </c>
      <c r="BE2639" s="1">
        <v>0.0</v>
      </c>
      <c r="BF2639" s="1">
        <v>0.0</v>
      </c>
      <c r="BG2639" s="1">
        <v>0.0</v>
      </c>
      <c r="BH2639" s="1">
        <v>0.0</v>
      </c>
      <c r="BI2639" s="1">
        <v>0.0</v>
      </c>
      <c r="BJ2639" s="1">
        <v>0.0</v>
      </c>
      <c r="BP2639" s="1">
        <v>0.268</v>
      </c>
      <c r="BQ2639" s="1" t="s">
        <v>8200</v>
      </c>
      <c r="BV2639" s="1">
        <v>1.1</v>
      </c>
      <c r="EQ2639" s="9" t="s">
        <v>8199</v>
      </c>
      <c r="ER2639" s="21">
        <v>46045.3031712963</v>
      </c>
    </row>
    <row r="2640">
      <c r="A2640" s="9" t="s">
        <v>8201</v>
      </c>
      <c r="B2640" s="20" t="str">
        <f>IFERROR(__xludf.DUMMYFUNCTION("REGEXREPLACE(A2640, ""^https?://[^/]+"", """")"),"/train-brain-close-sale/")</f>
        <v>/train-brain-close-sale/</v>
      </c>
      <c r="C2640" s="1" t="s">
        <v>8202</v>
      </c>
      <c r="F2640" s="1" t="s">
        <v>965</v>
      </c>
      <c r="G2640" s="1">
        <v>200.0</v>
      </c>
      <c r="H2640" s="1" t="s">
        <v>966</v>
      </c>
      <c r="I2640" s="1" t="s">
        <v>967</v>
      </c>
      <c r="K2640" s="1" t="s">
        <v>8203</v>
      </c>
      <c r="L2640" s="1">
        <v>59.0</v>
      </c>
      <c r="M2640" s="1">
        <v>514.0</v>
      </c>
      <c r="O2640" s="1">
        <v>0.0</v>
      </c>
      <c r="P2640" s="1">
        <v>0.0</v>
      </c>
      <c r="Q2640" s="1" t="s">
        <v>8204</v>
      </c>
      <c r="R2640" s="1">
        <v>150.0</v>
      </c>
      <c r="S2640" s="1">
        <v>920.0</v>
      </c>
      <c r="U2640" s="1">
        <v>0.0</v>
      </c>
      <c r="V2640" s="1" t="s">
        <v>8202</v>
      </c>
      <c r="W2640" s="1">
        <v>34.0</v>
      </c>
      <c r="Y2640" s="1">
        <v>0.0</v>
      </c>
      <c r="AA2640" s="1">
        <v>0.0</v>
      </c>
      <c r="AC2640" s="1">
        <v>0.0</v>
      </c>
      <c r="AD2640" s="1" t="s">
        <v>971</v>
      </c>
      <c r="AG2640" s="9" t="s">
        <v>8201</v>
      </c>
      <c r="AM2640" s="1">
        <v>197392.0</v>
      </c>
      <c r="AN2640" s="1">
        <v>35030.0</v>
      </c>
      <c r="AO2640" s="1">
        <v>35030.0</v>
      </c>
      <c r="AP2640" s="1">
        <v>13.419</v>
      </c>
      <c r="AR2640" s="1">
        <v>1142.0</v>
      </c>
      <c r="AS2640" s="1">
        <v>178.0</v>
      </c>
      <c r="AT2640" s="1">
        <v>6.416</v>
      </c>
      <c r="AU2640" s="1">
        <v>66.978</v>
      </c>
      <c r="AV2640" s="1" t="s">
        <v>990</v>
      </c>
      <c r="AW2640" s="1">
        <v>4.736</v>
      </c>
      <c r="AX2640" s="1">
        <v>6.0</v>
      </c>
      <c r="AY2640" s="1">
        <v>1.0</v>
      </c>
      <c r="AZ2640" s="1">
        <v>1.0</v>
      </c>
      <c r="BA2640" s="1">
        <v>3.0</v>
      </c>
      <c r="BB2640" s="1">
        <v>1.0</v>
      </c>
      <c r="BC2640" s="1">
        <v>0.0</v>
      </c>
      <c r="BD2640" s="1">
        <v>0.13</v>
      </c>
      <c r="BE2640" s="1">
        <v>130.0</v>
      </c>
      <c r="BF2640" s="1">
        <v>48.0</v>
      </c>
      <c r="BG2640" s="1">
        <v>0.0</v>
      </c>
      <c r="BH2640" s="1">
        <v>17.0</v>
      </c>
      <c r="BI2640" s="1">
        <v>9.0</v>
      </c>
      <c r="BJ2640" s="1">
        <v>0.0</v>
      </c>
      <c r="BO2640" s="1" t="s">
        <v>8205</v>
      </c>
      <c r="BP2640" s="1">
        <v>1.014</v>
      </c>
      <c r="BU2640" s="1" t="s">
        <v>974</v>
      </c>
      <c r="BV2640" s="1">
        <v>1.1</v>
      </c>
      <c r="EQ2640" s="9" t="s">
        <v>8201</v>
      </c>
      <c r="ER2640" s="21">
        <v>46045.30315972222</v>
      </c>
    </row>
    <row r="2641">
      <c r="A2641" s="9" t="s">
        <v>8206</v>
      </c>
      <c r="B2641" s="20" t="str">
        <f>IFERROR(__xludf.DUMMYFUNCTION("REGEXREPLACE(A2641, ""^https?://[^/]+"", """")"),"/stop-proposal-factory-2/")</f>
        <v>/stop-proposal-factory-2/</v>
      </c>
      <c r="C2641" s="1" t="s">
        <v>8207</v>
      </c>
      <c r="F2641" s="1" t="s">
        <v>965</v>
      </c>
      <c r="G2641" s="1">
        <v>200.0</v>
      </c>
      <c r="H2641" s="1" t="s">
        <v>966</v>
      </c>
      <c r="I2641" s="1" t="s">
        <v>967</v>
      </c>
      <c r="K2641" s="1" t="s">
        <v>8208</v>
      </c>
      <c r="L2641" s="1">
        <v>54.0</v>
      </c>
      <c r="M2641" s="1">
        <v>482.0</v>
      </c>
      <c r="O2641" s="1">
        <v>0.0</v>
      </c>
      <c r="P2641" s="1">
        <v>0.0</v>
      </c>
      <c r="Q2641" s="1" t="s">
        <v>8209</v>
      </c>
      <c r="R2641" s="1">
        <v>132.0</v>
      </c>
      <c r="S2641" s="1">
        <v>807.0</v>
      </c>
      <c r="U2641" s="1">
        <v>0.0</v>
      </c>
      <c r="V2641" s="1" t="s">
        <v>8207</v>
      </c>
      <c r="W2641" s="1">
        <v>29.0</v>
      </c>
      <c r="Y2641" s="1">
        <v>0.0</v>
      </c>
      <c r="AA2641" s="1">
        <v>0.0</v>
      </c>
      <c r="AC2641" s="1">
        <v>0.0</v>
      </c>
      <c r="AD2641" s="1" t="s">
        <v>971</v>
      </c>
      <c r="AG2641" s="9" t="s">
        <v>8206</v>
      </c>
      <c r="AM2641" s="1">
        <v>200034.0</v>
      </c>
      <c r="AN2641" s="1">
        <v>35117.0</v>
      </c>
      <c r="AO2641" s="1">
        <v>35117.0</v>
      </c>
      <c r="AP2641" s="1">
        <v>13.453</v>
      </c>
      <c r="AR2641" s="1">
        <v>1175.0</v>
      </c>
      <c r="AS2641" s="1">
        <v>174.0</v>
      </c>
      <c r="AT2641" s="1">
        <v>6.753</v>
      </c>
      <c r="AU2641" s="1">
        <v>69.517</v>
      </c>
      <c r="AV2641" s="1" t="s">
        <v>990</v>
      </c>
      <c r="AW2641" s="1">
        <v>4.711</v>
      </c>
      <c r="AX2641" s="1">
        <v>6.0</v>
      </c>
      <c r="AY2641" s="1">
        <v>1.0</v>
      </c>
      <c r="AZ2641" s="1">
        <v>1.0</v>
      </c>
      <c r="BA2641" s="1">
        <v>3.0</v>
      </c>
      <c r="BB2641" s="1">
        <v>1.0</v>
      </c>
      <c r="BC2641" s="1">
        <v>0.0</v>
      </c>
      <c r="BD2641" s="1">
        <v>0.13</v>
      </c>
      <c r="BE2641" s="1">
        <v>129.0</v>
      </c>
      <c r="BF2641" s="1">
        <v>47.0</v>
      </c>
      <c r="BG2641" s="1">
        <v>0.0</v>
      </c>
      <c r="BH2641" s="1">
        <v>16.0</v>
      </c>
      <c r="BI2641" s="1">
        <v>8.0</v>
      </c>
      <c r="BJ2641" s="1">
        <v>0.0</v>
      </c>
      <c r="BO2641" s="1" t="s">
        <v>8210</v>
      </c>
      <c r="BP2641" s="1">
        <v>1.027</v>
      </c>
      <c r="BU2641" s="1" t="s">
        <v>974</v>
      </c>
      <c r="BV2641" s="1">
        <v>1.1</v>
      </c>
      <c r="EQ2641" s="9" t="s">
        <v>8206</v>
      </c>
      <c r="ER2641" s="21">
        <v>46045.3031712963</v>
      </c>
    </row>
    <row r="2642">
      <c r="A2642" s="9" t="s">
        <v>8211</v>
      </c>
      <c r="B2642" s="20" t="str">
        <f>IFERROR(__xludf.DUMMYFUNCTION("REGEXREPLACE(A2642, ""^https?://[^/]+"", """")"),"/wp-content/uploads/2017/08/mwblog-300x169.jpg")</f>
        <v>/wp-content/uploads/2017/08/mwblog-300x169.jpg</v>
      </c>
      <c r="F2642" s="1" t="s">
        <v>1004</v>
      </c>
      <c r="G2642" s="1">
        <v>200.0</v>
      </c>
      <c r="H2642" s="1" t="s">
        <v>966</v>
      </c>
      <c r="I2642" s="1" t="s">
        <v>967</v>
      </c>
      <c r="L2642" s="1">
        <v>0.0</v>
      </c>
      <c r="M2642" s="1">
        <v>0.0</v>
      </c>
      <c r="O2642" s="1">
        <v>0.0</v>
      </c>
      <c r="P2642" s="1">
        <v>0.0</v>
      </c>
      <c r="R2642" s="1">
        <v>0.0</v>
      </c>
      <c r="S2642" s="1">
        <v>0.0</v>
      </c>
      <c r="U2642" s="1">
        <v>0.0</v>
      </c>
      <c r="W2642" s="1">
        <v>0.0</v>
      </c>
      <c r="Y2642" s="1">
        <v>0.0</v>
      </c>
      <c r="AA2642" s="1">
        <v>0.0</v>
      </c>
      <c r="AC2642" s="1">
        <v>0.0</v>
      </c>
      <c r="AM2642" s="1">
        <v>9936.0</v>
      </c>
      <c r="AN2642" s="1">
        <v>9936.0</v>
      </c>
      <c r="AO2642" s="1">
        <v>9936.0</v>
      </c>
      <c r="AP2642" s="1">
        <v>3.806</v>
      </c>
      <c r="AR2642" s="1">
        <v>0.0</v>
      </c>
      <c r="AW2642" s="1">
        <v>0.0</v>
      </c>
      <c r="AX2642" s="1">
        <v>6.0</v>
      </c>
      <c r="AY2642" s="1">
        <v>4.0</v>
      </c>
      <c r="BA2642" s="1">
        <v>0.0</v>
      </c>
      <c r="BB2642" s="1">
        <v>0.0</v>
      </c>
      <c r="BC2642" s="1">
        <v>0.0</v>
      </c>
      <c r="BD2642" s="1">
        <v>0.0</v>
      </c>
      <c r="BE2642" s="1">
        <v>0.0</v>
      </c>
      <c r="BF2642" s="1">
        <v>0.0</v>
      </c>
      <c r="BG2642" s="1">
        <v>0.0</v>
      </c>
      <c r="BH2642" s="1">
        <v>0.0</v>
      </c>
      <c r="BI2642" s="1">
        <v>0.0</v>
      </c>
      <c r="BJ2642" s="1">
        <v>0.0</v>
      </c>
      <c r="BP2642" s="1">
        <v>0.378</v>
      </c>
      <c r="BQ2642" s="1" t="s">
        <v>8212</v>
      </c>
      <c r="BV2642" s="1">
        <v>1.1</v>
      </c>
      <c r="EQ2642" s="9" t="s">
        <v>8211</v>
      </c>
      <c r="ER2642" s="21">
        <v>46045.30318287037</v>
      </c>
    </row>
    <row r="2643">
      <c r="A2643" s="9" t="s">
        <v>8213</v>
      </c>
      <c r="B2643" s="20" t="str">
        <f>IFERROR(__xludf.DUMMYFUNCTION("REGEXREPLACE(A2643, ""^https?://[^/]+"", """")"),"/wp-content/uploads/2022/02/Businessmen-Shaking-Hands-300x200.jpg")</f>
        <v>/wp-content/uploads/2022/02/Businessmen-Shaking-Hands-300x200.jpg</v>
      </c>
      <c r="F2643" s="1" t="s">
        <v>1004</v>
      </c>
      <c r="G2643" s="1">
        <v>200.0</v>
      </c>
      <c r="H2643" s="1" t="s">
        <v>966</v>
      </c>
      <c r="I2643" s="1" t="s">
        <v>967</v>
      </c>
      <c r="L2643" s="1">
        <v>0.0</v>
      </c>
      <c r="M2643" s="1">
        <v>0.0</v>
      </c>
      <c r="O2643" s="1">
        <v>0.0</v>
      </c>
      <c r="P2643" s="1">
        <v>0.0</v>
      </c>
      <c r="R2643" s="1">
        <v>0.0</v>
      </c>
      <c r="S2643" s="1">
        <v>0.0</v>
      </c>
      <c r="U2643" s="1">
        <v>0.0</v>
      </c>
      <c r="W2643" s="1">
        <v>0.0</v>
      </c>
      <c r="Y2643" s="1">
        <v>0.0</v>
      </c>
      <c r="AA2643" s="1">
        <v>0.0</v>
      </c>
      <c r="AC2643" s="1">
        <v>0.0</v>
      </c>
      <c r="AM2643" s="1">
        <v>8715.0</v>
      </c>
      <c r="AN2643" s="1">
        <v>8715.0</v>
      </c>
      <c r="AO2643" s="1">
        <v>8715.0</v>
      </c>
      <c r="AP2643" s="1">
        <v>3.339</v>
      </c>
      <c r="AR2643" s="1">
        <v>0.0</v>
      </c>
      <c r="AW2643" s="1">
        <v>0.0</v>
      </c>
      <c r="AX2643" s="1">
        <v>6.0</v>
      </c>
      <c r="AY2643" s="1">
        <v>4.0</v>
      </c>
      <c r="BA2643" s="1">
        <v>0.0</v>
      </c>
      <c r="BB2643" s="1">
        <v>0.0</v>
      </c>
      <c r="BC2643" s="1">
        <v>0.0</v>
      </c>
      <c r="BD2643" s="1">
        <v>0.0</v>
      </c>
      <c r="BE2643" s="1">
        <v>0.0</v>
      </c>
      <c r="BF2643" s="1">
        <v>0.0</v>
      </c>
      <c r="BG2643" s="1">
        <v>0.0</v>
      </c>
      <c r="BH2643" s="1">
        <v>0.0</v>
      </c>
      <c r="BI2643" s="1">
        <v>0.0</v>
      </c>
      <c r="BJ2643" s="1">
        <v>0.0</v>
      </c>
      <c r="BP2643" s="1">
        <v>0.261</v>
      </c>
      <c r="BQ2643" s="1" t="s">
        <v>8214</v>
      </c>
      <c r="BV2643" s="1">
        <v>1.1</v>
      </c>
      <c r="EQ2643" s="9" t="s">
        <v>8213</v>
      </c>
      <c r="ER2643" s="21">
        <v>46045.30318287037</v>
      </c>
    </row>
    <row r="2644">
      <c r="A2644" s="9" t="s">
        <v>8215</v>
      </c>
      <c r="B2644" s="20" t="str">
        <f>IFERROR(__xludf.DUMMYFUNCTION("REGEXREPLACE(A2644, ""^https?://[^/]+"", """")"),"/create-sales-plan-sets-sales-pros-success/")</f>
        <v>/create-sales-plan-sets-sales-pros-success/</v>
      </c>
      <c r="C2644" s="1" t="s">
        <v>8216</v>
      </c>
      <c r="F2644" s="1" t="s">
        <v>965</v>
      </c>
      <c r="G2644" s="1">
        <v>200.0</v>
      </c>
      <c r="H2644" s="1" t="s">
        <v>966</v>
      </c>
      <c r="I2644" s="1" t="s">
        <v>967</v>
      </c>
      <c r="K2644" s="1" t="s">
        <v>8216</v>
      </c>
      <c r="L2644" s="1">
        <v>60.0</v>
      </c>
      <c r="M2644" s="1">
        <v>545.0</v>
      </c>
      <c r="O2644" s="1">
        <v>0.0</v>
      </c>
      <c r="P2644" s="1">
        <v>0.0</v>
      </c>
      <c r="Q2644" s="1" t="s">
        <v>8217</v>
      </c>
      <c r="R2644" s="1">
        <v>139.0</v>
      </c>
      <c r="S2644" s="1">
        <v>839.0</v>
      </c>
      <c r="U2644" s="1">
        <v>0.0</v>
      </c>
      <c r="V2644" s="1" t="s">
        <v>8216</v>
      </c>
      <c r="W2644" s="1">
        <v>60.0</v>
      </c>
      <c r="Y2644" s="1">
        <v>0.0</v>
      </c>
      <c r="AA2644" s="1">
        <v>0.0</v>
      </c>
      <c r="AC2644" s="1">
        <v>0.0</v>
      </c>
      <c r="AD2644" s="1" t="s">
        <v>971</v>
      </c>
      <c r="AG2644" s="9" t="s">
        <v>8215</v>
      </c>
      <c r="AM2644" s="1">
        <v>198166.0</v>
      </c>
      <c r="AN2644" s="1">
        <v>35052.0</v>
      </c>
      <c r="AO2644" s="1">
        <v>35052.0</v>
      </c>
      <c r="AP2644" s="1">
        <v>13.428</v>
      </c>
      <c r="AR2644" s="1">
        <v>1086.0</v>
      </c>
      <c r="AS2644" s="1">
        <v>167.0</v>
      </c>
      <c r="AT2644" s="1">
        <v>6.503</v>
      </c>
      <c r="AU2644" s="1">
        <v>64.532</v>
      </c>
      <c r="AV2644" s="1" t="s">
        <v>990</v>
      </c>
      <c r="AW2644" s="1">
        <v>4.531</v>
      </c>
      <c r="AX2644" s="1">
        <v>6.0</v>
      </c>
      <c r="AY2644" s="1">
        <v>1.0</v>
      </c>
      <c r="AZ2644" s="1">
        <v>1.0</v>
      </c>
      <c r="BA2644" s="1">
        <v>3.0</v>
      </c>
      <c r="BB2644" s="1">
        <v>1.0</v>
      </c>
      <c r="BC2644" s="1">
        <v>0.0</v>
      </c>
      <c r="BD2644" s="1">
        <v>0.13</v>
      </c>
      <c r="BE2644" s="1">
        <v>130.0</v>
      </c>
      <c r="BF2644" s="1">
        <v>47.0</v>
      </c>
      <c r="BG2644" s="1">
        <v>0.0</v>
      </c>
      <c r="BH2644" s="1">
        <v>17.0</v>
      </c>
      <c r="BI2644" s="1">
        <v>9.0</v>
      </c>
      <c r="BJ2644" s="1">
        <v>0.0</v>
      </c>
      <c r="BO2644" s="1" t="s">
        <v>8218</v>
      </c>
      <c r="BP2644" s="1">
        <v>1.012</v>
      </c>
      <c r="BU2644" s="1" t="s">
        <v>974</v>
      </c>
      <c r="BV2644" s="1">
        <v>1.1</v>
      </c>
      <c r="EQ2644" s="9" t="s">
        <v>8215</v>
      </c>
      <c r="ER2644" s="21">
        <v>46045.3031712963</v>
      </c>
    </row>
    <row r="2645">
      <c r="A2645" s="9" t="s">
        <v>8219</v>
      </c>
      <c r="B2645" s="20" t="str">
        <f>IFERROR(__xludf.DUMMYFUNCTION("REGEXREPLACE(A2645, ""^https?://[^/]+"", """")"),"/rewind-sales-organization-fast-forward-sales-performance/")</f>
        <v>/rewind-sales-organization-fast-forward-sales-performance/</v>
      </c>
      <c r="C2645" s="1" t="s">
        <v>8220</v>
      </c>
      <c r="F2645" s="1" t="s">
        <v>965</v>
      </c>
      <c r="G2645" s="1">
        <v>200.0</v>
      </c>
      <c r="H2645" s="1" t="s">
        <v>966</v>
      </c>
      <c r="I2645" s="1" t="s">
        <v>967</v>
      </c>
      <c r="K2645" s="1" t="s">
        <v>8220</v>
      </c>
      <c r="L2645" s="1">
        <v>59.0</v>
      </c>
      <c r="M2645" s="1">
        <v>560.0</v>
      </c>
      <c r="O2645" s="1">
        <v>0.0</v>
      </c>
      <c r="P2645" s="1">
        <v>0.0</v>
      </c>
      <c r="Q2645" s="1" t="s">
        <v>8221</v>
      </c>
      <c r="R2645" s="1">
        <v>143.0</v>
      </c>
      <c r="S2645" s="1">
        <v>856.0</v>
      </c>
      <c r="U2645" s="1">
        <v>0.0</v>
      </c>
      <c r="V2645" s="1" t="s">
        <v>8220</v>
      </c>
      <c r="W2645" s="1">
        <v>59.0</v>
      </c>
      <c r="Y2645" s="1">
        <v>0.0</v>
      </c>
      <c r="AA2645" s="1">
        <v>0.0</v>
      </c>
      <c r="AC2645" s="1">
        <v>0.0</v>
      </c>
      <c r="AD2645" s="1" t="s">
        <v>971</v>
      </c>
      <c r="AG2645" s="9" t="s">
        <v>8219</v>
      </c>
      <c r="AM2645" s="1">
        <v>199731.0</v>
      </c>
      <c r="AN2645" s="1">
        <v>35337.0</v>
      </c>
      <c r="AO2645" s="1">
        <v>35337.0</v>
      </c>
      <c r="AP2645" s="1">
        <v>13.537</v>
      </c>
      <c r="AR2645" s="1">
        <v>1113.0</v>
      </c>
      <c r="AS2645" s="1">
        <v>174.0</v>
      </c>
      <c r="AT2645" s="1">
        <v>6.397</v>
      </c>
      <c r="AU2645" s="1">
        <v>65.499</v>
      </c>
      <c r="AV2645" s="1" t="s">
        <v>990</v>
      </c>
      <c r="AW2645" s="1">
        <v>4.586</v>
      </c>
      <c r="AX2645" s="1">
        <v>6.0</v>
      </c>
      <c r="AY2645" s="1">
        <v>1.0</v>
      </c>
      <c r="AZ2645" s="1">
        <v>1.0</v>
      </c>
      <c r="BA2645" s="1">
        <v>3.0</v>
      </c>
      <c r="BB2645" s="1">
        <v>1.0</v>
      </c>
      <c r="BC2645" s="1">
        <v>0.0</v>
      </c>
      <c r="BD2645" s="1">
        <v>0.13</v>
      </c>
      <c r="BE2645" s="1">
        <v>130.0</v>
      </c>
      <c r="BF2645" s="1">
        <v>47.0</v>
      </c>
      <c r="BG2645" s="1">
        <v>0.0</v>
      </c>
      <c r="BH2645" s="1">
        <v>18.0</v>
      </c>
      <c r="BI2645" s="1">
        <v>10.0</v>
      </c>
      <c r="BJ2645" s="1">
        <v>0.0</v>
      </c>
      <c r="BO2645" s="1" t="s">
        <v>8222</v>
      </c>
      <c r="BP2645" s="1">
        <v>1.069</v>
      </c>
      <c r="BU2645" s="1" t="s">
        <v>974</v>
      </c>
      <c r="BV2645" s="1">
        <v>1.1</v>
      </c>
      <c r="EQ2645" s="9" t="s">
        <v>8219</v>
      </c>
      <c r="ER2645" s="21">
        <v>46045.3031712963</v>
      </c>
    </row>
    <row r="2646">
      <c r="A2646" s="9" t="s">
        <v>8223</v>
      </c>
      <c r="B2646" s="20" t="str">
        <f>IFERROR(__xludf.DUMMYFUNCTION("REGEXREPLACE(A2646, ""^https?://[^/]+"", """")"),"/wp-content/uploads/2019/03/marketing-case-study1-768x440.jpg")</f>
        <v>/wp-content/uploads/2019/03/marketing-case-study1-768x440.jpg</v>
      </c>
      <c r="F2646" s="1" t="s">
        <v>1004</v>
      </c>
      <c r="G2646" s="1">
        <v>200.0</v>
      </c>
      <c r="H2646" s="1" t="s">
        <v>966</v>
      </c>
      <c r="I2646" s="1" t="s">
        <v>967</v>
      </c>
      <c r="L2646" s="1">
        <v>0.0</v>
      </c>
      <c r="M2646" s="1">
        <v>0.0</v>
      </c>
      <c r="O2646" s="1">
        <v>0.0</v>
      </c>
      <c r="P2646" s="1">
        <v>0.0</v>
      </c>
      <c r="R2646" s="1">
        <v>0.0</v>
      </c>
      <c r="S2646" s="1">
        <v>0.0</v>
      </c>
      <c r="U2646" s="1">
        <v>0.0</v>
      </c>
      <c r="W2646" s="1">
        <v>0.0</v>
      </c>
      <c r="Y2646" s="1">
        <v>0.0</v>
      </c>
      <c r="AA2646" s="1">
        <v>0.0</v>
      </c>
      <c r="AC2646" s="1">
        <v>0.0</v>
      </c>
      <c r="AM2646" s="1">
        <v>42091.0</v>
      </c>
      <c r="AN2646" s="1">
        <v>42091.0</v>
      </c>
      <c r="AO2646" s="1">
        <v>42091.0</v>
      </c>
      <c r="AP2646" s="1">
        <v>16.124</v>
      </c>
      <c r="AR2646" s="1">
        <v>0.0</v>
      </c>
      <c r="AW2646" s="1">
        <v>0.0</v>
      </c>
      <c r="AX2646" s="1">
        <v>6.0</v>
      </c>
      <c r="AY2646" s="1">
        <v>4.0</v>
      </c>
      <c r="BA2646" s="1">
        <v>0.0</v>
      </c>
      <c r="BB2646" s="1">
        <v>0.0</v>
      </c>
      <c r="BC2646" s="1">
        <v>0.0</v>
      </c>
      <c r="BD2646" s="1">
        <v>0.0</v>
      </c>
      <c r="BE2646" s="1">
        <v>0.0</v>
      </c>
      <c r="BF2646" s="1">
        <v>0.0</v>
      </c>
      <c r="BG2646" s="1">
        <v>0.0</v>
      </c>
      <c r="BH2646" s="1">
        <v>0.0</v>
      </c>
      <c r="BI2646" s="1">
        <v>0.0</v>
      </c>
      <c r="BJ2646" s="1">
        <v>0.0</v>
      </c>
      <c r="BP2646" s="1">
        <v>0.267</v>
      </c>
      <c r="BQ2646" s="1" t="s">
        <v>8224</v>
      </c>
      <c r="BV2646" s="1">
        <v>1.1</v>
      </c>
      <c r="EQ2646" s="9" t="s">
        <v>8223</v>
      </c>
      <c r="ER2646" s="21">
        <v>46045.30318287037</v>
      </c>
    </row>
    <row r="2647">
      <c r="A2647" s="9" t="s">
        <v>8225</v>
      </c>
      <c r="B2647" s="20" t="str">
        <f>IFERROR(__xludf.DUMMYFUNCTION("REGEXREPLACE(A2647, ""^https?://[^/]+"", """")"),"/wp-content/uploads/2019/10/hvac-thumbnail-768x439.jpg")</f>
        <v>/wp-content/uploads/2019/10/hvac-thumbnail-768x439.jpg</v>
      </c>
      <c r="F2647" s="1" t="s">
        <v>1004</v>
      </c>
      <c r="G2647" s="1">
        <v>200.0</v>
      </c>
      <c r="H2647" s="1" t="s">
        <v>966</v>
      </c>
      <c r="I2647" s="1" t="s">
        <v>967</v>
      </c>
      <c r="L2647" s="1">
        <v>0.0</v>
      </c>
      <c r="M2647" s="1">
        <v>0.0</v>
      </c>
      <c r="O2647" s="1">
        <v>0.0</v>
      </c>
      <c r="P2647" s="1">
        <v>0.0</v>
      </c>
      <c r="R2647" s="1">
        <v>0.0</v>
      </c>
      <c r="S2647" s="1">
        <v>0.0</v>
      </c>
      <c r="U2647" s="1">
        <v>0.0</v>
      </c>
      <c r="W2647" s="1">
        <v>0.0</v>
      </c>
      <c r="Y2647" s="1">
        <v>0.0</v>
      </c>
      <c r="AA2647" s="1">
        <v>0.0</v>
      </c>
      <c r="AC2647" s="1">
        <v>0.0</v>
      </c>
      <c r="AM2647" s="1">
        <v>84740.0</v>
      </c>
      <c r="AN2647" s="1">
        <v>84740.0</v>
      </c>
      <c r="AO2647" s="1">
        <v>84740.0</v>
      </c>
      <c r="AP2647" s="1">
        <v>32.462</v>
      </c>
      <c r="AR2647" s="1">
        <v>0.0</v>
      </c>
      <c r="AW2647" s="1">
        <v>0.0</v>
      </c>
      <c r="AX2647" s="1">
        <v>6.0</v>
      </c>
      <c r="AY2647" s="1">
        <v>4.0</v>
      </c>
      <c r="BA2647" s="1">
        <v>0.0</v>
      </c>
      <c r="BB2647" s="1">
        <v>0.0</v>
      </c>
      <c r="BC2647" s="1">
        <v>0.0</v>
      </c>
      <c r="BD2647" s="1">
        <v>0.0</v>
      </c>
      <c r="BE2647" s="1">
        <v>0.0</v>
      </c>
      <c r="BF2647" s="1">
        <v>0.0</v>
      </c>
      <c r="BG2647" s="1">
        <v>0.0</v>
      </c>
      <c r="BH2647" s="1">
        <v>0.0</v>
      </c>
      <c r="BI2647" s="1">
        <v>0.0</v>
      </c>
      <c r="BJ2647" s="1">
        <v>0.0</v>
      </c>
      <c r="BP2647" s="1">
        <v>0.266</v>
      </c>
      <c r="BQ2647" s="1" t="s">
        <v>8226</v>
      </c>
      <c r="BV2647" s="1">
        <v>1.1</v>
      </c>
      <c r="EQ2647" s="9" t="s">
        <v>8225</v>
      </c>
      <c r="ER2647" s="21">
        <v>46045.30318287037</v>
      </c>
    </row>
    <row r="2648">
      <c r="A2648" s="9" t="s">
        <v>8227</v>
      </c>
      <c r="B2648" s="20" t="str">
        <f>IFERROR(__xludf.DUMMYFUNCTION("REGEXREPLACE(A2648, ""^https?://[^/]+"", """")"),"/wp-content/themes/salesxceleratione/assets/css/style.css?ver=1769123723")</f>
        <v>/wp-content/themes/salesxceleratione/assets/css/style.css?ver=1769123723</v>
      </c>
      <c r="F2648" s="1" t="s">
        <v>1016</v>
      </c>
      <c r="G2648" s="1">
        <v>200.0</v>
      </c>
      <c r="H2648" s="1" t="s">
        <v>966</v>
      </c>
      <c r="I2648" s="1" t="s">
        <v>967</v>
      </c>
      <c r="L2648" s="1">
        <v>0.0</v>
      </c>
      <c r="M2648" s="1">
        <v>0.0</v>
      </c>
      <c r="O2648" s="1">
        <v>0.0</v>
      </c>
      <c r="P2648" s="1">
        <v>0.0</v>
      </c>
      <c r="R2648" s="1">
        <v>0.0</v>
      </c>
      <c r="S2648" s="1">
        <v>0.0</v>
      </c>
      <c r="U2648" s="1">
        <v>0.0</v>
      </c>
      <c r="W2648" s="1">
        <v>0.0</v>
      </c>
      <c r="Y2648" s="1">
        <v>0.0</v>
      </c>
      <c r="AA2648" s="1">
        <v>0.0</v>
      </c>
      <c r="AC2648" s="1">
        <v>0.0</v>
      </c>
      <c r="AM2648" s="1">
        <v>17704.0</v>
      </c>
      <c r="AN2648" s="1">
        <v>17704.0</v>
      </c>
      <c r="AO2648" s="1">
        <v>17704.0</v>
      </c>
      <c r="AP2648" s="1">
        <v>6.782</v>
      </c>
      <c r="AR2648" s="1">
        <v>0.0</v>
      </c>
      <c r="AW2648" s="1">
        <v>0.0</v>
      </c>
      <c r="AX2648" s="1">
        <v>6.0</v>
      </c>
      <c r="AY2648" s="1">
        <v>5.0</v>
      </c>
      <c r="BA2648" s="1">
        <v>0.0</v>
      </c>
      <c r="BB2648" s="1">
        <v>0.0</v>
      </c>
      <c r="BC2648" s="1">
        <v>0.0</v>
      </c>
      <c r="BD2648" s="1">
        <v>0.0</v>
      </c>
      <c r="BE2648" s="1">
        <v>0.0</v>
      </c>
      <c r="BF2648" s="1">
        <v>0.0</v>
      </c>
      <c r="BG2648" s="1">
        <v>0.0</v>
      </c>
      <c r="BH2648" s="1">
        <v>0.0</v>
      </c>
      <c r="BI2648" s="1">
        <v>0.0</v>
      </c>
      <c r="BJ2648" s="1">
        <v>0.0</v>
      </c>
      <c r="BP2648" s="1">
        <v>0.271</v>
      </c>
      <c r="BQ2648" s="1" t="s">
        <v>8228</v>
      </c>
      <c r="BV2648" s="1">
        <v>1.1</v>
      </c>
      <c r="EQ2648" s="9" t="s">
        <v>8227</v>
      </c>
      <c r="ER2648" s="21">
        <v>46045.30318287037</v>
      </c>
    </row>
    <row r="2649">
      <c r="A2649" s="9" t="s">
        <v>8229</v>
      </c>
      <c r="B2649" s="20" t="str">
        <f>IFERROR(__xludf.DUMMYFUNCTION("REGEXREPLACE(A2649, ""^https?://[^/]+"", """")"),"/wp-content/uploads/2017/07/Sales-Training-300x169.jpg")</f>
        <v>/wp-content/uploads/2017/07/Sales-Training-300x169.jpg</v>
      </c>
      <c r="F2649" s="1" t="s">
        <v>1004</v>
      </c>
      <c r="G2649" s="1">
        <v>200.0</v>
      </c>
      <c r="H2649" s="1" t="s">
        <v>966</v>
      </c>
      <c r="I2649" s="1" t="s">
        <v>967</v>
      </c>
      <c r="L2649" s="1">
        <v>0.0</v>
      </c>
      <c r="M2649" s="1">
        <v>0.0</v>
      </c>
      <c r="O2649" s="1">
        <v>0.0</v>
      </c>
      <c r="P2649" s="1">
        <v>0.0</v>
      </c>
      <c r="R2649" s="1">
        <v>0.0</v>
      </c>
      <c r="S2649" s="1">
        <v>0.0</v>
      </c>
      <c r="U2649" s="1">
        <v>0.0</v>
      </c>
      <c r="W2649" s="1">
        <v>0.0</v>
      </c>
      <c r="Y2649" s="1">
        <v>0.0</v>
      </c>
      <c r="AA2649" s="1">
        <v>0.0</v>
      </c>
      <c r="AC2649" s="1">
        <v>0.0</v>
      </c>
      <c r="AM2649" s="1">
        <v>10918.0</v>
      </c>
      <c r="AN2649" s="1">
        <v>10918.0</v>
      </c>
      <c r="AO2649" s="1">
        <v>10918.0</v>
      </c>
      <c r="AP2649" s="1">
        <v>4.182</v>
      </c>
      <c r="AR2649" s="1">
        <v>0.0</v>
      </c>
      <c r="AW2649" s="1">
        <v>0.0</v>
      </c>
      <c r="AX2649" s="1">
        <v>6.0</v>
      </c>
      <c r="AY2649" s="1">
        <v>4.0</v>
      </c>
      <c r="BA2649" s="1">
        <v>0.0</v>
      </c>
      <c r="BB2649" s="1">
        <v>0.0</v>
      </c>
      <c r="BC2649" s="1">
        <v>0.0</v>
      </c>
      <c r="BD2649" s="1">
        <v>0.0</v>
      </c>
      <c r="BE2649" s="1">
        <v>0.0</v>
      </c>
      <c r="BF2649" s="1">
        <v>0.0</v>
      </c>
      <c r="BG2649" s="1">
        <v>0.0</v>
      </c>
      <c r="BH2649" s="1">
        <v>0.0</v>
      </c>
      <c r="BI2649" s="1">
        <v>0.0</v>
      </c>
      <c r="BJ2649" s="1">
        <v>0.0</v>
      </c>
      <c r="BP2649" s="1">
        <v>0.276</v>
      </c>
      <c r="BQ2649" s="1" t="s">
        <v>8230</v>
      </c>
      <c r="BV2649" s="1">
        <v>1.1</v>
      </c>
      <c r="EQ2649" s="9" t="s">
        <v>8229</v>
      </c>
      <c r="ER2649" s="21">
        <v>46045.30318287037</v>
      </c>
    </row>
    <row r="2650">
      <c r="A2650" s="9" t="s">
        <v>8231</v>
      </c>
      <c r="B2650" s="20" t="str">
        <f>IFERROR(__xludf.DUMMYFUNCTION("REGEXREPLACE(A2650, ""^https?://[^/]+"", """")"),"/wp-content/uploads/2017/12/brainblog-300x202.jpg")</f>
        <v>/wp-content/uploads/2017/12/brainblog-300x202.jpg</v>
      </c>
      <c r="F2650" s="1" t="s">
        <v>1004</v>
      </c>
      <c r="G2650" s="1">
        <v>200.0</v>
      </c>
      <c r="H2650" s="1" t="s">
        <v>966</v>
      </c>
      <c r="I2650" s="1" t="s">
        <v>967</v>
      </c>
      <c r="L2650" s="1">
        <v>0.0</v>
      </c>
      <c r="M2650" s="1">
        <v>0.0</v>
      </c>
      <c r="O2650" s="1">
        <v>0.0</v>
      </c>
      <c r="P2650" s="1">
        <v>0.0</v>
      </c>
      <c r="R2650" s="1">
        <v>0.0</v>
      </c>
      <c r="S2650" s="1">
        <v>0.0</v>
      </c>
      <c r="U2650" s="1">
        <v>0.0</v>
      </c>
      <c r="W2650" s="1">
        <v>0.0</v>
      </c>
      <c r="Y2650" s="1">
        <v>0.0</v>
      </c>
      <c r="AA2650" s="1">
        <v>0.0</v>
      </c>
      <c r="AC2650" s="1">
        <v>0.0</v>
      </c>
      <c r="AM2650" s="1">
        <v>13729.0</v>
      </c>
      <c r="AN2650" s="1">
        <v>13729.0</v>
      </c>
      <c r="AO2650" s="1">
        <v>13729.0</v>
      </c>
      <c r="AP2650" s="1">
        <v>5.259</v>
      </c>
      <c r="AR2650" s="1">
        <v>0.0</v>
      </c>
      <c r="AW2650" s="1">
        <v>0.0</v>
      </c>
      <c r="AX2650" s="1">
        <v>6.0</v>
      </c>
      <c r="AY2650" s="1">
        <v>4.0</v>
      </c>
      <c r="BA2650" s="1">
        <v>0.0</v>
      </c>
      <c r="BB2650" s="1">
        <v>0.0</v>
      </c>
      <c r="BC2650" s="1">
        <v>0.0</v>
      </c>
      <c r="BD2650" s="1">
        <v>0.0</v>
      </c>
      <c r="BE2650" s="1">
        <v>0.0</v>
      </c>
      <c r="BF2650" s="1">
        <v>0.0</v>
      </c>
      <c r="BG2650" s="1">
        <v>0.0</v>
      </c>
      <c r="BH2650" s="1">
        <v>0.0</v>
      </c>
      <c r="BI2650" s="1">
        <v>0.0</v>
      </c>
      <c r="BJ2650" s="1">
        <v>0.0</v>
      </c>
      <c r="BP2650" s="1">
        <v>0.293</v>
      </c>
      <c r="BQ2650" s="1" t="s">
        <v>8232</v>
      </c>
      <c r="BV2650" s="1">
        <v>1.1</v>
      </c>
      <c r="EQ2650" s="9" t="s">
        <v>8231</v>
      </c>
      <c r="ER2650" s="21">
        <v>46045.30318287037</v>
      </c>
    </row>
    <row r="2651">
      <c r="A2651" s="9" t="s">
        <v>8233</v>
      </c>
      <c r="B2651" s="20" t="str">
        <f>IFERROR(__xludf.DUMMYFUNCTION("REGEXREPLACE(A2651, ""^https?://[^/]+"", """")"),"/wp-content/uploads/2017/03/TheValueFactory-300x169.jpg")</f>
        <v>/wp-content/uploads/2017/03/TheValueFactory-300x169.jpg</v>
      </c>
      <c r="F2651" s="1" t="s">
        <v>1004</v>
      </c>
      <c r="G2651" s="1">
        <v>200.0</v>
      </c>
      <c r="H2651" s="1" t="s">
        <v>966</v>
      </c>
      <c r="I2651" s="1" t="s">
        <v>967</v>
      </c>
      <c r="L2651" s="1">
        <v>0.0</v>
      </c>
      <c r="M2651" s="1">
        <v>0.0</v>
      </c>
      <c r="O2651" s="1">
        <v>0.0</v>
      </c>
      <c r="P2651" s="1">
        <v>0.0</v>
      </c>
      <c r="R2651" s="1">
        <v>0.0</v>
      </c>
      <c r="S2651" s="1">
        <v>0.0</v>
      </c>
      <c r="U2651" s="1">
        <v>0.0</v>
      </c>
      <c r="W2651" s="1">
        <v>0.0</v>
      </c>
      <c r="Y2651" s="1">
        <v>0.0</v>
      </c>
      <c r="AA2651" s="1">
        <v>0.0</v>
      </c>
      <c r="AC2651" s="1">
        <v>0.0</v>
      </c>
      <c r="AM2651" s="1">
        <v>4891.0</v>
      </c>
      <c r="AN2651" s="1">
        <v>4891.0</v>
      </c>
      <c r="AO2651" s="1">
        <v>4891.0</v>
      </c>
      <c r="AP2651" s="1">
        <v>1.874</v>
      </c>
      <c r="AR2651" s="1">
        <v>0.0</v>
      </c>
      <c r="AW2651" s="1">
        <v>0.0</v>
      </c>
      <c r="AX2651" s="1">
        <v>6.0</v>
      </c>
      <c r="AY2651" s="1">
        <v>4.0</v>
      </c>
      <c r="BA2651" s="1">
        <v>0.0</v>
      </c>
      <c r="BB2651" s="1">
        <v>0.0</v>
      </c>
      <c r="BC2651" s="1">
        <v>0.0</v>
      </c>
      <c r="BD2651" s="1">
        <v>0.0</v>
      </c>
      <c r="BE2651" s="1">
        <v>0.0</v>
      </c>
      <c r="BF2651" s="1">
        <v>0.0</v>
      </c>
      <c r="BG2651" s="1">
        <v>0.0</v>
      </c>
      <c r="BH2651" s="1">
        <v>0.0</v>
      </c>
      <c r="BI2651" s="1">
        <v>0.0</v>
      </c>
      <c r="BJ2651" s="1">
        <v>0.0</v>
      </c>
      <c r="BP2651" s="1">
        <v>0.287</v>
      </c>
      <c r="BQ2651" s="1" t="s">
        <v>7523</v>
      </c>
      <c r="BV2651" s="1">
        <v>1.1</v>
      </c>
      <c r="EQ2651" s="9" t="s">
        <v>8233</v>
      </c>
      <c r="ER2651" s="21">
        <v>46045.303194444445</v>
      </c>
    </row>
    <row r="2652">
      <c r="A2652" s="9" t="s">
        <v>8234</v>
      </c>
      <c r="B2652" s="20" t="str">
        <f>IFERROR(__xludf.DUMMYFUNCTION("REGEXREPLACE(A2652, ""^https?://[^/]+"", """")"),"/what-is-the-impact-of-covid-19-on-your-sales-process/")</f>
        <v>/what-is-the-impact-of-covid-19-on-your-sales-process/</v>
      </c>
      <c r="C2652" s="1" t="s">
        <v>8235</v>
      </c>
      <c r="D2652" s="1" t="s">
        <v>8236</v>
      </c>
      <c r="E2652" s="1" t="s">
        <v>8237</v>
      </c>
      <c r="F2652" s="1" t="s">
        <v>965</v>
      </c>
      <c r="G2652" s="1">
        <v>200.0</v>
      </c>
      <c r="H2652" s="1" t="s">
        <v>966</v>
      </c>
      <c r="I2652" s="1" t="s">
        <v>967</v>
      </c>
      <c r="K2652" s="1" t="s">
        <v>8238</v>
      </c>
      <c r="L2652" s="1">
        <v>78.0</v>
      </c>
      <c r="M2652" s="1">
        <v>710.0</v>
      </c>
      <c r="O2652" s="1">
        <v>0.0</v>
      </c>
      <c r="P2652" s="1">
        <v>0.0</v>
      </c>
      <c r="Q2652" s="1" t="s">
        <v>8239</v>
      </c>
      <c r="R2652" s="1">
        <v>126.0</v>
      </c>
      <c r="S2652" s="1">
        <v>776.0</v>
      </c>
      <c r="U2652" s="1">
        <v>0.0</v>
      </c>
      <c r="V2652" s="1" t="s">
        <v>8235</v>
      </c>
      <c r="W2652" s="1">
        <v>53.0</v>
      </c>
      <c r="Y2652" s="1">
        <v>0.0</v>
      </c>
      <c r="Z2652" s="1" t="s">
        <v>8236</v>
      </c>
      <c r="AA2652" s="1">
        <v>34.0</v>
      </c>
      <c r="AB2652" s="1" t="s">
        <v>8237</v>
      </c>
      <c r="AC2652" s="1">
        <v>29.0</v>
      </c>
      <c r="AD2652" s="1" t="s">
        <v>971</v>
      </c>
      <c r="AG2652" s="9" t="s">
        <v>8234</v>
      </c>
      <c r="AM2652" s="1">
        <v>202137.0</v>
      </c>
      <c r="AN2652" s="1">
        <v>36038.0</v>
      </c>
      <c r="AO2652" s="1">
        <v>36038.0</v>
      </c>
      <c r="AP2652" s="1">
        <v>13.805</v>
      </c>
      <c r="AR2652" s="1">
        <v>1269.0</v>
      </c>
      <c r="AS2652" s="1">
        <v>187.0</v>
      </c>
      <c r="AT2652" s="1">
        <v>6.786</v>
      </c>
      <c r="AU2652" s="1">
        <v>65.347</v>
      </c>
      <c r="AV2652" s="1" t="s">
        <v>990</v>
      </c>
      <c r="AW2652" s="1">
        <v>5.085</v>
      </c>
      <c r="AX2652" s="1">
        <v>6.0</v>
      </c>
      <c r="AY2652" s="1">
        <v>1.0</v>
      </c>
      <c r="AZ2652" s="1">
        <v>1.0</v>
      </c>
      <c r="BA2652" s="1">
        <v>3.0</v>
      </c>
      <c r="BB2652" s="1">
        <v>1.0</v>
      </c>
      <c r="BC2652" s="1">
        <v>0.0</v>
      </c>
      <c r="BD2652" s="1">
        <v>0.13</v>
      </c>
      <c r="BE2652" s="1">
        <v>129.0</v>
      </c>
      <c r="BF2652" s="1">
        <v>47.0</v>
      </c>
      <c r="BG2652" s="1">
        <v>0.0</v>
      </c>
      <c r="BH2652" s="1">
        <v>19.0</v>
      </c>
      <c r="BI2652" s="1">
        <v>11.0</v>
      </c>
      <c r="BJ2652" s="1">
        <v>0.0</v>
      </c>
      <c r="BO2652" s="1" t="s">
        <v>8240</v>
      </c>
      <c r="BP2652" s="1">
        <v>1.473</v>
      </c>
      <c r="BU2652" s="1" t="s">
        <v>974</v>
      </c>
      <c r="BV2652" s="1">
        <v>1.1</v>
      </c>
      <c r="EQ2652" s="9" t="s">
        <v>8234</v>
      </c>
      <c r="ER2652" s="21">
        <v>46045.3031712963</v>
      </c>
    </row>
    <row r="2653">
      <c r="A2653" s="9" t="s">
        <v>8241</v>
      </c>
      <c r="B2653" s="20" t="str">
        <f>IFERROR(__xludf.DUMMYFUNCTION("REGEXREPLACE(A2653, ""^https?://[^/]+"", """")"),"/wp-content/uploads/2019/10/thumb-recruiting-cs-768x439.jpg")</f>
        <v>/wp-content/uploads/2019/10/thumb-recruiting-cs-768x439.jpg</v>
      </c>
      <c r="F2653" s="1" t="s">
        <v>1004</v>
      </c>
      <c r="G2653" s="1">
        <v>200.0</v>
      </c>
      <c r="H2653" s="1" t="s">
        <v>966</v>
      </c>
      <c r="I2653" s="1" t="s">
        <v>967</v>
      </c>
      <c r="L2653" s="1">
        <v>0.0</v>
      </c>
      <c r="M2653" s="1">
        <v>0.0</v>
      </c>
      <c r="O2653" s="1">
        <v>0.0</v>
      </c>
      <c r="P2653" s="1">
        <v>0.0</v>
      </c>
      <c r="R2653" s="1">
        <v>0.0</v>
      </c>
      <c r="S2653" s="1">
        <v>0.0</v>
      </c>
      <c r="U2653" s="1">
        <v>0.0</v>
      </c>
      <c r="W2653" s="1">
        <v>0.0</v>
      </c>
      <c r="Y2653" s="1">
        <v>0.0</v>
      </c>
      <c r="AA2653" s="1">
        <v>0.0</v>
      </c>
      <c r="AC2653" s="1">
        <v>0.0</v>
      </c>
      <c r="AM2653" s="1">
        <v>47527.0</v>
      </c>
      <c r="AN2653" s="1">
        <v>47527.0</v>
      </c>
      <c r="AO2653" s="1">
        <v>47527.0</v>
      </c>
      <c r="AP2653" s="1">
        <v>18.207</v>
      </c>
      <c r="AR2653" s="1">
        <v>0.0</v>
      </c>
      <c r="AW2653" s="1">
        <v>0.0</v>
      </c>
      <c r="AX2653" s="1">
        <v>6.0</v>
      </c>
      <c r="AY2653" s="1">
        <v>4.0</v>
      </c>
      <c r="BA2653" s="1">
        <v>0.0</v>
      </c>
      <c r="BB2653" s="1">
        <v>0.0</v>
      </c>
      <c r="BC2653" s="1">
        <v>0.0</v>
      </c>
      <c r="BD2653" s="1">
        <v>0.0</v>
      </c>
      <c r="BE2653" s="1">
        <v>0.0</v>
      </c>
      <c r="BF2653" s="1">
        <v>0.0</v>
      </c>
      <c r="BG2653" s="1">
        <v>0.0</v>
      </c>
      <c r="BH2653" s="1">
        <v>0.0</v>
      </c>
      <c r="BI2653" s="1">
        <v>0.0</v>
      </c>
      <c r="BJ2653" s="1">
        <v>0.0</v>
      </c>
      <c r="BP2653" s="1">
        <v>0.273</v>
      </c>
      <c r="BQ2653" s="1" t="s">
        <v>8242</v>
      </c>
      <c r="BV2653" s="1">
        <v>1.1</v>
      </c>
      <c r="EQ2653" s="9" t="s">
        <v>8241</v>
      </c>
      <c r="ER2653" s="21">
        <v>46045.303194444445</v>
      </c>
    </row>
    <row r="2654">
      <c r="A2654" s="9" t="s">
        <v>8243</v>
      </c>
      <c r="B2654" s="20" t="str">
        <f>IFERROR(__xludf.DUMMYFUNCTION("REGEXREPLACE(A2654, ""^https?://[^/]+"", """")"),"/wp-content/uploads/2017/10/rewind-1-300x162.jpg")</f>
        <v>/wp-content/uploads/2017/10/rewind-1-300x162.jpg</v>
      </c>
      <c r="F2654" s="1" t="s">
        <v>1004</v>
      </c>
      <c r="G2654" s="1">
        <v>200.0</v>
      </c>
      <c r="H2654" s="1" t="s">
        <v>966</v>
      </c>
      <c r="I2654" s="1" t="s">
        <v>967</v>
      </c>
      <c r="L2654" s="1">
        <v>0.0</v>
      </c>
      <c r="M2654" s="1">
        <v>0.0</v>
      </c>
      <c r="O2654" s="1">
        <v>0.0</v>
      </c>
      <c r="P2654" s="1">
        <v>0.0</v>
      </c>
      <c r="R2654" s="1">
        <v>0.0</v>
      </c>
      <c r="S2654" s="1">
        <v>0.0</v>
      </c>
      <c r="U2654" s="1">
        <v>0.0</v>
      </c>
      <c r="W2654" s="1">
        <v>0.0</v>
      </c>
      <c r="Y2654" s="1">
        <v>0.0</v>
      </c>
      <c r="AA2654" s="1">
        <v>0.0</v>
      </c>
      <c r="AC2654" s="1">
        <v>0.0</v>
      </c>
      <c r="AM2654" s="1">
        <v>6427.0</v>
      </c>
      <c r="AN2654" s="1">
        <v>6427.0</v>
      </c>
      <c r="AO2654" s="1">
        <v>6427.0</v>
      </c>
      <c r="AP2654" s="1">
        <v>2.462</v>
      </c>
      <c r="AR2654" s="1">
        <v>0.0</v>
      </c>
      <c r="AW2654" s="1">
        <v>0.0</v>
      </c>
      <c r="AX2654" s="1">
        <v>6.0</v>
      </c>
      <c r="AY2654" s="1">
        <v>4.0</v>
      </c>
      <c r="BA2654" s="1">
        <v>0.0</v>
      </c>
      <c r="BB2654" s="1">
        <v>0.0</v>
      </c>
      <c r="BC2654" s="1">
        <v>0.0</v>
      </c>
      <c r="BD2654" s="1">
        <v>0.0</v>
      </c>
      <c r="BE2654" s="1">
        <v>0.0</v>
      </c>
      <c r="BF2654" s="1">
        <v>0.0</v>
      </c>
      <c r="BG2654" s="1">
        <v>0.0</v>
      </c>
      <c r="BH2654" s="1">
        <v>0.0</v>
      </c>
      <c r="BI2654" s="1">
        <v>0.0</v>
      </c>
      <c r="BJ2654" s="1">
        <v>0.0</v>
      </c>
      <c r="BP2654" s="1">
        <v>0.286</v>
      </c>
      <c r="BQ2654" s="1" t="s">
        <v>8244</v>
      </c>
      <c r="BV2654" s="1">
        <v>1.1</v>
      </c>
      <c r="EQ2654" s="9" t="s">
        <v>8243</v>
      </c>
      <c r="ER2654" s="21">
        <v>46045.303194444445</v>
      </c>
    </row>
    <row r="2655">
      <c r="A2655" s="9" t="s">
        <v>8245</v>
      </c>
      <c r="B2655" s="20" t="str">
        <f>IFERROR(__xludf.DUMMYFUNCTION("REGEXREPLACE(A2655, ""^https?://[^/]+"", """")"),"/if-6-feet-tall/")</f>
        <v>/if-6-feet-tall/</v>
      </c>
      <c r="C2655" s="1" t="s">
        <v>8246</v>
      </c>
      <c r="F2655" s="1" t="s">
        <v>965</v>
      </c>
      <c r="G2655" s="1">
        <v>200.0</v>
      </c>
      <c r="H2655" s="1" t="s">
        <v>966</v>
      </c>
      <c r="I2655" s="1" t="s">
        <v>967</v>
      </c>
      <c r="K2655" s="1" t="s">
        <v>8247</v>
      </c>
      <c r="L2655" s="1">
        <v>47.0</v>
      </c>
      <c r="M2655" s="1">
        <v>394.0</v>
      </c>
      <c r="O2655" s="1">
        <v>0.0</v>
      </c>
      <c r="P2655" s="1">
        <v>0.0</v>
      </c>
      <c r="Q2655" s="1" t="s">
        <v>8248</v>
      </c>
      <c r="R2655" s="1">
        <v>93.0</v>
      </c>
      <c r="S2655" s="1">
        <v>570.0</v>
      </c>
      <c r="U2655" s="1">
        <v>0.0</v>
      </c>
      <c r="V2655" s="1" t="s">
        <v>8246</v>
      </c>
      <c r="W2655" s="1">
        <v>22.0</v>
      </c>
      <c r="Y2655" s="1">
        <v>0.0</v>
      </c>
      <c r="AA2655" s="1">
        <v>0.0</v>
      </c>
      <c r="AC2655" s="1">
        <v>0.0</v>
      </c>
      <c r="AD2655" s="1" t="s">
        <v>971</v>
      </c>
      <c r="AG2655" s="9" t="s">
        <v>8245</v>
      </c>
      <c r="AM2655" s="1">
        <v>198336.0</v>
      </c>
      <c r="AN2655" s="1">
        <v>35168.0</v>
      </c>
      <c r="AO2655" s="1">
        <v>35168.0</v>
      </c>
      <c r="AP2655" s="1">
        <v>13.472</v>
      </c>
      <c r="AR2655" s="1">
        <v>1166.0</v>
      </c>
      <c r="AS2655" s="1">
        <v>170.0</v>
      </c>
      <c r="AT2655" s="1">
        <v>6.859</v>
      </c>
      <c r="AU2655" s="1">
        <v>59.696</v>
      </c>
      <c r="AV2655" s="1" t="s">
        <v>972</v>
      </c>
      <c r="AW2655" s="1">
        <v>4.841</v>
      </c>
      <c r="AX2655" s="1">
        <v>6.0</v>
      </c>
      <c r="AY2655" s="1">
        <v>1.0</v>
      </c>
      <c r="AZ2655" s="1">
        <v>1.0</v>
      </c>
      <c r="BA2655" s="1">
        <v>3.0</v>
      </c>
      <c r="BB2655" s="1">
        <v>1.0</v>
      </c>
      <c r="BC2655" s="1">
        <v>0.0</v>
      </c>
      <c r="BD2655" s="1">
        <v>0.13</v>
      </c>
      <c r="BE2655" s="1">
        <v>130.0</v>
      </c>
      <c r="BF2655" s="1">
        <v>47.0</v>
      </c>
      <c r="BG2655" s="1">
        <v>0.0</v>
      </c>
      <c r="BH2655" s="1">
        <v>16.0</v>
      </c>
      <c r="BI2655" s="1">
        <v>8.0</v>
      </c>
      <c r="BJ2655" s="1">
        <v>0.0</v>
      </c>
      <c r="BO2655" s="1" t="s">
        <v>8249</v>
      </c>
      <c r="BP2655" s="1">
        <v>1.014</v>
      </c>
      <c r="BU2655" s="1" t="s">
        <v>974</v>
      </c>
      <c r="BV2655" s="1">
        <v>1.1</v>
      </c>
      <c r="EQ2655" s="9" t="s">
        <v>8245</v>
      </c>
      <c r="ER2655" s="21">
        <v>46045.30318287037</v>
      </c>
    </row>
    <row r="2656">
      <c r="A2656" s="9" t="s">
        <v>8250</v>
      </c>
      <c r="B2656" s="20" t="str">
        <f>IFERROR(__xludf.DUMMYFUNCTION("REGEXREPLACE(A2656, ""^https?://[^/]+"", """")"),"/talented-sales-performance/")</f>
        <v>/talented-sales-performance/</v>
      </c>
      <c r="C2656" s="1" t="s">
        <v>8251</v>
      </c>
      <c r="F2656" s="1" t="s">
        <v>965</v>
      </c>
      <c r="G2656" s="1">
        <v>200.0</v>
      </c>
      <c r="H2656" s="1" t="s">
        <v>966</v>
      </c>
      <c r="I2656" s="1" t="s">
        <v>967</v>
      </c>
      <c r="K2656" s="1" t="s">
        <v>8252</v>
      </c>
      <c r="L2656" s="1">
        <v>58.0</v>
      </c>
      <c r="M2656" s="1">
        <v>514.0</v>
      </c>
      <c r="O2656" s="1">
        <v>0.0</v>
      </c>
      <c r="P2656" s="1">
        <v>0.0</v>
      </c>
      <c r="Q2656" s="1" t="s">
        <v>8253</v>
      </c>
      <c r="R2656" s="1">
        <v>135.0</v>
      </c>
      <c r="S2656" s="1">
        <v>818.0</v>
      </c>
      <c r="U2656" s="1">
        <v>0.0</v>
      </c>
      <c r="V2656" s="1" t="s">
        <v>8251</v>
      </c>
      <c r="W2656" s="1">
        <v>38.0</v>
      </c>
      <c r="Y2656" s="1">
        <v>0.0</v>
      </c>
      <c r="AA2656" s="1">
        <v>0.0</v>
      </c>
      <c r="AC2656" s="1">
        <v>0.0</v>
      </c>
      <c r="AD2656" s="1" t="s">
        <v>971</v>
      </c>
      <c r="AG2656" s="9" t="s">
        <v>8250</v>
      </c>
      <c r="AM2656" s="1">
        <v>198220.0</v>
      </c>
      <c r="AN2656" s="1">
        <v>35110.0</v>
      </c>
      <c r="AO2656" s="1">
        <v>35110.0</v>
      </c>
      <c r="AP2656" s="1">
        <v>13.45</v>
      </c>
      <c r="AR2656" s="1">
        <v>1168.0</v>
      </c>
      <c r="AS2656" s="1">
        <v>178.0</v>
      </c>
      <c r="AT2656" s="1">
        <v>6.562</v>
      </c>
      <c r="AU2656" s="1">
        <v>62.338</v>
      </c>
      <c r="AV2656" s="1" t="s">
        <v>990</v>
      </c>
      <c r="AW2656" s="1">
        <v>4.823</v>
      </c>
      <c r="AX2656" s="1">
        <v>6.0</v>
      </c>
      <c r="AY2656" s="1">
        <v>1.0</v>
      </c>
      <c r="AZ2656" s="1">
        <v>1.0</v>
      </c>
      <c r="BA2656" s="1">
        <v>3.0</v>
      </c>
      <c r="BB2656" s="1">
        <v>1.0</v>
      </c>
      <c r="BC2656" s="1">
        <v>0.0</v>
      </c>
      <c r="BD2656" s="1">
        <v>0.13</v>
      </c>
      <c r="BE2656" s="1">
        <v>129.0</v>
      </c>
      <c r="BF2656" s="1">
        <v>47.0</v>
      </c>
      <c r="BG2656" s="1">
        <v>0.0</v>
      </c>
      <c r="BH2656" s="1">
        <v>16.0</v>
      </c>
      <c r="BI2656" s="1">
        <v>8.0</v>
      </c>
      <c r="BJ2656" s="1">
        <v>0.0</v>
      </c>
      <c r="BO2656" s="1" t="s">
        <v>8254</v>
      </c>
      <c r="BP2656" s="1">
        <v>1.08</v>
      </c>
      <c r="BU2656" s="1" t="s">
        <v>974</v>
      </c>
      <c r="BV2656" s="1">
        <v>1.1</v>
      </c>
      <c r="EQ2656" s="9" t="s">
        <v>8250</v>
      </c>
      <c r="ER2656" s="21">
        <v>46045.30318287037</v>
      </c>
    </row>
    <row r="2657">
      <c r="A2657" s="9" t="s">
        <v>8255</v>
      </c>
      <c r="B2657" s="20" t="str">
        <f>IFERROR(__xludf.DUMMYFUNCTION("REGEXREPLACE(A2657, ""^https?://[^/]+"", """")"),"/wp-content/uploads/2016/10/Screen-Shot-2016-10-12-at-2.11.04-PM-300x143.png")</f>
        <v>/wp-content/uploads/2016/10/Screen-Shot-2016-10-12-at-2.11.04-PM-300x143.png</v>
      </c>
      <c r="F2657" s="1" t="s">
        <v>1047</v>
      </c>
      <c r="G2657" s="1">
        <v>200.0</v>
      </c>
      <c r="H2657" s="1" t="s">
        <v>966</v>
      </c>
      <c r="I2657" s="1" t="s">
        <v>967</v>
      </c>
      <c r="L2657" s="1">
        <v>0.0</v>
      </c>
      <c r="M2657" s="1">
        <v>0.0</v>
      </c>
      <c r="O2657" s="1">
        <v>0.0</v>
      </c>
      <c r="P2657" s="1">
        <v>0.0</v>
      </c>
      <c r="R2657" s="1">
        <v>0.0</v>
      </c>
      <c r="S2657" s="1">
        <v>0.0</v>
      </c>
      <c r="U2657" s="1">
        <v>0.0</v>
      </c>
      <c r="W2657" s="1">
        <v>0.0</v>
      </c>
      <c r="Y2657" s="1">
        <v>0.0</v>
      </c>
      <c r="AA2657" s="1">
        <v>0.0</v>
      </c>
      <c r="AC2657" s="1">
        <v>0.0</v>
      </c>
      <c r="AM2657" s="1">
        <v>36955.0</v>
      </c>
      <c r="AN2657" s="1">
        <v>36955.0</v>
      </c>
      <c r="AO2657" s="1">
        <v>36955.0</v>
      </c>
      <c r="AP2657" s="1">
        <v>14.157</v>
      </c>
      <c r="AR2657" s="1">
        <v>0.0</v>
      </c>
      <c r="AW2657" s="1">
        <v>0.0</v>
      </c>
      <c r="AX2657" s="1">
        <v>6.0</v>
      </c>
      <c r="AY2657" s="1">
        <v>4.0</v>
      </c>
      <c r="BA2657" s="1">
        <v>0.0</v>
      </c>
      <c r="BB2657" s="1">
        <v>0.0</v>
      </c>
      <c r="BC2657" s="1">
        <v>0.0</v>
      </c>
      <c r="BD2657" s="1">
        <v>0.0</v>
      </c>
      <c r="BE2657" s="1">
        <v>0.0</v>
      </c>
      <c r="BF2657" s="1">
        <v>0.0</v>
      </c>
      <c r="BG2657" s="1">
        <v>0.0</v>
      </c>
      <c r="BH2657" s="1">
        <v>0.0</v>
      </c>
      <c r="BI2657" s="1">
        <v>0.0</v>
      </c>
      <c r="BJ2657" s="1">
        <v>0.0</v>
      </c>
      <c r="BP2657" s="1">
        <v>0.275</v>
      </c>
      <c r="BQ2657" s="1" t="s">
        <v>8256</v>
      </c>
      <c r="BV2657" s="1">
        <v>1.1</v>
      </c>
      <c r="EQ2657" s="9" t="s">
        <v>8255</v>
      </c>
      <c r="ER2657" s="21">
        <v>46045.30320601852</v>
      </c>
    </row>
    <row r="2658">
      <c r="A2658" s="9" t="s">
        <v>8257</v>
      </c>
      <c r="B2658" s="20" t="str">
        <f>IFERROR(__xludf.DUMMYFUNCTION("REGEXREPLACE(A2658, ""^https?://[^/]+"", """")"),"/wp-content/uploads/2016/07/Find-the-Right-Lid-300x143.png")</f>
        <v>/wp-content/uploads/2016/07/Find-the-Right-Lid-300x143.png</v>
      </c>
      <c r="F2658" s="1" t="s">
        <v>1047</v>
      </c>
      <c r="G2658" s="1">
        <v>200.0</v>
      </c>
      <c r="H2658" s="1" t="s">
        <v>966</v>
      </c>
      <c r="I2658" s="1" t="s">
        <v>967</v>
      </c>
      <c r="L2658" s="1">
        <v>0.0</v>
      </c>
      <c r="M2658" s="1">
        <v>0.0</v>
      </c>
      <c r="O2658" s="1">
        <v>0.0</v>
      </c>
      <c r="P2658" s="1">
        <v>0.0</v>
      </c>
      <c r="R2658" s="1">
        <v>0.0</v>
      </c>
      <c r="S2658" s="1">
        <v>0.0</v>
      </c>
      <c r="U2658" s="1">
        <v>0.0</v>
      </c>
      <c r="W2658" s="1">
        <v>0.0</v>
      </c>
      <c r="Y2658" s="1">
        <v>0.0</v>
      </c>
      <c r="AA2658" s="1">
        <v>0.0</v>
      </c>
      <c r="AC2658" s="1">
        <v>0.0</v>
      </c>
      <c r="AM2658" s="1">
        <v>45755.0</v>
      </c>
      <c r="AN2658" s="1">
        <v>45755.0</v>
      </c>
      <c r="AO2658" s="1">
        <v>45755.0</v>
      </c>
      <c r="AP2658" s="1">
        <v>17.528</v>
      </c>
      <c r="AR2658" s="1">
        <v>0.0</v>
      </c>
      <c r="AW2658" s="1">
        <v>0.0</v>
      </c>
      <c r="AX2658" s="1">
        <v>6.0</v>
      </c>
      <c r="AY2658" s="1">
        <v>4.0</v>
      </c>
      <c r="BA2658" s="1">
        <v>0.0</v>
      </c>
      <c r="BB2658" s="1">
        <v>0.0</v>
      </c>
      <c r="BC2658" s="1">
        <v>0.0</v>
      </c>
      <c r="BD2658" s="1">
        <v>0.0</v>
      </c>
      <c r="BE2658" s="1">
        <v>0.0</v>
      </c>
      <c r="BF2658" s="1">
        <v>0.0</v>
      </c>
      <c r="BG2658" s="1">
        <v>0.0</v>
      </c>
      <c r="BH2658" s="1">
        <v>0.0</v>
      </c>
      <c r="BI2658" s="1">
        <v>0.0</v>
      </c>
      <c r="BJ2658" s="1">
        <v>0.0</v>
      </c>
      <c r="BP2658" s="1">
        <v>0.268</v>
      </c>
      <c r="BQ2658" s="1" t="s">
        <v>8258</v>
      </c>
      <c r="BV2658" s="1">
        <v>1.1</v>
      </c>
      <c r="EQ2658" s="9" t="s">
        <v>8257</v>
      </c>
      <c r="ER2658" s="21">
        <v>46045.30320601852</v>
      </c>
    </row>
    <row r="2659">
      <c r="A2659" s="9" t="s">
        <v>8259</v>
      </c>
      <c r="B2659" s="20" t="str">
        <f>IFERROR(__xludf.DUMMYFUNCTION("REGEXREPLACE(A2659, ""^https?://[^/]+"", """")"),"/create-right-timing-maximize-sales-training/")</f>
        <v>/create-right-timing-maximize-sales-training/</v>
      </c>
      <c r="C2659" s="1" t="s">
        <v>8260</v>
      </c>
      <c r="F2659" s="1" t="s">
        <v>965</v>
      </c>
      <c r="G2659" s="1">
        <v>200.0</v>
      </c>
      <c r="H2659" s="1" t="s">
        <v>966</v>
      </c>
      <c r="I2659" s="1" t="s">
        <v>967</v>
      </c>
      <c r="K2659" s="1" t="s">
        <v>8261</v>
      </c>
      <c r="L2659" s="1">
        <v>135.0</v>
      </c>
      <c r="M2659" s="1">
        <v>1191.0</v>
      </c>
      <c r="O2659" s="1">
        <v>0.0</v>
      </c>
      <c r="P2659" s="1">
        <v>0.0</v>
      </c>
      <c r="Q2659" s="1" t="s">
        <v>8262</v>
      </c>
      <c r="R2659" s="1">
        <v>139.0</v>
      </c>
      <c r="S2659" s="1">
        <v>856.0</v>
      </c>
      <c r="U2659" s="1">
        <v>0.0</v>
      </c>
      <c r="V2659" s="1" t="s">
        <v>8260</v>
      </c>
      <c r="W2659" s="1">
        <v>110.0</v>
      </c>
      <c r="Y2659" s="1">
        <v>0.0</v>
      </c>
      <c r="AA2659" s="1">
        <v>0.0</v>
      </c>
      <c r="AC2659" s="1">
        <v>0.0</v>
      </c>
      <c r="AD2659" s="1" t="s">
        <v>971</v>
      </c>
      <c r="AG2659" s="9" t="s">
        <v>8259</v>
      </c>
      <c r="AM2659" s="1">
        <v>201703.0</v>
      </c>
      <c r="AN2659" s="1">
        <v>35508.0</v>
      </c>
      <c r="AO2659" s="1">
        <v>35508.0</v>
      </c>
      <c r="AP2659" s="1">
        <v>13.602</v>
      </c>
      <c r="AR2659" s="1">
        <v>1187.0</v>
      </c>
      <c r="AS2659" s="1">
        <v>185.0</v>
      </c>
      <c r="AT2659" s="1">
        <v>6.416</v>
      </c>
      <c r="AU2659" s="1">
        <v>61.484</v>
      </c>
      <c r="AV2659" s="1" t="s">
        <v>990</v>
      </c>
      <c r="AW2659" s="1">
        <v>4.827</v>
      </c>
      <c r="AX2659" s="1">
        <v>6.0</v>
      </c>
      <c r="AY2659" s="1">
        <v>1.0</v>
      </c>
      <c r="AZ2659" s="1">
        <v>1.0</v>
      </c>
      <c r="BA2659" s="1">
        <v>3.0</v>
      </c>
      <c r="BB2659" s="1">
        <v>1.0</v>
      </c>
      <c r="BC2659" s="1">
        <v>0.0</v>
      </c>
      <c r="BD2659" s="1">
        <v>0.13</v>
      </c>
      <c r="BE2659" s="1">
        <v>130.0</v>
      </c>
      <c r="BF2659" s="1">
        <v>47.0</v>
      </c>
      <c r="BG2659" s="1">
        <v>0.0</v>
      </c>
      <c r="BH2659" s="1">
        <v>17.0</v>
      </c>
      <c r="BI2659" s="1">
        <v>9.0</v>
      </c>
      <c r="BJ2659" s="1">
        <v>0.0</v>
      </c>
      <c r="BO2659" s="1" t="s">
        <v>8263</v>
      </c>
      <c r="BP2659" s="1">
        <v>1.058</v>
      </c>
      <c r="BU2659" s="1" t="s">
        <v>974</v>
      </c>
      <c r="BV2659" s="1">
        <v>1.1</v>
      </c>
      <c r="EQ2659" s="9" t="s">
        <v>8259</v>
      </c>
      <c r="ER2659" s="21">
        <v>46045.303194444445</v>
      </c>
    </row>
    <row r="2660">
      <c r="A2660" s="9" t="s">
        <v>8264</v>
      </c>
      <c r="B2660" s="20" t="str">
        <f>IFERROR(__xludf.DUMMYFUNCTION("REGEXREPLACE(A2660, ""^https?://[^/]+"", """")"),"/sales-plans-sales-results/")</f>
        <v>/sales-plans-sales-results/</v>
      </c>
      <c r="C2660" s="1" t="s">
        <v>8265</v>
      </c>
      <c r="F2660" s="1" t="s">
        <v>965</v>
      </c>
      <c r="G2660" s="1">
        <v>200.0</v>
      </c>
      <c r="H2660" s="1" t="s">
        <v>966</v>
      </c>
      <c r="I2660" s="1" t="s">
        <v>967</v>
      </c>
      <c r="K2660" s="1" t="s">
        <v>8266</v>
      </c>
      <c r="L2660" s="1">
        <v>71.0</v>
      </c>
      <c r="M2660" s="1">
        <v>629.0</v>
      </c>
      <c r="O2660" s="1">
        <v>0.0</v>
      </c>
      <c r="P2660" s="1">
        <v>0.0</v>
      </c>
      <c r="Q2660" s="1" t="s">
        <v>8267</v>
      </c>
      <c r="R2660" s="1">
        <v>128.0</v>
      </c>
      <c r="S2660" s="1">
        <v>774.0</v>
      </c>
      <c r="U2660" s="1">
        <v>0.0</v>
      </c>
      <c r="V2660" s="1" t="s">
        <v>8265</v>
      </c>
      <c r="W2660" s="1">
        <v>46.0</v>
      </c>
      <c r="Y2660" s="1">
        <v>0.0</v>
      </c>
      <c r="AA2660" s="1">
        <v>0.0</v>
      </c>
      <c r="AC2660" s="1">
        <v>0.0</v>
      </c>
      <c r="AD2660" s="1" t="s">
        <v>971</v>
      </c>
      <c r="AG2660" s="9" t="s">
        <v>8264</v>
      </c>
      <c r="AM2660" s="1">
        <v>198648.0</v>
      </c>
      <c r="AN2660" s="1">
        <v>35055.0</v>
      </c>
      <c r="AO2660" s="1">
        <v>35055.0</v>
      </c>
      <c r="AP2660" s="1">
        <v>13.429</v>
      </c>
      <c r="AR2660" s="1">
        <v>1113.0</v>
      </c>
      <c r="AS2660" s="1">
        <v>167.0</v>
      </c>
      <c r="AT2660" s="1">
        <v>6.665</v>
      </c>
      <c r="AU2660" s="1">
        <v>64.467</v>
      </c>
      <c r="AV2660" s="1" t="s">
        <v>990</v>
      </c>
      <c r="AW2660" s="1">
        <v>4.619</v>
      </c>
      <c r="AX2660" s="1">
        <v>6.0</v>
      </c>
      <c r="AY2660" s="1">
        <v>1.0</v>
      </c>
      <c r="AZ2660" s="1">
        <v>1.0</v>
      </c>
      <c r="BA2660" s="1">
        <v>3.0</v>
      </c>
      <c r="BB2660" s="1">
        <v>1.0</v>
      </c>
      <c r="BC2660" s="1">
        <v>0.0</v>
      </c>
      <c r="BD2660" s="1">
        <v>0.13</v>
      </c>
      <c r="BE2660" s="1">
        <v>129.0</v>
      </c>
      <c r="BF2660" s="1">
        <v>47.0</v>
      </c>
      <c r="BG2660" s="1">
        <v>0.0</v>
      </c>
      <c r="BH2660" s="1">
        <v>16.0</v>
      </c>
      <c r="BI2660" s="1">
        <v>8.0</v>
      </c>
      <c r="BJ2660" s="1">
        <v>0.0</v>
      </c>
      <c r="BO2660" s="1" t="s">
        <v>8268</v>
      </c>
      <c r="BP2660" s="1">
        <v>0.979</v>
      </c>
      <c r="BU2660" s="1" t="s">
        <v>974</v>
      </c>
      <c r="BV2660" s="1">
        <v>1.1</v>
      </c>
      <c r="EQ2660" s="9" t="s">
        <v>8264</v>
      </c>
      <c r="ER2660" s="21">
        <v>46045.303194444445</v>
      </c>
    </row>
    <row r="2661">
      <c r="A2661" s="9" t="s">
        <v>8269</v>
      </c>
      <c r="B2661" s="20" t="str">
        <f>IFERROR(__xludf.DUMMYFUNCTION("REGEXREPLACE(A2661, ""^https?://[^/]+"", """")"),"/modern-approach-incorporating-antiquated-sales-scripts/")</f>
        <v>/modern-approach-incorporating-antiquated-sales-scripts/</v>
      </c>
      <c r="C2661" s="1" t="s">
        <v>8270</v>
      </c>
      <c r="F2661" s="1" t="s">
        <v>965</v>
      </c>
      <c r="G2661" s="1">
        <v>200.0</v>
      </c>
      <c r="H2661" s="1" t="s">
        <v>966</v>
      </c>
      <c r="I2661" s="1" t="s">
        <v>967</v>
      </c>
      <c r="K2661" s="1" t="s">
        <v>8271</v>
      </c>
      <c r="L2661" s="1">
        <v>84.0</v>
      </c>
      <c r="M2661" s="1">
        <v>761.0</v>
      </c>
      <c r="O2661" s="1">
        <v>0.0</v>
      </c>
      <c r="P2661" s="1">
        <v>0.0</v>
      </c>
      <c r="Q2661" s="1" t="s">
        <v>8272</v>
      </c>
      <c r="R2661" s="1">
        <v>136.0</v>
      </c>
      <c r="S2661" s="1">
        <v>836.0</v>
      </c>
      <c r="U2661" s="1">
        <v>0.0</v>
      </c>
      <c r="V2661" s="1" t="s">
        <v>8270</v>
      </c>
      <c r="W2661" s="1">
        <v>59.0</v>
      </c>
      <c r="Y2661" s="1">
        <v>0.0</v>
      </c>
      <c r="AA2661" s="1">
        <v>0.0</v>
      </c>
      <c r="AC2661" s="1">
        <v>0.0</v>
      </c>
      <c r="AD2661" s="1" t="s">
        <v>971</v>
      </c>
      <c r="AG2661" s="9" t="s">
        <v>8269</v>
      </c>
      <c r="AM2661" s="1">
        <v>200698.0</v>
      </c>
      <c r="AN2661" s="1">
        <v>35238.0</v>
      </c>
      <c r="AO2661" s="1">
        <v>35238.0</v>
      </c>
      <c r="AP2661" s="1">
        <v>13.499</v>
      </c>
      <c r="AR2661" s="1">
        <v>1145.0</v>
      </c>
      <c r="AS2661" s="1">
        <v>172.0</v>
      </c>
      <c r="AT2661" s="1">
        <v>6.657</v>
      </c>
      <c r="AU2661" s="1">
        <v>67.821</v>
      </c>
      <c r="AV2661" s="1" t="s">
        <v>990</v>
      </c>
      <c r="AW2661" s="1">
        <v>4.691</v>
      </c>
      <c r="AX2661" s="1">
        <v>6.0</v>
      </c>
      <c r="AY2661" s="1">
        <v>1.0</v>
      </c>
      <c r="AZ2661" s="1">
        <v>1.0</v>
      </c>
      <c r="BA2661" s="1">
        <v>3.0</v>
      </c>
      <c r="BB2661" s="1">
        <v>1.0</v>
      </c>
      <c r="BC2661" s="1">
        <v>0.0</v>
      </c>
      <c r="BD2661" s="1">
        <v>0.13</v>
      </c>
      <c r="BE2661" s="1">
        <v>129.0</v>
      </c>
      <c r="BF2661" s="1">
        <v>47.0</v>
      </c>
      <c r="BG2661" s="1">
        <v>0.0</v>
      </c>
      <c r="BH2661" s="1">
        <v>17.0</v>
      </c>
      <c r="BI2661" s="1">
        <v>9.0</v>
      </c>
      <c r="BJ2661" s="1">
        <v>0.0</v>
      </c>
      <c r="BO2661" s="1" t="s">
        <v>8273</v>
      </c>
      <c r="BP2661" s="1">
        <v>1.023</v>
      </c>
      <c r="BU2661" s="1" t="s">
        <v>974</v>
      </c>
      <c r="BV2661" s="1">
        <v>1.1</v>
      </c>
      <c r="EQ2661" s="9" t="s">
        <v>8269</v>
      </c>
      <c r="ER2661" s="21">
        <v>46045.303194444445</v>
      </c>
    </row>
    <row r="2662">
      <c r="A2662" s="9" t="s">
        <v>8274</v>
      </c>
      <c r="B2662" s="20" t="str">
        <f>IFERROR(__xludf.DUMMYFUNCTION("REGEXREPLACE(A2662, ""^https?://[^/]+"", """")"),"/wp-content/uploads/2022/05/Sales-Lifecycle-2048x2048.jpg")</f>
        <v>/wp-content/uploads/2022/05/Sales-Lifecycle-2048x2048.jpg</v>
      </c>
      <c r="F2662" s="1" t="s">
        <v>1004</v>
      </c>
      <c r="G2662" s="1">
        <v>200.0</v>
      </c>
      <c r="H2662" s="1" t="s">
        <v>966</v>
      </c>
      <c r="I2662" s="1" t="s">
        <v>967</v>
      </c>
      <c r="L2662" s="1">
        <v>0.0</v>
      </c>
      <c r="M2662" s="1">
        <v>0.0</v>
      </c>
      <c r="O2662" s="1">
        <v>0.0</v>
      </c>
      <c r="P2662" s="1">
        <v>0.0</v>
      </c>
      <c r="R2662" s="1">
        <v>0.0</v>
      </c>
      <c r="S2662" s="1">
        <v>0.0</v>
      </c>
      <c r="U2662" s="1">
        <v>0.0</v>
      </c>
      <c r="W2662" s="1">
        <v>0.0</v>
      </c>
      <c r="Y2662" s="1">
        <v>0.0</v>
      </c>
      <c r="AA2662" s="1">
        <v>0.0</v>
      </c>
      <c r="AC2662" s="1">
        <v>0.0</v>
      </c>
      <c r="AM2662" s="1">
        <v>331792.0</v>
      </c>
      <c r="AN2662" s="1">
        <v>331792.0</v>
      </c>
      <c r="AO2662" s="1">
        <v>331792.0</v>
      </c>
      <c r="AP2662" s="1">
        <v>127.103</v>
      </c>
      <c r="AR2662" s="1">
        <v>0.0</v>
      </c>
      <c r="AW2662" s="1">
        <v>0.0</v>
      </c>
      <c r="AX2662" s="1">
        <v>6.0</v>
      </c>
      <c r="AY2662" s="1">
        <v>4.0</v>
      </c>
      <c r="BA2662" s="1">
        <v>0.0</v>
      </c>
      <c r="BB2662" s="1">
        <v>0.0</v>
      </c>
      <c r="BC2662" s="1">
        <v>0.0</v>
      </c>
      <c r="BD2662" s="1">
        <v>0.0</v>
      </c>
      <c r="BE2662" s="1">
        <v>0.0</v>
      </c>
      <c r="BF2662" s="1">
        <v>0.0</v>
      </c>
      <c r="BG2662" s="1">
        <v>0.0</v>
      </c>
      <c r="BH2662" s="1">
        <v>0.0</v>
      </c>
      <c r="BI2662" s="1">
        <v>0.0</v>
      </c>
      <c r="BJ2662" s="1">
        <v>0.0</v>
      </c>
      <c r="BP2662" s="1">
        <v>0.298</v>
      </c>
      <c r="BQ2662" s="1" t="s">
        <v>8275</v>
      </c>
      <c r="BV2662" s="1">
        <v>1.1</v>
      </c>
      <c r="EQ2662" s="9" t="s">
        <v>8274</v>
      </c>
      <c r="ER2662" s="21">
        <v>46045.30321759259</v>
      </c>
    </row>
    <row r="2663">
      <c r="A2663" s="9" t="s">
        <v>8276</v>
      </c>
      <c r="B2663" s="20" t="str">
        <f>IFERROR(__xludf.DUMMYFUNCTION("REGEXREPLACE(A2663, ""^https?://[^/]+"", """")"),"/wp-content/uploads/2022/04/Screen-with-Kep-Performance-Indicators.jpg")</f>
        <v>/wp-content/uploads/2022/04/Screen-with-Kep-Performance-Indicators.jpg</v>
      </c>
      <c r="F2663" s="1" t="s">
        <v>1004</v>
      </c>
      <c r="G2663" s="1">
        <v>200.0</v>
      </c>
      <c r="H2663" s="1" t="s">
        <v>966</v>
      </c>
      <c r="I2663" s="1" t="s">
        <v>967</v>
      </c>
      <c r="L2663" s="1">
        <v>0.0</v>
      </c>
      <c r="M2663" s="1">
        <v>0.0</v>
      </c>
      <c r="O2663" s="1">
        <v>0.0</v>
      </c>
      <c r="P2663" s="1">
        <v>0.0</v>
      </c>
      <c r="R2663" s="1">
        <v>0.0</v>
      </c>
      <c r="S2663" s="1">
        <v>0.0</v>
      </c>
      <c r="U2663" s="1">
        <v>0.0</v>
      </c>
      <c r="W2663" s="1">
        <v>0.0</v>
      </c>
      <c r="Y2663" s="1">
        <v>0.0</v>
      </c>
      <c r="AA2663" s="1">
        <v>0.0</v>
      </c>
      <c r="AC2663" s="1">
        <v>0.0</v>
      </c>
      <c r="AM2663" s="1">
        <v>139904.0</v>
      </c>
      <c r="AN2663" s="1">
        <v>139904.0</v>
      </c>
      <c r="AO2663" s="1">
        <v>139904.0</v>
      </c>
      <c r="AP2663" s="1">
        <v>53.595</v>
      </c>
      <c r="AR2663" s="1">
        <v>0.0</v>
      </c>
      <c r="AW2663" s="1">
        <v>0.0</v>
      </c>
      <c r="AX2663" s="1">
        <v>6.0</v>
      </c>
      <c r="AY2663" s="1">
        <v>4.0</v>
      </c>
      <c r="BA2663" s="1">
        <v>0.0</v>
      </c>
      <c r="BB2663" s="1">
        <v>0.0</v>
      </c>
      <c r="BC2663" s="1">
        <v>0.0</v>
      </c>
      <c r="BD2663" s="1">
        <v>0.0</v>
      </c>
      <c r="BE2663" s="1">
        <v>0.0</v>
      </c>
      <c r="BF2663" s="1">
        <v>0.0</v>
      </c>
      <c r="BG2663" s="1">
        <v>0.0</v>
      </c>
      <c r="BH2663" s="1">
        <v>0.0</v>
      </c>
      <c r="BI2663" s="1">
        <v>0.0</v>
      </c>
      <c r="BJ2663" s="1">
        <v>0.0</v>
      </c>
      <c r="BP2663" s="1">
        <v>0.306</v>
      </c>
      <c r="BQ2663" s="1" t="s">
        <v>8277</v>
      </c>
      <c r="BV2663" s="1">
        <v>1.1</v>
      </c>
      <c r="EQ2663" s="9" t="s">
        <v>8276</v>
      </c>
      <c r="ER2663" s="21">
        <v>46045.30321759259</v>
      </c>
    </row>
    <row r="2664">
      <c r="A2664" s="9" t="s">
        <v>8278</v>
      </c>
      <c r="B2664" s="20" t="str">
        <f>IFERROR(__xludf.DUMMYFUNCTION("REGEXREPLACE(A2664, ""^https?://[^/]+"", """")"),"/wp-content/uploads/2022/06/Leadership-Style.jpg")</f>
        <v>/wp-content/uploads/2022/06/Leadership-Style.jpg</v>
      </c>
      <c r="F2664" s="1" t="s">
        <v>1004</v>
      </c>
      <c r="G2664" s="1">
        <v>200.0</v>
      </c>
      <c r="H2664" s="1" t="s">
        <v>966</v>
      </c>
      <c r="I2664" s="1" t="s">
        <v>967</v>
      </c>
      <c r="L2664" s="1">
        <v>0.0</v>
      </c>
      <c r="M2664" s="1">
        <v>0.0</v>
      </c>
      <c r="O2664" s="1">
        <v>0.0</v>
      </c>
      <c r="P2664" s="1">
        <v>0.0</v>
      </c>
      <c r="R2664" s="1">
        <v>0.0</v>
      </c>
      <c r="S2664" s="1">
        <v>0.0</v>
      </c>
      <c r="U2664" s="1">
        <v>0.0</v>
      </c>
      <c r="W2664" s="1">
        <v>0.0</v>
      </c>
      <c r="Y2664" s="1">
        <v>0.0</v>
      </c>
      <c r="AA2664" s="1">
        <v>0.0</v>
      </c>
      <c r="AC2664" s="1">
        <v>0.0</v>
      </c>
      <c r="AM2664" s="1">
        <v>372917.0</v>
      </c>
      <c r="AN2664" s="1">
        <v>372917.0</v>
      </c>
      <c r="AO2664" s="1">
        <v>372917.0</v>
      </c>
      <c r="AP2664" s="1">
        <v>142.857</v>
      </c>
      <c r="AR2664" s="1">
        <v>0.0</v>
      </c>
      <c r="AW2664" s="1">
        <v>0.0</v>
      </c>
      <c r="AX2664" s="1">
        <v>6.0</v>
      </c>
      <c r="AY2664" s="1">
        <v>4.0</v>
      </c>
      <c r="BA2664" s="1">
        <v>0.0</v>
      </c>
      <c r="BB2664" s="1">
        <v>0.0</v>
      </c>
      <c r="BC2664" s="1">
        <v>0.0</v>
      </c>
      <c r="BD2664" s="1">
        <v>0.0</v>
      </c>
      <c r="BE2664" s="1">
        <v>0.0</v>
      </c>
      <c r="BF2664" s="1">
        <v>0.0</v>
      </c>
      <c r="BG2664" s="1">
        <v>0.0</v>
      </c>
      <c r="BH2664" s="1">
        <v>0.0</v>
      </c>
      <c r="BI2664" s="1">
        <v>0.0</v>
      </c>
      <c r="BJ2664" s="1">
        <v>0.0</v>
      </c>
      <c r="BP2664" s="1">
        <v>0.269</v>
      </c>
      <c r="BQ2664" s="1" t="s">
        <v>8279</v>
      </c>
      <c r="BV2664" s="1">
        <v>1.1</v>
      </c>
      <c r="EQ2664" s="9" t="s">
        <v>8278</v>
      </c>
      <c r="ER2664" s="21">
        <v>46045.30321759259</v>
      </c>
    </row>
    <row r="2665">
      <c r="A2665" s="9" t="s">
        <v>8280</v>
      </c>
      <c r="B2665" s="20" t="str">
        <f>IFERROR(__xludf.DUMMYFUNCTION("REGEXREPLACE(A2665, ""^https?://[^/]+"", """")"),"/wp-content/themes/salesxceleratione/assets/css/style.css?ver=1769123713")</f>
        <v>/wp-content/themes/salesxceleratione/assets/css/style.css?ver=1769123713</v>
      </c>
      <c r="F2665" s="1" t="s">
        <v>1016</v>
      </c>
      <c r="G2665" s="1">
        <v>200.0</v>
      </c>
      <c r="H2665" s="1" t="s">
        <v>966</v>
      </c>
      <c r="I2665" s="1" t="s">
        <v>967</v>
      </c>
      <c r="L2665" s="1">
        <v>0.0</v>
      </c>
      <c r="M2665" s="1">
        <v>0.0</v>
      </c>
      <c r="O2665" s="1">
        <v>0.0</v>
      </c>
      <c r="P2665" s="1">
        <v>0.0</v>
      </c>
      <c r="R2665" s="1">
        <v>0.0</v>
      </c>
      <c r="S2665" s="1">
        <v>0.0</v>
      </c>
      <c r="U2665" s="1">
        <v>0.0</v>
      </c>
      <c r="W2665" s="1">
        <v>0.0</v>
      </c>
      <c r="Y2665" s="1">
        <v>0.0</v>
      </c>
      <c r="AA2665" s="1">
        <v>0.0</v>
      </c>
      <c r="AC2665" s="1">
        <v>0.0</v>
      </c>
      <c r="AM2665" s="1">
        <v>17704.0</v>
      </c>
      <c r="AN2665" s="1">
        <v>17704.0</v>
      </c>
      <c r="AO2665" s="1">
        <v>17704.0</v>
      </c>
      <c r="AP2665" s="1">
        <v>6.782</v>
      </c>
      <c r="AR2665" s="1">
        <v>0.0</v>
      </c>
      <c r="AW2665" s="1">
        <v>0.0</v>
      </c>
      <c r="AX2665" s="1">
        <v>6.0</v>
      </c>
      <c r="AY2665" s="1">
        <v>5.0</v>
      </c>
      <c r="BA2665" s="1">
        <v>0.0</v>
      </c>
      <c r="BB2665" s="1">
        <v>0.0</v>
      </c>
      <c r="BC2665" s="1">
        <v>0.0</v>
      </c>
      <c r="BD2665" s="1">
        <v>0.0</v>
      </c>
      <c r="BE2665" s="1">
        <v>0.0</v>
      </c>
      <c r="BF2665" s="1">
        <v>0.0</v>
      </c>
      <c r="BG2665" s="1">
        <v>0.0</v>
      </c>
      <c r="BH2665" s="1">
        <v>0.0</v>
      </c>
      <c r="BI2665" s="1">
        <v>0.0</v>
      </c>
      <c r="BJ2665" s="1">
        <v>0.0</v>
      </c>
      <c r="BP2665" s="1">
        <v>0.298</v>
      </c>
      <c r="BQ2665" s="1" t="s">
        <v>7424</v>
      </c>
      <c r="BV2665" s="1">
        <v>1.1</v>
      </c>
      <c r="EQ2665" s="9" t="s">
        <v>8280</v>
      </c>
      <c r="ER2665" s="21">
        <v>46045.30321759259</v>
      </c>
    </row>
    <row r="2666">
      <c r="A2666" s="9" t="s">
        <v>8281</v>
      </c>
      <c r="B2666" s="20" t="str">
        <f>IFERROR(__xludf.DUMMYFUNCTION("REGEXREPLACE(A2666, ""^https?://[^/]+"", """")"),"/wp-content/themes/salesxceleratione/assets/css/style.css?ver=1769123714")</f>
        <v>/wp-content/themes/salesxceleratione/assets/css/style.css?ver=1769123714</v>
      </c>
      <c r="F2666" s="1" t="s">
        <v>1016</v>
      </c>
      <c r="G2666" s="1">
        <v>200.0</v>
      </c>
      <c r="H2666" s="1" t="s">
        <v>966</v>
      </c>
      <c r="I2666" s="1" t="s">
        <v>967</v>
      </c>
      <c r="L2666" s="1">
        <v>0.0</v>
      </c>
      <c r="M2666" s="1">
        <v>0.0</v>
      </c>
      <c r="O2666" s="1">
        <v>0.0</v>
      </c>
      <c r="P2666" s="1">
        <v>0.0</v>
      </c>
      <c r="R2666" s="1">
        <v>0.0</v>
      </c>
      <c r="S2666" s="1">
        <v>0.0</v>
      </c>
      <c r="U2666" s="1">
        <v>0.0</v>
      </c>
      <c r="W2666" s="1">
        <v>0.0</v>
      </c>
      <c r="Y2666" s="1">
        <v>0.0</v>
      </c>
      <c r="AA2666" s="1">
        <v>0.0</v>
      </c>
      <c r="AC2666" s="1">
        <v>0.0</v>
      </c>
      <c r="AM2666" s="1">
        <v>17704.0</v>
      </c>
      <c r="AN2666" s="1">
        <v>17704.0</v>
      </c>
      <c r="AO2666" s="1">
        <v>17704.0</v>
      </c>
      <c r="AP2666" s="1">
        <v>6.782</v>
      </c>
      <c r="AR2666" s="1">
        <v>0.0</v>
      </c>
      <c r="AW2666" s="1">
        <v>0.0</v>
      </c>
      <c r="AX2666" s="1">
        <v>6.0</v>
      </c>
      <c r="AY2666" s="1">
        <v>5.0</v>
      </c>
      <c r="BA2666" s="1">
        <v>0.0</v>
      </c>
      <c r="BB2666" s="1">
        <v>0.0</v>
      </c>
      <c r="BC2666" s="1">
        <v>0.0</v>
      </c>
      <c r="BD2666" s="1">
        <v>0.0</v>
      </c>
      <c r="BE2666" s="1">
        <v>0.0</v>
      </c>
      <c r="BF2666" s="1">
        <v>0.0</v>
      </c>
      <c r="BG2666" s="1">
        <v>0.0</v>
      </c>
      <c r="BH2666" s="1">
        <v>0.0</v>
      </c>
      <c r="BI2666" s="1">
        <v>0.0</v>
      </c>
      <c r="BJ2666" s="1">
        <v>0.0</v>
      </c>
      <c r="BP2666" s="1">
        <v>0.316</v>
      </c>
      <c r="BQ2666" s="1" t="s">
        <v>8282</v>
      </c>
      <c r="BV2666" s="1">
        <v>1.1</v>
      </c>
      <c r="EQ2666" s="9" t="s">
        <v>8281</v>
      </c>
      <c r="ER2666" s="21">
        <v>46045.30321759259</v>
      </c>
    </row>
    <row r="2667">
      <c r="A2667" s="9" t="s">
        <v>8283</v>
      </c>
      <c r="B2667" s="20" t="str">
        <f>IFERROR(__xludf.DUMMYFUNCTION("REGEXREPLACE(A2667, ""^https?://[^/]+"", """")"),"/find-right-lid/")</f>
        <v>/find-right-lid/</v>
      </c>
      <c r="C2667" s="1" t="s">
        <v>8284</v>
      </c>
      <c r="F2667" s="1" t="s">
        <v>965</v>
      </c>
      <c r="G2667" s="1">
        <v>200.0</v>
      </c>
      <c r="H2667" s="1" t="s">
        <v>966</v>
      </c>
      <c r="I2667" s="1" t="s">
        <v>967</v>
      </c>
      <c r="K2667" s="1" t="s">
        <v>8285</v>
      </c>
      <c r="L2667" s="1">
        <v>40.0</v>
      </c>
      <c r="M2667" s="1">
        <v>340.0</v>
      </c>
      <c r="O2667" s="1">
        <v>0.0</v>
      </c>
      <c r="P2667" s="1">
        <v>0.0</v>
      </c>
      <c r="Q2667" s="1" t="s">
        <v>8286</v>
      </c>
      <c r="R2667" s="1">
        <v>149.0</v>
      </c>
      <c r="S2667" s="1">
        <v>935.0</v>
      </c>
      <c r="U2667" s="1">
        <v>0.0</v>
      </c>
      <c r="V2667" s="1" t="s">
        <v>8284</v>
      </c>
      <c r="W2667" s="1">
        <v>20.0</v>
      </c>
      <c r="Y2667" s="1">
        <v>0.0</v>
      </c>
      <c r="AA2667" s="1">
        <v>0.0</v>
      </c>
      <c r="AC2667" s="1">
        <v>0.0</v>
      </c>
      <c r="AD2667" s="1" t="s">
        <v>971</v>
      </c>
      <c r="AG2667" s="9" t="s">
        <v>8283</v>
      </c>
      <c r="AM2667" s="1">
        <v>198113.0</v>
      </c>
      <c r="AN2667" s="1">
        <v>35398.0</v>
      </c>
      <c r="AO2667" s="1">
        <v>35398.0</v>
      </c>
      <c r="AP2667" s="1">
        <v>13.56</v>
      </c>
      <c r="AR2667" s="1">
        <v>1223.0</v>
      </c>
      <c r="AS2667" s="1">
        <v>185.0</v>
      </c>
      <c r="AT2667" s="1">
        <v>6.611</v>
      </c>
      <c r="AU2667" s="1">
        <v>64.267</v>
      </c>
      <c r="AV2667" s="1" t="s">
        <v>990</v>
      </c>
      <c r="AW2667" s="1">
        <v>5.026</v>
      </c>
      <c r="AX2667" s="1">
        <v>6.0</v>
      </c>
      <c r="AY2667" s="1">
        <v>1.0</v>
      </c>
      <c r="AZ2667" s="1">
        <v>1.0</v>
      </c>
      <c r="BA2667" s="1">
        <v>3.0</v>
      </c>
      <c r="BB2667" s="1">
        <v>1.0</v>
      </c>
      <c r="BC2667" s="1">
        <v>0.0</v>
      </c>
      <c r="BD2667" s="1">
        <v>0.13</v>
      </c>
      <c r="BE2667" s="1">
        <v>130.0</v>
      </c>
      <c r="BF2667" s="1">
        <v>47.0</v>
      </c>
      <c r="BG2667" s="1">
        <v>0.0</v>
      </c>
      <c r="BH2667" s="1">
        <v>16.0</v>
      </c>
      <c r="BI2667" s="1">
        <v>8.0</v>
      </c>
      <c r="BJ2667" s="1">
        <v>0.0</v>
      </c>
      <c r="BO2667" s="1" t="s">
        <v>8287</v>
      </c>
      <c r="BP2667" s="1">
        <v>0.99</v>
      </c>
      <c r="BU2667" s="1" t="s">
        <v>974</v>
      </c>
      <c r="BV2667" s="1">
        <v>1.1</v>
      </c>
      <c r="EQ2667" s="9" t="s">
        <v>8283</v>
      </c>
      <c r="ER2667" s="21">
        <v>46045.30320601852</v>
      </c>
    </row>
    <row r="2668">
      <c r="A2668" s="9" t="s">
        <v>8288</v>
      </c>
      <c r="B2668" s="20" t="str">
        <f>IFERROR(__xludf.DUMMYFUNCTION("REGEXREPLACE(A2668, ""^https?://[^/]+"", """")"),"/believing-in-the-sales-lifecycle/")</f>
        <v>/believing-in-the-sales-lifecycle/</v>
      </c>
      <c r="C2668" s="1" t="s">
        <v>8289</v>
      </c>
      <c r="D2668" s="1" t="s">
        <v>8290</v>
      </c>
      <c r="E2668" s="1" t="s">
        <v>8291</v>
      </c>
      <c r="F2668" s="1" t="s">
        <v>965</v>
      </c>
      <c r="G2668" s="1">
        <v>200.0</v>
      </c>
      <c r="H2668" s="1" t="s">
        <v>966</v>
      </c>
      <c r="I2668" s="1" t="s">
        <v>967</v>
      </c>
      <c r="K2668" s="1" t="s">
        <v>8292</v>
      </c>
      <c r="L2668" s="1">
        <v>57.0</v>
      </c>
      <c r="M2668" s="1">
        <v>489.0</v>
      </c>
      <c r="O2668" s="1">
        <v>0.0</v>
      </c>
      <c r="P2668" s="1">
        <v>0.0</v>
      </c>
      <c r="Q2668" s="1" t="s">
        <v>8293</v>
      </c>
      <c r="R2668" s="1">
        <v>154.0</v>
      </c>
      <c r="S2668" s="1">
        <v>908.0</v>
      </c>
      <c r="U2668" s="1">
        <v>0.0</v>
      </c>
      <c r="V2668" s="1" t="s">
        <v>8289</v>
      </c>
      <c r="W2668" s="1">
        <v>32.0</v>
      </c>
      <c r="Y2668" s="1">
        <v>0.0</v>
      </c>
      <c r="Z2668" s="1" t="s">
        <v>8290</v>
      </c>
      <c r="AA2668" s="1">
        <v>13.0</v>
      </c>
      <c r="AB2668" s="1" t="s">
        <v>8291</v>
      </c>
      <c r="AC2668" s="1">
        <v>26.0</v>
      </c>
      <c r="AD2668" s="1" t="s">
        <v>971</v>
      </c>
      <c r="AG2668" s="9" t="s">
        <v>8288</v>
      </c>
      <c r="AM2668" s="1">
        <v>198404.0</v>
      </c>
      <c r="AN2668" s="1">
        <v>35175.0</v>
      </c>
      <c r="AO2668" s="1">
        <v>35175.0</v>
      </c>
      <c r="AP2668" s="1">
        <v>13.475</v>
      </c>
      <c r="AR2668" s="1">
        <v>1143.0</v>
      </c>
      <c r="AS2668" s="1">
        <v>184.0</v>
      </c>
      <c r="AT2668" s="1">
        <v>6.212</v>
      </c>
      <c r="AU2668" s="1">
        <v>65.525</v>
      </c>
      <c r="AV2668" s="1" t="s">
        <v>990</v>
      </c>
      <c r="AW2668" s="1">
        <v>4.728</v>
      </c>
      <c r="AX2668" s="1">
        <v>6.0</v>
      </c>
      <c r="AY2668" s="1">
        <v>1.0</v>
      </c>
      <c r="AZ2668" s="1">
        <v>1.0</v>
      </c>
      <c r="BA2668" s="1">
        <v>8.0</v>
      </c>
      <c r="BB2668" s="1">
        <v>6.0</v>
      </c>
      <c r="BC2668" s="1">
        <v>0.0</v>
      </c>
      <c r="BD2668" s="1">
        <v>0.8</v>
      </c>
      <c r="BE2668" s="1">
        <v>129.0</v>
      </c>
      <c r="BF2668" s="1">
        <v>47.0</v>
      </c>
      <c r="BG2668" s="1">
        <v>0.0</v>
      </c>
      <c r="BH2668" s="1">
        <v>16.0</v>
      </c>
      <c r="BI2668" s="1">
        <v>8.0</v>
      </c>
      <c r="BJ2668" s="1">
        <v>0.0</v>
      </c>
      <c r="BO2668" s="1" t="s">
        <v>8294</v>
      </c>
      <c r="BP2668" s="1">
        <v>0.975</v>
      </c>
      <c r="BU2668" s="1" t="s">
        <v>974</v>
      </c>
      <c r="BV2668" s="1">
        <v>1.1</v>
      </c>
      <c r="EQ2668" s="9" t="s">
        <v>8288</v>
      </c>
      <c r="ER2668" s="21">
        <v>46045.30320601852</v>
      </c>
    </row>
    <row r="2669">
      <c r="A2669" s="9" t="s">
        <v>8295</v>
      </c>
      <c r="B2669" s="20" t="str">
        <f>IFERROR(__xludf.DUMMYFUNCTION("REGEXREPLACE(A2669, ""^https?://[^/]+"", """")"),"/wp-content/uploads/2016/03/chocolate-cake.jpg")</f>
        <v>/wp-content/uploads/2016/03/chocolate-cake.jpg</v>
      </c>
      <c r="F2669" s="1" t="s">
        <v>1004</v>
      </c>
      <c r="G2669" s="1">
        <v>200.0</v>
      </c>
      <c r="H2669" s="1" t="s">
        <v>966</v>
      </c>
      <c r="I2669" s="1" t="s">
        <v>967</v>
      </c>
      <c r="L2669" s="1">
        <v>0.0</v>
      </c>
      <c r="M2669" s="1">
        <v>0.0</v>
      </c>
      <c r="O2669" s="1">
        <v>0.0</v>
      </c>
      <c r="P2669" s="1">
        <v>0.0</v>
      </c>
      <c r="R2669" s="1">
        <v>0.0</v>
      </c>
      <c r="S2669" s="1">
        <v>0.0</v>
      </c>
      <c r="U2669" s="1">
        <v>0.0</v>
      </c>
      <c r="W2669" s="1">
        <v>0.0</v>
      </c>
      <c r="Y2669" s="1">
        <v>0.0</v>
      </c>
      <c r="AA2669" s="1">
        <v>0.0</v>
      </c>
      <c r="AC2669" s="1">
        <v>0.0</v>
      </c>
      <c r="AM2669" s="1">
        <v>89318.0</v>
      </c>
      <c r="AN2669" s="1">
        <v>89318.0</v>
      </c>
      <c r="AO2669" s="1">
        <v>89318.0</v>
      </c>
      <c r="AP2669" s="1">
        <v>34.216</v>
      </c>
      <c r="AR2669" s="1">
        <v>0.0</v>
      </c>
      <c r="AW2669" s="1">
        <v>0.0</v>
      </c>
      <c r="AX2669" s="1">
        <v>6.0</v>
      </c>
      <c r="AY2669" s="1">
        <v>4.0</v>
      </c>
      <c r="BA2669" s="1">
        <v>0.0</v>
      </c>
      <c r="BB2669" s="1">
        <v>0.0</v>
      </c>
      <c r="BC2669" s="1">
        <v>0.0</v>
      </c>
      <c r="BD2669" s="1">
        <v>0.0</v>
      </c>
      <c r="BE2669" s="1">
        <v>0.0</v>
      </c>
      <c r="BF2669" s="1">
        <v>0.0</v>
      </c>
      <c r="BG2669" s="1">
        <v>0.0</v>
      </c>
      <c r="BH2669" s="1">
        <v>0.0</v>
      </c>
      <c r="BI2669" s="1">
        <v>0.0</v>
      </c>
      <c r="BJ2669" s="1">
        <v>0.0</v>
      </c>
      <c r="BP2669" s="1">
        <v>0.267</v>
      </c>
      <c r="BQ2669" s="1" t="s">
        <v>8296</v>
      </c>
      <c r="BV2669" s="1">
        <v>1.1</v>
      </c>
      <c r="EQ2669" s="9" t="s">
        <v>8295</v>
      </c>
      <c r="ER2669" s="21">
        <v>46045.30321759259</v>
      </c>
    </row>
    <row r="2670">
      <c r="A2670" s="9" t="s">
        <v>8297</v>
      </c>
      <c r="B2670" s="20" t="str">
        <f>IFERROR(__xludf.DUMMYFUNCTION("REGEXREPLACE(A2670, ""^https?://[^/]+"", """")"),"/wp-content/themes/salesxceleratione/assets/css/style.css?ver=1769123711")</f>
        <v>/wp-content/themes/salesxceleratione/assets/css/style.css?ver=1769123711</v>
      </c>
      <c r="F2670" s="1" t="s">
        <v>1016</v>
      </c>
      <c r="G2670" s="1">
        <v>200.0</v>
      </c>
      <c r="H2670" s="1" t="s">
        <v>966</v>
      </c>
      <c r="I2670" s="1" t="s">
        <v>967</v>
      </c>
      <c r="L2670" s="1">
        <v>0.0</v>
      </c>
      <c r="M2670" s="1">
        <v>0.0</v>
      </c>
      <c r="O2670" s="1">
        <v>0.0</v>
      </c>
      <c r="P2670" s="1">
        <v>0.0</v>
      </c>
      <c r="R2670" s="1">
        <v>0.0</v>
      </c>
      <c r="S2670" s="1">
        <v>0.0</v>
      </c>
      <c r="U2670" s="1">
        <v>0.0</v>
      </c>
      <c r="W2670" s="1">
        <v>0.0</v>
      </c>
      <c r="Y2670" s="1">
        <v>0.0</v>
      </c>
      <c r="AA2670" s="1">
        <v>0.0</v>
      </c>
      <c r="AC2670" s="1">
        <v>0.0</v>
      </c>
      <c r="AM2670" s="1">
        <v>17704.0</v>
      </c>
      <c r="AN2670" s="1">
        <v>17704.0</v>
      </c>
      <c r="AO2670" s="1">
        <v>17704.0</v>
      </c>
      <c r="AP2670" s="1">
        <v>6.782</v>
      </c>
      <c r="AR2670" s="1">
        <v>0.0</v>
      </c>
      <c r="AW2670" s="1">
        <v>0.0</v>
      </c>
      <c r="AX2670" s="1">
        <v>6.0</v>
      </c>
      <c r="AY2670" s="1">
        <v>5.0</v>
      </c>
      <c r="BA2670" s="1">
        <v>0.0</v>
      </c>
      <c r="BB2670" s="1">
        <v>0.0</v>
      </c>
      <c r="BC2670" s="1">
        <v>0.0</v>
      </c>
      <c r="BD2670" s="1">
        <v>0.0</v>
      </c>
      <c r="BE2670" s="1">
        <v>0.0</v>
      </c>
      <c r="BF2670" s="1">
        <v>0.0</v>
      </c>
      <c r="BG2670" s="1">
        <v>0.0</v>
      </c>
      <c r="BH2670" s="1">
        <v>0.0</v>
      </c>
      <c r="BI2670" s="1">
        <v>0.0</v>
      </c>
      <c r="BJ2670" s="1">
        <v>0.0</v>
      </c>
      <c r="BP2670" s="1">
        <v>0.274</v>
      </c>
      <c r="BQ2670" s="1" t="s">
        <v>8298</v>
      </c>
      <c r="BV2670" s="1">
        <v>1.1</v>
      </c>
      <c r="EQ2670" s="9" t="s">
        <v>8297</v>
      </c>
      <c r="ER2670" s="21">
        <v>46045.30321759259</v>
      </c>
    </row>
    <row r="2671">
      <c r="A2671" s="9" t="s">
        <v>8299</v>
      </c>
      <c r="B2671" s="20" t="str">
        <f>IFERROR(__xludf.DUMMYFUNCTION("REGEXREPLACE(A2671, ""^https?://[^/]+"", """")"),"/wp-content/themes/salesxceleratione/assets/css/style.css?ver=1769123706")</f>
        <v>/wp-content/themes/salesxceleratione/assets/css/style.css?ver=1769123706</v>
      </c>
      <c r="F2671" s="1" t="s">
        <v>1016</v>
      </c>
      <c r="G2671" s="1">
        <v>200.0</v>
      </c>
      <c r="H2671" s="1" t="s">
        <v>966</v>
      </c>
      <c r="I2671" s="1" t="s">
        <v>967</v>
      </c>
      <c r="L2671" s="1">
        <v>0.0</v>
      </c>
      <c r="M2671" s="1">
        <v>0.0</v>
      </c>
      <c r="O2671" s="1">
        <v>0.0</v>
      </c>
      <c r="P2671" s="1">
        <v>0.0</v>
      </c>
      <c r="R2671" s="1">
        <v>0.0</v>
      </c>
      <c r="S2671" s="1">
        <v>0.0</v>
      </c>
      <c r="U2671" s="1">
        <v>0.0</v>
      </c>
      <c r="W2671" s="1">
        <v>0.0</v>
      </c>
      <c r="Y2671" s="1">
        <v>0.0</v>
      </c>
      <c r="AA2671" s="1">
        <v>0.0</v>
      </c>
      <c r="AC2671" s="1">
        <v>0.0</v>
      </c>
      <c r="AM2671" s="1">
        <v>17704.0</v>
      </c>
      <c r="AN2671" s="1">
        <v>17704.0</v>
      </c>
      <c r="AO2671" s="1">
        <v>17704.0</v>
      </c>
      <c r="AP2671" s="1">
        <v>6.782</v>
      </c>
      <c r="AR2671" s="1">
        <v>0.0</v>
      </c>
      <c r="AW2671" s="1">
        <v>0.0</v>
      </c>
      <c r="AX2671" s="1">
        <v>6.0</v>
      </c>
      <c r="AY2671" s="1">
        <v>5.0</v>
      </c>
      <c r="BA2671" s="1">
        <v>0.0</v>
      </c>
      <c r="BB2671" s="1">
        <v>0.0</v>
      </c>
      <c r="BC2671" s="1">
        <v>0.0</v>
      </c>
      <c r="BD2671" s="1">
        <v>0.0</v>
      </c>
      <c r="BE2671" s="1">
        <v>0.0</v>
      </c>
      <c r="BF2671" s="1">
        <v>0.0</v>
      </c>
      <c r="BG2671" s="1">
        <v>0.0</v>
      </c>
      <c r="BH2671" s="1">
        <v>0.0</v>
      </c>
      <c r="BI2671" s="1">
        <v>0.0</v>
      </c>
      <c r="BJ2671" s="1">
        <v>0.0</v>
      </c>
      <c r="BP2671" s="1">
        <v>0.283</v>
      </c>
      <c r="BQ2671" s="1" t="s">
        <v>8298</v>
      </c>
      <c r="BV2671" s="1">
        <v>1.1</v>
      </c>
      <c r="EQ2671" s="9" t="s">
        <v>8299</v>
      </c>
      <c r="ER2671" s="21">
        <v>46045.30322916667</v>
      </c>
    </row>
    <row r="2672">
      <c r="A2672" s="9" t="s">
        <v>7488</v>
      </c>
      <c r="B2672" s="20" t="str">
        <f>IFERROR(__xludf.DUMMYFUNCTION("REGEXREPLACE(A2672, ""^https?://[^/]+"", """")"),"/sales-agility-assessment/?locationid=26295963")</f>
        <v>/sales-agility-assessment/?locationid=26295963</v>
      </c>
      <c r="C2672" s="1" t="s">
        <v>1381</v>
      </c>
      <c r="F2672" s="1" t="s">
        <v>965</v>
      </c>
      <c r="G2672" s="1">
        <v>200.0</v>
      </c>
      <c r="H2672" s="1" t="s">
        <v>966</v>
      </c>
      <c r="I2672" s="1" t="s">
        <v>1214</v>
      </c>
      <c r="J2672" s="1" t="s">
        <v>1215</v>
      </c>
      <c r="K2672" s="1" t="s">
        <v>1382</v>
      </c>
      <c r="L2672" s="1">
        <v>79.0</v>
      </c>
      <c r="M2672" s="1">
        <v>719.0</v>
      </c>
      <c r="O2672" s="1">
        <v>0.0</v>
      </c>
      <c r="P2672" s="1">
        <v>0.0</v>
      </c>
      <c r="Q2672" s="1" t="s">
        <v>1383</v>
      </c>
      <c r="R2672" s="1">
        <v>155.0</v>
      </c>
      <c r="S2672" s="1">
        <v>970.0</v>
      </c>
      <c r="U2672" s="1">
        <v>0.0</v>
      </c>
      <c r="V2672" s="1" t="s">
        <v>1381</v>
      </c>
      <c r="W2672" s="1">
        <v>31.0</v>
      </c>
      <c r="Y2672" s="1">
        <v>0.0</v>
      </c>
      <c r="AA2672" s="1">
        <v>0.0</v>
      </c>
      <c r="AC2672" s="1">
        <v>0.0</v>
      </c>
      <c r="AD2672" s="1" t="s">
        <v>971</v>
      </c>
      <c r="AG2672" s="9" t="s">
        <v>1380</v>
      </c>
      <c r="AM2672" s="1">
        <v>221349.0</v>
      </c>
      <c r="AN2672" s="1">
        <v>43059.0</v>
      </c>
      <c r="AO2672" s="1">
        <v>43059.0</v>
      </c>
      <c r="AP2672" s="1">
        <v>16.495</v>
      </c>
      <c r="AR2672" s="1">
        <v>1077.0</v>
      </c>
      <c r="AS2672" s="1">
        <v>195.0</v>
      </c>
      <c r="AT2672" s="1">
        <v>5.523</v>
      </c>
      <c r="AU2672" s="1">
        <v>72.326</v>
      </c>
      <c r="AV2672" s="1" t="s">
        <v>1264</v>
      </c>
      <c r="AW2672" s="1">
        <v>5.465</v>
      </c>
      <c r="AX2672" s="1">
        <v>6.0</v>
      </c>
      <c r="AY2672" s="1">
        <v>1.0</v>
      </c>
      <c r="BA2672" s="1">
        <v>0.0</v>
      </c>
      <c r="BB2672" s="1">
        <v>0.0</v>
      </c>
      <c r="BC2672" s="1">
        <v>0.0</v>
      </c>
      <c r="BD2672" s="1">
        <v>0.0</v>
      </c>
      <c r="BE2672" s="1">
        <v>121.0</v>
      </c>
      <c r="BF2672" s="1">
        <v>42.0</v>
      </c>
      <c r="BG2672" s="1">
        <v>0.0</v>
      </c>
      <c r="BH2672" s="1">
        <v>16.0</v>
      </c>
      <c r="BI2672" s="1">
        <v>8.0</v>
      </c>
      <c r="BJ2672" s="1">
        <v>0.0</v>
      </c>
      <c r="BO2672" s="1" t="s">
        <v>8300</v>
      </c>
      <c r="BP2672" s="1">
        <v>1.372</v>
      </c>
      <c r="BU2672" s="1" t="s">
        <v>974</v>
      </c>
      <c r="BV2672" s="1">
        <v>1.1</v>
      </c>
      <c r="EQ2672" s="9" t="s">
        <v>7488</v>
      </c>
      <c r="ER2672" s="21">
        <v>46045.30320601852</v>
      </c>
    </row>
    <row r="2673">
      <c r="A2673" s="9" t="s">
        <v>7390</v>
      </c>
      <c r="B2673" s="20" t="str">
        <f>IFERROR(__xludf.DUMMYFUNCTION("REGEXREPLACE(A2673, ""^https?://[^/]+"", """")"),"/amplify-recruiting")</f>
        <v>/amplify-recruiting</v>
      </c>
      <c r="F2673" s="1" t="s">
        <v>965</v>
      </c>
      <c r="G2673" s="1">
        <v>301.0</v>
      </c>
      <c r="H2673" s="1" t="s">
        <v>1304</v>
      </c>
      <c r="I2673" s="1" t="s">
        <v>1214</v>
      </c>
      <c r="J2673" s="1" t="s">
        <v>1305</v>
      </c>
      <c r="L2673" s="1">
        <v>0.0</v>
      </c>
      <c r="M2673" s="1">
        <v>0.0</v>
      </c>
      <c r="O2673" s="1">
        <v>0.0</v>
      </c>
      <c r="P2673" s="1">
        <v>0.0</v>
      </c>
      <c r="R2673" s="1">
        <v>0.0</v>
      </c>
      <c r="S2673" s="1">
        <v>0.0</v>
      </c>
      <c r="U2673" s="1">
        <v>0.0</v>
      </c>
      <c r="W2673" s="1">
        <v>0.0</v>
      </c>
      <c r="Y2673" s="1">
        <v>0.0</v>
      </c>
      <c r="AA2673" s="1">
        <v>0.0</v>
      </c>
      <c r="AC2673" s="1">
        <v>0.0</v>
      </c>
      <c r="AM2673" s="1">
        <v>0.0</v>
      </c>
      <c r="AN2673" s="1">
        <v>0.0</v>
      </c>
      <c r="AO2673" s="1">
        <v>0.0</v>
      </c>
      <c r="AP2673" s="1">
        <v>0.0</v>
      </c>
      <c r="AR2673" s="1">
        <v>0.0</v>
      </c>
      <c r="AW2673" s="1">
        <v>0.0</v>
      </c>
      <c r="AX2673" s="1">
        <v>6.0</v>
      </c>
      <c r="AY2673" s="1">
        <v>0.0</v>
      </c>
      <c r="BA2673" s="1">
        <v>0.0</v>
      </c>
      <c r="BB2673" s="1">
        <v>0.0</v>
      </c>
      <c r="BC2673" s="1">
        <v>0.0</v>
      </c>
      <c r="BD2673" s="1">
        <v>0.0</v>
      </c>
      <c r="BE2673" s="1">
        <v>0.0</v>
      </c>
      <c r="BF2673" s="1">
        <v>0.0</v>
      </c>
      <c r="BG2673" s="1">
        <v>0.0</v>
      </c>
      <c r="BH2673" s="1">
        <v>0.0</v>
      </c>
      <c r="BI2673" s="1">
        <v>0.0</v>
      </c>
      <c r="BJ2673" s="1">
        <v>0.0</v>
      </c>
      <c r="BP2673" s="1">
        <v>0.525</v>
      </c>
      <c r="BR2673" s="9" t="s">
        <v>1101</v>
      </c>
      <c r="BS2673" s="1" t="s">
        <v>1307</v>
      </c>
      <c r="BV2673" s="1">
        <v>1.1</v>
      </c>
      <c r="EQ2673" s="9" t="s">
        <v>7390</v>
      </c>
      <c r="ER2673" s="21">
        <v>46045.30322916667</v>
      </c>
    </row>
    <row r="2674">
      <c r="A2674" s="9" t="s">
        <v>8301</v>
      </c>
      <c r="B2674" s="20" t="str">
        <f>IFERROR(__xludf.DUMMYFUNCTION("REGEXREPLACE(A2674, ""^https?://[^/]+"", """")"),"/wp-content/uploads/2022/02/Business-Executive-on-Manufaturing-Floor-300x169.jpg")</f>
        <v>/wp-content/uploads/2022/02/Business-Executive-on-Manufaturing-Floor-300x169.jpg</v>
      </c>
      <c r="F2674" s="1" t="s">
        <v>1004</v>
      </c>
      <c r="G2674" s="1">
        <v>200.0</v>
      </c>
      <c r="H2674" s="1" t="s">
        <v>966</v>
      </c>
      <c r="I2674" s="1" t="s">
        <v>967</v>
      </c>
      <c r="L2674" s="1">
        <v>0.0</v>
      </c>
      <c r="M2674" s="1">
        <v>0.0</v>
      </c>
      <c r="O2674" s="1">
        <v>0.0</v>
      </c>
      <c r="P2674" s="1">
        <v>0.0</v>
      </c>
      <c r="R2674" s="1">
        <v>0.0</v>
      </c>
      <c r="S2674" s="1">
        <v>0.0</v>
      </c>
      <c r="U2674" s="1">
        <v>0.0</v>
      </c>
      <c r="W2674" s="1">
        <v>0.0</v>
      </c>
      <c r="Y2674" s="1">
        <v>0.0</v>
      </c>
      <c r="AA2674" s="1">
        <v>0.0</v>
      </c>
      <c r="AC2674" s="1">
        <v>0.0</v>
      </c>
      <c r="AM2674" s="1">
        <v>14591.0</v>
      </c>
      <c r="AN2674" s="1">
        <v>14591.0</v>
      </c>
      <c r="AO2674" s="1">
        <v>14591.0</v>
      </c>
      <c r="AP2674" s="1">
        <v>5.59</v>
      </c>
      <c r="AR2674" s="1">
        <v>0.0</v>
      </c>
      <c r="AW2674" s="1">
        <v>0.0</v>
      </c>
      <c r="AX2674" s="1">
        <v>6.0</v>
      </c>
      <c r="AY2674" s="1">
        <v>4.0</v>
      </c>
      <c r="BA2674" s="1">
        <v>0.0</v>
      </c>
      <c r="BB2674" s="1">
        <v>0.0</v>
      </c>
      <c r="BC2674" s="1">
        <v>0.0</v>
      </c>
      <c r="BD2674" s="1">
        <v>0.0</v>
      </c>
      <c r="BE2674" s="1">
        <v>0.0</v>
      </c>
      <c r="BF2674" s="1">
        <v>0.0</v>
      </c>
      <c r="BG2674" s="1">
        <v>0.0</v>
      </c>
      <c r="BH2674" s="1">
        <v>0.0</v>
      </c>
      <c r="BI2674" s="1">
        <v>0.0</v>
      </c>
      <c r="BJ2674" s="1">
        <v>0.0</v>
      </c>
      <c r="BP2674" s="1">
        <v>0.278</v>
      </c>
      <c r="BQ2674" s="1" t="s">
        <v>8302</v>
      </c>
      <c r="BV2674" s="1">
        <v>1.1</v>
      </c>
      <c r="EQ2674" s="9" t="s">
        <v>8301</v>
      </c>
      <c r="ER2674" s="21">
        <v>46045.30322916667</v>
      </c>
    </row>
    <row r="2675">
      <c r="A2675" s="9" t="s">
        <v>8303</v>
      </c>
      <c r="B2675" s="20" t="str">
        <f>IFERROR(__xludf.DUMMYFUNCTION("REGEXREPLACE(A2675, ""^https?://[^/]+"", """")"),"/wp-content/themes/salesxceleratione/assets/css/style.css?ver=1769123704")</f>
        <v>/wp-content/themes/salesxceleratione/assets/css/style.css?ver=1769123704</v>
      </c>
      <c r="F2675" s="1" t="s">
        <v>1016</v>
      </c>
      <c r="G2675" s="1">
        <v>200.0</v>
      </c>
      <c r="H2675" s="1" t="s">
        <v>966</v>
      </c>
      <c r="I2675" s="1" t="s">
        <v>967</v>
      </c>
      <c r="L2675" s="1">
        <v>0.0</v>
      </c>
      <c r="M2675" s="1">
        <v>0.0</v>
      </c>
      <c r="O2675" s="1">
        <v>0.0</v>
      </c>
      <c r="P2675" s="1">
        <v>0.0</v>
      </c>
      <c r="R2675" s="1">
        <v>0.0</v>
      </c>
      <c r="S2675" s="1">
        <v>0.0</v>
      </c>
      <c r="U2675" s="1">
        <v>0.0</v>
      </c>
      <c r="W2675" s="1">
        <v>0.0</v>
      </c>
      <c r="Y2675" s="1">
        <v>0.0</v>
      </c>
      <c r="AA2675" s="1">
        <v>0.0</v>
      </c>
      <c r="AC2675" s="1">
        <v>0.0</v>
      </c>
      <c r="AM2675" s="1">
        <v>17704.0</v>
      </c>
      <c r="AN2675" s="1">
        <v>17704.0</v>
      </c>
      <c r="AO2675" s="1">
        <v>17704.0</v>
      </c>
      <c r="AP2675" s="1">
        <v>6.782</v>
      </c>
      <c r="AR2675" s="1">
        <v>0.0</v>
      </c>
      <c r="AW2675" s="1">
        <v>0.0</v>
      </c>
      <c r="AX2675" s="1">
        <v>6.0</v>
      </c>
      <c r="AY2675" s="1">
        <v>5.0</v>
      </c>
      <c r="BA2675" s="1">
        <v>0.0</v>
      </c>
      <c r="BB2675" s="1">
        <v>0.0</v>
      </c>
      <c r="BC2675" s="1">
        <v>0.0</v>
      </c>
      <c r="BD2675" s="1">
        <v>0.0</v>
      </c>
      <c r="BE2675" s="1">
        <v>0.0</v>
      </c>
      <c r="BF2675" s="1">
        <v>0.0</v>
      </c>
      <c r="BG2675" s="1">
        <v>0.0</v>
      </c>
      <c r="BH2675" s="1">
        <v>0.0</v>
      </c>
      <c r="BI2675" s="1">
        <v>0.0</v>
      </c>
      <c r="BJ2675" s="1">
        <v>0.0</v>
      </c>
      <c r="BP2675" s="1">
        <v>0.269</v>
      </c>
      <c r="BQ2675" s="1" t="s">
        <v>7360</v>
      </c>
      <c r="BV2675" s="1">
        <v>1.1</v>
      </c>
      <c r="EQ2675" s="9" t="s">
        <v>8303</v>
      </c>
      <c r="ER2675" s="21">
        <v>46045.30322916667</v>
      </c>
    </row>
    <row r="2676">
      <c r="A2676" s="9" t="s">
        <v>8304</v>
      </c>
      <c r="B2676" s="20" t="str">
        <f>IFERROR(__xludf.DUMMYFUNCTION("REGEXREPLACE(A2676, ""^https?://[^/]+"", """")"),"/wp-content/uploads/2019/11/payroll-thumb-768x439.jpg")</f>
        <v>/wp-content/uploads/2019/11/payroll-thumb-768x439.jpg</v>
      </c>
      <c r="F2676" s="1" t="s">
        <v>1004</v>
      </c>
      <c r="G2676" s="1">
        <v>200.0</v>
      </c>
      <c r="H2676" s="1" t="s">
        <v>966</v>
      </c>
      <c r="I2676" s="1" t="s">
        <v>967</v>
      </c>
      <c r="L2676" s="1">
        <v>0.0</v>
      </c>
      <c r="M2676" s="1">
        <v>0.0</v>
      </c>
      <c r="O2676" s="1">
        <v>0.0</v>
      </c>
      <c r="P2676" s="1">
        <v>0.0</v>
      </c>
      <c r="R2676" s="1">
        <v>0.0</v>
      </c>
      <c r="S2676" s="1">
        <v>0.0</v>
      </c>
      <c r="U2676" s="1">
        <v>0.0</v>
      </c>
      <c r="W2676" s="1">
        <v>0.0</v>
      </c>
      <c r="Y2676" s="1">
        <v>0.0</v>
      </c>
      <c r="AA2676" s="1">
        <v>0.0</v>
      </c>
      <c r="AC2676" s="1">
        <v>0.0</v>
      </c>
      <c r="AM2676" s="1">
        <v>48143.0</v>
      </c>
      <c r="AN2676" s="1">
        <v>48143.0</v>
      </c>
      <c r="AO2676" s="1">
        <v>48143.0</v>
      </c>
      <c r="AP2676" s="1">
        <v>18.443</v>
      </c>
      <c r="AR2676" s="1">
        <v>0.0</v>
      </c>
      <c r="AW2676" s="1">
        <v>0.0</v>
      </c>
      <c r="AX2676" s="1">
        <v>6.0</v>
      </c>
      <c r="AY2676" s="1">
        <v>4.0</v>
      </c>
      <c r="BA2676" s="1">
        <v>0.0</v>
      </c>
      <c r="BB2676" s="1">
        <v>0.0</v>
      </c>
      <c r="BC2676" s="1">
        <v>0.0</v>
      </c>
      <c r="BD2676" s="1">
        <v>0.0</v>
      </c>
      <c r="BE2676" s="1">
        <v>0.0</v>
      </c>
      <c r="BF2676" s="1">
        <v>0.0</v>
      </c>
      <c r="BG2676" s="1">
        <v>0.0</v>
      </c>
      <c r="BH2676" s="1">
        <v>0.0</v>
      </c>
      <c r="BI2676" s="1">
        <v>0.0</v>
      </c>
      <c r="BJ2676" s="1">
        <v>0.0</v>
      </c>
      <c r="BP2676" s="1">
        <v>0.265</v>
      </c>
      <c r="BQ2676" s="1" t="s">
        <v>8305</v>
      </c>
      <c r="BV2676" s="1">
        <v>1.1</v>
      </c>
      <c r="EQ2676" s="9" t="s">
        <v>8304</v>
      </c>
      <c r="ER2676" s="21">
        <v>46045.30322916667</v>
      </c>
    </row>
    <row r="2677">
      <c r="A2677" s="9" t="s">
        <v>8306</v>
      </c>
      <c r="B2677" s="20" t="str">
        <f>IFERROR(__xludf.DUMMYFUNCTION("REGEXREPLACE(A2677, ""^https?://[^/]+"", """")"),"/wp-content/uploads/2018/12/shutterstock_1209757879-resized-300x200.jpg")</f>
        <v>/wp-content/uploads/2018/12/shutterstock_1209757879-resized-300x200.jpg</v>
      </c>
      <c r="F2677" s="1" t="s">
        <v>1004</v>
      </c>
      <c r="G2677" s="1">
        <v>200.0</v>
      </c>
      <c r="H2677" s="1" t="s">
        <v>966</v>
      </c>
      <c r="I2677" s="1" t="s">
        <v>967</v>
      </c>
      <c r="L2677" s="1">
        <v>0.0</v>
      </c>
      <c r="M2677" s="1">
        <v>0.0</v>
      </c>
      <c r="O2677" s="1">
        <v>0.0</v>
      </c>
      <c r="P2677" s="1">
        <v>0.0</v>
      </c>
      <c r="R2677" s="1">
        <v>0.0</v>
      </c>
      <c r="S2677" s="1">
        <v>0.0</v>
      </c>
      <c r="U2677" s="1">
        <v>0.0</v>
      </c>
      <c r="W2677" s="1">
        <v>0.0</v>
      </c>
      <c r="Y2677" s="1">
        <v>0.0</v>
      </c>
      <c r="AA2677" s="1">
        <v>0.0</v>
      </c>
      <c r="AC2677" s="1">
        <v>0.0</v>
      </c>
      <c r="AM2677" s="1">
        <v>12359.0</v>
      </c>
      <c r="AN2677" s="1">
        <v>12359.0</v>
      </c>
      <c r="AO2677" s="1">
        <v>12359.0</v>
      </c>
      <c r="AP2677" s="1">
        <v>4.734</v>
      </c>
      <c r="AR2677" s="1">
        <v>0.0</v>
      </c>
      <c r="AW2677" s="1">
        <v>0.0</v>
      </c>
      <c r="AX2677" s="1">
        <v>6.0</v>
      </c>
      <c r="AY2677" s="1">
        <v>4.0</v>
      </c>
      <c r="BA2677" s="1">
        <v>0.0</v>
      </c>
      <c r="BB2677" s="1">
        <v>0.0</v>
      </c>
      <c r="BC2677" s="1">
        <v>0.0</v>
      </c>
      <c r="BD2677" s="1">
        <v>0.0</v>
      </c>
      <c r="BE2677" s="1">
        <v>0.0</v>
      </c>
      <c r="BF2677" s="1">
        <v>0.0</v>
      </c>
      <c r="BG2677" s="1">
        <v>0.0</v>
      </c>
      <c r="BH2677" s="1">
        <v>0.0</v>
      </c>
      <c r="BI2677" s="1">
        <v>0.0</v>
      </c>
      <c r="BJ2677" s="1">
        <v>0.0</v>
      </c>
      <c r="BP2677" s="1">
        <v>0.267</v>
      </c>
      <c r="BQ2677" s="1" t="s">
        <v>8307</v>
      </c>
      <c r="BV2677" s="1">
        <v>1.1</v>
      </c>
      <c r="EQ2677" s="9" t="s">
        <v>8306</v>
      </c>
      <c r="ER2677" s="21">
        <v>46045.30322916667</v>
      </c>
    </row>
    <row r="2678">
      <c r="A2678" s="9" t="s">
        <v>8308</v>
      </c>
      <c r="B2678" s="20" t="str">
        <f>IFERROR(__xludf.DUMMYFUNCTION("REGEXREPLACE(A2678, ""^https?://[^/]+"", """")"),"/author/cgoade/")</f>
        <v>/author/cgoade/</v>
      </c>
      <c r="C2678" s="1" t="s">
        <v>8309</v>
      </c>
      <c r="F2678" s="1" t="s">
        <v>965</v>
      </c>
      <c r="G2678" s="1">
        <v>200.0</v>
      </c>
      <c r="H2678" s="1" t="s">
        <v>966</v>
      </c>
      <c r="I2678" s="1" t="s">
        <v>967</v>
      </c>
      <c r="K2678" s="1" t="s">
        <v>8310</v>
      </c>
      <c r="L2678" s="1">
        <v>40.0</v>
      </c>
      <c r="M2678" s="1">
        <v>362.0</v>
      </c>
      <c r="O2678" s="1">
        <v>0.0</v>
      </c>
      <c r="P2678" s="1">
        <v>0.0</v>
      </c>
      <c r="R2678" s="1">
        <v>0.0</v>
      </c>
      <c r="S2678" s="1">
        <v>0.0</v>
      </c>
      <c r="U2678" s="1">
        <v>0.0</v>
      </c>
      <c r="V2678" s="1" t="s">
        <v>8309</v>
      </c>
      <c r="W2678" s="1">
        <v>11.0</v>
      </c>
      <c r="Y2678" s="1">
        <v>0.0</v>
      </c>
      <c r="AA2678" s="1">
        <v>0.0</v>
      </c>
      <c r="AC2678" s="1">
        <v>0.0</v>
      </c>
      <c r="AD2678" s="1" t="s">
        <v>971</v>
      </c>
      <c r="AG2678" s="9" t="s">
        <v>8308</v>
      </c>
      <c r="AM2678" s="1">
        <v>150528.0</v>
      </c>
      <c r="AN2678" s="1">
        <v>29162.0</v>
      </c>
      <c r="AO2678" s="1">
        <v>29162.0</v>
      </c>
      <c r="AP2678" s="1">
        <v>11.171</v>
      </c>
      <c r="AR2678" s="1">
        <v>560.0</v>
      </c>
      <c r="AS2678" s="1">
        <v>97.0</v>
      </c>
      <c r="AT2678" s="1">
        <v>5.773</v>
      </c>
      <c r="AU2678" s="1">
        <v>63.802</v>
      </c>
      <c r="AV2678" s="1" t="s">
        <v>990</v>
      </c>
      <c r="AW2678" s="1">
        <v>3.863</v>
      </c>
      <c r="AX2678" s="1">
        <v>6.0</v>
      </c>
      <c r="AY2678" s="1">
        <v>2.0</v>
      </c>
      <c r="AZ2678" s="1">
        <v>1.0</v>
      </c>
      <c r="BA2678" s="1">
        <v>3.0</v>
      </c>
      <c r="BB2678" s="1">
        <v>1.0</v>
      </c>
      <c r="BC2678" s="1">
        <v>0.0</v>
      </c>
      <c r="BD2678" s="1">
        <v>0.13</v>
      </c>
      <c r="BE2678" s="1">
        <v>125.0</v>
      </c>
      <c r="BF2678" s="1">
        <v>43.0</v>
      </c>
      <c r="BG2678" s="1">
        <v>0.0</v>
      </c>
      <c r="BH2678" s="1">
        <v>16.0</v>
      </c>
      <c r="BI2678" s="1">
        <v>8.0</v>
      </c>
      <c r="BJ2678" s="1">
        <v>0.0</v>
      </c>
      <c r="BO2678" s="1" t="s">
        <v>8311</v>
      </c>
      <c r="BP2678" s="1">
        <v>0.987</v>
      </c>
      <c r="BU2678" s="1" t="s">
        <v>974</v>
      </c>
      <c r="BV2678" s="1">
        <v>1.1</v>
      </c>
      <c r="EQ2678" s="9" t="s">
        <v>8308</v>
      </c>
      <c r="ER2678" s="21">
        <v>46045.30321759259</v>
      </c>
    </row>
    <row r="2679">
      <c r="A2679" s="9" t="s">
        <v>8312</v>
      </c>
      <c r="B2679" s="20" t="str">
        <f>IFERROR(__xludf.DUMMYFUNCTION("REGEXREPLACE(A2679, ""^https?://[^/]+"", """")"),"/wp-content/themes/salesxceleratione/assets/css/style.css?ver=1769123703")</f>
        <v>/wp-content/themes/salesxceleratione/assets/css/style.css?ver=1769123703</v>
      </c>
      <c r="F2679" s="1" t="s">
        <v>1016</v>
      </c>
      <c r="G2679" s="1">
        <v>200.0</v>
      </c>
      <c r="H2679" s="1" t="s">
        <v>966</v>
      </c>
      <c r="I2679" s="1" t="s">
        <v>967</v>
      </c>
      <c r="L2679" s="1">
        <v>0.0</v>
      </c>
      <c r="M2679" s="1">
        <v>0.0</v>
      </c>
      <c r="O2679" s="1">
        <v>0.0</v>
      </c>
      <c r="P2679" s="1">
        <v>0.0</v>
      </c>
      <c r="R2679" s="1">
        <v>0.0</v>
      </c>
      <c r="S2679" s="1">
        <v>0.0</v>
      </c>
      <c r="U2679" s="1">
        <v>0.0</v>
      </c>
      <c r="W2679" s="1">
        <v>0.0</v>
      </c>
      <c r="Y2679" s="1">
        <v>0.0</v>
      </c>
      <c r="AA2679" s="1">
        <v>0.0</v>
      </c>
      <c r="AC2679" s="1">
        <v>0.0</v>
      </c>
      <c r="AM2679" s="1">
        <v>17704.0</v>
      </c>
      <c r="AN2679" s="1">
        <v>17704.0</v>
      </c>
      <c r="AO2679" s="1">
        <v>17704.0</v>
      </c>
      <c r="AP2679" s="1">
        <v>6.782</v>
      </c>
      <c r="AR2679" s="1">
        <v>0.0</v>
      </c>
      <c r="AW2679" s="1">
        <v>0.0</v>
      </c>
      <c r="AX2679" s="1">
        <v>6.0</v>
      </c>
      <c r="AY2679" s="1">
        <v>5.0</v>
      </c>
      <c r="BA2679" s="1">
        <v>0.0</v>
      </c>
      <c r="BB2679" s="1">
        <v>0.0</v>
      </c>
      <c r="BC2679" s="1">
        <v>0.0</v>
      </c>
      <c r="BD2679" s="1">
        <v>0.0</v>
      </c>
      <c r="BE2679" s="1">
        <v>0.0</v>
      </c>
      <c r="BF2679" s="1">
        <v>0.0</v>
      </c>
      <c r="BG2679" s="1">
        <v>0.0</v>
      </c>
      <c r="BH2679" s="1">
        <v>0.0</v>
      </c>
      <c r="BI2679" s="1">
        <v>0.0</v>
      </c>
      <c r="BJ2679" s="1">
        <v>0.0</v>
      </c>
      <c r="BP2679" s="1">
        <v>0.272</v>
      </c>
      <c r="BQ2679" s="1" t="s">
        <v>8313</v>
      </c>
      <c r="BV2679" s="1">
        <v>1.1</v>
      </c>
      <c r="EQ2679" s="9" t="s">
        <v>8312</v>
      </c>
      <c r="ER2679" s="21">
        <v>46045.30324074074</v>
      </c>
    </row>
    <row r="2680">
      <c r="A2680" s="9" t="s">
        <v>8314</v>
      </c>
      <c r="B2680" s="20" t="str">
        <f>IFERROR(__xludf.DUMMYFUNCTION("REGEXREPLACE(A2680, ""^https?://[^/]+"", """")"),"/wp-content/uploads/2020/04/Climbing_the_ladder-scaled-1-300x168.jpg")</f>
        <v>/wp-content/uploads/2020/04/Climbing_the_ladder-scaled-1-300x168.jpg</v>
      </c>
      <c r="F2680" s="1" t="s">
        <v>1004</v>
      </c>
      <c r="G2680" s="1">
        <v>200.0</v>
      </c>
      <c r="H2680" s="1" t="s">
        <v>966</v>
      </c>
      <c r="I2680" s="1" t="s">
        <v>967</v>
      </c>
      <c r="L2680" s="1">
        <v>0.0</v>
      </c>
      <c r="M2680" s="1">
        <v>0.0</v>
      </c>
      <c r="O2680" s="1">
        <v>0.0</v>
      </c>
      <c r="P2680" s="1">
        <v>0.0</v>
      </c>
      <c r="R2680" s="1">
        <v>0.0</v>
      </c>
      <c r="S2680" s="1">
        <v>0.0</v>
      </c>
      <c r="U2680" s="1">
        <v>0.0</v>
      </c>
      <c r="W2680" s="1">
        <v>0.0</v>
      </c>
      <c r="Y2680" s="1">
        <v>0.0</v>
      </c>
      <c r="AA2680" s="1">
        <v>0.0</v>
      </c>
      <c r="AC2680" s="1">
        <v>0.0</v>
      </c>
      <c r="AM2680" s="1">
        <v>10422.0</v>
      </c>
      <c r="AN2680" s="1">
        <v>10422.0</v>
      </c>
      <c r="AO2680" s="1">
        <v>10422.0</v>
      </c>
      <c r="AP2680" s="1">
        <v>3.992</v>
      </c>
      <c r="AR2680" s="1">
        <v>0.0</v>
      </c>
      <c r="AW2680" s="1">
        <v>0.0</v>
      </c>
      <c r="AX2680" s="1">
        <v>6.0</v>
      </c>
      <c r="AY2680" s="1">
        <v>4.0</v>
      </c>
      <c r="BA2680" s="1">
        <v>0.0</v>
      </c>
      <c r="BB2680" s="1">
        <v>0.0</v>
      </c>
      <c r="BC2680" s="1">
        <v>0.0</v>
      </c>
      <c r="BD2680" s="1">
        <v>0.0</v>
      </c>
      <c r="BE2680" s="1">
        <v>0.0</v>
      </c>
      <c r="BF2680" s="1">
        <v>0.0</v>
      </c>
      <c r="BG2680" s="1">
        <v>0.0</v>
      </c>
      <c r="BH2680" s="1">
        <v>0.0</v>
      </c>
      <c r="BI2680" s="1">
        <v>0.0</v>
      </c>
      <c r="BJ2680" s="1">
        <v>0.0</v>
      </c>
      <c r="BP2680" s="1">
        <v>0.269</v>
      </c>
      <c r="BQ2680" s="1" t="s">
        <v>8315</v>
      </c>
      <c r="BV2680" s="1">
        <v>1.1</v>
      </c>
      <c r="EQ2680" s="9" t="s">
        <v>8314</v>
      </c>
      <c r="ER2680" s="21">
        <v>46045.30324074074</v>
      </c>
    </row>
    <row r="2681">
      <c r="A2681" s="9" t="s">
        <v>8316</v>
      </c>
      <c r="B2681" s="20" t="str">
        <f>IFERROR(__xludf.DUMMYFUNCTION("REGEXREPLACE(A2681, ""^https?://[^/]+"", """")"),"/four-painful-manufacturing-sales-challenges-and-the-cure-hiding-in-plain-sight/")</f>
        <v>/four-painful-manufacturing-sales-challenges-and-the-cure-hiding-in-plain-sight/</v>
      </c>
      <c r="C2681" s="1" t="s">
        <v>8317</v>
      </c>
      <c r="F2681" s="1" t="s">
        <v>965</v>
      </c>
      <c r="G2681" s="1">
        <v>200.0</v>
      </c>
      <c r="H2681" s="1" t="s">
        <v>966</v>
      </c>
      <c r="I2681" s="1" t="s">
        <v>967</v>
      </c>
      <c r="K2681" s="1" t="s">
        <v>8318</v>
      </c>
      <c r="L2681" s="1">
        <v>105.0</v>
      </c>
      <c r="M2681" s="1">
        <v>933.0</v>
      </c>
      <c r="O2681" s="1">
        <v>0.0</v>
      </c>
      <c r="P2681" s="1">
        <v>0.0</v>
      </c>
      <c r="Q2681" s="1" t="s">
        <v>8319</v>
      </c>
      <c r="R2681" s="1">
        <v>154.0</v>
      </c>
      <c r="S2681" s="1">
        <v>940.0</v>
      </c>
      <c r="U2681" s="1">
        <v>0.0</v>
      </c>
      <c r="V2681" s="1" t="s">
        <v>8317</v>
      </c>
      <c r="W2681" s="1">
        <v>80.0</v>
      </c>
      <c r="Y2681" s="1">
        <v>0.0</v>
      </c>
      <c r="AA2681" s="1">
        <v>0.0</v>
      </c>
      <c r="AC2681" s="1">
        <v>0.0</v>
      </c>
      <c r="AD2681" s="1" t="s">
        <v>971</v>
      </c>
      <c r="AG2681" s="9" t="s">
        <v>8316</v>
      </c>
      <c r="AM2681" s="1">
        <v>207770.0</v>
      </c>
      <c r="AN2681" s="1">
        <v>38212.0</v>
      </c>
      <c r="AO2681" s="1">
        <v>38212.0</v>
      </c>
      <c r="AP2681" s="1">
        <v>14.638</v>
      </c>
      <c r="AR2681" s="1">
        <v>1893.0</v>
      </c>
      <c r="AS2681" s="1">
        <v>277.0</v>
      </c>
      <c r="AT2681" s="1">
        <v>6.834</v>
      </c>
      <c r="AU2681" s="1">
        <v>55.279</v>
      </c>
      <c r="AV2681" s="1" t="s">
        <v>972</v>
      </c>
      <c r="AW2681" s="1">
        <v>7.024</v>
      </c>
      <c r="AX2681" s="1">
        <v>6.0</v>
      </c>
      <c r="AY2681" s="1">
        <v>1.0</v>
      </c>
      <c r="AZ2681" s="1">
        <v>1.0</v>
      </c>
      <c r="BA2681" s="1">
        <v>3.0</v>
      </c>
      <c r="BB2681" s="1">
        <v>1.0</v>
      </c>
      <c r="BC2681" s="1">
        <v>0.0</v>
      </c>
      <c r="BD2681" s="1">
        <v>0.13</v>
      </c>
      <c r="BE2681" s="1">
        <v>133.0</v>
      </c>
      <c r="BF2681" s="1">
        <v>49.0</v>
      </c>
      <c r="BG2681" s="1">
        <v>0.0</v>
      </c>
      <c r="BH2681" s="1">
        <v>16.0</v>
      </c>
      <c r="BI2681" s="1">
        <v>8.0</v>
      </c>
      <c r="BJ2681" s="1">
        <v>0.0</v>
      </c>
      <c r="BO2681" s="1" t="s">
        <v>8320</v>
      </c>
      <c r="BP2681" s="1">
        <v>1.009</v>
      </c>
      <c r="BU2681" s="1" t="s">
        <v>974</v>
      </c>
      <c r="BV2681" s="1">
        <v>1.1</v>
      </c>
      <c r="EQ2681" s="9" t="s">
        <v>8316</v>
      </c>
      <c r="ER2681" s="21">
        <v>46045.30322916667</v>
      </c>
    </row>
    <row r="2682">
      <c r="A2682" s="9" t="s">
        <v>8321</v>
      </c>
      <c r="B2682" s="20" t="str">
        <f>IFERROR(__xludf.DUMMYFUNCTION("REGEXREPLACE(A2682, ""^https?://[^/]+"", """")"),"/wp-content/uploads/2020/01/tech-thumb-768x424.jpg")</f>
        <v>/wp-content/uploads/2020/01/tech-thumb-768x424.jpg</v>
      </c>
      <c r="F2682" s="1" t="s">
        <v>1004</v>
      </c>
      <c r="G2682" s="1">
        <v>200.0</v>
      </c>
      <c r="H2682" s="1" t="s">
        <v>966</v>
      </c>
      <c r="I2682" s="1" t="s">
        <v>967</v>
      </c>
      <c r="L2682" s="1">
        <v>0.0</v>
      </c>
      <c r="M2682" s="1">
        <v>0.0</v>
      </c>
      <c r="O2682" s="1">
        <v>0.0</v>
      </c>
      <c r="P2682" s="1">
        <v>0.0</v>
      </c>
      <c r="R2682" s="1">
        <v>0.0</v>
      </c>
      <c r="S2682" s="1">
        <v>0.0</v>
      </c>
      <c r="U2682" s="1">
        <v>0.0</v>
      </c>
      <c r="W2682" s="1">
        <v>0.0</v>
      </c>
      <c r="Y2682" s="1">
        <v>0.0</v>
      </c>
      <c r="AA2682" s="1">
        <v>0.0</v>
      </c>
      <c r="AC2682" s="1">
        <v>0.0</v>
      </c>
      <c r="AM2682" s="1">
        <v>62161.0</v>
      </c>
      <c r="AN2682" s="1">
        <v>62161.0</v>
      </c>
      <c r="AO2682" s="1">
        <v>62161.0</v>
      </c>
      <c r="AP2682" s="1">
        <v>23.813</v>
      </c>
      <c r="AR2682" s="1">
        <v>0.0</v>
      </c>
      <c r="AW2682" s="1">
        <v>0.0</v>
      </c>
      <c r="AX2682" s="1">
        <v>6.0</v>
      </c>
      <c r="AY2682" s="1">
        <v>4.0</v>
      </c>
      <c r="BA2682" s="1">
        <v>0.0</v>
      </c>
      <c r="BB2682" s="1">
        <v>0.0</v>
      </c>
      <c r="BC2682" s="1">
        <v>0.0</v>
      </c>
      <c r="BD2682" s="1">
        <v>0.0</v>
      </c>
      <c r="BE2682" s="1">
        <v>0.0</v>
      </c>
      <c r="BF2682" s="1">
        <v>0.0</v>
      </c>
      <c r="BG2682" s="1">
        <v>0.0</v>
      </c>
      <c r="BH2682" s="1">
        <v>0.0</v>
      </c>
      <c r="BI2682" s="1">
        <v>0.0</v>
      </c>
      <c r="BJ2682" s="1">
        <v>0.0</v>
      </c>
      <c r="BP2682" s="1">
        <v>0.266</v>
      </c>
      <c r="BQ2682" s="1" t="s">
        <v>8322</v>
      </c>
      <c r="BV2682" s="1">
        <v>1.1</v>
      </c>
      <c r="EQ2682" s="9" t="s">
        <v>8321</v>
      </c>
      <c r="ER2682" s="21">
        <v>46045.30324074074</v>
      </c>
    </row>
    <row r="2683">
      <c r="A2683" s="9" t="s">
        <v>8323</v>
      </c>
      <c r="B2683" s="20" t="str">
        <f>IFERROR(__xludf.DUMMYFUNCTION("REGEXREPLACE(A2683, ""^https?://[^/]+"", """")"),"/wp-content/uploads/2021/02/thumb-consulting-cs-768x440.jpg")</f>
        <v>/wp-content/uploads/2021/02/thumb-consulting-cs-768x440.jpg</v>
      </c>
      <c r="F2683" s="1" t="s">
        <v>1004</v>
      </c>
      <c r="G2683" s="1">
        <v>200.0</v>
      </c>
      <c r="H2683" s="1" t="s">
        <v>966</v>
      </c>
      <c r="I2683" s="1" t="s">
        <v>967</v>
      </c>
      <c r="L2683" s="1">
        <v>0.0</v>
      </c>
      <c r="M2683" s="1">
        <v>0.0</v>
      </c>
      <c r="O2683" s="1">
        <v>0.0</v>
      </c>
      <c r="P2683" s="1">
        <v>0.0</v>
      </c>
      <c r="R2683" s="1">
        <v>0.0</v>
      </c>
      <c r="S2683" s="1">
        <v>0.0</v>
      </c>
      <c r="U2683" s="1">
        <v>0.0</v>
      </c>
      <c r="W2683" s="1">
        <v>0.0</v>
      </c>
      <c r="Y2683" s="1">
        <v>0.0</v>
      </c>
      <c r="AA2683" s="1">
        <v>0.0</v>
      </c>
      <c r="AC2683" s="1">
        <v>0.0</v>
      </c>
      <c r="AM2683" s="1">
        <v>58609.0</v>
      </c>
      <c r="AN2683" s="1">
        <v>58609.0</v>
      </c>
      <c r="AO2683" s="1">
        <v>58609.0</v>
      </c>
      <c r="AP2683" s="1">
        <v>22.452</v>
      </c>
      <c r="AR2683" s="1">
        <v>0.0</v>
      </c>
      <c r="AW2683" s="1">
        <v>0.0</v>
      </c>
      <c r="AX2683" s="1">
        <v>6.0</v>
      </c>
      <c r="AY2683" s="1">
        <v>4.0</v>
      </c>
      <c r="BA2683" s="1">
        <v>0.0</v>
      </c>
      <c r="BB2683" s="1">
        <v>0.0</v>
      </c>
      <c r="BC2683" s="1">
        <v>0.0</v>
      </c>
      <c r="BD2683" s="1">
        <v>0.0</v>
      </c>
      <c r="BE2683" s="1">
        <v>0.0</v>
      </c>
      <c r="BF2683" s="1">
        <v>0.0</v>
      </c>
      <c r="BG2683" s="1">
        <v>0.0</v>
      </c>
      <c r="BH2683" s="1">
        <v>0.0</v>
      </c>
      <c r="BI2683" s="1">
        <v>0.0</v>
      </c>
      <c r="BJ2683" s="1">
        <v>0.0</v>
      </c>
      <c r="BP2683" s="1">
        <v>0.278</v>
      </c>
      <c r="BQ2683" s="1" t="s">
        <v>1234</v>
      </c>
      <c r="BV2683" s="1">
        <v>1.1</v>
      </c>
      <c r="EQ2683" s="9" t="s">
        <v>8323</v>
      </c>
      <c r="ER2683" s="21">
        <v>46045.30324074074</v>
      </c>
    </row>
    <row r="2684">
      <c r="A2684" s="9" t="s">
        <v>8324</v>
      </c>
      <c r="B2684" s="20" t="str">
        <f>IFERROR(__xludf.DUMMYFUNCTION("REGEXREPLACE(A2684, ""^https?://[^/]+"", """")"),"/wp-content/uploads/2021/02/thumb-mfg-cs-768x440.jpg")</f>
        <v>/wp-content/uploads/2021/02/thumb-mfg-cs-768x440.jpg</v>
      </c>
      <c r="F2684" s="1" t="s">
        <v>1004</v>
      </c>
      <c r="G2684" s="1">
        <v>200.0</v>
      </c>
      <c r="H2684" s="1" t="s">
        <v>966</v>
      </c>
      <c r="I2684" s="1" t="s">
        <v>967</v>
      </c>
      <c r="L2684" s="1">
        <v>0.0</v>
      </c>
      <c r="M2684" s="1">
        <v>0.0</v>
      </c>
      <c r="O2684" s="1">
        <v>0.0</v>
      </c>
      <c r="P2684" s="1">
        <v>0.0</v>
      </c>
      <c r="R2684" s="1">
        <v>0.0</v>
      </c>
      <c r="S2684" s="1">
        <v>0.0</v>
      </c>
      <c r="U2684" s="1">
        <v>0.0</v>
      </c>
      <c r="W2684" s="1">
        <v>0.0</v>
      </c>
      <c r="Y2684" s="1">
        <v>0.0</v>
      </c>
      <c r="AA2684" s="1">
        <v>0.0</v>
      </c>
      <c r="AC2684" s="1">
        <v>0.0</v>
      </c>
      <c r="AM2684" s="1">
        <v>83738.0</v>
      </c>
      <c r="AN2684" s="1">
        <v>83738.0</v>
      </c>
      <c r="AO2684" s="1">
        <v>83738.0</v>
      </c>
      <c r="AP2684" s="1">
        <v>32.078</v>
      </c>
      <c r="AR2684" s="1">
        <v>0.0</v>
      </c>
      <c r="AW2684" s="1">
        <v>0.0</v>
      </c>
      <c r="AX2684" s="1">
        <v>6.0</v>
      </c>
      <c r="AY2684" s="1">
        <v>4.0</v>
      </c>
      <c r="BA2684" s="1">
        <v>0.0</v>
      </c>
      <c r="BB2684" s="1">
        <v>0.0</v>
      </c>
      <c r="BC2684" s="1">
        <v>0.0</v>
      </c>
      <c r="BD2684" s="1">
        <v>0.0</v>
      </c>
      <c r="BE2684" s="1">
        <v>0.0</v>
      </c>
      <c r="BF2684" s="1">
        <v>0.0</v>
      </c>
      <c r="BG2684" s="1">
        <v>0.0</v>
      </c>
      <c r="BH2684" s="1">
        <v>0.0</v>
      </c>
      <c r="BI2684" s="1">
        <v>0.0</v>
      </c>
      <c r="BJ2684" s="1">
        <v>0.0</v>
      </c>
      <c r="BP2684" s="1">
        <v>0.382</v>
      </c>
      <c r="BQ2684" s="1" t="s">
        <v>3427</v>
      </c>
      <c r="BV2684" s="1">
        <v>1.1</v>
      </c>
      <c r="EQ2684" s="9" t="s">
        <v>8324</v>
      </c>
      <c r="ER2684" s="21">
        <v>46045.30324074074</v>
      </c>
    </row>
    <row r="2685">
      <c r="A2685" s="9" t="s">
        <v>8325</v>
      </c>
      <c r="B2685" s="20" t="str">
        <f>IFERROR(__xludf.DUMMYFUNCTION("REGEXREPLACE(A2685, ""^https?://[^/]+"", """")"),"/tried-true-lessons-selling/")</f>
        <v>/tried-true-lessons-selling/</v>
      </c>
      <c r="C2685" s="1" t="s">
        <v>8326</v>
      </c>
      <c r="F2685" s="1" t="s">
        <v>965</v>
      </c>
      <c r="G2685" s="1">
        <v>200.0</v>
      </c>
      <c r="H2685" s="1" t="s">
        <v>966</v>
      </c>
      <c r="I2685" s="1" t="s">
        <v>967</v>
      </c>
      <c r="K2685" s="1" t="s">
        <v>8327</v>
      </c>
      <c r="L2685" s="1">
        <v>58.0</v>
      </c>
      <c r="M2685" s="1">
        <v>512.0</v>
      </c>
      <c r="O2685" s="1">
        <v>0.0</v>
      </c>
      <c r="P2685" s="1">
        <v>0.0</v>
      </c>
      <c r="Q2685" s="1" t="s">
        <v>8328</v>
      </c>
      <c r="R2685" s="1">
        <v>148.0</v>
      </c>
      <c r="S2685" s="1">
        <v>893.0</v>
      </c>
      <c r="U2685" s="1">
        <v>0.0</v>
      </c>
      <c r="V2685" s="1" t="s">
        <v>8326</v>
      </c>
      <c r="W2685" s="1">
        <v>33.0</v>
      </c>
      <c r="Y2685" s="1">
        <v>0.0</v>
      </c>
      <c r="AA2685" s="1">
        <v>0.0</v>
      </c>
      <c r="AC2685" s="1">
        <v>0.0</v>
      </c>
      <c r="AD2685" s="1" t="s">
        <v>971</v>
      </c>
      <c r="AG2685" s="9" t="s">
        <v>8325</v>
      </c>
      <c r="AM2685" s="1">
        <v>199000.0</v>
      </c>
      <c r="AN2685" s="1">
        <v>34922.0</v>
      </c>
      <c r="AO2685" s="1">
        <v>34922.0</v>
      </c>
      <c r="AP2685" s="1">
        <v>13.378</v>
      </c>
      <c r="AR2685" s="1">
        <v>999.0</v>
      </c>
      <c r="AS2685" s="1">
        <v>154.0</v>
      </c>
      <c r="AT2685" s="1">
        <v>6.487</v>
      </c>
      <c r="AU2685" s="1">
        <v>63.908</v>
      </c>
      <c r="AV2685" s="1" t="s">
        <v>990</v>
      </c>
      <c r="AW2685" s="1">
        <v>4.286</v>
      </c>
      <c r="AX2685" s="1">
        <v>6.0</v>
      </c>
      <c r="AY2685" s="1">
        <v>1.0</v>
      </c>
      <c r="AZ2685" s="1">
        <v>1.0</v>
      </c>
      <c r="BA2685" s="1">
        <v>3.0</v>
      </c>
      <c r="BB2685" s="1">
        <v>1.0</v>
      </c>
      <c r="BC2685" s="1">
        <v>0.0</v>
      </c>
      <c r="BD2685" s="1">
        <v>0.13</v>
      </c>
      <c r="BE2685" s="1">
        <v>131.0</v>
      </c>
      <c r="BF2685" s="1">
        <v>49.0</v>
      </c>
      <c r="BG2685" s="1">
        <v>0.0</v>
      </c>
      <c r="BH2685" s="1">
        <v>16.0</v>
      </c>
      <c r="BI2685" s="1">
        <v>8.0</v>
      </c>
      <c r="BJ2685" s="1">
        <v>0.0</v>
      </c>
      <c r="BO2685" s="1" t="s">
        <v>8329</v>
      </c>
      <c r="BP2685" s="1">
        <v>0.998</v>
      </c>
      <c r="BU2685" s="1" t="s">
        <v>974</v>
      </c>
      <c r="BV2685" s="1">
        <v>1.1</v>
      </c>
      <c r="EQ2685" s="9" t="s">
        <v>8325</v>
      </c>
      <c r="ER2685" s="21">
        <v>46045.30322916667</v>
      </c>
    </row>
    <row r="2686">
      <c r="A2686" s="9" t="s">
        <v>8330</v>
      </c>
      <c r="B2686" s="20" t="str">
        <f>IFERROR(__xludf.DUMMYFUNCTION("REGEXREPLACE(A2686, ""^https?://[^/]+"", """")"),"/every-crisis-presents-opportunity/")</f>
        <v>/every-crisis-presents-opportunity/</v>
      </c>
      <c r="C2686" s="1" t="s">
        <v>8331</v>
      </c>
      <c r="F2686" s="1" t="s">
        <v>965</v>
      </c>
      <c r="G2686" s="1">
        <v>200.0</v>
      </c>
      <c r="H2686" s="1" t="s">
        <v>966</v>
      </c>
      <c r="I2686" s="1" t="s">
        <v>967</v>
      </c>
      <c r="K2686" s="1" t="s">
        <v>8332</v>
      </c>
      <c r="L2686" s="1">
        <v>58.0</v>
      </c>
      <c r="M2686" s="1">
        <v>512.0</v>
      </c>
      <c r="O2686" s="1">
        <v>0.0</v>
      </c>
      <c r="P2686" s="1">
        <v>0.0</v>
      </c>
      <c r="Q2686" s="1" t="s">
        <v>8333</v>
      </c>
      <c r="R2686" s="1">
        <v>141.0</v>
      </c>
      <c r="S2686" s="1">
        <v>840.0</v>
      </c>
      <c r="U2686" s="1">
        <v>0.0</v>
      </c>
      <c r="V2686" s="1" t="s">
        <v>8331</v>
      </c>
      <c r="W2686" s="1">
        <v>33.0</v>
      </c>
      <c r="Y2686" s="1">
        <v>0.0</v>
      </c>
      <c r="AA2686" s="1">
        <v>0.0</v>
      </c>
      <c r="AC2686" s="1">
        <v>0.0</v>
      </c>
      <c r="AD2686" s="1" t="s">
        <v>971</v>
      </c>
      <c r="AG2686" s="9" t="s">
        <v>8330</v>
      </c>
      <c r="AM2686" s="1">
        <v>200917.0</v>
      </c>
      <c r="AN2686" s="1">
        <v>35995.0</v>
      </c>
      <c r="AO2686" s="1">
        <v>35995.0</v>
      </c>
      <c r="AP2686" s="1">
        <v>13.789</v>
      </c>
      <c r="AR2686" s="1">
        <v>1134.0</v>
      </c>
      <c r="AS2686" s="1">
        <v>185.0</v>
      </c>
      <c r="AT2686" s="1">
        <v>6.13</v>
      </c>
      <c r="AU2686" s="1">
        <v>65.656</v>
      </c>
      <c r="AV2686" s="1" t="s">
        <v>990</v>
      </c>
      <c r="AW2686" s="1">
        <v>4.628</v>
      </c>
      <c r="AX2686" s="1">
        <v>6.0</v>
      </c>
      <c r="AY2686" s="1">
        <v>1.0</v>
      </c>
      <c r="AZ2686" s="1">
        <v>1.0</v>
      </c>
      <c r="BA2686" s="1">
        <v>3.0</v>
      </c>
      <c r="BB2686" s="1">
        <v>1.0</v>
      </c>
      <c r="BC2686" s="1">
        <v>0.0</v>
      </c>
      <c r="BD2686" s="1">
        <v>0.13</v>
      </c>
      <c r="BE2686" s="1">
        <v>131.0</v>
      </c>
      <c r="BF2686" s="1">
        <v>49.0</v>
      </c>
      <c r="BG2686" s="1">
        <v>0.0</v>
      </c>
      <c r="BH2686" s="1">
        <v>16.0</v>
      </c>
      <c r="BI2686" s="1">
        <v>8.0</v>
      </c>
      <c r="BJ2686" s="1">
        <v>0.0</v>
      </c>
      <c r="BO2686" s="1" t="s">
        <v>8334</v>
      </c>
      <c r="BP2686" s="1">
        <v>0.999</v>
      </c>
      <c r="BU2686" s="1" t="s">
        <v>974</v>
      </c>
      <c r="BV2686" s="1">
        <v>1.1</v>
      </c>
      <c r="EQ2686" s="9" t="s">
        <v>8330</v>
      </c>
      <c r="ER2686" s="21">
        <v>46045.30322916667</v>
      </c>
    </row>
    <row r="2687">
      <c r="A2687" s="9" t="s">
        <v>8335</v>
      </c>
      <c r="B2687" s="20" t="str">
        <f>IFERROR(__xludf.DUMMYFUNCTION("REGEXREPLACE(A2687, ""^https?://[^/]+"", """")"),"/wp-content/uploads/2017/11/newnew-1-300x202.jpg")</f>
        <v>/wp-content/uploads/2017/11/newnew-1-300x202.jpg</v>
      </c>
      <c r="F2687" s="1" t="s">
        <v>1004</v>
      </c>
      <c r="G2687" s="1">
        <v>200.0</v>
      </c>
      <c r="H2687" s="1" t="s">
        <v>966</v>
      </c>
      <c r="I2687" s="1" t="s">
        <v>967</v>
      </c>
      <c r="L2687" s="1">
        <v>0.0</v>
      </c>
      <c r="M2687" s="1">
        <v>0.0</v>
      </c>
      <c r="O2687" s="1">
        <v>0.0</v>
      </c>
      <c r="P2687" s="1">
        <v>0.0</v>
      </c>
      <c r="R2687" s="1">
        <v>0.0</v>
      </c>
      <c r="S2687" s="1">
        <v>0.0</v>
      </c>
      <c r="U2687" s="1">
        <v>0.0</v>
      </c>
      <c r="W2687" s="1">
        <v>0.0</v>
      </c>
      <c r="Y2687" s="1">
        <v>0.0</v>
      </c>
      <c r="AA2687" s="1">
        <v>0.0</v>
      </c>
      <c r="AC2687" s="1">
        <v>0.0</v>
      </c>
      <c r="AM2687" s="1">
        <v>5712.0</v>
      </c>
      <c r="AN2687" s="1">
        <v>5712.0</v>
      </c>
      <c r="AO2687" s="1">
        <v>5712.0</v>
      </c>
      <c r="AP2687" s="1">
        <v>2.188</v>
      </c>
      <c r="AR2687" s="1">
        <v>0.0</v>
      </c>
      <c r="AW2687" s="1">
        <v>0.0</v>
      </c>
      <c r="AX2687" s="1">
        <v>6.0</v>
      </c>
      <c r="AY2687" s="1">
        <v>4.0</v>
      </c>
      <c r="BA2687" s="1">
        <v>0.0</v>
      </c>
      <c r="BB2687" s="1">
        <v>0.0</v>
      </c>
      <c r="BC2687" s="1">
        <v>0.0</v>
      </c>
      <c r="BD2687" s="1">
        <v>0.0</v>
      </c>
      <c r="BE2687" s="1">
        <v>0.0</v>
      </c>
      <c r="BF2687" s="1">
        <v>0.0</v>
      </c>
      <c r="BG2687" s="1">
        <v>0.0</v>
      </c>
      <c r="BH2687" s="1">
        <v>0.0</v>
      </c>
      <c r="BI2687" s="1">
        <v>0.0</v>
      </c>
      <c r="BJ2687" s="1">
        <v>0.0</v>
      </c>
      <c r="BP2687" s="1">
        <v>0.275</v>
      </c>
      <c r="BQ2687" s="1" t="s">
        <v>8336</v>
      </c>
      <c r="BV2687" s="1">
        <v>1.1</v>
      </c>
      <c r="EQ2687" s="9" t="s">
        <v>8335</v>
      </c>
      <c r="ER2687" s="21">
        <v>46045.303252314814</v>
      </c>
    </row>
    <row r="2688">
      <c r="A2688" s="9" t="s">
        <v>8337</v>
      </c>
      <c r="B2688" s="20" t="str">
        <f>IFERROR(__xludf.DUMMYFUNCTION("REGEXREPLACE(A2688, ""^https?://[^/]+"", """")"),"/wp-content/uploads/2020/02/foodagthumb-768x439.jpg")</f>
        <v>/wp-content/uploads/2020/02/foodagthumb-768x439.jpg</v>
      </c>
      <c r="F2688" s="1" t="s">
        <v>1004</v>
      </c>
      <c r="G2688" s="1">
        <v>200.0</v>
      </c>
      <c r="H2688" s="1" t="s">
        <v>966</v>
      </c>
      <c r="I2688" s="1" t="s">
        <v>967</v>
      </c>
      <c r="L2688" s="1">
        <v>0.0</v>
      </c>
      <c r="M2688" s="1">
        <v>0.0</v>
      </c>
      <c r="O2688" s="1">
        <v>0.0</v>
      </c>
      <c r="P2688" s="1">
        <v>0.0</v>
      </c>
      <c r="R2688" s="1">
        <v>0.0</v>
      </c>
      <c r="S2688" s="1">
        <v>0.0</v>
      </c>
      <c r="U2688" s="1">
        <v>0.0</v>
      </c>
      <c r="W2688" s="1">
        <v>0.0</v>
      </c>
      <c r="Y2688" s="1">
        <v>0.0</v>
      </c>
      <c r="AA2688" s="1">
        <v>0.0</v>
      </c>
      <c r="AC2688" s="1">
        <v>0.0</v>
      </c>
      <c r="AM2688" s="1">
        <v>35145.0</v>
      </c>
      <c r="AN2688" s="1">
        <v>35145.0</v>
      </c>
      <c r="AO2688" s="1">
        <v>35145.0</v>
      </c>
      <c r="AP2688" s="1">
        <v>13.463</v>
      </c>
      <c r="AR2688" s="1">
        <v>0.0</v>
      </c>
      <c r="AW2688" s="1">
        <v>0.0</v>
      </c>
      <c r="AX2688" s="1">
        <v>6.0</v>
      </c>
      <c r="AY2688" s="1">
        <v>4.0</v>
      </c>
      <c r="BA2688" s="1">
        <v>0.0</v>
      </c>
      <c r="BB2688" s="1">
        <v>0.0</v>
      </c>
      <c r="BC2688" s="1">
        <v>0.0</v>
      </c>
      <c r="BD2688" s="1">
        <v>0.0</v>
      </c>
      <c r="BE2688" s="1">
        <v>0.0</v>
      </c>
      <c r="BF2688" s="1">
        <v>0.0</v>
      </c>
      <c r="BG2688" s="1">
        <v>0.0</v>
      </c>
      <c r="BH2688" s="1">
        <v>0.0</v>
      </c>
      <c r="BI2688" s="1">
        <v>0.0</v>
      </c>
      <c r="BJ2688" s="1">
        <v>0.0</v>
      </c>
      <c r="BP2688" s="1">
        <v>0.274</v>
      </c>
      <c r="BQ2688" s="1" t="s">
        <v>8338</v>
      </c>
      <c r="BV2688" s="1">
        <v>1.1</v>
      </c>
      <c r="EQ2688" s="9" t="s">
        <v>8337</v>
      </c>
      <c r="ER2688" s="21">
        <v>46045.303252314814</v>
      </c>
    </row>
    <row r="2689">
      <c r="A2689" s="9" t="s">
        <v>8339</v>
      </c>
      <c r="B2689" s="20" t="str">
        <f>IFERROR(__xludf.DUMMYFUNCTION("REGEXREPLACE(A2689, ""^https?://[^/]+"", """")"),"/the-fundamentals-of-winning/")</f>
        <v>/the-fundamentals-of-winning/</v>
      </c>
      <c r="C2689" s="1" t="s">
        <v>8340</v>
      </c>
      <c r="F2689" s="1" t="s">
        <v>965</v>
      </c>
      <c r="G2689" s="1">
        <v>200.0</v>
      </c>
      <c r="H2689" s="1" t="s">
        <v>966</v>
      </c>
      <c r="I2689" s="1" t="s">
        <v>967</v>
      </c>
      <c r="K2689" s="1" t="s">
        <v>8341</v>
      </c>
      <c r="L2689" s="1">
        <v>52.0</v>
      </c>
      <c r="M2689" s="1">
        <v>482.0</v>
      </c>
      <c r="O2689" s="1">
        <v>0.0</v>
      </c>
      <c r="P2689" s="1">
        <v>0.0</v>
      </c>
      <c r="Q2689" s="1" t="s">
        <v>8342</v>
      </c>
      <c r="R2689" s="1">
        <v>136.0</v>
      </c>
      <c r="S2689" s="1">
        <v>840.0</v>
      </c>
      <c r="U2689" s="1">
        <v>0.0</v>
      </c>
      <c r="V2689" s="1" t="s">
        <v>8340</v>
      </c>
      <c r="W2689" s="1">
        <v>27.0</v>
      </c>
      <c r="Y2689" s="1">
        <v>0.0</v>
      </c>
      <c r="AA2689" s="1">
        <v>0.0</v>
      </c>
      <c r="AC2689" s="1">
        <v>0.0</v>
      </c>
      <c r="AD2689" s="1" t="s">
        <v>971</v>
      </c>
      <c r="AG2689" s="9" t="s">
        <v>8339</v>
      </c>
      <c r="AM2689" s="1">
        <v>199385.0</v>
      </c>
      <c r="AN2689" s="1">
        <v>35404.0</v>
      </c>
      <c r="AO2689" s="1">
        <v>35404.0</v>
      </c>
      <c r="AP2689" s="1">
        <v>13.563</v>
      </c>
      <c r="AR2689" s="1">
        <v>1132.0</v>
      </c>
      <c r="AS2689" s="1">
        <v>193.0</v>
      </c>
      <c r="AT2689" s="1">
        <v>5.865</v>
      </c>
      <c r="AU2689" s="1">
        <v>63.668</v>
      </c>
      <c r="AV2689" s="1" t="s">
        <v>990</v>
      </c>
      <c r="AW2689" s="1">
        <v>4.716</v>
      </c>
      <c r="AX2689" s="1">
        <v>6.0</v>
      </c>
      <c r="AY2689" s="1">
        <v>1.0</v>
      </c>
      <c r="AZ2689" s="1">
        <v>1.0</v>
      </c>
      <c r="BA2689" s="1">
        <v>3.0</v>
      </c>
      <c r="BB2689" s="1">
        <v>1.0</v>
      </c>
      <c r="BC2689" s="1">
        <v>0.0</v>
      </c>
      <c r="BD2689" s="1">
        <v>0.13</v>
      </c>
      <c r="BE2689" s="1">
        <v>131.0</v>
      </c>
      <c r="BF2689" s="1">
        <v>49.0</v>
      </c>
      <c r="BG2689" s="1">
        <v>0.0</v>
      </c>
      <c r="BH2689" s="1">
        <v>16.0</v>
      </c>
      <c r="BI2689" s="1">
        <v>8.0</v>
      </c>
      <c r="BJ2689" s="1">
        <v>0.0</v>
      </c>
      <c r="BO2689" s="1" t="s">
        <v>8343</v>
      </c>
      <c r="BP2689" s="1">
        <v>0.993</v>
      </c>
      <c r="BU2689" s="1" t="s">
        <v>974</v>
      </c>
      <c r="BV2689" s="1">
        <v>1.1</v>
      </c>
      <c r="EQ2689" s="9" t="s">
        <v>8339</v>
      </c>
      <c r="ER2689" s="21">
        <v>46045.30324074074</v>
      </c>
    </row>
    <row r="2690">
      <c r="A2690" s="9" t="s">
        <v>8344</v>
      </c>
      <c r="B2690" s="20" t="str">
        <f>IFERROR(__xludf.DUMMYFUNCTION("REGEXREPLACE(A2690, ""^https?://[^/]+"", """")"),"/wp-content/uploads/2018/08/Winning_Blog-300x169.jpg")</f>
        <v>/wp-content/uploads/2018/08/Winning_Blog-300x169.jpg</v>
      </c>
      <c r="F2690" s="1" t="s">
        <v>1004</v>
      </c>
      <c r="G2690" s="1">
        <v>200.0</v>
      </c>
      <c r="H2690" s="1" t="s">
        <v>966</v>
      </c>
      <c r="I2690" s="1" t="s">
        <v>967</v>
      </c>
      <c r="L2690" s="1">
        <v>0.0</v>
      </c>
      <c r="M2690" s="1">
        <v>0.0</v>
      </c>
      <c r="O2690" s="1">
        <v>0.0</v>
      </c>
      <c r="P2690" s="1">
        <v>0.0</v>
      </c>
      <c r="R2690" s="1">
        <v>0.0</v>
      </c>
      <c r="S2690" s="1">
        <v>0.0</v>
      </c>
      <c r="U2690" s="1">
        <v>0.0</v>
      </c>
      <c r="W2690" s="1">
        <v>0.0</v>
      </c>
      <c r="Y2690" s="1">
        <v>0.0</v>
      </c>
      <c r="AA2690" s="1">
        <v>0.0</v>
      </c>
      <c r="AC2690" s="1">
        <v>0.0</v>
      </c>
      <c r="AM2690" s="1">
        <v>7541.0</v>
      </c>
      <c r="AN2690" s="1">
        <v>7541.0</v>
      </c>
      <c r="AO2690" s="1">
        <v>7541.0</v>
      </c>
      <c r="AP2690" s="1">
        <v>2.889</v>
      </c>
      <c r="AR2690" s="1">
        <v>0.0</v>
      </c>
      <c r="AW2690" s="1">
        <v>0.0</v>
      </c>
      <c r="AX2690" s="1">
        <v>6.0</v>
      </c>
      <c r="AY2690" s="1">
        <v>4.0</v>
      </c>
      <c r="BA2690" s="1">
        <v>0.0</v>
      </c>
      <c r="BB2690" s="1">
        <v>0.0</v>
      </c>
      <c r="BC2690" s="1">
        <v>0.0</v>
      </c>
      <c r="BD2690" s="1">
        <v>0.0</v>
      </c>
      <c r="BE2690" s="1">
        <v>0.0</v>
      </c>
      <c r="BF2690" s="1">
        <v>0.0</v>
      </c>
      <c r="BG2690" s="1">
        <v>0.0</v>
      </c>
      <c r="BH2690" s="1">
        <v>0.0</v>
      </c>
      <c r="BI2690" s="1">
        <v>0.0</v>
      </c>
      <c r="BJ2690" s="1">
        <v>0.0</v>
      </c>
      <c r="BP2690" s="1">
        <v>0.279</v>
      </c>
      <c r="BQ2690" s="1" t="s">
        <v>8345</v>
      </c>
      <c r="BV2690" s="1">
        <v>1.1</v>
      </c>
      <c r="EQ2690" s="9" t="s">
        <v>8344</v>
      </c>
      <c r="ER2690" s="21">
        <v>46045.303252314814</v>
      </c>
    </row>
    <row r="2691">
      <c r="A2691" s="9" t="s">
        <v>8346</v>
      </c>
      <c r="B2691" s="20" t="str">
        <f>IFERROR(__xludf.DUMMYFUNCTION("REGEXREPLACE(A2691, ""^https?://[^/]+"", """")"),"/wp-content/uploads/2017/07/meat-2378342_640-300x190.jpg")</f>
        <v>/wp-content/uploads/2017/07/meat-2378342_640-300x190.jpg</v>
      </c>
      <c r="F2691" s="1" t="s">
        <v>1004</v>
      </c>
      <c r="G2691" s="1">
        <v>200.0</v>
      </c>
      <c r="H2691" s="1" t="s">
        <v>966</v>
      </c>
      <c r="I2691" s="1" t="s">
        <v>967</v>
      </c>
      <c r="L2691" s="1">
        <v>0.0</v>
      </c>
      <c r="M2691" s="1">
        <v>0.0</v>
      </c>
      <c r="O2691" s="1">
        <v>0.0</v>
      </c>
      <c r="P2691" s="1">
        <v>0.0</v>
      </c>
      <c r="R2691" s="1">
        <v>0.0</v>
      </c>
      <c r="S2691" s="1">
        <v>0.0</v>
      </c>
      <c r="U2691" s="1">
        <v>0.0</v>
      </c>
      <c r="W2691" s="1">
        <v>0.0</v>
      </c>
      <c r="Y2691" s="1">
        <v>0.0</v>
      </c>
      <c r="AA2691" s="1">
        <v>0.0</v>
      </c>
      <c r="AC2691" s="1">
        <v>0.0</v>
      </c>
      <c r="AM2691" s="1">
        <v>18429.0</v>
      </c>
      <c r="AN2691" s="1">
        <v>18429.0</v>
      </c>
      <c r="AO2691" s="1">
        <v>18429.0</v>
      </c>
      <c r="AP2691" s="1">
        <v>7.06</v>
      </c>
      <c r="AR2691" s="1">
        <v>0.0</v>
      </c>
      <c r="AW2691" s="1">
        <v>0.0</v>
      </c>
      <c r="AX2691" s="1">
        <v>6.0</v>
      </c>
      <c r="AY2691" s="1">
        <v>4.0</v>
      </c>
      <c r="BA2691" s="1">
        <v>0.0</v>
      </c>
      <c r="BB2691" s="1">
        <v>0.0</v>
      </c>
      <c r="BC2691" s="1">
        <v>0.0</v>
      </c>
      <c r="BD2691" s="1">
        <v>0.0</v>
      </c>
      <c r="BE2691" s="1">
        <v>0.0</v>
      </c>
      <c r="BF2691" s="1">
        <v>0.0</v>
      </c>
      <c r="BG2691" s="1">
        <v>0.0</v>
      </c>
      <c r="BH2691" s="1">
        <v>0.0</v>
      </c>
      <c r="BI2691" s="1">
        <v>0.0</v>
      </c>
      <c r="BJ2691" s="1">
        <v>0.0</v>
      </c>
      <c r="BP2691" s="1">
        <v>0.269</v>
      </c>
      <c r="BQ2691" s="1" t="s">
        <v>8347</v>
      </c>
      <c r="BV2691" s="1">
        <v>1.1</v>
      </c>
      <c r="EQ2691" s="9" t="s">
        <v>8346</v>
      </c>
      <c r="ER2691" s="21">
        <v>46045.303252314814</v>
      </c>
    </row>
    <row r="2692">
      <c r="A2692" s="9" t="s">
        <v>8348</v>
      </c>
      <c r="B2692" s="20" t="str">
        <f>IFERROR(__xludf.DUMMYFUNCTION("REGEXREPLACE(A2692, ""^https?://[^/]+"", """")"),"/wp-content/uploads/2019/11/marketing-thumb-768x438.jpg")</f>
        <v>/wp-content/uploads/2019/11/marketing-thumb-768x438.jpg</v>
      </c>
      <c r="F2692" s="1" t="s">
        <v>1004</v>
      </c>
      <c r="G2692" s="1">
        <v>200.0</v>
      </c>
      <c r="H2692" s="1" t="s">
        <v>966</v>
      </c>
      <c r="I2692" s="1" t="s">
        <v>967</v>
      </c>
      <c r="L2692" s="1">
        <v>0.0</v>
      </c>
      <c r="M2692" s="1">
        <v>0.0</v>
      </c>
      <c r="O2692" s="1">
        <v>0.0</v>
      </c>
      <c r="P2692" s="1">
        <v>0.0</v>
      </c>
      <c r="R2692" s="1">
        <v>0.0</v>
      </c>
      <c r="S2692" s="1">
        <v>0.0</v>
      </c>
      <c r="U2692" s="1">
        <v>0.0</v>
      </c>
      <c r="W2692" s="1">
        <v>0.0</v>
      </c>
      <c r="Y2692" s="1">
        <v>0.0</v>
      </c>
      <c r="AA2692" s="1">
        <v>0.0</v>
      </c>
      <c r="AC2692" s="1">
        <v>0.0</v>
      </c>
      <c r="AM2692" s="1">
        <v>70284.0</v>
      </c>
      <c r="AN2692" s="1">
        <v>70284.0</v>
      </c>
      <c r="AO2692" s="1">
        <v>70284.0</v>
      </c>
      <c r="AP2692" s="1">
        <v>26.924</v>
      </c>
      <c r="AR2692" s="1">
        <v>0.0</v>
      </c>
      <c r="AW2692" s="1">
        <v>0.0</v>
      </c>
      <c r="AX2692" s="1">
        <v>6.0</v>
      </c>
      <c r="AY2692" s="1">
        <v>4.0</v>
      </c>
      <c r="BA2692" s="1">
        <v>0.0</v>
      </c>
      <c r="BB2692" s="1">
        <v>0.0</v>
      </c>
      <c r="BC2692" s="1">
        <v>0.0</v>
      </c>
      <c r="BD2692" s="1">
        <v>0.0</v>
      </c>
      <c r="BE2692" s="1">
        <v>0.0</v>
      </c>
      <c r="BF2692" s="1">
        <v>0.0</v>
      </c>
      <c r="BG2692" s="1">
        <v>0.0</v>
      </c>
      <c r="BH2692" s="1">
        <v>0.0</v>
      </c>
      <c r="BI2692" s="1">
        <v>0.0</v>
      </c>
      <c r="BJ2692" s="1">
        <v>0.0</v>
      </c>
      <c r="BP2692" s="1">
        <v>0.274</v>
      </c>
      <c r="BQ2692" s="1" t="s">
        <v>8349</v>
      </c>
      <c r="BV2692" s="1">
        <v>1.1</v>
      </c>
      <c r="EQ2692" s="9" t="s">
        <v>8348</v>
      </c>
      <c r="ER2692" s="21">
        <v>46045.303252314814</v>
      </c>
    </row>
    <row r="2693">
      <c r="A2693" s="9" t="s">
        <v>8350</v>
      </c>
      <c r="B2693" s="20" t="str">
        <f>IFERROR(__xludf.DUMMYFUNCTION("REGEXREPLACE(A2693, ""^https?://[^/]+"", """")"),"/wp-content/uploads/2015/07/Brothers-RS-72-dpi-560-x-225.jpg")</f>
        <v>/wp-content/uploads/2015/07/Brothers-RS-72-dpi-560-x-225.jpg</v>
      </c>
      <c r="F2693" s="1" t="s">
        <v>1004</v>
      </c>
      <c r="G2693" s="1">
        <v>200.0</v>
      </c>
      <c r="H2693" s="1" t="s">
        <v>966</v>
      </c>
      <c r="I2693" s="1" t="s">
        <v>967</v>
      </c>
      <c r="L2693" s="1">
        <v>0.0</v>
      </c>
      <c r="M2693" s="1">
        <v>0.0</v>
      </c>
      <c r="O2693" s="1">
        <v>0.0</v>
      </c>
      <c r="P2693" s="1">
        <v>0.0</v>
      </c>
      <c r="R2693" s="1">
        <v>0.0</v>
      </c>
      <c r="S2693" s="1">
        <v>0.0</v>
      </c>
      <c r="U2693" s="1">
        <v>0.0</v>
      </c>
      <c r="W2693" s="1">
        <v>0.0</v>
      </c>
      <c r="Y2693" s="1">
        <v>0.0</v>
      </c>
      <c r="AA2693" s="1">
        <v>0.0</v>
      </c>
      <c r="AC2693" s="1">
        <v>0.0</v>
      </c>
      <c r="AM2693" s="1">
        <v>21529.0</v>
      </c>
      <c r="AN2693" s="1">
        <v>21529.0</v>
      </c>
      <c r="AO2693" s="1">
        <v>21529.0</v>
      </c>
      <c r="AP2693" s="1">
        <v>8.247</v>
      </c>
      <c r="AR2693" s="1">
        <v>0.0</v>
      </c>
      <c r="AW2693" s="1">
        <v>0.0</v>
      </c>
      <c r="AX2693" s="1">
        <v>6.0</v>
      </c>
      <c r="AY2693" s="1">
        <v>4.0</v>
      </c>
      <c r="BA2693" s="1">
        <v>0.0</v>
      </c>
      <c r="BB2693" s="1">
        <v>0.0</v>
      </c>
      <c r="BC2693" s="1">
        <v>0.0</v>
      </c>
      <c r="BD2693" s="1">
        <v>0.0</v>
      </c>
      <c r="BE2693" s="1">
        <v>0.0</v>
      </c>
      <c r="BF2693" s="1">
        <v>0.0</v>
      </c>
      <c r="BG2693" s="1">
        <v>0.0</v>
      </c>
      <c r="BH2693" s="1">
        <v>0.0</v>
      </c>
      <c r="BI2693" s="1">
        <v>0.0</v>
      </c>
      <c r="BJ2693" s="1">
        <v>0.0</v>
      </c>
      <c r="BP2693" s="1">
        <v>0.263</v>
      </c>
      <c r="BQ2693" s="1" t="s">
        <v>8351</v>
      </c>
      <c r="BV2693" s="1">
        <v>1.1</v>
      </c>
      <c r="EQ2693" s="9" t="s">
        <v>8350</v>
      </c>
      <c r="ER2693" s="21">
        <v>46045.303252314814</v>
      </c>
    </row>
    <row r="2694">
      <c r="A2694" s="9" t="s">
        <v>8352</v>
      </c>
      <c r="B2694" s="20" t="str">
        <f>IFERROR(__xludf.DUMMYFUNCTION("REGEXREPLACE(A2694, ""^https?://[^/]+"", """")"),"/wp-content/themes/salesxceleratione/assets/css/style.css?ver=1769123702")</f>
        <v>/wp-content/themes/salesxceleratione/assets/css/style.css?ver=1769123702</v>
      </c>
      <c r="F2694" s="1" t="s">
        <v>1016</v>
      </c>
      <c r="G2694" s="1">
        <v>200.0</v>
      </c>
      <c r="H2694" s="1" t="s">
        <v>966</v>
      </c>
      <c r="I2694" s="1" t="s">
        <v>967</v>
      </c>
      <c r="L2694" s="1">
        <v>0.0</v>
      </c>
      <c r="M2694" s="1">
        <v>0.0</v>
      </c>
      <c r="O2694" s="1">
        <v>0.0</v>
      </c>
      <c r="P2694" s="1">
        <v>0.0</v>
      </c>
      <c r="R2694" s="1">
        <v>0.0</v>
      </c>
      <c r="S2694" s="1">
        <v>0.0</v>
      </c>
      <c r="U2694" s="1">
        <v>0.0</v>
      </c>
      <c r="W2694" s="1">
        <v>0.0</v>
      </c>
      <c r="Y2694" s="1">
        <v>0.0</v>
      </c>
      <c r="AA2694" s="1">
        <v>0.0</v>
      </c>
      <c r="AC2694" s="1">
        <v>0.0</v>
      </c>
      <c r="AM2694" s="1">
        <v>0.0</v>
      </c>
      <c r="AN2694" s="1">
        <v>0.0</v>
      </c>
      <c r="AO2694" s="1">
        <v>0.0</v>
      </c>
      <c r="AP2694" s="1">
        <v>0.0</v>
      </c>
      <c r="AR2694" s="1">
        <v>0.0</v>
      </c>
      <c r="AW2694" s="1">
        <v>0.0</v>
      </c>
      <c r="AX2694" s="1">
        <v>6.0</v>
      </c>
      <c r="AY2694" s="1">
        <v>5.0</v>
      </c>
      <c r="BA2694" s="1">
        <v>0.0</v>
      </c>
      <c r="BB2694" s="1">
        <v>0.0</v>
      </c>
      <c r="BC2694" s="1">
        <v>0.0</v>
      </c>
      <c r="BD2694" s="1">
        <v>0.0</v>
      </c>
      <c r="BE2694" s="1">
        <v>0.0</v>
      </c>
      <c r="BF2694" s="1">
        <v>0.0</v>
      </c>
      <c r="BG2694" s="1">
        <v>0.0</v>
      </c>
      <c r="BH2694" s="1">
        <v>0.0</v>
      </c>
      <c r="BI2694" s="1">
        <v>0.0</v>
      </c>
      <c r="BJ2694" s="1">
        <v>0.0</v>
      </c>
      <c r="BP2694" s="1">
        <v>0.263</v>
      </c>
      <c r="BQ2694" s="1" t="s">
        <v>8353</v>
      </c>
      <c r="BV2694" s="1">
        <v>1.1</v>
      </c>
      <c r="EQ2694" s="9" t="s">
        <v>8352</v>
      </c>
      <c r="ER2694" s="21">
        <v>46045.303252314814</v>
      </c>
    </row>
    <row r="2695">
      <c r="A2695" s="9" t="s">
        <v>8354</v>
      </c>
      <c r="B2695" s="20" t="str">
        <f>IFERROR(__xludf.DUMMYFUNCTION("REGEXREPLACE(A2695, ""^https?://[^/]+"", """")"),"/wp-content/uploads/2020/02/certified-sales-professional.jpg")</f>
        <v>/wp-content/uploads/2020/02/certified-sales-professional.jpg</v>
      </c>
      <c r="F2695" s="1" t="s">
        <v>1004</v>
      </c>
      <c r="G2695" s="1">
        <v>200.0</v>
      </c>
      <c r="H2695" s="1" t="s">
        <v>966</v>
      </c>
      <c r="I2695" s="1" t="s">
        <v>967</v>
      </c>
      <c r="L2695" s="1">
        <v>0.0</v>
      </c>
      <c r="M2695" s="1">
        <v>0.0</v>
      </c>
      <c r="O2695" s="1">
        <v>0.0</v>
      </c>
      <c r="P2695" s="1">
        <v>0.0</v>
      </c>
      <c r="R2695" s="1">
        <v>0.0</v>
      </c>
      <c r="S2695" s="1">
        <v>0.0</v>
      </c>
      <c r="U2695" s="1">
        <v>0.0</v>
      </c>
      <c r="W2695" s="1">
        <v>0.0</v>
      </c>
      <c r="Y2695" s="1">
        <v>0.0</v>
      </c>
      <c r="AA2695" s="1">
        <v>0.0</v>
      </c>
      <c r="AC2695" s="1">
        <v>0.0</v>
      </c>
      <c r="AM2695" s="1">
        <v>121019.0</v>
      </c>
      <c r="AN2695" s="1">
        <v>121019.0</v>
      </c>
      <c r="AO2695" s="1">
        <v>121019.0</v>
      </c>
      <c r="AP2695" s="1">
        <v>46.36</v>
      </c>
      <c r="AR2695" s="1">
        <v>0.0</v>
      </c>
      <c r="AW2695" s="1">
        <v>0.0</v>
      </c>
      <c r="AX2695" s="1">
        <v>6.0</v>
      </c>
      <c r="AY2695" s="1">
        <v>4.0</v>
      </c>
      <c r="BA2695" s="1">
        <v>0.0</v>
      </c>
      <c r="BB2695" s="1">
        <v>0.0</v>
      </c>
      <c r="BC2695" s="1">
        <v>0.0</v>
      </c>
      <c r="BD2695" s="1">
        <v>0.0</v>
      </c>
      <c r="BE2695" s="1">
        <v>0.0</v>
      </c>
      <c r="BF2695" s="1">
        <v>0.0</v>
      </c>
      <c r="BG2695" s="1">
        <v>0.0</v>
      </c>
      <c r="BH2695" s="1">
        <v>0.0</v>
      </c>
      <c r="BI2695" s="1">
        <v>0.0</v>
      </c>
      <c r="BJ2695" s="1">
        <v>0.0</v>
      </c>
      <c r="BP2695" s="1">
        <v>0.277</v>
      </c>
      <c r="BQ2695" s="1" t="s">
        <v>8355</v>
      </c>
      <c r="BV2695" s="1">
        <v>1.1</v>
      </c>
      <c r="EQ2695" s="9" t="s">
        <v>8354</v>
      </c>
      <c r="ER2695" s="21">
        <v>46045.303252314814</v>
      </c>
    </row>
    <row r="2696">
      <c r="A2696" s="9" t="s">
        <v>8356</v>
      </c>
      <c r="B2696" s="20" t="str">
        <f>IFERROR(__xludf.DUMMYFUNCTION("REGEXREPLACE(A2696, ""^https?://[^/]+"", """")"),"/wp-content/uploads/2015/07/Mentoring.jpg")</f>
        <v>/wp-content/uploads/2015/07/Mentoring.jpg</v>
      </c>
      <c r="F2696" s="1" t="s">
        <v>1004</v>
      </c>
      <c r="G2696" s="1">
        <v>200.0</v>
      </c>
      <c r="H2696" s="1" t="s">
        <v>966</v>
      </c>
      <c r="I2696" s="1" t="s">
        <v>967</v>
      </c>
      <c r="L2696" s="1">
        <v>0.0</v>
      </c>
      <c r="M2696" s="1">
        <v>0.0</v>
      </c>
      <c r="O2696" s="1">
        <v>0.0</v>
      </c>
      <c r="P2696" s="1">
        <v>0.0</v>
      </c>
      <c r="R2696" s="1">
        <v>0.0</v>
      </c>
      <c r="S2696" s="1">
        <v>0.0</v>
      </c>
      <c r="U2696" s="1">
        <v>0.0</v>
      </c>
      <c r="W2696" s="1">
        <v>0.0</v>
      </c>
      <c r="Y2696" s="1">
        <v>0.0</v>
      </c>
      <c r="AA2696" s="1">
        <v>0.0</v>
      </c>
      <c r="AC2696" s="1">
        <v>0.0</v>
      </c>
      <c r="AM2696" s="1">
        <v>40616.0</v>
      </c>
      <c r="AN2696" s="1">
        <v>40616.0</v>
      </c>
      <c r="AO2696" s="1">
        <v>40616.0</v>
      </c>
      <c r="AP2696" s="1">
        <v>15.559</v>
      </c>
      <c r="AR2696" s="1">
        <v>0.0</v>
      </c>
      <c r="AW2696" s="1">
        <v>0.0</v>
      </c>
      <c r="AX2696" s="1">
        <v>6.0</v>
      </c>
      <c r="AY2696" s="1">
        <v>4.0</v>
      </c>
      <c r="BA2696" s="1">
        <v>0.0</v>
      </c>
      <c r="BB2696" s="1">
        <v>0.0</v>
      </c>
      <c r="BC2696" s="1">
        <v>0.0</v>
      </c>
      <c r="BD2696" s="1">
        <v>0.0</v>
      </c>
      <c r="BE2696" s="1">
        <v>0.0</v>
      </c>
      <c r="BF2696" s="1">
        <v>0.0</v>
      </c>
      <c r="BG2696" s="1">
        <v>0.0</v>
      </c>
      <c r="BH2696" s="1">
        <v>0.0</v>
      </c>
      <c r="BI2696" s="1">
        <v>0.0</v>
      </c>
      <c r="BJ2696" s="1">
        <v>0.0</v>
      </c>
      <c r="BP2696" s="1">
        <v>0.268</v>
      </c>
      <c r="BQ2696" s="1" t="s">
        <v>8357</v>
      </c>
      <c r="BV2696" s="1">
        <v>1.1</v>
      </c>
      <c r="EQ2696" s="9" t="s">
        <v>8356</v>
      </c>
      <c r="ER2696" s="21">
        <v>46045.303252314814</v>
      </c>
    </row>
    <row r="2697">
      <c r="A2697" s="9" t="s">
        <v>8358</v>
      </c>
      <c r="B2697" s="20" t="str">
        <f>IFERROR(__xludf.DUMMYFUNCTION("REGEXREPLACE(A2697, ""^https?://[^/]+"", """")"),"/wp-content/themes/salesxceleratione/assets/css/style.css?ver=1769123701")</f>
        <v>/wp-content/themes/salesxceleratione/assets/css/style.css?ver=1769123701</v>
      </c>
      <c r="F2697" s="1" t="s">
        <v>1016</v>
      </c>
      <c r="G2697" s="1">
        <v>200.0</v>
      </c>
      <c r="H2697" s="1" t="s">
        <v>966</v>
      </c>
      <c r="I2697" s="1" t="s">
        <v>967</v>
      </c>
      <c r="L2697" s="1">
        <v>0.0</v>
      </c>
      <c r="M2697" s="1">
        <v>0.0</v>
      </c>
      <c r="O2697" s="1">
        <v>0.0</v>
      </c>
      <c r="P2697" s="1">
        <v>0.0</v>
      </c>
      <c r="R2697" s="1">
        <v>0.0</v>
      </c>
      <c r="S2697" s="1">
        <v>0.0</v>
      </c>
      <c r="U2697" s="1">
        <v>0.0</v>
      </c>
      <c r="W2697" s="1">
        <v>0.0</v>
      </c>
      <c r="Y2697" s="1">
        <v>0.0</v>
      </c>
      <c r="AA2697" s="1">
        <v>0.0</v>
      </c>
      <c r="AC2697" s="1">
        <v>0.0</v>
      </c>
      <c r="AM2697" s="1">
        <v>17704.0</v>
      </c>
      <c r="AN2697" s="1">
        <v>17704.0</v>
      </c>
      <c r="AO2697" s="1">
        <v>17704.0</v>
      </c>
      <c r="AP2697" s="1">
        <v>6.782</v>
      </c>
      <c r="AR2697" s="1">
        <v>0.0</v>
      </c>
      <c r="AW2697" s="1">
        <v>0.0</v>
      </c>
      <c r="AX2697" s="1">
        <v>6.0</v>
      </c>
      <c r="AY2697" s="1">
        <v>5.0</v>
      </c>
      <c r="BA2697" s="1">
        <v>0.0</v>
      </c>
      <c r="BB2697" s="1">
        <v>0.0</v>
      </c>
      <c r="BC2697" s="1">
        <v>0.0</v>
      </c>
      <c r="BD2697" s="1">
        <v>0.0</v>
      </c>
      <c r="BE2697" s="1">
        <v>0.0</v>
      </c>
      <c r="BF2697" s="1">
        <v>0.0</v>
      </c>
      <c r="BG2697" s="1">
        <v>0.0</v>
      </c>
      <c r="BH2697" s="1">
        <v>0.0</v>
      </c>
      <c r="BI2697" s="1">
        <v>0.0</v>
      </c>
      <c r="BJ2697" s="1">
        <v>0.0</v>
      </c>
      <c r="BP2697" s="1">
        <v>0.26</v>
      </c>
      <c r="BQ2697" s="1" t="s">
        <v>8359</v>
      </c>
      <c r="BV2697" s="1">
        <v>1.1</v>
      </c>
      <c r="EQ2697" s="9" t="s">
        <v>8358</v>
      </c>
      <c r="ER2697" s="21">
        <v>46045.30326388889</v>
      </c>
    </row>
    <row r="2698">
      <c r="A2698" s="9" t="s">
        <v>8360</v>
      </c>
      <c r="B2698" s="20" t="str">
        <f>IFERROR(__xludf.DUMMYFUNCTION("REGEXREPLACE(A2698, ""^https?://[^/]+"", """")"),"/wp-content/uploads/2021/04/Case-Study_Manufacturing_SX_041221-1-768x440.jpg")</f>
        <v>/wp-content/uploads/2021/04/Case-Study_Manufacturing_SX_041221-1-768x440.jpg</v>
      </c>
      <c r="F2698" s="1" t="s">
        <v>1004</v>
      </c>
      <c r="G2698" s="1">
        <v>200.0</v>
      </c>
      <c r="H2698" s="1" t="s">
        <v>966</v>
      </c>
      <c r="I2698" s="1" t="s">
        <v>967</v>
      </c>
      <c r="L2698" s="1">
        <v>0.0</v>
      </c>
      <c r="M2698" s="1">
        <v>0.0</v>
      </c>
      <c r="O2698" s="1">
        <v>0.0</v>
      </c>
      <c r="P2698" s="1">
        <v>0.0</v>
      </c>
      <c r="R2698" s="1">
        <v>0.0</v>
      </c>
      <c r="S2698" s="1">
        <v>0.0</v>
      </c>
      <c r="U2698" s="1">
        <v>0.0</v>
      </c>
      <c r="W2698" s="1">
        <v>0.0</v>
      </c>
      <c r="Y2698" s="1">
        <v>0.0</v>
      </c>
      <c r="AA2698" s="1">
        <v>0.0</v>
      </c>
      <c r="AC2698" s="1">
        <v>0.0</v>
      </c>
      <c r="AM2698" s="1">
        <v>41713.0</v>
      </c>
      <c r="AN2698" s="1">
        <v>41713.0</v>
      </c>
      <c r="AO2698" s="1">
        <v>41713.0</v>
      </c>
      <c r="AP2698" s="1">
        <v>15.979</v>
      </c>
      <c r="AR2698" s="1">
        <v>0.0</v>
      </c>
      <c r="AW2698" s="1">
        <v>0.0</v>
      </c>
      <c r="AX2698" s="1">
        <v>6.0</v>
      </c>
      <c r="AY2698" s="1">
        <v>4.0</v>
      </c>
      <c r="BA2698" s="1">
        <v>0.0</v>
      </c>
      <c r="BB2698" s="1">
        <v>0.0</v>
      </c>
      <c r="BC2698" s="1">
        <v>0.0</v>
      </c>
      <c r="BD2698" s="1">
        <v>0.0</v>
      </c>
      <c r="BE2698" s="1">
        <v>0.0</v>
      </c>
      <c r="BF2698" s="1">
        <v>0.0</v>
      </c>
      <c r="BG2698" s="1">
        <v>0.0</v>
      </c>
      <c r="BH2698" s="1">
        <v>0.0</v>
      </c>
      <c r="BI2698" s="1">
        <v>0.0</v>
      </c>
      <c r="BJ2698" s="1">
        <v>0.0</v>
      </c>
      <c r="BP2698" s="1">
        <v>0.346</v>
      </c>
      <c r="BQ2698" s="1" t="s">
        <v>3556</v>
      </c>
      <c r="BV2698" s="1">
        <v>1.1</v>
      </c>
      <c r="EQ2698" s="9" t="s">
        <v>8360</v>
      </c>
      <c r="ER2698" s="21">
        <v>46045.30326388889</v>
      </c>
    </row>
    <row r="2699">
      <c r="A2699" s="9" t="s">
        <v>8361</v>
      </c>
      <c r="B2699" s="20" t="str">
        <f>IFERROR(__xludf.DUMMYFUNCTION("REGEXREPLACE(A2699, ""^https?://[^/]+"", """")"),"/wp-content/themes/salesxceleratione/assets/css/style.css?ver=1769123700")</f>
        <v>/wp-content/themes/salesxceleratione/assets/css/style.css?ver=1769123700</v>
      </c>
      <c r="F2699" s="1" t="s">
        <v>1016</v>
      </c>
      <c r="G2699" s="1">
        <v>200.0</v>
      </c>
      <c r="H2699" s="1" t="s">
        <v>966</v>
      </c>
      <c r="I2699" s="1" t="s">
        <v>967</v>
      </c>
      <c r="L2699" s="1">
        <v>0.0</v>
      </c>
      <c r="M2699" s="1">
        <v>0.0</v>
      </c>
      <c r="O2699" s="1">
        <v>0.0</v>
      </c>
      <c r="P2699" s="1">
        <v>0.0</v>
      </c>
      <c r="R2699" s="1">
        <v>0.0</v>
      </c>
      <c r="S2699" s="1">
        <v>0.0</v>
      </c>
      <c r="U2699" s="1">
        <v>0.0</v>
      </c>
      <c r="W2699" s="1">
        <v>0.0</v>
      </c>
      <c r="Y2699" s="1">
        <v>0.0</v>
      </c>
      <c r="AA2699" s="1">
        <v>0.0</v>
      </c>
      <c r="AC2699" s="1">
        <v>0.0</v>
      </c>
      <c r="AM2699" s="1">
        <v>17704.0</v>
      </c>
      <c r="AN2699" s="1">
        <v>17704.0</v>
      </c>
      <c r="AO2699" s="1">
        <v>17704.0</v>
      </c>
      <c r="AP2699" s="1">
        <v>6.782</v>
      </c>
      <c r="AR2699" s="1">
        <v>0.0</v>
      </c>
      <c r="AW2699" s="1">
        <v>0.0</v>
      </c>
      <c r="AX2699" s="1">
        <v>6.0</v>
      </c>
      <c r="AY2699" s="1">
        <v>5.0</v>
      </c>
      <c r="BA2699" s="1">
        <v>0.0</v>
      </c>
      <c r="BB2699" s="1">
        <v>0.0</v>
      </c>
      <c r="BC2699" s="1">
        <v>0.0</v>
      </c>
      <c r="BD2699" s="1">
        <v>0.0</v>
      </c>
      <c r="BE2699" s="1">
        <v>0.0</v>
      </c>
      <c r="BF2699" s="1">
        <v>0.0</v>
      </c>
      <c r="BG2699" s="1">
        <v>0.0</v>
      </c>
      <c r="BH2699" s="1">
        <v>0.0</v>
      </c>
      <c r="BI2699" s="1">
        <v>0.0</v>
      </c>
      <c r="BJ2699" s="1">
        <v>0.0</v>
      </c>
      <c r="BP2699" s="1">
        <v>0.313</v>
      </c>
      <c r="BQ2699" s="1" t="s">
        <v>7316</v>
      </c>
      <c r="BV2699" s="1">
        <v>1.1</v>
      </c>
      <c r="EQ2699" s="9" t="s">
        <v>8361</v>
      </c>
      <c r="ER2699" s="21">
        <v>46045.30326388889</v>
      </c>
    </row>
    <row r="2700">
      <c r="A2700" s="9" t="s">
        <v>8362</v>
      </c>
      <c r="B2700" s="20" t="str">
        <f>IFERROR(__xludf.DUMMYFUNCTION("REGEXREPLACE(A2700, ""^https?://[^/]+"", """")"),"/why-branding-important/")</f>
        <v>/why-branding-important/</v>
      </c>
      <c r="C2700" s="1" t="s">
        <v>8363</v>
      </c>
      <c r="F2700" s="1" t="s">
        <v>965</v>
      </c>
      <c r="G2700" s="1">
        <v>200.0</v>
      </c>
      <c r="H2700" s="1" t="s">
        <v>966</v>
      </c>
      <c r="I2700" s="1" t="s">
        <v>967</v>
      </c>
      <c r="K2700" s="1" t="s">
        <v>8364</v>
      </c>
      <c r="L2700" s="1">
        <v>80.0</v>
      </c>
      <c r="M2700" s="1">
        <v>723.0</v>
      </c>
      <c r="O2700" s="1">
        <v>0.0</v>
      </c>
      <c r="P2700" s="1">
        <v>0.0</v>
      </c>
      <c r="Q2700" s="1" t="s">
        <v>8365</v>
      </c>
      <c r="R2700" s="1">
        <v>145.0</v>
      </c>
      <c r="S2700" s="1">
        <v>914.0</v>
      </c>
      <c r="U2700" s="1">
        <v>0.0</v>
      </c>
      <c r="V2700" s="1" t="s">
        <v>8363</v>
      </c>
      <c r="W2700" s="1">
        <v>55.0</v>
      </c>
      <c r="Y2700" s="1">
        <v>0.0</v>
      </c>
      <c r="AA2700" s="1">
        <v>0.0</v>
      </c>
      <c r="AC2700" s="1">
        <v>0.0</v>
      </c>
      <c r="AD2700" s="1" t="s">
        <v>971</v>
      </c>
      <c r="AG2700" s="9" t="s">
        <v>8362</v>
      </c>
      <c r="AM2700" s="1">
        <v>198610.0</v>
      </c>
      <c r="AN2700" s="1">
        <v>35353.0</v>
      </c>
      <c r="AO2700" s="1">
        <v>35353.0</v>
      </c>
      <c r="AP2700" s="1">
        <v>13.543</v>
      </c>
      <c r="AR2700" s="1">
        <v>1172.0</v>
      </c>
      <c r="AS2700" s="1">
        <v>181.0</v>
      </c>
      <c r="AT2700" s="1">
        <v>6.475</v>
      </c>
      <c r="AU2700" s="1">
        <v>72.208</v>
      </c>
      <c r="AV2700" s="1" t="s">
        <v>1264</v>
      </c>
      <c r="AW2700" s="1">
        <v>4.699</v>
      </c>
      <c r="AX2700" s="1">
        <v>6.0</v>
      </c>
      <c r="AY2700" s="1">
        <v>1.0</v>
      </c>
      <c r="AZ2700" s="1">
        <v>1.0</v>
      </c>
      <c r="BA2700" s="1">
        <v>3.0</v>
      </c>
      <c r="BB2700" s="1">
        <v>1.0</v>
      </c>
      <c r="BC2700" s="1">
        <v>0.0</v>
      </c>
      <c r="BD2700" s="1">
        <v>0.13</v>
      </c>
      <c r="BE2700" s="1">
        <v>132.0</v>
      </c>
      <c r="BF2700" s="1">
        <v>49.0</v>
      </c>
      <c r="BG2700" s="1">
        <v>0.0</v>
      </c>
      <c r="BH2700" s="1">
        <v>16.0</v>
      </c>
      <c r="BI2700" s="1">
        <v>8.0</v>
      </c>
      <c r="BJ2700" s="1">
        <v>0.0</v>
      </c>
      <c r="BO2700" s="1" t="s">
        <v>8366</v>
      </c>
      <c r="BP2700" s="1">
        <v>1.073</v>
      </c>
      <c r="BU2700" s="1" t="s">
        <v>974</v>
      </c>
      <c r="BV2700" s="1">
        <v>1.1</v>
      </c>
      <c r="EQ2700" s="9" t="s">
        <v>8362</v>
      </c>
      <c r="ER2700" s="21">
        <v>46045.30324074074</v>
      </c>
    </row>
    <row r="2701">
      <c r="A2701" s="9" t="s">
        <v>8367</v>
      </c>
      <c r="B2701" s="20" t="str">
        <f>IFERROR(__xludf.DUMMYFUNCTION("REGEXREPLACE(A2701, ""^https?://[^/]+"", """")"),"/what-is-in-your-sales-backpack/")</f>
        <v>/what-is-in-your-sales-backpack/</v>
      </c>
      <c r="C2701" s="1" t="s">
        <v>8368</v>
      </c>
      <c r="F2701" s="1" t="s">
        <v>965</v>
      </c>
      <c r="G2701" s="1">
        <v>200.0</v>
      </c>
      <c r="H2701" s="1" t="s">
        <v>966</v>
      </c>
      <c r="I2701" s="1" t="s">
        <v>967</v>
      </c>
      <c r="K2701" s="1" t="s">
        <v>8369</v>
      </c>
      <c r="L2701" s="1">
        <v>56.0</v>
      </c>
      <c r="M2701" s="1">
        <v>502.0</v>
      </c>
      <c r="O2701" s="1">
        <v>0.0</v>
      </c>
      <c r="P2701" s="1">
        <v>0.0</v>
      </c>
      <c r="Q2701" s="1" t="s">
        <v>8370</v>
      </c>
      <c r="R2701" s="1">
        <v>147.0</v>
      </c>
      <c r="S2701" s="1">
        <v>915.0</v>
      </c>
      <c r="U2701" s="1">
        <v>0.0</v>
      </c>
      <c r="V2701" s="1" t="s">
        <v>8368</v>
      </c>
      <c r="W2701" s="1">
        <v>31.0</v>
      </c>
      <c r="Y2701" s="1">
        <v>0.0</v>
      </c>
      <c r="AA2701" s="1">
        <v>0.0</v>
      </c>
      <c r="AC2701" s="1">
        <v>0.0</v>
      </c>
      <c r="AD2701" s="1" t="s">
        <v>971</v>
      </c>
      <c r="AG2701" s="9" t="s">
        <v>8367</v>
      </c>
      <c r="AM2701" s="1">
        <v>200707.0</v>
      </c>
      <c r="AN2701" s="1">
        <v>35381.0</v>
      </c>
      <c r="AO2701" s="1">
        <v>35381.0</v>
      </c>
      <c r="AP2701" s="1">
        <v>13.554</v>
      </c>
      <c r="AR2701" s="1">
        <v>1053.0</v>
      </c>
      <c r="AS2701" s="1">
        <v>158.0</v>
      </c>
      <c r="AT2701" s="1">
        <v>6.665</v>
      </c>
      <c r="AU2701" s="1">
        <v>72.166</v>
      </c>
      <c r="AV2701" s="1" t="s">
        <v>1264</v>
      </c>
      <c r="AW2701" s="1">
        <v>4.295</v>
      </c>
      <c r="AX2701" s="1">
        <v>6.0</v>
      </c>
      <c r="AY2701" s="1">
        <v>1.0</v>
      </c>
      <c r="AZ2701" s="1">
        <v>1.0</v>
      </c>
      <c r="BA2701" s="1">
        <v>3.0</v>
      </c>
      <c r="BB2701" s="1">
        <v>1.0</v>
      </c>
      <c r="BC2701" s="1">
        <v>0.0</v>
      </c>
      <c r="BD2701" s="1">
        <v>0.13</v>
      </c>
      <c r="BE2701" s="1">
        <v>131.0</v>
      </c>
      <c r="BF2701" s="1">
        <v>49.0</v>
      </c>
      <c r="BG2701" s="1">
        <v>0.0</v>
      </c>
      <c r="BH2701" s="1">
        <v>16.0</v>
      </c>
      <c r="BI2701" s="1">
        <v>8.0</v>
      </c>
      <c r="BJ2701" s="1">
        <v>0.0</v>
      </c>
      <c r="BO2701" s="1" t="s">
        <v>8371</v>
      </c>
      <c r="BP2701" s="1">
        <v>1.115</v>
      </c>
      <c r="BU2701" s="1" t="s">
        <v>974</v>
      </c>
      <c r="BV2701" s="1">
        <v>1.1</v>
      </c>
      <c r="EQ2701" s="9" t="s">
        <v>8367</v>
      </c>
      <c r="ER2701" s="21">
        <v>46045.303252314814</v>
      </c>
    </row>
    <row r="2702">
      <c r="A2702" s="9" t="s">
        <v>8372</v>
      </c>
      <c r="B2702" s="20" t="str">
        <f>IFERROR(__xludf.DUMMYFUNCTION("REGEXREPLACE(A2702, ""^https?://[^/]+"", """")"),"/wp-content/uploads/2023/07/Meeting-with-sales-team.jpg")</f>
        <v>/wp-content/uploads/2023/07/Meeting-with-sales-team.jpg</v>
      </c>
      <c r="F2702" s="1" t="s">
        <v>1004</v>
      </c>
      <c r="G2702" s="1">
        <v>200.0</v>
      </c>
      <c r="H2702" s="1" t="s">
        <v>966</v>
      </c>
      <c r="I2702" s="1" t="s">
        <v>967</v>
      </c>
      <c r="L2702" s="1">
        <v>0.0</v>
      </c>
      <c r="M2702" s="1">
        <v>0.0</v>
      </c>
      <c r="O2702" s="1">
        <v>0.0</v>
      </c>
      <c r="P2702" s="1">
        <v>0.0</v>
      </c>
      <c r="R2702" s="1">
        <v>0.0</v>
      </c>
      <c r="S2702" s="1">
        <v>0.0</v>
      </c>
      <c r="U2702" s="1">
        <v>0.0</v>
      </c>
      <c r="W2702" s="1">
        <v>0.0</v>
      </c>
      <c r="Y2702" s="1">
        <v>0.0</v>
      </c>
      <c r="AA2702" s="1">
        <v>0.0</v>
      </c>
      <c r="AC2702" s="1">
        <v>0.0</v>
      </c>
      <c r="AM2702" s="1">
        <v>256524.0</v>
      </c>
      <c r="AN2702" s="1">
        <v>256524.0</v>
      </c>
      <c r="AO2702" s="1">
        <v>256524.0</v>
      </c>
      <c r="AP2702" s="1">
        <v>98.269</v>
      </c>
      <c r="AR2702" s="1">
        <v>0.0</v>
      </c>
      <c r="AW2702" s="1">
        <v>0.0</v>
      </c>
      <c r="AX2702" s="1">
        <v>6.0</v>
      </c>
      <c r="AY2702" s="1">
        <v>4.0</v>
      </c>
      <c r="BA2702" s="1">
        <v>0.0</v>
      </c>
      <c r="BB2702" s="1">
        <v>0.0</v>
      </c>
      <c r="BC2702" s="1">
        <v>0.0</v>
      </c>
      <c r="BD2702" s="1">
        <v>0.0</v>
      </c>
      <c r="BE2702" s="1">
        <v>0.0</v>
      </c>
      <c r="BF2702" s="1">
        <v>0.0</v>
      </c>
      <c r="BG2702" s="1">
        <v>0.0</v>
      </c>
      <c r="BH2702" s="1">
        <v>0.0</v>
      </c>
      <c r="BI2702" s="1">
        <v>0.0</v>
      </c>
      <c r="BJ2702" s="1">
        <v>0.0</v>
      </c>
      <c r="BP2702" s="1">
        <v>0.284</v>
      </c>
      <c r="BQ2702" s="1" t="s">
        <v>8373</v>
      </c>
      <c r="BV2702" s="1">
        <v>1.1</v>
      </c>
      <c r="EQ2702" s="9" t="s">
        <v>8372</v>
      </c>
      <c r="ER2702" s="21">
        <v>46045.30326388889</v>
      </c>
    </row>
    <row r="2703">
      <c r="A2703" s="9" t="s">
        <v>8374</v>
      </c>
      <c r="B2703" s="20" t="str">
        <f>IFERROR(__xludf.DUMMYFUNCTION("REGEXREPLACE(A2703, ""^https?://[^/]+"", """")"),"/wp-content/uploads/2023/03/CRM.jpg")</f>
        <v>/wp-content/uploads/2023/03/CRM.jpg</v>
      </c>
      <c r="F2703" s="1" t="s">
        <v>1004</v>
      </c>
      <c r="G2703" s="1">
        <v>200.0</v>
      </c>
      <c r="H2703" s="1" t="s">
        <v>966</v>
      </c>
      <c r="I2703" s="1" t="s">
        <v>967</v>
      </c>
      <c r="L2703" s="1">
        <v>0.0</v>
      </c>
      <c r="M2703" s="1">
        <v>0.0</v>
      </c>
      <c r="O2703" s="1">
        <v>0.0</v>
      </c>
      <c r="P2703" s="1">
        <v>0.0</v>
      </c>
      <c r="R2703" s="1">
        <v>0.0</v>
      </c>
      <c r="S2703" s="1">
        <v>0.0</v>
      </c>
      <c r="U2703" s="1">
        <v>0.0</v>
      </c>
      <c r="W2703" s="1">
        <v>0.0</v>
      </c>
      <c r="Y2703" s="1">
        <v>0.0</v>
      </c>
      <c r="AA2703" s="1">
        <v>0.0</v>
      </c>
      <c r="AC2703" s="1">
        <v>0.0</v>
      </c>
      <c r="AM2703" s="1">
        <v>267658.0</v>
      </c>
      <c r="AN2703" s="1">
        <v>267658.0</v>
      </c>
      <c r="AO2703" s="1">
        <v>267658.0</v>
      </c>
      <c r="AP2703" s="1">
        <v>102.535</v>
      </c>
      <c r="AR2703" s="1">
        <v>0.0</v>
      </c>
      <c r="AW2703" s="1">
        <v>0.0</v>
      </c>
      <c r="AX2703" s="1">
        <v>6.0</v>
      </c>
      <c r="AY2703" s="1">
        <v>4.0</v>
      </c>
      <c r="BA2703" s="1">
        <v>0.0</v>
      </c>
      <c r="BB2703" s="1">
        <v>0.0</v>
      </c>
      <c r="BC2703" s="1">
        <v>0.0</v>
      </c>
      <c r="BD2703" s="1">
        <v>0.0</v>
      </c>
      <c r="BE2703" s="1">
        <v>0.0</v>
      </c>
      <c r="BF2703" s="1">
        <v>0.0</v>
      </c>
      <c r="BG2703" s="1">
        <v>0.0</v>
      </c>
      <c r="BH2703" s="1">
        <v>0.0</v>
      </c>
      <c r="BI2703" s="1">
        <v>0.0</v>
      </c>
      <c r="BJ2703" s="1">
        <v>0.0</v>
      </c>
      <c r="BP2703" s="1">
        <v>0.278</v>
      </c>
      <c r="BQ2703" s="1" t="s">
        <v>8375</v>
      </c>
      <c r="BV2703" s="1">
        <v>1.1</v>
      </c>
      <c r="EQ2703" s="9" t="s">
        <v>8374</v>
      </c>
      <c r="ER2703" s="21">
        <v>46045.30326388889</v>
      </c>
    </row>
    <row r="2704">
      <c r="A2704" s="9" t="s">
        <v>8376</v>
      </c>
      <c r="B2704" s="20" t="str">
        <f>IFERROR(__xludf.DUMMYFUNCTION("REGEXREPLACE(A2704, ""^https?://[^/]+"", """")"),"/wp-content/uploads/2022/03/Businessman-Holding-a-Football-2048x2048.jpg")</f>
        <v>/wp-content/uploads/2022/03/Businessman-Holding-a-Football-2048x2048.jpg</v>
      </c>
      <c r="F2704" s="1" t="s">
        <v>1004</v>
      </c>
      <c r="G2704" s="1">
        <v>200.0</v>
      </c>
      <c r="H2704" s="1" t="s">
        <v>966</v>
      </c>
      <c r="I2704" s="1" t="s">
        <v>967</v>
      </c>
      <c r="L2704" s="1">
        <v>0.0</v>
      </c>
      <c r="M2704" s="1">
        <v>0.0</v>
      </c>
      <c r="O2704" s="1">
        <v>0.0</v>
      </c>
      <c r="P2704" s="1">
        <v>0.0</v>
      </c>
      <c r="R2704" s="1">
        <v>0.0</v>
      </c>
      <c r="S2704" s="1">
        <v>0.0</v>
      </c>
      <c r="U2704" s="1">
        <v>0.0</v>
      </c>
      <c r="W2704" s="1">
        <v>0.0</v>
      </c>
      <c r="Y2704" s="1">
        <v>0.0</v>
      </c>
      <c r="AA2704" s="1">
        <v>0.0</v>
      </c>
      <c r="AC2704" s="1">
        <v>0.0</v>
      </c>
      <c r="AM2704" s="1">
        <v>300351.0</v>
      </c>
      <c r="AN2704" s="1">
        <v>300351.0</v>
      </c>
      <c r="AO2704" s="1">
        <v>300351.0</v>
      </c>
      <c r="AP2704" s="1">
        <v>115.059</v>
      </c>
      <c r="AR2704" s="1">
        <v>0.0</v>
      </c>
      <c r="AW2704" s="1">
        <v>0.0</v>
      </c>
      <c r="AX2704" s="1">
        <v>6.0</v>
      </c>
      <c r="AY2704" s="1">
        <v>4.0</v>
      </c>
      <c r="BA2704" s="1">
        <v>0.0</v>
      </c>
      <c r="BB2704" s="1">
        <v>0.0</v>
      </c>
      <c r="BC2704" s="1">
        <v>0.0</v>
      </c>
      <c r="BD2704" s="1">
        <v>0.0</v>
      </c>
      <c r="BE2704" s="1">
        <v>0.0</v>
      </c>
      <c r="BF2704" s="1">
        <v>0.0</v>
      </c>
      <c r="BG2704" s="1">
        <v>0.0</v>
      </c>
      <c r="BH2704" s="1">
        <v>0.0</v>
      </c>
      <c r="BI2704" s="1">
        <v>0.0</v>
      </c>
      <c r="BJ2704" s="1">
        <v>0.0</v>
      </c>
      <c r="BP2704" s="1">
        <v>0.273</v>
      </c>
      <c r="BQ2704" s="1" t="s">
        <v>8377</v>
      </c>
      <c r="BV2704" s="1">
        <v>1.1</v>
      </c>
      <c r="EQ2704" s="9" t="s">
        <v>8376</v>
      </c>
      <c r="ER2704" s="21">
        <v>46045.30326388889</v>
      </c>
    </row>
    <row r="2705">
      <c r="A2705" s="9" t="s">
        <v>8378</v>
      </c>
      <c r="B2705" s="20" t="str">
        <f>IFERROR(__xludf.DUMMYFUNCTION("REGEXREPLACE(A2705, ""^https?://[^/]+"", """")"),"/wp-content/themes/salesxceleratione/assets/css/style.css?ver=1769123699")</f>
        <v>/wp-content/themes/salesxceleratione/assets/css/style.css?ver=1769123699</v>
      </c>
      <c r="F2705" s="1" t="s">
        <v>1016</v>
      </c>
      <c r="G2705" s="1">
        <v>200.0</v>
      </c>
      <c r="H2705" s="1" t="s">
        <v>966</v>
      </c>
      <c r="I2705" s="1" t="s">
        <v>967</v>
      </c>
      <c r="L2705" s="1">
        <v>0.0</v>
      </c>
      <c r="M2705" s="1">
        <v>0.0</v>
      </c>
      <c r="O2705" s="1">
        <v>0.0</v>
      </c>
      <c r="P2705" s="1">
        <v>0.0</v>
      </c>
      <c r="R2705" s="1">
        <v>0.0</v>
      </c>
      <c r="S2705" s="1">
        <v>0.0</v>
      </c>
      <c r="U2705" s="1">
        <v>0.0</v>
      </c>
      <c r="W2705" s="1">
        <v>0.0</v>
      </c>
      <c r="Y2705" s="1">
        <v>0.0</v>
      </c>
      <c r="AA2705" s="1">
        <v>0.0</v>
      </c>
      <c r="AC2705" s="1">
        <v>0.0</v>
      </c>
      <c r="AM2705" s="1">
        <v>17704.0</v>
      </c>
      <c r="AN2705" s="1">
        <v>17704.0</v>
      </c>
      <c r="AO2705" s="1">
        <v>17704.0</v>
      </c>
      <c r="AP2705" s="1">
        <v>6.782</v>
      </c>
      <c r="AR2705" s="1">
        <v>0.0</v>
      </c>
      <c r="AW2705" s="1">
        <v>0.0</v>
      </c>
      <c r="AX2705" s="1">
        <v>6.0</v>
      </c>
      <c r="AY2705" s="1">
        <v>5.0</v>
      </c>
      <c r="BA2705" s="1">
        <v>0.0</v>
      </c>
      <c r="BB2705" s="1">
        <v>0.0</v>
      </c>
      <c r="BC2705" s="1">
        <v>0.0</v>
      </c>
      <c r="BD2705" s="1">
        <v>0.0</v>
      </c>
      <c r="BE2705" s="1">
        <v>0.0</v>
      </c>
      <c r="BF2705" s="1">
        <v>0.0</v>
      </c>
      <c r="BG2705" s="1">
        <v>0.0</v>
      </c>
      <c r="BH2705" s="1">
        <v>0.0</v>
      </c>
      <c r="BI2705" s="1">
        <v>0.0</v>
      </c>
      <c r="BJ2705" s="1">
        <v>0.0</v>
      </c>
      <c r="BP2705" s="1">
        <v>0.278</v>
      </c>
      <c r="BQ2705" s="1" t="s">
        <v>8379</v>
      </c>
      <c r="BV2705" s="1">
        <v>1.1</v>
      </c>
      <c r="EQ2705" s="9" t="s">
        <v>8378</v>
      </c>
      <c r="ER2705" s="21">
        <v>46045.30326388889</v>
      </c>
    </row>
    <row r="2706">
      <c r="A2706" s="9" t="s">
        <v>8380</v>
      </c>
      <c r="B2706" s="20" t="str">
        <f>IFERROR(__xludf.DUMMYFUNCTION("REGEXREPLACE(A2706, ""^https?://[^/]+"", """")"),"/wp-content/uploads/2023/01/Business-Manager.jpg")</f>
        <v>/wp-content/uploads/2023/01/Business-Manager.jpg</v>
      </c>
      <c r="F2706" s="1" t="s">
        <v>1004</v>
      </c>
      <c r="G2706" s="1">
        <v>200.0</v>
      </c>
      <c r="H2706" s="1" t="s">
        <v>966</v>
      </c>
      <c r="I2706" s="1" t="s">
        <v>967</v>
      </c>
      <c r="L2706" s="1">
        <v>0.0</v>
      </c>
      <c r="M2706" s="1">
        <v>0.0</v>
      </c>
      <c r="O2706" s="1">
        <v>0.0</v>
      </c>
      <c r="P2706" s="1">
        <v>0.0</v>
      </c>
      <c r="R2706" s="1">
        <v>0.0</v>
      </c>
      <c r="S2706" s="1">
        <v>0.0</v>
      </c>
      <c r="U2706" s="1">
        <v>0.0</v>
      </c>
      <c r="W2706" s="1">
        <v>0.0</v>
      </c>
      <c r="Y2706" s="1">
        <v>0.0</v>
      </c>
      <c r="AA2706" s="1">
        <v>0.0</v>
      </c>
      <c r="AC2706" s="1">
        <v>0.0</v>
      </c>
      <c r="AM2706" s="1">
        <v>141920.0</v>
      </c>
      <c r="AN2706" s="1">
        <v>141920.0</v>
      </c>
      <c r="AO2706" s="1">
        <v>141920.0</v>
      </c>
      <c r="AP2706" s="1">
        <v>54.367</v>
      </c>
      <c r="AR2706" s="1">
        <v>0.0</v>
      </c>
      <c r="AW2706" s="1">
        <v>0.0</v>
      </c>
      <c r="AX2706" s="1">
        <v>6.0</v>
      </c>
      <c r="AY2706" s="1">
        <v>4.0</v>
      </c>
      <c r="BA2706" s="1">
        <v>0.0</v>
      </c>
      <c r="BB2706" s="1">
        <v>0.0</v>
      </c>
      <c r="BC2706" s="1">
        <v>0.0</v>
      </c>
      <c r="BD2706" s="1">
        <v>0.0</v>
      </c>
      <c r="BE2706" s="1">
        <v>0.0</v>
      </c>
      <c r="BF2706" s="1">
        <v>0.0</v>
      </c>
      <c r="BG2706" s="1">
        <v>0.0</v>
      </c>
      <c r="BH2706" s="1">
        <v>0.0</v>
      </c>
      <c r="BI2706" s="1">
        <v>0.0</v>
      </c>
      <c r="BJ2706" s="1">
        <v>0.0</v>
      </c>
      <c r="BP2706" s="1">
        <v>0.274</v>
      </c>
      <c r="BQ2706" s="1" t="s">
        <v>8381</v>
      </c>
      <c r="BV2706" s="1">
        <v>1.1</v>
      </c>
      <c r="EQ2706" s="9" t="s">
        <v>8380</v>
      </c>
      <c r="ER2706" s="21">
        <v>46045.30326388889</v>
      </c>
    </row>
    <row r="2707">
      <c r="A2707" s="9" t="s">
        <v>8382</v>
      </c>
      <c r="B2707" s="20" t="str">
        <f>IFERROR(__xludf.DUMMYFUNCTION("REGEXREPLACE(A2707, ""^https?://[^/]+"", """")"),"/wp-content/themes/salesxceleratione/assets/css/style.css?ver=1769123698")</f>
        <v>/wp-content/themes/salesxceleratione/assets/css/style.css?ver=1769123698</v>
      </c>
      <c r="F2707" s="1" t="s">
        <v>1016</v>
      </c>
      <c r="G2707" s="1">
        <v>200.0</v>
      </c>
      <c r="H2707" s="1" t="s">
        <v>966</v>
      </c>
      <c r="I2707" s="1" t="s">
        <v>967</v>
      </c>
      <c r="L2707" s="1">
        <v>0.0</v>
      </c>
      <c r="M2707" s="1">
        <v>0.0</v>
      </c>
      <c r="O2707" s="1">
        <v>0.0</v>
      </c>
      <c r="P2707" s="1">
        <v>0.0</v>
      </c>
      <c r="R2707" s="1">
        <v>0.0</v>
      </c>
      <c r="S2707" s="1">
        <v>0.0</v>
      </c>
      <c r="U2707" s="1">
        <v>0.0</v>
      </c>
      <c r="W2707" s="1">
        <v>0.0</v>
      </c>
      <c r="Y2707" s="1">
        <v>0.0</v>
      </c>
      <c r="AA2707" s="1">
        <v>0.0</v>
      </c>
      <c r="AC2707" s="1">
        <v>0.0</v>
      </c>
      <c r="AM2707" s="1">
        <v>17704.0</v>
      </c>
      <c r="AN2707" s="1">
        <v>17704.0</v>
      </c>
      <c r="AO2707" s="1">
        <v>17704.0</v>
      </c>
      <c r="AP2707" s="1">
        <v>6.782</v>
      </c>
      <c r="AR2707" s="1">
        <v>0.0</v>
      </c>
      <c r="AW2707" s="1">
        <v>0.0</v>
      </c>
      <c r="AX2707" s="1">
        <v>6.0</v>
      </c>
      <c r="AY2707" s="1">
        <v>5.0</v>
      </c>
      <c r="BA2707" s="1">
        <v>0.0</v>
      </c>
      <c r="BB2707" s="1">
        <v>0.0</v>
      </c>
      <c r="BC2707" s="1">
        <v>0.0</v>
      </c>
      <c r="BD2707" s="1">
        <v>0.0</v>
      </c>
      <c r="BE2707" s="1">
        <v>0.0</v>
      </c>
      <c r="BF2707" s="1">
        <v>0.0</v>
      </c>
      <c r="BG2707" s="1">
        <v>0.0</v>
      </c>
      <c r="BH2707" s="1">
        <v>0.0</v>
      </c>
      <c r="BI2707" s="1">
        <v>0.0</v>
      </c>
      <c r="BJ2707" s="1">
        <v>0.0</v>
      </c>
      <c r="BP2707" s="1">
        <v>0.271</v>
      </c>
      <c r="BQ2707" s="1" t="s">
        <v>8383</v>
      </c>
      <c r="BV2707" s="1">
        <v>1.1</v>
      </c>
      <c r="EQ2707" s="9" t="s">
        <v>8382</v>
      </c>
      <c r="ER2707" s="21">
        <v>46045.30327546296</v>
      </c>
    </row>
    <row r="2708">
      <c r="A2708" s="9" t="s">
        <v>8384</v>
      </c>
      <c r="B2708" s="20" t="str">
        <f>IFERROR(__xludf.DUMMYFUNCTION("REGEXREPLACE(A2708, ""^https?://[^/]+"", """")"),"/wp-content/uploads/2019/07/shutterstock_1361250578-1-2048x2048.jpg")</f>
        <v>/wp-content/uploads/2019/07/shutterstock_1361250578-1-2048x2048.jpg</v>
      </c>
      <c r="F2708" s="1" t="s">
        <v>1004</v>
      </c>
      <c r="G2708" s="1">
        <v>200.0</v>
      </c>
      <c r="H2708" s="1" t="s">
        <v>966</v>
      </c>
      <c r="I2708" s="1" t="s">
        <v>967</v>
      </c>
      <c r="L2708" s="1">
        <v>0.0</v>
      </c>
      <c r="M2708" s="1">
        <v>0.0</v>
      </c>
      <c r="O2708" s="1">
        <v>0.0</v>
      </c>
      <c r="P2708" s="1">
        <v>0.0</v>
      </c>
      <c r="R2708" s="1">
        <v>0.0</v>
      </c>
      <c r="S2708" s="1">
        <v>0.0</v>
      </c>
      <c r="U2708" s="1">
        <v>0.0</v>
      </c>
      <c r="W2708" s="1">
        <v>0.0</v>
      </c>
      <c r="Y2708" s="1">
        <v>0.0</v>
      </c>
      <c r="AA2708" s="1">
        <v>0.0</v>
      </c>
      <c r="AC2708" s="1">
        <v>0.0</v>
      </c>
      <c r="AM2708" s="1">
        <v>230665.0</v>
      </c>
      <c r="AN2708" s="1">
        <v>230665.0</v>
      </c>
      <c r="AO2708" s="1">
        <v>230665.0</v>
      </c>
      <c r="AP2708" s="1">
        <v>88.363</v>
      </c>
      <c r="AR2708" s="1">
        <v>0.0</v>
      </c>
      <c r="AW2708" s="1">
        <v>0.0</v>
      </c>
      <c r="AX2708" s="1">
        <v>6.0</v>
      </c>
      <c r="AY2708" s="1">
        <v>4.0</v>
      </c>
      <c r="BA2708" s="1">
        <v>0.0</v>
      </c>
      <c r="BB2708" s="1">
        <v>0.0</v>
      </c>
      <c r="BC2708" s="1">
        <v>0.0</v>
      </c>
      <c r="BD2708" s="1">
        <v>0.0</v>
      </c>
      <c r="BE2708" s="1">
        <v>0.0</v>
      </c>
      <c r="BF2708" s="1">
        <v>0.0</v>
      </c>
      <c r="BG2708" s="1">
        <v>0.0</v>
      </c>
      <c r="BH2708" s="1">
        <v>0.0</v>
      </c>
      <c r="BI2708" s="1">
        <v>0.0</v>
      </c>
      <c r="BJ2708" s="1">
        <v>0.0</v>
      </c>
      <c r="BP2708" s="1">
        <v>0.279</v>
      </c>
      <c r="BQ2708" s="1" t="s">
        <v>8385</v>
      </c>
      <c r="BV2708" s="1">
        <v>1.1</v>
      </c>
      <c r="EQ2708" s="9" t="s">
        <v>8384</v>
      </c>
      <c r="ER2708" s="21">
        <v>46045.30327546296</v>
      </c>
    </row>
    <row r="2709">
      <c r="A2709" s="9" t="s">
        <v>8386</v>
      </c>
      <c r="B2709" s="20" t="str">
        <f>IFERROR(__xludf.DUMMYFUNCTION("REGEXREPLACE(A2709, ""^https?://[^/]+"", """")"),"/your-key-performance-indicators-kpis-are-established-now-what/")</f>
        <v>/your-key-performance-indicators-kpis-are-established-now-what/</v>
      </c>
      <c r="C2709" s="1" t="s">
        <v>8387</v>
      </c>
      <c r="D2709" s="1" t="s">
        <v>8388</v>
      </c>
      <c r="E2709" s="1" t="s">
        <v>8389</v>
      </c>
      <c r="F2709" s="1" t="s">
        <v>965</v>
      </c>
      <c r="G2709" s="1">
        <v>200.0</v>
      </c>
      <c r="H2709" s="1" t="s">
        <v>966</v>
      </c>
      <c r="I2709" s="1" t="s">
        <v>967</v>
      </c>
      <c r="K2709" s="1" t="s">
        <v>8390</v>
      </c>
      <c r="L2709" s="1">
        <v>90.0</v>
      </c>
      <c r="M2709" s="1">
        <v>823.0</v>
      </c>
      <c r="O2709" s="1">
        <v>0.0</v>
      </c>
      <c r="P2709" s="1">
        <v>0.0</v>
      </c>
      <c r="Q2709" s="1" t="s">
        <v>8391</v>
      </c>
      <c r="R2709" s="1">
        <v>177.0</v>
      </c>
      <c r="S2709" s="1">
        <v>1073.0</v>
      </c>
      <c r="U2709" s="1">
        <v>0.0</v>
      </c>
      <c r="V2709" s="1" t="s">
        <v>8387</v>
      </c>
      <c r="W2709" s="1">
        <v>65.0</v>
      </c>
      <c r="Y2709" s="1">
        <v>0.0</v>
      </c>
      <c r="Z2709" s="1" t="s">
        <v>8388</v>
      </c>
      <c r="AA2709" s="1">
        <v>28.0</v>
      </c>
      <c r="AB2709" s="1" t="s">
        <v>8389</v>
      </c>
      <c r="AC2709" s="1">
        <v>28.0</v>
      </c>
      <c r="AD2709" s="1" t="s">
        <v>971</v>
      </c>
      <c r="AG2709" s="9" t="s">
        <v>8386</v>
      </c>
      <c r="AM2709" s="1">
        <v>206391.0</v>
      </c>
      <c r="AN2709" s="1">
        <v>37666.0</v>
      </c>
      <c r="AO2709" s="1">
        <v>37666.0</v>
      </c>
      <c r="AP2709" s="1">
        <v>14.429</v>
      </c>
      <c r="AR2709" s="1">
        <v>1974.0</v>
      </c>
      <c r="AS2709" s="1">
        <v>289.0</v>
      </c>
      <c r="AT2709" s="1">
        <v>6.83</v>
      </c>
      <c r="AU2709" s="1">
        <v>53.416</v>
      </c>
      <c r="AV2709" s="1" t="s">
        <v>972</v>
      </c>
      <c r="AW2709" s="1">
        <v>7.341</v>
      </c>
      <c r="AX2709" s="1">
        <v>6.0</v>
      </c>
      <c r="AY2709" s="1">
        <v>1.0</v>
      </c>
      <c r="AZ2709" s="1">
        <v>1.0</v>
      </c>
      <c r="BA2709" s="1">
        <v>4.0</v>
      </c>
      <c r="BB2709" s="1">
        <v>2.0</v>
      </c>
      <c r="BC2709" s="1">
        <v>0.0</v>
      </c>
      <c r="BD2709" s="1">
        <v>0.27</v>
      </c>
      <c r="BE2709" s="1">
        <v>129.0</v>
      </c>
      <c r="BF2709" s="1">
        <v>47.0</v>
      </c>
      <c r="BG2709" s="1">
        <v>0.0</v>
      </c>
      <c r="BH2709" s="1">
        <v>16.0</v>
      </c>
      <c r="BI2709" s="1">
        <v>8.0</v>
      </c>
      <c r="BJ2709" s="1">
        <v>0.0</v>
      </c>
      <c r="BO2709" s="1" t="s">
        <v>8392</v>
      </c>
      <c r="BP2709" s="1">
        <v>0.985</v>
      </c>
      <c r="BU2709" s="1" t="s">
        <v>974</v>
      </c>
      <c r="BV2709" s="1">
        <v>1.1</v>
      </c>
      <c r="EQ2709" s="9" t="s">
        <v>8386</v>
      </c>
      <c r="ER2709" s="21">
        <v>46045.30326388889</v>
      </c>
    </row>
    <row r="2710">
      <c r="A2710" s="9" t="s">
        <v>8393</v>
      </c>
      <c r="B2710" s="20" t="str">
        <f>IFERROR(__xludf.DUMMYFUNCTION("REGEXREPLACE(A2710, ""^https?://[^/]+"", """")"),"/wp-content/uploads/2023/03/Measuring-Sales-Rep-Success.jpg")</f>
        <v>/wp-content/uploads/2023/03/Measuring-Sales-Rep-Success.jpg</v>
      </c>
      <c r="F2710" s="1" t="s">
        <v>1004</v>
      </c>
      <c r="G2710" s="1">
        <v>200.0</v>
      </c>
      <c r="H2710" s="1" t="s">
        <v>966</v>
      </c>
      <c r="I2710" s="1" t="s">
        <v>967</v>
      </c>
      <c r="L2710" s="1">
        <v>0.0</v>
      </c>
      <c r="M2710" s="1">
        <v>0.0</v>
      </c>
      <c r="O2710" s="1">
        <v>0.0</v>
      </c>
      <c r="P2710" s="1">
        <v>0.0</v>
      </c>
      <c r="R2710" s="1">
        <v>0.0</v>
      </c>
      <c r="S2710" s="1">
        <v>0.0</v>
      </c>
      <c r="U2710" s="1">
        <v>0.0</v>
      </c>
      <c r="W2710" s="1">
        <v>0.0</v>
      </c>
      <c r="Y2710" s="1">
        <v>0.0</v>
      </c>
      <c r="AA2710" s="1">
        <v>0.0</v>
      </c>
      <c r="AC2710" s="1">
        <v>0.0</v>
      </c>
      <c r="AM2710" s="1">
        <v>136175.0</v>
      </c>
      <c r="AN2710" s="1">
        <v>136175.0</v>
      </c>
      <c r="AO2710" s="1">
        <v>136175.0</v>
      </c>
      <c r="AP2710" s="1">
        <v>52.166</v>
      </c>
      <c r="AR2710" s="1">
        <v>0.0</v>
      </c>
      <c r="AW2710" s="1">
        <v>0.0</v>
      </c>
      <c r="AX2710" s="1">
        <v>6.0</v>
      </c>
      <c r="AY2710" s="1">
        <v>4.0</v>
      </c>
      <c r="BA2710" s="1">
        <v>0.0</v>
      </c>
      <c r="BB2710" s="1">
        <v>0.0</v>
      </c>
      <c r="BC2710" s="1">
        <v>0.0</v>
      </c>
      <c r="BD2710" s="1">
        <v>0.0</v>
      </c>
      <c r="BE2710" s="1">
        <v>0.0</v>
      </c>
      <c r="BF2710" s="1">
        <v>0.0</v>
      </c>
      <c r="BG2710" s="1">
        <v>0.0</v>
      </c>
      <c r="BH2710" s="1">
        <v>0.0</v>
      </c>
      <c r="BI2710" s="1">
        <v>0.0</v>
      </c>
      <c r="BJ2710" s="1">
        <v>0.0</v>
      </c>
      <c r="BP2710" s="1">
        <v>0.268</v>
      </c>
      <c r="BQ2710" s="1" t="s">
        <v>8394</v>
      </c>
      <c r="BV2710" s="1">
        <v>1.1</v>
      </c>
      <c r="EQ2710" s="9" t="s">
        <v>8393</v>
      </c>
      <c r="ER2710" s="21">
        <v>46045.30327546296</v>
      </c>
    </row>
    <row r="2711">
      <c r="A2711" s="9" t="s">
        <v>8395</v>
      </c>
      <c r="B2711" s="20" t="str">
        <f>IFERROR(__xludf.DUMMYFUNCTION("REGEXREPLACE(A2711, ""^https?://[^/]+"", """")"),"/wp-content/uploads/2015/11/Consulting-sales-xceleration-2048x2048.png")</f>
        <v>/wp-content/uploads/2015/11/Consulting-sales-xceleration-2048x2048.png</v>
      </c>
      <c r="F2711" s="1" t="s">
        <v>1047</v>
      </c>
      <c r="G2711" s="1">
        <v>200.0</v>
      </c>
      <c r="H2711" s="1" t="s">
        <v>966</v>
      </c>
      <c r="I2711" s="1" t="s">
        <v>967</v>
      </c>
      <c r="L2711" s="1">
        <v>0.0</v>
      </c>
      <c r="M2711" s="1">
        <v>0.0</v>
      </c>
      <c r="O2711" s="1">
        <v>0.0</v>
      </c>
      <c r="P2711" s="1">
        <v>0.0</v>
      </c>
      <c r="R2711" s="1">
        <v>0.0</v>
      </c>
      <c r="S2711" s="1">
        <v>0.0</v>
      </c>
      <c r="U2711" s="1">
        <v>0.0</v>
      </c>
      <c r="W2711" s="1">
        <v>0.0</v>
      </c>
      <c r="Y2711" s="1">
        <v>0.0</v>
      </c>
      <c r="AA2711" s="1">
        <v>0.0</v>
      </c>
      <c r="AC2711" s="1">
        <v>0.0</v>
      </c>
      <c r="AM2711" s="1">
        <v>1389975.0</v>
      </c>
      <c r="AN2711" s="1">
        <v>1389975.0</v>
      </c>
      <c r="AO2711" s="1">
        <v>1389975.0</v>
      </c>
      <c r="AP2711" s="1">
        <v>532.473</v>
      </c>
      <c r="AR2711" s="1">
        <v>0.0</v>
      </c>
      <c r="AW2711" s="1">
        <v>0.0</v>
      </c>
      <c r="AX2711" s="1">
        <v>6.0</v>
      </c>
      <c r="AY2711" s="1">
        <v>4.0</v>
      </c>
      <c r="BA2711" s="1">
        <v>0.0</v>
      </c>
      <c r="BB2711" s="1">
        <v>0.0</v>
      </c>
      <c r="BC2711" s="1">
        <v>0.0</v>
      </c>
      <c r="BD2711" s="1">
        <v>0.0</v>
      </c>
      <c r="BE2711" s="1">
        <v>0.0</v>
      </c>
      <c r="BF2711" s="1">
        <v>0.0</v>
      </c>
      <c r="BG2711" s="1">
        <v>0.0</v>
      </c>
      <c r="BH2711" s="1">
        <v>0.0</v>
      </c>
      <c r="BI2711" s="1">
        <v>0.0</v>
      </c>
      <c r="BJ2711" s="1">
        <v>0.0</v>
      </c>
      <c r="BP2711" s="1">
        <v>0.275</v>
      </c>
      <c r="BQ2711" s="1" t="s">
        <v>8396</v>
      </c>
      <c r="BV2711" s="1">
        <v>1.1</v>
      </c>
      <c r="EQ2711" s="9" t="s">
        <v>8395</v>
      </c>
      <c r="ER2711" s="21">
        <v>46045.30327546296</v>
      </c>
    </row>
    <row r="2712">
      <c r="A2712" s="9" t="s">
        <v>8397</v>
      </c>
      <c r="B2712" s="20" t="str">
        <f>IFERROR(__xludf.DUMMYFUNCTION("REGEXREPLACE(A2712, ""^https?://[^/]+"", """")"),"/odell-beckham-jr-and-your-sales-organizations-success/")</f>
        <v>/odell-beckham-jr-and-your-sales-organizations-success/</v>
      </c>
      <c r="C2712" s="1" t="s">
        <v>8398</v>
      </c>
      <c r="F2712" s="1" t="s">
        <v>965</v>
      </c>
      <c r="G2712" s="1">
        <v>200.0</v>
      </c>
      <c r="H2712" s="1" t="s">
        <v>966</v>
      </c>
      <c r="I2712" s="1" t="s">
        <v>967</v>
      </c>
      <c r="K2712" s="1" t="s">
        <v>8399</v>
      </c>
      <c r="L2712" s="1">
        <v>80.0</v>
      </c>
      <c r="M2712" s="1">
        <v>727.0</v>
      </c>
      <c r="O2712" s="1">
        <v>0.0</v>
      </c>
      <c r="P2712" s="1">
        <v>0.0</v>
      </c>
      <c r="Q2712" s="1" t="s">
        <v>8400</v>
      </c>
      <c r="R2712" s="1">
        <v>98.0</v>
      </c>
      <c r="S2712" s="1">
        <v>617.0</v>
      </c>
      <c r="U2712" s="1">
        <v>0.0</v>
      </c>
      <c r="V2712" s="1" t="s">
        <v>8398</v>
      </c>
      <c r="W2712" s="1">
        <v>55.0</v>
      </c>
      <c r="Y2712" s="1">
        <v>0.0</v>
      </c>
      <c r="AA2712" s="1">
        <v>0.0</v>
      </c>
      <c r="AC2712" s="1">
        <v>0.0</v>
      </c>
      <c r="AD2712" s="1" t="s">
        <v>971</v>
      </c>
      <c r="AG2712" s="9" t="s">
        <v>8397</v>
      </c>
      <c r="AM2712" s="1">
        <v>200222.0</v>
      </c>
      <c r="AN2712" s="1">
        <v>36518.0</v>
      </c>
      <c r="AO2712" s="1">
        <v>36518.0</v>
      </c>
      <c r="AP2712" s="1">
        <v>13.989</v>
      </c>
      <c r="AR2712" s="1">
        <v>1616.0</v>
      </c>
      <c r="AS2712" s="1">
        <v>235.0</v>
      </c>
      <c r="AT2712" s="1">
        <v>6.877</v>
      </c>
      <c r="AU2712" s="1">
        <v>76.149</v>
      </c>
      <c r="AV2712" s="1" t="s">
        <v>1264</v>
      </c>
      <c r="AW2712" s="1">
        <v>5.943</v>
      </c>
      <c r="AX2712" s="1">
        <v>6.0</v>
      </c>
      <c r="AY2712" s="1">
        <v>1.0</v>
      </c>
      <c r="AZ2712" s="1">
        <v>1.0</v>
      </c>
      <c r="BA2712" s="1">
        <v>4.0</v>
      </c>
      <c r="BB2712" s="1">
        <v>2.0</v>
      </c>
      <c r="BC2712" s="1">
        <v>0.0</v>
      </c>
      <c r="BD2712" s="1">
        <v>0.27</v>
      </c>
      <c r="BE2712" s="1">
        <v>131.0</v>
      </c>
      <c r="BF2712" s="1">
        <v>49.0</v>
      </c>
      <c r="BG2712" s="1">
        <v>0.0</v>
      </c>
      <c r="BH2712" s="1">
        <v>16.0</v>
      </c>
      <c r="BI2712" s="1">
        <v>8.0</v>
      </c>
      <c r="BJ2712" s="1">
        <v>0.0</v>
      </c>
      <c r="BO2712" s="1" t="s">
        <v>8401</v>
      </c>
      <c r="BP2712" s="1">
        <v>0.999</v>
      </c>
      <c r="BU2712" s="1" t="s">
        <v>974</v>
      </c>
      <c r="BV2712" s="1">
        <v>1.1</v>
      </c>
      <c r="EQ2712" s="9" t="s">
        <v>8397</v>
      </c>
      <c r="ER2712" s="21">
        <v>46045.30326388889</v>
      </c>
    </row>
    <row r="2713">
      <c r="A2713" s="9" t="s">
        <v>8402</v>
      </c>
      <c r="B2713" s="20" t="str">
        <f>IFERROR(__xludf.DUMMYFUNCTION("REGEXREPLACE(A2713, ""^https?://[^/]+"", """")"),"/wp-content/uploads/2019/01/shutterstock_727711573-resized.jpg")</f>
        <v>/wp-content/uploads/2019/01/shutterstock_727711573-resized.jpg</v>
      </c>
      <c r="F2713" s="1" t="s">
        <v>1004</v>
      </c>
      <c r="G2713" s="1">
        <v>200.0</v>
      </c>
      <c r="H2713" s="1" t="s">
        <v>966</v>
      </c>
      <c r="I2713" s="1" t="s">
        <v>967</v>
      </c>
      <c r="L2713" s="1">
        <v>0.0</v>
      </c>
      <c r="M2713" s="1">
        <v>0.0</v>
      </c>
      <c r="O2713" s="1">
        <v>0.0</v>
      </c>
      <c r="P2713" s="1">
        <v>0.0</v>
      </c>
      <c r="R2713" s="1">
        <v>0.0</v>
      </c>
      <c r="S2713" s="1">
        <v>0.0</v>
      </c>
      <c r="U2713" s="1">
        <v>0.0</v>
      </c>
      <c r="W2713" s="1">
        <v>0.0</v>
      </c>
      <c r="Y2713" s="1">
        <v>0.0</v>
      </c>
      <c r="AA2713" s="1">
        <v>0.0</v>
      </c>
      <c r="AC2713" s="1">
        <v>0.0</v>
      </c>
      <c r="AM2713" s="1">
        <v>179650.0</v>
      </c>
      <c r="AN2713" s="1">
        <v>179650.0</v>
      </c>
      <c r="AO2713" s="1">
        <v>179650.0</v>
      </c>
      <c r="AP2713" s="1">
        <v>68.821</v>
      </c>
      <c r="AR2713" s="1">
        <v>0.0</v>
      </c>
      <c r="AW2713" s="1">
        <v>0.0</v>
      </c>
      <c r="AX2713" s="1">
        <v>6.0</v>
      </c>
      <c r="AY2713" s="1">
        <v>4.0</v>
      </c>
      <c r="BA2713" s="1">
        <v>0.0</v>
      </c>
      <c r="BB2713" s="1">
        <v>0.0</v>
      </c>
      <c r="BC2713" s="1">
        <v>0.0</v>
      </c>
      <c r="BD2713" s="1">
        <v>0.0</v>
      </c>
      <c r="BE2713" s="1">
        <v>0.0</v>
      </c>
      <c r="BF2713" s="1">
        <v>0.0</v>
      </c>
      <c r="BG2713" s="1">
        <v>0.0</v>
      </c>
      <c r="BH2713" s="1">
        <v>0.0</v>
      </c>
      <c r="BI2713" s="1">
        <v>0.0</v>
      </c>
      <c r="BJ2713" s="1">
        <v>0.0</v>
      </c>
      <c r="BP2713" s="1">
        <v>0.268</v>
      </c>
      <c r="BQ2713" s="1" t="s">
        <v>8403</v>
      </c>
      <c r="BV2713" s="1">
        <v>1.1</v>
      </c>
      <c r="EQ2713" s="9" t="s">
        <v>8402</v>
      </c>
      <c r="ER2713" s="21">
        <v>46045.30327546296</v>
      </c>
    </row>
    <row r="2714">
      <c r="A2714" s="9" t="s">
        <v>8404</v>
      </c>
      <c r="B2714" s="20" t="str">
        <f>IFERROR(__xludf.DUMMYFUNCTION("REGEXREPLACE(A2714, ""^https?://[^/]+"", """")"),"/wp-content/uploads/2023/05/Successful-Sales-Team.jpg")</f>
        <v>/wp-content/uploads/2023/05/Successful-Sales-Team.jpg</v>
      </c>
      <c r="F2714" s="1" t="s">
        <v>1004</v>
      </c>
      <c r="G2714" s="1">
        <v>200.0</v>
      </c>
      <c r="H2714" s="1" t="s">
        <v>966</v>
      </c>
      <c r="I2714" s="1" t="s">
        <v>967</v>
      </c>
      <c r="L2714" s="1">
        <v>0.0</v>
      </c>
      <c r="M2714" s="1">
        <v>0.0</v>
      </c>
      <c r="O2714" s="1">
        <v>0.0</v>
      </c>
      <c r="P2714" s="1">
        <v>0.0</v>
      </c>
      <c r="R2714" s="1">
        <v>0.0</v>
      </c>
      <c r="S2714" s="1">
        <v>0.0</v>
      </c>
      <c r="U2714" s="1">
        <v>0.0</v>
      </c>
      <c r="W2714" s="1">
        <v>0.0</v>
      </c>
      <c r="Y2714" s="1">
        <v>0.0</v>
      </c>
      <c r="AA2714" s="1">
        <v>0.0</v>
      </c>
      <c r="AC2714" s="1">
        <v>0.0</v>
      </c>
      <c r="AM2714" s="1">
        <v>119334.0</v>
      </c>
      <c r="AN2714" s="1">
        <v>119334.0</v>
      </c>
      <c r="AO2714" s="1">
        <v>119334.0</v>
      </c>
      <c r="AP2714" s="1">
        <v>45.715</v>
      </c>
      <c r="AR2714" s="1">
        <v>0.0</v>
      </c>
      <c r="AW2714" s="1">
        <v>0.0</v>
      </c>
      <c r="AX2714" s="1">
        <v>6.0</v>
      </c>
      <c r="AY2714" s="1">
        <v>4.0</v>
      </c>
      <c r="BA2714" s="1">
        <v>0.0</v>
      </c>
      <c r="BB2714" s="1">
        <v>0.0</v>
      </c>
      <c r="BC2714" s="1">
        <v>0.0</v>
      </c>
      <c r="BD2714" s="1">
        <v>0.0</v>
      </c>
      <c r="BE2714" s="1">
        <v>0.0</v>
      </c>
      <c r="BF2714" s="1">
        <v>0.0</v>
      </c>
      <c r="BG2714" s="1">
        <v>0.0</v>
      </c>
      <c r="BH2714" s="1">
        <v>0.0</v>
      </c>
      <c r="BI2714" s="1">
        <v>0.0</v>
      </c>
      <c r="BJ2714" s="1">
        <v>0.0</v>
      </c>
      <c r="BP2714" s="1">
        <v>0.27</v>
      </c>
      <c r="BQ2714" s="1" t="s">
        <v>8405</v>
      </c>
      <c r="BV2714" s="1">
        <v>1.1</v>
      </c>
      <c r="EQ2714" s="9" t="s">
        <v>8404</v>
      </c>
      <c r="ER2714" s="21">
        <v>46045.30328703704</v>
      </c>
    </row>
    <row r="2715">
      <c r="A2715" s="9" t="s">
        <v>8406</v>
      </c>
      <c r="B2715" s="20" t="str">
        <f>IFERROR(__xludf.DUMMYFUNCTION("REGEXREPLACE(A2715, ""^https?://[^/]+"", """")"),"/wp-content/themes/salesxceleratione/assets/css/style.css?ver=1769123697")</f>
        <v>/wp-content/themes/salesxceleratione/assets/css/style.css?ver=1769123697</v>
      </c>
      <c r="F2715" s="1" t="s">
        <v>1016</v>
      </c>
      <c r="G2715" s="1">
        <v>200.0</v>
      </c>
      <c r="H2715" s="1" t="s">
        <v>966</v>
      </c>
      <c r="I2715" s="1" t="s">
        <v>967</v>
      </c>
      <c r="L2715" s="1">
        <v>0.0</v>
      </c>
      <c r="M2715" s="1">
        <v>0.0</v>
      </c>
      <c r="O2715" s="1">
        <v>0.0</v>
      </c>
      <c r="P2715" s="1">
        <v>0.0</v>
      </c>
      <c r="R2715" s="1">
        <v>0.0</v>
      </c>
      <c r="S2715" s="1">
        <v>0.0</v>
      </c>
      <c r="U2715" s="1">
        <v>0.0</v>
      </c>
      <c r="W2715" s="1">
        <v>0.0</v>
      </c>
      <c r="Y2715" s="1">
        <v>0.0</v>
      </c>
      <c r="AA2715" s="1">
        <v>0.0</v>
      </c>
      <c r="AC2715" s="1">
        <v>0.0</v>
      </c>
      <c r="AM2715" s="1">
        <v>17704.0</v>
      </c>
      <c r="AN2715" s="1">
        <v>17704.0</v>
      </c>
      <c r="AO2715" s="1">
        <v>17704.0</v>
      </c>
      <c r="AP2715" s="1">
        <v>6.782</v>
      </c>
      <c r="AR2715" s="1">
        <v>0.0</v>
      </c>
      <c r="AW2715" s="1">
        <v>0.0</v>
      </c>
      <c r="AX2715" s="1">
        <v>6.0</v>
      </c>
      <c r="AY2715" s="1">
        <v>5.0</v>
      </c>
      <c r="BA2715" s="1">
        <v>0.0</v>
      </c>
      <c r="BB2715" s="1">
        <v>0.0</v>
      </c>
      <c r="BC2715" s="1">
        <v>0.0</v>
      </c>
      <c r="BD2715" s="1">
        <v>0.0</v>
      </c>
      <c r="BE2715" s="1">
        <v>0.0</v>
      </c>
      <c r="BF2715" s="1">
        <v>0.0</v>
      </c>
      <c r="BG2715" s="1">
        <v>0.0</v>
      </c>
      <c r="BH2715" s="1">
        <v>0.0</v>
      </c>
      <c r="BI2715" s="1">
        <v>0.0</v>
      </c>
      <c r="BJ2715" s="1">
        <v>0.0</v>
      </c>
      <c r="BP2715" s="1">
        <v>0.279</v>
      </c>
      <c r="BQ2715" s="1" t="s">
        <v>8379</v>
      </c>
      <c r="BV2715" s="1">
        <v>1.1</v>
      </c>
      <c r="EQ2715" s="9" t="s">
        <v>8406</v>
      </c>
      <c r="ER2715" s="21">
        <v>46045.30328703704</v>
      </c>
    </row>
    <row r="2716">
      <c r="A2716" s="9" t="s">
        <v>8407</v>
      </c>
      <c r="B2716" s="20" t="str">
        <f>IFERROR(__xludf.DUMMYFUNCTION("REGEXREPLACE(A2716, ""^https?://[^/]+"", """")"),"/wp-content/uploads/2024/03/Developing-a-Compelling-Value-Proposition.jpg")</f>
        <v>/wp-content/uploads/2024/03/Developing-a-Compelling-Value-Proposition.jpg</v>
      </c>
      <c r="F2716" s="1" t="s">
        <v>1004</v>
      </c>
      <c r="G2716" s="1">
        <v>200.0</v>
      </c>
      <c r="H2716" s="1" t="s">
        <v>966</v>
      </c>
      <c r="I2716" s="1" t="s">
        <v>967</v>
      </c>
      <c r="L2716" s="1">
        <v>0.0</v>
      </c>
      <c r="M2716" s="1">
        <v>0.0</v>
      </c>
      <c r="O2716" s="1">
        <v>0.0</v>
      </c>
      <c r="P2716" s="1">
        <v>0.0</v>
      </c>
      <c r="R2716" s="1">
        <v>0.0</v>
      </c>
      <c r="S2716" s="1">
        <v>0.0</v>
      </c>
      <c r="U2716" s="1">
        <v>0.0</v>
      </c>
      <c r="W2716" s="1">
        <v>0.0</v>
      </c>
      <c r="Y2716" s="1">
        <v>0.0</v>
      </c>
      <c r="AA2716" s="1">
        <v>0.0</v>
      </c>
      <c r="AC2716" s="1">
        <v>0.0</v>
      </c>
      <c r="AM2716" s="1">
        <v>274072.0</v>
      </c>
      <c r="AN2716" s="1">
        <v>274072.0</v>
      </c>
      <c r="AO2716" s="1">
        <v>274072.0</v>
      </c>
      <c r="AP2716" s="1">
        <v>104.992</v>
      </c>
      <c r="AR2716" s="1">
        <v>0.0</v>
      </c>
      <c r="AW2716" s="1">
        <v>0.0</v>
      </c>
      <c r="AX2716" s="1">
        <v>6.0</v>
      </c>
      <c r="AY2716" s="1">
        <v>4.0</v>
      </c>
      <c r="BA2716" s="1">
        <v>0.0</v>
      </c>
      <c r="BB2716" s="1">
        <v>0.0</v>
      </c>
      <c r="BC2716" s="1">
        <v>0.0</v>
      </c>
      <c r="BD2716" s="1">
        <v>0.0</v>
      </c>
      <c r="BE2716" s="1">
        <v>0.0</v>
      </c>
      <c r="BF2716" s="1">
        <v>0.0</v>
      </c>
      <c r="BG2716" s="1">
        <v>0.0</v>
      </c>
      <c r="BH2716" s="1">
        <v>0.0</v>
      </c>
      <c r="BI2716" s="1">
        <v>0.0</v>
      </c>
      <c r="BJ2716" s="1">
        <v>0.0</v>
      </c>
      <c r="BP2716" s="1">
        <v>0.271</v>
      </c>
      <c r="BQ2716" s="1" t="s">
        <v>8408</v>
      </c>
      <c r="BV2716" s="1">
        <v>1.1</v>
      </c>
      <c r="EQ2716" s="9" t="s">
        <v>8407</v>
      </c>
      <c r="ER2716" s="21">
        <v>46045.30328703704</v>
      </c>
    </row>
    <row r="2717">
      <c r="A2717" s="9" t="s">
        <v>8409</v>
      </c>
      <c r="B2717" s="20" t="str">
        <f>IFERROR(__xludf.DUMMYFUNCTION("REGEXREPLACE(A2717, ""^https?://[^/]+"", """")"),"/sales-management-coaching/")</f>
        <v>/sales-management-coaching/</v>
      </c>
      <c r="C2717" s="1" t="s">
        <v>8410</v>
      </c>
      <c r="F2717" s="1" t="s">
        <v>965</v>
      </c>
      <c r="G2717" s="1">
        <v>200.0</v>
      </c>
      <c r="H2717" s="1" t="s">
        <v>966</v>
      </c>
      <c r="I2717" s="1" t="s">
        <v>967</v>
      </c>
      <c r="K2717" s="1" t="s">
        <v>8411</v>
      </c>
      <c r="L2717" s="1">
        <v>84.0</v>
      </c>
      <c r="M2717" s="1">
        <v>783.0</v>
      </c>
      <c r="O2717" s="1">
        <v>0.0</v>
      </c>
      <c r="P2717" s="1">
        <v>0.0</v>
      </c>
      <c r="Q2717" s="1" t="s">
        <v>8412</v>
      </c>
      <c r="R2717" s="1">
        <v>140.0</v>
      </c>
      <c r="S2717" s="1">
        <v>919.0</v>
      </c>
      <c r="U2717" s="1">
        <v>0.0</v>
      </c>
      <c r="V2717" s="1" t="s">
        <v>8410</v>
      </c>
      <c r="W2717" s="1">
        <v>64.0</v>
      </c>
      <c r="Y2717" s="1">
        <v>0.0</v>
      </c>
      <c r="AA2717" s="1">
        <v>0.0</v>
      </c>
      <c r="AC2717" s="1">
        <v>0.0</v>
      </c>
      <c r="AD2717" s="1" t="s">
        <v>971</v>
      </c>
      <c r="AG2717" s="9" t="s">
        <v>8409</v>
      </c>
      <c r="AM2717" s="1">
        <v>206128.0</v>
      </c>
      <c r="AN2717" s="1">
        <v>37910.0</v>
      </c>
      <c r="AO2717" s="1">
        <v>37910.0</v>
      </c>
      <c r="AP2717" s="1">
        <v>14.523</v>
      </c>
      <c r="AR2717" s="1">
        <v>2049.0</v>
      </c>
      <c r="AS2717" s="1">
        <v>291.0</v>
      </c>
      <c r="AT2717" s="1">
        <v>7.041</v>
      </c>
      <c r="AU2717" s="1">
        <v>65.294</v>
      </c>
      <c r="AV2717" s="1" t="s">
        <v>990</v>
      </c>
      <c r="AW2717" s="1">
        <v>7.273</v>
      </c>
      <c r="AX2717" s="1">
        <v>6.0</v>
      </c>
      <c r="AY2717" s="1">
        <v>1.0</v>
      </c>
      <c r="AZ2717" s="1">
        <v>1.0</v>
      </c>
      <c r="BA2717" s="1">
        <v>8.0</v>
      </c>
      <c r="BB2717" s="1">
        <v>8.0</v>
      </c>
      <c r="BC2717" s="1">
        <v>0.0</v>
      </c>
      <c r="BD2717" s="1">
        <v>1.06</v>
      </c>
      <c r="BE2717" s="1">
        <v>136.0</v>
      </c>
      <c r="BF2717" s="1">
        <v>49.0</v>
      </c>
      <c r="BG2717" s="1">
        <v>0.0</v>
      </c>
      <c r="BH2717" s="1">
        <v>16.0</v>
      </c>
      <c r="BI2717" s="1">
        <v>8.0</v>
      </c>
      <c r="BJ2717" s="1">
        <v>0.0</v>
      </c>
      <c r="BO2717" s="1" t="s">
        <v>8413</v>
      </c>
      <c r="BP2717" s="1">
        <v>1.002</v>
      </c>
      <c r="BU2717" s="1" t="s">
        <v>974</v>
      </c>
      <c r="BV2717" s="1">
        <v>1.1</v>
      </c>
      <c r="EQ2717" s="9" t="s">
        <v>8409</v>
      </c>
      <c r="ER2717" s="21">
        <v>46045.30327546296</v>
      </c>
    </row>
    <row r="2718">
      <c r="A2718" s="9" t="s">
        <v>8414</v>
      </c>
      <c r="B2718" s="20" t="str">
        <f>IFERROR(__xludf.DUMMYFUNCTION("REGEXREPLACE(A2718, ""^https?://[^/]+"", """")"),"/wp-content/uploads/2023/03/Prospecting-with-meaningful-conversations.jpg")</f>
        <v>/wp-content/uploads/2023/03/Prospecting-with-meaningful-conversations.jpg</v>
      </c>
      <c r="F2718" s="1" t="s">
        <v>1004</v>
      </c>
      <c r="G2718" s="1">
        <v>200.0</v>
      </c>
      <c r="H2718" s="1" t="s">
        <v>966</v>
      </c>
      <c r="I2718" s="1" t="s">
        <v>967</v>
      </c>
      <c r="L2718" s="1">
        <v>0.0</v>
      </c>
      <c r="M2718" s="1">
        <v>0.0</v>
      </c>
      <c r="O2718" s="1">
        <v>0.0</v>
      </c>
      <c r="P2718" s="1">
        <v>0.0</v>
      </c>
      <c r="R2718" s="1">
        <v>0.0</v>
      </c>
      <c r="S2718" s="1">
        <v>0.0</v>
      </c>
      <c r="U2718" s="1">
        <v>0.0</v>
      </c>
      <c r="W2718" s="1">
        <v>0.0</v>
      </c>
      <c r="Y2718" s="1">
        <v>0.0</v>
      </c>
      <c r="AA2718" s="1">
        <v>0.0</v>
      </c>
      <c r="AC2718" s="1">
        <v>0.0</v>
      </c>
      <c r="AM2718" s="1">
        <v>381551.0</v>
      </c>
      <c r="AN2718" s="1">
        <v>381551.0</v>
      </c>
      <c r="AO2718" s="1">
        <v>381551.0</v>
      </c>
      <c r="AP2718" s="1">
        <v>146.165</v>
      </c>
      <c r="AR2718" s="1">
        <v>0.0</v>
      </c>
      <c r="AW2718" s="1">
        <v>0.0</v>
      </c>
      <c r="AX2718" s="1">
        <v>6.0</v>
      </c>
      <c r="AY2718" s="1">
        <v>4.0</v>
      </c>
      <c r="BA2718" s="1">
        <v>0.0</v>
      </c>
      <c r="BB2718" s="1">
        <v>0.0</v>
      </c>
      <c r="BC2718" s="1">
        <v>0.0</v>
      </c>
      <c r="BD2718" s="1">
        <v>0.0</v>
      </c>
      <c r="BE2718" s="1">
        <v>0.0</v>
      </c>
      <c r="BF2718" s="1">
        <v>0.0</v>
      </c>
      <c r="BG2718" s="1">
        <v>0.0</v>
      </c>
      <c r="BH2718" s="1">
        <v>0.0</v>
      </c>
      <c r="BI2718" s="1">
        <v>0.0</v>
      </c>
      <c r="BJ2718" s="1">
        <v>0.0</v>
      </c>
      <c r="BP2718" s="1">
        <v>0.278</v>
      </c>
      <c r="BQ2718" s="1" t="s">
        <v>8415</v>
      </c>
      <c r="BV2718" s="1">
        <v>1.1</v>
      </c>
      <c r="EQ2718" s="9" t="s">
        <v>8414</v>
      </c>
      <c r="ER2718" s="21">
        <v>46045.30328703704</v>
      </c>
    </row>
    <row r="2719">
      <c r="A2719" s="9" t="s">
        <v>8416</v>
      </c>
      <c r="B2719" s="20" t="str">
        <f>IFERROR(__xludf.DUMMYFUNCTION("REGEXREPLACE(A2719, ""^https?://[^/]+"", """")"),"/wp-content/uploads/2023/03/Building-Strong-Business-Relationships-1.jpg")</f>
        <v>/wp-content/uploads/2023/03/Building-Strong-Business-Relationships-1.jpg</v>
      </c>
      <c r="F2719" s="1" t="s">
        <v>1004</v>
      </c>
      <c r="G2719" s="1">
        <v>200.0</v>
      </c>
      <c r="H2719" s="1" t="s">
        <v>966</v>
      </c>
      <c r="I2719" s="1" t="s">
        <v>967</v>
      </c>
      <c r="L2719" s="1">
        <v>0.0</v>
      </c>
      <c r="M2719" s="1">
        <v>0.0</v>
      </c>
      <c r="O2719" s="1">
        <v>0.0</v>
      </c>
      <c r="P2719" s="1">
        <v>0.0</v>
      </c>
      <c r="R2719" s="1">
        <v>0.0</v>
      </c>
      <c r="S2719" s="1">
        <v>0.0</v>
      </c>
      <c r="U2719" s="1">
        <v>0.0</v>
      </c>
      <c r="W2719" s="1">
        <v>0.0</v>
      </c>
      <c r="Y2719" s="1">
        <v>0.0</v>
      </c>
      <c r="AA2719" s="1">
        <v>0.0</v>
      </c>
      <c r="AC2719" s="1">
        <v>0.0</v>
      </c>
      <c r="AM2719" s="1">
        <v>327911.0</v>
      </c>
      <c r="AN2719" s="1">
        <v>327911.0</v>
      </c>
      <c r="AO2719" s="1">
        <v>327911.0</v>
      </c>
      <c r="AP2719" s="1">
        <v>125.616</v>
      </c>
      <c r="AR2719" s="1">
        <v>0.0</v>
      </c>
      <c r="AW2719" s="1">
        <v>0.0</v>
      </c>
      <c r="AX2719" s="1">
        <v>6.0</v>
      </c>
      <c r="AY2719" s="1">
        <v>4.0</v>
      </c>
      <c r="BA2719" s="1">
        <v>0.0</v>
      </c>
      <c r="BB2719" s="1">
        <v>0.0</v>
      </c>
      <c r="BC2719" s="1">
        <v>0.0</v>
      </c>
      <c r="BD2719" s="1">
        <v>0.0</v>
      </c>
      <c r="BE2719" s="1">
        <v>0.0</v>
      </c>
      <c r="BF2719" s="1">
        <v>0.0</v>
      </c>
      <c r="BG2719" s="1">
        <v>0.0</v>
      </c>
      <c r="BH2719" s="1">
        <v>0.0</v>
      </c>
      <c r="BI2719" s="1">
        <v>0.0</v>
      </c>
      <c r="BJ2719" s="1">
        <v>0.0</v>
      </c>
      <c r="BP2719" s="1">
        <v>0.279</v>
      </c>
      <c r="BQ2719" s="1" t="s">
        <v>8417</v>
      </c>
      <c r="BV2719" s="1">
        <v>1.1</v>
      </c>
      <c r="EQ2719" s="9" t="s">
        <v>8416</v>
      </c>
      <c r="ER2719" s="21">
        <v>46045.30328703704</v>
      </c>
    </row>
    <row r="2720">
      <c r="A2720" s="9" t="s">
        <v>8418</v>
      </c>
      <c r="B2720" s="20" t="str">
        <f>IFERROR(__xludf.DUMMYFUNCTION("REGEXREPLACE(A2720, ""^https?://[^/]+"", """")"),"/wp-content/themes/salesxceleratione/assets/css/style.css?ver=1769123696")</f>
        <v>/wp-content/themes/salesxceleratione/assets/css/style.css?ver=1769123696</v>
      </c>
      <c r="F2720" s="1" t="s">
        <v>1016</v>
      </c>
      <c r="G2720" s="1">
        <v>200.0</v>
      </c>
      <c r="H2720" s="1" t="s">
        <v>966</v>
      </c>
      <c r="I2720" s="1" t="s">
        <v>967</v>
      </c>
      <c r="L2720" s="1">
        <v>0.0</v>
      </c>
      <c r="M2720" s="1">
        <v>0.0</v>
      </c>
      <c r="O2720" s="1">
        <v>0.0</v>
      </c>
      <c r="P2720" s="1">
        <v>0.0</v>
      </c>
      <c r="R2720" s="1">
        <v>0.0</v>
      </c>
      <c r="S2720" s="1">
        <v>0.0</v>
      </c>
      <c r="U2720" s="1">
        <v>0.0</v>
      </c>
      <c r="W2720" s="1">
        <v>0.0</v>
      </c>
      <c r="Y2720" s="1">
        <v>0.0</v>
      </c>
      <c r="AA2720" s="1">
        <v>0.0</v>
      </c>
      <c r="AC2720" s="1">
        <v>0.0</v>
      </c>
      <c r="AM2720" s="1">
        <v>17704.0</v>
      </c>
      <c r="AN2720" s="1">
        <v>17704.0</v>
      </c>
      <c r="AO2720" s="1">
        <v>17704.0</v>
      </c>
      <c r="AP2720" s="1">
        <v>6.782</v>
      </c>
      <c r="AR2720" s="1">
        <v>0.0</v>
      </c>
      <c r="AW2720" s="1">
        <v>0.0</v>
      </c>
      <c r="AX2720" s="1">
        <v>6.0</v>
      </c>
      <c r="AY2720" s="1">
        <v>5.0</v>
      </c>
      <c r="BA2720" s="1">
        <v>0.0</v>
      </c>
      <c r="BB2720" s="1">
        <v>0.0</v>
      </c>
      <c r="BC2720" s="1">
        <v>0.0</v>
      </c>
      <c r="BD2720" s="1">
        <v>0.0</v>
      </c>
      <c r="BE2720" s="1">
        <v>0.0</v>
      </c>
      <c r="BF2720" s="1">
        <v>0.0</v>
      </c>
      <c r="BG2720" s="1">
        <v>0.0</v>
      </c>
      <c r="BH2720" s="1">
        <v>0.0</v>
      </c>
      <c r="BI2720" s="1">
        <v>0.0</v>
      </c>
      <c r="BJ2720" s="1">
        <v>0.0</v>
      </c>
      <c r="BP2720" s="1">
        <v>0.331</v>
      </c>
      <c r="BQ2720" s="1" t="s">
        <v>8379</v>
      </c>
      <c r="BV2720" s="1">
        <v>1.1</v>
      </c>
      <c r="EQ2720" s="9" t="s">
        <v>8418</v>
      </c>
      <c r="ER2720" s="21">
        <v>46045.30328703704</v>
      </c>
    </row>
    <row r="2721">
      <c r="A2721" s="9" t="s">
        <v>8419</v>
      </c>
      <c r="B2721" s="20" t="str">
        <f>IFERROR(__xludf.DUMMYFUNCTION("REGEXREPLACE(A2721, ""^https?://[^/]+"", """")"),"/wp-content/themes/salesxceleratione/assets/css/style.css?ver=1769123695")</f>
        <v>/wp-content/themes/salesxceleratione/assets/css/style.css?ver=1769123695</v>
      </c>
      <c r="F2721" s="1" t="s">
        <v>1016</v>
      </c>
      <c r="G2721" s="1">
        <v>200.0</v>
      </c>
      <c r="H2721" s="1" t="s">
        <v>966</v>
      </c>
      <c r="I2721" s="1" t="s">
        <v>967</v>
      </c>
      <c r="L2721" s="1">
        <v>0.0</v>
      </c>
      <c r="M2721" s="1">
        <v>0.0</v>
      </c>
      <c r="O2721" s="1">
        <v>0.0</v>
      </c>
      <c r="P2721" s="1">
        <v>0.0</v>
      </c>
      <c r="R2721" s="1">
        <v>0.0</v>
      </c>
      <c r="S2721" s="1">
        <v>0.0</v>
      </c>
      <c r="U2721" s="1">
        <v>0.0</v>
      </c>
      <c r="W2721" s="1">
        <v>0.0</v>
      </c>
      <c r="Y2721" s="1">
        <v>0.0</v>
      </c>
      <c r="AA2721" s="1">
        <v>0.0</v>
      </c>
      <c r="AC2721" s="1">
        <v>0.0</v>
      </c>
      <c r="AM2721" s="1">
        <v>17704.0</v>
      </c>
      <c r="AN2721" s="1">
        <v>17704.0</v>
      </c>
      <c r="AO2721" s="1">
        <v>17704.0</v>
      </c>
      <c r="AP2721" s="1">
        <v>6.782</v>
      </c>
      <c r="AR2721" s="1">
        <v>0.0</v>
      </c>
      <c r="AW2721" s="1">
        <v>0.0</v>
      </c>
      <c r="AX2721" s="1">
        <v>6.0</v>
      </c>
      <c r="AY2721" s="1">
        <v>5.0</v>
      </c>
      <c r="BA2721" s="1">
        <v>0.0</v>
      </c>
      <c r="BB2721" s="1">
        <v>0.0</v>
      </c>
      <c r="BC2721" s="1">
        <v>0.0</v>
      </c>
      <c r="BD2721" s="1">
        <v>0.0</v>
      </c>
      <c r="BE2721" s="1">
        <v>0.0</v>
      </c>
      <c r="BF2721" s="1">
        <v>0.0</v>
      </c>
      <c r="BG2721" s="1">
        <v>0.0</v>
      </c>
      <c r="BH2721" s="1">
        <v>0.0</v>
      </c>
      <c r="BI2721" s="1">
        <v>0.0</v>
      </c>
      <c r="BJ2721" s="1">
        <v>0.0</v>
      </c>
      <c r="BP2721" s="1">
        <v>0.277</v>
      </c>
      <c r="BQ2721" s="1" t="s">
        <v>7228</v>
      </c>
      <c r="BV2721" s="1">
        <v>1.1</v>
      </c>
      <c r="EQ2721" s="9" t="s">
        <v>8419</v>
      </c>
      <c r="ER2721" s="21">
        <v>46045.30328703704</v>
      </c>
    </row>
    <row r="2722">
      <c r="A2722" s="9" t="s">
        <v>8420</v>
      </c>
      <c r="B2722" s="20" t="str">
        <f>IFERROR(__xludf.DUMMYFUNCTION("REGEXREPLACE(A2722, ""^https?://[^/]+"", """")"),"/wp-content/uploads/2024/02/Achieving-Sales-Excellence_Target-Market.jpg")</f>
        <v>/wp-content/uploads/2024/02/Achieving-Sales-Excellence_Target-Market.jpg</v>
      </c>
      <c r="F2722" s="1" t="s">
        <v>1004</v>
      </c>
      <c r="G2722" s="1">
        <v>200.0</v>
      </c>
      <c r="H2722" s="1" t="s">
        <v>966</v>
      </c>
      <c r="I2722" s="1" t="s">
        <v>967</v>
      </c>
      <c r="L2722" s="1">
        <v>0.0</v>
      </c>
      <c r="M2722" s="1">
        <v>0.0</v>
      </c>
      <c r="O2722" s="1">
        <v>0.0</v>
      </c>
      <c r="P2722" s="1">
        <v>0.0</v>
      </c>
      <c r="R2722" s="1">
        <v>0.0</v>
      </c>
      <c r="S2722" s="1">
        <v>0.0</v>
      </c>
      <c r="U2722" s="1">
        <v>0.0</v>
      </c>
      <c r="W2722" s="1">
        <v>0.0</v>
      </c>
      <c r="Y2722" s="1">
        <v>0.0</v>
      </c>
      <c r="AA2722" s="1">
        <v>0.0</v>
      </c>
      <c r="AC2722" s="1">
        <v>0.0</v>
      </c>
      <c r="AM2722" s="1">
        <v>95300.0</v>
      </c>
      <c r="AN2722" s="1">
        <v>95300.0</v>
      </c>
      <c r="AO2722" s="1">
        <v>95300.0</v>
      </c>
      <c r="AP2722" s="1">
        <v>36.508</v>
      </c>
      <c r="AR2722" s="1">
        <v>0.0</v>
      </c>
      <c r="AW2722" s="1">
        <v>0.0</v>
      </c>
      <c r="AX2722" s="1">
        <v>6.0</v>
      </c>
      <c r="AY2722" s="1">
        <v>4.0</v>
      </c>
      <c r="BA2722" s="1">
        <v>0.0</v>
      </c>
      <c r="BB2722" s="1">
        <v>0.0</v>
      </c>
      <c r="BC2722" s="1">
        <v>0.0</v>
      </c>
      <c r="BD2722" s="1">
        <v>0.0</v>
      </c>
      <c r="BE2722" s="1">
        <v>0.0</v>
      </c>
      <c r="BF2722" s="1">
        <v>0.0</v>
      </c>
      <c r="BG2722" s="1">
        <v>0.0</v>
      </c>
      <c r="BH2722" s="1">
        <v>0.0</v>
      </c>
      <c r="BI2722" s="1">
        <v>0.0</v>
      </c>
      <c r="BJ2722" s="1">
        <v>0.0</v>
      </c>
      <c r="BP2722" s="1">
        <v>0.273</v>
      </c>
      <c r="BQ2722" s="1" t="s">
        <v>8421</v>
      </c>
      <c r="BV2722" s="1">
        <v>1.1</v>
      </c>
      <c r="EQ2722" s="9" t="s">
        <v>8420</v>
      </c>
      <c r="ER2722" s="21">
        <v>46045.30328703704</v>
      </c>
    </row>
    <row r="2723">
      <c r="A2723" s="9" t="s">
        <v>8422</v>
      </c>
      <c r="B2723" s="20" t="str">
        <f>IFERROR(__xludf.DUMMYFUNCTION("REGEXREPLACE(A2723, ""^https?://[^/]+"", """")"),"/wp-content/uploads/2024/05/Competitive-Positioning.jpg")</f>
        <v>/wp-content/uploads/2024/05/Competitive-Positioning.jpg</v>
      </c>
      <c r="F2723" s="1" t="s">
        <v>1004</v>
      </c>
      <c r="G2723" s="1">
        <v>200.0</v>
      </c>
      <c r="H2723" s="1" t="s">
        <v>966</v>
      </c>
      <c r="I2723" s="1" t="s">
        <v>967</v>
      </c>
      <c r="L2723" s="1">
        <v>0.0</v>
      </c>
      <c r="M2723" s="1">
        <v>0.0</v>
      </c>
      <c r="O2723" s="1">
        <v>0.0</v>
      </c>
      <c r="P2723" s="1">
        <v>0.0</v>
      </c>
      <c r="R2723" s="1">
        <v>0.0</v>
      </c>
      <c r="S2723" s="1">
        <v>0.0</v>
      </c>
      <c r="U2723" s="1">
        <v>0.0</v>
      </c>
      <c r="W2723" s="1">
        <v>0.0</v>
      </c>
      <c r="Y2723" s="1">
        <v>0.0</v>
      </c>
      <c r="AA2723" s="1">
        <v>0.0</v>
      </c>
      <c r="AC2723" s="1">
        <v>0.0</v>
      </c>
      <c r="AM2723" s="1">
        <v>326840.0</v>
      </c>
      <c r="AN2723" s="1">
        <v>326840.0</v>
      </c>
      <c r="AO2723" s="1">
        <v>326840.0</v>
      </c>
      <c r="AP2723" s="1">
        <v>125.206</v>
      </c>
      <c r="AR2723" s="1">
        <v>0.0</v>
      </c>
      <c r="AW2723" s="1">
        <v>0.0</v>
      </c>
      <c r="AX2723" s="1">
        <v>6.0</v>
      </c>
      <c r="AY2723" s="1">
        <v>4.0</v>
      </c>
      <c r="BA2723" s="1">
        <v>0.0</v>
      </c>
      <c r="BB2723" s="1">
        <v>0.0</v>
      </c>
      <c r="BC2723" s="1">
        <v>0.0</v>
      </c>
      <c r="BD2723" s="1">
        <v>0.0</v>
      </c>
      <c r="BE2723" s="1">
        <v>0.0</v>
      </c>
      <c r="BF2723" s="1">
        <v>0.0</v>
      </c>
      <c r="BG2723" s="1">
        <v>0.0</v>
      </c>
      <c r="BH2723" s="1">
        <v>0.0</v>
      </c>
      <c r="BI2723" s="1">
        <v>0.0</v>
      </c>
      <c r="BJ2723" s="1">
        <v>0.0</v>
      </c>
      <c r="BP2723" s="1">
        <v>0.315</v>
      </c>
      <c r="BQ2723" s="1" t="s">
        <v>8423</v>
      </c>
      <c r="BV2723" s="1">
        <v>1.1</v>
      </c>
      <c r="EQ2723" s="9" t="s">
        <v>8422</v>
      </c>
      <c r="ER2723" s="21">
        <v>46045.30328703704</v>
      </c>
    </row>
    <row r="2724">
      <c r="A2724" s="9" t="s">
        <v>8424</v>
      </c>
      <c r="B2724" s="20" t="str">
        <f>IFERROR(__xludf.DUMMYFUNCTION("REGEXREPLACE(A2724, ""^https?://[^/]+"", """")"),"/wp-content/uploads/2020/09/Career-Crossroads-scaled-1-2048x2048.jpg")</f>
        <v>/wp-content/uploads/2020/09/Career-Crossroads-scaled-1-2048x2048.jpg</v>
      </c>
      <c r="F2724" s="1" t="s">
        <v>1004</v>
      </c>
      <c r="G2724" s="1">
        <v>200.0</v>
      </c>
      <c r="H2724" s="1" t="s">
        <v>966</v>
      </c>
      <c r="I2724" s="1" t="s">
        <v>967</v>
      </c>
      <c r="L2724" s="1">
        <v>0.0</v>
      </c>
      <c r="M2724" s="1">
        <v>0.0</v>
      </c>
      <c r="O2724" s="1">
        <v>0.0</v>
      </c>
      <c r="P2724" s="1">
        <v>0.0</v>
      </c>
      <c r="R2724" s="1">
        <v>0.0</v>
      </c>
      <c r="S2724" s="1">
        <v>0.0</v>
      </c>
      <c r="U2724" s="1">
        <v>0.0</v>
      </c>
      <c r="W2724" s="1">
        <v>0.0</v>
      </c>
      <c r="Y2724" s="1">
        <v>0.0</v>
      </c>
      <c r="AA2724" s="1">
        <v>0.0</v>
      </c>
      <c r="AC2724" s="1">
        <v>0.0</v>
      </c>
      <c r="AM2724" s="1">
        <v>202049.0</v>
      </c>
      <c r="AN2724" s="1">
        <v>202049.0</v>
      </c>
      <c r="AO2724" s="1">
        <v>202049.0</v>
      </c>
      <c r="AP2724" s="1">
        <v>77.401</v>
      </c>
      <c r="AR2724" s="1">
        <v>0.0</v>
      </c>
      <c r="AW2724" s="1">
        <v>0.0</v>
      </c>
      <c r="AX2724" s="1">
        <v>6.0</v>
      </c>
      <c r="AY2724" s="1">
        <v>4.0</v>
      </c>
      <c r="BA2724" s="1">
        <v>0.0</v>
      </c>
      <c r="BB2724" s="1">
        <v>0.0</v>
      </c>
      <c r="BC2724" s="1">
        <v>0.0</v>
      </c>
      <c r="BD2724" s="1">
        <v>0.0</v>
      </c>
      <c r="BE2724" s="1">
        <v>0.0</v>
      </c>
      <c r="BF2724" s="1">
        <v>0.0</v>
      </c>
      <c r="BG2724" s="1">
        <v>0.0</v>
      </c>
      <c r="BH2724" s="1">
        <v>0.0</v>
      </c>
      <c r="BI2724" s="1">
        <v>0.0</v>
      </c>
      <c r="BJ2724" s="1">
        <v>0.0</v>
      </c>
      <c r="BP2724" s="1">
        <v>0.264</v>
      </c>
      <c r="BQ2724" s="1" t="s">
        <v>6510</v>
      </c>
      <c r="BV2724" s="1">
        <v>1.1</v>
      </c>
      <c r="EQ2724" s="9" t="s">
        <v>8424</v>
      </c>
      <c r="ER2724" s="21">
        <v>46045.30328703704</v>
      </c>
    </row>
    <row r="2725">
      <c r="A2725" s="9" t="s">
        <v>8425</v>
      </c>
      <c r="B2725" s="20" t="str">
        <f>IFERROR(__xludf.DUMMYFUNCTION("REGEXREPLACE(A2725, ""^https?://[^/]+"", """")"),"/wp-content/uploads/2021/05/4-Key-Investments-New-Business-Owner-Must-Make-1024x682-1-2048x2048.jpg")</f>
        <v>/wp-content/uploads/2021/05/4-Key-Investments-New-Business-Owner-Must-Make-1024x682-1-2048x2048.jpg</v>
      </c>
      <c r="F2725" s="1" t="s">
        <v>1004</v>
      </c>
      <c r="G2725" s="1">
        <v>200.0</v>
      </c>
      <c r="H2725" s="1" t="s">
        <v>966</v>
      </c>
      <c r="I2725" s="1" t="s">
        <v>967</v>
      </c>
      <c r="L2725" s="1">
        <v>0.0</v>
      </c>
      <c r="M2725" s="1">
        <v>0.0</v>
      </c>
      <c r="O2725" s="1">
        <v>0.0</v>
      </c>
      <c r="P2725" s="1">
        <v>0.0</v>
      </c>
      <c r="R2725" s="1">
        <v>0.0</v>
      </c>
      <c r="S2725" s="1">
        <v>0.0</v>
      </c>
      <c r="U2725" s="1">
        <v>0.0</v>
      </c>
      <c r="W2725" s="1">
        <v>0.0</v>
      </c>
      <c r="Y2725" s="1">
        <v>0.0</v>
      </c>
      <c r="AA2725" s="1">
        <v>0.0</v>
      </c>
      <c r="AC2725" s="1">
        <v>0.0</v>
      </c>
      <c r="AM2725" s="1">
        <v>174221.0</v>
      </c>
      <c r="AN2725" s="1">
        <v>174221.0</v>
      </c>
      <c r="AO2725" s="1">
        <v>174221.0</v>
      </c>
      <c r="AP2725" s="1">
        <v>66.741</v>
      </c>
      <c r="AR2725" s="1">
        <v>0.0</v>
      </c>
      <c r="AW2725" s="1">
        <v>0.0</v>
      </c>
      <c r="AX2725" s="1">
        <v>6.0</v>
      </c>
      <c r="AY2725" s="1">
        <v>4.0</v>
      </c>
      <c r="BA2725" s="1">
        <v>0.0</v>
      </c>
      <c r="BB2725" s="1">
        <v>0.0</v>
      </c>
      <c r="BC2725" s="1">
        <v>0.0</v>
      </c>
      <c r="BD2725" s="1">
        <v>0.0</v>
      </c>
      <c r="BE2725" s="1">
        <v>0.0</v>
      </c>
      <c r="BF2725" s="1">
        <v>0.0</v>
      </c>
      <c r="BG2725" s="1">
        <v>0.0</v>
      </c>
      <c r="BH2725" s="1">
        <v>0.0</v>
      </c>
      <c r="BI2725" s="1">
        <v>0.0</v>
      </c>
      <c r="BJ2725" s="1">
        <v>0.0</v>
      </c>
      <c r="BP2725" s="1">
        <v>0.265</v>
      </c>
      <c r="BQ2725" s="1" t="s">
        <v>8426</v>
      </c>
      <c r="BV2725" s="1">
        <v>1.1</v>
      </c>
      <c r="EQ2725" s="9" t="s">
        <v>8425</v>
      </c>
      <c r="ER2725" s="21">
        <v>46045.30328703704</v>
      </c>
    </row>
    <row r="2726">
      <c r="A2726" s="9" t="s">
        <v>8427</v>
      </c>
      <c r="B2726" s="20" t="str">
        <f>IFERROR(__xludf.DUMMYFUNCTION("REGEXREPLACE(A2726, ""^https?://[^/]+"", """")"),"/wp-content/uploads/2020/10/Sales-Leadership-Consultant-Leading-a-Sales-Meeting-scaled-1-2048x2048.jpg")</f>
        <v>/wp-content/uploads/2020/10/Sales-Leadership-Consultant-Leading-a-Sales-Meeting-scaled-1-2048x2048.jpg</v>
      </c>
      <c r="F2726" s="1" t="s">
        <v>1004</v>
      </c>
      <c r="G2726" s="1">
        <v>200.0</v>
      </c>
      <c r="H2726" s="1" t="s">
        <v>966</v>
      </c>
      <c r="I2726" s="1" t="s">
        <v>967</v>
      </c>
      <c r="L2726" s="1">
        <v>0.0</v>
      </c>
      <c r="M2726" s="1">
        <v>0.0</v>
      </c>
      <c r="O2726" s="1">
        <v>0.0</v>
      </c>
      <c r="P2726" s="1">
        <v>0.0</v>
      </c>
      <c r="R2726" s="1">
        <v>0.0</v>
      </c>
      <c r="S2726" s="1">
        <v>0.0</v>
      </c>
      <c r="U2726" s="1">
        <v>0.0</v>
      </c>
      <c r="W2726" s="1">
        <v>0.0</v>
      </c>
      <c r="Y2726" s="1">
        <v>0.0</v>
      </c>
      <c r="AA2726" s="1">
        <v>0.0</v>
      </c>
      <c r="AC2726" s="1">
        <v>0.0</v>
      </c>
      <c r="AM2726" s="1">
        <v>284595.0</v>
      </c>
      <c r="AN2726" s="1">
        <v>284595.0</v>
      </c>
      <c r="AO2726" s="1">
        <v>284595.0</v>
      </c>
      <c r="AP2726" s="1">
        <v>109.023</v>
      </c>
      <c r="AR2726" s="1">
        <v>0.0</v>
      </c>
      <c r="AW2726" s="1">
        <v>0.0</v>
      </c>
      <c r="AX2726" s="1">
        <v>6.0</v>
      </c>
      <c r="AY2726" s="1">
        <v>4.0</v>
      </c>
      <c r="BA2726" s="1">
        <v>0.0</v>
      </c>
      <c r="BB2726" s="1">
        <v>0.0</v>
      </c>
      <c r="BC2726" s="1">
        <v>0.0</v>
      </c>
      <c r="BD2726" s="1">
        <v>0.0</v>
      </c>
      <c r="BE2726" s="1">
        <v>0.0</v>
      </c>
      <c r="BF2726" s="1">
        <v>0.0</v>
      </c>
      <c r="BG2726" s="1">
        <v>0.0</v>
      </c>
      <c r="BH2726" s="1">
        <v>0.0</v>
      </c>
      <c r="BI2726" s="1">
        <v>0.0</v>
      </c>
      <c r="BJ2726" s="1">
        <v>0.0</v>
      </c>
      <c r="BP2726" s="1">
        <v>0.266</v>
      </c>
      <c r="BQ2726" s="1" t="s">
        <v>6508</v>
      </c>
      <c r="BV2726" s="1">
        <v>1.1</v>
      </c>
      <c r="EQ2726" s="9" t="s">
        <v>8427</v>
      </c>
      <c r="ER2726" s="21">
        <v>46045.30328703704</v>
      </c>
    </row>
    <row r="2727">
      <c r="A2727" s="9" t="s">
        <v>8428</v>
      </c>
      <c r="B2727" s="20" t="str">
        <f>IFERROR(__xludf.DUMMYFUNCTION("REGEXREPLACE(A2727, ""^https?://[^/]+"", """")"),"/wp-content/uploads/2020/11/Happy-Sales-Leader-Leading-a-Meeting-scaled-1-2048x2048.jpg")</f>
        <v>/wp-content/uploads/2020/11/Happy-Sales-Leader-Leading-a-Meeting-scaled-1-2048x2048.jpg</v>
      </c>
      <c r="F2727" s="1" t="s">
        <v>1004</v>
      </c>
      <c r="G2727" s="1">
        <v>200.0</v>
      </c>
      <c r="H2727" s="1" t="s">
        <v>966</v>
      </c>
      <c r="I2727" s="1" t="s">
        <v>967</v>
      </c>
      <c r="L2727" s="1">
        <v>0.0</v>
      </c>
      <c r="M2727" s="1">
        <v>0.0</v>
      </c>
      <c r="O2727" s="1">
        <v>0.0</v>
      </c>
      <c r="P2727" s="1">
        <v>0.0</v>
      </c>
      <c r="R2727" s="1">
        <v>0.0</v>
      </c>
      <c r="S2727" s="1">
        <v>0.0</v>
      </c>
      <c r="U2727" s="1">
        <v>0.0</v>
      </c>
      <c r="W2727" s="1">
        <v>0.0</v>
      </c>
      <c r="Y2727" s="1">
        <v>0.0</v>
      </c>
      <c r="AA2727" s="1">
        <v>0.0</v>
      </c>
      <c r="AC2727" s="1">
        <v>0.0</v>
      </c>
      <c r="AM2727" s="1">
        <v>279909.0</v>
      </c>
      <c r="AN2727" s="1">
        <v>279909.0</v>
      </c>
      <c r="AO2727" s="1">
        <v>279909.0</v>
      </c>
      <c r="AP2727" s="1">
        <v>107.228</v>
      </c>
      <c r="AR2727" s="1">
        <v>0.0</v>
      </c>
      <c r="AW2727" s="1">
        <v>0.0</v>
      </c>
      <c r="AX2727" s="1">
        <v>6.0</v>
      </c>
      <c r="AY2727" s="1">
        <v>4.0</v>
      </c>
      <c r="BA2727" s="1">
        <v>0.0</v>
      </c>
      <c r="BB2727" s="1">
        <v>0.0</v>
      </c>
      <c r="BC2727" s="1">
        <v>0.0</v>
      </c>
      <c r="BD2727" s="1">
        <v>0.0</v>
      </c>
      <c r="BE2727" s="1">
        <v>0.0</v>
      </c>
      <c r="BF2727" s="1">
        <v>0.0</v>
      </c>
      <c r="BG2727" s="1">
        <v>0.0</v>
      </c>
      <c r="BH2727" s="1">
        <v>0.0</v>
      </c>
      <c r="BI2727" s="1">
        <v>0.0</v>
      </c>
      <c r="BJ2727" s="1">
        <v>0.0</v>
      </c>
      <c r="BP2727" s="1">
        <v>0.27</v>
      </c>
      <c r="BQ2727" s="1" t="s">
        <v>8429</v>
      </c>
      <c r="BV2727" s="1">
        <v>1.1</v>
      </c>
      <c r="EQ2727" s="9" t="s">
        <v>8428</v>
      </c>
      <c r="ER2727" s="21">
        <v>46045.30328703704</v>
      </c>
    </row>
    <row r="2728">
      <c r="A2728" s="9" t="s">
        <v>8430</v>
      </c>
      <c r="B2728" s="20" t="str">
        <f>IFERROR(__xludf.DUMMYFUNCTION("REGEXREPLACE(A2728, ""^https?://[^/]+"", """")"),"/infographics/competitor-sales-analysis-checklist/")</f>
        <v>/infographics/competitor-sales-analysis-checklist/</v>
      </c>
      <c r="F2728" s="1" t="s">
        <v>965</v>
      </c>
      <c r="G2728" s="1">
        <v>302.0</v>
      </c>
      <c r="H2728" s="1" t="s">
        <v>2980</v>
      </c>
      <c r="I2728" s="1" t="s">
        <v>1214</v>
      </c>
      <c r="J2728" s="1" t="s">
        <v>1305</v>
      </c>
      <c r="L2728" s="1">
        <v>0.0</v>
      </c>
      <c r="M2728" s="1">
        <v>0.0</v>
      </c>
      <c r="O2728" s="1">
        <v>0.0</v>
      </c>
      <c r="P2728" s="1">
        <v>0.0</v>
      </c>
      <c r="R2728" s="1">
        <v>0.0</v>
      </c>
      <c r="S2728" s="1">
        <v>0.0</v>
      </c>
      <c r="U2728" s="1">
        <v>0.0</v>
      </c>
      <c r="W2728" s="1">
        <v>0.0</v>
      </c>
      <c r="Y2728" s="1">
        <v>0.0</v>
      </c>
      <c r="AA2728" s="1">
        <v>0.0</v>
      </c>
      <c r="AC2728" s="1">
        <v>0.0</v>
      </c>
      <c r="AM2728" s="1">
        <v>0.0</v>
      </c>
      <c r="AN2728" s="1">
        <v>0.0</v>
      </c>
      <c r="AO2728" s="1">
        <v>0.0</v>
      </c>
      <c r="AP2728" s="1">
        <v>0.0</v>
      </c>
      <c r="AR2728" s="1">
        <v>0.0</v>
      </c>
      <c r="AW2728" s="1">
        <v>0.0</v>
      </c>
      <c r="AX2728" s="1">
        <v>6.0</v>
      </c>
      <c r="AY2728" s="1">
        <v>2.0</v>
      </c>
      <c r="BA2728" s="1">
        <v>1.0</v>
      </c>
      <c r="BB2728" s="1">
        <v>1.0</v>
      </c>
      <c r="BC2728" s="1">
        <v>0.0</v>
      </c>
      <c r="BD2728" s="1">
        <v>0.13</v>
      </c>
      <c r="BE2728" s="1">
        <v>0.0</v>
      </c>
      <c r="BF2728" s="1">
        <v>0.0</v>
      </c>
      <c r="BG2728" s="1">
        <v>0.0</v>
      </c>
      <c r="BH2728" s="1">
        <v>0.0</v>
      </c>
      <c r="BI2728" s="1">
        <v>0.0</v>
      </c>
      <c r="BJ2728" s="1">
        <v>0.0</v>
      </c>
      <c r="BP2728" s="1">
        <v>0.563</v>
      </c>
      <c r="BR2728" s="9" t="s">
        <v>8431</v>
      </c>
      <c r="BS2728" s="1" t="s">
        <v>1307</v>
      </c>
      <c r="BV2728" s="1">
        <v>1.1</v>
      </c>
      <c r="EQ2728" s="9" t="s">
        <v>8430</v>
      </c>
      <c r="ER2728" s="21">
        <v>46045.30328703704</v>
      </c>
    </row>
    <row r="2729">
      <c r="A2729" s="9" t="s">
        <v>8432</v>
      </c>
      <c r="B2729" s="20" t="str">
        <f>IFERROR(__xludf.DUMMYFUNCTION("REGEXREPLACE(A2729, ""^https?://[^/]+"", """")"),"/wp-content/uploads/2023/02/sales-leaders-working-together.jpg")</f>
        <v>/wp-content/uploads/2023/02/sales-leaders-working-together.jpg</v>
      </c>
      <c r="F2729" s="1" t="s">
        <v>1004</v>
      </c>
      <c r="G2729" s="1">
        <v>200.0</v>
      </c>
      <c r="H2729" s="1" t="s">
        <v>966</v>
      </c>
      <c r="I2729" s="1" t="s">
        <v>967</v>
      </c>
      <c r="L2729" s="1">
        <v>0.0</v>
      </c>
      <c r="M2729" s="1">
        <v>0.0</v>
      </c>
      <c r="O2729" s="1">
        <v>0.0</v>
      </c>
      <c r="P2729" s="1">
        <v>0.0</v>
      </c>
      <c r="R2729" s="1">
        <v>0.0</v>
      </c>
      <c r="S2729" s="1">
        <v>0.0</v>
      </c>
      <c r="U2729" s="1">
        <v>0.0</v>
      </c>
      <c r="W2729" s="1">
        <v>0.0</v>
      </c>
      <c r="Y2729" s="1">
        <v>0.0</v>
      </c>
      <c r="AA2729" s="1">
        <v>0.0</v>
      </c>
      <c r="AC2729" s="1">
        <v>0.0</v>
      </c>
      <c r="AM2729" s="1">
        <v>329046.0</v>
      </c>
      <c r="AN2729" s="1">
        <v>329046.0</v>
      </c>
      <c r="AO2729" s="1">
        <v>329046.0</v>
      </c>
      <c r="AP2729" s="1">
        <v>126.051</v>
      </c>
      <c r="AR2729" s="1">
        <v>0.0</v>
      </c>
      <c r="AW2729" s="1">
        <v>0.0</v>
      </c>
      <c r="AX2729" s="1">
        <v>6.0</v>
      </c>
      <c r="AY2729" s="1">
        <v>4.0</v>
      </c>
      <c r="BA2729" s="1">
        <v>0.0</v>
      </c>
      <c r="BB2729" s="1">
        <v>0.0</v>
      </c>
      <c r="BC2729" s="1">
        <v>0.0</v>
      </c>
      <c r="BD2729" s="1">
        <v>0.0</v>
      </c>
      <c r="BE2729" s="1">
        <v>0.0</v>
      </c>
      <c r="BF2729" s="1">
        <v>0.0</v>
      </c>
      <c r="BG2729" s="1">
        <v>0.0</v>
      </c>
      <c r="BH2729" s="1">
        <v>0.0</v>
      </c>
      <c r="BI2729" s="1">
        <v>0.0</v>
      </c>
      <c r="BJ2729" s="1">
        <v>0.0</v>
      </c>
      <c r="BP2729" s="1">
        <v>0.266</v>
      </c>
      <c r="BQ2729" s="1" t="s">
        <v>8433</v>
      </c>
      <c r="BV2729" s="1">
        <v>1.1</v>
      </c>
      <c r="EQ2729" s="9" t="s">
        <v>8432</v>
      </c>
      <c r="ER2729" s="21">
        <v>46045.303298611114</v>
      </c>
    </row>
    <row r="2730">
      <c r="A2730" s="9" t="s">
        <v>8434</v>
      </c>
      <c r="B2730" s="20" t="str">
        <f>IFERROR(__xludf.DUMMYFUNCTION("REGEXREPLACE(A2730, ""^https?://[^/]+"", """")"),"/wp-content/uploads/2022/05/Weathering-Economic-Downturn-2048x2048.jpg")</f>
        <v>/wp-content/uploads/2022/05/Weathering-Economic-Downturn-2048x2048.jpg</v>
      </c>
      <c r="F2730" s="1" t="s">
        <v>1004</v>
      </c>
      <c r="G2730" s="1">
        <v>200.0</v>
      </c>
      <c r="H2730" s="1" t="s">
        <v>966</v>
      </c>
      <c r="I2730" s="1" t="s">
        <v>967</v>
      </c>
      <c r="L2730" s="1">
        <v>0.0</v>
      </c>
      <c r="M2730" s="1">
        <v>0.0</v>
      </c>
      <c r="O2730" s="1">
        <v>0.0</v>
      </c>
      <c r="P2730" s="1">
        <v>0.0</v>
      </c>
      <c r="R2730" s="1">
        <v>0.0</v>
      </c>
      <c r="S2730" s="1">
        <v>0.0</v>
      </c>
      <c r="U2730" s="1">
        <v>0.0</v>
      </c>
      <c r="W2730" s="1">
        <v>0.0</v>
      </c>
      <c r="Y2730" s="1">
        <v>0.0</v>
      </c>
      <c r="AA2730" s="1">
        <v>0.0</v>
      </c>
      <c r="AC2730" s="1">
        <v>0.0</v>
      </c>
      <c r="AM2730" s="1">
        <v>146680.0</v>
      </c>
      <c r="AN2730" s="1">
        <v>146680.0</v>
      </c>
      <c r="AO2730" s="1">
        <v>146680.0</v>
      </c>
      <c r="AP2730" s="1">
        <v>56.19</v>
      </c>
      <c r="AR2730" s="1">
        <v>0.0</v>
      </c>
      <c r="AW2730" s="1">
        <v>0.0</v>
      </c>
      <c r="AX2730" s="1">
        <v>6.0</v>
      </c>
      <c r="AY2730" s="1">
        <v>4.0</v>
      </c>
      <c r="BA2730" s="1">
        <v>0.0</v>
      </c>
      <c r="BB2730" s="1">
        <v>0.0</v>
      </c>
      <c r="BC2730" s="1">
        <v>0.0</v>
      </c>
      <c r="BD2730" s="1">
        <v>0.0</v>
      </c>
      <c r="BE2730" s="1">
        <v>0.0</v>
      </c>
      <c r="BF2730" s="1">
        <v>0.0</v>
      </c>
      <c r="BG2730" s="1">
        <v>0.0</v>
      </c>
      <c r="BH2730" s="1">
        <v>0.0</v>
      </c>
      <c r="BI2730" s="1">
        <v>0.0</v>
      </c>
      <c r="BJ2730" s="1">
        <v>0.0</v>
      </c>
      <c r="BP2730" s="1">
        <v>0.274</v>
      </c>
      <c r="BQ2730" s="1" t="s">
        <v>8435</v>
      </c>
      <c r="BV2730" s="1">
        <v>1.1</v>
      </c>
      <c r="EQ2730" s="9" t="s">
        <v>8434</v>
      </c>
      <c r="ER2730" s="21">
        <v>46045.303298611114</v>
      </c>
    </row>
    <row r="2731">
      <c r="A2731" s="9" t="s">
        <v>8436</v>
      </c>
      <c r="B2731" s="20" t="str">
        <f>IFERROR(__xludf.DUMMYFUNCTION("REGEXREPLACE(A2731, ""^https?://[^/]+"", """")"),"/infographics/target-market-analysis-checklist/")</f>
        <v>/infographics/target-market-analysis-checklist/</v>
      </c>
      <c r="F2731" s="1" t="s">
        <v>965</v>
      </c>
      <c r="G2731" s="1">
        <v>302.0</v>
      </c>
      <c r="H2731" s="1" t="s">
        <v>2980</v>
      </c>
      <c r="I2731" s="1" t="s">
        <v>1214</v>
      </c>
      <c r="J2731" s="1" t="s">
        <v>1305</v>
      </c>
      <c r="L2731" s="1">
        <v>0.0</v>
      </c>
      <c r="M2731" s="1">
        <v>0.0</v>
      </c>
      <c r="O2731" s="1">
        <v>0.0</v>
      </c>
      <c r="P2731" s="1">
        <v>0.0</v>
      </c>
      <c r="R2731" s="1">
        <v>0.0</v>
      </c>
      <c r="S2731" s="1">
        <v>0.0</v>
      </c>
      <c r="U2731" s="1">
        <v>0.0</v>
      </c>
      <c r="W2731" s="1">
        <v>0.0</v>
      </c>
      <c r="Y2731" s="1">
        <v>0.0</v>
      </c>
      <c r="AA2731" s="1">
        <v>0.0</v>
      </c>
      <c r="AC2731" s="1">
        <v>0.0</v>
      </c>
      <c r="AM2731" s="1">
        <v>0.0</v>
      </c>
      <c r="AN2731" s="1">
        <v>0.0</v>
      </c>
      <c r="AO2731" s="1">
        <v>0.0</v>
      </c>
      <c r="AP2731" s="1">
        <v>0.0</v>
      </c>
      <c r="AR2731" s="1">
        <v>0.0</v>
      </c>
      <c r="AW2731" s="1">
        <v>0.0</v>
      </c>
      <c r="AX2731" s="1">
        <v>6.0</v>
      </c>
      <c r="AY2731" s="1">
        <v>2.0</v>
      </c>
      <c r="BA2731" s="1">
        <v>2.0</v>
      </c>
      <c r="BB2731" s="1">
        <v>2.0</v>
      </c>
      <c r="BC2731" s="1">
        <v>0.0</v>
      </c>
      <c r="BD2731" s="1">
        <v>0.27</v>
      </c>
      <c r="BE2731" s="1">
        <v>0.0</v>
      </c>
      <c r="BF2731" s="1">
        <v>0.0</v>
      </c>
      <c r="BG2731" s="1">
        <v>0.0</v>
      </c>
      <c r="BH2731" s="1">
        <v>0.0</v>
      </c>
      <c r="BI2731" s="1">
        <v>0.0</v>
      </c>
      <c r="BJ2731" s="1">
        <v>0.0</v>
      </c>
      <c r="BP2731" s="1">
        <v>0.564</v>
      </c>
      <c r="BR2731" s="9" t="s">
        <v>8437</v>
      </c>
      <c r="BS2731" s="1" t="s">
        <v>1307</v>
      </c>
      <c r="BV2731" s="1">
        <v>1.1</v>
      </c>
      <c r="EQ2731" s="9" t="s">
        <v>8436</v>
      </c>
      <c r="ER2731" s="21">
        <v>46045.303298611114</v>
      </c>
    </row>
    <row r="2732">
      <c r="A2732" s="9" t="s">
        <v>8438</v>
      </c>
      <c r="B2732" s="20" t="str">
        <f>IFERROR(__xludf.DUMMYFUNCTION("REGEXREPLACE(A2732, ""^https?://[^/]+"", """")"),"/wp-content/uploads/2024/01/Strategic-Roadmap.jpg")</f>
        <v>/wp-content/uploads/2024/01/Strategic-Roadmap.jpg</v>
      </c>
      <c r="F2732" s="1" t="s">
        <v>1004</v>
      </c>
      <c r="G2732" s="1">
        <v>200.0</v>
      </c>
      <c r="H2732" s="1" t="s">
        <v>966</v>
      </c>
      <c r="I2732" s="1" t="s">
        <v>967</v>
      </c>
      <c r="L2732" s="1">
        <v>0.0</v>
      </c>
      <c r="M2732" s="1">
        <v>0.0</v>
      </c>
      <c r="O2732" s="1">
        <v>0.0</v>
      </c>
      <c r="P2732" s="1">
        <v>0.0</v>
      </c>
      <c r="R2732" s="1">
        <v>0.0</v>
      </c>
      <c r="S2732" s="1">
        <v>0.0</v>
      </c>
      <c r="U2732" s="1">
        <v>0.0</v>
      </c>
      <c r="W2732" s="1">
        <v>0.0</v>
      </c>
      <c r="Y2732" s="1">
        <v>0.0</v>
      </c>
      <c r="AA2732" s="1">
        <v>0.0</v>
      </c>
      <c r="AC2732" s="1">
        <v>0.0</v>
      </c>
      <c r="AM2732" s="1">
        <v>264616.0</v>
      </c>
      <c r="AN2732" s="1">
        <v>264616.0</v>
      </c>
      <c r="AO2732" s="1">
        <v>264616.0</v>
      </c>
      <c r="AP2732" s="1">
        <v>101.369</v>
      </c>
      <c r="AR2732" s="1">
        <v>0.0</v>
      </c>
      <c r="AW2732" s="1">
        <v>0.0</v>
      </c>
      <c r="AX2732" s="1">
        <v>6.0</v>
      </c>
      <c r="AY2732" s="1">
        <v>4.0</v>
      </c>
      <c r="BA2732" s="1">
        <v>0.0</v>
      </c>
      <c r="BB2732" s="1">
        <v>0.0</v>
      </c>
      <c r="BC2732" s="1">
        <v>0.0</v>
      </c>
      <c r="BD2732" s="1">
        <v>0.0</v>
      </c>
      <c r="BE2732" s="1">
        <v>0.0</v>
      </c>
      <c r="BF2732" s="1">
        <v>0.0</v>
      </c>
      <c r="BG2732" s="1">
        <v>0.0</v>
      </c>
      <c r="BH2732" s="1">
        <v>0.0</v>
      </c>
      <c r="BI2732" s="1">
        <v>0.0</v>
      </c>
      <c r="BJ2732" s="1">
        <v>0.0</v>
      </c>
      <c r="BP2732" s="1">
        <v>0.262</v>
      </c>
      <c r="BQ2732" s="1" t="s">
        <v>8439</v>
      </c>
      <c r="BV2732" s="1">
        <v>1.1</v>
      </c>
      <c r="EQ2732" s="9" t="s">
        <v>8438</v>
      </c>
      <c r="ER2732" s="21">
        <v>46045.303298611114</v>
      </c>
    </row>
    <row r="2733">
      <c r="A2733" s="9" t="s">
        <v>8440</v>
      </c>
      <c r="B2733" s="20" t="str">
        <f>IFERROR(__xludf.DUMMYFUNCTION("REGEXREPLACE(A2733, ""^https?://[^/]+"", """")"),"/wp-content/uploads/2022/05/Sales-Team-Strategizing-2048x2048.jpg")</f>
        <v>/wp-content/uploads/2022/05/Sales-Team-Strategizing-2048x2048.jpg</v>
      </c>
      <c r="F2733" s="1" t="s">
        <v>1004</v>
      </c>
      <c r="G2733" s="1">
        <v>200.0</v>
      </c>
      <c r="H2733" s="1" t="s">
        <v>966</v>
      </c>
      <c r="I2733" s="1" t="s">
        <v>967</v>
      </c>
      <c r="L2733" s="1">
        <v>0.0</v>
      </c>
      <c r="M2733" s="1">
        <v>0.0</v>
      </c>
      <c r="O2733" s="1">
        <v>0.0</v>
      </c>
      <c r="P2733" s="1">
        <v>0.0</v>
      </c>
      <c r="R2733" s="1">
        <v>0.0</v>
      </c>
      <c r="S2733" s="1">
        <v>0.0</v>
      </c>
      <c r="U2733" s="1">
        <v>0.0</v>
      </c>
      <c r="W2733" s="1">
        <v>0.0</v>
      </c>
      <c r="Y2733" s="1">
        <v>0.0</v>
      </c>
      <c r="AA2733" s="1">
        <v>0.0</v>
      </c>
      <c r="AC2733" s="1">
        <v>0.0</v>
      </c>
      <c r="AM2733" s="1">
        <v>204258.0</v>
      </c>
      <c r="AN2733" s="1">
        <v>204258.0</v>
      </c>
      <c r="AO2733" s="1">
        <v>204258.0</v>
      </c>
      <c r="AP2733" s="1">
        <v>78.247</v>
      </c>
      <c r="AR2733" s="1">
        <v>0.0</v>
      </c>
      <c r="AW2733" s="1">
        <v>0.0</v>
      </c>
      <c r="AX2733" s="1">
        <v>6.0</v>
      </c>
      <c r="AY2733" s="1">
        <v>4.0</v>
      </c>
      <c r="BA2733" s="1">
        <v>0.0</v>
      </c>
      <c r="BB2733" s="1">
        <v>0.0</v>
      </c>
      <c r="BC2733" s="1">
        <v>0.0</v>
      </c>
      <c r="BD2733" s="1">
        <v>0.0</v>
      </c>
      <c r="BE2733" s="1">
        <v>0.0</v>
      </c>
      <c r="BF2733" s="1">
        <v>0.0</v>
      </c>
      <c r="BG2733" s="1">
        <v>0.0</v>
      </c>
      <c r="BH2733" s="1">
        <v>0.0</v>
      </c>
      <c r="BI2733" s="1">
        <v>0.0</v>
      </c>
      <c r="BJ2733" s="1">
        <v>0.0</v>
      </c>
      <c r="BP2733" s="1">
        <v>0.284</v>
      </c>
      <c r="BQ2733" s="1" t="s">
        <v>8441</v>
      </c>
      <c r="BV2733" s="1">
        <v>1.1</v>
      </c>
      <c r="EQ2733" s="9" t="s">
        <v>8440</v>
      </c>
      <c r="ER2733" s="21">
        <v>46045.303298611114</v>
      </c>
    </row>
    <row r="2734">
      <c r="A2734" s="9" t="s">
        <v>8442</v>
      </c>
      <c r="B2734" s="20" t="str">
        <f>IFERROR(__xludf.DUMMYFUNCTION("REGEXREPLACE(A2734, ""^https?://[^/]+"", """")"),"/4-key-investments-new-business-owners-should-make/")</f>
        <v>/4-key-investments-new-business-owners-should-make/</v>
      </c>
      <c r="C2734" s="1" t="s">
        <v>8443</v>
      </c>
      <c r="F2734" s="1" t="s">
        <v>965</v>
      </c>
      <c r="G2734" s="1">
        <v>200.0</v>
      </c>
      <c r="H2734" s="1" t="s">
        <v>966</v>
      </c>
      <c r="I2734" s="1" t="s">
        <v>967</v>
      </c>
      <c r="K2734" s="1" t="s">
        <v>8444</v>
      </c>
      <c r="L2734" s="1">
        <v>84.0</v>
      </c>
      <c r="M2734" s="1">
        <v>793.0</v>
      </c>
      <c r="O2734" s="1">
        <v>0.0</v>
      </c>
      <c r="P2734" s="1">
        <v>0.0</v>
      </c>
      <c r="Q2734" s="1" t="s">
        <v>8445</v>
      </c>
      <c r="R2734" s="1">
        <v>105.0</v>
      </c>
      <c r="S2734" s="1">
        <v>630.0</v>
      </c>
      <c r="U2734" s="1">
        <v>0.0</v>
      </c>
      <c r="V2734" s="1" t="s">
        <v>8443</v>
      </c>
      <c r="W2734" s="1">
        <v>59.0</v>
      </c>
      <c r="Y2734" s="1">
        <v>0.0</v>
      </c>
      <c r="AA2734" s="1">
        <v>0.0</v>
      </c>
      <c r="AC2734" s="1">
        <v>0.0</v>
      </c>
      <c r="AD2734" s="1" t="s">
        <v>971</v>
      </c>
      <c r="AG2734" s="9" t="s">
        <v>8442</v>
      </c>
      <c r="AM2734" s="1">
        <v>197881.0</v>
      </c>
      <c r="AN2734" s="1">
        <v>34351.0</v>
      </c>
      <c r="AO2734" s="1">
        <v>34351.0</v>
      </c>
      <c r="AP2734" s="1">
        <v>13.159</v>
      </c>
      <c r="AR2734" s="1">
        <v>736.0</v>
      </c>
      <c r="AS2734" s="1">
        <v>123.0</v>
      </c>
      <c r="AT2734" s="1">
        <v>5.984</v>
      </c>
      <c r="AU2734" s="1">
        <v>62.252</v>
      </c>
      <c r="AV2734" s="1" t="s">
        <v>990</v>
      </c>
      <c r="AW2734" s="1">
        <v>3.476</v>
      </c>
      <c r="AX2734" s="1">
        <v>6.0</v>
      </c>
      <c r="AY2734" s="1">
        <v>1.0</v>
      </c>
      <c r="AZ2734" s="1">
        <v>1.0</v>
      </c>
      <c r="BA2734" s="1">
        <v>3.0</v>
      </c>
      <c r="BB2734" s="1">
        <v>3.0</v>
      </c>
      <c r="BC2734" s="1">
        <v>0.0</v>
      </c>
      <c r="BD2734" s="1">
        <v>0.4</v>
      </c>
      <c r="BE2734" s="1">
        <v>129.0</v>
      </c>
      <c r="BF2734" s="1">
        <v>47.0</v>
      </c>
      <c r="BG2734" s="1">
        <v>0.0</v>
      </c>
      <c r="BH2734" s="1">
        <v>18.0</v>
      </c>
      <c r="BI2734" s="1">
        <v>10.0</v>
      </c>
      <c r="BJ2734" s="1">
        <v>0.0</v>
      </c>
      <c r="BO2734" s="1" t="s">
        <v>8446</v>
      </c>
      <c r="BP2734" s="1">
        <v>0.994</v>
      </c>
      <c r="BU2734" s="1" t="s">
        <v>974</v>
      </c>
      <c r="BV2734" s="1">
        <v>1.1</v>
      </c>
      <c r="EQ2734" s="9" t="s">
        <v>8442</v>
      </c>
      <c r="ER2734" s="21">
        <v>46045.30328703704</v>
      </c>
    </row>
    <row r="2735">
      <c r="A2735" s="9" t="s">
        <v>8447</v>
      </c>
      <c r="B2735" s="20" t="str">
        <f>IFERROR(__xludf.DUMMYFUNCTION("REGEXREPLACE(A2735, ""^https?://[^/]+"", """")"),"/wp-content/themes/salesxceleratione/assets/css/style.css?ver=1769123694")</f>
        <v>/wp-content/themes/salesxceleratione/assets/css/style.css?ver=1769123694</v>
      </c>
      <c r="F2735" s="1" t="s">
        <v>1016</v>
      </c>
      <c r="G2735" s="1">
        <v>200.0</v>
      </c>
      <c r="H2735" s="1" t="s">
        <v>966</v>
      </c>
      <c r="I2735" s="1" t="s">
        <v>967</v>
      </c>
      <c r="L2735" s="1">
        <v>0.0</v>
      </c>
      <c r="M2735" s="1">
        <v>0.0</v>
      </c>
      <c r="O2735" s="1">
        <v>0.0</v>
      </c>
      <c r="P2735" s="1">
        <v>0.0</v>
      </c>
      <c r="R2735" s="1">
        <v>0.0</v>
      </c>
      <c r="S2735" s="1">
        <v>0.0</v>
      </c>
      <c r="U2735" s="1">
        <v>0.0</v>
      </c>
      <c r="W2735" s="1">
        <v>0.0</v>
      </c>
      <c r="Y2735" s="1">
        <v>0.0</v>
      </c>
      <c r="AA2735" s="1">
        <v>0.0</v>
      </c>
      <c r="AC2735" s="1">
        <v>0.0</v>
      </c>
      <c r="AM2735" s="1">
        <v>17704.0</v>
      </c>
      <c r="AN2735" s="1">
        <v>17704.0</v>
      </c>
      <c r="AO2735" s="1">
        <v>17704.0</v>
      </c>
      <c r="AP2735" s="1">
        <v>6.782</v>
      </c>
      <c r="AR2735" s="1">
        <v>0.0</v>
      </c>
      <c r="AW2735" s="1">
        <v>0.0</v>
      </c>
      <c r="AX2735" s="1">
        <v>6.0</v>
      </c>
      <c r="AY2735" s="1">
        <v>5.0</v>
      </c>
      <c r="BA2735" s="1">
        <v>0.0</v>
      </c>
      <c r="BB2735" s="1">
        <v>0.0</v>
      </c>
      <c r="BC2735" s="1">
        <v>0.0</v>
      </c>
      <c r="BD2735" s="1">
        <v>0.0</v>
      </c>
      <c r="BE2735" s="1">
        <v>0.0</v>
      </c>
      <c r="BF2735" s="1">
        <v>0.0</v>
      </c>
      <c r="BG2735" s="1">
        <v>0.0</v>
      </c>
      <c r="BH2735" s="1">
        <v>0.0</v>
      </c>
      <c r="BI2735" s="1">
        <v>0.0</v>
      </c>
      <c r="BJ2735" s="1">
        <v>0.0</v>
      </c>
      <c r="BP2735" s="1">
        <v>0.279</v>
      </c>
      <c r="BQ2735" s="1" t="s">
        <v>8448</v>
      </c>
      <c r="BV2735" s="1">
        <v>1.1</v>
      </c>
      <c r="EQ2735" s="9" t="s">
        <v>8447</v>
      </c>
      <c r="ER2735" s="21">
        <v>46045.30331018518</v>
      </c>
    </row>
    <row r="2736">
      <c r="A2736" s="9" t="s">
        <v>8449</v>
      </c>
      <c r="B2736" s="20" t="str">
        <f>IFERROR(__xludf.DUMMYFUNCTION("REGEXREPLACE(A2736, ""^https?://[^/]+"", """")"),"/recession-proof-strategies-for-sales-leaders/")</f>
        <v>/recession-proof-strategies-for-sales-leaders/</v>
      </c>
      <c r="C2736" s="1" t="s">
        <v>8450</v>
      </c>
      <c r="D2736" s="1" t="s">
        <v>8451</v>
      </c>
      <c r="E2736" s="1" t="s">
        <v>8452</v>
      </c>
      <c r="F2736" s="1" t="s">
        <v>965</v>
      </c>
      <c r="G2736" s="1">
        <v>200.0</v>
      </c>
      <c r="H2736" s="1" t="s">
        <v>966</v>
      </c>
      <c r="I2736" s="1" t="s">
        <v>967</v>
      </c>
      <c r="K2736" s="1" t="s">
        <v>8453</v>
      </c>
      <c r="L2736" s="1">
        <v>69.0</v>
      </c>
      <c r="M2736" s="1">
        <v>619.0</v>
      </c>
      <c r="O2736" s="1">
        <v>0.0</v>
      </c>
      <c r="P2736" s="1">
        <v>0.0</v>
      </c>
      <c r="Q2736" s="1" t="s">
        <v>8454</v>
      </c>
      <c r="R2736" s="1">
        <v>154.0</v>
      </c>
      <c r="S2736" s="1">
        <v>969.0</v>
      </c>
      <c r="U2736" s="1">
        <v>0.0</v>
      </c>
      <c r="V2736" s="1" t="s">
        <v>8450</v>
      </c>
      <c r="W2736" s="1">
        <v>44.0</v>
      </c>
      <c r="Y2736" s="1">
        <v>0.0</v>
      </c>
      <c r="Z2736" s="1" t="s">
        <v>8451</v>
      </c>
      <c r="AA2736" s="1">
        <v>52.0</v>
      </c>
      <c r="AB2736" s="1" t="s">
        <v>8452</v>
      </c>
      <c r="AC2736" s="1">
        <v>39.0</v>
      </c>
      <c r="AD2736" s="1" t="s">
        <v>971</v>
      </c>
      <c r="AG2736" s="9" t="s">
        <v>8449</v>
      </c>
      <c r="AM2736" s="1">
        <v>198039.0</v>
      </c>
      <c r="AN2736" s="1">
        <v>34946.0</v>
      </c>
      <c r="AO2736" s="1">
        <v>34946.0</v>
      </c>
      <c r="AP2736" s="1">
        <v>13.387</v>
      </c>
      <c r="AR2736" s="1">
        <v>1057.0</v>
      </c>
      <c r="AS2736" s="1">
        <v>160.0</v>
      </c>
      <c r="AT2736" s="1">
        <v>6.606</v>
      </c>
      <c r="AU2736" s="1">
        <v>59.343</v>
      </c>
      <c r="AV2736" s="1" t="s">
        <v>972</v>
      </c>
      <c r="AW2736" s="1">
        <v>4.557</v>
      </c>
      <c r="AX2736" s="1">
        <v>6.0</v>
      </c>
      <c r="AY2736" s="1">
        <v>1.0</v>
      </c>
      <c r="AZ2736" s="1">
        <v>1.0</v>
      </c>
      <c r="BA2736" s="1">
        <v>6.0</v>
      </c>
      <c r="BB2736" s="1">
        <v>4.0</v>
      </c>
      <c r="BC2736" s="1">
        <v>0.0</v>
      </c>
      <c r="BD2736" s="1">
        <v>0.53</v>
      </c>
      <c r="BE2736" s="1">
        <v>129.0</v>
      </c>
      <c r="BF2736" s="1">
        <v>47.0</v>
      </c>
      <c r="BG2736" s="1">
        <v>0.0</v>
      </c>
      <c r="BH2736" s="1">
        <v>16.0</v>
      </c>
      <c r="BI2736" s="1">
        <v>8.0</v>
      </c>
      <c r="BJ2736" s="1">
        <v>0.0</v>
      </c>
      <c r="BO2736" s="1" t="s">
        <v>8455</v>
      </c>
      <c r="BP2736" s="1">
        <v>1.005</v>
      </c>
      <c r="BU2736" s="1" t="s">
        <v>974</v>
      </c>
      <c r="BV2736" s="1">
        <v>1.1</v>
      </c>
      <c r="EQ2736" s="9" t="s">
        <v>8449</v>
      </c>
      <c r="ER2736" s="21">
        <v>46045.303298611114</v>
      </c>
    </row>
    <row r="2737">
      <c r="A2737" s="9" t="s">
        <v>8456</v>
      </c>
      <c r="B2737" s="20" t="str">
        <f>IFERROR(__xludf.DUMMYFUNCTION("REGEXREPLACE(A2737, ""^https?://[^/]+"", """")"),"/wp-content/uploads/2024/06/Choosing-Effective-Sales-Channels.jpg")</f>
        <v>/wp-content/uploads/2024/06/Choosing-Effective-Sales-Channels.jpg</v>
      </c>
      <c r="F2737" s="1" t="s">
        <v>1004</v>
      </c>
      <c r="G2737" s="1">
        <v>200.0</v>
      </c>
      <c r="H2737" s="1" t="s">
        <v>966</v>
      </c>
      <c r="I2737" s="1" t="s">
        <v>967</v>
      </c>
      <c r="L2737" s="1">
        <v>0.0</v>
      </c>
      <c r="M2737" s="1">
        <v>0.0</v>
      </c>
      <c r="O2737" s="1">
        <v>0.0</v>
      </c>
      <c r="P2737" s="1">
        <v>0.0</v>
      </c>
      <c r="R2737" s="1">
        <v>0.0</v>
      </c>
      <c r="S2737" s="1">
        <v>0.0</v>
      </c>
      <c r="U2737" s="1">
        <v>0.0</v>
      </c>
      <c r="W2737" s="1">
        <v>0.0</v>
      </c>
      <c r="Y2737" s="1">
        <v>0.0</v>
      </c>
      <c r="AA2737" s="1">
        <v>0.0</v>
      </c>
      <c r="AC2737" s="1">
        <v>0.0</v>
      </c>
      <c r="AM2737" s="1">
        <v>196750.0</v>
      </c>
      <c r="AN2737" s="1">
        <v>196750.0</v>
      </c>
      <c r="AO2737" s="1">
        <v>196750.0</v>
      </c>
      <c r="AP2737" s="1">
        <v>75.371</v>
      </c>
      <c r="AR2737" s="1">
        <v>0.0</v>
      </c>
      <c r="AW2737" s="1">
        <v>0.0</v>
      </c>
      <c r="AX2737" s="1">
        <v>6.0</v>
      </c>
      <c r="AY2737" s="1">
        <v>4.0</v>
      </c>
      <c r="BA2737" s="1">
        <v>0.0</v>
      </c>
      <c r="BB2737" s="1">
        <v>0.0</v>
      </c>
      <c r="BC2737" s="1">
        <v>0.0</v>
      </c>
      <c r="BD2737" s="1">
        <v>0.0</v>
      </c>
      <c r="BE2737" s="1">
        <v>0.0</v>
      </c>
      <c r="BF2737" s="1">
        <v>0.0</v>
      </c>
      <c r="BG2737" s="1">
        <v>0.0</v>
      </c>
      <c r="BH2737" s="1">
        <v>0.0</v>
      </c>
      <c r="BI2737" s="1">
        <v>0.0</v>
      </c>
      <c r="BJ2737" s="1">
        <v>0.0</v>
      </c>
      <c r="BP2737" s="1">
        <v>0.276</v>
      </c>
      <c r="BQ2737" s="1" t="s">
        <v>8457</v>
      </c>
      <c r="BV2737" s="1">
        <v>1.1</v>
      </c>
      <c r="EQ2737" s="9" t="s">
        <v>8456</v>
      </c>
      <c r="ER2737" s="21">
        <v>46045.30331018518</v>
      </c>
    </row>
    <row r="2738">
      <c r="A2738" s="9" t="s">
        <v>8458</v>
      </c>
      <c r="B2738" s="20" t="str">
        <f>IFERROR(__xludf.DUMMYFUNCTION("REGEXREPLACE(A2738, ""^https?://[^/]+"", """")"),"/wp-content/uploads/2017/07/Sales-Success-Buyer-Wants.jpg")</f>
        <v>/wp-content/uploads/2017/07/Sales-Success-Buyer-Wants.jpg</v>
      </c>
      <c r="F2738" s="1" t="s">
        <v>1004</v>
      </c>
      <c r="G2738" s="1">
        <v>200.0</v>
      </c>
      <c r="H2738" s="1" t="s">
        <v>966</v>
      </c>
      <c r="I2738" s="1" t="s">
        <v>967</v>
      </c>
      <c r="L2738" s="1">
        <v>0.0</v>
      </c>
      <c r="M2738" s="1">
        <v>0.0</v>
      </c>
      <c r="O2738" s="1">
        <v>0.0</v>
      </c>
      <c r="P2738" s="1">
        <v>0.0</v>
      </c>
      <c r="R2738" s="1">
        <v>0.0</v>
      </c>
      <c r="S2738" s="1">
        <v>0.0</v>
      </c>
      <c r="U2738" s="1">
        <v>0.0</v>
      </c>
      <c r="W2738" s="1">
        <v>0.0</v>
      </c>
      <c r="Y2738" s="1">
        <v>0.0</v>
      </c>
      <c r="AA2738" s="1">
        <v>0.0</v>
      </c>
      <c r="AC2738" s="1">
        <v>0.0</v>
      </c>
      <c r="AM2738" s="1">
        <v>21449.0</v>
      </c>
      <c r="AN2738" s="1">
        <v>21449.0</v>
      </c>
      <c r="AO2738" s="1">
        <v>21449.0</v>
      </c>
      <c r="AP2738" s="1">
        <v>8.217</v>
      </c>
      <c r="AR2738" s="1">
        <v>0.0</v>
      </c>
      <c r="AW2738" s="1">
        <v>0.0</v>
      </c>
      <c r="AX2738" s="1">
        <v>6.0</v>
      </c>
      <c r="AY2738" s="1">
        <v>4.0</v>
      </c>
      <c r="BA2738" s="1">
        <v>0.0</v>
      </c>
      <c r="BB2738" s="1">
        <v>0.0</v>
      </c>
      <c r="BC2738" s="1">
        <v>0.0</v>
      </c>
      <c r="BD2738" s="1">
        <v>0.0</v>
      </c>
      <c r="BE2738" s="1">
        <v>0.0</v>
      </c>
      <c r="BF2738" s="1">
        <v>0.0</v>
      </c>
      <c r="BG2738" s="1">
        <v>0.0</v>
      </c>
      <c r="BH2738" s="1">
        <v>0.0</v>
      </c>
      <c r="BI2738" s="1">
        <v>0.0</v>
      </c>
      <c r="BJ2738" s="1">
        <v>0.0</v>
      </c>
      <c r="BP2738" s="1">
        <v>0.277</v>
      </c>
      <c r="BQ2738" s="1" t="s">
        <v>8459</v>
      </c>
      <c r="BV2738" s="1">
        <v>1.1</v>
      </c>
      <c r="EQ2738" s="9" t="s">
        <v>8458</v>
      </c>
      <c r="ER2738" s="21">
        <v>46045.30331018518</v>
      </c>
    </row>
    <row r="2739">
      <c r="A2739" s="9" t="s">
        <v>8460</v>
      </c>
      <c r="B2739" s="20" t="str">
        <f>IFERROR(__xludf.DUMMYFUNCTION("REGEXREPLACE(A2739, ""^https?://[^/]+"", """")"),"/wp-content/uploads/2020/09/Online-Sales-Meeting-scaled-1-2048x2048.jpg")</f>
        <v>/wp-content/uploads/2020/09/Online-Sales-Meeting-scaled-1-2048x2048.jpg</v>
      </c>
      <c r="F2739" s="1" t="s">
        <v>1004</v>
      </c>
      <c r="G2739" s="1">
        <v>200.0</v>
      </c>
      <c r="H2739" s="1" t="s">
        <v>966</v>
      </c>
      <c r="I2739" s="1" t="s">
        <v>967</v>
      </c>
      <c r="L2739" s="1">
        <v>0.0</v>
      </c>
      <c r="M2739" s="1">
        <v>0.0</v>
      </c>
      <c r="O2739" s="1">
        <v>0.0</v>
      </c>
      <c r="P2739" s="1">
        <v>0.0</v>
      </c>
      <c r="R2739" s="1">
        <v>0.0</v>
      </c>
      <c r="S2739" s="1">
        <v>0.0</v>
      </c>
      <c r="U2739" s="1">
        <v>0.0</v>
      </c>
      <c r="W2739" s="1">
        <v>0.0</v>
      </c>
      <c r="Y2739" s="1">
        <v>0.0</v>
      </c>
      <c r="AA2739" s="1">
        <v>0.0</v>
      </c>
      <c r="AC2739" s="1">
        <v>0.0</v>
      </c>
      <c r="AM2739" s="1">
        <v>475254.0</v>
      </c>
      <c r="AN2739" s="1">
        <v>475254.0</v>
      </c>
      <c r="AO2739" s="1">
        <v>475254.0</v>
      </c>
      <c r="AP2739" s="1">
        <v>182.061</v>
      </c>
      <c r="AR2739" s="1">
        <v>0.0</v>
      </c>
      <c r="AW2739" s="1">
        <v>0.0</v>
      </c>
      <c r="AX2739" s="1">
        <v>6.0</v>
      </c>
      <c r="AY2739" s="1">
        <v>4.0</v>
      </c>
      <c r="BA2739" s="1">
        <v>0.0</v>
      </c>
      <c r="BB2739" s="1">
        <v>0.0</v>
      </c>
      <c r="BC2739" s="1">
        <v>0.0</v>
      </c>
      <c r="BD2739" s="1">
        <v>0.0</v>
      </c>
      <c r="BE2739" s="1">
        <v>0.0</v>
      </c>
      <c r="BF2739" s="1">
        <v>0.0</v>
      </c>
      <c r="BG2739" s="1">
        <v>0.0</v>
      </c>
      <c r="BH2739" s="1">
        <v>0.0</v>
      </c>
      <c r="BI2739" s="1">
        <v>0.0</v>
      </c>
      <c r="BJ2739" s="1">
        <v>0.0</v>
      </c>
      <c r="BP2739" s="1">
        <v>0.521</v>
      </c>
      <c r="BQ2739" s="1" t="s">
        <v>8461</v>
      </c>
      <c r="BV2739" s="1">
        <v>1.1</v>
      </c>
      <c r="EQ2739" s="9" t="s">
        <v>8460</v>
      </c>
      <c r="ER2739" s="21">
        <v>46045.30331018518</v>
      </c>
    </row>
    <row r="2740">
      <c r="A2740" s="9" t="s">
        <v>8462</v>
      </c>
      <c r="B2740" s="20" t="str">
        <f>IFERROR(__xludf.DUMMYFUNCTION("REGEXREPLACE(A2740, ""^https?://[^/]+"", """")"),"/wp-content/themes/salesxceleratione/assets/css/style.css?ver=1769123693")</f>
        <v>/wp-content/themes/salesxceleratione/assets/css/style.css?ver=1769123693</v>
      </c>
      <c r="F2740" s="1" t="s">
        <v>1016</v>
      </c>
      <c r="G2740" s="1">
        <v>200.0</v>
      </c>
      <c r="H2740" s="1" t="s">
        <v>966</v>
      </c>
      <c r="I2740" s="1" t="s">
        <v>967</v>
      </c>
      <c r="L2740" s="1">
        <v>0.0</v>
      </c>
      <c r="M2740" s="1">
        <v>0.0</v>
      </c>
      <c r="O2740" s="1">
        <v>0.0</v>
      </c>
      <c r="P2740" s="1">
        <v>0.0</v>
      </c>
      <c r="R2740" s="1">
        <v>0.0</v>
      </c>
      <c r="S2740" s="1">
        <v>0.0</v>
      </c>
      <c r="U2740" s="1">
        <v>0.0</v>
      </c>
      <c r="W2740" s="1">
        <v>0.0</v>
      </c>
      <c r="Y2740" s="1">
        <v>0.0</v>
      </c>
      <c r="AA2740" s="1">
        <v>0.0</v>
      </c>
      <c r="AC2740" s="1">
        <v>0.0</v>
      </c>
      <c r="AM2740" s="1">
        <v>17704.0</v>
      </c>
      <c r="AN2740" s="1">
        <v>17704.0</v>
      </c>
      <c r="AO2740" s="1">
        <v>17704.0</v>
      </c>
      <c r="AP2740" s="1">
        <v>6.782</v>
      </c>
      <c r="AR2740" s="1">
        <v>0.0</v>
      </c>
      <c r="AW2740" s="1">
        <v>0.0</v>
      </c>
      <c r="AX2740" s="1">
        <v>6.0</v>
      </c>
      <c r="AY2740" s="1">
        <v>5.0</v>
      </c>
      <c r="BA2740" s="1">
        <v>0.0</v>
      </c>
      <c r="BB2740" s="1">
        <v>0.0</v>
      </c>
      <c r="BC2740" s="1">
        <v>0.0</v>
      </c>
      <c r="BD2740" s="1">
        <v>0.0</v>
      </c>
      <c r="BE2740" s="1">
        <v>0.0</v>
      </c>
      <c r="BF2740" s="1">
        <v>0.0</v>
      </c>
      <c r="BG2740" s="1">
        <v>0.0</v>
      </c>
      <c r="BH2740" s="1">
        <v>0.0</v>
      </c>
      <c r="BI2740" s="1">
        <v>0.0</v>
      </c>
      <c r="BJ2740" s="1">
        <v>0.0</v>
      </c>
      <c r="BP2740" s="1">
        <v>0.595</v>
      </c>
      <c r="BQ2740" s="1" t="s">
        <v>8448</v>
      </c>
      <c r="BV2740" s="1">
        <v>1.1</v>
      </c>
      <c r="EQ2740" s="9" t="s">
        <v>8462</v>
      </c>
      <c r="ER2740" s="21">
        <v>46045.30331018518</v>
      </c>
    </row>
    <row r="2741">
      <c r="A2741" s="9" t="s">
        <v>8463</v>
      </c>
      <c r="B2741" s="20" t="str">
        <f>IFERROR(__xludf.DUMMYFUNCTION("REGEXREPLACE(A2741, ""^https?://[^/]+"", """")"),"/how-to-sell-more-by-selling-less/")</f>
        <v>/how-to-sell-more-by-selling-less/</v>
      </c>
      <c r="C2741" s="1" t="s">
        <v>8464</v>
      </c>
      <c r="D2741" s="1" t="s">
        <v>8465</v>
      </c>
      <c r="E2741" s="1" t="s">
        <v>8466</v>
      </c>
      <c r="F2741" s="1" t="s">
        <v>965</v>
      </c>
      <c r="G2741" s="1">
        <v>200.0</v>
      </c>
      <c r="H2741" s="1" t="s">
        <v>966</v>
      </c>
      <c r="I2741" s="1" t="s">
        <v>967</v>
      </c>
      <c r="K2741" s="1" t="s">
        <v>8467</v>
      </c>
      <c r="L2741" s="1">
        <v>59.0</v>
      </c>
      <c r="M2741" s="1">
        <v>518.0</v>
      </c>
      <c r="O2741" s="1">
        <v>0.0</v>
      </c>
      <c r="P2741" s="1">
        <v>0.0</v>
      </c>
      <c r="Q2741" s="1" t="s">
        <v>8468</v>
      </c>
      <c r="R2741" s="1">
        <v>146.0</v>
      </c>
      <c r="S2741" s="1">
        <v>923.0</v>
      </c>
      <c r="U2741" s="1">
        <v>0.0</v>
      </c>
      <c r="V2741" s="1" t="s">
        <v>8464</v>
      </c>
      <c r="W2741" s="1">
        <v>34.0</v>
      </c>
      <c r="Y2741" s="1">
        <v>0.0</v>
      </c>
      <c r="Z2741" s="1" t="s">
        <v>8465</v>
      </c>
      <c r="AA2741" s="1">
        <v>36.0</v>
      </c>
      <c r="AB2741" s="1" t="s">
        <v>8466</v>
      </c>
      <c r="AC2741" s="1">
        <v>34.0</v>
      </c>
      <c r="AD2741" s="1" t="s">
        <v>971</v>
      </c>
      <c r="AG2741" s="9" t="s">
        <v>8463</v>
      </c>
      <c r="AM2741" s="1">
        <v>197285.0</v>
      </c>
      <c r="AN2741" s="1">
        <v>35604.0</v>
      </c>
      <c r="AO2741" s="1">
        <v>35604.0</v>
      </c>
      <c r="AP2741" s="1">
        <v>13.639</v>
      </c>
      <c r="AR2741" s="1">
        <v>1274.0</v>
      </c>
      <c r="AS2741" s="1">
        <v>201.0</v>
      </c>
      <c r="AT2741" s="1">
        <v>6.338</v>
      </c>
      <c r="AU2741" s="1">
        <v>65.467</v>
      </c>
      <c r="AV2741" s="1" t="s">
        <v>990</v>
      </c>
      <c r="AW2741" s="1">
        <v>5.231</v>
      </c>
      <c r="AX2741" s="1">
        <v>6.0</v>
      </c>
      <c r="AY2741" s="1">
        <v>1.0</v>
      </c>
      <c r="AZ2741" s="1">
        <v>1.0</v>
      </c>
      <c r="BA2741" s="1">
        <v>3.0</v>
      </c>
      <c r="BB2741" s="1">
        <v>3.0</v>
      </c>
      <c r="BC2741" s="1">
        <v>0.0</v>
      </c>
      <c r="BD2741" s="1">
        <v>0.4</v>
      </c>
      <c r="BE2741" s="1">
        <v>131.0</v>
      </c>
      <c r="BF2741" s="1">
        <v>49.0</v>
      </c>
      <c r="BG2741" s="1">
        <v>0.0</v>
      </c>
      <c r="BH2741" s="1">
        <v>16.0</v>
      </c>
      <c r="BI2741" s="1">
        <v>8.0</v>
      </c>
      <c r="BJ2741" s="1">
        <v>0.0</v>
      </c>
      <c r="BO2741" s="1" t="s">
        <v>8469</v>
      </c>
      <c r="BP2741" s="1">
        <v>1.002</v>
      </c>
      <c r="BU2741" s="1" t="s">
        <v>974</v>
      </c>
      <c r="BV2741" s="1">
        <v>1.1</v>
      </c>
      <c r="EQ2741" s="9" t="s">
        <v>8463</v>
      </c>
      <c r="ER2741" s="21">
        <v>46045.303298611114</v>
      </c>
    </row>
    <row r="2742">
      <c r="A2742" s="9" t="s">
        <v>8470</v>
      </c>
      <c r="B2742" s="20" t="str">
        <f>IFERROR(__xludf.DUMMYFUNCTION("REGEXREPLACE(A2742, ""^https?://[^/]+"", """")"),"/three-sales-strategies-to-help-you-weather-an-economic-downtown/")</f>
        <v>/three-sales-strategies-to-help-you-weather-an-economic-downtown/</v>
      </c>
      <c r="C2742" s="1" t="s">
        <v>8471</v>
      </c>
      <c r="D2742" s="1" t="s">
        <v>8472</v>
      </c>
      <c r="E2742" s="1" t="s">
        <v>8473</v>
      </c>
      <c r="F2742" s="1" t="s">
        <v>965</v>
      </c>
      <c r="G2742" s="1">
        <v>200.0</v>
      </c>
      <c r="H2742" s="1" t="s">
        <v>966</v>
      </c>
      <c r="I2742" s="1" t="s">
        <v>967</v>
      </c>
      <c r="K2742" s="1" t="s">
        <v>8474</v>
      </c>
      <c r="L2742" s="1">
        <v>88.0</v>
      </c>
      <c r="M2742" s="1">
        <v>825.0</v>
      </c>
      <c r="O2742" s="1">
        <v>0.0</v>
      </c>
      <c r="P2742" s="1">
        <v>0.0</v>
      </c>
      <c r="Q2742" s="1" t="s">
        <v>8475</v>
      </c>
      <c r="R2742" s="1">
        <v>111.0</v>
      </c>
      <c r="S2742" s="1">
        <v>672.0</v>
      </c>
      <c r="U2742" s="1">
        <v>0.0</v>
      </c>
      <c r="V2742" s="1" t="s">
        <v>8471</v>
      </c>
      <c r="W2742" s="1">
        <v>63.0</v>
      </c>
      <c r="Y2742" s="1">
        <v>0.0</v>
      </c>
      <c r="Z2742" s="1" t="s">
        <v>8472</v>
      </c>
      <c r="AA2742" s="1">
        <v>45.0</v>
      </c>
      <c r="AB2742" s="1" t="s">
        <v>8473</v>
      </c>
      <c r="AC2742" s="1">
        <v>22.0</v>
      </c>
      <c r="AD2742" s="1" t="s">
        <v>971</v>
      </c>
      <c r="AG2742" s="9" t="s">
        <v>8470</v>
      </c>
      <c r="AM2742" s="1">
        <v>196428.0</v>
      </c>
      <c r="AN2742" s="1">
        <v>35082.0</v>
      </c>
      <c r="AO2742" s="1">
        <v>35082.0</v>
      </c>
      <c r="AP2742" s="1">
        <v>13.439</v>
      </c>
      <c r="AR2742" s="1">
        <v>1186.0</v>
      </c>
      <c r="AS2742" s="1">
        <v>177.0</v>
      </c>
      <c r="AT2742" s="1">
        <v>6.701</v>
      </c>
      <c r="AU2742" s="1">
        <v>64.146</v>
      </c>
      <c r="AV2742" s="1" t="s">
        <v>990</v>
      </c>
      <c r="AW2742" s="1">
        <v>4.871</v>
      </c>
      <c r="AX2742" s="1">
        <v>6.0</v>
      </c>
      <c r="AY2742" s="1">
        <v>1.0</v>
      </c>
      <c r="AZ2742" s="1">
        <v>1.0</v>
      </c>
      <c r="BA2742" s="1">
        <v>3.0</v>
      </c>
      <c r="BB2742" s="1">
        <v>3.0</v>
      </c>
      <c r="BC2742" s="1">
        <v>0.0</v>
      </c>
      <c r="BD2742" s="1">
        <v>0.4</v>
      </c>
      <c r="BE2742" s="1">
        <v>129.0</v>
      </c>
      <c r="BF2742" s="1">
        <v>47.0</v>
      </c>
      <c r="BG2742" s="1">
        <v>0.0</v>
      </c>
      <c r="BH2742" s="1">
        <v>16.0</v>
      </c>
      <c r="BI2742" s="1">
        <v>8.0</v>
      </c>
      <c r="BJ2742" s="1">
        <v>0.0</v>
      </c>
      <c r="BO2742" s="1" t="s">
        <v>8476</v>
      </c>
      <c r="BP2742" s="1">
        <v>0.987</v>
      </c>
      <c r="BU2742" s="1" t="s">
        <v>974</v>
      </c>
      <c r="BV2742" s="1">
        <v>1.1</v>
      </c>
      <c r="EQ2742" s="9" t="s">
        <v>8470</v>
      </c>
      <c r="ER2742" s="21">
        <v>46045.303298611114</v>
      </c>
    </row>
    <row r="2743">
      <c r="A2743" s="9" t="s">
        <v>8477</v>
      </c>
      <c r="B2743" s="20" t="str">
        <f>IFERROR(__xludf.DUMMYFUNCTION("REGEXREPLACE(A2743, ""^https?://[^/]+"", """")"),"/wp-content/themes/salesxceleratione/assets/css/style.css?ver=1769123691")</f>
        <v>/wp-content/themes/salesxceleratione/assets/css/style.css?ver=1769123691</v>
      </c>
      <c r="F2743" s="1" t="s">
        <v>1016</v>
      </c>
      <c r="G2743" s="1">
        <v>200.0</v>
      </c>
      <c r="H2743" s="1" t="s">
        <v>966</v>
      </c>
      <c r="I2743" s="1" t="s">
        <v>967</v>
      </c>
      <c r="L2743" s="1">
        <v>0.0</v>
      </c>
      <c r="M2743" s="1">
        <v>0.0</v>
      </c>
      <c r="O2743" s="1">
        <v>0.0</v>
      </c>
      <c r="P2743" s="1">
        <v>0.0</v>
      </c>
      <c r="R2743" s="1">
        <v>0.0</v>
      </c>
      <c r="S2743" s="1">
        <v>0.0</v>
      </c>
      <c r="U2743" s="1">
        <v>0.0</v>
      </c>
      <c r="W2743" s="1">
        <v>0.0</v>
      </c>
      <c r="Y2743" s="1">
        <v>0.0</v>
      </c>
      <c r="AA2743" s="1">
        <v>0.0</v>
      </c>
      <c r="AC2743" s="1">
        <v>0.0</v>
      </c>
      <c r="AM2743" s="1">
        <v>17704.0</v>
      </c>
      <c r="AN2743" s="1">
        <v>17704.0</v>
      </c>
      <c r="AO2743" s="1">
        <v>17704.0</v>
      </c>
      <c r="AP2743" s="1">
        <v>6.782</v>
      </c>
      <c r="AR2743" s="1">
        <v>0.0</v>
      </c>
      <c r="AW2743" s="1">
        <v>0.0</v>
      </c>
      <c r="AX2743" s="1">
        <v>6.0</v>
      </c>
      <c r="AY2743" s="1">
        <v>5.0</v>
      </c>
      <c r="BA2743" s="1">
        <v>0.0</v>
      </c>
      <c r="BB2743" s="1">
        <v>0.0</v>
      </c>
      <c r="BC2743" s="1">
        <v>0.0</v>
      </c>
      <c r="BD2743" s="1">
        <v>0.0</v>
      </c>
      <c r="BE2743" s="1">
        <v>0.0</v>
      </c>
      <c r="BF2743" s="1">
        <v>0.0</v>
      </c>
      <c r="BG2743" s="1">
        <v>0.0</v>
      </c>
      <c r="BH2743" s="1">
        <v>0.0</v>
      </c>
      <c r="BI2743" s="1">
        <v>0.0</v>
      </c>
      <c r="BJ2743" s="1">
        <v>0.0</v>
      </c>
      <c r="BP2743" s="1">
        <v>0.315</v>
      </c>
      <c r="BQ2743" s="1" t="s">
        <v>8478</v>
      </c>
      <c r="BV2743" s="1">
        <v>1.1</v>
      </c>
      <c r="EQ2743" s="9" t="s">
        <v>8477</v>
      </c>
      <c r="ER2743" s="21">
        <v>46045.30332175926</v>
      </c>
    </row>
    <row r="2744">
      <c r="A2744" s="9" t="s">
        <v>8479</v>
      </c>
      <c r="B2744" s="20" t="str">
        <f>IFERROR(__xludf.DUMMYFUNCTION("REGEXREPLACE(A2744, ""^https?://[^/]+"", """")"),"/wp-content/uploads/2017/02/NFL-Football-2-scaled-1.jpg")</f>
        <v>/wp-content/uploads/2017/02/NFL-Football-2-scaled-1.jpg</v>
      </c>
      <c r="F2744" s="1" t="s">
        <v>1004</v>
      </c>
      <c r="G2744" s="1">
        <v>200.0</v>
      </c>
      <c r="H2744" s="1" t="s">
        <v>966</v>
      </c>
      <c r="I2744" s="1" t="s">
        <v>967</v>
      </c>
      <c r="L2744" s="1">
        <v>0.0</v>
      </c>
      <c r="M2744" s="1">
        <v>0.0</v>
      </c>
      <c r="O2744" s="1">
        <v>0.0</v>
      </c>
      <c r="P2744" s="1">
        <v>0.0</v>
      </c>
      <c r="R2744" s="1">
        <v>0.0</v>
      </c>
      <c r="S2744" s="1">
        <v>0.0</v>
      </c>
      <c r="U2744" s="1">
        <v>0.0</v>
      </c>
      <c r="W2744" s="1">
        <v>0.0</v>
      </c>
      <c r="Y2744" s="1">
        <v>0.0</v>
      </c>
      <c r="AA2744" s="1">
        <v>0.0</v>
      </c>
      <c r="AC2744" s="1">
        <v>0.0</v>
      </c>
      <c r="AM2744" s="1">
        <v>91721.0</v>
      </c>
      <c r="AN2744" s="1">
        <v>91721.0</v>
      </c>
      <c r="AO2744" s="1">
        <v>91721.0</v>
      </c>
      <c r="AP2744" s="1">
        <v>35.137</v>
      </c>
      <c r="AR2744" s="1">
        <v>0.0</v>
      </c>
      <c r="AW2744" s="1">
        <v>0.0</v>
      </c>
      <c r="AX2744" s="1">
        <v>6.0</v>
      </c>
      <c r="AY2744" s="1">
        <v>4.0</v>
      </c>
      <c r="BA2744" s="1">
        <v>0.0</v>
      </c>
      <c r="BB2744" s="1">
        <v>0.0</v>
      </c>
      <c r="BC2744" s="1">
        <v>0.0</v>
      </c>
      <c r="BD2744" s="1">
        <v>0.0</v>
      </c>
      <c r="BE2744" s="1">
        <v>0.0</v>
      </c>
      <c r="BF2744" s="1">
        <v>0.0</v>
      </c>
      <c r="BG2744" s="1">
        <v>0.0</v>
      </c>
      <c r="BH2744" s="1">
        <v>0.0</v>
      </c>
      <c r="BI2744" s="1">
        <v>0.0</v>
      </c>
      <c r="BJ2744" s="1">
        <v>0.0</v>
      </c>
      <c r="BP2744" s="1">
        <v>0.312</v>
      </c>
      <c r="BQ2744" s="1" t="s">
        <v>8480</v>
      </c>
      <c r="BV2744" s="1">
        <v>1.1</v>
      </c>
      <c r="EQ2744" s="9" t="s">
        <v>8479</v>
      </c>
      <c r="ER2744" s="21">
        <v>46045.30332175926</v>
      </c>
    </row>
    <row r="2745">
      <c r="A2745" s="9" t="s">
        <v>8481</v>
      </c>
      <c r="B2745" s="20" t="str">
        <f>IFERROR(__xludf.DUMMYFUNCTION("REGEXREPLACE(A2745, ""^https?://[^/]+"", """")"),"/wp-content/uploads/2015/10/merger-derail-sales-success-sales-xceleration-300x167.jpg")</f>
        <v>/wp-content/uploads/2015/10/merger-derail-sales-success-sales-xceleration-300x167.jpg</v>
      </c>
      <c r="F2745" s="1" t="s">
        <v>1004</v>
      </c>
      <c r="G2745" s="1">
        <v>200.0</v>
      </c>
      <c r="H2745" s="1" t="s">
        <v>966</v>
      </c>
      <c r="I2745" s="1" t="s">
        <v>967</v>
      </c>
      <c r="L2745" s="1">
        <v>0.0</v>
      </c>
      <c r="M2745" s="1">
        <v>0.0</v>
      </c>
      <c r="O2745" s="1">
        <v>0.0</v>
      </c>
      <c r="P2745" s="1">
        <v>0.0</v>
      </c>
      <c r="R2745" s="1">
        <v>0.0</v>
      </c>
      <c r="S2745" s="1">
        <v>0.0</v>
      </c>
      <c r="U2745" s="1">
        <v>0.0</v>
      </c>
      <c r="W2745" s="1">
        <v>0.0</v>
      </c>
      <c r="Y2745" s="1">
        <v>0.0</v>
      </c>
      <c r="AA2745" s="1">
        <v>0.0</v>
      </c>
      <c r="AC2745" s="1">
        <v>0.0</v>
      </c>
      <c r="AM2745" s="1">
        <v>6710.0</v>
      </c>
      <c r="AN2745" s="1">
        <v>6710.0</v>
      </c>
      <c r="AO2745" s="1">
        <v>6710.0</v>
      </c>
      <c r="AP2745" s="1">
        <v>2.57</v>
      </c>
      <c r="AR2745" s="1">
        <v>0.0</v>
      </c>
      <c r="AW2745" s="1">
        <v>0.0</v>
      </c>
      <c r="AX2745" s="1">
        <v>6.0</v>
      </c>
      <c r="AY2745" s="1">
        <v>4.0</v>
      </c>
      <c r="BA2745" s="1">
        <v>0.0</v>
      </c>
      <c r="BB2745" s="1">
        <v>0.0</v>
      </c>
      <c r="BC2745" s="1">
        <v>0.0</v>
      </c>
      <c r="BD2745" s="1">
        <v>0.0</v>
      </c>
      <c r="BE2745" s="1">
        <v>0.0</v>
      </c>
      <c r="BF2745" s="1">
        <v>0.0</v>
      </c>
      <c r="BG2745" s="1">
        <v>0.0</v>
      </c>
      <c r="BH2745" s="1">
        <v>0.0</v>
      </c>
      <c r="BI2745" s="1">
        <v>0.0</v>
      </c>
      <c r="BJ2745" s="1">
        <v>0.0</v>
      </c>
      <c r="BP2745" s="1">
        <v>0.28</v>
      </c>
      <c r="BQ2745" s="1" t="s">
        <v>8482</v>
      </c>
      <c r="BV2745" s="1">
        <v>1.1</v>
      </c>
      <c r="EQ2745" s="9" t="s">
        <v>8481</v>
      </c>
      <c r="ER2745" s="21">
        <v>46045.30332175926</v>
      </c>
    </row>
    <row r="2746">
      <c r="A2746" s="9" t="s">
        <v>8483</v>
      </c>
      <c r="B2746" s="20" t="str">
        <f>IFERROR(__xludf.DUMMYFUNCTION("REGEXREPLACE(A2746, ""^https?://[^/]+"", """")"),"/salesperson-reputations-bad-overcome-trap/")</f>
        <v>/salesperson-reputations-bad-overcome-trap/</v>
      </c>
      <c r="C2746" s="1" t="s">
        <v>8484</v>
      </c>
      <c r="F2746" s="1" t="s">
        <v>965</v>
      </c>
      <c r="G2746" s="1">
        <v>200.0</v>
      </c>
      <c r="H2746" s="1" t="s">
        <v>966</v>
      </c>
      <c r="I2746" s="1" t="s">
        <v>967</v>
      </c>
      <c r="K2746" s="1" t="s">
        <v>8484</v>
      </c>
      <c r="L2746" s="1">
        <v>70.0</v>
      </c>
      <c r="M2746" s="1">
        <v>674.0</v>
      </c>
      <c r="O2746" s="1">
        <v>0.0</v>
      </c>
      <c r="P2746" s="1">
        <v>0.0</v>
      </c>
      <c r="Q2746" s="1" t="s">
        <v>8485</v>
      </c>
      <c r="R2746" s="1">
        <v>154.0</v>
      </c>
      <c r="S2746" s="1">
        <v>967.0</v>
      </c>
      <c r="U2746" s="1">
        <v>0.0</v>
      </c>
      <c r="V2746" s="1" t="s">
        <v>8484</v>
      </c>
      <c r="W2746" s="1">
        <v>70.0</v>
      </c>
      <c r="Y2746" s="1">
        <v>0.0</v>
      </c>
      <c r="AA2746" s="1">
        <v>0.0</v>
      </c>
      <c r="AC2746" s="1">
        <v>0.0</v>
      </c>
      <c r="AD2746" s="1" t="s">
        <v>971</v>
      </c>
      <c r="AG2746" s="9" t="s">
        <v>8483</v>
      </c>
      <c r="AM2746" s="1">
        <v>202423.0</v>
      </c>
      <c r="AN2746" s="1">
        <v>36252.0</v>
      </c>
      <c r="AO2746" s="1">
        <v>36252.0</v>
      </c>
      <c r="AP2746" s="1">
        <v>13.887</v>
      </c>
      <c r="AR2746" s="1">
        <v>1388.0</v>
      </c>
      <c r="AS2746" s="1">
        <v>215.0</v>
      </c>
      <c r="AT2746" s="1">
        <v>6.456</v>
      </c>
      <c r="AU2746" s="1">
        <v>68.445</v>
      </c>
      <c r="AV2746" s="1" t="s">
        <v>990</v>
      </c>
      <c r="AW2746" s="1">
        <v>5.34</v>
      </c>
      <c r="AX2746" s="1">
        <v>6.0</v>
      </c>
      <c r="AY2746" s="1">
        <v>1.0</v>
      </c>
      <c r="AZ2746" s="1">
        <v>1.0</v>
      </c>
      <c r="BA2746" s="1">
        <v>1.0</v>
      </c>
      <c r="BB2746" s="1">
        <v>1.0</v>
      </c>
      <c r="BC2746" s="1">
        <v>0.0</v>
      </c>
      <c r="BD2746" s="1">
        <v>0.13</v>
      </c>
      <c r="BE2746" s="1">
        <v>132.0</v>
      </c>
      <c r="BF2746" s="1">
        <v>49.0</v>
      </c>
      <c r="BG2746" s="1">
        <v>0.0</v>
      </c>
      <c r="BH2746" s="1">
        <v>16.0</v>
      </c>
      <c r="BI2746" s="1">
        <v>8.0</v>
      </c>
      <c r="BJ2746" s="1">
        <v>0.0</v>
      </c>
      <c r="BO2746" s="1" t="s">
        <v>8486</v>
      </c>
      <c r="BP2746" s="1">
        <v>1.003</v>
      </c>
      <c r="BU2746" s="1" t="s">
        <v>974</v>
      </c>
      <c r="BV2746" s="1">
        <v>1.1</v>
      </c>
      <c r="EQ2746" s="9" t="s">
        <v>8483</v>
      </c>
      <c r="ER2746" s="21">
        <v>46045.30331018518</v>
      </c>
    </row>
    <row r="2747">
      <c r="A2747" s="9" t="s">
        <v>8487</v>
      </c>
      <c r="B2747" s="20" t="str">
        <f>IFERROR(__xludf.DUMMYFUNCTION("REGEXREPLACE(A2747, ""^https?://[^/]+"", """")"),"/sales-agility-assessment-1-0-mstewart/")</f>
        <v>/sales-agility-assessment-1-0-mstewart/</v>
      </c>
      <c r="F2747" s="1" t="s">
        <v>965</v>
      </c>
      <c r="G2747" s="1">
        <v>301.0</v>
      </c>
      <c r="H2747" s="1" t="s">
        <v>1304</v>
      </c>
      <c r="I2747" s="1" t="s">
        <v>1214</v>
      </c>
      <c r="J2747" s="1" t="s">
        <v>1305</v>
      </c>
      <c r="L2747" s="1">
        <v>0.0</v>
      </c>
      <c r="M2747" s="1">
        <v>0.0</v>
      </c>
      <c r="O2747" s="1">
        <v>0.0</v>
      </c>
      <c r="P2747" s="1">
        <v>0.0</v>
      </c>
      <c r="R2747" s="1">
        <v>0.0</v>
      </c>
      <c r="S2747" s="1">
        <v>0.0</v>
      </c>
      <c r="U2747" s="1">
        <v>0.0</v>
      </c>
      <c r="W2747" s="1">
        <v>0.0</v>
      </c>
      <c r="Y2747" s="1">
        <v>0.0</v>
      </c>
      <c r="AA2747" s="1">
        <v>0.0</v>
      </c>
      <c r="AC2747" s="1">
        <v>0.0</v>
      </c>
      <c r="AM2747" s="1">
        <v>0.0</v>
      </c>
      <c r="AN2747" s="1">
        <v>0.0</v>
      </c>
      <c r="AO2747" s="1">
        <v>0.0</v>
      </c>
      <c r="AP2747" s="1">
        <v>0.0</v>
      </c>
      <c r="AR2747" s="1">
        <v>0.0</v>
      </c>
      <c r="AW2747" s="1">
        <v>0.0</v>
      </c>
      <c r="AX2747" s="1">
        <v>6.0</v>
      </c>
      <c r="AY2747" s="1">
        <v>1.0</v>
      </c>
      <c r="BA2747" s="1">
        <v>1.0</v>
      </c>
      <c r="BB2747" s="1">
        <v>1.0</v>
      </c>
      <c r="BC2747" s="1">
        <v>0.0</v>
      </c>
      <c r="BD2747" s="1">
        <v>0.13</v>
      </c>
      <c r="BE2747" s="1">
        <v>0.0</v>
      </c>
      <c r="BF2747" s="1">
        <v>0.0</v>
      </c>
      <c r="BG2747" s="1">
        <v>0.0</v>
      </c>
      <c r="BH2747" s="1">
        <v>0.0</v>
      </c>
      <c r="BI2747" s="1">
        <v>0.0</v>
      </c>
      <c r="BJ2747" s="1">
        <v>0.0</v>
      </c>
      <c r="BP2747" s="1">
        <v>0.633</v>
      </c>
      <c r="BR2747" s="9" t="s">
        <v>1380</v>
      </c>
      <c r="BS2747" s="1" t="s">
        <v>1307</v>
      </c>
      <c r="BV2747" s="1">
        <v>1.1</v>
      </c>
      <c r="EQ2747" s="9" t="s">
        <v>8487</v>
      </c>
      <c r="ER2747" s="21">
        <v>46045.30332175926</v>
      </c>
    </row>
    <row r="2748">
      <c r="A2748" s="9" t="s">
        <v>8488</v>
      </c>
      <c r="B2748" s="20" t="str">
        <f>IFERROR(__xludf.DUMMYFUNCTION("REGEXREPLACE(A2748, ""^https?://[^/]+"", """")"),"/wp-content/uploads/2015/12/Sales-Call-Featured--300x300.jpeg")</f>
        <v>/wp-content/uploads/2015/12/Sales-Call-Featured--300x300.jpeg</v>
      </c>
      <c r="F2748" s="1" t="s">
        <v>1004</v>
      </c>
      <c r="G2748" s="1">
        <v>200.0</v>
      </c>
      <c r="H2748" s="1" t="s">
        <v>966</v>
      </c>
      <c r="I2748" s="1" t="s">
        <v>967</v>
      </c>
      <c r="L2748" s="1">
        <v>0.0</v>
      </c>
      <c r="M2748" s="1">
        <v>0.0</v>
      </c>
      <c r="O2748" s="1">
        <v>0.0</v>
      </c>
      <c r="P2748" s="1">
        <v>0.0</v>
      </c>
      <c r="R2748" s="1">
        <v>0.0</v>
      </c>
      <c r="S2748" s="1">
        <v>0.0</v>
      </c>
      <c r="U2748" s="1">
        <v>0.0</v>
      </c>
      <c r="W2748" s="1">
        <v>0.0</v>
      </c>
      <c r="Y2748" s="1">
        <v>0.0</v>
      </c>
      <c r="AA2748" s="1">
        <v>0.0</v>
      </c>
      <c r="AC2748" s="1">
        <v>0.0</v>
      </c>
      <c r="AM2748" s="1">
        <v>12737.0</v>
      </c>
      <c r="AN2748" s="1">
        <v>12737.0</v>
      </c>
      <c r="AO2748" s="1">
        <v>12737.0</v>
      </c>
      <c r="AP2748" s="1">
        <v>4.879</v>
      </c>
      <c r="AR2748" s="1">
        <v>0.0</v>
      </c>
      <c r="AW2748" s="1">
        <v>0.0</v>
      </c>
      <c r="AX2748" s="1">
        <v>6.0</v>
      </c>
      <c r="AY2748" s="1">
        <v>4.0</v>
      </c>
      <c r="BA2748" s="1">
        <v>0.0</v>
      </c>
      <c r="BB2748" s="1">
        <v>0.0</v>
      </c>
      <c r="BC2748" s="1">
        <v>0.0</v>
      </c>
      <c r="BD2748" s="1">
        <v>0.0</v>
      </c>
      <c r="BE2748" s="1">
        <v>0.0</v>
      </c>
      <c r="BF2748" s="1">
        <v>0.0</v>
      </c>
      <c r="BG2748" s="1">
        <v>0.0</v>
      </c>
      <c r="BH2748" s="1">
        <v>0.0</v>
      </c>
      <c r="BI2748" s="1">
        <v>0.0</v>
      </c>
      <c r="BJ2748" s="1">
        <v>0.0</v>
      </c>
      <c r="BP2748" s="1">
        <v>0.311</v>
      </c>
      <c r="BQ2748" s="1" t="s">
        <v>5501</v>
      </c>
      <c r="BV2748" s="1">
        <v>1.1</v>
      </c>
      <c r="EQ2748" s="9" t="s">
        <v>8488</v>
      </c>
      <c r="ER2748" s="21">
        <v>46045.30332175926</v>
      </c>
    </row>
    <row r="2749">
      <c r="A2749" s="9" t="s">
        <v>8489</v>
      </c>
      <c r="B2749" s="20" t="str">
        <f>IFERROR(__xludf.DUMMYFUNCTION("REGEXREPLACE(A2749, ""^https?://[^/]+"", """")"),"/wp-content/uploads/2017/05/SinkOrSwimBlog-1-300x300.jpg")</f>
        <v>/wp-content/uploads/2017/05/SinkOrSwimBlog-1-300x300.jpg</v>
      </c>
      <c r="F2749" s="1" t="s">
        <v>1004</v>
      </c>
      <c r="G2749" s="1">
        <v>200.0</v>
      </c>
      <c r="H2749" s="1" t="s">
        <v>966</v>
      </c>
      <c r="I2749" s="1" t="s">
        <v>967</v>
      </c>
      <c r="L2749" s="1">
        <v>0.0</v>
      </c>
      <c r="M2749" s="1">
        <v>0.0</v>
      </c>
      <c r="O2749" s="1">
        <v>0.0</v>
      </c>
      <c r="P2749" s="1">
        <v>0.0</v>
      </c>
      <c r="R2749" s="1">
        <v>0.0</v>
      </c>
      <c r="S2749" s="1">
        <v>0.0</v>
      </c>
      <c r="U2749" s="1">
        <v>0.0</v>
      </c>
      <c r="W2749" s="1">
        <v>0.0</v>
      </c>
      <c r="Y2749" s="1">
        <v>0.0</v>
      </c>
      <c r="AA2749" s="1">
        <v>0.0</v>
      </c>
      <c r="AC2749" s="1">
        <v>0.0</v>
      </c>
      <c r="AM2749" s="1">
        <v>15048.0</v>
      </c>
      <c r="AN2749" s="1">
        <v>15048.0</v>
      </c>
      <c r="AO2749" s="1">
        <v>15048.0</v>
      </c>
      <c r="AP2749" s="1">
        <v>5.765</v>
      </c>
      <c r="AR2749" s="1">
        <v>0.0</v>
      </c>
      <c r="AW2749" s="1">
        <v>0.0</v>
      </c>
      <c r="AX2749" s="1">
        <v>6.0</v>
      </c>
      <c r="AY2749" s="1">
        <v>4.0</v>
      </c>
      <c r="BA2749" s="1">
        <v>0.0</v>
      </c>
      <c r="BB2749" s="1">
        <v>0.0</v>
      </c>
      <c r="BC2749" s="1">
        <v>0.0</v>
      </c>
      <c r="BD2749" s="1">
        <v>0.0</v>
      </c>
      <c r="BE2749" s="1">
        <v>0.0</v>
      </c>
      <c r="BF2749" s="1">
        <v>0.0</v>
      </c>
      <c r="BG2749" s="1">
        <v>0.0</v>
      </c>
      <c r="BH2749" s="1">
        <v>0.0</v>
      </c>
      <c r="BI2749" s="1">
        <v>0.0</v>
      </c>
      <c r="BJ2749" s="1">
        <v>0.0</v>
      </c>
      <c r="BP2749" s="1">
        <v>0.264</v>
      </c>
      <c r="BQ2749" s="1" t="s">
        <v>7511</v>
      </c>
      <c r="BV2749" s="1">
        <v>1.1</v>
      </c>
      <c r="EQ2749" s="9" t="s">
        <v>8489</v>
      </c>
      <c r="ER2749" s="21">
        <v>46045.30332175926</v>
      </c>
    </row>
    <row r="2750">
      <c r="A2750" s="9" t="s">
        <v>8490</v>
      </c>
      <c r="B2750" s="20" t="str">
        <f>IFERROR(__xludf.DUMMYFUNCTION("REGEXREPLACE(A2750, ""^https?://[^/]+"", """")"),"/wp-content/uploads/2015/11/Consulting-sales-xceleration-300x300.png")</f>
        <v>/wp-content/uploads/2015/11/Consulting-sales-xceleration-300x300.png</v>
      </c>
      <c r="F2750" s="1" t="s">
        <v>1047</v>
      </c>
      <c r="G2750" s="1">
        <v>200.0</v>
      </c>
      <c r="H2750" s="1" t="s">
        <v>966</v>
      </c>
      <c r="I2750" s="1" t="s">
        <v>967</v>
      </c>
      <c r="L2750" s="1">
        <v>0.0</v>
      </c>
      <c r="M2750" s="1">
        <v>0.0</v>
      </c>
      <c r="O2750" s="1">
        <v>0.0</v>
      </c>
      <c r="P2750" s="1">
        <v>0.0</v>
      </c>
      <c r="R2750" s="1">
        <v>0.0</v>
      </c>
      <c r="S2750" s="1">
        <v>0.0</v>
      </c>
      <c r="U2750" s="1">
        <v>0.0</v>
      </c>
      <c r="W2750" s="1">
        <v>0.0</v>
      </c>
      <c r="Y2750" s="1">
        <v>0.0</v>
      </c>
      <c r="AA2750" s="1">
        <v>0.0</v>
      </c>
      <c r="AC2750" s="1">
        <v>0.0</v>
      </c>
      <c r="AM2750" s="1">
        <v>46439.0</v>
      </c>
      <c r="AN2750" s="1">
        <v>46439.0</v>
      </c>
      <c r="AO2750" s="1">
        <v>46439.0</v>
      </c>
      <c r="AP2750" s="1">
        <v>17.79</v>
      </c>
      <c r="AR2750" s="1">
        <v>0.0</v>
      </c>
      <c r="AW2750" s="1">
        <v>0.0</v>
      </c>
      <c r="AX2750" s="1">
        <v>6.0</v>
      </c>
      <c r="AY2750" s="1">
        <v>4.0</v>
      </c>
      <c r="BA2750" s="1">
        <v>0.0</v>
      </c>
      <c r="BB2750" s="1">
        <v>0.0</v>
      </c>
      <c r="BC2750" s="1">
        <v>0.0</v>
      </c>
      <c r="BD2750" s="1">
        <v>0.0</v>
      </c>
      <c r="BE2750" s="1">
        <v>0.0</v>
      </c>
      <c r="BF2750" s="1">
        <v>0.0</v>
      </c>
      <c r="BG2750" s="1">
        <v>0.0</v>
      </c>
      <c r="BH2750" s="1">
        <v>0.0</v>
      </c>
      <c r="BI2750" s="1">
        <v>0.0</v>
      </c>
      <c r="BJ2750" s="1">
        <v>0.0</v>
      </c>
      <c r="BP2750" s="1">
        <v>0.271</v>
      </c>
      <c r="BQ2750" s="1" t="s">
        <v>8491</v>
      </c>
      <c r="BV2750" s="1">
        <v>1.1</v>
      </c>
      <c r="EQ2750" s="9" t="s">
        <v>8490</v>
      </c>
      <c r="ER2750" s="21">
        <v>46045.30333333334</v>
      </c>
    </row>
    <row r="2751">
      <c r="A2751" s="9" t="s">
        <v>8492</v>
      </c>
      <c r="B2751" s="20" t="str">
        <f>IFERROR(__xludf.DUMMYFUNCTION("REGEXREPLACE(A2751, ""^https?://[^/]+"", """")"),"/peer-pressure/")</f>
        <v>/peer-pressure/</v>
      </c>
      <c r="C2751" s="1" t="s">
        <v>8493</v>
      </c>
      <c r="F2751" s="1" t="s">
        <v>965</v>
      </c>
      <c r="G2751" s="1">
        <v>200.0</v>
      </c>
      <c r="H2751" s="1" t="s">
        <v>966</v>
      </c>
      <c r="I2751" s="1" t="s">
        <v>967</v>
      </c>
      <c r="K2751" s="1" t="s">
        <v>8494</v>
      </c>
      <c r="L2751" s="1">
        <v>80.0</v>
      </c>
      <c r="M2751" s="1">
        <v>741.0</v>
      </c>
      <c r="O2751" s="1">
        <v>0.0</v>
      </c>
      <c r="P2751" s="1">
        <v>0.0</v>
      </c>
      <c r="Q2751" s="1" t="s">
        <v>8495</v>
      </c>
      <c r="R2751" s="1">
        <v>155.0</v>
      </c>
      <c r="S2751" s="1">
        <v>962.0</v>
      </c>
      <c r="U2751" s="1">
        <v>0.0</v>
      </c>
      <c r="V2751" s="1" t="s">
        <v>8493</v>
      </c>
      <c r="W2751" s="1">
        <v>55.0</v>
      </c>
      <c r="Y2751" s="1">
        <v>0.0</v>
      </c>
      <c r="AA2751" s="1">
        <v>0.0</v>
      </c>
      <c r="AC2751" s="1">
        <v>0.0</v>
      </c>
      <c r="AD2751" s="1" t="s">
        <v>971</v>
      </c>
      <c r="AG2751" s="9" t="s">
        <v>8492</v>
      </c>
      <c r="AM2751" s="1">
        <v>201690.0</v>
      </c>
      <c r="AN2751" s="1">
        <v>36030.0</v>
      </c>
      <c r="AO2751" s="1">
        <v>36030.0</v>
      </c>
      <c r="AP2751" s="1">
        <v>13.802</v>
      </c>
      <c r="AR2751" s="1">
        <v>1414.0</v>
      </c>
      <c r="AS2751" s="1">
        <v>216.0</v>
      </c>
      <c r="AT2751" s="1">
        <v>6.546</v>
      </c>
      <c r="AU2751" s="1">
        <v>68.265</v>
      </c>
      <c r="AV2751" s="1" t="s">
        <v>990</v>
      </c>
      <c r="AW2751" s="1">
        <v>5.397</v>
      </c>
      <c r="AX2751" s="1">
        <v>6.0</v>
      </c>
      <c r="AY2751" s="1">
        <v>1.0</v>
      </c>
      <c r="AZ2751" s="1">
        <v>1.0</v>
      </c>
      <c r="BA2751" s="1">
        <v>3.0</v>
      </c>
      <c r="BB2751" s="1">
        <v>1.0</v>
      </c>
      <c r="BC2751" s="1">
        <v>0.0</v>
      </c>
      <c r="BD2751" s="1">
        <v>0.13</v>
      </c>
      <c r="BE2751" s="1">
        <v>130.0</v>
      </c>
      <c r="BF2751" s="1">
        <v>48.0</v>
      </c>
      <c r="BG2751" s="1">
        <v>0.0</v>
      </c>
      <c r="BH2751" s="1">
        <v>16.0</v>
      </c>
      <c r="BI2751" s="1">
        <v>8.0</v>
      </c>
      <c r="BJ2751" s="1">
        <v>0.0</v>
      </c>
      <c r="BO2751" s="1" t="s">
        <v>8496</v>
      </c>
      <c r="BP2751" s="1">
        <v>0.98</v>
      </c>
      <c r="BU2751" s="1" t="s">
        <v>974</v>
      </c>
      <c r="BV2751" s="1">
        <v>1.1</v>
      </c>
      <c r="EQ2751" s="9" t="s">
        <v>8492</v>
      </c>
      <c r="ER2751" s="21">
        <v>46045.30332175926</v>
      </c>
    </row>
    <row r="2752">
      <c r="A2752" s="9" t="s">
        <v>8497</v>
      </c>
      <c r="B2752" s="20" t="str">
        <f>IFERROR(__xludf.DUMMYFUNCTION("REGEXREPLACE(A2752, ""^https?://[^/]+"", """")"),"/sales-training-answer/")</f>
        <v>/sales-training-answer/</v>
      </c>
      <c r="C2752" s="1" t="s">
        <v>8498</v>
      </c>
      <c r="D2752" s="1" t="s">
        <v>8499</v>
      </c>
      <c r="E2752" s="1" t="s">
        <v>8500</v>
      </c>
      <c r="F2752" s="1" t="s">
        <v>965</v>
      </c>
      <c r="G2752" s="1">
        <v>200.0</v>
      </c>
      <c r="H2752" s="1" t="s">
        <v>966</v>
      </c>
      <c r="I2752" s="1" t="s">
        <v>967</v>
      </c>
      <c r="K2752" s="1" t="s">
        <v>8501</v>
      </c>
      <c r="L2752" s="1">
        <v>55.0</v>
      </c>
      <c r="M2752" s="1">
        <v>490.0</v>
      </c>
      <c r="O2752" s="1">
        <v>0.0</v>
      </c>
      <c r="P2752" s="1">
        <v>0.0</v>
      </c>
      <c r="Q2752" s="1" t="s">
        <v>8502</v>
      </c>
      <c r="R2752" s="1">
        <v>138.0</v>
      </c>
      <c r="S2752" s="1">
        <v>863.0</v>
      </c>
      <c r="U2752" s="1">
        <v>0.0</v>
      </c>
      <c r="V2752" s="1" t="s">
        <v>8498</v>
      </c>
      <c r="W2752" s="1">
        <v>51.0</v>
      </c>
      <c r="Y2752" s="1">
        <v>0.0</v>
      </c>
      <c r="Z2752" s="1" t="s">
        <v>8499</v>
      </c>
      <c r="AA2752" s="1">
        <v>36.0</v>
      </c>
      <c r="AB2752" s="1" t="s">
        <v>8500</v>
      </c>
      <c r="AC2752" s="1">
        <v>44.0</v>
      </c>
      <c r="AD2752" s="1" t="s">
        <v>971</v>
      </c>
      <c r="AG2752" s="9" t="s">
        <v>8497</v>
      </c>
      <c r="AM2752" s="1">
        <v>201939.0</v>
      </c>
      <c r="AN2752" s="1">
        <v>35160.0</v>
      </c>
      <c r="AO2752" s="1">
        <v>35160.0</v>
      </c>
      <c r="AP2752" s="1">
        <v>13.469</v>
      </c>
      <c r="AR2752" s="1">
        <v>1015.0</v>
      </c>
      <c r="AS2752" s="1">
        <v>156.0</v>
      </c>
      <c r="AT2752" s="1">
        <v>6.506</v>
      </c>
      <c r="AU2752" s="1">
        <v>68.038</v>
      </c>
      <c r="AV2752" s="1" t="s">
        <v>990</v>
      </c>
      <c r="AW2752" s="1">
        <v>4.242</v>
      </c>
      <c r="AX2752" s="1">
        <v>6.0</v>
      </c>
      <c r="AY2752" s="1">
        <v>1.0</v>
      </c>
      <c r="AZ2752" s="1">
        <v>1.0</v>
      </c>
      <c r="BA2752" s="1">
        <v>3.0</v>
      </c>
      <c r="BB2752" s="1">
        <v>1.0</v>
      </c>
      <c r="BC2752" s="1">
        <v>0.0</v>
      </c>
      <c r="BD2752" s="1">
        <v>0.13</v>
      </c>
      <c r="BE2752" s="1">
        <v>130.0</v>
      </c>
      <c r="BF2752" s="1">
        <v>48.0</v>
      </c>
      <c r="BG2752" s="1">
        <v>0.0</v>
      </c>
      <c r="BH2752" s="1">
        <v>16.0</v>
      </c>
      <c r="BI2752" s="1">
        <v>8.0</v>
      </c>
      <c r="BJ2752" s="1">
        <v>0.0</v>
      </c>
      <c r="BO2752" s="1" t="s">
        <v>8503</v>
      </c>
      <c r="BP2752" s="1">
        <v>1.046</v>
      </c>
      <c r="BU2752" s="1" t="s">
        <v>974</v>
      </c>
      <c r="BV2752" s="1">
        <v>1.1</v>
      </c>
      <c r="EQ2752" s="9" t="s">
        <v>8497</v>
      </c>
      <c r="ER2752" s="21">
        <v>46045.30332175926</v>
      </c>
    </row>
    <row r="2753">
      <c r="A2753" s="9" t="s">
        <v>8504</v>
      </c>
      <c r="B2753" s="20" t="str">
        <f>IFERROR(__xludf.DUMMYFUNCTION("REGEXREPLACE(A2753, ""^https?://[^/]+"", """")"),"/wp-content/uploads/2017/06/NetworkingBlog-300x169.jpg")</f>
        <v>/wp-content/uploads/2017/06/NetworkingBlog-300x169.jpg</v>
      </c>
      <c r="F2753" s="1" t="s">
        <v>1004</v>
      </c>
      <c r="G2753" s="1">
        <v>200.0</v>
      </c>
      <c r="H2753" s="1" t="s">
        <v>966</v>
      </c>
      <c r="I2753" s="1" t="s">
        <v>967</v>
      </c>
      <c r="L2753" s="1">
        <v>0.0</v>
      </c>
      <c r="M2753" s="1">
        <v>0.0</v>
      </c>
      <c r="O2753" s="1">
        <v>0.0</v>
      </c>
      <c r="P2753" s="1">
        <v>0.0</v>
      </c>
      <c r="R2753" s="1">
        <v>0.0</v>
      </c>
      <c r="S2753" s="1">
        <v>0.0</v>
      </c>
      <c r="U2753" s="1">
        <v>0.0</v>
      </c>
      <c r="W2753" s="1">
        <v>0.0</v>
      </c>
      <c r="Y2753" s="1">
        <v>0.0</v>
      </c>
      <c r="AA2753" s="1">
        <v>0.0</v>
      </c>
      <c r="AC2753" s="1">
        <v>0.0</v>
      </c>
      <c r="AM2753" s="1">
        <v>14797.0</v>
      </c>
      <c r="AN2753" s="1">
        <v>14797.0</v>
      </c>
      <c r="AO2753" s="1">
        <v>14797.0</v>
      </c>
      <c r="AP2753" s="1">
        <v>5.668</v>
      </c>
      <c r="AR2753" s="1">
        <v>0.0</v>
      </c>
      <c r="AW2753" s="1">
        <v>0.0</v>
      </c>
      <c r="AX2753" s="1">
        <v>6.0</v>
      </c>
      <c r="AY2753" s="1">
        <v>4.0</v>
      </c>
      <c r="BA2753" s="1">
        <v>0.0</v>
      </c>
      <c r="BB2753" s="1">
        <v>0.0</v>
      </c>
      <c r="BC2753" s="1">
        <v>0.0</v>
      </c>
      <c r="BD2753" s="1">
        <v>0.0</v>
      </c>
      <c r="BE2753" s="1">
        <v>0.0</v>
      </c>
      <c r="BF2753" s="1">
        <v>0.0</v>
      </c>
      <c r="BG2753" s="1">
        <v>0.0</v>
      </c>
      <c r="BH2753" s="1">
        <v>0.0</v>
      </c>
      <c r="BI2753" s="1">
        <v>0.0</v>
      </c>
      <c r="BJ2753" s="1">
        <v>0.0</v>
      </c>
      <c r="BP2753" s="1">
        <v>0.271</v>
      </c>
      <c r="BQ2753" s="1" t="s">
        <v>8505</v>
      </c>
      <c r="BV2753" s="1">
        <v>1.1</v>
      </c>
      <c r="EQ2753" s="9" t="s">
        <v>8504</v>
      </c>
      <c r="ER2753" s="21">
        <v>46045.30333333334</v>
      </c>
    </row>
    <row r="2754">
      <c r="A2754" s="9" t="s">
        <v>8506</v>
      </c>
      <c r="B2754" s="20" t="str">
        <f>IFERROR(__xludf.DUMMYFUNCTION("REGEXREPLACE(A2754, ""^https?://[^/]+"", """")"),"/wp-content/uploads/2016/01/Doctor-Ordered-Peer-Pressure--300x143.jpg")</f>
        <v>/wp-content/uploads/2016/01/Doctor-Ordered-Peer-Pressure--300x143.jpg</v>
      </c>
      <c r="F2754" s="1" t="s">
        <v>1004</v>
      </c>
      <c r="G2754" s="1">
        <v>200.0</v>
      </c>
      <c r="H2754" s="1" t="s">
        <v>966</v>
      </c>
      <c r="I2754" s="1" t="s">
        <v>967</v>
      </c>
      <c r="L2754" s="1">
        <v>0.0</v>
      </c>
      <c r="M2754" s="1">
        <v>0.0</v>
      </c>
      <c r="O2754" s="1">
        <v>0.0</v>
      </c>
      <c r="P2754" s="1">
        <v>0.0</v>
      </c>
      <c r="R2754" s="1">
        <v>0.0</v>
      </c>
      <c r="S2754" s="1">
        <v>0.0</v>
      </c>
      <c r="U2754" s="1">
        <v>0.0</v>
      </c>
      <c r="W2754" s="1">
        <v>0.0</v>
      </c>
      <c r="Y2754" s="1">
        <v>0.0</v>
      </c>
      <c r="AA2754" s="1">
        <v>0.0</v>
      </c>
      <c r="AC2754" s="1">
        <v>0.0</v>
      </c>
      <c r="AM2754" s="1">
        <v>9098.0</v>
      </c>
      <c r="AN2754" s="1">
        <v>9098.0</v>
      </c>
      <c r="AO2754" s="1">
        <v>9098.0</v>
      </c>
      <c r="AP2754" s="1">
        <v>3.485</v>
      </c>
      <c r="AR2754" s="1">
        <v>0.0</v>
      </c>
      <c r="AW2754" s="1">
        <v>0.0</v>
      </c>
      <c r="AX2754" s="1">
        <v>6.0</v>
      </c>
      <c r="AY2754" s="1">
        <v>4.0</v>
      </c>
      <c r="BA2754" s="1">
        <v>0.0</v>
      </c>
      <c r="BB2754" s="1">
        <v>0.0</v>
      </c>
      <c r="BC2754" s="1">
        <v>0.0</v>
      </c>
      <c r="BD2754" s="1">
        <v>0.0</v>
      </c>
      <c r="BE2754" s="1">
        <v>0.0</v>
      </c>
      <c r="BF2754" s="1">
        <v>0.0</v>
      </c>
      <c r="BG2754" s="1">
        <v>0.0</v>
      </c>
      <c r="BH2754" s="1">
        <v>0.0</v>
      </c>
      <c r="BI2754" s="1">
        <v>0.0</v>
      </c>
      <c r="BJ2754" s="1">
        <v>0.0</v>
      </c>
      <c r="BP2754" s="1">
        <v>0.279</v>
      </c>
      <c r="BQ2754" s="1" t="s">
        <v>8507</v>
      </c>
      <c r="BV2754" s="1">
        <v>1.1</v>
      </c>
      <c r="EQ2754" s="9" t="s">
        <v>8506</v>
      </c>
      <c r="ER2754" s="21">
        <v>46045.30333333334</v>
      </c>
    </row>
    <row r="2755">
      <c r="A2755" s="9" t="s">
        <v>8508</v>
      </c>
      <c r="B2755" s="20" t="str">
        <f>IFERROR(__xludf.DUMMYFUNCTION("REGEXREPLACE(A2755, ""^https?://[^/]+"", """")"),"/wp-content/uploads/2016/04/sales-training-strategies-scaled-1-300x200.jpg")</f>
        <v>/wp-content/uploads/2016/04/sales-training-strategies-scaled-1-300x200.jpg</v>
      </c>
      <c r="F2755" s="1" t="s">
        <v>1004</v>
      </c>
      <c r="G2755" s="1">
        <v>200.0</v>
      </c>
      <c r="H2755" s="1" t="s">
        <v>966</v>
      </c>
      <c r="I2755" s="1" t="s">
        <v>967</v>
      </c>
      <c r="L2755" s="1">
        <v>0.0</v>
      </c>
      <c r="M2755" s="1">
        <v>0.0</v>
      </c>
      <c r="O2755" s="1">
        <v>0.0</v>
      </c>
      <c r="P2755" s="1">
        <v>0.0</v>
      </c>
      <c r="R2755" s="1">
        <v>0.0</v>
      </c>
      <c r="S2755" s="1">
        <v>0.0</v>
      </c>
      <c r="U2755" s="1">
        <v>0.0</v>
      </c>
      <c r="W2755" s="1">
        <v>0.0</v>
      </c>
      <c r="Y2755" s="1">
        <v>0.0</v>
      </c>
      <c r="AA2755" s="1">
        <v>0.0</v>
      </c>
      <c r="AC2755" s="1">
        <v>0.0</v>
      </c>
      <c r="AM2755" s="1">
        <v>12156.0</v>
      </c>
      <c r="AN2755" s="1">
        <v>12156.0</v>
      </c>
      <c r="AO2755" s="1">
        <v>12156.0</v>
      </c>
      <c r="AP2755" s="1">
        <v>4.657</v>
      </c>
      <c r="AR2755" s="1">
        <v>0.0</v>
      </c>
      <c r="AW2755" s="1">
        <v>0.0</v>
      </c>
      <c r="AX2755" s="1">
        <v>6.0</v>
      </c>
      <c r="AY2755" s="1">
        <v>4.0</v>
      </c>
      <c r="BA2755" s="1">
        <v>0.0</v>
      </c>
      <c r="BB2755" s="1">
        <v>0.0</v>
      </c>
      <c r="BC2755" s="1">
        <v>0.0</v>
      </c>
      <c r="BD2755" s="1">
        <v>0.0</v>
      </c>
      <c r="BE2755" s="1">
        <v>0.0</v>
      </c>
      <c r="BF2755" s="1">
        <v>0.0</v>
      </c>
      <c r="BG2755" s="1">
        <v>0.0</v>
      </c>
      <c r="BH2755" s="1">
        <v>0.0</v>
      </c>
      <c r="BI2755" s="1">
        <v>0.0</v>
      </c>
      <c r="BJ2755" s="1">
        <v>0.0</v>
      </c>
      <c r="BP2755" s="1">
        <v>0.262</v>
      </c>
      <c r="BQ2755" s="1" t="s">
        <v>8509</v>
      </c>
      <c r="BV2755" s="1">
        <v>1.1</v>
      </c>
      <c r="EQ2755" s="9" t="s">
        <v>8508</v>
      </c>
      <c r="ER2755" s="21">
        <v>46045.30334490741</v>
      </c>
    </row>
    <row r="2756">
      <c r="A2756" s="9" t="s">
        <v>8510</v>
      </c>
      <c r="B2756" s="20" t="str">
        <f>IFERROR(__xludf.DUMMYFUNCTION("REGEXREPLACE(A2756, ""^https?://[^/]+"", """")"),"/how-honesty-can-help-maintain-customer-relationships/")</f>
        <v>/how-honesty-can-help-maintain-customer-relationships/</v>
      </c>
      <c r="C2756" s="1" t="s">
        <v>8511</v>
      </c>
      <c r="F2756" s="1" t="s">
        <v>965</v>
      </c>
      <c r="G2756" s="1">
        <v>200.0</v>
      </c>
      <c r="H2756" s="1" t="s">
        <v>966</v>
      </c>
      <c r="I2756" s="1" t="s">
        <v>967</v>
      </c>
      <c r="K2756" s="1" t="s">
        <v>8512</v>
      </c>
      <c r="L2756" s="1">
        <v>77.0</v>
      </c>
      <c r="M2756" s="1">
        <v>720.0</v>
      </c>
      <c r="O2756" s="1">
        <v>0.0</v>
      </c>
      <c r="P2756" s="1">
        <v>0.0</v>
      </c>
      <c r="Q2756" s="1" t="s">
        <v>8513</v>
      </c>
      <c r="R2756" s="1">
        <v>152.0</v>
      </c>
      <c r="S2756" s="1">
        <v>938.0</v>
      </c>
      <c r="U2756" s="1">
        <v>0.0</v>
      </c>
      <c r="V2756" s="1" t="s">
        <v>8511</v>
      </c>
      <c r="W2756" s="1">
        <v>52.0</v>
      </c>
      <c r="Y2756" s="1">
        <v>0.0</v>
      </c>
      <c r="AA2756" s="1">
        <v>0.0</v>
      </c>
      <c r="AC2756" s="1">
        <v>0.0</v>
      </c>
      <c r="AD2756" s="1" t="s">
        <v>971</v>
      </c>
      <c r="AG2756" s="9" t="s">
        <v>8510</v>
      </c>
      <c r="AM2756" s="1">
        <v>201630.0</v>
      </c>
      <c r="AN2756" s="1">
        <v>36381.0</v>
      </c>
      <c r="AO2756" s="1">
        <v>36381.0</v>
      </c>
      <c r="AP2756" s="1">
        <v>13.937</v>
      </c>
      <c r="AR2756" s="1">
        <v>1580.0</v>
      </c>
      <c r="AS2756" s="1">
        <v>234.0</v>
      </c>
      <c r="AT2756" s="1">
        <v>6.752</v>
      </c>
      <c r="AU2756" s="1">
        <v>68.959</v>
      </c>
      <c r="AV2756" s="1" t="s">
        <v>990</v>
      </c>
      <c r="AW2756" s="1">
        <v>5.884</v>
      </c>
      <c r="AX2756" s="1">
        <v>6.0</v>
      </c>
      <c r="AY2756" s="1">
        <v>1.0</v>
      </c>
      <c r="AZ2756" s="1">
        <v>1.0</v>
      </c>
      <c r="BA2756" s="1">
        <v>5.0</v>
      </c>
      <c r="BB2756" s="1">
        <v>3.0</v>
      </c>
      <c r="BC2756" s="1">
        <v>0.0</v>
      </c>
      <c r="BD2756" s="1">
        <v>0.4</v>
      </c>
      <c r="BE2756" s="1">
        <v>130.0</v>
      </c>
      <c r="BF2756" s="1">
        <v>48.0</v>
      </c>
      <c r="BG2756" s="1">
        <v>0.0</v>
      </c>
      <c r="BH2756" s="1">
        <v>16.0</v>
      </c>
      <c r="BI2756" s="1">
        <v>8.0</v>
      </c>
      <c r="BJ2756" s="1">
        <v>0.0</v>
      </c>
      <c r="BO2756" s="1" t="s">
        <v>8514</v>
      </c>
      <c r="BP2756" s="1">
        <v>1.083</v>
      </c>
      <c r="BU2756" s="1" t="s">
        <v>974</v>
      </c>
      <c r="BV2756" s="1">
        <v>1.1</v>
      </c>
      <c r="EQ2756" s="9" t="s">
        <v>8510</v>
      </c>
      <c r="ER2756" s="21">
        <v>46045.30333333334</v>
      </c>
    </row>
    <row r="2757">
      <c r="A2757" s="9" t="s">
        <v>8515</v>
      </c>
      <c r="B2757" s="20" t="str">
        <f>IFERROR(__xludf.DUMMYFUNCTION("REGEXREPLACE(A2757, ""^https?://[^/]+"", """")"),"/wp-content/uploads/2016/12/business-card-1525590-640x960-623x248-1-300x300.jpg")</f>
        <v>/wp-content/uploads/2016/12/business-card-1525590-640x960-623x248-1-300x300.jpg</v>
      </c>
      <c r="F2757" s="1" t="s">
        <v>1004</v>
      </c>
      <c r="G2757" s="1">
        <v>200.0</v>
      </c>
      <c r="H2757" s="1" t="s">
        <v>966</v>
      </c>
      <c r="I2757" s="1" t="s">
        <v>967</v>
      </c>
      <c r="L2757" s="1">
        <v>0.0</v>
      </c>
      <c r="M2757" s="1">
        <v>0.0</v>
      </c>
      <c r="O2757" s="1">
        <v>0.0</v>
      </c>
      <c r="P2757" s="1">
        <v>0.0</v>
      </c>
      <c r="R2757" s="1">
        <v>0.0</v>
      </c>
      <c r="S2757" s="1">
        <v>0.0</v>
      </c>
      <c r="U2757" s="1">
        <v>0.0</v>
      </c>
      <c r="W2757" s="1">
        <v>0.0</v>
      </c>
      <c r="Y2757" s="1">
        <v>0.0</v>
      </c>
      <c r="AA2757" s="1">
        <v>0.0</v>
      </c>
      <c r="AC2757" s="1">
        <v>0.0</v>
      </c>
      <c r="AM2757" s="1">
        <v>8543.0</v>
      </c>
      <c r="AN2757" s="1">
        <v>8543.0</v>
      </c>
      <c r="AO2757" s="1">
        <v>8543.0</v>
      </c>
      <c r="AP2757" s="1">
        <v>3.273</v>
      </c>
      <c r="AR2757" s="1">
        <v>0.0</v>
      </c>
      <c r="AW2757" s="1">
        <v>0.0</v>
      </c>
      <c r="AX2757" s="1">
        <v>6.0</v>
      </c>
      <c r="AY2757" s="1">
        <v>4.0</v>
      </c>
      <c r="BA2757" s="1">
        <v>0.0</v>
      </c>
      <c r="BB2757" s="1">
        <v>0.0</v>
      </c>
      <c r="BC2757" s="1">
        <v>0.0</v>
      </c>
      <c r="BD2757" s="1">
        <v>0.0</v>
      </c>
      <c r="BE2757" s="1">
        <v>0.0</v>
      </c>
      <c r="BF2757" s="1">
        <v>0.0</v>
      </c>
      <c r="BG2757" s="1">
        <v>0.0</v>
      </c>
      <c r="BH2757" s="1">
        <v>0.0</v>
      </c>
      <c r="BI2757" s="1">
        <v>0.0</v>
      </c>
      <c r="BJ2757" s="1">
        <v>0.0</v>
      </c>
      <c r="BP2757" s="1">
        <v>0.323</v>
      </c>
      <c r="BQ2757" s="1" t="s">
        <v>8516</v>
      </c>
      <c r="BV2757" s="1">
        <v>1.1</v>
      </c>
      <c r="EQ2757" s="9" t="s">
        <v>8515</v>
      </c>
      <c r="ER2757" s="21">
        <v>46045.30334490741</v>
      </c>
    </row>
    <row r="2758">
      <c r="A2758" s="9" t="s">
        <v>8517</v>
      </c>
      <c r="B2758" s="20" t="str">
        <f>IFERROR(__xludf.DUMMYFUNCTION("REGEXREPLACE(A2758, ""^https?://[^/]+"", """")"),"/comes-networking-jump-right-waters-fine/")</f>
        <v>/comes-networking-jump-right-waters-fine/</v>
      </c>
      <c r="C2758" s="1" t="s">
        <v>8518</v>
      </c>
      <c r="F2758" s="1" t="s">
        <v>965</v>
      </c>
      <c r="G2758" s="1">
        <v>200.0</v>
      </c>
      <c r="H2758" s="1" t="s">
        <v>966</v>
      </c>
      <c r="I2758" s="1" t="s">
        <v>967</v>
      </c>
      <c r="K2758" s="1" t="s">
        <v>8518</v>
      </c>
      <c r="L2758" s="1">
        <v>64.0</v>
      </c>
      <c r="M2758" s="1">
        <v>599.0</v>
      </c>
      <c r="O2758" s="1">
        <v>0.0</v>
      </c>
      <c r="P2758" s="1">
        <v>0.0</v>
      </c>
      <c r="Q2758" s="1" t="s">
        <v>8519</v>
      </c>
      <c r="R2758" s="1">
        <v>128.0</v>
      </c>
      <c r="S2758" s="1">
        <v>783.0</v>
      </c>
      <c r="U2758" s="1">
        <v>0.0</v>
      </c>
      <c r="V2758" s="1" t="s">
        <v>8518</v>
      </c>
      <c r="W2758" s="1">
        <v>64.0</v>
      </c>
      <c r="Y2758" s="1">
        <v>0.0</v>
      </c>
      <c r="AA2758" s="1">
        <v>0.0</v>
      </c>
      <c r="AC2758" s="1">
        <v>0.0</v>
      </c>
      <c r="AD2758" s="1" t="s">
        <v>971</v>
      </c>
      <c r="AG2758" s="9" t="s">
        <v>8517</v>
      </c>
      <c r="AM2758" s="1">
        <v>200507.0</v>
      </c>
      <c r="AN2758" s="1">
        <v>35734.0</v>
      </c>
      <c r="AO2758" s="1">
        <v>35734.0</v>
      </c>
      <c r="AP2758" s="1">
        <v>13.689</v>
      </c>
      <c r="AR2758" s="1">
        <v>1389.0</v>
      </c>
      <c r="AS2758" s="1">
        <v>203.0</v>
      </c>
      <c r="AT2758" s="1">
        <v>6.842</v>
      </c>
      <c r="AU2758" s="1">
        <v>72.046</v>
      </c>
      <c r="AV2758" s="1" t="s">
        <v>1264</v>
      </c>
      <c r="AW2758" s="1">
        <v>5.223</v>
      </c>
      <c r="AX2758" s="1">
        <v>6.0</v>
      </c>
      <c r="AY2758" s="1">
        <v>1.0</v>
      </c>
      <c r="AZ2758" s="1">
        <v>1.0</v>
      </c>
      <c r="BA2758" s="1">
        <v>3.0</v>
      </c>
      <c r="BB2758" s="1">
        <v>1.0</v>
      </c>
      <c r="BC2758" s="1">
        <v>0.0</v>
      </c>
      <c r="BD2758" s="1">
        <v>0.13</v>
      </c>
      <c r="BE2758" s="1">
        <v>130.0</v>
      </c>
      <c r="BF2758" s="1">
        <v>48.0</v>
      </c>
      <c r="BG2758" s="1">
        <v>0.0</v>
      </c>
      <c r="BH2758" s="1">
        <v>16.0</v>
      </c>
      <c r="BI2758" s="1">
        <v>8.0</v>
      </c>
      <c r="BJ2758" s="1">
        <v>0.0</v>
      </c>
      <c r="BO2758" s="1" t="s">
        <v>8520</v>
      </c>
      <c r="BP2758" s="1">
        <v>1.038</v>
      </c>
      <c r="BU2758" s="1" t="s">
        <v>974</v>
      </c>
      <c r="BV2758" s="1">
        <v>1.1</v>
      </c>
      <c r="EQ2758" s="9" t="s">
        <v>8517</v>
      </c>
      <c r="ER2758" s="21">
        <v>46045.30333333334</v>
      </c>
    </row>
    <row r="2759">
      <c r="A2759" s="9" t="s">
        <v>8521</v>
      </c>
      <c r="B2759" s="20" t="str">
        <f>IFERROR(__xludf.DUMMYFUNCTION("REGEXREPLACE(A2759, ""^https?://[^/]+"", """")"),"/dont-let-a-merger-acquisition-derail-sales-results/")</f>
        <v>/dont-let-a-merger-acquisition-derail-sales-results/</v>
      </c>
      <c r="C2759" s="1" t="s">
        <v>8522</v>
      </c>
      <c r="F2759" s="1" t="s">
        <v>965</v>
      </c>
      <c r="G2759" s="1">
        <v>200.0</v>
      </c>
      <c r="H2759" s="1" t="s">
        <v>966</v>
      </c>
      <c r="I2759" s="1" t="s">
        <v>967</v>
      </c>
      <c r="K2759" s="1" t="s">
        <v>8523</v>
      </c>
      <c r="L2759" s="1">
        <v>79.0</v>
      </c>
      <c r="M2759" s="1">
        <v>691.0</v>
      </c>
      <c r="O2759" s="1">
        <v>0.0</v>
      </c>
      <c r="P2759" s="1">
        <v>0.0</v>
      </c>
      <c r="Q2759" s="1" t="s">
        <v>8524</v>
      </c>
      <c r="R2759" s="1">
        <v>139.0</v>
      </c>
      <c r="S2759" s="1">
        <v>880.0</v>
      </c>
      <c r="U2759" s="1">
        <v>0.0</v>
      </c>
      <c r="V2759" s="1" t="s">
        <v>8522</v>
      </c>
      <c r="W2759" s="1">
        <v>59.0</v>
      </c>
      <c r="Y2759" s="1">
        <v>0.0</v>
      </c>
      <c r="AA2759" s="1">
        <v>0.0</v>
      </c>
      <c r="AC2759" s="1">
        <v>0.0</v>
      </c>
      <c r="AD2759" s="1" t="s">
        <v>971</v>
      </c>
      <c r="AG2759" s="9" t="s">
        <v>8521</v>
      </c>
      <c r="AM2759" s="1">
        <v>203907.0</v>
      </c>
      <c r="AN2759" s="1">
        <v>36586.0</v>
      </c>
      <c r="AO2759" s="1">
        <v>36586.0</v>
      </c>
      <c r="AP2759" s="1">
        <v>14.015</v>
      </c>
      <c r="AR2759" s="1">
        <v>1546.0</v>
      </c>
      <c r="AS2759" s="1">
        <v>222.0</v>
      </c>
      <c r="AT2759" s="1">
        <v>6.964</v>
      </c>
      <c r="AU2759" s="1">
        <v>65.479</v>
      </c>
      <c r="AV2759" s="1" t="s">
        <v>990</v>
      </c>
      <c r="AW2759" s="1">
        <v>5.807</v>
      </c>
      <c r="AX2759" s="1">
        <v>6.0</v>
      </c>
      <c r="AY2759" s="1">
        <v>1.0</v>
      </c>
      <c r="AZ2759" s="1">
        <v>1.0</v>
      </c>
      <c r="BA2759" s="1">
        <v>3.0</v>
      </c>
      <c r="BB2759" s="1">
        <v>1.0</v>
      </c>
      <c r="BC2759" s="1">
        <v>0.0</v>
      </c>
      <c r="BD2759" s="1">
        <v>0.13</v>
      </c>
      <c r="BE2759" s="1">
        <v>131.0</v>
      </c>
      <c r="BF2759" s="1">
        <v>48.0</v>
      </c>
      <c r="BG2759" s="1">
        <v>0.0</v>
      </c>
      <c r="BH2759" s="1">
        <v>16.0</v>
      </c>
      <c r="BI2759" s="1">
        <v>8.0</v>
      </c>
      <c r="BJ2759" s="1">
        <v>0.0</v>
      </c>
      <c r="BO2759" s="1" t="s">
        <v>8525</v>
      </c>
      <c r="BP2759" s="1">
        <v>0.971</v>
      </c>
      <c r="BU2759" s="1" t="s">
        <v>974</v>
      </c>
      <c r="BV2759" s="1">
        <v>1.1</v>
      </c>
      <c r="EQ2759" s="9" t="s">
        <v>8521</v>
      </c>
      <c r="ER2759" s="21">
        <v>46045.30333333334</v>
      </c>
    </row>
    <row r="2760">
      <c r="A2760" s="9" t="s">
        <v>8526</v>
      </c>
      <c r="B2760" s="20" t="str">
        <f>IFERROR(__xludf.DUMMYFUNCTION("REGEXREPLACE(A2760, ""^https?://[^/]+"", """")"),"/wp-content/uploads/2015/12/even-More-confessions-misunderstood-salesman-1.jpg")</f>
        <v>/wp-content/uploads/2015/12/even-More-confessions-misunderstood-salesman-1.jpg</v>
      </c>
      <c r="F2760" s="1" t="s">
        <v>1004</v>
      </c>
      <c r="G2760" s="1">
        <v>200.0</v>
      </c>
      <c r="H2760" s="1" t="s">
        <v>966</v>
      </c>
      <c r="I2760" s="1" t="s">
        <v>967</v>
      </c>
      <c r="L2760" s="1">
        <v>0.0</v>
      </c>
      <c r="M2760" s="1">
        <v>0.0</v>
      </c>
      <c r="O2760" s="1">
        <v>0.0</v>
      </c>
      <c r="P2760" s="1">
        <v>0.0</v>
      </c>
      <c r="R2760" s="1">
        <v>0.0</v>
      </c>
      <c r="S2760" s="1">
        <v>0.0</v>
      </c>
      <c r="U2760" s="1">
        <v>0.0</v>
      </c>
      <c r="W2760" s="1">
        <v>0.0</v>
      </c>
      <c r="Y2760" s="1">
        <v>0.0</v>
      </c>
      <c r="AA2760" s="1">
        <v>0.0</v>
      </c>
      <c r="AC2760" s="1">
        <v>0.0</v>
      </c>
      <c r="AM2760" s="1">
        <v>114219.0</v>
      </c>
      <c r="AN2760" s="1">
        <v>114219.0</v>
      </c>
      <c r="AO2760" s="1">
        <v>114219.0</v>
      </c>
      <c r="AP2760" s="1">
        <v>43.755</v>
      </c>
      <c r="AR2760" s="1">
        <v>0.0</v>
      </c>
      <c r="AW2760" s="1">
        <v>0.0</v>
      </c>
      <c r="AX2760" s="1">
        <v>6.0</v>
      </c>
      <c r="AY2760" s="1">
        <v>4.0</v>
      </c>
      <c r="BA2760" s="1">
        <v>0.0</v>
      </c>
      <c r="BB2760" s="1">
        <v>0.0</v>
      </c>
      <c r="BC2760" s="1">
        <v>0.0</v>
      </c>
      <c r="BD2760" s="1">
        <v>0.0</v>
      </c>
      <c r="BE2760" s="1">
        <v>0.0</v>
      </c>
      <c r="BF2760" s="1">
        <v>0.0</v>
      </c>
      <c r="BG2760" s="1">
        <v>0.0</v>
      </c>
      <c r="BH2760" s="1">
        <v>0.0</v>
      </c>
      <c r="BI2760" s="1">
        <v>0.0</v>
      </c>
      <c r="BJ2760" s="1">
        <v>0.0</v>
      </c>
      <c r="BP2760" s="1">
        <v>0.269</v>
      </c>
      <c r="BQ2760" s="1" t="s">
        <v>8527</v>
      </c>
      <c r="BV2760" s="1">
        <v>1.1</v>
      </c>
      <c r="EQ2760" s="9" t="s">
        <v>8526</v>
      </c>
      <c r="ER2760" s="21">
        <v>46045.30334490741</v>
      </c>
    </row>
    <row r="2761">
      <c r="A2761" s="9" t="s">
        <v>8528</v>
      </c>
      <c r="B2761" s="20" t="str">
        <f>IFERROR(__xludf.DUMMYFUNCTION("REGEXREPLACE(A2761, ""^https?://[^/]+"", """")"),"/wp-content/themes/salesxceleratione/assets/css/style.css?ver=1769123685")</f>
        <v>/wp-content/themes/salesxceleratione/assets/css/style.css?ver=1769123685</v>
      </c>
      <c r="F2761" s="1" t="s">
        <v>1016</v>
      </c>
      <c r="G2761" s="1">
        <v>200.0</v>
      </c>
      <c r="H2761" s="1" t="s">
        <v>966</v>
      </c>
      <c r="I2761" s="1" t="s">
        <v>967</v>
      </c>
      <c r="L2761" s="1">
        <v>0.0</v>
      </c>
      <c r="M2761" s="1">
        <v>0.0</v>
      </c>
      <c r="O2761" s="1">
        <v>0.0</v>
      </c>
      <c r="P2761" s="1">
        <v>0.0</v>
      </c>
      <c r="R2761" s="1">
        <v>0.0</v>
      </c>
      <c r="S2761" s="1">
        <v>0.0</v>
      </c>
      <c r="U2761" s="1">
        <v>0.0</v>
      </c>
      <c r="W2761" s="1">
        <v>0.0</v>
      </c>
      <c r="Y2761" s="1">
        <v>0.0</v>
      </c>
      <c r="AA2761" s="1">
        <v>0.0</v>
      </c>
      <c r="AC2761" s="1">
        <v>0.0</v>
      </c>
      <c r="AM2761" s="1">
        <v>17704.0</v>
      </c>
      <c r="AN2761" s="1">
        <v>17704.0</v>
      </c>
      <c r="AO2761" s="1">
        <v>17704.0</v>
      </c>
      <c r="AP2761" s="1">
        <v>6.782</v>
      </c>
      <c r="AR2761" s="1">
        <v>0.0</v>
      </c>
      <c r="AW2761" s="1">
        <v>0.0</v>
      </c>
      <c r="AX2761" s="1">
        <v>6.0</v>
      </c>
      <c r="AY2761" s="1">
        <v>5.0</v>
      </c>
      <c r="BA2761" s="1">
        <v>0.0</v>
      </c>
      <c r="BB2761" s="1">
        <v>0.0</v>
      </c>
      <c r="BC2761" s="1">
        <v>0.0</v>
      </c>
      <c r="BD2761" s="1">
        <v>0.0</v>
      </c>
      <c r="BE2761" s="1">
        <v>0.0</v>
      </c>
      <c r="BF2761" s="1">
        <v>0.0</v>
      </c>
      <c r="BG2761" s="1">
        <v>0.0</v>
      </c>
      <c r="BH2761" s="1">
        <v>0.0</v>
      </c>
      <c r="BI2761" s="1">
        <v>0.0</v>
      </c>
      <c r="BJ2761" s="1">
        <v>0.0</v>
      </c>
      <c r="BP2761" s="1">
        <v>0.271</v>
      </c>
      <c r="BQ2761" s="1" t="s">
        <v>8529</v>
      </c>
      <c r="BV2761" s="1">
        <v>1.1</v>
      </c>
      <c r="EQ2761" s="9" t="s">
        <v>8528</v>
      </c>
      <c r="ER2761" s="21">
        <v>46045.30334490741</v>
      </c>
    </row>
    <row r="2762">
      <c r="A2762" s="9" t="s">
        <v>8530</v>
      </c>
      <c r="B2762" s="20" t="str">
        <f>IFERROR(__xludf.DUMMYFUNCTION("REGEXREPLACE(A2762, ""^https?://[^/]+"", """")"),"/wp-content/uploads/2015/04/tp-1.jpg")</f>
        <v>/wp-content/uploads/2015/04/tp-1.jpg</v>
      </c>
      <c r="F2762" s="1" t="s">
        <v>1004</v>
      </c>
      <c r="G2762" s="1">
        <v>200.0</v>
      </c>
      <c r="H2762" s="1" t="s">
        <v>966</v>
      </c>
      <c r="I2762" s="1" t="s">
        <v>967</v>
      </c>
      <c r="L2762" s="1">
        <v>0.0</v>
      </c>
      <c r="M2762" s="1">
        <v>0.0</v>
      </c>
      <c r="O2762" s="1">
        <v>0.0</v>
      </c>
      <c r="P2762" s="1">
        <v>0.0</v>
      </c>
      <c r="R2762" s="1">
        <v>0.0</v>
      </c>
      <c r="S2762" s="1">
        <v>0.0</v>
      </c>
      <c r="U2762" s="1">
        <v>0.0</v>
      </c>
      <c r="W2762" s="1">
        <v>0.0</v>
      </c>
      <c r="Y2762" s="1">
        <v>0.0</v>
      </c>
      <c r="AA2762" s="1">
        <v>0.0</v>
      </c>
      <c r="AC2762" s="1">
        <v>0.0</v>
      </c>
      <c r="AM2762" s="1">
        <v>32201.0</v>
      </c>
      <c r="AN2762" s="1">
        <v>32201.0</v>
      </c>
      <c r="AO2762" s="1">
        <v>32201.0</v>
      </c>
      <c r="AP2762" s="1">
        <v>12.336</v>
      </c>
      <c r="AR2762" s="1">
        <v>0.0</v>
      </c>
      <c r="AW2762" s="1">
        <v>0.0</v>
      </c>
      <c r="AX2762" s="1">
        <v>6.0</v>
      </c>
      <c r="AY2762" s="1">
        <v>4.0</v>
      </c>
      <c r="BA2762" s="1">
        <v>0.0</v>
      </c>
      <c r="BB2762" s="1">
        <v>0.0</v>
      </c>
      <c r="BC2762" s="1">
        <v>0.0</v>
      </c>
      <c r="BD2762" s="1">
        <v>0.0</v>
      </c>
      <c r="BE2762" s="1">
        <v>0.0</v>
      </c>
      <c r="BF2762" s="1">
        <v>0.0</v>
      </c>
      <c r="BG2762" s="1">
        <v>0.0</v>
      </c>
      <c r="BH2762" s="1">
        <v>0.0</v>
      </c>
      <c r="BI2762" s="1">
        <v>0.0</v>
      </c>
      <c r="BJ2762" s="1">
        <v>0.0</v>
      </c>
      <c r="BP2762" s="1">
        <v>0.279</v>
      </c>
      <c r="BQ2762" s="1" t="s">
        <v>8531</v>
      </c>
      <c r="BV2762" s="1">
        <v>1.1</v>
      </c>
      <c r="EQ2762" s="9" t="s">
        <v>8530</v>
      </c>
      <c r="ER2762" s="21">
        <v>46045.30334490741</v>
      </c>
    </row>
    <row r="2763">
      <c r="A2763" s="9" t="s">
        <v>8532</v>
      </c>
      <c r="B2763" s="20" t="str">
        <f>IFERROR(__xludf.DUMMYFUNCTION("REGEXREPLACE(A2763, ""^https?://[^/]+"", """")"),"/wp-content/themes/salesxceleratione/assets/css/style.css?ver=1769123684")</f>
        <v>/wp-content/themes/salesxceleratione/assets/css/style.css?ver=1769123684</v>
      </c>
      <c r="F2763" s="1" t="s">
        <v>1016</v>
      </c>
      <c r="G2763" s="1">
        <v>200.0</v>
      </c>
      <c r="H2763" s="1" t="s">
        <v>966</v>
      </c>
      <c r="I2763" s="1" t="s">
        <v>967</v>
      </c>
      <c r="L2763" s="1">
        <v>0.0</v>
      </c>
      <c r="M2763" s="1">
        <v>0.0</v>
      </c>
      <c r="O2763" s="1">
        <v>0.0</v>
      </c>
      <c r="P2763" s="1">
        <v>0.0</v>
      </c>
      <c r="R2763" s="1">
        <v>0.0</v>
      </c>
      <c r="S2763" s="1">
        <v>0.0</v>
      </c>
      <c r="U2763" s="1">
        <v>0.0</v>
      </c>
      <c r="W2763" s="1">
        <v>0.0</v>
      </c>
      <c r="Y2763" s="1">
        <v>0.0</v>
      </c>
      <c r="AA2763" s="1">
        <v>0.0</v>
      </c>
      <c r="AC2763" s="1">
        <v>0.0</v>
      </c>
      <c r="AM2763" s="1">
        <v>17704.0</v>
      </c>
      <c r="AN2763" s="1">
        <v>17704.0</v>
      </c>
      <c r="AO2763" s="1">
        <v>17704.0</v>
      </c>
      <c r="AP2763" s="1">
        <v>6.782</v>
      </c>
      <c r="AR2763" s="1">
        <v>0.0</v>
      </c>
      <c r="AW2763" s="1">
        <v>0.0</v>
      </c>
      <c r="AX2763" s="1">
        <v>6.0</v>
      </c>
      <c r="AY2763" s="1">
        <v>5.0</v>
      </c>
      <c r="BA2763" s="1">
        <v>0.0</v>
      </c>
      <c r="BB2763" s="1">
        <v>0.0</v>
      </c>
      <c r="BC2763" s="1">
        <v>0.0</v>
      </c>
      <c r="BD2763" s="1">
        <v>0.0</v>
      </c>
      <c r="BE2763" s="1">
        <v>0.0</v>
      </c>
      <c r="BF2763" s="1">
        <v>0.0</v>
      </c>
      <c r="BG2763" s="1">
        <v>0.0</v>
      </c>
      <c r="BH2763" s="1">
        <v>0.0</v>
      </c>
      <c r="BI2763" s="1">
        <v>0.0</v>
      </c>
      <c r="BJ2763" s="1">
        <v>0.0</v>
      </c>
      <c r="BP2763" s="1">
        <v>0.278</v>
      </c>
      <c r="BQ2763" s="1" t="s">
        <v>8533</v>
      </c>
      <c r="BV2763" s="1">
        <v>1.1</v>
      </c>
      <c r="EQ2763" s="9" t="s">
        <v>8532</v>
      </c>
      <c r="ER2763" s="21">
        <v>46045.30334490741</v>
      </c>
    </row>
    <row r="2764">
      <c r="A2764" s="9" t="s">
        <v>8534</v>
      </c>
      <c r="B2764" s="20" t="str">
        <f>IFERROR(__xludf.DUMMYFUNCTION("REGEXREPLACE(A2764, ""^https?://[^/]+"", """")"),"/wp-content/uploads/2015/09/Put-a-bow-on-it-sales-xceleration.png")</f>
        <v>/wp-content/uploads/2015/09/Put-a-bow-on-it-sales-xceleration.png</v>
      </c>
      <c r="F2764" s="1" t="s">
        <v>1047</v>
      </c>
      <c r="G2764" s="1">
        <v>200.0</v>
      </c>
      <c r="H2764" s="1" t="s">
        <v>966</v>
      </c>
      <c r="I2764" s="1" t="s">
        <v>967</v>
      </c>
      <c r="L2764" s="1">
        <v>0.0</v>
      </c>
      <c r="M2764" s="1">
        <v>0.0</v>
      </c>
      <c r="O2764" s="1">
        <v>0.0</v>
      </c>
      <c r="P2764" s="1">
        <v>0.0</v>
      </c>
      <c r="R2764" s="1">
        <v>0.0</v>
      </c>
      <c r="S2764" s="1">
        <v>0.0</v>
      </c>
      <c r="U2764" s="1">
        <v>0.0</v>
      </c>
      <c r="W2764" s="1">
        <v>0.0</v>
      </c>
      <c r="Y2764" s="1">
        <v>0.0</v>
      </c>
      <c r="AA2764" s="1">
        <v>0.0</v>
      </c>
      <c r="AC2764" s="1">
        <v>0.0</v>
      </c>
      <c r="AM2764" s="1">
        <v>197918.0</v>
      </c>
      <c r="AN2764" s="1">
        <v>197918.0</v>
      </c>
      <c r="AO2764" s="1">
        <v>197918.0</v>
      </c>
      <c r="AP2764" s="1">
        <v>75.819</v>
      </c>
      <c r="AR2764" s="1">
        <v>0.0</v>
      </c>
      <c r="AW2764" s="1">
        <v>0.0</v>
      </c>
      <c r="AX2764" s="1">
        <v>6.0</v>
      </c>
      <c r="AY2764" s="1">
        <v>4.0</v>
      </c>
      <c r="BA2764" s="1">
        <v>0.0</v>
      </c>
      <c r="BB2764" s="1">
        <v>0.0</v>
      </c>
      <c r="BC2764" s="1">
        <v>0.0</v>
      </c>
      <c r="BD2764" s="1">
        <v>0.0</v>
      </c>
      <c r="BE2764" s="1">
        <v>0.0</v>
      </c>
      <c r="BF2764" s="1">
        <v>0.0</v>
      </c>
      <c r="BG2764" s="1">
        <v>0.0</v>
      </c>
      <c r="BH2764" s="1">
        <v>0.0</v>
      </c>
      <c r="BI2764" s="1">
        <v>0.0</v>
      </c>
      <c r="BJ2764" s="1">
        <v>0.0</v>
      </c>
      <c r="BP2764" s="1">
        <v>0.27</v>
      </c>
      <c r="BQ2764" s="1" t="s">
        <v>8535</v>
      </c>
      <c r="BV2764" s="1">
        <v>1.1</v>
      </c>
      <c r="EQ2764" s="9" t="s">
        <v>8534</v>
      </c>
      <c r="ER2764" s="21">
        <v>46045.30335648148</v>
      </c>
    </row>
    <row r="2765">
      <c r="A2765" s="9" t="s">
        <v>8536</v>
      </c>
      <c r="B2765" s="20" t="str">
        <f>IFERROR(__xludf.DUMMYFUNCTION("REGEXREPLACE(A2765, ""^https?://[^/]+"", """")"),"/why-most-sales-training-doesnt-work-and-how-to-make-sure-it-does")</f>
        <v>/why-most-sales-training-doesnt-work-and-how-to-make-sure-it-does</v>
      </c>
      <c r="F2765" s="1" t="s">
        <v>965</v>
      </c>
      <c r="G2765" s="1">
        <v>301.0</v>
      </c>
      <c r="H2765" s="1" t="s">
        <v>1304</v>
      </c>
      <c r="I2765" s="1" t="s">
        <v>1214</v>
      </c>
      <c r="J2765" s="1" t="s">
        <v>1305</v>
      </c>
      <c r="L2765" s="1">
        <v>0.0</v>
      </c>
      <c r="M2765" s="1">
        <v>0.0</v>
      </c>
      <c r="O2765" s="1">
        <v>0.0</v>
      </c>
      <c r="P2765" s="1">
        <v>0.0</v>
      </c>
      <c r="R2765" s="1">
        <v>0.0</v>
      </c>
      <c r="S2765" s="1">
        <v>0.0</v>
      </c>
      <c r="U2765" s="1">
        <v>0.0</v>
      </c>
      <c r="W2765" s="1">
        <v>0.0</v>
      </c>
      <c r="Y2765" s="1">
        <v>0.0</v>
      </c>
      <c r="AA2765" s="1">
        <v>0.0</v>
      </c>
      <c r="AC2765" s="1">
        <v>0.0</v>
      </c>
      <c r="AM2765" s="1">
        <v>0.0</v>
      </c>
      <c r="AN2765" s="1">
        <v>0.0</v>
      </c>
      <c r="AO2765" s="1">
        <v>0.0</v>
      </c>
      <c r="AP2765" s="1">
        <v>0.0</v>
      </c>
      <c r="AR2765" s="1">
        <v>0.0</v>
      </c>
      <c r="AW2765" s="1">
        <v>0.0</v>
      </c>
      <c r="AX2765" s="1">
        <v>6.0</v>
      </c>
      <c r="AY2765" s="1">
        <v>0.0</v>
      </c>
      <c r="BA2765" s="1">
        <v>1.0</v>
      </c>
      <c r="BB2765" s="1">
        <v>1.0</v>
      </c>
      <c r="BC2765" s="1">
        <v>0.0</v>
      </c>
      <c r="BD2765" s="1">
        <v>0.13</v>
      </c>
      <c r="BE2765" s="1">
        <v>0.0</v>
      </c>
      <c r="BF2765" s="1">
        <v>0.0</v>
      </c>
      <c r="BG2765" s="1">
        <v>0.0</v>
      </c>
      <c r="BH2765" s="1">
        <v>0.0</v>
      </c>
      <c r="BI2765" s="1">
        <v>0.0</v>
      </c>
      <c r="BJ2765" s="1">
        <v>0.0</v>
      </c>
      <c r="BP2765" s="1">
        <v>0.565</v>
      </c>
      <c r="BR2765" s="9" t="s">
        <v>7337</v>
      </c>
      <c r="BS2765" s="1" t="s">
        <v>1307</v>
      </c>
      <c r="BV2765" s="1">
        <v>1.1</v>
      </c>
      <c r="EQ2765" s="9" t="s">
        <v>8536</v>
      </c>
      <c r="ER2765" s="21">
        <v>46045.30335648148</v>
      </c>
    </row>
    <row r="2766">
      <c r="A2766" s="9" t="s">
        <v>8537</v>
      </c>
      <c r="B2766" s="20" t="str">
        <f>IFERROR(__xludf.DUMMYFUNCTION("REGEXREPLACE(A2766, ""^https?://[^/]+"", """")"),"/wp-content/uploads/2015/04/backfire.png")</f>
        <v>/wp-content/uploads/2015/04/backfire.png</v>
      </c>
      <c r="F2766" s="1" t="s">
        <v>1047</v>
      </c>
      <c r="G2766" s="1">
        <v>200.0</v>
      </c>
      <c r="H2766" s="1" t="s">
        <v>966</v>
      </c>
      <c r="I2766" s="1" t="s">
        <v>967</v>
      </c>
      <c r="L2766" s="1">
        <v>0.0</v>
      </c>
      <c r="M2766" s="1">
        <v>0.0</v>
      </c>
      <c r="O2766" s="1">
        <v>0.0</v>
      </c>
      <c r="P2766" s="1">
        <v>0.0</v>
      </c>
      <c r="R2766" s="1">
        <v>0.0</v>
      </c>
      <c r="S2766" s="1">
        <v>0.0</v>
      </c>
      <c r="U2766" s="1">
        <v>0.0</v>
      </c>
      <c r="W2766" s="1">
        <v>0.0</v>
      </c>
      <c r="Y2766" s="1">
        <v>0.0</v>
      </c>
      <c r="AA2766" s="1">
        <v>0.0</v>
      </c>
      <c r="AC2766" s="1">
        <v>0.0</v>
      </c>
      <c r="AM2766" s="1">
        <v>71367.0</v>
      </c>
      <c r="AN2766" s="1">
        <v>71367.0</v>
      </c>
      <c r="AO2766" s="1">
        <v>71367.0</v>
      </c>
      <c r="AP2766" s="1">
        <v>27.339</v>
      </c>
      <c r="AR2766" s="1">
        <v>0.0</v>
      </c>
      <c r="AW2766" s="1">
        <v>0.0</v>
      </c>
      <c r="AX2766" s="1">
        <v>6.0</v>
      </c>
      <c r="AY2766" s="1">
        <v>4.0</v>
      </c>
      <c r="BA2766" s="1">
        <v>0.0</v>
      </c>
      <c r="BB2766" s="1">
        <v>0.0</v>
      </c>
      <c r="BC2766" s="1">
        <v>0.0</v>
      </c>
      <c r="BD2766" s="1">
        <v>0.0</v>
      </c>
      <c r="BE2766" s="1">
        <v>0.0</v>
      </c>
      <c r="BF2766" s="1">
        <v>0.0</v>
      </c>
      <c r="BG2766" s="1">
        <v>0.0</v>
      </c>
      <c r="BH2766" s="1">
        <v>0.0</v>
      </c>
      <c r="BI2766" s="1">
        <v>0.0</v>
      </c>
      <c r="BJ2766" s="1">
        <v>0.0</v>
      </c>
      <c r="BP2766" s="1">
        <v>0.288</v>
      </c>
      <c r="BQ2766" s="1" t="s">
        <v>8538</v>
      </c>
      <c r="BV2766" s="1">
        <v>1.1</v>
      </c>
      <c r="EQ2766" s="9" t="s">
        <v>8537</v>
      </c>
      <c r="ER2766" s="21">
        <v>46045.30335648148</v>
      </c>
    </row>
    <row r="2767">
      <c r="A2767" s="9" t="s">
        <v>8539</v>
      </c>
      <c r="B2767" s="20" t="str">
        <f>IFERROR(__xludf.DUMMYFUNCTION("REGEXREPLACE(A2767, ""^https?://[^/]+"", """")"),"/confessions-of-the-misunderstood-salesperson/")</f>
        <v>/confessions-of-the-misunderstood-salesperson/</v>
      </c>
      <c r="C2767" s="1" t="s">
        <v>8540</v>
      </c>
      <c r="F2767" s="1" t="s">
        <v>965</v>
      </c>
      <c r="G2767" s="1">
        <v>200.0</v>
      </c>
      <c r="H2767" s="1" t="s">
        <v>966</v>
      </c>
      <c r="I2767" s="1" t="s">
        <v>967</v>
      </c>
      <c r="K2767" s="1" t="s">
        <v>8541</v>
      </c>
      <c r="L2767" s="1">
        <v>69.0</v>
      </c>
      <c r="M2767" s="1">
        <v>635.0</v>
      </c>
      <c r="O2767" s="1">
        <v>0.0</v>
      </c>
      <c r="P2767" s="1">
        <v>0.0</v>
      </c>
      <c r="Q2767" s="1" t="s">
        <v>8542</v>
      </c>
      <c r="R2767" s="1">
        <v>153.0</v>
      </c>
      <c r="S2767" s="1">
        <v>936.0</v>
      </c>
      <c r="U2767" s="1">
        <v>0.0</v>
      </c>
      <c r="V2767" s="1" t="s">
        <v>8540</v>
      </c>
      <c r="W2767" s="1">
        <v>44.0</v>
      </c>
      <c r="Y2767" s="1">
        <v>0.0</v>
      </c>
      <c r="AA2767" s="1">
        <v>0.0</v>
      </c>
      <c r="AC2767" s="1">
        <v>0.0</v>
      </c>
      <c r="AD2767" s="1" t="s">
        <v>971</v>
      </c>
      <c r="AG2767" s="9" t="s">
        <v>8539</v>
      </c>
      <c r="AM2767" s="1">
        <v>204003.0</v>
      </c>
      <c r="AN2767" s="1">
        <v>36237.0</v>
      </c>
      <c r="AO2767" s="1">
        <v>36237.0</v>
      </c>
      <c r="AP2767" s="1">
        <v>13.882</v>
      </c>
      <c r="AR2767" s="1">
        <v>1524.0</v>
      </c>
      <c r="AS2767" s="1">
        <v>255.0</v>
      </c>
      <c r="AT2767" s="1">
        <v>5.976</v>
      </c>
      <c r="AU2767" s="1">
        <v>75.201</v>
      </c>
      <c r="AV2767" s="1" t="s">
        <v>1264</v>
      </c>
      <c r="AW2767" s="1">
        <v>5.481</v>
      </c>
      <c r="AX2767" s="1">
        <v>6.0</v>
      </c>
      <c r="AY2767" s="1">
        <v>1.0</v>
      </c>
      <c r="AZ2767" s="1">
        <v>1.0</v>
      </c>
      <c r="BA2767" s="1">
        <v>1.0</v>
      </c>
      <c r="BB2767" s="1">
        <v>1.0</v>
      </c>
      <c r="BC2767" s="1">
        <v>0.0</v>
      </c>
      <c r="BD2767" s="1">
        <v>0.13</v>
      </c>
      <c r="BE2767" s="1">
        <v>129.0</v>
      </c>
      <c r="BF2767" s="1">
        <v>47.0</v>
      </c>
      <c r="BG2767" s="1">
        <v>0.0</v>
      </c>
      <c r="BH2767" s="1">
        <v>16.0</v>
      </c>
      <c r="BI2767" s="1">
        <v>8.0</v>
      </c>
      <c r="BJ2767" s="1">
        <v>0.0</v>
      </c>
      <c r="BO2767" s="1" t="s">
        <v>8543</v>
      </c>
      <c r="BP2767" s="1">
        <v>0.979</v>
      </c>
      <c r="BU2767" s="1" t="s">
        <v>974</v>
      </c>
      <c r="BV2767" s="1">
        <v>1.1</v>
      </c>
      <c r="EQ2767" s="9" t="s">
        <v>8539</v>
      </c>
      <c r="ER2767" s="21">
        <v>46045.30334490741</v>
      </c>
    </row>
    <row r="2768">
      <c r="A2768" s="9" t="s">
        <v>8544</v>
      </c>
      <c r="B2768" s="20" t="str">
        <f>IFERROR(__xludf.DUMMYFUNCTION("REGEXREPLACE(A2768, ""^https?://[^/]+"", """")"),"/finding-the-right-people-for-your-sales-team")</f>
        <v>/finding-the-right-people-for-your-sales-team</v>
      </c>
      <c r="F2768" s="1" t="s">
        <v>965</v>
      </c>
      <c r="G2768" s="1">
        <v>301.0</v>
      </c>
      <c r="H2768" s="1" t="s">
        <v>1304</v>
      </c>
      <c r="I2768" s="1" t="s">
        <v>1214</v>
      </c>
      <c r="J2768" s="1" t="s">
        <v>1305</v>
      </c>
      <c r="L2768" s="1">
        <v>0.0</v>
      </c>
      <c r="M2768" s="1">
        <v>0.0</v>
      </c>
      <c r="O2768" s="1">
        <v>0.0</v>
      </c>
      <c r="P2768" s="1">
        <v>0.0</v>
      </c>
      <c r="R2768" s="1">
        <v>0.0</v>
      </c>
      <c r="S2768" s="1">
        <v>0.0</v>
      </c>
      <c r="U2768" s="1">
        <v>0.0</v>
      </c>
      <c r="W2768" s="1">
        <v>0.0</v>
      </c>
      <c r="Y2768" s="1">
        <v>0.0</v>
      </c>
      <c r="AA2768" s="1">
        <v>0.0</v>
      </c>
      <c r="AC2768" s="1">
        <v>0.0</v>
      </c>
      <c r="AM2768" s="1">
        <v>0.0</v>
      </c>
      <c r="AN2768" s="1">
        <v>0.0</v>
      </c>
      <c r="AO2768" s="1">
        <v>0.0</v>
      </c>
      <c r="AP2768" s="1">
        <v>0.0</v>
      </c>
      <c r="AR2768" s="1">
        <v>0.0</v>
      </c>
      <c r="AW2768" s="1">
        <v>0.0</v>
      </c>
      <c r="AX2768" s="1">
        <v>6.0</v>
      </c>
      <c r="AY2768" s="1">
        <v>0.0</v>
      </c>
      <c r="BA2768" s="1">
        <v>1.0</v>
      </c>
      <c r="BB2768" s="1">
        <v>1.0</v>
      </c>
      <c r="BC2768" s="1">
        <v>0.0</v>
      </c>
      <c r="BD2768" s="1">
        <v>0.13</v>
      </c>
      <c r="BE2768" s="1">
        <v>0.0</v>
      </c>
      <c r="BF2768" s="1">
        <v>0.0</v>
      </c>
      <c r="BG2768" s="1">
        <v>0.0</v>
      </c>
      <c r="BH2768" s="1">
        <v>0.0</v>
      </c>
      <c r="BI2768" s="1">
        <v>0.0</v>
      </c>
      <c r="BJ2768" s="1">
        <v>0.0</v>
      </c>
      <c r="BP2768" s="1">
        <v>0.607</v>
      </c>
      <c r="BR2768" s="9" t="s">
        <v>5632</v>
      </c>
      <c r="BS2768" s="1" t="s">
        <v>1307</v>
      </c>
      <c r="BV2768" s="1">
        <v>1.1</v>
      </c>
      <c r="EQ2768" s="9" t="s">
        <v>8544</v>
      </c>
      <c r="ER2768" s="21">
        <v>46045.30335648148</v>
      </c>
    </row>
    <row r="2769">
      <c r="A2769" s="9" t="s">
        <v>8545</v>
      </c>
      <c r="B2769" s="20" t="str">
        <f>IFERROR(__xludf.DUMMYFUNCTION("REGEXREPLACE(A2769, ""^https?://[^/]+"", """")"),"/wp-content/uploads/2015/03/Salary-Cap.jpg")</f>
        <v>/wp-content/uploads/2015/03/Salary-Cap.jpg</v>
      </c>
      <c r="F2769" s="1" t="s">
        <v>1004</v>
      </c>
      <c r="G2769" s="1">
        <v>200.0</v>
      </c>
      <c r="H2769" s="1" t="s">
        <v>966</v>
      </c>
      <c r="I2769" s="1" t="s">
        <v>967</v>
      </c>
      <c r="L2769" s="1">
        <v>0.0</v>
      </c>
      <c r="M2769" s="1">
        <v>0.0</v>
      </c>
      <c r="O2769" s="1">
        <v>0.0</v>
      </c>
      <c r="P2769" s="1">
        <v>0.0</v>
      </c>
      <c r="R2769" s="1">
        <v>0.0</v>
      </c>
      <c r="S2769" s="1">
        <v>0.0</v>
      </c>
      <c r="U2769" s="1">
        <v>0.0</v>
      </c>
      <c r="W2769" s="1">
        <v>0.0</v>
      </c>
      <c r="Y2769" s="1">
        <v>0.0</v>
      </c>
      <c r="AA2769" s="1">
        <v>0.0</v>
      </c>
      <c r="AC2769" s="1">
        <v>0.0</v>
      </c>
      <c r="AM2769" s="1">
        <v>7592.0</v>
      </c>
      <c r="AN2769" s="1">
        <v>7592.0</v>
      </c>
      <c r="AO2769" s="1">
        <v>7592.0</v>
      </c>
      <c r="AP2769" s="1">
        <v>2.908</v>
      </c>
      <c r="AR2769" s="1">
        <v>0.0</v>
      </c>
      <c r="AW2769" s="1">
        <v>0.0</v>
      </c>
      <c r="AX2769" s="1">
        <v>6.0</v>
      </c>
      <c r="AY2769" s="1">
        <v>4.0</v>
      </c>
      <c r="BA2769" s="1">
        <v>0.0</v>
      </c>
      <c r="BB2769" s="1">
        <v>0.0</v>
      </c>
      <c r="BC2769" s="1">
        <v>0.0</v>
      </c>
      <c r="BD2769" s="1">
        <v>0.0</v>
      </c>
      <c r="BE2769" s="1">
        <v>0.0</v>
      </c>
      <c r="BF2769" s="1">
        <v>0.0</v>
      </c>
      <c r="BG2769" s="1">
        <v>0.0</v>
      </c>
      <c r="BH2769" s="1">
        <v>0.0</v>
      </c>
      <c r="BI2769" s="1">
        <v>0.0</v>
      </c>
      <c r="BJ2769" s="1">
        <v>0.0</v>
      </c>
      <c r="BP2769" s="1">
        <v>0.313</v>
      </c>
      <c r="BQ2769" s="1" t="s">
        <v>8546</v>
      </c>
      <c r="BV2769" s="1">
        <v>1.1</v>
      </c>
      <c r="EQ2769" s="9" t="s">
        <v>8545</v>
      </c>
      <c r="ER2769" s="21">
        <v>46045.30335648148</v>
      </c>
    </row>
    <row r="2770">
      <c r="A2770" s="9" t="s">
        <v>8547</v>
      </c>
      <c r="B2770" s="20" t="str">
        <f>IFERROR(__xludf.DUMMYFUNCTION("REGEXREPLACE(A2770, ""^https?://[^/]+"", """")"),"/wp-content/uploads/2015/03/Sales-superstars-sales-xceleration.png")</f>
        <v>/wp-content/uploads/2015/03/Sales-superstars-sales-xceleration.png</v>
      </c>
      <c r="F2770" s="1" t="s">
        <v>1047</v>
      </c>
      <c r="G2770" s="1">
        <v>200.0</v>
      </c>
      <c r="H2770" s="1" t="s">
        <v>966</v>
      </c>
      <c r="I2770" s="1" t="s">
        <v>967</v>
      </c>
      <c r="L2770" s="1">
        <v>0.0</v>
      </c>
      <c r="M2770" s="1">
        <v>0.0</v>
      </c>
      <c r="O2770" s="1">
        <v>0.0</v>
      </c>
      <c r="P2770" s="1">
        <v>0.0</v>
      </c>
      <c r="R2770" s="1">
        <v>0.0</v>
      </c>
      <c r="S2770" s="1">
        <v>0.0</v>
      </c>
      <c r="U2770" s="1">
        <v>0.0</v>
      </c>
      <c r="W2770" s="1">
        <v>0.0</v>
      </c>
      <c r="Y2770" s="1">
        <v>0.0</v>
      </c>
      <c r="AA2770" s="1">
        <v>0.0</v>
      </c>
      <c r="AC2770" s="1">
        <v>0.0</v>
      </c>
      <c r="AM2770" s="1">
        <v>231446.0</v>
      </c>
      <c r="AN2770" s="1">
        <v>231446.0</v>
      </c>
      <c r="AO2770" s="1">
        <v>231446.0</v>
      </c>
      <c r="AP2770" s="1">
        <v>88.663</v>
      </c>
      <c r="AR2770" s="1">
        <v>0.0</v>
      </c>
      <c r="AW2770" s="1">
        <v>0.0</v>
      </c>
      <c r="AX2770" s="1">
        <v>6.0</v>
      </c>
      <c r="AY2770" s="1">
        <v>4.0</v>
      </c>
      <c r="BA2770" s="1">
        <v>0.0</v>
      </c>
      <c r="BB2770" s="1">
        <v>0.0</v>
      </c>
      <c r="BC2770" s="1">
        <v>0.0</v>
      </c>
      <c r="BD2770" s="1">
        <v>0.0</v>
      </c>
      <c r="BE2770" s="1">
        <v>0.0</v>
      </c>
      <c r="BF2770" s="1">
        <v>0.0</v>
      </c>
      <c r="BG2770" s="1">
        <v>0.0</v>
      </c>
      <c r="BH2770" s="1">
        <v>0.0</v>
      </c>
      <c r="BI2770" s="1">
        <v>0.0</v>
      </c>
      <c r="BJ2770" s="1">
        <v>0.0</v>
      </c>
      <c r="BP2770" s="1">
        <v>0.269</v>
      </c>
      <c r="BQ2770" s="1" t="s">
        <v>8548</v>
      </c>
      <c r="BV2770" s="1">
        <v>1.1</v>
      </c>
      <c r="EQ2770" s="9" t="s">
        <v>8547</v>
      </c>
      <c r="ER2770" s="21">
        <v>46045.30335648148</v>
      </c>
    </row>
    <row r="2771">
      <c r="A2771" s="9" t="s">
        <v>8549</v>
      </c>
      <c r="B2771" s="20" t="str">
        <f>IFERROR(__xludf.DUMMYFUNCTION("REGEXREPLACE(A2771, ""^https?://[^/]+"", """")"),"/more-confessions-of-the-misunderstood-salesperson/")</f>
        <v>/more-confessions-of-the-misunderstood-salesperson/</v>
      </c>
      <c r="C2771" s="1" t="s">
        <v>8550</v>
      </c>
      <c r="F2771" s="1" t="s">
        <v>965</v>
      </c>
      <c r="G2771" s="1">
        <v>200.0</v>
      </c>
      <c r="H2771" s="1" t="s">
        <v>966</v>
      </c>
      <c r="I2771" s="1" t="s">
        <v>967</v>
      </c>
      <c r="K2771" s="1" t="s">
        <v>8551</v>
      </c>
      <c r="L2771" s="1">
        <v>74.0</v>
      </c>
      <c r="M2771" s="1">
        <v>686.0</v>
      </c>
      <c r="O2771" s="1">
        <v>0.0</v>
      </c>
      <c r="P2771" s="1">
        <v>0.0</v>
      </c>
      <c r="Q2771" s="1" t="s">
        <v>8552</v>
      </c>
      <c r="R2771" s="1">
        <v>146.0</v>
      </c>
      <c r="S2771" s="1">
        <v>919.0</v>
      </c>
      <c r="U2771" s="1">
        <v>0.0</v>
      </c>
      <c r="V2771" s="1" t="s">
        <v>8550</v>
      </c>
      <c r="W2771" s="1">
        <v>49.0</v>
      </c>
      <c r="Y2771" s="1">
        <v>0.0</v>
      </c>
      <c r="AA2771" s="1">
        <v>0.0</v>
      </c>
      <c r="AC2771" s="1">
        <v>0.0</v>
      </c>
      <c r="AD2771" s="1" t="s">
        <v>971</v>
      </c>
      <c r="AG2771" s="9" t="s">
        <v>8549</v>
      </c>
      <c r="AM2771" s="1">
        <v>204455.0</v>
      </c>
      <c r="AN2771" s="1">
        <v>36410.0</v>
      </c>
      <c r="AO2771" s="1">
        <v>36410.0</v>
      </c>
      <c r="AP2771" s="1">
        <v>13.948</v>
      </c>
      <c r="AR2771" s="1">
        <v>1529.0</v>
      </c>
      <c r="AS2771" s="1">
        <v>240.0</v>
      </c>
      <c r="AT2771" s="1">
        <v>6.371</v>
      </c>
      <c r="AU2771" s="1">
        <v>73.662</v>
      </c>
      <c r="AV2771" s="1" t="s">
        <v>1264</v>
      </c>
      <c r="AW2771" s="1">
        <v>5.554</v>
      </c>
      <c r="AX2771" s="1">
        <v>6.0</v>
      </c>
      <c r="AY2771" s="1">
        <v>1.0</v>
      </c>
      <c r="AZ2771" s="1">
        <v>1.0</v>
      </c>
      <c r="BA2771" s="1">
        <v>1.0</v>
      </c>
      <c r="BB2771" s="1">
        <v>1.0</v>
      </c>
      <c r="BC2771" s="1">
        <v>0.0</v>
      </c>
      <c r="BD2771" s="1">
        <v>0.13</v>
      </c>
      <c r="BE2771" s="1">
        <v>130.0</v>
      </c>
      <c r="BF2771" s="1">
        <v>48.0</v>
      </c>
      <c r="BG2771" s="1">
        <v>0.0</v>
      </c>
      <c r="BH2771" s="1">
        <v>16.0</v>
      </c>
      <c r="BI2771" s="1">
        <v>8.0</v>
      </c>
      <c r="BJ2771" s="1">
        <v>0.0</v>
      </c>
      <c r="BO2771" s="1" t="s">
        <v>8553</v>
      </c>
      <c r="BP2771" s="1">
        <v>1.013</v>
      </c>
      <c r="BU2771" s="1" t="s">
        <v>974</v>
      </c>
      <c r="BV2771" s="1">
        <v>1.1</v>
      </c>
      <c r="EQ2771" s="9" t="s">
        <v>8549</v>
      </c>
      <c r="ER2771" s="21">
        <v>46045.30334490741</v>
      </c>
    </row>
    <row r="2772">
      <c r="A2772" s="9" t="s">
        <v>8554</v>
      </c>
      <c r="B2772" s="20" t="str">
        <f>IFERROR(__xludf.DUMMYFUNCTION("REGEXREPLACE(A2772, ""^https?://[^/]+"", """")"),"/wp-content/uploads/2015/04/ideal-salesperson-recruit.png")</f>
        <v>/wp-content/uploads/2015/04/ideal-salesperson-recruit.png</v>
      </c>
      <c r="F2772" s="1" t="s">
        <v>1047</v>
      </c>
      <c r="G2772" s="1">
        <v>200.0</v>
      </c>
      <c r="H2772" s="1" t="s">
        <v>966</v>
      </c>
      <c r="I2772" s="1" t="s">
        <v>967</v>
      </c>
      <c r="L2772" s="1">
        <v>0.0</v>
      </c>
      <c r="M2772" s="1">
        <v>0.0</v>
      </c>
      <c r="O2772" s="1">
        <v>0.0</v>
      </c>
      <c r="P2772" s="1">
        <v>0.0</v>
      </c>
      <c r="R2772" s="1">
        <v>0.0</v>
      </c>
      <c r="S2772" s="1">
        <v>0.0</v>
      </c>
      <c r="U2772" s="1">
        <v>0.0</v>
      </c>
      <c r="W2772" s="1">
        <v>0.0</v>
      </c>
      <c r="Y2772" s="1">
        <v>0.0</v>
      </c>
      <c r="AA2772" s="1">
        <v>0.0</v>
      </c>
      <c r="AC2772" s="1">
        <v>0.0</v>
      </c>
      <c r="AM2772" s="1">
        <v>61555.0</v>
      </c>
      <c r="AN2772" s="1">
        <v>61555.0</v>
      </c>
      <c r="AO2772" s="1">
        <v>61555.0</v>
      </c>
      <c r="AP2772" s="1">
        <v>23.581</v>
      </c>
      <c r="AR2772" s="1">
        <v>0.0</v>
      </c>
      <c r="AW2772" s="1">
        <v>0.0</v>
      </c>
      <c r="AX2772" s="1">
        <v>6.0</v>
      </c>
      <c r="AY2772" s="1">
        <v>4.0</v>
      </c>
      <c r="BA2772" s="1">
        <v>0.0</v>
      </c>
      <c r="BB2772" s="1">
        <v>0.0</v>
      </c>
      <c r="BC2772" s="1">
        <v>0.0</v>
      </c>
      <c r="BD2772" s="1">
        <v>0.0</v>
      </c>
      <c r="BE2772" s="1">
        <v>0.0</v>
      </c>
      <c r="BF2772" s="1">
        <v>0.0</v>
      </c>
      <c r="BG2772" s="1">
        <v>0.0</v>
      </c>
      <c r="BH2772" s="1">
        <v>0.0</v>
      </c>
      <c r="BI2772" s="1">
        <v>0.0</v>
      </c>
      <c r="BJ2772" s="1">
        <v>0.0</v>
      </c>
      <c r="BP2772" s="1">
        <v>0.281</v>
      </c>
      <c r="BQ2772" s="1" t="s">
        <v>8555</v>
      </c>
      <c r="BV2772" s="1">
        <v>1.1</v>
      </c>
      <c r="EQ2772" s="9" t="s">
        <v>8554</v>
      </c>
      <c r="ER2772" s="21">
        <v>46045.30335648148</v>
      </c>
    </row>
    <row r="2773">
      <c r="A2773" s="9" t="s">
        <v>8556</v>
      </c>
      <c r="B2773" s="20" t="str">
        <f>IFERROR(__xludf.DUMMYFUNCTION("REGEXREPLACE(A2773, ""^https?://[^/]+"", """")"),"/wp-content/themes/salesxceleratione/assets/css/style.css?ver=1769123683")</f>
        <v>/wp-content/themes/salesxceleratione/assets/css/style.css?ver=1769123683</v>
      </c>
      <c r="F2773" s="1" t="s">
        <v>1016</v>
      </c>
      <c r="G2773" s="1">
        <v>200.0</v>
      </c>
      <c r="H2773" s="1" t="s">
        <v>966</v>
      </c>
      <c r="I2773" s="1" t="s">
        <v>967</v>
      </c>
      <c r="L2773" s="1">
        <v>0.0</v>
      </c>
      <c r="M2773" s="1">
        <v>0.0</v>
      </c>
      <c r="O2773" s="1">
        <v>0.0</v>
      </c>
      <c r="P2773" s="1">
        <v>0.0</v>
      </c>
      <c r="R2773" s="1">
        <v>0.0</v>
      </c>
      <c r="S2773" s="1">
        <v>0.0</v>
      </c>
      <c r="U2773" s="1">
        <v>0.0</v>
      </c>
      <c r="W2773" s="1">
        <v>0.0</v>
      </c>
      <c r="Y2773" s="1">
        <v>0.0</v>
      </c>
      <c r="AA2773" s="1">
        <v>0.0</v>
      </c>
      <c r="AC2773" s="1">
        <v>0.0</v>
      </c>
      <c r="AM2773" s="1">
        <v>17704.0</v>
      </c>
      <c r="AN2773" s="1">
        <v>17704.0</v>
      </c>
      <c r="AO2773" s="1">
        <v>17704.0</v>
      </c>
      <c r="AP2773" s="1">
        <v>6.782</v>
      </c>
      <c r="AR2773" s="1">
        <v>0.0</v>
      </c>
      <c r="AW2773" s="1">
        <v>0.0</v>
      </c>
      <c r="AX2773" s="1">
        <v>6.0</v>
      </c>
      <c r="AY2773" s="1">
        <v>5.0</v>
      </c>
      <c r="BA2773" s="1">
        <v>0.0</v>
      </c>
      <c r="BB2773" s="1">
        <v>0.0</v>
      </c>
      <c r="BC2773" s="1">
        <v>0.0</v>
      </c>
      <c r="BD2773" s="1">
        <v>0.0</v>
      </c>
      <c r="BE2773" s="1">
        <v>0.0</v>
      </c>
      <c r="BF2773" s="1">
        <v>0.0</v>
      </c>
      <c r="BG2773" s="1">
        <v>0.0</v>
      </c>
      <c r="BH2773" s="1">
        <v>0.0</v>
      </c>
      <c r="BI2773" s="1">
        <v>0.0</v>
      </c>
      <c r="BJ2773" s="1">
        <v>0.0</v>
      </c>
      <c r="BP2773" s="1">
        <v>0.28</v>
      </c>
      <c r="BQ2773" s="1" t="s">
        <v>8557</v>
      </c>
      <c r="BV2773" s="1">
        <v>1.1</v>
      </c>
      <c r="EQ2773" s="9" t="s">
        <v>8556</v>
      </c>
      <c r="ER2773" s="21">
        <v>46045.30335648148</v>
      </c>
    </row>
    <row r="2774">
      <c r="A2774" s="9" t="s">
        <v>8558</v>
      </c>
      <c r="B2774" s="20" t="str">
        <f>IFERROR(__xludf.DUMMYFUNCTION("REGEXREPLACE(A2774, ""^https?://[^/]+"", """")"),"/wp-content/uploads/2015/02/Boss-and-Salespeople-RS.jpg")</f>
        <v>/wp-content/uploads/2015/02/Boss-and-Salespeople-RS.jpg</v>
      </c>
      <c r="F2774" s="1" t="s">
        <v>1004</v>
      </c>
      <c r="G2774" s="1">
        <v>200.0</v>
      </c>
      <c r="H2774" s="1" t="s">
        <v>966</v>
      </c>
      <c r="I2774" s="1" t="s">
        <v>967</v>
      </c>
      <c r="L2774" s="1">
        <v>0.0</v>
      </c>
      <c r="M2774" s="1">
        <v>0.0</v>
      </c>
      <c r="O2774" s="1">
        <v>0.0</v>
      </c>
      <c r="P2774" s="1">
        <v>0.0</v>
      </c>
      <c r="R2774" s="1">
        <v>0.0</v>
      </c>
      <c r="S2774" s="1">
        <v>0.0</v>
      </c>
      <c r="U2774" s="1">
        <v>0.0</v>
      </c>
      <c r="W2774" s="1">
        <v>0.0</v>
      </c>
      <c r="Y2774" s="1">
        <v>0.0</v>
      </c>
      <c r="AA2774" s="1">
        <v>0.0</v>
      </c>
      <c r="AC2774" s="1">
        <v>0.0</v>
      </c>
      <c r="AM2774" s="1">
        <v>26923.0</v>
      </c>
      <c r="AN2774" s="1">
        <v>26923.0</v>
      </c>
      <c r="AO2774" s="1">
        <v>26923.0</v>
      </c>
      <c r="AP2774" s="1">
        <v>10.314</v>
      </c>
      <c r="AR2774" s="1">
        <v>0.0</v>
      </c>
      <c r="AW2774" s="1">
        <v>0.0</v>
      </c>
      <c r="AX2774" s="1">
        <v>6.0</v>
      </c>
      <c r="AY2774" s="1">
        <v>4.0</v>
      </c>
      <c r="BA2774" s="1">
        <v>0.0</v>
      </c>
      <c r="BB2774" s="1">
        <v>0.0</v>
      </c>
      <c r="BC2774" s="1">
        <v>0.0</v>
      </c>
      <c r="BD2774" s="1">
        <v>0.0</v>
      </c>
      <c r="BE2774" s="1">
        <v>0.0</v>
      </c>
      <c r="BF2774" s="1">
        <v>0.0</v>
      </c>
      <c r="BG2774" s="1">
        <v>0.0</v>
      </c>
      <c r="BH2774" s="1">
        <v>0.0</v>
      </c>
      <c r="BI2774" s="1">
        <v>0.0</v>
      </c>
      <c r="BJ2774" s="1">
        <v>0.0</v>
      </c>
      <c r="BP2774" s="1">
        <v>0.267</v>
      </c>
      <c r="BQ2774" s="1" t="s">
        <v>8559</v>
      </c>
      <c r="BV2774" s="1">
        <v>1.1</v>
      </c>
      <c r="EQ2774" s="9" t="s">
        <v>8558</v>
      </c>
      <c r="ER2774" s="21">
        <v>46045.30336805555</v>
      </c>
    </row>
    <row r="2775">
      <c r="A2775" s="9" t="s">
        <v>8560</v>
      </c>
      <c r="B2775" s="20" t="str">
        <f>IFERROR(__xludf.DUMMYFUNCTION("REGEXREPLACE(A2775, ""^https?://[^/]+"", """")"),"/wp-content/themes/salesxceleratione/assets/css/style.css?ver=1769123682")</f>
        <v>/wp-content/themes/salesxceleratione/assets/css/style.css?ver=1769123682</v>
      </c>
      <c r="F2775" s="1" t="s">
        <v>1016</v>
      </c>
      <c r="G2775" s="1">
        <v>200.0</v>
      </c>
      <c r="H2775" s="1" t="s">
        <v>966</v>
      </c>
      <c r="I2775" s="1" t="s">
        <v>967</v>
      </c>
      <c r="L2775" s="1">
        <v>0.0</v>
      </c>
      <c r="M2775" s="1">
        <v>0.0</v>
      </c>
      <c r="O2775" s="1">
        <v>0.0</v>
      </c>
      <c r="P2775" s="1">
        <v>0.0</v>
      </c>
      <c r="R2775" s="1">
        <v>0.0</v>
      </c>
      <c r="S2775" s="1">
        <v>0.0</v>
      </c>
      <c r="U2775" s="1">
        <v>0.0</v>
      </c>
      <c r="W2775" s="1">
        <v>0.0</v>
      </c>
      <c r="Y2775" s="1">
        <v>0.0</v>
      </c>
      <c r="AA2775" s="1">
        <v>0.0</v>
      </c>
      <c r="AC2775" s="1">
        <v>0.0</v>
      </c>
      <c r="AM2775" s="1">
        <v>17704.0</v>
      </c>
      <c r="AN2775" s="1">
        <v>17704.0</v>
      </c>
      <c r="AO2775" s="1">
        <v>17704.0</v>
      </c>
      <c r="AP2775" s="1">
        <v>6.782</v>
      </c>
      <c r="AR2775" s="1">
        <v>0.0</v>
      </c>
      <c r="AW2775" s="1">
        <v>0.0</v>
      </c>
      <c r="AX2775" s="1">
        <v>6.0</v>
      </c>
      <c r="AY2775" s="1">
        <v>5.0</v>
      </c>
      <c r="BA2775" s="1">
        <v>0.0</v>
      </c>
      <c r="BB2775" s="1">
        <v>0.0</v>
      </c>
      <c r="BC2775" s="1">
        <v>0.0</v>
      </c>
      <c r="BD2775" s="1">
        <v>0.0</v>
      </c>
      <c r="BE2775" s="1">
        <v>0.0</v>
      </c>
      <c r="BF2775" s="1">
        <v>0.0</v>
      </c>
      <c r="BG2775" s="1">
        <v>0.0</v>
      </c>
      <c r="BH2775" s="1">
        <v>0.0</v>
      </c>
      <c r="BI2775" s="1">
        <v>0.0</v>
      </c>
      <c r="BJ2775" s="1">
        <v>0.0</v>
      </c>
      <c r="BP2775" s="1">
        <v>0.273</v>
      </c>
      <c r="BQ2775" s="1" t="s">
        <v>8561</v>
      </c>
      <c r="BV2775" s="1">
        <v>1.1</v>
      </c>
      <c r="EQ2775" s="9" t="s">
        <v>8560</v>
      </c>
      <c r="ER2775" s="21">
        <v>46045.30336805555</v>
      </c>
    </row>
    <row r="2776">
      <c r="A2776" s="9" t="s">
        <v>8562</v>
      </c>
      <c r="B2776" s="20" t="str">
        <f>IFERROR(__xludf.DUMMYFUNCTION("REGEXREPLACE(A2776, ""^https?://[^/]+"", """")"),"/wp-content/uploads/2015/05/New-Way-Old-Way-RS-560-x-233.jpg")</f>
        <v>/wp-content/uploads/2015/05/New-Way-Old-Way-RS-560-x-233.jpg</v>
      </c>
      <c r="F2776" s="1" t="s">
        <v>1004</v>
      </c>
      <c r="G2776" s="1">
        <v>200.0</v>
      </c>
      <c r="H2776" s="1" t="s">
        <v>966</v>
      </c>
      <c r="I2776" s="1" t="s">
        <v>967</v>
      </c>
      <c r="L2776" s="1">
        <v>0.0</v>
      </c>
      <c r="M2776" s="1">
        <v>0.0</v>
      </c>
      <c r="O2776" s="1">
        <v>0.0</v>
      </c>
      <c r="P2776" s="1">
        <v>0.0</v>
      </c>
      <c r="R2776" s="1">
        <v>0.0</v>
      </c>
      <c r="S2776" s="1">
        <v>0.0</v>
      </c>
      <c r="U2776" s="1">
        <v>0.0</v>
      </c>
      <c r="W2776" s="1">
        <v>0.0</v>
      </c>
      <c r="Y2776" s="1">
        <v>0.0</v>
      </c>
      <c r="AA2776" s="1">
        <v>0.0</v>
      </c>
      <c r="AC2776" s="1">
        <v>0.0</v>
      </c>
      <c r="AM2776" s="1">
        <v>20963.0</v>
      </c>
      <c r="AN2776" s="1">
        <v>20963.0</v>
      </c>
      <c r="AO2776" s="1">
        <v>20963.0</v>
      </c>
      <c r="AP2776" s="1">
        <v>8.031</v>
      </c>
      <c r="AR2776" s="1">
        <v>0.0</v>
      </c>
      <c r="AW2776" s="1">
        <v>0.0</v>
      </c>
      <c r="AX2776" s="1">
        <v>6.0</v>
      </c>
      <c r="AY2776" s="1">
        <v>4.0</v>
      </c>
      <c r="BA2776" s="1">
        <v>0.0</v>
      </c>
      <c r="BB2776" s="1">
        <v>0.0</v>
      </c>
      <c r="BC2776" s="1">
        <v>0.0</v>
      </c>
      <c r="BD2776" s="1">
        <v>0.0</v>
      </c>
      <c r="BE2776" s="1">
        <v>0.0</v>
      </c>
      <c r="BF2776" s="1">
        <v>0.0</v>
      </c>
      <c r="BG2776" s="1">
        <v>0.0</v>
      </c>
      <c r="BH2776" s="1">
        <v>0.0</v>
      </c>
      <c r="BI2776" s="1">
        <v>0.0</v>
      </c>
      <c r="BJ2776" s="1">
        <v>0.0</v>
      </c>
      <c r="BP2776" s="1">
        <v>0.272</v>
      </c>
      <c r="BQ2776" s="1" t="s">
        <v>7051</v>
      </c>
      <c r="BV2776" s="1">
        <v>1.1</v>
      </c>
      <c r="EQ2776" s="9" t="s">
        <v>8562</v>
      </c>
      <c r="ER2776" s="21">
        <v>46045.30336805555</v>
      </c>
    </row>
    <row r="2777">
      <c r="A2777" s="9" t="s">
        <v>8563</v>
      </c>
      <c r="B2777" s="20" t="str">
        <f>IFERROR(__xludf.DUMMYFUNCTION("REGEXREPLACE(A2777, ""^https?://[^/]+"", """")"),"/wp-content/uploads/2017/01/goal-setting-1955806__340-566x248-1.png")</f>
        <v>/wp-content/uploads/2017/01/goal-setting-1955806__340-566x248-1.png</v>
      </c>
      <c r="F2777" s="1" t="s">
        <v>1047</v>
      </c>
      <c r="G2777" s="1">
        <v>200.0</v>
      </c>
      <c r="H2777" s="1" t="s">
        <v>966</v>
      </c>
      <c r="I2777" s="1" t="s">
        <v>967</v>
      </c>
      <c r="L2777" s="1">
        <v>0.0</v>
      </c>
      <c r="M2777" s="1">
        <v>0.0</v>
      </c>
      <c r="O2777" s="1">
        <v>0.0</v>
      </c>
      <c r="P2777" s="1">
        <v>0.0</v>
      </c>
      <c r="R2777" s="1">
        <v>0.0</v>
      </c>
      <c r="S2777" s="1">
        <v>0.0</v>
      </c>
      <c r="U2777" s="1">
        <v>0.0</v>
      </c>
      <c r="W2777" s="1">
        <v>0.0</v>
      </c>
      <c r="Y2777" s="1">
        <v>0.0</v>
      </c>
      <c r="AA2777" s="1">
        <v>0.0</v>
      </c>
      <c r="AC2777" s="1">
        <v>0.0</v>
      </c>
      <c r="AM2777" s="1">
        <v>15251.0</v>
      </c>
      <c r="AN2777" s="1">
        <v>15251.0</v>
      </c>
      <c r="AO2777" s="1">
        <v>15251.0</v>
      </c>
      <c r="AP2777" s="1">
        <v>5.842</v>
      </c>
      <c r="AR2777" s="1">
        <v>0.0</v>
      </c>
      <c r="AW2777" s="1">
        <v>0.0</v>
      </c>
      <c r="AX2777" s="1">
        <v>6.0</v>
      </c>
      <c r="AY2777" s="1">
        <v>4.0</v>
      </c>
      <c r="BA2777" s="1">
        <v>0.0</v>
      </c>
      <c r="BB2777" s="1">
        <v>0.0</v>
      </c>
      <c r="BC2777" s="1">
        <v>0.0</v>
      </c>
      <c r="BD2777" s="1">
        <v>0.0</v>
      </c>
      <c r="BE2777" s="1">
        <v>0.0</v>
      </c>
      <c r="BF2777" s="1">
        <v>0.0</v>
      </c>
      <c r="BG2777" s="1">
        <v>0.0</v>
      </c>
      <c r="BH2777" s="1">
        <v>0.0</v>
      </c>
      <c r="BI2777" s="1">
        <v>0.0</v>
      </c>
      <c r="BJ2777" s="1">
        <v>0.0</v>
      </c>
      <c r="BP2777" s="1">
        <v>0.274</v>
      </c>
      <c r="BQ2777" s="1" t="s">
        <v>8564</v>
      </c>
      <c r="BV2777" s="1">
        <v>1.1</v>
      </c>
      <c r="EQ2777" s="9" t="s">
        <v>8563</v>
      </c>
      <c r="ER2777" s="21">
        <v>46045.30336805555</v>
      </c>
    </row>
    <row r="2778">
      <c r="A2778" s="9" t="s">
        <v>8565</v>
      </c>
      <c r="B2778" s="20" t="str">
        <f>IFERROR(__xludf.DUMMYFUNCTION("REGEXREPLACE(A2778, ""^https?://[^/]+"", """")"),"/wp-content/themes/salesxceleratione/assets/css/style.css?ver=1769123681")</f>
        <v>/wp-content/themes/salesxceleratione/assets/css/style.css?ver=1769123681</v>
      </c>
      <c r="F2778" s="1" t="s">
        <v>1016</v>
      </c>
      <c r="G2778" s="1">
        <v>200.0</v>
      </c>
      <c r="H2778" s="1" t="s">
        <v>966</v>
      </c>
      <c r="I2778" s="1" t="s">
        <v>967</v>
      </c>
      <c r="L2778" s="1">
        <v>0.0</v>
      </c>
      <c r="M2778" s="1">
        <v>0.0</v>
      </c>
      <c r="O2778" s="1">
        <v>0.0</v>
      </c>
      <c r="P2778" s="1">
        <v>0.0</v>
      </c>
      <c r="R2778" s="1">
        <v>0.0</v>
      </c>
      <c r="S2778" s="1">
        <v>0.0</v>
      </c>
      <c r="U2778" s="1">
        <v>0.0</v>
      </c>
      <c r="W2778" s="1">
        <v>0.0</v>
      </c>
      <c r="Y2778" s="1">
        <v>0.0</v>
      </c>
      <c r="AA2778" s="1">
        <v>0.0</v>
      </c>
      <c r="AC2778" s="1">
        <v>0.0</v>
      </c>
      <c r="AM2778" s="1">
        <v>17704.0</v>
      </c>
      <c r="AN2778" s="1">
        <v>17704.0</v>
      </c>
      <c r="AO2778" s="1">
        <v>17704.0</v>
      </c>
      <c r="AP2778" s="1">
        <v>6.782</v>
      </c>
      <c r="AR2778" s="1">
        <v>0.0</v>
      </c>
      <c r="AW2778" s="1">
        <v>0.0</v>
      </c>
      <c r="AX2778" s="1">
        <v>6.0</v>
      </c>
      <c r="AY2778" s="1">
        <v>5.0</v>
      </c>
      <c r="BA2778" s="1">
        <v>0.0</v>
      </c>
      <c r="BB2778" s="1">
        <v>0.0</v>
      </c>
      <c r="BC2778" s="1">
        <v>0.0</v>
      </c>
      <c r="BD2778" s="1">
        <v>0.0</v>
      </c>
      <c r="BE2778" s="1">
        <v>0.0</v>
      </c>
      <c r="BF2778" s="1">
        <v>0.0</v>
      </c>
      <c r="BG2778" s="1">
        <v>0.0</v>
      </c>
      <c r="BH2778" s="1">
        <v>0.0</v>
      </c>
      <c r="BI2778" s="1">
        <v>0.0</v>
      </c>
      <c r="BJ2778" s="1">
        <v>0.0</v>
      </c>
      <c r="BP2778" s="1">
        <v>0.287</v>
      </c>
      <c r="BQ2778" s="1" t="s">
        <v>8557</v>
      </c>
      <c r="BV2778" s="1">
        <v>1.1</v>
      </c>
      <c r="EQ2778" s="9" t="s">
        <v>8565</v>
      </c>
      <c r="ER2778" s="21">
        <v>46045.30336805555</v>
      </c>
    </row>
    <row r="2779">
      <c r="A2779" s="9" t="s">
        <v>8566</v>
      </c>
      <c r="B2779" s="20" t="str">
        <f>IFERROR(__xludf.DUMMYFUNCTION("REGEXREPLACE(A2779, ""^https?://[^/]+"", """")"),"/wp-content/uploads/2016/12/Walk-Away-to-Greener-Pastures-Cropped-RS-560-x-225.jpg")</f>
        <v>/wp-content/uploads/2016/12/Walk-Away-to-Greener-Pastures-Cropped-RS-560-x-225.jpg</v>
      </c>
      <c r="F2779" s="1" t="s">
        <v>1004</v>
      </c>
      <c r="G2779" s="1">
        <v>200.0</v>
      </c>
      <c r="H2779" s="1" t="s">
        <v>966</v>
      </c>
      <c r="I2779" s="1" t="s">
        <v>967</v>
      </c>
      <c r="L2779" s="1">
        <v>0.0</v>
      </c>
      <c r="M2779" s="1">
        <v>0.0</v>
      </c>
      <c r="O2779" s="1">
        <v>0.0</v>
      </c>
      <c r="P2779" s="1">
        <v>0.0</v>
      </c>
      <c r="R2779" s="1">
        <v>0.0</v>
      </c>
      <c r="S2779" s="1">
        <v>0.0</v>
      </c>
      <c r="U2779" s="1">
        <v>0.0</v>
      </c>
      <c r="W2779" s="1">
        <v>0.0</v>
      </c>
      <c r="Y2779" s="1">
        <v>0.0</v>
      </c>
      <c r="AA2779" s="1">
        <v>0.0</v>
      </c>
      <c r="AC2779" s="1">
        <v>0.0</v>
      </c>
      <c r="AM2779" s="1">
        <v>22632.0</v>
      </c>
      <c r="AN2779" s="1">
        <v>22632.0</v>
      </c>
      <c r="AO2779" s="1">
        <v>22632.0</v>
      </c>
      <c r="AP2779" s="1">
        <v>8.67</v>
      </c>
      <c r="AR2779" s="1">
        <v>0.0</v>
      </c>
      <c r="AW2779" s="1">
        <v>0.0</v>
      </c>
      <c r="AX2779" s="1">
        <v>6.0</v>
      </c>
      <c r="AY2779" s="1">
        <v>4.0</v>
      </c>
      <c r="BA2779" s="1">
        <v>0.0</v>
      </c>
      <c r="BB2779" s="1">
        <v>0.0</v>
      </c>
      <c r="BC2779" s="1">
        <v>0.0</v>
      </c>
      <c r="BD2779" s="1">
        <v>0.0</v>
      </c>
      <c r="BE2779" s="1">
        <v>0.0</v>
      </c>
      <c r="BF2779" s="1">
        <v>0.0</v>
      </c>
      <c r="BG2779" s="1">
        <v>0.0</v>
      </c>
      <c r="BH2779" s="1">
        <v>0.0</v>
      </c>
      <c r="BI2779" s="1">
        <v>0.0</v>
      </c>
      <c r="BJ2779" s="1">
        <v>0.0</v>
      </c>
      <c r="BP2779" s="1">
        <v>0.269</v>
      </c>
      <c r="BQ2779" s="1" t="s">
        <v>8567</v>
      </c>
      <c r="BV2779" s="1">
        <v>1.1</v>
      </c>
      <c r="EQ2779" s="9" t="s">
        <v>8566</v>
      </c>
      <c r="ER2779" s="21">
        <v>46045.30336805555</v>
      </c>
    </row>
    <row r="2780">
      <c r="A2780" s="9" t="s">
        <v>8568</v>
      </c>
      <c r="B2780" s="20" t="str">
        <f>IFERROR(__xludf.DUMMYFUNCTION("REGEXREPLACE(A2780, ""^https?://[^/]+"", """")"),"/wp-content/uploads/2016/11/road-bikes-1562929__340.jpg")</f>
        <v>/wp-content/uploads/2016/11/road-bikes-1562929__340.jpg</v>
      </c>
      <c r="F2780" s="1" t="s">
        <v>1004</v>
      </c>
      <c r="G2780" s="1">
        <v>200.0</v>
      </c>
      <c r="H2780" s="1" t="s">
        <v>966</v>
      </c>
      <c r="I2780" s="1" t="s">
        <v>967</v>
      </c>
      <c r="L2780" s="1">
        <v>0.0</v>
      </c>
      <c r="M2780" s="1">
        <v>0.0</v>
      </c>
      <c r="O2780" s="1">
        <v>0.0</v>
      </c>
      <c r="P2780" s="1">
        <v>0.0</v>
      </c>
      <c r="R2780" s="1">
        <v>0.0</v>
      </c>
      <c r="S2780" s="1">
        <v>0.0</v>
      </c>
      <c r="U2780" s="1">
        <v>0.0</v>
      </c>
      <c r="W2780" s="1">
        <v>0.0</v>
      </c>
      <c r="Y2780" s="1">
        <v>0.0</v>
      </c>
      <c r="AA2780" s="1">
        <v>0.0</v>
      </c>
      <c r="AC2780" s="1">
        <v>0.0</v>
      </c>
      <c r="AM2780" s="1">
        <v>47020.0</v>
      </c>
      <c r="AN2780" s="1">
        <v>47020.0</v>
      </c>
      <c r="AO2780" s="1">
        <v>47020.0</v>
      </c>
      <c r="AP2780" s="1">
        <v>18.012</v>
      </c>
      <c r="AR2780" s="1">
        <v>0.0</v>
      </c>
      <c r="AW2780" s="1">
        <v>0.0</v>
      </c>
      <c r="AX2780" s="1">
        <v>6.0</v>
      </c>
      <c r="AY2780" s="1">
        <v>4.0</v>
      </c>
      <c r="BA2780" s="1">
        <v>0.0</v>
      </c>
      <c r="BB2780" s="1">
        <v>0.0</v>
      </c>
      <c r="BC2780" s="1">
        <v>0.0</v>
      </c>
      <c r="BD2780" s="1">
        <v>0.0</v>
      </c>
      <c r="BE2780" s="1">
        <v>0.0</v>
      </c>
      <c r="BF2780" s="1">
        <v>0.0</v>
      </c>
      <c r="BG2780" s="1">
        <v>0.0</v>
      </c>
      <c r="BH2780" s="1">
        <v>0.0</v>
      </c>
      <c r="BI2780" s="1">
        <v>0.0</v>
      </c>
      <c r="BJ2780" s="1">
        <v>0.0</v>
      </c>
      <c r="BP2780" s="1">
        <v>0.277</v>
      </c>
      <c r="BQ2780" s="1" t="s">
        <v>8569</v>
      </c>
      <c r="BV2780" s="1">
        <v>1.1</v>
      </c>
      <c r="EQ2780" s="9" t="s">
        <v>8568</v>
      </c>
      <c r="ER2780" s="21">
        <v>46045.30336805555</v>
      </c>
    </row>
    <row r="2781">
      <c r="A2781" s="9" t="s">
        <v>8570</v>
      </c>
      <c r="B2781" s="20" t="str">
        <f>IFERROR(__xludf.DUMMYFUNCTION("REGEXREPLACE(A2781, ""^https?://[^/]+"", """")"),"/wp-content/uploads/2017/07/JAblog2.jpg")</f>
        <v>/wp-content/uploads/2017/07/JAblog2.jpg</v>
      </c>
      <c r="F2781" s="1" t="s">
        <v>1004</v>
      </c>
      <c r="G2781" s="1">
        <v>200.0</v>
      </c>
      <c r="H2781" s="1" t="s">
        <v>966</v>
      </c>
      <c r="I2781" s="1" t="s">
        <v>967</v>
      </c>
      <c r="L2781" s="1">
        <v>0.0</v>
      </c>
      <c r="M2781" s="1">
        <v>0.0</v>
      </c>
      <c r="O2781" s="1">
        <v>0.0</v>
      </c>
      <c r="P2781" s="1">
        <v>0.0</v>
      </c>
      <c r="R2781" s="1">
        <v>0.0</v>
      </c>
      <c r="S2781" s="1">
        <v>0.0</v>
      </c>
      <c r="U2781" s="1">
        <v>0.0</v>
      </c>
      <c r="W2781" s="1">
        <v>0.0</v>
      </c>
      <c r="Y2781" s="1">
        <v>0.0</v>
      </c>
      <c r="AA2781" s="1">
        <v>0.0</v>
      </c>
      <c r="AC2781" s="1">
        <v>0.0</v>
      </c>
      <c r="AM2781" s="1">
        <v>46170.0</v>
      </c>
      <c r="AN2781" s="1">
        <v>46170.0</v>
      </c>
      <c r="AO2781" s="1">
        <v>46170.0</v>
      </c>
      <c r="AP2781" s="1">
        <v>17.687</v>
      </c>
      <c r="AR2781" s="1">
        <v>0.0</v>
      </c>
      <c r="AW2781" s="1">
        <v>0.0</v>
      </c>
      <c r="AX2781" s="1">
        <v>6.0</v>
      </c>
      <c r="AY2781" s="1">
        <v>4.0</v>
      </c>
      <c r="BA2781" s="1">
        <v>0.0</v>
      </c>
      <c r="BB2781" s="1">
        <v>0.0</v>
      </c>
      <c r="BC2781" s="1">
        <v>0.0</v>
      </c>
      <c r="BD2781" s="1">
        <v>0.0</v>
      </c>
      <c r="BE2781" s="1">
        <v>0.0</v>
      </c>
      <c r="BF2781" s="1">
        <v>0.0</v>
      </c>
      <c r="BG2781" s="1">
        <v>0.0</v>
      </c>
      <c r="BH2781" s="1">
        <v>0.0</v>
      </c>
      <c r="BI2781" s="1">
        <v>0.0</v>
      </c>
      <c r="BJ2781" s="1">
        <v>0.0</v>
      </c>
      <c r="BP2781" s="1">
        <v>0.267</v>
      </c>
      <c r="BQ2781" s="1" t="s">
        <v>8571</v>
      </c>
      <c r="BV2781" s="1">
        <v>1.1</v>
      </c>
      <c r="EQ2781" s="9" t="s">
        <v>8570</v>
      </c>
      <c r="ER2781" s="21">
        <v>46045.30336805555</v>
      </c>
    </row>
    <row r="2782">
      <c r="A2782" s="9" t="s">
        <v>8572</v>
      </c>
      <c r="B2782" s="20" t="str">
        <f>IFERROR(__xludf.DUMMYFUNCTION("REGEXREPLACE(A2782, ""^https?://[^/]+"", """")"),"/sales-agility-assessment-1-0-efrank/")</f>
        <v>/sales-agility-assessment-1-0-efrank/</v>
      </c>
      <c r="F2782" s="1" t="s">
        <v>965</v>
      </c>
      <c r="G2782" s="1">
        <v>301.0</v>
      </c>
      <c r="H2782" s="1" t="s">
        <v>1304</v>
      </c>
      <c r="I2782" s="1" t="s">
        <v>1214</v>
      </c>
      <c r="J2782" s="1" t="s">
        <v>1305</v>
      </c>
      <c r="L2782" s="1">
        <v>0.0</v>
      </c>
      <c r="M2782" s="1">
        <v>0.0</v>
      </c>
      <c r="O2782" s="1">
        <v>0.0</v>
      </c>
      <c r="P2782" s="1">
        <v>0.0</v>
      </c>
      <c r="R2782" s="1">
        <v>0.0</v>
      </c>
      <c r="S2782" s="1">
        <v>0.0</v>
      </c>
      <c r="U2782" s="1">
        <v>0.0</v>
      </c>
      <c r="W2782" s="1">
        <v>0.0</v>
      </c>
      <c r="Y2782" s="1">
        <v>0.0</v>
      </c>
      <c r="AA2782" s="1">
        <v>0.0</v>
      </c>
      <c r="AC2782" s="1">
        <v>0.0</v>
      </c>
      <c r="AM2782" s="1">
        <v>0.0</v>
      </c>
      <c r="AN2782" s="1">
        <v>0.0</v>
      </c>
      <c r="AO2782" s="1">
        <v>0.0</v>
      </c>
      <c r="AP2782" s="1">
        <v>0.0</v>
      </c>
      <c r="AR2782" s="1">
        <v>0.0</v>
      </c>
      <c r="AW2782" s="1">
        <v>0.0</v>
      </c>
      <c r="AX2782" s="1">
        <v>6.0</v>
      </c>
      <c r="AY2782" s="1">
        <v>1.0</v>
      </c>
      <c r="BA2782" s="1">
        <v>1.0</v>
      </c>
      <c r="BB2782" s="1">
        <v>1.0</v>
      </c>
      <c r="BC2782" s="1">
        <v>0.0</v>
      </c>
      <c r="BD2782" s="1">
        <v>0.13</v>
      </c>
      <c r="BE2782" s="1">
        <v>0.0</v>
      </c>
      <c r="BF2782" s="1">
        <v>0.0</v>
      </c>
      <c r="BG2782" s="1">
        <v>0.0</v>
      </c>
      <c r="BH2782" s="1">
        <v>0.0</v>
      </c>
      <c r="BI2782" s="1">
        <v>0.0</v>
      </c>
      <c r="BJ2782" s="1">
        <v>0.0</v>
      </c>
      <c r="BP2782" s="1">
        <v>0.541</v>
      </c>
      <c r="BR2782" s="9" t="s">
        <v>1380</v>
      </c>
      <c r="BS2782" s="1" t="s">
        <v>1307</v>
      </c>
      <c r="BV2782" s="1">
        <v>1.1</v>
      </c>
      <c r="EQ2782" s="9" t="s">
        <v>8572</v>
      </c>
      <c r="ER2782" s="21">
        <v>46045.30336805555</v>
      </c>
    </row>
    <row r="2783">
      <c r="A2783" s="9" t="s">
        <v>8573</v>
      </c>
      <c r="B2783" s="20" t="str">
        <f>IFERROR(__xludf.DUMMYFUNCTION("REGEXREPLACE(A2783, ""^https?://[^/]+"", """")"),"/wp-content/themes/salesxceleratione/assets/css/style.css?ver=1769123680")</f>
        <v>/wp-content/themes/salesxceleratione/assets/css/style.css?ver=1769123680</v>
      </c>
      <c r="F2783" s="1" t="s">
        <v>1016</v>
      </c>
      <c r="G2783" s="1">
        <v>200.0</v>
      </c>
      <c r="H2783" s="1" t="s">
        <v>966</v>
      </c>
      <c r="I2783" s="1" t="s">
        <v>967</v>
      </c>
      <c r="L2783" s="1">
        <v>0.0</v>
      </c>
      <c r="M2783" s="1">
        <v>0.0</v>
      </c>
      <c r="O2783" s="1">
        <v>0.0</v>
      </c>
      <c r="P2783" s="1">
        <v>0.0</v>
      </c>
      <c r="R2783" s="1">
        <v>0.0</v>
      </c>
      <c r="S2783" s="1">
        <v>0.0</v>
      </c>
      <c r="U2783" s="1">
        <v>0.0</v>
      </c>
      <c r="W2783" s="1">
        <v>0.0</v>
      </c>
      <c r="Y2783" s="1">
        <v>0.0</v>
      </c>
      <c r="AA2783" s="1">
        <v>0.0</v>
      </c>
      <c r="AC2783" s="1">
        <v>0.0</v>
      </c>
      <c r="AM2783" s="1">
        <v>17704.0</v>
      </c>
      <c r="AN2783" s="1">
        <v>17704.0</v>
      </c>
      <c r="AO2783" s="1">
        <v>17704.0</v>
      </c>
      <c r="AP2783" s="1">
        <v>6.782</v>
      </c>
      <c r="AR2783" s="1">
        <v>0.0</v>
      </c>
      <c r="AW2783" s="1">
        <v>0.0</v>
      </c>
      <c r="AX2783" s="1">
        <v>6.0</v>
      </c>
      <c r="AY2783" s="1">
        <v>5.0</v>
      </c>
      <c r="BA2783" s="1">
        <v>0.0</v>
      </c>
      <c r="BB2783" s="1">
        <v>0.0</v>
      </c>
      <c r="BC2783" s="1">
        <v>0.0</v>
      </c>
      <c r="BD2783" s="1">
        <v>0.0</v>
      </c>
      <c r="BE2783" s="1">
        <v>0.0</v>
      </c>
      <c r="BF2783" s="1">
        <v>0.0</v>
      </c>
      <c r="BG2783" s="1">
        <v>0.0</v>
      </c>
      <c r="BH2783" s="1">
        <v>0.0</v>
      </c>
      <c r="BI2783" s="1">
        <v>0.0</v>
      </c>
      <c r="BJ2783" s="1">
        <v>0.0</v>
      </c>
      <c r="BP2783" s="1">
        <v>0.272</v>
      </c>
      <c r="BQ2783" s="1" t="s">
        <v>8574</v>
      </c>
      <c r="BV2783" s="1">
        <v>1.1</v>
      </c>
      <c r="EQ2783" s="9" t="s">
        <v>8573</v>
      </c>
      <c r="ER2783" s="21">
        <v>46045.30336805555</v>
      </c>
    </row>
    <row r="2784">
      <c r="A2784" s="9" t="s">
        <v>8575</v>
      </c>
      <c r="B2784" s="20" t="str">
        <f>IFERROR(__xludf.DUMMYFUNCTION("REGEXREPLACE(A2784, ""^https?://[^/]+"", """")"),"/wp-content/uploads/2017/01/pie-34974_640-e1485811136122-1.png")</f>
        <v>/wp-content/uploads/2017/01/pie-34974_640-e1485811136122-1.png</v>
      </c>
      <c r="F2784" s="1" t="s">
        <v>1047</v>
      </c>
      <c r="G2784" s="1">
        <v>200.0</v>
      </c>
      <c r="H2784" s="1" t="s">
        <v>966</v>
      </c>
      <c r="I2784" s="1" t="s">
        <v>967</v>
      </c>
      <c r="L2784" s="1">
        <v>0.0</v>
      </c>
      <c r="M2784" s="1">
        <v>0.0</v>
      </c>
      <c r="O2784" s="1">
        <v>0.0</v>
      </c>
      <c r="P2784" s="1">
        <v>0.0</v>
      </c>
      <c r="R2784" s="1">
        <v>0.0</v>
      </c>
      <c r="S2784" s="1">
        <v>0.0</v>
      </c>
      <c r="U2784" s="1">
        <v>0.0</v>
      </c>
      <c r="W2784" s="1">
        <v>0.0</v>
      </c>
      <c r="Y2784" s="1">
        <v>0.0</v>
      </c>
      <c r="AA2784" s="1">
        <v>0.0</v>
      </c>
      <c r="AC2784" s="1">
        <v>0.0</v>
      </c>
      <c r="AM2784" s="1">
        <v>38124.0</v>
      </c>
      <c r="AN2784" s="1">
        <v>38124.0</v>
      </c>
      <c r="AO2784" s="1">
        <v>38124.0</v>
      </c>
      <c r="AP2784" s="1">
        <v>14.605</v>
      </c>
      <c r="AR2784" s="1">
        <v>0.0</v>
      </c>
      <c r="AW2784" s="1">
        <v>0.0</v>
      </c>
      <c r="AX2784" s="1">
        <v>6.0</v>
      </c>
      <c r="AY2784" s="1">
        <v>4.0</v>
      </c>
      <c r="BA2784" s="1">
        <v>0.0</v>
      </c>
      <c r="BB2784" s="1">
        <v>0.0</v>
      </c>
      <c r="BC2784" s="1">
        <v>0.0</v>
      </c>
      <c r="BD2784" s="1">
        <v>0.0</v>
      </c>
      <c r="BE2784" s="1">
        <v>0.0</v>
      </c>
      <c r="BF2784" s="1">
        <v>0.0</v>
      </c>
      <c r="BG2784" s="1">
        <v>0.0</v>
      </c>
      <c r="BH2784" s="1">
        <v>0.0</v>
      </c>
      <c r="BI2784" s="1">
        <v>0.0</v>
      </c>
      <c r="BJ2784" s="1">
        <v>0.0</v>
      </c>
      <c r="BP2784" s="1">
        <v>0.274</v>
      </c>
      <c r="BQ2784" s="1" t="s">
        <v>8576</v>
      </c>
      <c r="BV2784" s="1">
        <v>1.1</v>
      </c>
      <c r="EQ2784" s="9" t="s">
        <v>8575</v>
      </c>
      <c r="ER2784" s="21">
        <v>46045.30336805555</v>
      </c>
    </row>
    <row r="2785">
      <c r="A2785" s="9" t="s">
        <v>8577</v>
      </c>
      <c r="B2785" s="20" t="str">
        <f>IFERROR(__xludf.DUMMYFUNCTION("REGEXREPLACE(A2785, ""^https?://[^/]+"", """")"),"/wp-content/uploads/2015/03/sales-compensation-plan.png")</f>
        <v>/wp-content/uploads/2015/03/sales-compensation-plan.png</v>
      </c>
      <c r="F2785" s="1" t="s">
        <v>1047</v>
      </c>
      <c r="G2785" s="1">
        <v>200.0</v>
      </c>
      <c r="H2785" s="1" t="s">
        <v>966</v>
      </c>
      <c r="I2785" s="1" t="s">
        <v>967</v>
      </c>
      <c r="L2785" s="1">
        <v>0.0</v>
      </c>
      <c r="M2785" s="1">
        <v>0.0</v>
      </c>
      <c r="O2785" s="1">
        <v>0.0</v>
      </c>
      <c r="P2785" s="1">
        <v>0.0</v>
      </c>
      <c r="R2785" s="1">
        <v>0.0</v>
      </c>
      <c r="S2785" s="1">
        <v>0.0</v>
      </c>
      <c r="U2785" s="1">
        <v>0.0</v>
      </c>
      <c r="W2785" s="1">
        <v>0.0</v>
      </c>
      <c r="Y2785" s="1">
        <v>0.0</v>
      </c>
      <c r="AA2785" s="1">
        <v>0.0</v>
      </c>
      <c r="AC2785" s="1">
        <v>0.0</v>
      </c>
      <c r="AM2785" s="1">
        <v>485490.0</v>
      </c>
      <c r="AN2785" s="1">
        <v>485490.0</v>
      </c>
      <c r="AO2785" s="1">
        <v>485490.0</v>
      </c>
      <c r="AP2785" s="1">
        <v>185.982</v>
      </c>
      <c r="AR2785" s="1">
        <v>0.0</v>
      </c>
      <c r="AW2785" s="1">
        <v>0.0</v>
      </c>
      <c r="AX2785" s="1">
        <v>6.0</v>
      </c>
      <c r="AY2785" s="1">
        <v>4.0</v>
      </c>
      <c r="BA2785" s="1">
        <v>0.0</v>
      </c>
      <c r="BB2785" s="1">
        <v>0.0</v>
      </c>
      <c r="BC2785" s="1">
        <v>0.0</v>
      </c>
      <c r="BD2785" s="1">
        <v>0.0</v>
      </c>
      <c r="BE2785" s="1">
        <v>0.0</v>
      </c>
      <c r="BF2785" s="1">
        <v>0.0</v>
      </c>
      <c r="BG2785" s="1">
        <v>0.0</v>
      </c>
      <c r="BH2785" s="1">
        <v>0.0</v>
      </c>
      <c r="BI2785" s="1">
        <v>0.0</v>
      </c>
      <c r="BJ2785" s="1">
        <v>0.0</v>
      </c>
      <c r="BP2785" s="1">
        <v>0.275</v>
      </c>
      <c r="BQ2785" s="1" t="s">
        <v>8578</v>
      </c>
      <c r="BV2785" s="1">
        <v>1.1</v>
      </c>
      <c r="EQ2785" s="9" t="s">
        <v>8577</v>
      </c>
      <c r="ER2785" s="21">
        <v>46045.30336805555</v>
      </c>
    </row>
    <row r="2786">
      <c r="A2786" s="9" t="s">
        <v>8579</v>
      </c>
      <c r="B2786" s="20" t="str">
        <f>IFERROR(__xludf.DUMMYFUNCTION("REGEXREPLACE(A2786, ""^https?://[^/]+"", """")"),"/sales-agility-assessment-1-0-janderson/")</f>
        <v>/sales-agility-assessment-1-0-janderson/</v>
      </c>
      <c r="F2786" s="1" t="s">
        <v>965</v>
      </c>
      <c r="G2786" s="1">
        <v>301.0</v>
      </c>
      <c r="H2786" s="1" t="s">
        <v>1304</v>
      </c>
      <c r="I2786" s="1" t="s">
        <v>1214</v>
      </c>
      <c r="J2786" s="1" t="s">
        <v>1305</v>
      </c>
      <c r="L2786" s="1">
        <v>0.0</v>
      </c>
      <c r="M2786" s="1">
        <v>0.0</v>
      </c>
      <c r="O2786" s="1">
        <v>0.0</v>
      </c>
      <c r="P2786" s="1">
        <v>0.0</v>
      </c>
      <c r="R2786" s="1">
        <v>0.0</v>
      </c>
      <c r="S2786" s="1">
        <v>0.0</v>
      </c>
      <c r="U2786" s="1">
        <v>0.0</v>
      </c>
      <c r="W2786" s="1">
        <v>0.0</v>
      </c>
      <c r="Y2786" s="1">
        <v>0.0</v>
      </c>
      <c r="AA2786" s="1">
        <v>0.0</v>
      </c>
      <c r="AC2786" s="1">
        <v>0.0</v>
      </c>
      <c r="AM2786" s="1">
        <v>0.0</v>
      </c>
      <c r="AN2786" s="1">
        <v>0.0</v>
      </c>
      <c r="AO2786" s="1">
        <v>0.0</v>
      </c>
      <c r="AP2786" s="1">
        <v>0.0</v>
      </c>
      <c r="AR2786" s="1">
        <v>0.0</v>
      </c>
      <c r="AW2786" s="1">
        <v>0.0</v>
      </c>
      <c r="AX2786" s="1">
        <v>6.0</v>
      </c>
      <c r="AY2786" s="1">
        <v>1.0</v>
      </c>
      <c r="BA2786" s="1">
        <v>2.0</v>
      </c>
      <c r="BB2786" s="1">
        <v>2.0</v>
      </c>
      <c r="BC2786" s="1">
        <v>0.0</v>
      </c>
      <c r="BD2786" s="1">
        <v>0.27</v>
      </c>
      <c r="BE2786" s="1">
        <v>0.0</v>
      </c>
      <c r="BF2786" s="1">
        <v>0.0</v>
      </c>
      <c r="BG2786" s="1">
        <v>0.0</v>
      </c>
      <c r="BH2786" s="1">
        <v>0.0</v>
      </c>
      <c r="BI2786" s="1">
        <v>0.0</v>
      </c>
      <c r="BJ2786" s="1">
        <v>0.0</v>
      </c>
      <c r="BP2786" s="1">
        <v>0.567</v>
      </c>
      <c r="BR2786" s="9" t="s">
        <v>1380</v>
      </c>
      <c r="BS2786" s="1" t="s">
        <v>1307</v>
      </c>
      <c r="BV2786" s="1">
        <v>1.1</v>
      </c>
      <c r="EQ2786" s="9" t="s">
        <v>8579</v>
      </c>
      <c r="ER2786" s="21">
        <v>46045.30336805555</v>
      </c>
    </row>
    <row r="2787">
      <c r="A2787" s="9" t="s">
        <v>8580</v>
      </c>
      <c r="B2787" s="20" t="str">
        <f>IFERROR(__xludf.DUMMYFUNCTION("REGEXREPLACE(A2787, ""^https?://[^/]+"", """")"),"/wp-content/uploads/2015/03/sales-compensation-plan-115x200-1.jpg")</f>
        <v>/wp-content/uploads/2015/03/sales-compensation-plan-115x200-1.jpg</v>
      </c>
      <c r="F2787" s="1" t="s">
        <v>1004</v>
      </c>
      <c r="G2787" s="1">
        <v>200.0</v>
      </c>
      <c r="H2787" s="1" t="s">
        <v>966</v>
      </c>
      <c r="I2787" s="1" t="s">
        <v>967</v>
      </c>
      <c r="L2787" s="1">
        <v>0.0</v>
      </c>
      <c r="M2787" s="1">
        <v>0.0</v>
      </c>
      <c r="O2787" s="1">
        <v>0.0</v>
      </c>
      <c r="P2787" s="1">
        <v>0.0</v>
      </c>
      <c r="R2787" s="1">
        <v>0.0</v>
      </c>
      <c r="S2787" s="1">
        <v>0.0</v>
      </c>
      <c r="U2787" s="1">
        <v>0.0</v>
      </c>
      <c r="W2787" s="1">
        <v>0.0</v>
      </c>
      <c r="Y2787" s="1">
        <v>0.0</v>
      </c>
      <c r="AA2787" s="1">
        <v>0.0</v>
      </c>
      <c r="AC2787" s="1">
        <v>0.0</v>
      </c>
      <c r="AM2787" s="1">
        <v>10046.0</v>
      </c>
      <c r="AN2787" s="1">
        <v>10046.0</v>
      </c>
      <c r="AO2787" s="1">
        <v>10046.0</v>
      </c>
      <c r="AP2787" s="1">
        <v>3.848</v>
      </c>
      <c r="AR2787" s="1">
        <v>0.0</v>
      </c>
      <c r="AW2787" s="1">
        <v>0.0</v>
      </c>
      <c r="AX2787" s="1">
        <v>6.0</v>
      </c>
      <c r="AY2787" s="1">
        <v>4.0</v>
      </c>
      <c r="AZ2787" s="1">
        <v>1.0</v>
      </c>
      <c r="BA2787" s="1">
        <v>1.0</v>
      </c>
      <c r="BB2787" s="1">
        <v>1.0</v>
      </c>
      <c r="BC2787" s="1">
        <v>0.0</v>
      </c>
      <c r="BD2787" s="1">
        <v>0.13</v>
      </c>
      <c r="BE2787" s="1">
        <v>0.0</v>
      </c>
      <c r="BF2787" s="1">
        <v>0.0</v>
      </c>
      <c r="BG2787" s="1">
        <v>0.0</v>
      </c>
      <c r="BH2787" s="1">
        <v>0.0</v>
      </c>
      <c r="BI2787" s="1">
        <v>0.0</v>
      </c>
      <c r="BJ2787" s="1">
        <v>0.0</v>
      </c>
      <c r="BP2787" s="1">
        <v>0.264</v>
      </c>
      <c r="BQ2787" s="1" t="s">
        <v>8581</v>
      </c>
      <c r="BV2787" s="1">
        <v>1.1</v>
      </c>
      <c r="EQ2787" s="9" t="s">
        <v>8580</v>
      </c>
      <c r="ER2787" s="21">
        <v>46045.30337962963</v>
      </c>
    </row>
    <row r="2788">
      <c r="A2788" s="9" t="s">
        <v>8582</v>
      </c>
      <c r="B2788" s="20" t="str">
        <f>IFERROR(__xludf.DUMMYFUNCTION("REGEXREPLACE(A2788, ""^https?://[^/]+"", """")"),"/wp-content/uploads/2015/03/Indifference-200x300.jpg")</f>
        <v>/wp-content/uploads/2015/03/Indifference-200x300.jpg</v>
      </c>
      <c r="F2788" s="1" t="s">
        <v>1004</v>
      </c>
      <c r="G2788" s="1">
        <v>200.0</v>
      </c>
      <c r="H2788" s="1" t="s">
        <v>966</v>
      </c>
      <c r="I2788" s="1" t="s">
        <v>967</v>
      </c>
      <c r="L2788" s="1">
        <v>0.0</v>
      </c>
      <c r="M2788" s="1">
        <v>0.0</v>
      </c>
      <c r="O2788" s="1">
        <v>0.0</v>
      </c>
      <c r="P2788" s="1">
        <v>0.0</v>
      </c>
      <c r="R2788" s="1">
        <v>0.0</v>
      </c>
      <c r="S2788" s="1">
        <v>0.0</v>
      </c>
      <c r="U2788" s="1">
        <v>0.0</v>
      </c>
      <c r="W2788" s="1">
        <v>0.0</v>
      </c>
      <c r="Y2788" s="1">
        <v>0.0</v>
      </c>
      <c r="AA2788" s="1">
        <v>0.0</v>
      </c>
      <c r="AC2788" s="1">
        <v>0.0</v>
      </c>
      <c r="AM2788" s="1">
        <v>11499.0</v>
      </c>
      <c r="AN2788" s="1">
        <v>11499.0</v>
      </c>
      <c r="AO2788" s="1">
        <v>11499.0</v>
      </c>
      <c r="AP2788" s="1">
        <v>4.405</v>
      </c>
      <c r="AR2788" s="1">
        <v>0.0</v>
      </c>
      <c r="AW2788" s="1">
        <v>0.0</v>
      </c>
      <c r="AX2788" s="1">
        <v>6.0</v>
      </c>
      <c r="AY2788" s="1">
        <v>4.0</v>
      </c>
      <c r="BA2788" s="1">
        <v>0.0</v>
      </c>
      <c r="BB2788" s="1">
        <v>0.0</v>
      </c>
      <c r="BC2788" s="1">
        <v>0.0</v>
      </c>
      <c r="BD2788" s="1">
        <v>0.0</v>
      </c>
      <c r="BE2788" s="1">
        <v>0.0</v>
      </c>
      <c r="BF2788" s="1">
        <v>0.0</v>
      </c>
      <c r="BG2788" s="1">
        <v>0.0</v>
      </c>
      <c r="BH2788" s="1">
        <v>0.0</v>
      </c>
      <c r="BI2788" s="1">
        <v>0.0</v>
      </c>
      <c r="BJ2788" s="1">
        <v>0.0</v>
      </c>
      <c r="BP2788" s="1">
        <v>0.26</v>
      </c>
      <c r="BQ2788" s="1" t="s">
        <v>8583</v>
      </c>
      <c r="BV2788" s="1">
        <v>1.1</v>
      </c>
      <c r="EQ2788" s="9" t="s">
        <v>8582</v>
      </c>
      <c r="ER2788" s="21">
        <v>46045.30337962963</v>
      </c>
    </row>
    <row r="2789">
      <c r="A2789" s="9" t="s">
        <v>8584</v>
      </c>
      <c r="B2789" s="20" t="str">
        <f>IFERROR(__xludf.DUMMYFUNCTION("REGEXREPLACE(A2789, ""^https?://[^/]+"", """")"),"/wp-content/uploads/2015/03/Indifference.jpg")</f>
        <v>/wp-content/uploads/2015/03/Indifference.jpg</v>
      </c>
      <c r="F2789" s="1" t="s">
        <v>1004</v>
      </c>
      <c r="G2789" s="1">
        <v>200.0</v>
      </c>
      <c r="H2789" s="1" t="s">
        <v>966</v>
      </c>
      <c r="I2789" s="1" t="s">
        <v>967</v>
      </c>
      <c r="L2789" s="1">
        <v>0.0</v>
      </c>
      <c r="M2789" s="1">
        <v>0.0</v>
      </c>
      <c r="O2789" s="1">
        <v>0.0</v>
      </c>
      <c r="P2789" s="1">
        <v>0.0</v>
      </c>
      <c r="R2789" s="1">
        <v>0.0</v>
      </c>
      <c r="S2789" s="1">
        <v>0.0</v>
      </c>
      <c r="U2789" s="1">
        <v>0.0</v>
      </c>
      <c r="W2789" s="1">
        <v>0.0</v>
      </c>
      <c r="Y2789" s="1">
        <v>0.0</v>
      </c>
      <c r="AA2789" s="1">
        <v>0.0</v>
      </c>
      <c r="AC2789" s="1">
        <v>0.0</v>
      </c>
      <c r="AM2789" s="1">
        <v>23449.0</v>
      </c>
      <c r="AN2789" s="1">
        <v>23449.0</v>
      </c>
      <c r="AO2789" s="1">
        <v>23449.0</v>
      </c>
      <c r="AP2789" s="1">
        <v>8.983</v>
      </c>
      <c r="AR2789" s="1">
        <v>0.0</v>
      </c>
      <c r="AW2789" s="1">
        <v>0.0</v>
      </c>
      <c r="AX2789" s="1">
        <v>6.0</v>
      </c>
      <c r="AY2789" s="1">
        <v>4.0</v>
      </c>
      <c r="AZ2789" s="1">
        <v>1.0</v>
      </c>
      <c r="BA2789" s="1">
        <v>1.0</v>
      </c>
      <c r="BB2789" s="1">
        <v>1.0</v>
      </c>
      <c r="BC2789" s="1">
        <v>0.0</v>
      </c>
      <c r="BD2789" s="1">
        <v>0.13</v>
      </c>
      <c r="BE2789" s="1">
        <v>0.0</v>
      </c>
      <c r="BF2789" s="1">
        <v>0.0</v>
      </c>
      <c r="BG2789" s="1">
        <v>0.0</v>
      </c>
      <c r="BH2789" s="1">
        <v>0.0</v>
      </c>
      <c r="BI2789" s="1">
        <v>0.0</v>
      </c>
      <c r="BJ2789" s="1">
        <v>0.0</v>
      </c>
      <c r="BP2789" s="1">
        <v>0.262</v>
      </c>
      <c r="BQ2789" s="1" t="s">
        <v>8585</v>
      </c>
      <c r="BV2789" s="1">
        <v>1.1</v>
      </c>
      <c r="EQ2789" s="9" t="s">
        <v>8584</v>
      </c>
      <c r="ER2789" s="21">
        <v>46045.30337962963</v>
      </c>
    </row>
    <row r="2790">
      <c r="A2790" s="9" t="s">
        <v>8586</v>
      </c>
      <c r="B2790" s="20" t="str">
        <f>IFERROR(__xludf.DUMMYFUNCTION("REGEXREPLACE(A2790, ""^https?://[^/]+"", """")"),"/wp-content/uploads/2015/04/revealed-sales-x.png")</f>
        <v>/wp-content/uploads/2015/04/revealed-sales-x.png</v>
      </c>
      <c r="F2790" s="1" t="s">
        <v>1047</v>
      </c>
      <c r="G2790" s="1">
        <v>200.0</v>
      </c>
      <c r="H2790" s="1" t="s">
        <v>966</v>
      </c>
      <c r="I2790" s="1" t="s">
        <v>967</v>
      </c>
      <c r="L2790" s="1">
        <v>0.0</v>
      </c>
      <c r="M2790" s="1">
        <v>0.0</v>
      </c>
      <c r="O2790" s="1">
        <v>0.0</v>
      </c>
      <c r="P2790" s="1">
        <v>0.0</v>
      </c>
      <c r="R2790" s="1">
        <v>0.0</v>
      </c>
      <c r="S2790" s="1">
        <v>0.0</v>
      </c>
      <c r="U2790" s="1">
        <v>0.0</v>
      </c>
      <c r="W2790" s="1">
        <v>0.0</v>
      </c>
      <c r="Y2790" s="1">
        <v>0.0</v>
      </c>
      <c r="AA2790" s="1">
        <v>0.0</v>
      </c>
      <c r="AC2790" s="1">
        <v>0.0</v>
      </c>
      <c r="AM2790" s="1">
        <v>133714.0</v>
      </c>
      <c r="AN2790" s="1">
        <v>133714.0</v>
      </c>
      <c r="AO2790" s="1">
        <v>133714.0</v>
      </c>
      <c r="AP2790" s="1">
        <v>51.223</v>
      </c>
      <c r="AR2790" s="1">
        <v>0.0</v>
      </c>
      <c r="AW2790" s="1">
        <v>0.0</v>
      </c>
      <c r="AX2790" s="1">
        <v>6.0</v>
      </c>
      <c r="AY2790" s="1">
        <v>4.0</v>
      </c>
      <c r="BA2790" s="1">
        <v>0.0</v>
      </c>
      <c r="BB2790" s="1">
        <v>0.0</v>
      </c>
      <c r="BC2790" s="1">
        <v>0.0</v>
      </c>
      <c r="BD2790" s="1">
        <v>0.0</v>
      </c>
      <c r="BE2790" s="1">
        <v>0.0</v>
      </c>
      <c r="BF2790" s="1">
        <v>0.0</v>
      </c>
      <c r="BG2790" s="1">
        <v>0.0</v>
      </c>
      <c r="BH2790" s="1">
        <v>0.0</v>
      </c>
      <c r="BI2790" s="1">
        <v>0.0</v>
      </c>
      <c r="BJ2790" s="1">
        <v>0.0</v>
      </c>
      <c r="BP2790" s="1">
        <v>0.262</v>
      </c>
      <c r="BQ2790" s="1" t="s">
        <v>8587</v>
      </c>
      <c r="BV2790" s="1">
        <v>1.1</v>
      </c>
      <c r="EQ2790" s="9" t="s">
        <v>8586</v>
      </c>
      <c r="ER2790" s="21">
        <v>46045.30337962963</v>
      </c>
    </row>
    <row r="2791">
      <c r="A2791" s="9" t="s">
        <v>8588</v>
      </c>
      <c r="B2791" s="20" t="str">
        <f>IFERROR(__xludf.DUMMYFUNCTION("REGEXREPLACE(A2791, ""^https?://[^/]+"", """")"),"/wp-content/themes/salesxceleratione/assets/css/style.css?ver=1769123678")</f>
        <v>/wp-content/themes/salesxceleratione/assets/css/style.css?ver=1769123678</v>
      </c>
      <c r="F2791" s="1" t="s">
        <v>1016</v>
      </c>
      <c r="G2791" s="1">
        <v>200.0</v>
      </c>
      <c r="H2791" s="1" t="s">
        <v>966</v>
      </c>
      <c r="I2791" s="1" t="s">
        <v>967</v>
      </c>
      <c r="L2791" s="1">
        <v>0.0</v>
      </c>
      <c r="M2791" s="1">
        <v>0.0</v>
      </c>
      <c r="O2791" s="1">
        <v>0.0</v>
      </c>
      <c r="P2791" s="1">
        <v>0.0</v>
      </c>
      <c r="R2791" s="1">
        <v>0.0</v>
      </c>
      <c r="S2791" s="1">
        <v>0.0</v>
      </c>
      <c r="U2791" s="1">
        <v>0.0</v>
      </c>
      <c r="W2791" s="1">
        <v>0.0</v>
      </c>
      <c r="Y2791" s="1">
        <v>0.0</v>
      </c>
      <c r="AA2791" s="1">
        <v>0.0</v>
      </c>
      <c r="AC2791" s="1">
        <v>0.0</v>
      </c>
      <c r="AM2791" s="1">
        <v>17704.0</v>
      </c>
      <c r="AN2791" s="1">
        <v>17704.0</v>
      </c>
      <c r="AO2791" s="1">
        <v>17704.0</v>
      </c>
      <c r="AP2791" s="1">
        <v>6.782</v>
      </c>
      <c r="AR2791" s="1">
        <v>0.0</v>
      </c>
      <c r="AW2791" s="1">
        <v>0.0</v>
      </c>
      <c r="AX2791" s="1">
        <v>6.0</v>
      </c>
      <c r="AY2791" s="1">
        <v>5.0</v>
      </c>
      <c r="BA2791" s="1">
        <v>0.0</v>
      </c>
      <c r="BB2791" s="1">
        <v>0.0</v>
      </c>
      <c r="BC2791" s="1">
        <v>0.0</v>
      </c>
      <c r="BD2791" s="1">
        <v>0.0</v>
      </c>
      <c r="BE2791" s="1">
        <v>0.0</v>
      </c>
      <c r="BF2791" s="1">
        <v>0.0</v>
      </c>
      <c r="BG2791" s="1">
        <v>0.0</v>
      </c>
      <c r="BH2791" s="1">
        <v>0.0</v>
      </c>
      <c r="BI2791" s="1">
        <v>0.0</v>
      </c>
      <c r="BJ2791" s="1">
        <v>0.0</v>
      </c>
      <c r="BP2791" s="1">
        <v>0.261</v>
      </c>
      <c r="BQ2791" s="1" t="s">
        <v>8589</v>
      </c>
      <c r="BV2791" s="1">
        <v>1.1</v>
      </c>
      <c r="EQ2791" s="9" t="s">
        <v>8588</v>
      </c>
      <c r="ER2791" s="21">
        <v>46045.30337962963</v>
      </c>
    </row>
    <row r="2792">
      <c r="A2792" s="9" t="s">
        <v>8590</v>
      </c>
      <c r="B2792" s="20" t="str">
        <f>IFERROR(__xludf.DUMMYFUNCTION("REGEXREPLACE(A2792, ""^https?://[^/]+"", """")"),"/5-keys-to-a-successful-sales-compensation-plan")</f>
        <v>/5-keys-to-a-successful-sales-compensation-plan</v>
      </c>
      <c r="F2792" s="1" t="s">
        <v>965</v>
      </c>
      <c r="G2792" s="1">
        <v>301.0</v>
      </c>
      <c r="H2792" s="1" t="s">
        <v>1304</v>
      </c>
      <c r="I2792" s="1" t="s">
        <v>1214</v>
      </c>
      <c r="J2792" s="1" t="s">
        <v>1305</v>
      </c>
      <c r="L2792" s="1">
        <v>0.0</v>
      </c>
      <c r="M2792" s="1">
        <v>0.0</v>
      </c>
      <c r="O2792" s="1">
        <v>0.0</v>
      </c>
      <c r="P2792" s="1">
        <v>0.0</v>
      </c>
      <c r="R2792" s="1">
        <v>0.0</v>
      </c>
      <c r="S2792" s="1">
        <v>0.0</v>
      </c>
      <c r="U2792" s="1">
        <v>0.0</v>
      </c>
      <c r="W2792" s="1">
        <v>0.0</v>
      </c>
      <c r="Y2792" s="1">
        <v>0.0</v>
      </c>
      <c r="AA2792" s="1">
        <v>0.0</v>
      </c>
      <c r="AC2792" s="1">
        <v>0.0</v>
      </c>
      <c r="AM2792" s="1">
        <v>0.0</v>
      </c>
      <c r="AN2792" s="1">
        <v>0.0</v>
      </c>
      <c r="AO2792" s="1">
        <v>0.0</v>
      </c>
      <c r="AP2792" s="1">
        <v>0.0</v>
      </c>
      <c r="AR2792" s="1">
        <v>0.0</v>
      </c>
      <c r="AW2792" s="1">
        <v>0.0</v>
      </c>
      <c r="AX2792" s="1">
        <v>6.0</v>
      </c>
      <c r="AY2792" s="1">
        <v>0.0</v>
      </c>
      <c r="BA2792" s="1">
        <v>1.0</v>
      </c>
      <c r="BB2792" s="1">
        <v>1.0</v>
      </c>
      <c r="BC2792" s="1">
        <v>0.0</v>
      </c>
      <c r="BD2792" s="1">
        <v>0.13</v>
      </c>
      <c r="BE2792" s="1">
        <v>0.0</v>
      </c>
      <c r="BF2792" s="1">
        <v>0.0</v>
      </c>
      <c r="BG2792" s="1">
        <v>0.0</v>
      </c>
      <c r="BH2792" s="1">
        <v>0.0</v>
      </c>
      <c r="BI2792" s="1">
        <v>0.0</v>
      </c>
      <c r="BJ2792" s="1">
        <v>0.0</v>
      </c>
      <c r="BP2792" s="1">
        <v>0.641</v>
      </c>
      <c r="BR2792" s="9" t="s">
        <v>8591</v>
      </c>
      <c r="BS2792" s="1" t="s">
        <v>1307</v>
      </c>
      <c r="BV2792" s="1">
        <v>1.1</v>
      </c>
      <c r="EQ2792" s="9" t="s">
        <v>8590</v>
      </c>
      <c r="ER2792" s="21">
        <v>46045.30337962963</v>
      </c>
    </row>
    <row r="2793">
      <c r="A2793" s="9" t="s">
        <v>8592</v>
      </c>
      <c r="B2793" s="20" t="str">
        <f>IFERROR(__xludf.DUMMYFUNCTION("REGEXREPLACE(A2793, ""^https?://[^/]+"", """")"),"/wp-content/uploads/2016/02/Identifying-problem-.jpg")</f>
        <v>/wp-content/uploads/2016/02/Identifying-problem-.jpg</v>
      </c>
      <c r="F2793" s="1" t="s">
        <v>1004</v>
      </c>
      <c r="G2793" s="1">
        <v>200.0</v>
      </c>
      <c r="H2793" s="1" t="s">
        <v>966</v>
      </c>
      <c r="I2793" s="1" t="s">
        <v>967</v>
      </c>
      <c r="L2793" s="1">
        <v>0.0</v>
      </c>
      <c r="M2793" s="1">
        <v>0.0</v>
      </c>
      <c r="O2793" s="1">
        <v>0.0</v>
      </c>
      <c r="P2793" s="1">
        <v>0.0</v>
      </c>
      <c r="R2793" s="1">
        <v>0.0</v>
      </c>
      <c r="S2793" s="1">
        <v>0.0</v>
      </c>
      <c r="U2793" s="1">
        <v>0.0</v>
      </c>
      <c r="W2793" s="1">
        <v>0.0</v>
      </c>
      <c r="Y2793" s="1">
        <v>0.0</v>
      </c>
      <c r="AA2793" s="1">
        <v>0.0</v>
      </c>
      <c r="AC2793" s="1">
        <v>0.0</v>
      </c>
      <c r="AM2793" s="1">
        <v>25629.0</v>
      </c>
      <c r="AN2793" s="1">
        <v>25629.0</v>
      </c>
      <c r="AO2793" s="1">
        <v>25629.0</v>
      </c>
      <c r="AP2793" s="1">
        <v>9.818</v>
      </c>
      <c r="AR2793" s="1">
        <v>0.0</v>
      </c>
      <c r="AW2793" s="1">
        <v>0.0</v>
      </c>
      <c r="AX2793" s="1">
        <v>6.0</v>
      </c>
      <c r="AY2793" s="1">
        <v>4.0</v>
      </c>
      <c r="BA2793" s="1">
        <v>0.0</v>
      </c>
      <c r="BB2793" s="1">
        <v>0.0</v>
      </c>
      <c r="BC2793" s="1">
        <v>0.0</v>
      </c>
      <c r="BD2793" s="1">
        <v>0.0</v>
      </c>
      <c r="BE2793" s="1">
        <v>0.0</v>
      </c>
      <c r="BF2793" s="1">
        <v>0.0</v>
      </c>
      <c r="BG2793" s="1">
        <v>0.0</v>
      </c>
      <c r="BH2793" s="1">
        <v>0.0</v>
      </c>
      <c r="BI2793" s="1">
        <v>0.0</v>
      </c>
      <c r="BJ2793" s="1">
        <v>0.0</v>
      </c>
      <c r="BP2793" s="1">
        <v>0.285</v>
      </c>
      <c r="BQ2793" s="1" t="s">
        <v>8593</v>
      </c>
      <c r="BV2793" s="1">
        <v>1.1</v>
      </c>
      <c r="EQ2793" s="9" t="s">
        <v>8592</v>
      </c>
      <c r="ER2793" s="21">
        <v>46045.30337962963</v>
      </c>
    </row>
    <row r="2794">
      <c r="A2794" s="9" t="s">
        <v>8594</v>
      </c>
      <c r="B2794" s="20" t="str">
        <f>IFERROR(__xludf.DUMMYFUNCTION("REGEXREPLACE(A2794, ""^https?://[^/]+"", """")"),"/wp-content/uploads/2016/05/Goals-scaled-1.jpg")</f>
        <v>/wp-content/uploads/2016/05/Goals-scaled-1.jpg</v>
      </c>
      <c r="F2794" s="1" t="s">
        <v>1004</v>
      </c>
      <c r="G2794" s="1">
        <v>200.0</v>
      </c>
      <c r="H2794" s="1" t="s">
        <v>966</v>
      </c>
      <c r="I2794" s="1" t="s">
        <v>967</v>
      </c>
      <c r="L2794" s="1">
        <v>0.0</v>
      </c>
      <c r="M2794" s="1">
        <v>0.0</v>
      </c>
      <c r="O2794" s="1">
        <v>0.0</v>
      </c>
      <c r="P2794" s="1">
        <v>0.0</v>
      </c>
      <c r="R2794" s="1">
        <v>0.0</v>
      </c>
      <c r="S2794" s="1">
        <v>0.0</v>
      </c>
      <c r="U2794" s="1">
        <v>0.0</v>
      </c>
      <c r="W2794" s="1">
        <v>0.0</v>
      </c>
      <c r="Y2794" s="1">
        <v>0.0</v>
      </c>
      <c r="AA2794" s="1">
        <v>0.0</v>
      </c>
      <c r="AC2794" s="1">
        <v>0.0</v>
      </c>
      <c r="AM2794" s="1">
        <v>303955.0</v>
      </c>
      <c r="AN2794" s="1">
        <v>303955.0</v>
      </c>
      <c r="AO2794" s="1">
        <v>303955.0</v>
      </c>
      <c r="AP2794" s="1">
        <v>116.439</v>
      </c>
      <c r="AR2794" s="1">
        <v>0.0</v>
      </c>
      <c r="AW2794" s="1">
        <v>0.0</v>
      </c>
      <c r="AX2794" s="1">
        <v>6.0</v>
      </c>
      <c r="AY2794" s="1">
        <v>4.0</v>
      </c>
      <c r="BA2794" s="1">
        <v>0.0</v>
      </c>
      <c r="BB2794" s="1">
        <v>0.0</v>
      </c>
      <c r="BC2794" s="1">
        <v>0.0</v>
      </c>
      <c r="BD2794" s="1">
        <v>0.0</v>
      </c>
      <c r="BE2794" s="1">
        <v>0.0</v>
      </c>
      <c r="BF2794" s="1">
        <v>0.0</v>
      </c>
      <c r="BG2794" s="1">
        <v>0.0</v>
      </c>
      <c r="BH2794" s="1">
        <v>0.0</v>
      </c>
      <c r="BI2794" s="1">
        <v>0.0</v>
      </c>
      <c r="BJ2794" s="1">
        <v>0.0</v>
      </c>
      <c r="BP2794" s="1">
        <v>0.28</v>
      </c>
      <c r="BQ2794" s="1" t="s">
        <v>8595</v>
      </c>
      <c r="BV2794" s="1">
        <v>1.1</v>
      </c>
      <c r="EQ2794" s="9" t="s">
        <v>8594</v>
      </c>
      <c r="ER2794" s="21">
        <v>46045.30337962963</v>
      </c>
    </row>
    <row r="2795">
      <c r="A2795" s="9" t="s">
        <v>8596</v>
      </c>
      <c r="B2795" s="20" t="str">
        <f>IFERROR(__xludf.DUMMYFUNCTION("REGEXREPLACE(A2795, ""^https?://[^/]+"", """")"),"/wp-content/themes/salesxceleratione/assets/css/style.css?ver=1769123677")</f>
        <v>/wp-content/themes/salesxceleratione/assets/css/style.css?ver=1769123677</v>
      </c>
      <c r="F2795" s="1" t="s">
        <v>1016</v>
      </c>
      <c r="G2795" s="1">
        <v>200.0</v>
      </c>
      <c r="H2795" s="1" t="s">
        <v>966</v>
      </c>
      <c r="I2795" s="1" t="s">
        <v>967</v>
      </c>
      <c r="L2795" s="1">
        <v>0.0</v>
      </c>
      <c r="M2795" s="1">
        <v>0.0</v>
      </c>
      <c r="O2795" s="1">
        <v>0.0</v>
      </c>
      <c r="P2795" s="1">
        <v>0.0</v>
      </c>
      <c r="R2795" s="1">
        <v>0.0</v>
      </c>
      <c r="S2795" s="1">
        <v>0.0</v>
      </c>
      <c r="U2795" s="1">
        <v>0.0</v>
      </c>
      <c r="W2795" s="1">
        <v>0.0</v>
      </c>
      <c r="Y2795" s="1">
        <v>0.0</v>
      </c>
      <c r="AA2795" s="1">
        <v>0.0</v>
      </c>
      <c r="AC2795" s="1">
        <v>0.0</v>
      </c>
      <c r="AM2795" s="1">
        <v>17704.0</v>
      </c>
      <c r="AN2795" s="1">
        <v>17704.0</v>
      </c>
      <c r="AO2795" s="1">
        <v>17704.0</v>
      </c>
      <c r="AP2795" s="1">
        <v>6.782</v>
      </c>
      <c r="AR2795" s="1">
        <v>0.0</v>
      </c>
      <c r="AW2795" s="1">
        <v>0.0</v>
      </c>
      <c r="AX2795" s="1">
        <v>6.0</v>
      </c>
      <c r="AY2795" s="1">
        <v>5.0</v>
      </c>
      <c r="BA2795" s="1">
        <v>0.0</v>
      </c>
      <c r="BB2795" s="1">
        <v>0.0</v>
      </c>
      <c r="BC2795" s="1">
        <v>0.0</v>
      </c>
      <c r="BD2795" s="1">
        <v>0.0</v>
      </c>
      <c r="BE2795" s="1">
        <v>0.0</v>
      </c>
      <c r="BF2795" s="1">
        <v>0.0</v>
      </c>
      <c r="BG2795" s="1">
        <v>0.0</v>
      </c>
      <c r="BH2795" s="1">
        <v>0.0</v>
      </c>
      <c r="BI2795" s="1">
        <v>0.0</v>
      </c>
      <c r="BJ2795" s="1">
        <v>0.0</v>
      </c>
      <c r="BP2795" s="1">
        <v>0.275</v>
      </c>
      <c r="BQ2795" s="1" t="s">
        <v>8597</v>
      </c>
      <c r="BV2795" s="1">
        <v>1.1</v>
      </c>
      <c r="EQ2795" s="9" t="s">
        <v>8596</v>
      </c>
      <c r="ER2795" s="21">
        <v>46045.30337962963</v>
      </c>
    </row>
    <row r="2796">
      <c r="A2796" s="9" t="s">
        <v>8598</v>
      </c>
      <c r="B2796" s="20" t="str">
        <f>IFERROR(__xludf.DUMMYFUNCTION("REGEXREPLACE(A2796, ""^https?://[^/]+"", """")"),"/wp-content/uploads/2016/12/revenue-1704073__180.png")</f>
        <v>/wp-content/uploads/2016/12/revenue-1704073__180.png</v>
      </c>
      <c r="F2796" s="1" t="s">
        <v>1047</v>
      </c>
      <c r="G2796" s="1">
        <v>200.0</v>
      </c>
      <c r="H2796" s="1" t="s">
        <v>966</v>
      </c>
      <c r="I2796" s="1" t="s">
        <v>967</v>
      </c>
      <c r="L2796" s="1">
        <v>0.0</v>
      </c>
      <c r="M2796" s="1">
        <v>0.0</v>
      </c>
      <c r="O2796" s="1">
        <v>0.0</v>
      </c>
      <c r="P2796" s="1">
        <v>0.0</v>
      </c>
      <c r="R2796" s="1">
        <v>0.0</v>
      </c>
      <c r="S2796" s="1">
        <v>0.0</v>
      </c>
      <c r="U2796" s="1">
        <v>0.0</v>
      </c>
      <c r="W2796" s="1">
        <v>0.0</v>
      </c>
      <c r="Y2796" s="1">
        <v>0.0</v>
      </c>
      <c r="AA2796" s="1">
        <v>0.0</v>
      </c>
      <c r="AC2796" s="1">
        <v>0.0</v>
      </c>
      <c r="AM2796" s="1">
        <v>15898.0</v>
      </c>
      <c r="AN2796" s="1">
        <v>15898.0</v>
      </c>
      <c r="AO2796" s="1">
        <v>15898.0</v>
      </c>
      <c r="AP2796" s="1">
        <v>6.09</v>
      </c>
      <c r="AR2796" s="1">
        <v>0.0</v>
      </c>
      <c r="AW2796" s="1">
        <v>0.0</v>
      </c>
      <c r="AX2796" s="1">
        <v>6.0</v>
      </c>
      <c r="AY2796" s="1">
        <v>4.0</v>
      </c>
      <c r="BA2796" s="1">
        <v>0.0</v>
      </c>
      <c r="BB2796" s="1">
        <v>0.0</v>
      </c>
      <c r="BC2796" s="1">
        <v>0.0</v>
      </c>
      <c r="BD2796" s="1">
        <v>0.0</v>
      </c>
      <c r="BE2796" s="1">
        <v>0.0</v>
      </c>
      <c r="BF2796" s="1">
        <v>0.0</v>
      </c>
      <c r="BG2796" s="1">
        <v>0.0</v>
      </c>
      <c r="BH2796" s="1">
        <v>0.0</v>
      </c>
      <c r="BI2796" s="1">
        <v>0.0</v>
      </c>
      <c r="BJ2796" s="1">
        <v>0.0</v>
      </c>
      <c r="BP2796" s="1">
        <v>0.264</v>
      </c>
      <c r="BQ2796" s="1" t="s">
        <v>8599</v>
      </c>
      <c r="BV2796" s="1">
        <v>1.1</v>
      </c>
      <c r="EQ2796" s="9" t="s">
        <v>8598</v>
      </c>
      <c r="ER2796" s="21">
        <v>46045.30337962963</v>
      </c>
    </row>
    <row r="2797">
      <c r="A2797" s="9" t="s">
        <v>8600</v>
      </c>
      <c r="B2797" s="20" t="str">
        <f>IFERROR(__xludf.DUMMYFUNCTION("REGEXREPLACE(A2797, ""^https?://[^/]+"", """")"),"/wp-content/uploads/2016/04/Baby-Boomer-Entrepreneur.jpg")</f>
        <v>/wp-content/uploads/2016/04/Baby-Boomer-Entrepreneur.jpg</v>
      </c>
      <c r="F2797" s="1" t="s">
        <v>1004</v>
      </c>
      <c r="G2797" s="1">
        <v>200.0</v>
      </c>
      <c r="H2797" s="1" t="s">
        <v>966</v>
      </c>
      <c r="I2797" s="1" t="s">
        <v>967</v>
      </c>
      <c r="L2797" s="1">
        <v>0.0</v>
      </c>
      <c r="M2797" s="1">
        <v>0.0</v>
      </c>
      <c r="O2797" s="1">
        <v>0.0</v>
      </c>
      <c r="P2797" s="1">
        <v>0.0</v>
      </c>
      <c r="R2797" s="1">
        <v>0.0</v>
      </c>
      <c r="S2797" s="1">
        <v>0.0</v>
      </c>
      <c r="U2797" s="1">
        <v>0.0</v>
      </c>
      <c r="W2797" s="1">
        <v>0.0</v>
      </c>
      <c r="Y2797" s="1">
        <v>0.0</v>
      </c>
      <c r="AA2797" s="1">
        <v>0.0</v>
      </c>
      <c r="AC2797" s="1">
        <v>0.0</v>
      </c>
      <c r="AM2797" s="1">
        <v>14916.0</v>
      </c>
      <c r="AN2797" s="1">
        <v>14916.0</v>
      </c>
      <c r="AO2797" s="1">
        <v>14916.0</v>
      </c>
      <c r="AP2797" s="1">
        <v>5.714</v>
      </c>
      <c r="AR2797" s="1">
        <v>0.0</v>
      </c>
      <c r="AW2797" s="1">
        <v>0.0</v>
      </c>
      <c r="AX2797" s="1">
        <v>6.0</v>
      </c>
      <c r="AY2797" s="1">
        <v>4.0</v>
      </c>
      <c r="BA2797" s="1">
        <v>0.0</v>
      </c>
      <c r="BB2797" s="1">
        <v>0.0</v>
      </c>
      <c r="BC2797" s="1">
        <v>0.0</v>
      </c>
      <c r="BD2797" s="1">
        <v>0.0</v>
      </c>
      <c r="BE2797" s="1">
        <v>0.0</v>
      </c>
      <c r="BF2797" s="1">
        <v>0.0</v>
      </c>
      <c r="BG2797" s="1">
        <v>0.0</v>
      </c>
      <c r="BH2797" s="1">
        <v>0.0</v>
      </c>
      <c r="BI2797" s="1">
        <v>0.0</v>
      </c>
      <c r="BJ2797" s="1">
        <v>0.0</v>
      </c>
      <c r="BP2797" s="1">
        <v>0.249</v>
      </c>
      <c r="BQ2797" s="1" t="s">
        <v>8601</v>
      </c>
      <c r="BV2797" s="1">
        <v>1.1</v>
      </c>
      <c r="EQ2797" s="9" t="s">
        <v>8600</v>
      </c>
      <c r="ER2797" s="21">
        <v>46045.303391203706</v>
      </c>
    </row>
    <row r="2798">
      <c r="A2798" s="9" t="s">
        <v>6963</v>
      </c>
      <c r="B2798" s="20" t="str">
        <f>IFERROR(__xludf.DUMMYFUNCTION("REGEXREPLACE(A2798, ""^https?://[^/]+"", """")"),"/?download=27871")</f>
        <v>/?download=27871</v>
      </c>
      <c r="F2798" s="1" t="s">
        <v>965</v>
      </c>
      <c r="G2798" s="1">
        <v>302.0</v>
      </c>
      <c r="H2798" s="1" t="s">
        <v>2980</v>
      </c>
      <c r="I2798" s="1" t="s">
        <v>1214</v>
      </c>
      <c r="J2798" s="1" t="s">
        <v>1305</v>
      </c>
      <c r="L2798" s="1">
        <v>0.0</v>
      </c>
      <c r="M2798" s="1">
        <v>0.0</v>
      </c>
      <c r="O2798" s="1">
        <v>0.0</v>
      </c>
      <c r="P2798" s="1">
        <v>0.0</v>
      </c>
      <c r="R2798" s="1">
        <v>0.0</v>
      </c>
      <c r="S2798" s="1">
        <v>0.0</v>
      </c>
      <c r="U2798" s="1">
        <v>0.0</v>
      </c>
      <c r="W2798" s="1">
        <v>0.0</v>
      </c>
      <c r="Y2798" s="1">
        <v>0.0</v>
      </c>
      <c r="AA2798" s="1">
        <v>0.0</v>
      </c>
      <c r="AC2798" s="1">
        <v>0.0</v>
      </c>
      <c r="AM2798" s="1">
        <v>0.0</v>
      </c>
      <c r="AN2798" s="1">
        <v>0.0</v>
      </c>
      <c r="AO2798" s="1">
        <v>0.0</v>
      </c>
      <c r="AP2798" s="1">
        <v>0.0</v>
      </c>
      <c r="AR2798" s="1">
        <v>0.0</v>
      </c>
      <c r="AW2798" s="1">
        <v>0.0</v>
      </c>
      <c r="AX2798" s="1">
        <v>6.0</v>
      </c>
      <c r="AY2798" s="1">
        <v>0.0</v>
      </c>
      <c r="BA2798" s="1">
        <v>0.0</v>
      </c>
      <c r="BB2798" s="1">
        <v>0.0</v>
      </c>
      <c r="BC2798" s="1">
        <v>0.0</v>
      </c>
      <c r="BD2798" s="1">
        <v>0.0</v>
      </c>
      <c r="BE2798" s="1">
        <v>0.0</v>
      </c>
      <c r="BF2798" s="1">
        <v>0.0</v>
      </c>
      <c r="BG2798" s="1">
        <v>0.0</v>
      </c>
      <c r="BH2798" s="1">
        <v>0.0</v>
      </c>
      <c r="BI2798" s="1">
        <v>0.0</v>
      </c>
      <c r="BJ2798" s="1">
        <v>0.0</v>
      </c>
      <c r="BP2798" s="1">
        <v>0.588</v>
      </c>
      <c r="BR2798" s="9" t="s">
        <v>8602</v>
      </c>
      <c r="BS2798" s="1" t="s">
        <v>1307</v>
      </c>
      <c r="BV2798" s="1">
        <v>1.1</v>
      </c>
      <c r="EQ2798" s="9" t="s">
        <v>6963</v>
      </c>
      <c r="ER2798" s="21">
        <v>46045.30337962963</v>
      </c>
    </row>
    <row r="2799">
      <c r="A2799" s="9" t="s">
        <v>8603</v>
      </c>
      <c r="B2799" s="20" t="str">
        <f>IFERROR(__xludf.DUMMYFUNCTION("REGEXREPLACE(A2799, ""^https?://[^/]+"", """")"),"/wp-content/themes/salesxceleratione/assets/css/style.css?ver=1769123676")</f>
        <v>/wp-content/themes/salesxceleratione/assets/css/style.css?ver=1769123676</v>
      </c>
      <c r="F2799" s="1" t="s">
        <v>1016</v>
      </c>
      <c r="G2799" s="1">
        <v>200.0</v>
      </c>
      <c r="H2799" s="1" t="s">
        <v>966</v>
      </c>
      <c r="I2799" s="1" t="s">
        <v>967</v>
      </c>
      <c r="L2799" s="1">
        <v>0.0</v>
      </c>
      <c r="M2799" s="1">
        <v>0.0</v>
      </c>
      <c r="O2799" s="1">
        <v>0.0</v>
      </c>
      <c r="P2799" s="1">
        <v>0.0</v>
      </c>
      <c r="R2799" s="1">
        <v>0.0</v>
      </c>
      <c r="S2799" s="1">
        <v>0.0</v>
      </c>
      <c r="U2799" s="1">
        <v>0.0</v>
      </c>
      <c r="W2799" s="1">
        <v>0.0</v>
      </c>
      <c r="Y2799" s="1">
        <v>0.0</v>
      </c>
      <c r="AA2799" s="1">
        <v>0.0</v>
      </c>
      <c r="AC2799" s="1">
        <v>0.0</v>
      </c>
      <c r="AM2799" s="1">
        <v>17704.0</v>
      </c>
      <c r="AN2799" s="1">
        <v>17704.0</v>
      </c>
      <c r="AO2799" s="1">
        <v>17704.0</v>
      </c>
      <c r="AP2799" s="1">
        <v>6.782</v>
      </c>
      <c r="AR2799" s="1">
        <v>0.0</v>
      </c>
      <c r="AW2799" s="1">
        <v>0.0</v>
      </c>
      <c r="AX2799" s="1">
        <v>6.0</v>
      </c>
      <c r="AY2799" s="1">
        <v>5.0</v>
      </c>
      <c r="BA2799" s="1">
        <v>0.0</v>
      </c>
      <c r="BB2799" s="1">
        <v>0.0</v>
      </c>
      <c r="BC2799" s="1">
        <v>0.0</v>
      </c>
      <c r="BD2799" s="1">
        <v>0.0</v>
      </c>
      <c r="BE2799" s="1">
        <v>0.0</v>
      </c>
      <c r="BF2799" s="1">
        <v>0.0</v>
      </c>
      <c r="BG2799" s="1">
        <v>0.0</v>
      </c>
      <c r="BH2799" s="1">
        <v>0.0</v>
      </c>
      <c r="BI2799" s="1">
        <v>0.0</v>
      </c>
      <c r="BJ2799" s="1">
        <v>0.0</v>
      </c>
      <c r="BP2799" s="1">
        <v>0.265</v>
      </c>
      <c r="BQ2799" s="1" t="s">
        <v>8604</v>
      </c>
      <c r="BV2799" s="1">
        <v>1.1</v>
      </c>
      <c r="EQ2799" s="9" t="s">
        <v>8603</v>
      </c>
      <c r="ER2799" s="21">
        <v>46045.303391203706</v>
      </c>
    </row>
    <row r="2800">
      <c r="A2800" s="9" t="s">
        <v>8605</v>
      </c>
      <c r="B2800" s="20" t="str">
        <f>IFERROR(__xludf.DUMMYFUNCTION("REGEXREPLACE(A2800, ""^https?://[^/]+"", """")"),"/wp-content/uploads/2016/07/New-Chapter-RS-72-560-x-225.jpg")</f>
        <v>/wp-content/uploads/2016/07/New-Chapter-RS-72-560-x-225.jpg</v>
      </c>
      <c r="F2800" s="1" t="s">
        <v>1004</v>
      </c>
      <c r="G2800" s="1">
        <v>200.0</v>
      </c>
      <c r="H2800" s="1" t="s">
        <v>966</v>
      </c>
      <c r="I2800" s="1" t="s">
        <v>967</v>
      </c>
      <c r="L2800" s="1">
        <v>0.0</v>
      </c>
      <c r="M2800" s="1">
        <v>0.0</v>
      </c>
      <c r="O2800" s="1">
        <v>0.0</v>
      </c>
      <c r="P2800" s="1">
        <v>0.0</v>
      </c>
      <c r="R2800" s="1">
        <v>0.0</v>
      </c>
      <c r="S2800" s="1">
        <v>0.0</v>
      </c>
      <c r="U2800" s="1">
        <v>0.0</v>
      </c>
      <c r="W2800" s="1">
        <v>0.0</v>
      </c>
      <c r="Y2800" s="1">
        <v>0.0</v>
      </c>
      <c r="AA2800" s="1">
        <v>0.0</v>
      </c>
      <c r="AC2800" s="1">
        <v>0.0</v>
      </c>
      <c r="AM2800" s="1">
        <v>14828.0</v>
      </c>
      <c r="AN2800" s="1">
        <v>14828.0</v>
      </c>
      <c r="AO2800" s="1">
        <v>14828.0</v>
      </c>
      <c r="AP2800" s="1">
        <v>5.68</v>
      </c>
      <c r="AR2800" s="1">
        <v>0.0</v>
      </c>
      <c r="AW2800" s="1">
        <v>0.0</v>
      </c>
      <c r="AX2800" s="1">
        <v>6.0</v>
      </c>
      <c r="AY2800" s="1">
        <v>4.0</v>
      </c>
      <c r="BA2800" s="1">
        <v>0.0</v>
      </c>
      <c r="BB2800" s="1">
        <v>0.0</v>
      </c>
      <c r="BC2800" s="1">
        <v>0.0</v>
      </c>
      <c r="BD2800" s="1">
        <v>0.0</v>
      </c>
      <c r="BE2800" s="1">
        <v>0.0</v>
      </c>
      <c r="BF2800" s="1">
        <v>0.0</v>
      </c>
      <c r="BG2800" s="1">
        <v>0.0</v>
      </c>
      <c r="BH2800" s="1">
        <v>0.0</v>
      </c>
      <c r="BI2800" s="1">
        <v>0.0</v>
      </c>
      <c r="BJ2800" s="1">
        <v>0.0</v>
      </c>
      <c r="BP2800" s="1">
        <v>0.333</v>
      </c>
      <c r="BQ2800" s="1" t="s">
        <v>8606</v>
      </c>
      <c r="BV2800" s="1">
        <v>1.1</v>
      </c>
      <c r="EQ2800" s="9" t="s">
        <v>8605</v>
      </c>
      <c r="ER2800" s="21">
        <v>46045.303391203706</v>
      </c>
    </row>
    <row r="2801">
      <c r="A2801" s="9" t="s">
        <v>8607</v>
      </c>
      <c r="B2801" s="20" t="str">
        <f>IFERROR(__xludf.DUMMYFUNCTION("REGEXREPLACE(A2801, ""^https?://[^/]+"", """")"),"/wp-content/uploads/2019/09/shutterstock_407349148_sm.jpg")</f>
        <v>/wp-content/uploads/2019/09/shutterstock_407349148_sm.jpg</v>
      </c>
      <c r="F2801" s="1" t="s">
        <v>1004</v>
      </c>
      <c r="G2801" s="1">
        <v>200.0</v>
      </c>
      <c r="H2801" s="1" t="s">
        <v>966</v>
      </c>
      <c r="I2801" s="1" t="s">
        <v>967</v>
      </c>
      <c r="L2801" s="1">
        <v>0.0</v>
      </c>
      <c r="M2801" s="1">
        <v>0.0</v>
      </c>
      <c r="O2801" s="1">
        <v>0.0</v>
      </c>
      <c r="P2801" s="1">
        <v>0.0</v>
      </c>
      <c r="R2801" s="1">
        <v>0.0</v>
      </c>
      <c r="S2801" s="1">
        <v>0.0</v>
      </c>
      <c r="U2801" s="1">
        <v>0.0</v>
      </c>
      <c r="W2801" s="1">
        <v>0.0</v>
      </c>
      <c r="Y2801" s="1">
        <v>0.0</v>
      </c>
      <c r="AA2801" s="1">
        <v>0.0</v>
      </c>
      <c r="AC2801" s="1">
        <v>0.0</v>
      </c>
      <c r="AM2801" s="1">
        <v>155377.0</v>
      </c>
      <c r="AN2801" s="1">
        <v>155377.0</v>
      </c>
      <c r="AO2801" s="1">
        <v>155377.0</v>
      </c>
      <c r="AP2801" s="1">
        <v>59.522</v>
      </c>
      <c r="AR2801" s="1">
        <v>0.0</v>
      </c>
      <c r="AW2801" s="1">
        <v>0.0</v>
      </c>
      <c r="AX2801" s="1">
        <v>6.0</v>
      </c>
      <c r="AY2801" s="1">
        <v>4.0</v>
      </c>
      <c r="BA2801" s="1">
        <v>0.0</v>
      </c>
      <c r="BB2801" s="1">
        <v>0.0</v>
      </c>
      <c r="BC2801" s="1">
        <v>0.0</v>
      </c>
      <c r="BD2801" s="1">
        <v>0.0</v>
      </c>
      <c r="BE2801" s="1">
        <v>0.0</v>
      </c>
      <c r="BF2801" s="1">
        <v>0.0</v>
      </c>
      <c r="BG2801" s="1">
        <v>0.0</v>
      </c>
      <c r="BH2801" s="1">
        <v>0.0</v>
      </c>
      <c r="BI2801" s="1">
        <v>0.0</v>
      </c>
      <c r="BJ2801" s="1">
        <v>0.0</v>
      </c>
      <c r="BP2801" s="1">
        <v>0.311</v>
      </c>
      <c r="BQ2801" s="1" t="s">
        <v>8608</v>
      </c>
      <c r="BV2801" s="1">
        <v>1.1</v>
      </c>
      <c r="EQ2801" s="9" t="s">
        <v>8607</v>
      </c>
      <c r="ER2801" s="21">
        <v>46045.303391203706</v>
      </c>
    </row>
    <row r="2802">
      <c r="A2802" s="9" t="s">
        <v>8609</v>
      </c>
      <c r="B2802" s="20" t="str">
        <f>IFERROR(__xludf.DUMMYFUNCTION("REGEXREPLACE(A2802, ""^https?://[^/]+"", """")"),"/wp-content/themes/salesxceleratione/assets/css/style.css?ver=1769123675")</f>
        <v>/wp-content/themes/salesxceleratione/assets/css/style.css?ver=1769123675</v>
      </c>
      <c r="F2802" s="1" t="s">
        <v>1016</v>
      </c>
      <c r="G2802" s="1">
        <v>200.0</v>
      </c>
      <c r="H2802" s="1" t="s">
        <v>966</v>
      </c>
      <c r="I2802" s="1" t="s">
        <v>967</v>
      </c>
      <c r="L2802" s="1">
        <v>0.0</v>
      </c>
      <c r="M2802" s="1">
        <v>0.0</v>
      </c>
      <c r="O2802" s="1">
        <v>0.0</v>
      </c>
      <c r="P2802" s="1">
        <v>0.0</v>
      </c>
      <c r="R2802" s="1">
        <v>0.0</v>
      </c>
      <c r="S2802" s="1">
        <v>0.0</v>
      </c>
      <c r="U2802" s="1">
        <v>0.0</v>
      </c>
      <c r="W2802" s="1">
        <v>0.0</v>
      </c>
      <c r="Y2802" s="1">
        <v>0.0</v>
      </c>
      <c r="AA2802" s="1">
        <v>0.0</v>
      </c>
      <c r="AC2802" s="1">
        <v>0.0</v>
      </c>
      <c r="AM2802" s="1">
        <v>17704.0</v>
      </c>
      <c r="AN2802" s="1">
        <v>17704.0</v>
      </c>
      <c r="AO2802" s="1">
        <v>17704.0</v>
      </c>
      <c r="AP2802" s="1">
        <v>6.782</v>
      </c>
      <c r="AR2802" s="1">
        <v>0.0</v>
      </c>
      <c r="AW2802" s="1">
        <v>0.0</v>
      </c>
      <c r="AX2802" s="1">
        <v>6.0</v>
      </c>
      <c r="AY2802" s="1">
        <v>5.0</v>
      </c>
      <c r="BA2802" s="1">
        <v>0.0</v>
      </c>
      <c r="BB2802" s="1">
        <v>0.0</v>
      </c>
      <c r="BC2802" s="1">
        <v>0.0</v>
      </c>
      <c r="BD2802" s="1">
        <v>0.0</v>
      </c>
      <c r="BE2802" s="1">
        <v>0.0</v>
      </c>
      <c r="BF2802" s="1">
        <v>0.0</v>
      </c>
      <c r="BG2802" s="1">
        <v>0.0</v>
      </c>
      <c r="BH2802" s="1">
        <v>0.0</v>
      </c>
      <c r="BI2802" s="1">
        <v>0.0</v>
      </c>
      <c r="BJ2802" s="1">
        <v>0.0</v>
      </c>
      <c r="BP2802" s="1">
        <v>0.28</v>
      </c>
      <c r="BQ2802" s="1" t="s">
        <v>8604</v>
      </c>
      <c r="BV2802" s="1">
        <v>1.1</v>
      </c>
      <c r="EQ2802" s="9" t="s">
        <v>8609</v>
      </c>
      <c r="ER2802" s="21">
        <v>46045.303391203706</v>
      </c>
    </row>
    <row r="2803">
      <c r="A2803" s="9" t="s">
        <v>8610</v>
      </c>
      <c r="B2803" s="20" t="str">
        <f>IFERROR(__xludf.DUMMYFUNCTION("REGEXREPLACE(A2803, ""^https?://[^/]+"", """")"),"/top-10-action-items-to-help-you-hit-the-ground-running/")</f>
        <v>/top-10-action-items-to-help-you-hit-the-ground-running/</v>
      </c>
      <c r="C2803" s="1" t="s">
        <v>8611</v>
      </c>
      <c r="F2803" s="1" t="s">
        <v>965</v>
      </c>
      <c r="G2803" s="1">
        <v>200.0</v>
      </c>
      <c r="H2803" s="1" t="s">
        <v>966</v>
      </c>
      <c r="I2803" s="1" t="s">
        <v>967</v>
      </c>
      <c r="K2803" s="1" t="s">
        <v>8612</v>
      </c>
      <c r="L2803" s="1">
        <v>35.0</v>
      </c>
      <c r="M2803" s="1">
        <v>322.0</v>
      </c>
      <c r="O2803" s="1">
        <v>0.0</v>
      </c>
      <c r="P2803" s="1">
        <v>0.0</v>
      </c>
      <c r="Q2803" s="1" t="s">
        <v>8613</v>
      </c>
      <c r="R2803" s="1">
        <v>150.0</v>
      </c>
      <c r="S2803" s="1">
        <v>913.0</v>
      </c>
      <c r="U2803" s="1">
        <v>0.0</v>
      </c>
      <c r="V2803" s="1" t="s">
        <v>8611</v>
      </c>
      <c r="W2803" s="1">
        <v>75.0</v>
      </c>
      <c r="Y2803" s="1">
        <v>0.0</v>
      </c>
      <c r="AA2803" s="1">
        <v>0.0</v>
      </c>
      <c r="AC2803" s="1">
        <v>0.0</v>
      </c>
      <c r="AD2803" s="1" t="s">
        <v>971</v>
      </c>
      <c r="AG2803" s="9" t="s">
        <v>8610</v>
      </c>
      <c r="AM2803" s="1">
        <v>202227.0</v>
      </c>
      <c r="AN2803" s="1">
        <v>36705.0</v>
      </c>
      <c r="AO2803" s="1">
        <v>36705.0</v>
      </c>
      <c r="AP2803" s="1">
        <v>14.061</v>
      </c>
      <c r="AR2803" s="1">
        <v>1520.0</v>
      </c>
      <c r="AS2803" s="1">
        <v>238.0</v>
      </c>
      <c r="AT2803" s="1">
        <v>6.387</v>
      </c>
      <c r="AU2803" s="1">
        <v>64.603</v>
      </c>
      <c r="AV2803" s="1" t="s">
        <v>990</v>
      </c>
      <c r="AW2803" s="1">
        <v>5.801</v>
      </c>
      <c r="AX2803" s="1">
        <v>6.0</v>
      </c>
      <c r="AY2803" s="1">
        <v>1.0</v>
      </c>
      <c r="AZ2803" s="1">
        <v>1.0</v>
      </c>
      <c r="BA2803" s="1">
        <v>1.0</v>
      </c>
      <c r="BB2803" s="1">
        <v>1.0</v>
      </c>
      <c r="BC2803" s="1">
        <v>0.0</v>
      </c>
      <c r="BD2803" s="1">
        <v>0.13</v>
      </c>
      <c r="BE2803" s="1">
        <v>136.0</v>
      </c>
      <c r="BF2803" s="1">
        <v>51.0</v>
      </c>
      <c r="BG2803" s="1">
        <v>0.0</v>
      </c>
      <c r="BH2803" s="1">
        <v>16.0</v>
      </c>
      <c r="BI2803" s="1">
        <v>8.0</v>
      </c>
      <c r="BJ2803" s="1">
        <v>0.0</v>
      </c>
      <c r="BO2803" s="1" t="s">
        <v>8614</v>
      </c>
      <c r="BP2803" s="1">
        <v>1.062</v>
      </c>
      <c r="BU2803" s="1" t="s">
        <v>974</v>
      </c>
      <c r="BV2803" s="1">
        <v>1.1</v>
      </c>
      <c r="EQ2803" s="9" t="s">
        <v>8610</v>
      </c>
      <c r="ER2803" s="21">
        <v>46045.30337962963</v>
      </c>
    </row>
    <row r="2804">
      <c r="A2804" s="9" t="s">
        <v>8615</v>
      </c>
      <c r="B2804" s="20" t="str">
        <f>IFERROR(__xludf.DUMMYFUNCTION("REGEXREPLACE(A2804, ""^https?://[^/]+"", """")"),"/wp-content/uploads/2016/12/business-card-1525590-640x960-623x248-1-2048x2048.jpg")</f>
        <v>/wp-content/uploads/2016/12/business-card-1525590-640x960-623x248-1-2048x2048.jpg</v>
      </c>
      <c r="F2804" s="1" t="s">
        <v>1004</v>
      </c>
      <c r="G2804" s="1">
        <v>200.0</v>
      </c>
      <c r="H2804" s="1" t="s">
        <v>966</v>
      </c>
      <c r="I2804" s="1" t="s">
        <v>967</v>
      </c>
      <c r="L2804" s="1">
        <v>0.0</v>
      </c>
      <c r="M2804" s="1">
        <v>0.0</v>
      </c>
      <c r="O2804" s="1">
        <v>0.0</v>
      </c>
      <c r="P2804" s="1">
        <v>0.0</v>
      </c>
      <c r="R2804" s="1">
        <v>0.0</v>
      </c>
      <c r="S2804" s="1">
        <v>0.0</v>
      </c>
      <c r="U2804" s="1">
        <v>0.0</v>
      </c>
      <c r="W2804" s="1">
        <v>0.0</v>
      </c>
      <c r="Y2804" s="1">
        <v>0.0</v>
      </c>
      <c r="AA2804" s="1">
        <v>0.0</v>
      </c>
      <c r="AC2804" s="1">
        <v>0.0</v>
      </c>
      <c r="AM2804" s="1">
        <v>140476.0</v>
      </c>
      <c r="AN2804" s="1">
        <v>140476.0</v>
      </c>
      <c r="AO2804" s="1">
        <v>140476.0</v>
      </c>
      <c r="AP2804" s="1">
        <v>53.814</v>
      </c>
      <c r="AR2804" s="1">
        <v>0.0</v>
      </c>
      <c r="AW2804" s="1">
        <v>0.0</v>
      </c>
      <c r="AX2804" s="1">
        <v>6.0</v>
      </c>
      <c r="AY2804" s="1">
        <v>4.0</v>
      </c>
      <c r="BA2804" s="1">
        <v>0.0</v>
      </c>
      <c r="BB2804" s="1">
        <v>0.0</v>
      </c>
      <c r="BC2804" s="1">
        <v>0.0</v>
      </c>
      <c r="BD2804" s="1">
        <v>0.0</v>
      </c>
      <c r="BE2804" s="1">
        <v>0.0</v>
      </c>
      <c r="BF2804" s="1">
        <v>0.0</v>
      </c>
      <c r="BG2804" s="1">
        <v>0.0</v>
      </c>
      <c r="BH2804" s="1">
        <v>0.0</v>
      </c>
      <c r="BI2804" s="1">
        <v>0.0</v>
      </c>
      <c r="BJ2804" s="1">
        <v>0.0</v>
      </c>
      <c r="BP2804" s="1">
        <v>0.336</v>
      </c>
      <c r="BQ2804" s="1" t="s">
        <v>8516</v>
      </c>
      <c r="BV2804" s="1">
        <v>1.1</v>
      </c>
      <c r="EQ2804" s="9" t="s">
        <v>8615</v>
      </c>
      <c r="ER2804" s="21">
        <v>46045.303391203706</v>
      </c>
    </row>
    <row r="2805">
      <c r="A2805" s="9" t="s">
        <v>8616</v>
      </c>
      <c r="B2805" s="20" t="str">
        <f>IFERROR(__xludf.DUMMYFUNCTION("REGEXREPLACE(A2805, ""^https?://[^/]+"", """")"),"/wp-content/uploads/2016/02/Dollarphotoclub_80668580-Outsource-Sign-RS-72.jpg")</f>
        <v>/wp-content/uploads/2016/02/Dollarphotoclub_80668580-Outsource-Sign-RS-72.jpg</v>
      </c>
      <c r="F2805" s="1" t="s">
        <v>1004</v>
      </c>
      <c r="G2805" s="1">
        <v>200.0</v>
      </c>
      <c r="H2805" s="1" t="s">
        <v>966</v>
      </c>
      <c r="I2805" s="1" t="s">
        <v>967</v>
      </c>
      <c r="L2805" s="1">
        <v>0.0</v>
      </c>
      <c r="M2805" s="1">
        <v>0.0</v>
      </c>
      <c r="O2805" s="1">
        <v>0.0</v>
      </c>
      <c r="P2805" s="1">
        <v>0.0</v>
      </c>
      <c r="R2805" s="1">
        <v>0.0</v>
      </c>
      <c r="S2805" s="1">
        <v>0.0</v>
      </c>
      <c r="U2805" s="1">
        <v>0.0</v>
      </c>
      <c r="W2805" s="1">
        <v>0.0</v>
      </c>
      <c r="Y2805" s="1">
        <v>0.0</v>
      </c>
      <c r="AA2805" s="1">
        <v>0.0</v>
      </c>
      <c r="AC2805" s="1">
        <v>0.0</v>
      </c>
      <c r="AM2805" s="1">
        <v>32949.0</v>
      </c>
      <c r="AN2805" s="1">
        <v>32949.0</v>
      </c>
      <c r="AO2805" s="1">
        <v>32949.0</v>
      </c>
      <c r="AP2805" s="1">
        <v>12.622</v>
      </c>
      <c r="AR2805" s="1">
        <v>0.0</v>
      </c>
      <c r="AW2805" s="1">
        <v>0.0</v>
      </c>
      <c r="AX2805" s="1">
        <v>6.0</v>
      </c>
      <c r="AY2805" s="1">
        <v>4.0</v>
      </c>
      <c r="BA2805" s="1">
        <v>0.0</v>
      </c>
      <c r="BB2805" s="1">
        <v>0.0</v>
      </c>
      <c r="BC2805" s="1">
        <v>0.0</v>
      </c>
      <c r="BD2805" s="1">
        <v>0.0</v>
      </c>
      <c r="BE2805" s="1">
        <v>0.0</v>
      </c>
      <c r="BF2805" s="1">
        <v>0.0</v>
      </c>
      <c r="BG2805" s="1">
        <v>0.0</v>
      </c>
      <c r="BH2805" s="1">
        <v>0.0</v>
      </c>
      <c r="BI2805" s="1">
        <v>0.0</v>
      </c>
      <c r="BJ2805" s="1">
        <v>0.0</v>
      </c>
      <c r="BP2805" s="1">
        <v>0.278</v>
      </c>
      <c r="BQ2805" s="1" t="s">
        <v>8617</v>
      </c>
      <c r="BV2805" s="1">
        <v>1.1</v>
      </c>
      <c r="EQ2805" s="9" t="s">
        <v>8616</v>
      </c>
      <c r="ER2805" s="21">
        <v>46045.303391203706</v>
      </c>
    </row>
    <row r="2806">
      <c r="A2806" s="9" t="s">
        <v>8618</v>
      </c>
      <c r="B2806" s="20" t="str">
        <f>IFERROR(__xludf.DUMMYFUNCTION("REGEXREPLACE(A2806, ""^https?://[^/]+"", """")"),"/wp-content/uploads/2019/08/shutterstock_1009393072.jpg")</f>
        <v>/wp-content/uploads/2019/08/shutterstock_1009393072.jpg</v>
      </c>
      <c r="F2806" s="1" t="s">
        <v>1004</v>
      </c>
      <c r="G2806" s="1">
        <v>200.0</v>
      </c>
      <c r="H2806" s="1" t="s">
        <v>966</v>
      </c>
      <c r="I2806" s="1" t="s">
        <v>967</v>
      </c>
      <c r="L2806" s="1">
        <v>0.0</v>
      </c>
      <c r="M2806" s="1">
        <v>0.0</v>
      </c>
      <c r="O2806" s="1">
        <v>0.0</v>
      </c>
      <c r="P2806" s="1">
        <v>0.0</v>
      </c>
      <c r="R2806" s="1">
        <v>0.0</v>
      </c>
      <c r="S2806" s="1">
        <v>0.0</v>
      </c>
      <c r="U2806" s="1">
        <v>0.0</v>
      </c>
      <c r="W2806" s="1">
        <v>0.0</v>
      </c>
      <c r="Y2806" s="1">
        <v>0.0</v>
      </c>
      <c r="AA2806" s="1">
        <v>0.0</v>
      </c>
      <c r="AC2806" s="1">
        <v>0.0</v>
      </c>
      <c r="AM2806" s="1">
        <v>93456.0</v>
      </c>
      <c r="AN2806" s="1">
        <v>93456.0</v>
      </c>
      <c r="AO2806" s="1">
        <v>93456.0</v>
      </c>
      <c r="AP2806" s="1">
        <v>35.801</v>
      </c>
      <c r="AR2806" s="1">
        <v>0.0</v>
      </c>
      <c r="AW2806" s="1">
        <v>0.0</v>
      </c>
      <c r="AX2806" s="1">
        <v>6.0</v>
      </c>
      <c r="AY2806" s="1">
        <v>4.0</v>
      </c>
      <c r="BA2806" s="1">
        <v>0.0</v>
      </c>
      <c r="BB2806" s="1">
        <v>0.0</v>
      </c>
      <c r="BC2806" s="1">
        <v>0.0</v>
      </c>
      <c r="BD2806" s="1">
        <v>0.0</v>
      </c>
      <c r="BE2806" s="1">
        <v>0.0</v>
      </c>
      <c r="BF2806" s="1">
        <v>0.0</v>
      </c>
      <c r="BG2806" s="1">
        <v>0.0</v>
      </c>
      <c r="BH2806" s="1">
        <v>0.0</v>
      </c>
      <c r="BI2806" s="1">
        <v>0.0</v>
      </c>
      <c r="BJ2806" s="1">
        <v>0.0</v>
      </c>
      <c r="BP2806" s="1">
        <v>0.275</v>
      </c>
      <c r="BQ2806" s="1" t="s">
        <v>8619</v>
      </c>
      <c r="BV2806" s="1">
        <v>1.1</v>
      </c>
      <c r="EQ2806" s="9" t="s">
        <v>8618</v>
      </c>
      <c r="ER2806" s="21">
        <v>46045.303391203706</v>
      </c>
    </row>
    <row r="2807">
      <c r="A2807" s="9" t="s">
        <v>8620</v>
      </c>
      <c r="B2807" s="20" t="str">
        <f>IFERROR(__xludf.DUMMYFUNCTION("REGEXREPLACE(A2807, ""^https?://[^/]+"", """")"),"/wp-content/themes/salesxceleratione/assets/css/style.css?ver=1769123674")</f>
        <v>/wp-content/themes/salesxceleratione/assets/css/style.css?ver=1769123674</v>
      </c>
      <c r="F2807" s="1" t="s">
        <v>1016</v>
      </c>
      <c r="G2807" s="1">
        <v>200.0</v>
      </c>
      <c r="H2807" s="1" t="s">
        <v>966</v>
      </c>
      <c r="I2807" s="1" t="s">
        <v>967</v>
      </c>
      <c r="L2807" s="1">
        <v>0.0</v>
      </c>
      <c r="M2807" s="1">
        <v>0.0</v>
      </c>
      <c r="O2807" s="1">
        <v>0.0</v>
      </c>
      <c r="P2807" s="1">
        <v>0.0</v>
      </c>
      <c r="R2807" s="1">
        <v>0.0</v>
      </c>
      <c r="S2807" s="1">
        <v>0.0</v>
      </c>
      <c r="U2807" s="1">
        <v>0.0</v>
      </c>
      <c r="W2807" s="1">
        <v>0.0</v>
      </c>
      <c r="Y2807" s="1">
        <v>0.0</v>
      </c>
      <c r="AA2807" s="1">
        <v>0.0</v>
      </c>
      <c r="AC2807" s="1">
        <v>0.0</v>
      </c>
      <c r="AM2807" s="1">
        <v>17704.0</v>
      </c>
      <c r="AN2807" s="1">
        <v>17704.0</v>
      </c>
      <c r="AO2807" s="1">
        <v>17704.0</v>
      </c>
      <c r="AP2807" s="1">
        <v>6.782</v>
      </c>
      <c r="AR2807" s="1">
        <v>0.0</v>
      </c>
      <c r="AW2807" s="1">
        <v>0.0</v>
      </c>
      <c r="AX2807" s="1">
        <v>6.0</v>
      </c>
      <c r="AY2807" s="1">
        <v>5.0</v>
      </c>
      <c r="BA2807" s="1">
        <v>0.0</v>
      </c>
      <c r="BB2807" s="1">
        <v>0.0</v>
      </c>
      <c r="BC2807" s="1">
        <v>0.0</v>
      </c>
      <c r="BD2807" s="1">
        <v>0.0</v>
      </c>
      <c r="BE2807" s="1">
        <v>0.0</v>
      </c>
      <c r="BF2807" s="1">
        <v>0.0</v>
      </c>
      <c r="BG2807" s="1">
        <v>0.0</v>
      </c>
      <c r="BH2807" s="1">
        <v>0.0</v>
      </c>
      <c r="BI2807" s="1">
        <v>0.0</v>
      </c>
      <c r="BJ2807" s="1">
        <v>0.0</v>
      </c>
      <c r="BP2807" s="1">
        <v>0.276</v>
      </c>
      <c r="BQ2807" s="1" t="s">
        <v>8604</v>
      </c>
      <c r="BV2807" s="1">
        <v>1.1</v>
      </c>
      <c r="EQ2807" s="9" t="s">
        <v>8620</v>
      </c>
      <c r="ER2807" s="21">
        <v>46045.303391203706</v>
      </c>
    </row>
    <row r="2808">
      <c r="A2808" s="9" t="s">
        <v>8621</v>
      </c>
      <c r="B2808" s="20" t="str">
        <f>IFERROR(__xludf.DUMMYFUNCTION("REGEXREPLACE(A2808, ""^https?://[^/]+"", """")"),"/wp-content/uploads/2019/07/2019-07-16_123451.jpg")</f>
        <v>/wp-content/uploads/2019/07/2019-07-16_123451.jpg</v>
      </c>
      <c r="F2808" s="1" t="s">
        <v>1004</v>
      </c>
      <c r="G2808" s="1">
        <v>200.0</v>
      </c>
      <c r="H2808" s="1" t="s">
        <v>966</v>
      </c>
      <c r="I2808" s="1" t="s">
        <v>967</v>
      </c>
      <c r="L2808" s="1">
        <v>0.0</v>
      </c>
      <c r="M2808" s="1">
        <v>0.0</v>
      </c>
      <c r="O2808" s="1">
        <v>0.0</v>
      </c>
      <c r="P2808" s="1">
        <v>0.0</v>
      </c>
      <c r="R2808" s="1">
        <v>0.0</v>
      </c>
      <c r="S2808" s="1">
        <v>0.0</v>
      </c>
      <c r="U2808" s="1">
        <v>0.0</v>
      </c>
      <c r="W2808" s="1">
        <v>0.0</v>
      </c>
      <c r="Y2808" s="1">
        <v>0.0</v>
      </c>
      <c r="AA2808" s="1">
        <v>0.0</v>
      </c>
      <c r="AC2808" s="1">
        <v>0.0</v>
      </c>
      <c r="AM2808" s="1">
        <v>127327.0</v>
      </c>
      <c r="AN2808" s="1">
        <v>127327.0</v>
      </c>
      <c r="AO2808" s="1">
        <v>127327.0</v>
      </c>
      <c r="AP2808" s="1">
        <v>48.777</v>
      </c>
      <c r="AR2808" s="1">
        <v>0.0</v>
      </c>
      <c r="AW2808" s="1">
        <v>0.0</v>
      </c>
      <c r="AX2808" s="1">
        <v>6.0</v>
      </c>
      <c r="AY2808" s="1">
        <v>4.0</v>
      </c>
      <c r="BA2808" s="1">
        <v>0.0</v>
      </c>
      <c r="BB2808" s="1">
        <v>0.0</v>
      </c>
      <c r="BC2808" s="1">
        <v>0.0</v>
      </c>
      <c r="BD2808" s="1">
        <v>0.0</v>
      </c>
      <c r="BE2808" s="1">
        <v>0.0</v>
      </c>
      <c r="BF2808" s="1">
        <v>0.0</v>
      </c>
      <c r="BG2808" s="1">
        <v>0.0</v>
      </c>
      <c r="BH2808" s="1">
        <v>0.0</v>
      </c>
      <c r="BI2808" s="1">
        <v>0.0</v>
      </c>
      <c r="BJ2808" s="1">
        <v>0.0</v>
      </c>
      <c r="BP2808" s="1">
        <v>0.267</v>
      </c>
      <c r="BQ2808" s="1" t="s">
        <v>8622</v>
      </c>
      <c r="BV2808" s="1">
        <v>1.1</v>
      </c>
      <c r="EQ2808" s="9" t="s">
        <v>8621</v>
      </c>
      <c r="ER2808" s="21">
        <v>46045.303391203706</v>
      </c>
    </row>
    <row r="2809">
      <c r="A2809" s="9" t="s">
        <v>8623</v>
      </c>
      <c r="B2809" s="20" t="str">
        <f>IFERROR(__xludf.DUMMYFUNCTION("REGEXREPLACE(A2809, ""^https?://[^/]+"", """")"),"/wp-content/uploads/2019/07/shutterstock_536212654-1.jpg")</f>
        <v>/wp-content/uploads/2019/07/shutterstock_536212654-1.jpg</v>
      </c>
      <c r="F2809" s="1" t="s">
        <v>1004</v>
      </c>
      <c r="G2809" s="1">
        <v>200.0</v>
      </c>
      <c r="H2809" s="1" t="s">
        <v>966</v>
      </c>
      <c r="I2809" s="1" t="s">
        <v>967</v>
      </c>
      <c r="L2809" s="1">
        <v>0.0</v>
      </c>
      <c r="M2809" s="1">
        <v>0.0</v>
      </c>
      <c r="O2809" s="1">
        <v>0.0</v>
      </c>
      <c r="P2809" s="1">
        <v>0.0</v>
      </c>
      <c r="R2809" s="1">
        <v>0.0</v>
      </c>
      <c r="S2809" s="1">
        <v>0.0</v>
      </c>
      <c r="U2809" s="1">
        <v>0.0</v>
      </c>
      <c r="W2809" s="1">
        <v>0.0</v>
      </c>
      <c r="Y2809" s="1">
        <v>0.0</v>
      </c>
      <c r="AA2809" s="1">
        <v>0.0</v>
      </c>
      <c r="AC2809" s="1">
        <v>0.0</v>
      </c>
      <c r="AM2809" s="1">
        <v>169618.0</v>
      </c>
      <c r="AN2809" s="1">
        <v>169618.0</v>
      </c>
      <c r="AO2809" s="1">
        <v>169618.0</v>
      </c>
      <c r="AP2809" s="1">
        <v>64.977</v>
      </c>
      <c r="AR2809" s="1">
        <v>0.0</v>
      </c>
      <c r="AW2809" s="1">
        <v>0.0</v>
      </c>
      <c r="AX2809" s="1">
        <v>6.0</v>
      </c>
      <c r="AY2809" s="1">
        <v>4.0</v>
      </c>
      <c r="BA2809" s="1">
        <v>0.0</v>
      </c>
      <c r="BB2809" s="1">
        <v>0.0</v>
      </c>
      <c r="BC2809" s="1">
        <v>0.0</v>
      </c>
      <c r="BD2809" s="1">
        <v>0.0</v>
      </c>
      <c r="BE2809" s="1">
        <v>0.0</v>
      </c>
      <c r="BF2809" s="1">
        <v>0.0</v>
      </c>
      <c r="BG2809" s="1">
        <v>0.0</v>
      </c>
      <c r="BH2809" s="1">
        <v>0.0</v>
      </c>
      <c r="BI2809" s="1">
        <v>0.0</v>
      </c>
      <c r="BJ2809" s="1">
        <v>0.0</v>
      </c>
      <c r="BP2809" s="1">
        <v>0.269</v>
      </c>
      <c r="BQ2809" s="1" t="s">
        <v>8624</v>
      </c>
      <c r="BV2809" s="1">
        <v>1.1</v>
      </c>
      <c r="EQ2809" s="9" t="s">
        <v>8623</v>
      </c>
      <c r="ER2809" s="21">
        <v>46045.303402777776</v>
      </c>
    </row>
    <row r="2810">
      <c r="A2810" s="9" t="s">
        <v>8625</v>
      </c>
      <c r="B2810" s="20" t="str">
        <f>IFERROR(__xludf.DUMMYFUNCTION("REGEXREPLACE(A2810, ""^https?://[^/]+"", """")"),"/wp-content/uploads/2018/07/sales-consulting-opportunity.jpg")</f>
        <v>/wp-content/uploads/2018/07/sales-consulting-opportunity.jpg</v>
      </c>
      <c r="F2810" s="1" t="s">
        <v>1004</v>
      </c>
      <c r="G2810" s="1">
        <v>200.0</v>
      </c>
      <c r="H2810" s="1" t="s">
        <v>966</v>
      </c>
      <c r="I2810" s="1" t="s">
        <v>967</v>
      </c>
      <c r="L2810" s="1">
        <v>0.0</v>
      </c>
      <c r="M2810" s="1">
        <v>0.0</v>
      </c>
      <c r="O2810" s="1">
        <v>0.0</v>
      </c>
      <c r="P2810" s="1">
        <v>0.0</v>
      </c>
      <c r="R2810" s="1">
        <v>0.0</v>
      </c>
      <c r="S2810" s="1">
        <v>0.0</v>
      </c>
      <c r="U2810" s="1">
        <v>0.0</v>
      </c>
      <c r="W2810" s="1">
        <v>0.0</v>
      </c>
      <c r="Y2810" s="1">
        <v>0.0</v>
      </c>
      <c r="AA2810" s="1">
        <v>0.0</v>
      </c>
      <c r="AC2810" s="1">
        <v>0.0</v>
      </c>
      <c r="AM2810" s="1">
        <v>31651.0</v>
      </c>
      <c r="AN2810" s="1">
        <v>31651.0</v>
      </c>
      <c r="AO2810" s="1">
        <v>31651.0</v>
      </c>
      <c r="AP2810" s="1">
        <v>12.125</v>
      </c>
      <c r="AR2810" s="1">
        <v>0.0</v>
      </c>
      <c r="AW2810" s="1">
        <v>0.0</v>
      </c>
      <c r="AX2810" s="1">
        <v>6.0</v>
      </c>
      <c r="AY2810" s="1">
        <v>4.0</v>
      </c>
      <c r="BA2810" s="1">
        <v>0.0</v>
      </c>
      <c r="BB2810" s="1">
        <v>0.0</v>
      </c>
      <c r="BC2810" s="1">
        <v>0.0</v>
      </c>
      <c r="BD2810" s="1">
        <v>0.0</v>
      </c>
      <c r="BE2810" s="1">
        <v>0.0</v>
      </c>
      <c r="BF2810" s="1">
        <v>0.0</v>
      </c>
      <c r="BG2810" s="1">
        <v>0.0</v>
      </c>
      <c r="BH2810" s="1">
        <v>0.0</v>
      </c>
      <c r="BI2810" s="1">
        <v>0.0</v>
      </c>
      <c r="BJ2810" s="1">
        <v>0.0</v>
      </c>
      <c r="BP2810" s="1">
        <v>0.268</v>
      </c>
      <c r="BQ2810" s="1" t="s">
        <v>8626</v>
      </c>
      <c r="BV2810" s="1">
        <v>1.1</v>
      </c>
      <c r="EQ2810" s="9" t="s">
        <v>8625</v>
      </c>
      <c r="ER2810" s="21">
        <v>46045.303402777776</v>
      </c>
    </row>
    <row r="2811">
      <c r="A2811" s="9" t="s">
        <v>8627</v>
      </c>
      <c r="B2811" s="20" t="str">
        <f>IFERROR(__xludf.DUMMYFUNCTION("REGEXREPLACE(A2811, ""^https?://[^/]+"", """")"),"/marks-book-available-now/")</f>
        <v>/marks-book-available-now/</v>
      </c>
      <c r="F2811" s="1" t="s">
        <v>965</v>
      </c>
      <c r="G2811" s="1">
        <v>301.0</v>
      </c>
      <c r="H2811" s="1" t="s">
        <v>1304</v>
      </c>
      <c r="I2811" s="1" t="s">
        <v>1214</v>
      </c>
      <c r="J2811" s="1" t="s">
        <v>1305</v>
      </c>
      <c r="L2811" s="1">
        <v>0.0</v>
      </c>
      <c r="M2811" s="1">
        <v>0.0</v>
      </c>
      <c r="O2811" s="1">
        <v>0.0</v>
      </c>
      <c r="P2811" s="1">
        <v>0.0</v>
      </c>
      <c r="R2811" s="1">
        <v>0.0</v>
      </c>
      <c r="S2811" s="1">
        <v>0.0</v>
      </c>
      <c r="U2811" s="1">
        <v>0.0</v>
      </c>
      <c r="W2811" s="1">
        <v>0.0</v>
      </c>
      <c r="Y2811" s="1">
        <v>0.0</v>
      </c>
      <c r="AA2811" s="1">
        <v>0.0</v>
      </c>
      <c r="AC2811" s="1">
        <v>0.0</v>
      </c>
      <c r="AM2811" s="1">
        <v>0.0</v>
      </c>
      <c r="AN2811" s="1">
        <v>0.0</v>
      </c>
      <c r="AO2811" s="1">
        <v>0.0</v>
      </c>
      <c r="AP2811" s="1">
        <v>0.0</v>
      </c>
      <c r="AR2811" s="1">
        <v>0.0</v>
      </c>
      <c r="AW2811" s="1">
        <v>0.0</v>
      </c>
      <c r="AX2811" s="1">
        <v>6.0</v>
      </c>
      <c r="AY2811" s="1">
        <v>1.0</v>
      </c>
      <c r="BA2811" s="1">
        <v>1.0</v>
      </c>
      <c r="BB2811" s="1">
        <v>1.0</v>
      </c>
      <c r="BC2811" s="1">
        <v>0.0</v>
      </c>
      <c r="BD2811" s="1">
        <v>0.13</v>
      </c>
      <c r="BE2811" s="1">
        <v>0.0</v>
      </c>
      <c r="BF2811" s="1">
        <v>0.0</v>
      </c>
      <c r="BG2811" s="1">
        <v>0.0</v>
      </c>
      <c r="BH2811" s="1">
        <v>0.0</v>
      </c>
      <c r="BI2811" s="1">
        <v>0.0</v>
      </c>
      <c r="BJ2811" s="1">
        <v>0.0</v>
      </c>
      <c r="BP2811" s="1">
        <v>0.554</v>
      </c>
      <c r="BR2811" s="9" t="s">
        <v>8628</v>
      </c>
      <c r="BS2811" s="1" t="s">
        <v>1307</v>
      </c>
      <c r="BV2811" s="1">
        <v>1.1</v>
      </c>
      <c r="EQ2811" s="9" t="s">
        <v>8627</v>
      </c>
      <c r="ER2811" s="21">
        <v>46045.303402777776</v>
      </c>
    </row>
    <row r="2812">
      <c r="A2812" s="9" t="s">
        <v>8629</v>
      </c>
      <c r="B2812" s="20" t="str">
        <f>IFERROR(__xludf.DUMMYFUNCTION("REGEXREPLACE(A2812, ""^https?://[^/]+"", """")"),"/lost-order-dont-lose-connection/")</f>
        <v>/lost-order-dont-lose-connection/</v>
      </c>
      <c r="C2812" s="1" t="s">
        <v>8630</v>
      </c>
      <c r="F2812" s="1" t="s">
        <v>965</v>
      </c>
      <c r="G2812" s="1">
        <v>200.0</v>
      </c>
      <c r="H2812" s="1" t="s">
        <v>966</v>
      </c>
      <c r="I2812" s="1" t="s">
        <v>967</v>
      </c>
      <c r="K2812" s="1" t="s">
        <v>8630</v>
      </c>
      <c r="L2812" s="1">
        <v>69.0</v>
      </c>
      <c r="M2812" s="1">
        <v>646.0</v>
      </c>
      <c r="O2812" s="1">
        <v>0.0</v>
      </c>
      <c r="P2812" s="1">
        <v>0.0</v>
      </c>
      <c r="Q2812" s="1" t="s">
        <v>8631</v>
      </c>
      <c r="R2812" s="1">
        <v>153.0</v>
      </c>
      <c r="S2812" s="1">
        <v>956.0</v>
      </c>
      <c r="U2812" s="1">
        <v>0.0</v>
      </c>
      <c r="V2812" s="1" t="s">
        <v>8630</v>
      </c>
      <c r="W2812" s="1">
        <v>69.0</v>
      </c>
      <c r="Y2812" s="1">
        <v>0.0</v>
      </c>
      <c r="AA2812" s="1">
        <v>0.0</v>
      </c>
      <c r="AC2812" s="1">
        <v>0.0</v>
      </c>
      <c r="AD2812" s="1" t="s">
        <v>971</v>
      </c>
      <c r="AG2812" s="9" t="s">
        <v>8629</v>
      </c>
      <c r="AM2812" s="1">
        <v>199735.0</v>
      </c>
      <c r="AN2812" s="1">
        <v>35741.0</v>
      </c>
      <c r="AO2812" s="1">
        <v>35741.0</v>
      </c>
      <c r="AP2812" s="1">
        <v>13.692</v>
      </c>
      <c r="AR2812" s="1">
        <v>1304.0</v>
      </c>
      <c r="AS2812" s="1">
        <v>183.0</v>
      </c>
      <c r="AT2812" s="1">
        <v>7.126</v>
      </c>
      <c r="AU2812" s="1">
        <v>67.188</v>
      </c>
      <c r="AV2812" s="1" t="s">
        <v>990</v>
      </c>
      <c r="AW2812" s="1">
        <v>5.142</v>
      </c>
      <c r="AX2812" s="1">
        <v>6.0</v>
      </c>
      <c r="AY2812" s="1">
        <v>1.0</v>
      </c>
      <c r="AZ2812" s="1">
        <v>1.0</v>
      </c>
      <c r="BA2812" s="1">
        <v>10.0</v>
      </c>
      <c r="BB2812" s="1">
        <v>8.0</v>
      </c>
      <c r="BC2812" s="1">
        <v>0.0</v>
      </c>
      <c r="BD2812" s="1">
        <v>1.06</v>
      </c>
      <c r="BE2812" s="1">
        <v>132.0</v>
      </c>
      <c r="BF2812" s="1">
        <v>48.0</v>
      </c>
      <c r="BG2812" s="1">
        <v>0.0</v>
      </c>
      <c r="BH2812" s="1">
        <v>16.0</v>
      </c>
      <c r="BI2812" s="1">
        <v>8.0</v>
      </c>
      <c r="BJ2812" s="1">
        <v>0.0</v>
      </c>
      <c r="BO2812" s="1" t="s">
        <v>8632</v>
      </c>
      <c r="BP2812" s="1">
        <v>0.973</v>
      </c>
      <c r="BU2812" s="1" t="s">
        <v>974</v>
      </c>
      <c r="BV2812" s="1">
        <v>1.1</v>
      </c>
      <c r="EQ2812" s="9" t="s">
        <v>8629</v>
      </c>
      <c r="ER2812" s="21">
        <v>46045.303391203706</v>
      </c>
    </row>
    <row r="2813">
      <c r="A2813" s="9" t="s">
        <v>8633</v>
      </c>
      <c r="B2813" s="20" t="str">
        <f>IFERROR(__xludf.DUMMYFUNCTION("REGEXREPLACE(A2813, ""^https?://[^/]+"", """")"),"/wp-content/themes/salesxceleratione/assets/css/style.css?ver=1769123672")</f>
        <v>/wp-content/themes/salesxceleratione/assets/css/style.css?ver=1769123672</v>
      </c>
      <c r="F2813" s="1" t="s">
        <v>1016</v>
      </c>
      <c r="G2813" s="1">
        <v>200.0</v>
      </c>
      <c r="H2813" s="1" t="s">
        <v>966</v>
      </c>
      <c r="I2813" s="1" t="s">
        <v>967</v>
      </c>
      <c r="L2813" s="1">
        <v>0.0</v>
      </c>
      <c r="M2813" s="1">
        <v>0.0</v>
      </c>
      <c r="O2813" s="1">
        <v>0.0</v>
      </c>
      <c r="P2813" s="1">
        <v>0.0</v>
      </c>
      <c r="R2813" s="1">
        <v>0.0</v>
      </c>
      <c r="S2813" s="1">
        <v>0.0</v>
      </c>
      <c r="U2813" s="1">
        <v>0.0</v>
      </c>
      <c r="W2813" s="1">
        <v>0.0</v>
      </c>
      <c r="Y2813" s="1">
        <v>0.0</v>
      </c>
      <c r="AA2813" s="1">
        <v>0.0</v>
      </c>
      <c r="AC2813" s="1">
        <v>0.0</v>
      </c>
      <c r="AM2813" s="1">
        <v>17704.0</v>
      </c>
      <c r="AN2813" s="1">
        <v>17704.0</v>
      </c>
      <c r="AO2813" s="1">
        <v>17704.0</v>
      </c>
      <c r="AP2813" s="1">
        <v>6.782</v>
      </c>
      <c r="AR2813" s="1">
        <v>0.0</v>
      </c>
      <c r="AW2813" s="1">
        <v>0.0</v>
      </c>
      <c r="AX2813" s="1">
        <v>6.0</v>
      </c>
      <c r="AY2813" s="1">
        <v>5.0</v>
      </c>
      <c r="BA2813" s="1">
        <v>0.0</v>
      </c>
      <c r="BB2813" s="1">
        <v>0.0</v>
      </c>
      <c r="BC2813" s="1">
        <v>0.0</v>
      </c>
      <c r="BD2813" s="1">
        <v>0.0</v>
      </c>
      <c r="BE2813" s="1">
        <v>0.0</v>
      </c>
      <c r="BF2813" s="1">
        <v>0.0</v>
      </c>
      <c r="BG2813" s="1">
        <v>0.0</v>
      </c>
      <c r="BH2813" s="1">
        <v>0.0</v>
      </c>
      <c r="BI2813" s="1">
        <v>0.0</v>
      </c>
      <c r="BJ2813" s="1">
        <v>0.0</v>
      </c>
      <c r="BP2813" s="1">
        <v>0.262</v>
      </c>
      <c r="BQ2813" s="1" t="s">
        <v>6858</v>
      </c>
      <c r="BV2813" s="1">
        <v>1.1</v>
      </c>
      <c r="EQ2813" s="9" t="s">
        <v>8633</v>
      </c>
      <c r="ER2813" s="21">
        <v>46045.303402777776</v>
      </c>
    </row>
    <row r="2814">
      <c r="A2814" s="9" t="s">
        <v>8634</v>
      </c>
      <c r="B2814" s="20" t="str">
        <f>IFERROR(__xludf.DUMMYFUNCTION("REGEXREPLACE(A2814, ""^https?://[^/]+"", """")"),"/wp-content/themes/salesxceleratione/assets/css/style.css?ver=1769123785")</f>
        <v>/wp-content/themes/salesxceleratione/assets/css/style.css?ver=1769123785</v>
      </c>
      <c r="F2814" s="1" t="s">
        <v>1016</v>
      </c>
      <c r="G2814" s="1">
        <v>200.0</v>
      </c>
      <c r="H2814" s="1" t="s">
        <v>966</v>
      </c>
      <c r="I2814" s="1" t="s">
        <v>967</v>
      </c>
      <c r="L2814" s="1">
        <v>0.0</v>
      </c>
      <c r="M2814" s="1">
        <v>0.0</v>
      </c>
      <c r="O2814" s="1">
        <v>0.0</v>
      </c>
      <c r="P2814" s="1">
        <v>0.0</v>
      </c>
      <c r="R2814" s="1">
        <v>0.0</v>
      </c>
      <c r="S2814" s="1">
        <v>0.0</v>
      </c>
      <c r="U2814" s="1">
        <v>0.0</v>
      </c>
      <c r="W2814" s="1">
        <v>0.0</v>
      </c>
      <c r="Y2814" s="1">
        <v>0.0</v>
      </c>
      <c r="AA2814" s="1">
        <v>0.0</v>
      </c>
      <c r="AC2814" s="1">
        <v>0.0</v>
      </c>
      <c r="AM2814" s="1">
        <v>17704.0</v>
      </c>
      <c r="AN2814" s="1">
        <v>17704.0</v>
      </c>
      <c r="AO2814" s="1">
        <v>17704.0</v>
      </c>
      <c r="AP2814" s="1">
        <v>6.782</v>
      </c>
      <c r="AR2814" s="1">
        <v>0.0</v>
      </c>
      <c r="AW2814" s="1">
        <v>0.0</v>
      </c>
      <c r="AX2814" s="1">
        <v>6.0</v>
      </c>
      <c r="AY2814" s="1">
        <v>5.0</v>
      </c>
      <c r="BA2814" s="1">
        <v>0.0</v>
      </c>
      <c r="BB2814" s="1">
        <v>0.0</v>
      </c>
      <c r="BC2814" s="1">
        <v>0.0</v>
      </c>
      <c r="BD2814" s="1">
        <v>0.0</v>
      </c>
      <c r="BE2814" s="1">
        <v>0.0</v>
      </c>
      <c r="BF2814" s="1">
        <v>0.0</v>
      </c>
      <c r="BG2814" s="1">
        <v>0.0</v>
      </c>
      <c r="BH2814" s="1">
        <v>0.0</v>
      </c>
      <c r="BI2814" s="1">
        <v>0.0</v>
      </c>
      <c r="BJ2814" s="1">
        <v>0.0</v>
      </c>
      <c r="BP2814" s="1">
        <v>0.267</v>
      </c>
      <c r="BQ2814" s="1" t="s">
        <v>8054</v>
      </c>
      <c r="BV2814" s="1">
        <v>1.1</v>
      </c>
      <c r="EQ2814" s="9" t="s">
        <v>8634</v>
      </c>
      <c r="ER2814" s="21">
        <v>46045.30341435185</v>
      </c>
    </row>
    <row r="2815">
      <c r="A2815" s="9" t="s">
        <v>6867</v>
      </c>
      <c r="B2815" s="20" t="str">
        <f>IFERROR(__xludf.DUMMYFUNCTION("REGEXREPLACE(A2815, ""^https?://[^/]+"", """")"),"/?download=27893")</f>
        <v>/?download=27893</v>
      </c>
      <c r="F2815" s="1" t="s">
        <v>965</v>
      </c>
      <c r="G2815" s="1">
        <v>302.0</v>
      </c>
      <c r="H2815" s="1" t="s">
        <v>2980</v>
      </c>
      <c r="I2815" s="1" t="s">
        <v>1214</v>
      </c>
      <c r="J2815" s="1" t="s">
        <v>1305</v>
      </c>
      <c r="L2815" s="1">
        <v>0.0</v>
      </c>
      <c r="M2815" s="1">
        <v>0.0</v>
      </c>
      <c r="O2815" s="1">
        <v>0.0</v>
      </c>
      <c r="P2815" s="1">
        <v>0.0</v>
      </c>
      <c r="R2815" s="1">
        <v>0.0</v>
      </c>
      <c r="S2815" s="1">
        <v>0.0</v>
      </c>
      <c r="U2815" s="1">
        <v>0.0</v>
      </c>
      <c r="W2815" s="1">
        <v>0.0</v>
      </c>
      <c r="Y2815" s="1">
        <v>0.0</v>
      </c>
      <c r="AA2815" s="1">
        <v>0.0</v>
      </c>
      <c r="AC2815" s="1">
        <v>0.0</v>
      </c>
      <c r="AM2815" s="1">
        <v>0.0</v>
      </c>
      <c r="AN2815" s="1">
        <v>0.0</v>
      </c>
      <c r="AO2815" s="1">
        <v>0.0</v>
      </c>
      <c r="AP2815" s="1">
        <v>0.0</v>
      </c>
      <c r="AR2815" s="1">
        <v>0.0</v>
      </c>
      <c r="AW2815" s="1">
        <v>0.0</v>
      </c>
      <c r="AX2815" s="1">
        <v>6.0</v>
      </c>
      <c r="AY2815" s="1">
        <v>0.0</v>
      </c>
      <c r="BA2815" s="1">
        <v>0.0</v>
      </c>
      <c r="BB2815" s="1">
        <v>0.0</v>
      </c>
      <c r="BC2815" s="1">
        <v>0.0</v>
      </c>
      <c r="BD2815" s="1">
        <v>0.0</v>
      </c>
      <c r="BE2815" s="1">
        <v>0.0</v>
      </c>
      <c r="BF2815" s="1">
        <v>0.0</v>
      </c>
      <c r="BG2815" s="1">
        <v>0.0</v>
      </c>
      <c r="BH2815" s="1">
        <v>0.0</v>
      </c>
      <c r="BI2815" s="1">
        <v>0.0</v>
      </c>
      <c r="BJ2815" s="1">
        <v>0.0</v>
      </c>
      <c r="BP2815" s="1">
        <v>0.531</v>
      </c>
      <c r="BR2815" s="9" t="s">
        <v>8635</v>
      </c>
      <c r="BS2815" s="1" t="s">
        <v>1307</v>
      </c>
      <c r="BV2815" s="1">
        <v>1.1</v>
      </c>
      <c r="EQ2815" s="9" t="s">
        <v>6867</v>
      </c>
      <c r="ER2815" s="21">
        <v>46045.30341435185</v>
      </c>
    </row>
    <row r="2816">
      <c r="A2816" s="9" t="s">
        <v>8636</v>
      </c>
      <c r="B2816" s="20" t="str">
        <f>IFERROR(__xludf.DUMMYFUNCTION("REGEXREPLACE(A2816, ""^https?://[^/]+"", """")"),"/wp-content/uploads/2022/06/Client-Connection-300x300.jpg")</f>
        <v>/wp-content/uploads/2022/06/Client-Connection-300x300.jpg</v>
      </c>
      <c r="F2816" s="1" t="s">
        <v>1004</v>
      </c>
      <c r="G2816" s="1">
        <v>200.0</v>
      </c>
      <c r="H2816" s="1" t="s">
        <v>966</v>
      </c>
      <c r="I2816" s="1" t="s">
        <v>967</v>
      </c>
      <c r="L2816" s="1">
        <v>0.0</v>
      </c>
      <c r="M2816" s="1">
        <v>0.0</v>
      </c>
      <c r="O2816" s="1">
        <v>0.0</v>
      </c>
      <c r="P2816" s="1">
        <v>0.0</v>
      </c>
      <c r="R2816" s="1">
        <v>0.0</v>
      </c>
      <c r="S2816" s="1">
        <v>0.0</v>
      </c>
      <c r="U2816" s="1">
        <v>0.0</v>
      </c>
      <c r="W2816" s="1">
        <v>0.0</v>
      </c>
      <c r="Y2816" s="1">
        <v>0.0</v>
      </c>
      <c r="AA2816" s="1">
        <v>0.0</v>
      </c>
      <c r="AC2816" s="1">
        <v>0.0</v>
      </c>
      <c r="AM2816" s="1">
        <v>16301.0</v>
      </c>
      <c r="AN2816" s="1">
        <v>16301.0</v>
      </c>
      <c r="AO2816" s="1">
        <v>16301.0</v>
      </c>
      <c r="AP2816" s="1">
        <v>6.245</v>
      </c>
      <c r="AR2816" s="1">
        <v>0.0</v>
      </c>
      <c r="AW2816" s="1">
        <v>0.0</v>
      </c>
      <c r="AX2816" s="1">
        <v>6.0</v>
      </c>
      <c r="AY2816" s="1">
        <v>4.0</v>
      </c>
      <c r="BA2816" s="1">
        <v>0.0</v>
      </c>
      <c r="BB2816" s="1">
        <v>0.0</v>
      </c>
      <c r="BC2816" s="1">
        <v>0.0</v>
      </c>
      <c r="BD2816" s="1">
        <v>0.0</v>
      </c>
      <c r="BE2816" s="1">
        <v>0.0</v>
      </c>
      <c r="BF2816" s="1">
        <v>0.0</v>
      </c>
      <c r="BG2816" s="1">
        <v>0.0</v>
      </c>
      <c r="BH2816" s="1">
        <v>0.0</v>
      </c>
      <c r="BI2816" s="1">
        <v>0.0</v>
      </c>
      <c r="BJ2816" s="1">
        <v>0.0</v>
      </c>
      <c r="BP2816" s="1">
        <v>0.271</v>
      </c>
      <c r="BQ2816" s="1" t="s">
        <v>8637</v>
      </c>
      <c r="BV2816" s="1">
        <v>1.1</v>
      </c>
      <c r="EQ2816" s="9" t="s">
        <v>8636</v>
      </c>
      <c r="ER2816" s="21">
        <v>46045.30341435185</v>
      </c>
    </row>
    <row r="2817">
      <c r="A2817" s="9" t="s">
        <v>8638</v>
      </c>
      <c r="B2817" s="20" t="str">
        <f>IFERROR(__xludf.DUMMYFUNCTION("REGEXREPLACE(A2817, ""^https?://[^/]+"", """")"),"/retired-fired-or-fired-up-the-new-vp-of-sales-opportunity/")</f>
        <v>/retired-fired-or-fired-up-the-new-vp-of-sales-opportunity/</v>
      </c>
      <c r="C2817" s="1" t="s">
        <v>8639</v>
      </c>
      <c r="F2817" s="1" t="s">
        <v>965</v>
      </c>
      <c r="G2817" s="1">
        <v>200.0</v>
      </c>
      <c r="H2817" s="1" t="s">
        <v>966</v>
      </c>
      <c r="I2817" s="1" t="s">
        <v>967</v>
      </c>
      <c r="K2817" s="1" t="s">
        <v>8640</v>
      </c>
      <c r="L2817" s="1">
        <v>85.0</v>
      </c>
      <c r="M2817" s="1">
        <v>759.0</v>
      </c>
      <c r="O2817" s="1">
        <v>0.0</v>
      </c>
      <c r="P2817" s="1">
        <v>0.0</v>
      </c>
      <c r="Q2817" s="1" t="s">
        <v>8641</v>
      </c>
      <c r="R2817" s="1">
        <v>154.0</v>
      </c>
      <c r="S2817" s="1">
        <v>974.0</v>
      </c>
      <c r="U2817" s="1">
        <v>0.0</v>
      </c>
      <c r="V2817" s="1" t="s">
        <v>8639</v>
      </c>
      <c r="W2817" s="1">
        <v>60.0</v>
      </c>
      <c r="Y2817" s="1">
        <v>0.0</v>
      </c>
      <c r="AA2817" s="1">
        <v>0.0</v>
      </c>
      <c r="AC2817" s="1">
        <v>0.0</v>
      </c>
      <c r="AD2817" s="1" t="s">
        <v>971</v>
      </c>
      <c r="AG2817" s="9" t="s">
        <v>8638</v>
      </c>
      <c r="AM2817" s="1">
        <v>202212.0</v>
      </c>
      <c r="AN2817" s="1">
        <v>36815.0</v>
      </c>
      <c r="AO2817" s="1">
        <v>36815.0</v>
      </c>
      <c r="AP2817" s="1">
        <v>14.103</v>
      </c>
      <c r="AR2817" s="1">
        <v>1662.0</v>
      </c>
      <c r="AS2817" s="1">
        <v>250.0</v>
      </c>
      <c r="AT2817" s="1">
        <v>6.648</v>
      </c>
      <c r="AU2817" s="1">
        <v>67.486</v>
      </c>
      <c r="AV2817" s="1" t="s">
        <v>990</v>
      </c>
      <c r="AW2817" s="1">
        <v>6.184</v>
      </c>
      <c r="AX2817" s="1">
        <v>6.0</v>
      </c>
      <c r="AY2817" s="1">
        <v>1.0</v>
      </c>
      <c r="AZ2817" s="1">
        <v>1.0</v>
      </c>
      <c r="BA2817" s="1">
        <v>1.0</v>
      </c>
      <c r="BB2817" s="1">
        <v>1.0</v>
      </c>
      <c r="BC2817" s="1">
        <v>0.0</v>
      </c>
      <c r="BD2817" s="1">
        <v>0.13</v>
      </c>
      <c r="BE2817" s="1">
        <v>132.0</v>
      </c>
      <c r="BF2817" s="1">
        <v>49.0</v>
      </c>
      <c r="BG2817" s="1">
        <v>0.0</v>
      </c>
      <c r="BH2817" s="1">
        <v>17.0</v>
      </c>
      <c r="BI2817" s="1">
        <v>9.0</v>
      </c>
      <c r="BJ2817" s="1">
        <v>0.0</v>
      </c>
      <c r="BO2817" s="1" t="s">
        <v>8642</v>
      </c>
      <c r="BP2817" s="1">
        <v>1.029</v>
      </c>
      <c r="BU2817" s="1" t="s">
        <v>974</v>
      </c>
      <c r="BV2817" s="1">
        <v>1.1</v>
      </c>
      <c r="EQ2817" s="9" t="s">
        <v>8638</v>
      </c>
      <c r="ER2817" s="21">
        <v>46045.303402777776</v>
      </c>
    </row>
    <row r="2818">
      <c r="A2818" s="9" t="s">
        <v>8643</v>
      </c>
      <c r="B2818" s="20" t="str">
        <f>IFERROR(__xludf.DUMMYFUNCTION("REGEXREPLACE(A2818, ""^https?://[^/]+"", """")"),"/wp-content/uploads/2022/06/Business-Meeting-300x300.jpg")</f>
        <v>/wp-content/uploads/2022/06/Business-Meeting-300x300.jpg</v>
      </c>
      <c r="F2818" s="1" t="s">
        <v>1004</v>
      </c>
      <c r="G2818" s="1">
        <v>200.0</v>
      </c>
      <c r="H2818" s="1" t="s">
        <v>966</v>
      </c>
      <c r="I2818" s="1" t="s">
        <v>967</v>
      </c>
      <c r="L2818" s="1">
        <v>0.0</v>
      </c>
      <c r="M2818" s="1">
        <v>0.0</v>
      </c>
      <c r="O2818" s="1">
        <v>0.0</v>
      </c>
      <c r="P2818" s="1">
        <v>0.0</v>
      </c>
      <c r="R2818" s="1">
        <v>0.0</v>
      </c>
      <c r="S2818" s="1">
        <v>0.0</v>
      </c>
      <c r="U2818" s="1">
        <v>0.0</v>
      </c>
      <c r="W2818" s="1">
        <v>0.0</v>
      </c>
      <c r="Y2818" s="1">
        <v>0.0</v>
      </c>
      <c r="AA2818" s="1">
        <v>0.0</v>
      </c>
      <c r="AC2818" s="1">
        <v>0.0</v>
      </c>
      <c r="AM2818" s="1">
        <v>20537.0</v>
      </c>
      <c r="AN2818" s="1">
        <v>20537.0</v>
      </c>
      <c r="AO2818" s="1">
        <v>20537.0</v>
      </c>
      <c r="AP2818" s="1">
        <v>7.867</v>
      </c>
      <c r="AR2818" s="1">
        <v>0.0</v>
      </c>
      <c r="AW2818" s="1">
        <v>0.0</v>
      </c>
      <c r="AX2818" s="1">
        <v>6.0</v>
      </c>
      <c r="AY2818" s="1">
        <v>4.0</v>
      </c>
      <c r="BA2818" s="1">
        <v>0.0</v>
      </c>
      <c r="BB2818" s="1">
        <v>0.0</v>
      </c>
      <c r="BC2818" s="1">
        <v>0.0</v>
      </c>
      <c r="BD2818" s="1">
        <v>0.0</v>
      </c>
      <c r="BE2818" s="1">
        <v>0.0</v>
      </c>
      <c r="BF2818" s="1">
        <v>0.0</v>
      </c>
      <c r="BG2818" s="1">
        <v>0.0</v>
      </c>
      <c r="BH2818" s="1">
        <v>0.0</v>
      </c>
      <c r="BI2818" s="1">
        <v>0.0</v>
      </c>
      <c r="BJ2818" s="1">
        <v>0.0</v>
      </c>
      <c r="BP2818" s="1">
        <v>0.273</v>
      </c>
      <c r="BQ2818" s="1" t="s">
        <v>8644</v>
      </c>
      <c r="BV2818" s="1">
        <v>1.1</v>
      </c>
      <c r="EQ2818" s="9" t="s">
        <v>8643</v>
      </c>
      <c r="ER2818" s="21">
        <v>46045.30341435185</v>
      </c>
    </row>
    <row r="2819">
      <c r="A2819" s="9" t="s">
        <v>8645</v>
      </c>
      <c r="B2819" s="20" t="str">
        <f>IFERROR(__xludf.DUMMYFUNCTION("REGEXREPLACE(A2819, ""^https?://[^/]+"", """")"),"/wp-content/uploads/2023/02/sales-leaders-working-together-300x200.jpg")</f>
        <v>/wp-content/uploads/2023/02/sales-leaders-working-together-300x200.jpg</v>
      </c>
      <c r="F2819" s="1" t="s">
        <v>1004</v>
      </c>
      <c r="G2819" s="1">
        <v>200.0</v>
      </c>
      <c r="H2819" s="1" t="s">
        <v>966</v>
      </c>
      <c r="I2819" s="1" t="s">
        <v>967</v>
      </c>
      <c r="L2819" s="1">
        <v>0.0</v>
      </c>
      <c r="M2819" s="1">
        <v>0.0</v>
      </c>
      <c r="O2819" s="1">
        <v>0.0</v>
      </c>
      <c r="P2819" s="1">
        <v>0.0</v>
      </c>
      <c r="R2819" s="1">
        <v>0.0</v>
      </c>
      <c r="S2819" s="1">
        <v>0.0</v>
      </c>
      <c r="U2819" s="1">
        <v>0.0</v>
      </c>
      <c r="W2819" s="1">
        <v>0.0</v>
      </c>
      <c r="Y2819" s="1">
        <v>0.0</v>
      </c>
      <c r="AA2819" s="1">
        <v>0.0</v>
      </c>
      <c r="AC2819" s="1">
        <v>0.0</v>
      </c>
      <c r="AM2819" s="1">
        <v>18349.0</v>
      </c>
      <c r="AN2819" s="1">
        <v>18349.0</v>
      </c>
      <c r="AO2819" s="1">
        <v>18349.0</v>
      </c>
      <c r="AP2819" s="1">
        <v>7.029</v>
      </c>
      <c r="AR2819" s="1">
        <v>0.0</v>
      </c>
      <c r="AW2819" s="1">
        <v>0.0</v>
      </c>
      <c r="AX2819" s="1">
        <v>6.0</v>
      </c>
      <c r="AY2819" s="1">
        <v>4.0</v>
      </c>
      <c r="BA2819" s="1">
        <v>0.0</v>
      </c>
      <c r="BB2819" s="1">
        <v>0.0</v>
      </c>
      <c r="BC2819" s="1">
        <v>0.0</v>
      </c>
      <c r="BD2819" s="1">
        <v>0.0</v>
      </c>
      <c r="BE2819" s="1">
        <v>0.0</v>
      </c>
      <c r="BF2819" s="1">
        <v>0.0</v>
      </c>
      <c r="BG2819" s="1">
        <v>0.0</v>
      </c>
      <c r="BH2819" s="1">
        <v>0.0</v>
      </c>
      <c r="BI2819" s="1">
        <v>0.0</v>
      </c>
      <c r="BJ2819" s="1">
        <v>0.0</v>
      </c>
      <c r="BP2819" s="1">
        <v>0.266</v>
      </c>
      <c r="BQ2819" s="1" t="s">
        <v>8646</v>
      </c>
      <c r="BV2819" s="1">
        <v>1.1</v>
      </c>
      <c r="EQ2819" s="9" t="s">
        <v>8645</v>
      </c>
      <c r="ER2819" s="21">
        <v>46045.30341435185</v>
      </c>
    </row>
    <row r="2820">
      <c r="A2820" s="9" t="s">
        <v>8647</v>
      </c>
      <c r="B2820" s="20" t="str">
        <f>IFERROR(__xludf.DUMMYFUNCTION("REGEXREPLACE(A2820, ""^https?://[^/]+"", """")"),"/wp-content/uploads/2022/05/Sales-Lifecycle-300x300.jpg")</f>
        <v>/wp-content/uploads/2022/05/Sales-Lifecycle-300x300.jpg</v>
      </c>
      <c r="F2820" s="1" t="s">
        <v>1004</v>
      </c>
      <c r="G2820" s="1">
        <v>200.0</v>
      </c>
      <c r="H2820" s="1" t="s">
        <v>966</v>
      </c>
      <c r="I2820" s="1" t="s">
        <v>967</v>
      </c>
      <c r="L2820" s="1">
        <v>0.0</v>
      </c>
      <c r="M2820" s="1">
        <v>0.0</v>
      </c>
      <c r="O2820" s="1">
        <v>0.0</v>
      </c>
      <c r="P2820" s="1">
        <v>0.0</v>
      </c>
      <c r="R2820" s="1">
        <v>0.0</v>
      </c>
      <c r="S2820" s="1">
        <v>0.0</v>
      </c>
      <c r="U2820" s="1">
        <v>0.0</v>
      </c>
      <c r="W2820" s="1">
        <v>0.0</v>
      </c>
      <c r="Y2820" s="1">
        <v>0.0</v>
      </c>
      <c r="AA2820" s="1">
        <v>0.0</v>
      </c>
      <c r="AC2820" s="1">
        <v>0.0</v>
      </c>
      <c r="AM2820" s="1">
        <v>17406.0</v>
      </c>
      <c r="AN2820" s="1">
        <v>17406.0</v>
      </c>
      <c r="AO2820" s="1">
        <v>17406.0</v>
      </c>
      <c r="AP2820" s="1">
        <v>6.668</v>
      </c>
      <c r="AR2820" s="1">
        <v>0.0</v>
      </c>
      <c r="AW2820" s="1">
        <v>0.0</v>
      </c>
      <c r="AX2820" s="1">
        <v>6.0</v>
      </c>
      <c r="AY2820" s="1">
        <v>4.0</v>
      </c>
      <c r="BA2820" s="1">
        <v>0.0</v>
      </c>
      <c r="BB2820" s="1">
        <v>0.0</v>
      </c>
      <c r="BC2820" s="1">
        <v>0.0</v>
      </c>
      <c r="BD2820" s="1">
        <v>0.0</v>
      </c>
      <c r="BE2820" s="1">
        <v>0.0</v>
      </c>
      <c r="BF2820" s="1">
        <v>0.0</v>
      </c>
      <c r="BG2820" s="1">
        <v>0.0</v>
      </c>
      <c r="BH2820" s="1">
        <v>0.0</v>
      </c>
      <c r="BI2820" s="1">
        <v>0.0</v>
      </c>
      <c r="BJ2820" s="1">
        <v>0.0</v>
      </c>
      <c r="BP2820" s="1">
        <v>0.307</v>
      </c>
      <c r="BQ2820" s="1" t="s">
        <v>8275</v>
      </c>
      <c r="BV2820" s="1">
        <v>1.1</v>
      </c>
      <c r="EQ2820" s="9" t="s">
        <v>8647</v>
      </c>
      <c r="ER2820" s="21">
        <v>46045.30341435185</v>
      </c>
    </row>
    <row r="2821">
      <c r="A2821" s="9" t="s">
        <v>8648</v>
      </c>
      <c r="B2821" s="20" t="str">
        <f>IFERROR(__xludf.DUMMYFUNCTION("REGEXREPLACE(A2821, ""^https?://[^/]+"", """")"),"/wp-content/uploads/2022/05/Key-Performance-Indicators-300x200.jpg")</f>
        <v>/wp-content/uploads/2022/05/Key-Performance-Indicators-300x200.jpg</v>
      </c>
      <c r="F2821" s="1" t="s">
        <v>1004</v>
      </c>
      <c r="G2821" s="1">
        <v>200.0</v>
      </c>
      <c r="H2821" s="1" t="s">
        <v>966</v>
      </c>
      <c r="I2821" s="1" t="s">
        <v>967</v>
      </c>
      <c r="L2821" s="1">
        <v>0.0</v>
      </c>
      <c r="M2821" s="1">
        <v>0.0</v>
      </c>
      <c r="O2821" s="1">
        <v>0.0</v>
      </c>
      <c r="P2821" s="1">
        <v>0.0</v>
      </c>
      <c r="R2821" s="1">
        <v>0.0</v>
      </c>
      <c r="S2821" s="1">
        <v>0.0</v>
      </c>
      <c r="U2821" s="1">
        <v>0.0</v>
      </c>
      <c r="W2821" s="1">
        <v>0.0</v>
      </c>
      <c r="Y2821" s="1">
        <v>0.0</v>
      </c>
      <c r="AA2821" s="1">
        <v>0.0</v>
      </c>
      <c r="AC2821" s="1">
        <v>0.0</v>
      </c>
      <c r="AM2821" s="1">
        <v>20727.0</v>
      </c>
      <c r="AN2821" s="1">
        <v>20727.0</v>
      </c>
      <c r="AO2821" s="1">
        <v>20727.0</v>
      </c>
      <c r="AP2821" s="1">
        <v>7.94</v>
      </c>
      <c r="AR2821" s="1">
        <v>0.0</v>
      </c>
      <c r="AW2821" s="1">
        <v>0.0</v>
      </c>
      <c r="AX2821" s="1">
        <v>6.0</v>
      </c>
      <c r="AY2821" s="1">
        <v>4.0</v>
      </c>
      <c r="BA2821" s="1">
        <v>0.0</v>
      </c>
      <c r="BB2821" s="1">
        <v>0.0</v>
      </c>
      <c r="BC2821" s="1">
        <v>0.0</v>
      </c>
      <c r="BD2821" s="1">
        <v>0.0</v>
      </c>
      <c r="BE2821" s="1">
        <v>0.0</v>
      </c>
      <c r="BF2821" s="1">
        <v>0.0</v>
      </c>
      <c r="BG2821" s="1">
        <v>0.0</v>
      </c>
      <c r="BH2821" s="1">
        <v>0.0</v>
      </c>
      <c r="BI2821" s="1">
        <v>0.0</v>
      </c>
      <c r="BJ2821" s="1">
        <v>0.0</v>
      </c>
      <c r="BP2821" s="1">
        <v>0.353</v>
      </c>
      <c r="BQ2821" s="1" t="s">
        <v>8649</v>
      </c>
      <c r="BV2821" s="1">
        <v>1.1</v>
      </c>
      <c r="EQ2821" s="9" t="s">
        <v>8648</v>
      </c>
      <c r="ER2821" s="21">
        <v>46045.30342592593</v>
      </c>
    </row>
    <row r="2822">
      <c r="A2822" s="9" t="s">
        <v>8650</v>
      </c>
      <c r="B2822" s="20" t="str">
        <f>IFERROR(__xludf.DUMMYFUNCTION("REGEXREPLACE(A2822, ""^https?://[^/]+"", """")"),"/wp-content/themes/salesxceleratione/assets/css/style.css?ver=1769123783")</f>
        <v>/wp-content/themes/salesxceleratione/assets/css/style.css?ver=1769123783</v>
      </c>
      <c r="F2822" s="1" t="s">
        <v>1016</v>
      </c>
      <c r="G2822" s="1">
        <v>200.0</v>
      </c>
      <c r="H2822" s="1" t="s">
        <v>966</v>
      </c>
      <c r="I2822" s="1" t="s">
        <v>967</v>
      </c>
      <c r="L2822" s="1">
        <v>0.0</v>
      </c>
      <c r="M2822" s="1">
        <v>0.0</v>
      </c>
      <c r="O2822" s="1">
        <v>0.0</v>
      </c>
      <c r="P2822" s="1">
        <v>0.0</v>
      </c>
      <c r="R2822" s="1">
        <v>0.0</v>
      </c>
      <c r="S2822" s="1">
        <v>0.0</v>
      </c>
      <c r="U2822" s="1">
        <v>0.0</v>
      </c>
      <c r="W2822" s="1">
        <v>0.0</v>
      </c>
      <c r="Y2822" s="1">
        <v>0.0</v>
      </c>
      <c r="AA2822" s="1">
        <v>0.0</v>
      </c>
      <c r="AC2822" s="1">
        <v>0.0</v>
      </c>
      <c r="AM2822" s="1">
        <v>17704.0</v>
      </c>
      <c r="AN2822" s="1">
        <v>17704.0</v>
      </c>
      <c r="AO2822" s="1">
        <v>17704.0</v>
      </c>
      <c r="AP2822" s="1">
        <v>6.782</v>
      </c>
      <c r="AR2822" s="1">
        <v>0.0</v>
      </c>
      <c r="AW2822" s="1">
        <v>0.0</v>
      </c>
      <c r="AX2822" s="1">
        <v>6.0</v>
      </c>
      <c r="AY2822" s="1">
        <v>5.0</v>
      </c>
      <c r="BA2822" s="1">
        <v>0.0</v>
      </c>
      <c r="BB2822" s="1">
        <v>0.0</v>
      </c>
      <c r="BC2822" s="1">
        <v>0.0</v>
      </c>
      <c r="BD2822" s="1">
        <v>0.0</v>
      </c>
      <c r="BE2822" s="1">
        <v>0.0</v>
      </c>
      <c r="BF2822" s="1">
        <v>0.0</v>
      </c>
      <c r="BG2822" s="1">
        <v>0.0</v>
      </c>
      <c r="BH2822" s="1">
        <v>0.0</v>
      </c>
      <c r="BI2822" s="1">
        <v>0.0</v>
      </c>
      <c r="BJ2822" s="1">
        <v>0.0</v>
      </c>
      <c r="BP2822" s="1">
        <v>0.277</v>
      </c>
      <c r="BQ2822" s="1" t="s">
        <v>8651</v>
      </c>
      <c r="BV2822" s="1">
        <v>1.1</v>
      </c>
      <c r="EQ2822" s="9" t="s">
        <v>8650</v>
      </c>
      <c r="ER2822" s="21">
        <v>46045.30342592593</v>
      </c>
    </row>
    <row r="2823">
      <c r="A2823" s="9" t="s">
        <v>8652</v>
      </c>
      <c r="B2823" s="20" t="str">
        <f>IFERROR(__xludf.DUMMYFUNCTION("REGEXREPLACE(A2823, ""^https?://[^/]+"", """")"),"/wp-content/uploads/2022/11/Sales-Management-300x161.jpg")</f>
        <v>/wp-content/uploads/2022/11/Sales-Management-300x161.jpg</v>
      </c>
      <c r="F2823" s="1" t="s">
        <v>1004</v>
      </c>
      <c r="G2823" s="1">
        <v>200.0</v>
      </c>
      <c r="H2823" s="1" t="s">
        <v>966</v>
      </c>
      <c r="I2823" s="1" t="s">
        <v>967</v>
      </c>
      <c r="L2823" s="1">
        <v>0.0</v>
      </c>
      <c r="M2823" s="1">
        <v>0.0</v>
      </c>
      <c r="O2823" s="1">
        <v>0.0</v>
      </c>
      <c r="P2823" s="1">
        <v>0.0</v>
      </c>
      <c r="R2823" s="1">
        <v>0.0</v>
      </c>
      <c r="S2823" s="1">
        <v>0.0</v>
      </c>
      <c r="U2823" s="1">
        <v>0.0</v>
      </c>
      <c r="W2823" s="1">
        <v>0.0</v>
      </c>
      <c r="Y2823" s="1">
        <v>0.0</v>
      </c>
      <c r="AA2823" s="1">
        <v>0.0</v>
      </c>
      <c r="AC2823" s="1">
        <v>0.0</v>
      </c>
      <c r="AM2823" s="1">
        <v>9468.0</v>
      </c>
      <c r="AN2823" s="1">
        <v>9468.0</v>
      </c>
      <c r="AO2823" s="1">
        <v>9468.0</v>
      </c>
      <c r="AP2823" s="1">
        <v>3.627</v>
      </c>
      <c r="AR2823" s="1">
        <v>0.0</v>
      </c>
      <c r="AW2823" s="1">
        <v>0.0</v>
      </c>
      <c r="AX2823" s="1">
        <v>6.0</v>
      </c>
      <c r="AY2823" s="1">
        <v>4.0</v>
      </c>
      <c r="BA2823" s="1">
        <v>0.0</v>
      </c>
      <c r="BB2823" s="1">
        <v>0.0</v>
      </c>
      <c r="BC2823" s="1">
        <v>0.0</v>
      </c>
      <c r="BD2823" s="1">
        <v>0.0</v>
      </c>
      <c r="BE2823" s="1">
        <v>0.0</v>
      </c>
      <c r="BF2823" s="1">
        <v>0.0</v>
      </c>
      <c r="BG2823" s="1">
        <v>0.0</v>
      </c>
      <c r="BH2823" s="1">
        <v>0.0</v>
      </c>
      <c r="BI2823" s="1">
        <v>0.0</v>
      </c>
      <c r="BJ2823" s="1">
        <v>0.0</v>
      </c>
      <c r="BP2823" s="1">
        <v>0.268</v>
      </c>
      <c r="BQ2823" s="1" t="s">
        <v>8653</v>
      </c>
      <c r="BV2823" s="1">
        <v>1.1</v>
      </c>
      <c r="EQ2823" s="9" t="s">
        <v>8652</v>
      </c>
      <c r="ER2823" s="21">
        <v>46045.30342592593</v>
      </c>
    </row>
    <row r="2824">
      <c r="A2824" s="9" t="s">
        <v>8654</v>
      </c>
      <c r="B2824" s="20" t="str">
        <f>IFERROR(__xludf.DUMMYFUNCTION("REGEXREPLACE(A2824, ""^https?://[^/]+"", """")"),"/5-sales-management-questions/")</f>
        <v>/5-sales-management-questions/</v>
      </c>
      <c r="C2824" s="1" t="s">
        <v>8655</v>
      </c>
      <c r="D2824" s="1" t="s">
        <v>8656</v>
      </c>
      <c r="F2824" s="1" t="s">
        <v>965</v>
      </c>
      <c r="G2824" s="1">
        <v>200.0</v>
      </c>
      <c r="H2824" s="1" t="s">
        <v>966</v>
      </c>
      <c r="I2824" s="1" t="s">
        <v>967</v>
      </c>
      <c r="K2824" s="1" t="s">
        <v>8657</v>
      </c>
      <c r="L2824" s="1">
        <v>53.0</v>
      </c>
      <c r="M2824" s="1">
        <v>499.0</v>
      </c>
      <c r="O2824" s="1">
        <v>0.0</v>
      </c>
      <c r="P2824" s="1">
        <v>0.0</v>
      </c>
      <c r="Q2824" s="1" t="s">
        <v>8658</v>
      </c>
      <c r="R2824" s="1">
        <v>129.0</v>
      </c>
      <c r="S2824" s="1">
        <v>787.0</v>
      </c>
      <c r="U2824" s="1">
        <v>0.0</v>
      </c>
      <c r="V2824" s="1" t="s">
        <v>8655</v>
      </c>
      <c r="W2824" s="1">
        <v>28.0</v>
      </c>
      <c r="Y2824" s="1">
        <v>0.0</v>
      </c>
      <c r="Z2824" s="1" t="s">
        <v>8656</v>
      </c>
      <c r="AA2824" s="1">
        <v>35.0</v>
      </c>
      <c r="AC2824" s="1">
        <v>0.0</v>
      </c>
      <c r="AD2824" s="1" t="s">
        <v>971</v>
      </c>
      <c r="AG2824" s="9" t="s">
        <v>8654</v>
      </c>
      <c r="AM2824" s="1">
        <v>199465.0</v>
      </c>
      <c r="AN2824" s="1">
        <v>34930.0</v>
      </c>
      <c r="AO2824" s="1">
        <v>34930.0</v>
      </c>
      <c r="AP2824" s="1">
        <v>13.381</v>
      </c>
      <c r="AR2824" s="1">
        <v>1309.0</v>
      </c>
      <c r="AS2824" s="1">
        <v>206.0</v>
      </c>
      <c r="AT2824" s="1">
        <v>6.354</v>
      </c>
      <c r="AU2824" s="1">
        <v>67.184</v>
      </c>
      <c r="AV2824" s="1" t="s">
        <v>990</v>
      </c>
      <c r="AW2824" s="1">
        <v>5.21</v>
      </c>
      <c r="AX2824" s="1">
        <v>6.0</v>
      </c>
      <c r="AY2824" s="1">
        <v>1.0</v>
      </c>
      <c r="AZ2824" s="1">
        <v>1.0</v>
      </c>
      <c r="BA2824" s="1">
        <v>3.0</v>
      </c>
      <c r="BB2824" s="1">
        <v>1.0</v>
      </c>
      <c r="BC2824" s="1">
        <v>0.0</v>
      </c>
      <c r="BD2824" s="1">
        <v>0.13</v>
      </c>
      <c r="BE2824" s="1">
        <v>130.0</v>
      </c>
      <c r="BF2824" s="1">
        <v>47.0</v>
      </c>
      <c r="BG2824" s="1">
        <v>0.0</v>
      </c>
      <c r="BH2824" s="1">
        <v>16.0</v>
      </c>
      <c r="BI2824" s="1">
        <v>8.0</v>
      </c>
      <c r="BJ2824" s="1">
        <v>0.0</v>
      </c>
      <c r="BO2824" s="1" t="s">
        <v>8659</v>
      </c>
      <c r="BP2824" s="1">
        <v>1.085</v>
      </c>
      <c r="BU2824" s="1" t="s">
        <v>974</v>
      </c>
      <c r="BV2824" s="1">
        <v>1.1</v>
      </c>
      <c r="EQ2824" s="9" t="s">
        <v>8654</v>
      </c>
      <c r="ER2824" s="21">
        <v>46045.30341435185</v>
      </c>
    </row>
    <row r="2825">
      <c r="A2825" s="9" t="s">
        <v>8660</v>
      </c>
      <c r="B2825" s="20" t="str">
        <f>IFERROR(__xludf.DUMMYFUNCTION("REGEXREPLACE(A2825, ""^https?://[^/]+"", """")"),"/wp-content/uploads/2022/09/Climbing-Mount-Whitney-California-300x200.jpg")</f>
        <v>/wp-content/uploads/2022/09/Climbing-Mount-Whitney-California-300x200.jpg</v>
      </c>
      <c r="F2825" s="1" t="s">
        <v>1004</v>
      </c>
      <c r="G2825" s="1">
        <v>200.0</v>
      </c>
      <c r="H2825" s="1" t="s">
        <v>966</v>
      </c>
      <c r="I2825" s="1" t="s">
        <v>967</v>
      </c>
      <c r="L2825" s="1">
        <v>0.0</v>
      </c>
      <c r="M2825" s="1">
        <v>0.0</v>
      </c>
      <c r="O2825" s="1">
        <v>0.0</v>
      </c>
      <c r="P2825" s="1">
        <v>0.0</v>
      </c>
      <c r="R2825" s="1">
        <v>0.0</v>
      </c>
      <c r="S2825" s="1">
        <v>0.0</v>
      </c>
      <c r="U2825" s="1">
        <v>0.0</v>
      </c>
      <c r="W2825" s="1">
        <v>0.0</v>
      </c>
      <c r="Y2825" s="1">
        <v>0.0</v>
      </c>
      <c r="AA2825" s="1">
        <v>0.0</v>
      </c>
      <c r="AC2825" s="1">
        <v>0.0</v>
      </c>
      <c r="AM2825" s="1">
        <v>16230.0</v>
      </c>
      <c r="AN2825" s="1">
        <v>16230.0</v>
      </c>
      <c r="AO2825" s="1">
        <v>16230.0</v>
      </c>
      <c r="AP2825" s="1">
        <v>6.217</v>
      </c>
      <c r="AR2825" s="1">
        <v>0.0</v>
      </c>
      <c r="AW2825" s="1">
        <v>0.0</v>
      </c>
      <c r="AX2825" s="1">
        <v>6.0</v>
      </c>
      <c r="AY2825" s="1">
        <v>4.0</v>
      </c>
      <c r="BA2825" s="1">
        <v>0.0</v>
      </c>
      <c r="BB2825" s="1">
        <v>0.0</v>
      </c>
      <c r="BC2825" s="1">
        <v>0.0</v>
      </c>
      <c r="BD2825" s="1">
        <v>0.0</v>
      </c>
      <c r="BE2825" s="1">
        <v>0.0</v>
      </c>
      <c r="BF2825" s="1">
        <v>0.0</v>
      </c>
      <c r="BG2825" s="1">
        <v>0.0</v>
      </c>
      <c r="BH2825" s="1">
        <v>0.0</v>
      </c>
      <c r="BI2825" s="1">
        <v>0.0</v>
      </c>
      <c r="BJ2825" s="1">
        <v>0.0</v>
      </c>
      <c r="BP2825" s="1">
        <v>0.271</v>
      </c>
      <c r="BQ2825" s="1" t="s">
        <v>8661</v>
      </c>
      <c r="BV2825" s="1">
        <v>1.1</v>
      </c>
      <c r="EQ2825" s="9" t="s">
        <v>8660</v>
      </c>
      <c r="ER2825" s="21">
        <v>46045.30342592593</v>
      </c>
    </row>
    <row r="2826">
      <c r="A2826" s="9" t="s">
        <v>8662</v>
      </c>
      <c r="B2826" s="20" t="str">
        <f>IFERROR(__xludf.DUMMYFUNCTION("REGEXREPLACE(A2826, ""^https?://[^/]+"", """")"),"/wp-content/uploads/2023/04/Sales-Team-discussing-recession-300x218.jpg")</f>
        <v>/wp-content/uploads/2023/04/Sales-Team-discussing-recession-300x218.jpg</v>
      </c>
      <c r="F2826" s="1" t="s">
        <v>1004</v>
      </c>
      <c r="G2826" s="1">
        <v>200.0</v>
      </c>
      <c r="H2826" s="1" t="s">
        <v>966</v>
      </c>
      <c r="I2826" s="1" t="s">
        <v>967</v>
      </c>
      <c r="L2826" s="1">
        <v>0.0</v>
      </c>
      <c r="M2826" s="1">
        <v>0.0</v>
      </c>
      <c r="O2826" s="1">
        <v>0.0</v>
      </c>
      <c r="P2826" s="1">
        <v>0.0</v>
      </c>
      <c r="R2826" s="1">
        <v>0.0</v>
      </c>
      <c r="S2826" s="1">
        <v>0.0</v>
      </c>
      <c r="U2826" s="1">
        <v>0.0</v>
      </c>
      <c r="W2826" s="1">
        <v>0.0</v>
      </c>
      <c r="Y2826" s="1">
        <v>0.0</v>
      </c>
      <c r="AA2826" s="1">
        <v>0.0</v>
      </c>
      <c r="AC2826" s="1">
        <v>0.0</v>
      </c>
      <c r="AM2826" s="1">
        <v>23666.0</v>
      </c>
      <c r="AN2826" s="1">
        <v>23666.0</v>
      </c>
      <c r="AO2826" s="1">
        <v>23666.0</v>
      </c>
      <c r="AP2826" s="1">
        <v>9.066</v>
      </c>
      <c r="AR2826" s="1">
        <v>0.0</v>
      </c>
      <c r="AW2826" s="1">
        <v>0.0</v>
      </c>
      <c r="AX2826" s="1">
        <v>6.0</v>
      </c>
      <c r="AY2826" s="1">
        <v>4.0</v>
      </c>
      <c r="BA2826" s="1">
        <v>0.0</v>
      </c>
      <c r="BB2826" s="1">
        <v>0.0</v>
      </c>
      <c r="BC2826" s="1">
        <v>0.0</v>
      </c>
      <c r="BD2826" s="1">
        <v>0.0</v>
      </c>
      <c r="BE2826" s="1">
        <v>0.0</v>
      </c>
      <c r="BF2826" s="1">
        <v>0.0</v>
      </c>
      <c r="BG2826" s="1">
        <v>0.0</v>
      </c>
      <c r="BH2826" s="1">
        <v>0.0</v>
      </c>
      <c r="BI2826" s="1">
        <v>0.0</v>
      </c>
      <c r="BJ2826" s="1">
        <v>0.0</v>
      </c>
      <c r="BP2826" s="1">
        <v>0.284</v>
      </c>
      <c r="BQ2826" s="1" t="s">
        <v>8663</v>
      </c>
      <c r="BV2826" s="1">
        <v>1.1</v>
      </c>
      <c r="EQ2826" s="9" t="s">
        <v>8662</v>
      </c>
      <c r="ER2826" s="21">
        <v>46045.30342592593</v>
      </c>
    </row>
    <row r="2827">
      <c r="A2827" s="9" t="s">
        <v>8664</v>
      </c>
      <c r="B2827" s="20" t="str">
        <f>IFERROR(__xludf.DUMMYFUNCTION("REGEXREPLACE(A2827, ""^https?://[^/]+"", """")"),"/wp-content/uploads/2023/04/Sales-Leaders-Working-in-Office-300x200.jpg")</f>
        <v>/wp-content/uploads/2023/04/Sales-Leaders-Working-in-Office-300x200.jpg</v>
      </c>
      <c r="F2827" s="1" t="s">
        <v>1004</v>
      </c>
      <c r="G2827" s="1">
        <v>200.0</v>
      </c>
      <c r="H2827" s="1" t="s">
        <v>966</v>
      </c>
      <c r="I2827" s="1" t="s">
        <v>967</v>
      </c>
      <c r="L2827" s="1">
        <v>0.0</v>
      </c>
      <c r="M2827" s="1">
        <v>0.0</v>
      </c>
      <c r="O2827" s="1">
        <v>0.0</v>
      </c>
      <c r="P2827" s="1">
        <v>0.0</v>
      </c>
      <c r="R2827" s="1">
        <v>0.0</v>
      </c>
      <c r="S2827" s="1">
        <v>0.0</v>
      </c>
      <c r="U2827" s="1">
        <v>0.0</v>
      </c>
      <c r="W2827" s="1">
        <v>0.0</v>
      </c>
      <c r="Y2827" s="1">
        <v>0.0</v>
      </c>
      <c r="AA2827" s="1">
        <v>0.0</v>
      </c>
      <c r="AC2827" s="1">
        <v>0.0</v>
      </c>
      <c r="AM2827" s="1">
        <v>15905.0</v>
      </c>
      <c r="AN2827" s="1">
        <v>15905.0</v>
      </c>
      <c r="AO2827" s="1">
        <v>15905.0</v>
      </c>
      <c r="AP2827" s="1">
        <v>6.093</v>
      </c>
      <c r="AR2827" s="1">
        <v>0.0</v>
      </c>
      <c r="AW2827" s="1">
        <v>0.0</v>
      </c>
      <c r="AX2827" s="1">
        <v>6.0</v>
      </c>
      <c r="AY2827" s="1">
        <v>4.0</v>
      </c>
      <c r="BA2827" s="1">
        <v>0.0</v>
      </c>
      <c r="BB2827" s="1">
        <v>0.0</v>
      </c>
      <c r="BC2827" s="1">
        <v>0.0</v>
      </c>
      <c r="BD2827" s="1">
        <v>0.0</v>
      </c>
      <c r="BE2827" s="1">
        <v>0.0</v>
      </c>
      <c r="BF2827" s="1">
        <v>0.0</v>
      </c>
      <c r="BG2827" s="1">
        <v>0.0</v>
      </c>
      <c r="BH2827" s="1">
        <v>0.0</v>
      </c>
      <c r="BI2827" s="1">
        <v>0.0</v>
      </c>
      <c r="BJ2827" s="1">
        <v>0.0</v>
      </c>
      <c r="BP2827" s="1">
        <v>0.269</v>
      </c>
      <c r="BQ2827" s="1" t="s">
        <v>8665</v>
      </c>
      <c r="BV2827" s="1">
        <v>1.1</v>
      </c>
      <c r="EQ2827" s="9" t="s">
        <v>8664</v>
      </c>
      <c r="ER2827" s="21">
        <v>46045.3034375</v>
      </c>
    </row>
    <row r="2828">
      <c r="A2828" s="9" t="s">
        <v>8666</v>
      </c>
      <c r="B2828" s="20" t="str">
        <f>IFERROR(__xludf.DUMMYFUNCTION("REGEXREPLACE(A2828, ""^https?://[^/]+"", """")"),"/wp-content/themes/salesxceleratione/assets/css/style.css?ver=1769123782")</f>
        <v>/wp-content/themes/salesxceleratione/assets/css/style.css?ver=1769123782</v>
      </c>
      <c r="F2828" s="1" t="s">
        <v>1016</v>
      </c>
      <c r="G2828" s="1">
        <v>200.0</v>
      </c>
      <c r="H2828" s="1" t="s">
        <v>966</v>
      </c>
      <c r="I2828" s="1" t="s">
        <v>967</v>
      </c>
      <c r="L2828" s="1">
        <v>0.0</v>
      </c>
      <c r="M2828" s="1">
        <v>0.0</v>
      </c>
      <c r="O2828" s="1">
        <v>0.0</v>
      </c>
      <c r="P2828" s="1">
        <v>0.0</v>
      </c>
      <c r="R2828" s="1">
        <v>0.0</v>
      </c>
      <c r="S2828" s="1">
        <v>0.0</v>
      </c>
      <c r="U2828" s="1">
        <v>0.0</v>
      </c>
      <c r="W2828" s="1">
        <v>0.0</v>
      </c>
      <c r="Y2828" s="1">
        <v>0.0</v>
      </c>
      <c r="AA2828" s="1">
        <v>0.0</v>
      </c>
      <c r="AC2828" s="1">
        <v>0.0</v>
      </c>
      <c r="AM2828" s="1">
        <v>17704.0</v>
      </c>
      <c r="AN2828" s="1">
        <v>17704.0</v>
      </c>
      <c r="AO2828" s="1">
        <v>17704.0</v>
      </c>
      <c r="AP2828" s="1">
        <v>6.782</v>
      </c>
      <c r="AR2828" s="1">
        <v>0.0</v>
      </c>
      <c r="AW2828" s="1">
        <v>0.0</v>
      </c>
      <c r="AX2828" s="1">
        <v>6.0</v>
      </c>
      <c r="AY2828" s="1">
        <v>5.0</v>
      </c>
      <c r="BA2828" s="1">
        <v>0.0</v>
      </c>
      <c r="BB2828" s="1">
        <v>0.0</v>
      </c>
      <c r="BC2828" s="1">
        <v>0.0</v>
      </c>
      <c r="BD2828" s="1">
        <v>0.0</v>
      </c>
      <c r="BE2828" s="1">
        <v>0.0</v>
      </c>
      <c r="BF2828" s="1">
        <v>0.0</v>
      </c>
      <c r="BG2828" s="1">
        <v>0.0</v>
      </c>
      <c r="BH2828" s="1">
        <v>0.0</v>
      </c>
      <c r="BI2828" s="1">
        <v>0.0</v>
      </c>
      <c r="BJ2828" s="1">
        <v>0.0</v>
      </c>
      <c r="BP2828" s="1">
        <v>0.247</v>
      </c>
      <c r="BQ2828" s="1" t="s">
        <v>8667</v>
      </c>
      <c r="BV2828" s="1">
        <v>1.1</v>
      </c>
      <c r="EQ2828" s="9" t="s">
        <v>8666</v>
      </c>
      <c r="ER2828" s="21">
        <v>46045.3034375</v>
      </c>
    </row>
    <row r="2829">
      <c r="A2829" s="9" t="s">
        <v>8668</v>
      </c>
      <c r="B2829" s="20" t="str">
        <f>IFERROR(__xludf.DUMMYFUNCTION("REGEXREPLACE(A2829, ""^https?://[^/]+"", """")"),"/believing-in-the-sales-lifecycle-part-3-solutioning-overcoming-buying-reticence-and-after-gaining-the-buy/")</f>
        <v>/believing-in-the-sales-lifecycle-part-3-solutioning-overcoming-buying-reticence-and-after-gaining-the-buy/</v>
      </c>
      <c r="C2829" s="1" t="s">
        <v>8669</v>
      </c>
      <c r="D2829" s="1" t="s">
        <v>8670</v>
      </c>
      <c r="E2829" s="1" t="s">
        <v>8671</v>
      </c>
      <c r="F2829" s="1" t="s">
        <v>965</v>
      </c>
      <c r="G2829" s="1">
        <v>200.0</v>
      </c>
      <c r="H2829" s="1" t="s">
        <v>966</v>
      </c>
      <c r="I2829" s="1" t="s">
        <v>967</v>
      </c>
      <c r="K2829" s="1" t="s">
        <v>8672</v>
      </c>
      <c r="L2829" s="1">
        <v>134.0</v>
      </c>
      <c r="M2829" s="1">
        <v>1172.0</v>
      </c>
      <c r="O2829" s="1">
        <v>0.0</v>
      </c>
      <c r="P2829" s="1">
        <v>0.0</v>
      </c>
      <c r="Q2829" s="1" t="s">
        <v>8673</v>
      </c>
      <c r="R2829" s="1">
        <v>115.0</v>
      </c>
      <c r="S2829" s="1">
        <v>688.0</v>
      </c>
      <c r="U2829" s="1">
        <v>0.0</v>
      </c>
      <c r="V2829" s="1" t="s">
        <v>8669</v>
      </c>
      <c r="W2829" s="1">
        <v>109.0</v>
      </c>
      <c r="Y2829" s="1">
        <v>0.0</v>
      </c>
      <c r="Z2829" s="1" t="s">
        <v>8670</v>
      </c>
      <c r="AA2829" s="1">
        <v>11.0</v>
      </c>
      <c r="AB2829" s="1" t="s">
        <v>8671</v>
      </c>
      <c r="AC2829" s="1">
        <v>16.0</v>
      </c>
      <c r="AD2829" s="1" t="s">
        <v>971</v>
      </c>
      <c r="AG2829" s="9" t="s">
        <v>8668</v>
      </c>
      <c r="AM2829" s="1">
        <v>202383.0</v>
      </c>
      <c r="AN2829" s="1">
        <v>36345.0</v>
      </c>
      <c r="AO2829" s="1">
        <v>36345.0</v>
      </c>
      <c r="AP2829" s="1">
        <v>13.923</v>
      </c>
      <c r="AR2829" s="1">
        <v>1537.0</v>
      </c>
      <c r="AS2829" s="1">
        <v>228.0</v>
      </c>
      <c r="AT2829" s="1">
        <v>6.741</v>
      </c>
      <c r="AU2829" s="1">
        <v>68.662</v>
      </c>
      <c r="AV2829" s="1" t="s">
        <v>990</v>
      </c>
      <c r="AW2829" s="1">
        <v>5.782</v>
      </c>
      <c r="AX2829" s="1">
        <v>6.0</v>
      </c>
      <c r="AY2829" s="1">
        <v>1.0</v>
      </c>
      <c r="AZ2829" s="1">
        <v>1.0</v>
      </c>
      <c r="BA2829" s="1">
        <v>3.0</v>
      </c>
      <c r="BB2829" s="1">
        <v>1.0</v>
      </c>
      <c r="BC2829" s="1">
        <v>0.0</v>
      </c>
      <c r="BD2829" s="1">
        <v>0.13</v>
      </c>
      <c r="BE2829" s="1">
        <v>131.0</v>
      </c>
      <c r="BF2829" s="1">
        <v>49.0</v>
      </c>
      <c r="BG2829" s="1">
        <v>0.0</v>
      </c>
      <c r="BH2829" s="1">
        <v>16.0</v>
      </c>
      <c r="BI2829" s="1">
        <v>8.0</v>
      </c>
      <c r="BJ2829" s="1">
        <v>0.0</v>
      </c>
      <c r="BO2829" s="1" t="s">
        <v>8674</v>
      </c>
      <c r="BP2829" s="1">
        <v>1.074</v>
      </c>
      <c r="BU2829" s="1" t="s">
        <v>974</v>
      </c>
      <c r="BV2829" s="1">
        <v>1.1</v>
      </c>
      <c r="EQ2829" s="9" t="s">
        <v>8668</v>
      </c>
      <c r="ER2829" s="21">
        <v>46045.30342592593</v>
      </c>
    </row>
    <row r="2830">
      <c r="A2830" s="9" t="s">
        <v>8675</v>
      </c>
      <c r="B2830" s="20" t="str">
        <f>IFERROR(__xludf.DUMMYFUNCTION("REGEXREPLACE(A2830, ""^https?://[^/]+"", """")"),"/believing-in-the-sales-lifecycle-part-2-the-connection/")</f>
        <v>/believing-in-the-sales-lifecycle-part-2-the-connection/</v>
      </c>
      <c r="C2830" s="1" t="s">
        <v>8676</v>
      </c>
      <c r="D2830" s="1" t="s">
        <v>8677</v>
      </c>
      <c r="E2830" s="1" t="s">
        <v>8678</v>
      </c>
      <c r="F2830" s="1" t="s">
        <v>965</v>
      </c>
      <c r="G2830" s="1">
        <v>200.0</v>
      </c>
      <c r="H2830" s="1" t="s">
        <v>966</v>
      </c>
      <c r="I2830" s="1" t="s">
        <v>967</v>
      </c>
      <c r="K2830" s="1" t="s">
        <v>8679</v>
      </c>
      <c r="L2830" s="1">
        <v>81.0</v>
      </c>
      <c r="M2830" s="1">
        <v>702.0</v>
      </c>
      <c r="O2830" s="1">
        <v>0.0</v>
      </c>
      <c r="P2830" s="1">
        <v>0.0</v>
      </c>
      <c r="Q2830" s="1" t="s">
        <v>8680</v>
      </c>
      <c r="R2830" s="1">
        <v>105.0</v>
      </c>
      <c r="S2830" s="1">
        <v>642.0</v>
      </c>
      <c r="U2830" s="1">
        <v>0.0</v>
      </c>
      <c r="V2830" s="1" t="s">
        <v>8676</v>
      </c>
      <c r="W2830" s="1">
        <v>56.0</v>
      </c>
      <c r="Y2830" s="1">
        <v>0.0</v>
      </c>
      <c r="Z2830" s="1" t="s">
        <v>8677</v>
      </c>
      <c r="AA2830" s="1">
        <v>14.0</v>
      </c>
      <c r="AB2830" s="1" t="s">
        <v>8678</v>
      </c>
      <c r="AC2830" s="1">
        <v>27.0</v>
      </c>
      <c r="AD2830" s="1" t="s">
        <v>971</v>
      </c>
      <c r="AG2830" s="9" t="s">
        <v>8675</v>
      </c>
      <c r="AM2830" s="1">
        <v>199486.0</v>
      </c>
      <c r="AN2830" s="1">
        <v>35496.0</v>
      </c>
      <c r="AO2830" s="1">
        <v>35496.0</v>
      </c>
      <c r="AP2830" s="1">
        <v>13.598</v>
      </c>
      <c r="AR2830" s="1">
        <v>1273.0</v>
      </c>
      <c r="AS2830" s="1">
        <v>197.0</v>
      </c>
      <c r="AT2830" s="1">
        <v>6.462</v>
      </c>
      <c r="AU2830" s="1">
        <v>72.28</v>
      </c>
      <c r="AV2830" s="1" t="s">
        <v>1264</v>
      </c>
      <c r="AW2830" s="1">
        <v>5.043</v>
      </c>
      <c r="AX2830" s="1">
        <v>6.0</v>
      </c>
      <c r="AY2830" s="1">
        <v>1.0</v>
      </c>
      <c r="AZ2830" s="1">
        <v>1.0</v>
      </c>
      <c r="BA2830" s="1">
        <v>4.0</v>
      </c>
      <c r="BB2830" s="1">
        <v>2.0</v>
      </c>
      <c r="BC2830" s="1">
        <v>0.0</v>
      </c>
      <c r="BD2830" s="1">
        <v>0.27</v>
      </c>
      <c r="BE2830" s="1">
        <v>130.0</v>
      </c>
      <c r="BF2830" s="1">
        <v>48.0</v>
      </c>
      <c r="BG2830" s="1">
        <v>0.0</v>
      </c>
      <c r="BH2830" s="1">
        <v>16.0</v>
      </c>
      <c r="BI2830" s="1">
        <v>8.0</v>
      </c>
      <c r="BJ2830" s="1">
        <v>0.0</v>
      </c>
      <c r="BO2830" s="1" t="s">
        <v>8681</v>
      </c>
      <c r="BP2830" s="1">
        <v>1.007</v>
      </c>
      <c r="BU2830" s="1" t="s">
        <v>974</v>
      </c>
      <c r="BV2830" s="1">
        <v>1.1</v>
      </c>
      <c r="EQ2830" s="9" t="s">
        <v>8675</v>
      </c>
      <c r="ER2830" s="21">
        <v>46045.30342592593</v>
      </c>
    </row>
    <row r="2831">
      <c r="A2831" s="9" t="s">
        <v>8023</v>
      </c>
      <c r="B2831" s="20" t="str">
        <f>IFERROR(__xludf.DUMMYFUNCTION("REGEXREPLACE(A2831, ""^https?://[^/]+"", """")"),"/hiring-skills-assessment")</f>
        <v>/hiring-skills-assessment</v>
      </c>
      <c r="F2831" s="1" t="s">
        <v>2930</v>
      </c>
      <c r="G2831" s="1">
        <v>301.0</v>
      </c>
      <c r="H2831" s="1" t="s">
        <v>1304</v>
      </c>
      <c r="I2831" s="1" t="s">
        <v>1214</v>
      </c>
      <c r="J2831" s="1" t="s">
        <v>1305</v>
      </c>
      <c r="L2831" s="1">
        <v>0.0</v>
      </c>
      <c r="M2831" s="1">
        <v>0.0</v>
      </c>
      <c r="O2831" s="1">
        <v>0.0</v>
      </c>
      <c r="P2831" s="1">
        <v>0.0</v>
      </c>
      <c r="R2831" s="1">
        <v>0.0</v>
      </c>
      <c r="S2831" s="1">
        <v>0.0</v>
      </c>
      <c r="U2831" s="1">
        <v>0.0</v>
      </c>
      <c r="W2831" s="1">
        <v>0.0</v>
      </c>
      <c r="Y2831" s="1">
        <v>0.0</v>
      </c>
      <c r="AA2831" s="1">
        <v>0.0</v>
      </c>
      <c r="AC2831" s="1">
        <v>0.0</v>
      </c>
      <c r="AM2831" s="1">
        <v>0.0</v>
      </c>
      <c r="AN2831" s="1">
        <v>0.0</v>
      </c>
      <c r="AO2831" s="1">
        <v>0.0</v>
      </c>
      <c r="AP2831" s="1">
        <v>0.0</v>
      </c>
      <c r="AR2831" s="1">
        <v>0.0</v>
      </c>
      <c r="AW2831" s="1">
        <v>0.0</v>
      </c>
      <c r="AX2831" s="1">
        <v>6.0</v>
      </c>
      <c r="AY2831" s="1">
        <v>0.0</v>
      </c>
      <c r="BA2831" s="1">
        <v>0.0</v>
      </c>
      <c r="BB2831" s="1">
        <v>0.0</v>
      </c>
      <c r="BC2831" s="1">
        <v>0.0</v>
      </c>
      <c r="BD2831" s="1">
        <v>0.0</v>
      </c>
      <c r="BE2831" s="1">
        <v>0.0</v>
      </c>
      <c r="BF2831" s="1">
        <v>0.0</v>
      </c>
      <c r="BG2831" s="1">
        <v>0.0</v>
      </c>
      <c r="BH2831" s="1">
        <v>0.0</v>
      </c>
      <c r="BI2831" s="1">
        <v>0.0</v>
      </c>
      <c r="BJ2831" s="1">
        <v>0.0</v>
      </c>
      <c r="BP2831" s="1">
        <v>0.25</v>
      </c>
      <c r="BR2831" s="9" t="s">
        <v>2931</v>
      </c>
      <c r="BS2831" s="1" t="s">
        <v>1307</v>
      </c>
      <c r="BV2831" s="1">
        <v>1.1</v>
      </c>
      <c r="EQ2831" s="9" t="s">
        <v>8023</v>
      </c>
      <c r="ER2831" s="21">
        <v>46045.3034375</v>
      </c>
    </row>
    <row r="2832">
      <c r="A2832" s="9" t="s">
        <v>8682</v>
      </c>
      <c r="B2832" s="20" t="str">
        <f>IFERROR(__xludf.DUMMYFUNCTION("REGEXREPLACE(A2832, ""^https?://[^/]+"", """")"),"/wp-content/themes/salesxceleratione/assets/css/style.css?ver=1769123781")</f>
        <v>/wp-content/themes/salesxceleratione/assets/css/style.css?ver=1769123781</v>
      </c>
      <c r="F2832" s="1" t="s">
        <v>1016</v>
      </c>
      <c r="G2832" s="1">
        <v>200.0</v>
      </c>
      <c r="H2832" s="1" t="s">
        <v>966</v>
      </c>
      <c r="I2832" s="1" t="s">
        <v>967</v>
      </c>
      <c r="L2832" s="1">
        <v>0.0</v>
      </c>
      <c r="M2832" s="1">
        <v>0.0</v>
      </c>
      <c r="O2832" s="1">
        <v>0.0</v>
      </c>
      <c r="P2832" s="1">
        <v>0.0</v>
      </c>
      <c r="R2832" s="1">
        <v>0.0</v>
      </c>
      <c r="S2832" s="1">
        <v>0.0</v>
      </c>
      <c r="U2832" s="1">
        <v>0.0</v>
      </c>
      <c r="W2832" s="1">
        <v>0.0</v>
      </c>
      <c r="Y2832" s="1">
        <v>0.0</v>
      </c>
      <c r="AA2832" s="1">
        <v>0.0</v>
      </c>
      <c r="AC2832" s="1">
        <v>0.0</v>
      </c>
      <c r="AM2832" s="1">
        <v>17704.0</v>
      </c>
      <c r="AN2832" s="1">
        <v>17704.0</v>
      </c>
      <c r="AO2832" s="1">
        <v>17704.0</v>
      </c>
      <c r="AP2832" s="1">
        <v>6.782</v>
      </c>
      <c r="AR2832" s="1">
        <v>0.0</v>
      </c>
      <c r="AW2832" s="1">
        <v>0.0</v>
      </c>
      <c r="AX2832" s="1">
        <v>6.0</v>
      </c>
      <c r="AY2832" s="1">
        <v>5.0</v>
      </c>
      <c r="BA2832" s="1">
        <v>0.0</v>
      </c>
      <c r="BB2832" s="1">
        <v>0.0</v>
      </c>
      <c r="BC2832" s="1">
        <v>0.0</v>
      </c>
      <c r="BD2832" s="1">
        <v>0.0</v>
      </c>
      <c r="BE2832" s="1">
        <v>0.0</v>
      </c>
      <c r="BF2832" s="1">
        <v>0.0</v>
      </c>
      <c r="BG2832" s="1">
        <v>0.0</v>
      </c>
      <c r="BH2832" s="1">
        <v>0.0</v>
      </c>
      <c r="BI2832" s="1">
        <v>0.0</v>
      </c>
      <c r="BJ2832" s="1">
        <v>0.0</v>
      </c>
      <c r="BP2832" s="1">
        <v>0.275</v>
      </c>
      <c r="BQ2832" s="1" t="s">
        <v>8683</v>
      </c>
      <c r="BV2832" s="1">
        <v>1.1</v>
      </c>
      <c r="EQ2832" s="9" t="s">
        <v>8682</v>
      </c>
      <c r="ER2832" s="21">
        <v>46045.3034375</v>
      </c>
    </row>
    <row r="2833">
      <c r="A2833" s="9" t="s">
        <v>8684</v>
      </c>
      <c r="B2833" s="20" t="str">
        <f>IFERROR(__xludf.DUMMYFUNCTION("REGEXREPLACE(A2833, ""^https?://[^/]+"", """")"),"/wp-content/themes/salesxceleratione/assets/css/style.css?ver=1769123779")</f>
        <v>/wp-content/themes/salesxceleratione/assets/css/style.css?ver=1769123779</v>
      </c>
      <c r="F2833" s="1" t="s">
        <v>1016</v>
      </c>
      <c r="G2833" s="1">
        <v>200.0</v>
      </c>
      <c r="H2833" s="1" t="s">
        <v>966</v>
      </c>
      <c r="I2833" s="1" t="s">
        <v>967</v>
      </c>
      <c r="L2833" s="1">
        <v>0.0</v>
      </c>
      <c r="M2833" s="1">
        <v>0.0</v>
      </c>
      <c r="O2833" s="1">
        <v>0.0</v>
      </c>
      <c r="P2833" s="1">
        <v>0.0</v>
      </c>
      <c r="R2833" s="1">
        <v>0.0</v>
      </c>
      <c r="S2833" s="1">
        <v>0.0</v>
      </c>
      <c r="U2833" s="1">
        <v>0.0</v>
      </c>
      <c r="W2833" s="1">
        <v>0.0</v>
      </c>
      <c r="Y2833" s="1">
        <v>0.0</v>
      </c>
      <c r="AA2833" s="1">
        <v>0.0</v>
      </c>
      <c r="AC2833" s="1">
        <v>0.0</v>
      </c>
      <c r="AM2833" s="1">
        <v>17704.0</v>
      </c>
      <c r="AN2833" s="1">
        <v>17704.0</v>
      </c>
      <c r="AO2833" s="1">
        <v>17704.0</v>
      </c>
      <c r="AP2833" s="1">
        <v>6.782</v>
      </c>
      <c r="AR2833" s="1">
        <v>0.0</v>
      </c>
      <c r="AW2833" s="1">
        <v>0.0</v>
      </c>
      <c r="AX2833" s="1">
        <v>6.0</v>
      </c>
      <c r="AY2833" s="1">
        <v>5.0</v>
      </c>
      <c r="BA2833" s="1">
        <v>0.0</v>
      </c>
      <c r="BB2833" s="1">
        <v>0.0</v>
      </c>
      <c r="BC2833" s="1">
        <v>0.0</v>
      </c>
      <c r="BD2833" s="1">
        <v>0.0</v>
      </c>
      <c r="BE2833" s="1">
        <v>0.0</v>
      </c>
      <c r="BF2833" s="1">
        <v>0.0</v>
      </c>
      <c r="BG2833" s="1">
        <v>0.0</v>
      </c>
      <c r="BH2833" s="1">
        <v>0.0</v>
      </c>
      <c r="BI2833" s="1">
        <v>0.0</v>
      </c>
      <c r="BJ2833" s="1">
        <v>0.0</v>
      </c>
      <c r="BP2833" s="1">
        <v>0.291</v>
      </c>
      <c r="BQ2833" s="1" t="s">
        <v>8683</v>
      </c>
      <c r="BV2833" s="1">
        <v>1.1</v>
      </c>
      <c r="EQ2833" s="9" t="s">
        <v>8684</v>
      </c>
      <c r="ER2833" s="21">
        <v>46045.3034375</v>
      </c>
    </row>
    <row r="2834">
      <c r="A2834" s="9" t="s">
        <v>8685</v>
      </c>
      <c r="B2834" s="20" t="str">
        <f>IFERROR(__xludf.DUMMYFUNCTION("REGEXREPLACE(A2834, ""^https?://[^/]+"", """")"),"/wp-content/uploads/elementor/css/post-21363.css?ver=1768849823")</f>
        <v>/wp-content/uploads/elementor/css/post-21363.css?ver=1768849823</v>
      </c>
      <c r="F2834" s="1" t="s">
        <v>1016</v>
      </c>
      <c r="G2834" s="1">
        <v>200.0</v>
      </c>
      <c r="H2834" s="1" t="s">
        <v>966</v>
      </c>
      <c r="I2834" s="1" t="s">
        <v>967</v>
      </c>
      <c r="L2834" s="1">
        <v>0.0</v>
      </c>
      <c r="M2834" s="1">
        <v>0.0</v>
      </c>
      <c r="O2834" s="1">
        <v>0.0</v>
      </c>
      <c r="P2834" s="1">
        <v>0.0</v>
      </c>
      <c r="R2834" s="1">
        <v>0.0</v>
      </c>
      <c r="S2834" s="1">
        <v>0.0</v>
      </c>
      <c r="U2834" s="1">
        <v>0.0</v>
      </c>
      <c r="W2834" s="1">
        <v>0.0</v>
      </c>
      <c r="Y2834" s="1">
        <v>0.0</v>
      </c>
      <c r="AA2834" s="1">
        <v>0.0</v>
      </c>
      <c r="AC2834" s="1">
        <v>0.0</v>
      </c>
      <c r="AM2834" s="1">
        <v>413.0</v>
      </c>
      <c r="AN2834" s="1">
        <v>413.0</v>
      </c>
      <c r="AO2834" s="1">
        <v>413.0</v>
      </c>
      <c r="AP2834" s="1">
        <v>0.158</v>
      </c>
      <c r="AR2834" s="1">
        <v>0.0</v>
      </c>
      <c r="AW2834" s="1">
        <v>0.0</v>
      </c>
      <c r="AX2834" s="1">
        <v>6.0</v>
      </c>
      <c r="AY2834" s="1">
        <v>4.0</v>
      </c>
      <c r="BA2834" s="1">
        <v>0.0</v>
      </c>
      <c r="BB2834" s="1">
        <v>0.0</v>
      </c>
      <c r="BC2834" s="1">
        <v>0.0</v>
      </c>
      <c r="BD2834" s="1">
        <v>0.0</v>
      </c>
      <c r="BE2834" s="1">
        <v>0.0</v>
      </c>
      <c r="BF2834" s="1">
        <v>0.0</v>
      </c>
      <c r="BG2834" s="1">
        <v>0.0</v>
      </c>
      <c r="BH2834" s="1">
        <v>0.0</v>
      </c>
      <c r="BI2834" s="1">
        <v>0.0</v>
      </c>
      <c r="BJ2834" s="1">
        <v>0.0</v>
      </c>
      <c r="BP2834" s="1">
        <v>0.303</v>
      </c>
      <c r="BQ2834" s="1" t="s">
        <v>8686</v>
      </c>
      <c r="BV2834" s="1">
        <v>1.1</v>
      </c>
      <c r="EQ2834" s="9" t="s">
        <v>8685</v>
      </c>
      <c r="ER2834" s="21">
        <v>46045.303449074076</v>
      </c>
    </row>
    <row r="2835">
      <c r="A2835" s="9" t="s">
        <v>8019</v>
      </c>
      <c r="B2835" s="20" t="str">
        <f>IFERROR(__xludf.DUMMYFUNCTION("REGEXREPLACE(A2835, ""^https?://[^/]+"", """")"),"/fueling-sales-by-building-the-best-sales-engine-part-1")</f>
        <v>/fueling-sales-by-building-the-best-sales-engine-part-1</v>
      </c>
      <c r="F2835" s="1" t="s">
        <v>965</v>
      </c>
      <c r="G2835" s="1">
        <v>301.0</v>
      </c>
      <c r="H2835" s="1" t="s">
        <v>1304</v>
      </c>
      <c r="I2835" s="1" t="s">
        <v>1214</v>
      </c>
      <c r="J2835" s="1" t="s">
        <v>1305</v>
      </c>
      <c r="L2835" s="1">
        <v>0.0</v>
      </c>
      <c r="M2835" s="1">
        <v>0.0</v>
      </c>
      <c r="O2835" s="1">
        <v>0.0</v>
      </c>
      <c r="P2835" s="1">
        <v>0.0</v>
      </c>
      <c r="R2835" s="1">
        <v>0.0</v>
      </c>
      <c r="S2835" s="1">
        <v>0.0</v>
      </c>
      <c r="U2835" s="1">
        <v>0.0</v>
      </c>
      <c r="W2835" s="1">
        <v>0.0</v>
      </c>
      <c r="Y2835" s="1">
        <v>0.0</v>
      </c>
      <c r="AA2835" s="1">
        <v>0.0</v>
      </c>
      <c r="AC2835" s="1">
        <v>0.0</v>
      </c>
      <c r="AM2835" s="1">
        <v>0.0</v>
      </c>
      <c r="AN2835" s="1">
        <v>0.0</v>
      </c>
      <c r="AO2835" s="1">
        <v>0.0</v>
      </c>
      <c r="AP2835" s="1">
        <v>0.0</v>
      </c>
      <c r="AR2835" s="1">
        <v>0.0</v>
      </c>
      <c r="AW2835" s="1">
        <v>0.0</v>
      </c>
      <c r="AX2835" s="1">
        <v>6.0</v>
      </c>
      <c r="AY2835" s="1">
        <v>0.0</v>
      </c>
      <c r="BA2835" s="1">
        <v>0.0</v>
      </c>
      <c r="BB2835" s="1">
        <v>0.0</v>
      </c>
      <c r="BC2835" s="1">
        <v>0.0</v>
      </c>
      <c r="BD2835" s="1">
        <v>0.0</v>
      </c>
      <c r="BE2835" s="1">
        <v>0.0</v>
      </c>
      <c r="BF2835" s="1">
        <v>0.0</v>
      </c>
      <c r="BG2835" s="1">
        <v>0.0</v>
      </c>
      <c r="BH2835" s="1">
        <v>0.0</v>
      </c>
      <c r="BI2835" s="1">
        <v>0.0</v>
      </c>
      <c r="BJ2835" s="1">
        <v>0.0</v>
      </c>
      <c r="BP2835" s="1">
        <v>0.627</v>
      </c>
      <c r="BR2835" s="9" t="s">
        <v>6442</v>
      </c>
      <c r="BS2835" s="1" t="s">
        <v>1307</v>
      </c>
      <c r="BV2835" s="1">
        <v>1.1</v>
      </c>
      <c r="EQ2835" s="9" t="s">
        <v>8019</v>
      </c>
      <c r="ER2835" s="21">
        <v>46045.3034375</v>
      </c>
    </row>
    <row r="2836">
      <c r="A2836" s="9" t="s">
        <v>8687</v>
      </c>
      <c r="B2836" s="20" t="str">
        <f>IFERROR(__xludf.DUMMYFUNCTION("REGEXREPLACE(A2836, ""^https?://[^/]+"", """")"),"/wp-content/uploads/elementor/css/post-21241.css?ver=1768917369")</f>
        <v>/wp-content/uploads/elementor/css/post-21241.css?ver=1768917369</v>
      </c>
      <c r="F2836" s="1" t="s">
        <v>1016</v>
      </c>
      <c r="G2836" s="1">
        <v>200.0</v>
      </c>
      <c r="H2836" s="1" t="s">
        <v>966</v>
      </c>
      <c r="I2836" s="1" t="s">
        <v>967</v>
      </c>
      <c r="L2836" s="1">
        <v>0.0</v>
      </c>
      <c r="M2836" s="1">
        <v>0.0</v>
      </c>
      <c r="O2836" s="1">
        <v>0.0</v>
      </c>
      <c r="P2836" s="1">
        <v>0.0</v>
      </c>
      <c r="R2836" s="1">
        <v>0.0</v>
      </c>
      <c r="S2836" s="1">
        <v>0.0</v>
      </c>
      <c r="U2836" s="1">
        <v>0.0</v>
      </c>
      <c r="W2836" s="1">
        <v>0.0</v>
      </c>
      <c r="Y2836" s="1">
        <v>0.0</v>
      </c>
      <c r="AA2836" s="1">
        <v>0.0</v>
      </c>
      <c r="AC2836" s="1">
        <v>0.0</v>
      </c>
      <c r="AM2836" s="1">
        <v>435.0</v>
      </c>
      <c r="AN2836" s="1">
        <v>435.0</v>
      </c>
      <c r="AO2836" s="1">
        <v>435.0</v>
      </c>
      <c r="AP2836" s="1">
        <v>0.167</v>
      </c>
      <c r="AR2836" s="1">
        <v>0.0</v>
      </c>
      <c r="AW2836" s="1">
        <v>0.0</v>
      </c>
      <c r="AX2836" s="1">
        <v>6.0</v>
      </c>
      <c r="AY2836" s="1">
        <v>4.0</v>
      </c>
      <c r="BA2836" s="1">
        <v>0.0</v>
      </c>
      <c r="BB2836" s="1">
        <v>0.0</v>
      </c>
      <c r="BC2836" s="1">
        <v>0.0</v>
      </c>
      <c r="BD2836" s="1">
        <v>0.0</v>
      </c>
      <c r="BE2836" s="1">
        <v>0.0</v>
      </c>
      <c r="BF2836" s="1">
        <v>0.0</v>
      </c>
      <c r="BG2836" s="1">
        <v>0.0</v>
      </c>
      <c r="BH2836" s="1">
        <v>0.0</v>
      </c>
      <c r="BI2836" s="1">
        <v>0.0</v>
      </c>
      <c r="BJ2836" s="1">
        <v>0.0</v>
      </c>
      <c r="BP2836" s="1">
        <v>0.347</v>
      </c>
      <c r="BQ2836" s="1" t="s">
        <v>8688</v>
      </c>
      <c r="BV2836" s="1">
        <v>1.1</v>
      </c>
      <c r="EQ2836" s="9" t="s">
        <v>8687</v>
      </c>
      <c r="ER2836" s="21">
        <v>46045.303449074076</v>
      </c>
    </row>
    <row r="2837">
      <c r="A2837" s="9" t="s">
        <v>8689</v>
      </c>
      <c r="B2837" s="20" t="str">
        <f>IFERROR(__xludf.DUMMYFUNCTION("REGEXREPLACE(A2837, ""^https?://[^/]+"", """")"),"/wp-content/themes/salesxceleratione/assets/css/style.css?ver=1769123775")</f>
        <v>/wp-content/themes/salesxceleratione/assets/css/style.css?ver=1769123775</v>
      </c>
      <c r="F2837" s="1" t="s">
        <v>1016</v>
      </c>
      <c r="G2837" s="1">
        <v>200.0</v>
      </c>
      <c r="H2837" s="1" t="s">
        <v>966</v>
      </c>
      <c r="I2837" s="1" t="s">
        <v>967</v>
      </c>
      <c r="L2837" s="1">
        <v>0.0</v>
      </c>
      <c r="M2837" s="1">
        <v>0.0</v>
      </c>
      <c r="O2837" s="1">
        <v>0.0</v>
      </c>
      <c r="P2837" s="1">
        <v>0.0</v>
      </c>
      <c r="R2837" s="1">
        <v>0.0</v>
      </c>
      <c r="S2837" s="1">
        <v>0.0</v>
      </c>
      <c r="U2837" s="1">
        <v>0.0</v>
      </c>
      <c r="W2837" s="1">
        <v>0.0</v>
      </c>
      <c r="Y2837" s="1">
        <v>0.0</v>
      </c>
      <c r="AA2837" s="1">
        <v>0.0</v>
      </c>
      <c r="AC2837" s="1">
        <v>0.0</v>
      </c>
      <c r="AM2837" s="1">
        <v>17704.0</v>
      </c>
      <c r="AN2837" s="1">
        <v>17704.0</v>
      </c>
      <c r="AO2837" s="1">
        <v>17704.0</v>
      </c>
      <c r="AP2837" s="1">
        <v>6.782</v>
      </c>
      <c r="AR2837" s="1">
        <v>0.0</v>
      </c>
      <c r="AW2837" s="1">
        <v>0.0</v>
      </c>
      <c r="AX2837" s="1">
        <v>6.0</v>
      </c>
      <c r="AY2837" s="1">
        <v>5.0</v>
      </c>
      <c r="BA2837" s="1">
        <v>0.0</v>
      </c>
      <c r="BB2837" s="1">
        <v>0.0</v>
      </c>
      <c r="BC2837" s="1">
        <v>0.0</v>
      </c>
      <c r="BD2837" s="1">
        <v>0.0</v>
      </c>
      <c r="BE2837" s="1">
        <v>0.0</v>
      </c>
      <c r="BF2837" s="1">
        <v>0.0</v>
      </c>
      <c r="BG2837" s="1">
        <v>0.0</v>
      </c>
      <c r="BH2837" s="1">
        <v>0.0</v>
      </c>
      <c r="BI2837" s="1">
        <v>0.0</v>
      </c>
      <c r="BJ2837" s="1">
        <v>0.0</v>
      </c>
      <c r="BP2837" s="1">
        <v>0.67</v>
      </c>
      <c r="BQ2837" s="1" t="s">
        <v>8690</v>
      </c>
      <c r="BV2837" s="1">
        <v>1.1</v>
      </c>
      <c r="EQ2837" s="9" t="s">
        <v>8689</v>
      </c>
      <c r="ER2837" s="21">
        <v>46045.303449074076</v>
      </c>
    </row>
    <row r="2838">
      <c r="A2838" s="9" t="s">
        <v>8691</v>
      </c>
      <c r="B2838" s="20" t="str">
        <f>IFERROR(__xludf.DUMMYFUNCTION("REGEXREPLACE(A2838, ""^https?://[^/]+"", """")"),"/wp-content/uploads/2021/09/header-breakaway-case-study.jpg")</f>
        <v>/wp-content/uploads/2021/09/header-breakaway-case-study.jpg</v>
      </c>
      <c r="F2838" s="1" t="s">
        <v>1004</v>
      </c>
      <c r="G2838" s="1">
        <v>200.0</v>
      </c>
      <c r="H2838" s="1" t="s">
        <v>966</v>
      </c>
      <c r="I2838" s="1" t="s">
        <v>967</v>
      </c>
      <c r="L2838" s="1">
        <v>0.0</v>
      </c>
      <c r="M2838" s="1">
        <v>0.0</v>
      </c>
      <c r="O2838" s="1">
        <v>0.0</v>
      </c>
      <c r="P2838" s="1">
        <v>0.0</v>
      </c>
      <c r="R2838" s="1">
        <v>0.0</v>
      </c>
      <c r="S2838" s="1">
        <v>0.0</v>
      </c>
      <c r="U2838" s="1">
        <v>0.0</v>
      </c>
      <c r="W2838" s="1">
        <v>0.0</v>
      </c>
      <c r="Y2838" s="1">
        <v>0.0</v>
      </c>
      <c r="AA2838" s="1">
        <v>0.0</v>
      </c>
      <c r="AC2838" s="1">
        <v>0.0</v>
      </c>
      <c r="AM2838" s="1">
        <v>46290.0</v>
      </c>
      <c r="AN2838" s="1">
        <v>46290.0</v>
      </c>
      <c r="AO2838" s="1">
        <v>46290.0</v>
      </c>
      <c r="AP2838" s="1">
        <v>17.733</v>
      </c>
      <c r="AR2838" s="1">
        <v>0.0</v>
      </c>
      <c r="AW2838" s="1">
        <v>0.0</v>
      </c>
      <c r="AX2838" s="1">
        <v>6.0</v>
      </c>
      <c r="AY2838" s="1">
        <v>4.0</v>
      </c>
      <c r="BA2838" s="1">
        <v>0.0</v>
      </c>
      <c r="BB2838" s="1">
        <v>0.0</v>
      </c>
      <c r="BC2838" s="1">
        <v>0.0</v>
      </c>
      <c r="BD2838" s="1">
        <v>0.0</v>
      </c>
      <c r="BE2838" s="1">
        <v>0.0</v>
      </c>
      <c r="BF2838" s="1">
        <v>0.0</v>
      </c>
      <c r="BG2838" s="1">
        <v>0.0</v>
      </c>
      <c r="BH2838" s="1">
        <v>0.0</v>
      </c>
      <c r="BI2838" s="1">
        <v>0.0</v>
      </c>
      <c r="BJ2838" s="1">
        <v>0.0</v>
      </c>
      <c r="BP2838" s="1">
        <v>1.239</v>
      </c>
      <c r="BQ2838" s="1" t="s">
        <v>8692</v>
      </c>
      <c r="BV2838" s="1">
        <v>1.1</v>
      </c>
      <c r="EQ2838" s="9" t="s">
        <v>8691</v>
      </c>
      <c r="ER2838" s="21">
        <v>46045.303449074076</v>
      </c>
    </row>
    <row r="2839">
      <c r="A2839" s="9" t="s">
        <v>8693</v>
      </c>
      <c r="B2839" s="20" t="str">
        <f>IFERROR(__xludf.DUMMYFUNCTION("REGEXREPLACE(A2839, ""^https?://[^/]+"", """")"),"/wp-content/uploads/2018/08/jump_blog.jpg")</f>
        <v>/wp-content/uploads/2018/08/jump_blog.jpg</v>
      </c>
      <c r="F2839" s="1" t="s">
        <v>1004</v>
      </c>
      <c r="G2839" s="1">
        <v>200.0</v>
      </c>
      <c r="H2839" s="1" t="s">
        <v>966</v>
      </c>
      <c r="I2839" s="1" t="s">
        <v>967</v>
      </c>
      <c r="L2839" s="1">
        <v>0.0</v>
      </c>
      <c r="M2839" s="1">
        <v>0.0</v>
      </c>
      <c r="O2839" s="1">
        <v>0.0</v>
      </c>
      <c r="P2839" s="1">
        <v>0.0</v>
      </c>
      <c r="R2839" s="1">
        <v>0.0</v>
      </c>
      <c r="S2839" s="1">
        <v>0.0</v>
      </c>
      <c r="U2839" s="1">
        <v>0.0</v>
      </c>
      <c r="W2839" s="1">
        <v>0.0</v>
      </c>
      <c r="Y2839" s="1">
        <v>0.0</v>
      </c>
      <c r="AA2839" s="1">
        <v>0.0</v>
      </c>
      <c r="AC2839" s="1">
        <v>0.0</v>
      </c>
      <c r="AM2839" s="1">
        <v>50193.0</v>
      </c>
      <c r="AN2839" s="1">
        <v>50193.0</v>
      </c>
      <c r="AO2839" s="1">
        <v>50193.0</v>
      </c>
      <c r="AP2839" s="1">
        <v>19.228</v>
      </c>
      <c r="AR2839" s="1">
        <v>0.0</v>
      </c>
      <c r="AW2839" s="1">
        <v>0.0</v>
      </c>
      <c r="AX2839" s="1">
        <v>6.0</v>
      </c>
      <c r="AY2839" s="1">
        <v>4.0</v>
      </c>
      <c r="BA2839" s="1">
        <v>0.0</v>
      </c>
      <c r="BB2839" s="1">
        <v>0.0</v>
      </c>
      <c r="BC2839" s="1">
        <v>0.0</v>
      </c>
      <c r="BD2839" s="1">
        <v>0.0</v>
      </c>
      <c r="BE2839" s="1">
        <v>0.0</v>
      </c>
      <c r="BF2839" s="1">
        <v>0.0</v>
      </c>
      <c r="BG2839" s="1">
        <v>0.0</v>
      </c>
      <c r="BH2839" s="1">
        <v>0.0</v>
      </c>
      <c r="BI2839" s="1">
        <v>0.0</v>
      </c>
      <c r="BJ2839" s="1">
        <v>0.0</v>
      </c>
      <c r="BP2839" s="1">
        <v>0.412</v>
      </c>
      <c r="BQ2839" s="1" t="s">
        <v>8694</v>
      </c>
      <c r="BV2839" s="1">
        <v>1.1</v>
      </c>
      <c r="EQ2839" s="9" t="s">
        <v>8693</v>
      </c>
      <c r="ER2839" s="21">
        <v>46045.303460648145</v>
      </c>
    </row>
    <row r="2840">
      <c r="A2840" s="9" t="s">
        <v>8695</v>
      </c>
      <c r="B2840" s="20" t="str">
        <f>IFERROR(__xludf.DUMMYFUNCTION("REGEXREPLACE(A2840, ""^https?://[^/]+"", """")"),"/wp-content/uploads/2018/11/shutterstock_518412169-scaled.jpg")</f>
        <v>/wp-content/uploads/2018/11/shutterstock_518412169-scaled.jpg</v>
      </c>
      <c r="F2840" s="1" t="s">
        <v>1004</v>
      </c>
      <c r="G2840" s="1">
        <v>200.0</v>
      </c>
      <c r="H2840" s="1" t="s">
        <v>966</v>
      </c>
      <c r="I2840" s="1" t="s">
        <v>967</v>
      </c>
      <c r="L2840" s="1">
        <v>0.0</v>
      </c>
      <c r="M2840" s="1">
        <v>0.0</v>
      </c>
      <c r="O2840" s="1">
        <v>0.0</v>
      </c>
      <c r="P2840" s="1">
        <v>0.0</v>
      </c>
      <c r="R2840" s="1">
        <v>0.0</v>
      </c>
      <c r="S2840" s="1">
        <v>0.0</v>
      </c>
      <c r="U2840" s="1">
        <v>0.0</v>
      </c>
      <c r="W2840" s="1">
        <v>0.0</v>
      </c>
      <c r="Y2840" s="1">
        <v>0.0</v>
      </c>
      <c r="AA2840" s="1">
        <v>0.0</v>
      </c>
      <c r="AC2840" s="1">
        <v>0.0</v>
      </c>
      <c r="AM2840" s="1">
        <v>158474.0</v>
      </c>
      <c r="AN2840" s="1">
        <v>158474.0</v>
      </c>
      <c r="AO2840" s="1">
        <v>158474.0</v>
      </c>
      <c r="AP2840" s="1">
        <v>60.708</v>
      </c>
      <c r="AR2840" s="1">
        <v>0.0</v>
      </c>
      <c r="AW2840" s="1">
        <v>0.0</v>
      </c>
      <c r="AX2840" s="1">
        <v>6.0</v>
      </c>
      <c r="AY2840" s="1">
        <v>4.0</v>
      </c>
      <c r="BA2840" s="1">
        <v>0.0</v>
      </c>
      <c r="BB2840" s="1">
        <v>0.0</v>
      </c>
      <c r="BC2840" s="1">
        <v>0.0</v>
      </c>
      <c r="BD2840" s="1">
        <v>0.0</v>
      </c>
      <c r="BE2840" s="1">
        <v>0.0</v>
      </c>
      <c r="BF2840" s="1">
        <v>0.0</v>
      </c>
      <c r="BG2840" s="1">
        <v>0.0</v>
      </c>
      <c r="BH2840" s="1">
        <v>0.0</v>
      </c>
      <c r="BI2840" s="1">
        <v>0.0</v>
      </c>
      <c r="BJ2840" s="1">
        <v>0.0</v>
      </c>
      <c r="BP2840" s="1">
        <v>0.41</v>
      </c>
      <c r="BQ2840" s="1" t="s">
        <v>8696</v>
      </c>
      <c r="BV2840" s="1">
        <v>1.1</v>
      </c>
      <c r="EQ2840" s="9" t="s">
        <v>8695</v>
      </c>
      <c r="ER2840" s="21">
        <v>46045.30347222222</v>
      </c>
    </row>
    <row r="2841">
      <c r="A2841" s="9" t="s">
        <v>8697</v>
      </c>
      <c r="B2841" s="20" t="str">
        <f>IFERROR(__xludf.DUMMYFUNCTION("REGEXREPLACE(A2841, ""^https?://[^/]+"", """")"),"/finding-your-target-market-and-target-customer/")</f>
        <v>/finding-your-target-market-and-target-customer/</v>
      </c>
      <c r="C2841" s="1" t="s">
        <v>8698</v>
      </c>
      <c r="D2841" s="1" t="s">
        <v>8699</v>
      </c>
      <c r="E2841" s="1" t="s">
        <v>8700</v>
      </c>
      <c r="F2841" s="1" t="s">
        <v>965</v>
      </c>
      <c r="G2841" s="1">
        <v>200.0</v>
      </c>
      <c r="H2841" s="1" t="s">
        <v>966</v>
      </c>
      <c r="I2841" s="1" t="s">
        <v>967</v>
      </c>
      <c r="K2841" s="1" t="s">
        <v>8701</v>
      </c>
      <c r="L2841" s="1">
        <v>71.0</v>
      </c>
      <c r="M2841" s="1">
        <v>653.0</v>
      </c>
      <c r="O2841" s="1">
        <v>0.0</v>
      </c>
      <c r="P2841" s="1">
        <v>0.0</v>
      </c>
      <c r="Q2841" s="1" t="s">
        <v>8702</v>
      </c>
      <c r="R2841" s="1">
        <v>152.0</v>
      </c>
      <c r="S2841" s="1">
        <v>907.0</v>
      </c>
      <c r="U2841" s="1">
        <v>0.0</v>
      </c>
      <c r="V2841" s="1" t="s">
        <v>8698</v>
      </c>
      <c r="W2841" s="1">
        <v>46.0</v>
      </c>
      <c r="Y2841" s="1">
        <v>0.0</v>
      </c>
      <c r="Z2841" s="1" t="s">
        <v>8699</v>
      </c>
      <c r="AA2841" s="1">
        <v>16.0</v>
      </c>
      <c r="AB2841" s="1" t="s">
        <v>8700</v>
      </c>
      <c r="AC2841" s="1">
        <v>26.0</v>
      </c>
      <c r="AD2841" s="1" t="s">
        <v>971</v>
      </c>
      <c r="AG2841" s="9" t="s">
        <v>8697</v>
      </c>
      <c r="AM2841" s="1">
        <v>199876.0</v>
      </c>
      <c r="AN2841" s="1">
        <v>35136.0</v>
      </c>
      <c r="AO2841" s="1">
        <v>35136.0</v>
      </c>
      <c r="AP2841" s="1">
        <v>13.46</v>
      </c>
      <c r="AR2841" s="1">
        <v>1206.0</v>
      </c>
      <c r="AS2841" s="1">
        <v>188.0</v>
      </c>
      <c r="AT2841" s="1">
        <v>6.415</v>
      </c>
      <c r="AU2841" s="1">
        <v>62.621</v>
      </c>
      <c r="AV2841" s="1" t="s">
        <v>990</v>
      </c>
      <c r="AW2841" s="1">
        <v>4.971</v>
      </c>
      <c r="AX2841" s="1">
        <v>6.0</v>
      </c>
      <c r="AY2841" s="1">
        <v>1.0</v>
      </c>
      <c r="AZ2841" s="1">
        <v>1.0</v>
      </c>
      <c r="BA2841" s="1">
        <v>3.0</v>
      </c>
      <c r="BB2841" s="1">
        <v>1.0</v>
      </c>
      <c r="BC2841" s="1">
        <v>0.0</v>
      </c>
      <c r="BD2841" s="1">
        <v>0.13</v>
      </c>
      <c r="BE2841" s="1">
        <v>129.0</v>
      </c>
      <c r="BF2841" s="1">
        <v>47.0</v>
      </c>
      <c r="BG2841" s="1">
        <v>0.0</v>
      </c>
      <c r="BH2841" s="1">
        <v>16.0</v>
      </c>
      <c r="BI2841" s="1">
        <v>8.0</v>
      </c>
      <c r="BJ2841" s="1">
        <v>0.0</v>
      </c>
      <c r="BO2841" s="1" t="s">
        <v>8703</v>
      </c>
      <c r="BP2841" s="1">
        <v>1.073</v>
      </c>
      <c r="BU2841" s="1" t="s">
        <v>974</v>
      </c>
      <c r="BV2841" s="1">
        <v>1.1</v>
      </c>
      <c r="EQ2841" s="9" t="s">
        <v>8697</v>
      </c>
      <c r="ER2841" s="21">
        <v>46045.30342592593</v>
      </c>
    </row>
    <row r="2842">
      <c r="A2842" s="9" t="s">
        <v>8704</v>
      </c>
      <c r="B2842" s="20" t="str">
        <f>IFERROR(__xludf.DUMMYFUNCTION("REGEXREPLACE(A2842, ""^https?://[^/]+"", """")"),"/wp-content/themes/salesxceleratione/assets/css/style.css?ver=1769123771")</f>
        <v>/wp-content/themes/salesxceleratione/assets/css/style.css?ver=1769123771</v>
      </c>
      <c r="F2842" s="1" t="s">
        <v>1016</v>
      </c>
      <c r="G2842" s="1">
        <v>200.0</v>
      </c>
      <c r="H2842" s="1" t="s">
        <v>966</v>
      </c>
      <c r="I2842" s="1" t="s">
        <v>967</v>
      </c>
      <c r="L2842" s="1">
        <v>0.0</v>
      </c>
      <c r="M2842" s="1">
        <v>0.0</v>
      </c>
      <c r="O2842" s="1">
        <v>0.0</v>
      </c>
      <c r="P2842" s="1">
        <v>0.0</v>
      </c>
      <c r="R2842" s="1">
        <v>0.0</v>
      </c>
      <c r="S2842" s="1">
        <v>0.0</v>
      </c>
      <c r="U2842" s="1">
        <v>0.0</v>
      </c>
      <c r="W2842" s="1">
        <v>0.0</v>
      </c>
      <c r="Y2842" s="1">
        <v>0.0</v>
      </c>
      <c r="AA2842" s="1">
        <v>0.0</v>
      </c>
      <c r="AC2842" s="1">
        <v>0.0</v>
      </c>
      <c r="AM2842" s="1">
        <v>17704.0</v>
      </c>
      <c r="AN2842" s="1">
        <v>17704.0</v>
      </c>
      <c r="AO2842" s="1">
        <v>17704.0</v>
      </c>
      <c r="AP2842" s="1">
        <v>6.782</v>
      </c>
      <c r="AR2842" s="1">
        <v>0.0</v>
      </c>
      <c r="AW2842" s="1">
        <v>0.0</v>
      </c>
      <c r="AX2842" s="1">
        <v>6.0</v>
      </c>
      <c r="AY2842" s="1">
        <v>5.0</v>
      </c>
      <c r="BA2842" s="1">
        <v>0.0</v>
      </c>
      <c r="BB2842" s="1">
        <v>0.0</v>
      </c>
      <c r="BC2842" s="1">
        <v>0.0</v>
      </c>
      <c r="BD2842" s="1">
        <v>0.0</v>
      </c>
      <c r="BE2842" s="1">
        <v>0.0</v>
      </c>
      <c r="BF2842" s="1">
        <v>0.0</v>
      </c>
      <c r="BG2842" s="1">
        <v>0.0</v>
      </c>
      <c r="BH2842" s="1">
        <v>0.0</v>
      </c>
      <c r="BI2842" s="1">
        <v>0.0</v>
      </c>
      <c r="BJ2842" s="1">
        <v>0.0</v>
      </c>
      <c r="BP2842" s="1">
        <v>0.373</v>
      </c>
      <c r="BQ2842" s="1" t="s">
        <v>8705</v>
      </c>
      <c r="BV2842" s="1">
        <v>1.1</v>
      </c>
      <c r="EQ2842" s="9" t="s">
        <v>8704</v>
      </c>
      <c r="ER2842" s="21">
        <v>46045.30347222222</v>
      </c>
    </row>
    <row r="2843">
      <c r="A2843" s="9" t="s">
        <v>8706</v>
      </c>
      <c r="B2843" s="20" t="str">
        <f>IFERROR(__xludf.DUMMYFUNCTION("REGEXREPLACE(A2843, ""^https?://[^/]+"", """")"),"/staying-ahead-of-the-fall-how-sales-teams-can-be-proactive-when-the-economy-tightens/")</f>
        <v>/staying-ahead-of-the-fall-how-sales-teams-can-be-proactive-when-the-economy-tightens/</v>
      </c>
      <c r="C2843" s="1" t="s">
        <v>8707</v>
      </c>
      <c r="D2843" s="1" t="s">
        <v>8708</v>
      </c>
      <c r="F2843" s="1" t="s">
        <v>965</v>
      </c>
      <c r="G2843" s="1">
        <v>200.0</v>
      </c>
      <c r="H2843" s="1" t="s">
        <v>966</v>
      </c>
      <c r="I2843" s="1" t="s">
        <v>967</v>
      </c>
      <c r="K2843" s="1" t="s">
        <v>8709</v>
      </c>
      <c r="L2843" s="1">
        <v>110.0</v>
      </c>
      <c r="M2843" s="1">
        <v>1025.0</v>
      </c>
      <c r="O2843" s="1">
        <v>0.0</v>
      </c>
      <c r="P2843" s="1">
        <v>0.0</v>
      </c>
      <c r="Q2843" s="1" t="s">
        <v>8710</v>
      </c>
      <c r="R2843" s="1">
        <v>152.0</v>
      </c>
      <c r="S2843" s="1">
        <v>943.0</v>
      </c>
      <c r="U2843" s="1">
        <v>0.0</v>
      </c>
      <c r="V2843" s="1" t="s">
        <v>8707</v>
      </c>
      <c r="W2843" s="1">
        <v>85.0</v>
      </c>
      <c r="Y2843" s="1">
        <v>0.0</v>
      </c>
      <c r="Z2843" s="1" t="s">
        <v>8708</v>
      </c>
      <c r="AA2843" s="1">
        <v>51.0</v>
      </c>
      <c r="AC2843" s="1">
        <v>0.0</v>
      </c>
      <c r="AD2843" s="1" t="s">
        <v>971</v>
      </c>
      <c r="AG2843" s="9" t="s">
        <v>8706</v>
      </c>
      <c r="AM2843" s="1">
        <v>202211.0</v>
      </c>
      <c r="AN2843" s="1">
        <v>35133.0</v>
      </c>
      <c r="AO2843" s="1">
        <v>35133.0</v>
      </c>
      <c r="AP2843" s="1">
        <v>13.459</v>
      </c>
      <c r="AR2843" s="1">
        <v>938.0</v>
      </c>
      <c r="AS2843" s="1">
        <v>151.0</v>
      </c>
      <c r="AT2843" s="1">
        <v>6.212</v>
      </c>
      <c r="AU2843" s="1">
        <v>62.446</v>
      </c>
      <c r="AV2843" s="1" t="s">
        <v>990</v>
      </c>
      <c r="AW2843" s="1">
        <v>4.071</v>
      </c>
      <c r="AX2843" s="1">
        <v>6.0</v>
      </c>
      <c r="AY2843" s="1">
        <v>1.0</v>
      </c>
      <c r="AZ2843" s="1">
        <v>1.0</v>
      </c>
      <c r="BA2843" s="1">
        <v>3.0</v>
      </c>
      <c r="BB2843" s="1">
        <v>1.0</v>
      </c>
      <c r="BC2843" s="1">
        <v>0.0</v>
      </c>
      <c r="BD2843" s="1">
        <v>0.13</v>
      </c>
      <c r="BE2843" s="1">
        <v>129.0</v>
      </c>
      <c r="BF2843" s="1">
        <v>47.0</v>
      </c>
      <c r="BG2843" s="1">
        <v>0.0</v>
      </c>
      <c r="BH2843" s="1">
        <v>17.0</v>
      </c>
      <c r="BI2843" s="1">
        <v>9.0</v>
      </c>
      <c r="BJ2843" s="1">
        <v>0.0</v>
      </c>
      <c r="BO2843" s="1" t="s">
        <v>8711</v>
      </c>
      <c r="BP2843" s="1">
        <v>1.051</v>
      </c>
      <c r="BU2843" s="1" t="s">
        <v>974</v>
      </c>
      <c r="BV2843" s="1">
        <v>1.1</v>
      </c>
      <c r="EQ2843" s="9" t="s">
        <v>8706</v>
      </c>
      <c r="ER2843" s="21">
        <v>46045.3034375</v>
      </c>
    </row>
    <row r="2844">
      <c r="A2844" s="9" t="s">
        <v>8712</v>
      </c>
      <c r="B2844" s="20" t="str">
        <f>IFERROR(__xludf.DUMMYFUNCTION("REGEXREPLACE(A2844, ""^https?://[^/]+"", """")"),"/wp-content/uploads/2019/09/Hope_Realized_Book_sm-1160x580-1.png")</f>
        <v>/wp-content/uploads/2019/09/Hope_Realized_Book_sm-1160x580-1.png</v>
      </c>
      <c r="F2844" s="1" t="s">
        <v>1047</v>
      </c>
      <c r="G2844" s="1">
        <v>200.0</v>
      </c>
      <c r="H2844" s="1" t="s">
        <v>966</v>
      </c>
      <c r="I2844" s="1" t="s">
        <v>967</v>
      </c>
      <c r="L2844" s="1">
        <v>0.0</v>
      </c>
      <c r="M2844" s="1">
        <v>0.0</v>
      </c>
      <c r="O2844" s="1">
        <v>0.0</v>
      </c>
      <c r="P2844" s="1">
        <v>0.0</v>
      </c>
      <c r="R2844" s="1">
        <v>0.0</v>
      </c>
      <c r="S2844" s="1">
        <v>0.0</v>
      </c>
      <c r="U2844" s="1">
        <v>0.0</v>
      </c>
      <c r="W2844" s="1">
        <v>0.0</v>
      </c>
      <c r="Y2844" s="1">
        <v>0.0</v>
      </c>
      <c r="AA2844" s="1">
        <v>0.0</v>
      </c>
      <c r="AC2844" s="1">
        <v>0.0</v>
      </c>
      <c r="AM2844" s="1">
        <v>97650.0</v>
      </c>
      <c r="AN2844" s="1">
        <v>97650.0</v>
      </c>
      <c r="AO2844" s="1">
        <v>97650.0</v>
      </c>
      <c r="AP2844" s="1">
        <v>37.408</v>
      </c>
      <c r="AR2844" s="1">
        <v>0.0</v>
      </c>
      <c r="AW2844" s="1">
        <v>0.0</v>
      </c>
      <c r="AX2844" s="1">
        <v>6.0</v>
      </c>
      <c r="AY2844" s="1">
        <v>4.0</v>
      </c>
      <c r="BA2844" s="1">
        <v>0.0</v>
      </c>
      <c r="BB2844" s="1">
        <v>0.0</v>
      </c>
      <c r="BC2844" s="1">
        <v>0.0</v>
      </c>
      <c r="BD2844" s="1">
        <v>0.0</v>
      </c>
      <c r="BE2844" s="1">
        <v>0.0</v>
      </c>
      <c r="BF2844" s="1">
        <v>0.0</v>
      </c>
      <c r="BG2844" s="1">
        <v>0.0</v>
      </c>
      <c r="BH2844" s="1">
        <v>0.0</v>
      </c>
      <c r="BI2844" s="1">
        <v>0.0</v>
      </c>
      <c r="BJ2844" s="1">
        <v>0.0</v>
      </c>
      <c r="BP2844" s="1">
        <v>0.281</v>
      </c>
      <c r="BQ2844" s="1" t="s">
        <v>8713</v>
      </c>
      <c r="BV2844" s="1">
        <v>1.1</v>
      </c>
      <c r="EQ2844" s="9" t="s">
        <v>8712</v>
      </c>
      <c r="ER2844" s="21">
        <v>46045.30349537037</v>
      </c>
    </row>
    <row r="2845">
      <c r="A2845" s="9" t="s">
        <v>8714</v>
      </c>
      <c r="B2845" s="20" t="str">
        <f>IFERROR(__xludf.DUMMYFUNCTION("REGEXREPLACE(A2845, ""^https?://[^/]+"", """")"),"/wp-content/uploads/2015/12/sales-compensation-plan-get-fired-up-2048x2048.jpg")</f>
        <v>/wp-content/uploads/2015/12/sales-compensation-plan-get-fired-up-2048x2048.jpg</v>
      </c>
      <c r="F2845" s="1" t="s">
        <v>1004</v>
      </c>
      <c r="G2845" s="1">
        <v>200.0</v>
      </c>
      <c r="H2845" s="1" t="s">
        <v>966</v>
      </c>
      <c r="I2845" s="1" t="s">
        <v>967</v>
      </c>
      <c r="L2845" s="1">
        <v>0.0</v>
      </c>
      <c r="M2845" s="1">
        <v>0.0</v>
      </c>
      <c r="O2845" s="1">
        <v>0.0</v>
      </c>
      <c r="P2845" s="1">
        <v>0.0</v>
      </c>
      <c r="R2845" s="1">
        <v>0.0</v>
      </c>
      <c r="S2845" s="1">
        <v>0.0</v>
      </c>
      <c r="U2845" s="1">
        <v>0.0</v>
      </c>
      <c r="W2845" s="1">
        <v>0.0</v>
      </c>
      <c r="Y2845" s="1">
        <v>0.0</v>
      </c>
      <c r="AA2845" s="1">
        <v>0.0</v>
      </c>
      <c r="AC2845" s="1">
        <v>0.0</v>
      </c>
      <c r="AM2845" s="1">
        <v>144058.0</v>
      </c>
      <c r="AN2845" s="1">
        <v>144058.0</v>
      </c>
      <c r="AO2845" s="1">
        <v>144058.0</v>
      </c>
      <c r="AP2845" s="1">
        <v>55.186</v>
      </c>
      <c r="AR2845" s="1">
        <v>0.0</v>
      </c>
      <c r="AW2845" s="1">
        <v>0.0</v>
      </c>
      <c r="AX2845" s="1">
        <v>6.0</v>
      </c>
      <c r="AY2845" s="1">
        <v>4.0</v>
      </c>
      <c r="BA2845" s="1">
        <v>0.0</v>
      </c>
      <c r="BB2845" s="1">
        <v>0.0</v>
      </c>
      <c r="BC2845" s="1">
        <v>0.0</v>
      </c>
      <c r="BD2845" s="1">
        <v>0.0</v>
      </c>
      <c r="BE2845" s="1">
        <v>0.0</v>
      </c>
      <c r="BF2845" s="1">
        <v>0.0</v>
      </c>
      <c r="BG2845" s="1">
        <v>0.0</v>
      </c>
      <c r="BH2845" s="1">
        <v>0.0</v>
      </c>
      <c r="BI2845" s="1">
        <v>0.0</v>
      </c>
      <c r="BJ2845" s="1">
        <v>0.0</v>
      </c>
      <c r="BP2845" s="1">
        <v>0.283</v>
      </c>
      <c r="BQ2845" s="1" t="s">
        <v>8715</v>
      </c>
      <c r="BV2845" s="1">
        <v>1.1</v>
      </c>
      <c r="EQ2845" s="9" t="s">
        <v>8714</v>
      </c>
      <c r="ER2845" s="21">
        <v>46045.30349537037</v>
      </c>
    </row>
    <row r="2846">
      <c r="A2846" s="9" t="s">
        <v>8716</v>
      </c>
      <c r="B2846" s="20" t="str">
        <f>IFERROR(__xludf.DUMMYFUNCTION("REGEXREPLACE(A2846, ""^https?://[^/]+"", """")"),"/wp-content/themes/salesxceleratione/assets/css/style.css?ver=1769123769")</f>
        <v>/wp-content/themes/salesxceleratione/assets/css/style.css?ver=1769123769</v>
      </c>
      <c r="F2846" s="1" t="s">
        <v>1016</v>
      </c>
      <c r="G2846" s="1">
        <v>200.0</v>
      </c>
      <c r="H2846" s="1" t="s">
        <v>966</v>
      </c>
      <c r="I2846" s="1" t="s">
        <v>967</v>
      </c>
      <c r="L2846" s="1">
        <v>0.0</v>
      </c>
      <c r="M2846" s="1">
        <v>0.0</v>
      </c>
      <c r="O2846" s="1">
        <v>0.0</v>
      </c>
      <c r="P2846" s="1">
        <v>0.0</v>
      </c>
      <c r="R2846" s="1">
        <v>0.0</v>
      </c>
      <c r="S2846" s="1">
        <v>0.0</v>
      </c>
      <c r="U2846" s="1">
        <v>0.0</v>
      </c>
      <c r="W2846" s="1">
        <v>0.0</v>
      </c>
      <c r="Y2846" s="1">
        <v>0.0</v>
      </c>
      <c r="AA2846" s="1">
        <v>0.0</v>
      </c>
      <c r="AC2846" s="1">
        <v>0.0</v>
      </c>
      <c r="AM2846" s="1">
        <v>17704.0</v>
      </c>
      <c r="AN2846" s="1">
        <v>17704.0</v>
      </c>
      <c r="AO2846" s="1">
        <v>17704.0</v>
      </c>
      <c r="AP2846" s="1">
        <v>6.782</v>
      </c>
      <c r="AR2846" s="1">
        <v>0.0</v>
      </c>
      <c r="AW2846" s="1">
        <v>0.0</v>
      </c>
      <c r="AX2846" s="1">
        <v>6.0</v>
      </c>
      <c r="AY2846" s="1">
        <v>5.0</v>
      </c>
      <c r="BA2846" s="1">
        <v>0.0</v>
      </c>
      <c r="BB2846" s="1">
        <v>0.0</v>
      </c>
      <c r="BC2846" s="1">
        <v>0.0</v>
      </c>
      <c r="BD2846" s="1">
        <v>0.0</v>
      </c>
      <c r="BE2846" s="1">
        <v>0.0</v>
      </c>
      <c r="BF2846" s="1">
        <v>0.0</v>
      </c>
      <c r="BG2846" s="1">
        <v>0.0</v>
      </c>
      <c r="BH2846" s="1">
        <v>0.0</v>
      </c>
      <c r="BI2846" s="1">
        <v>0.0</v>
      </c>
      <c r="BJ2846" s="1">
        <v>0.0</v>
      </c>
      <c r="BP2846" s="1">
        <v>0.257</v>
      </c>
      <c r="BQ2846" s="1" t="s">
        <v>7953</v>
      </c>
      <c r="BV2846" s="1">
        <v>1.1</v>
      </c>
      <c r="EQ2846" s="9" t="s">
        <v>8716</v>
      </c>
      <c r="ER2846" s="21">
        <v>46045.30349537037</v>
      </c>
    </row>
    <row r="2847">
      <c r="A2847" s="9" t="s">
        <v>8717</v>
      </c>
      <c r="B2847" s="20" t="str">
        <f>IFERROR(__xludf.DUMMYFUNCTION("REGEXREPLACE(A2847, ""^https?://[^/]+"", """")"),"/wp-content/uploads/2023/12/5-Tips-to-Boost-Sales-Performance.png")</f>
        <v>/wp-content/uploads/2023/12/5-Tips-to-Boost-Sales-Performance.png</v>
      </c>
      <c r="F2847" s="1" t="s">
        <v>1047</v>
      </c>
      <c r="G2847" s="1">
        <v>200.0</v>
      </c>
      <c r="H2847" s="1" t="s">
        <v>966</v>
      </c>
      <c r="I2847" s="1" t="s">
        <v>967</v>
      </c>
      <c r="L2847" s="1">
        <v>0.0</v>
      </c>
      <c r="M2847" s="1">
        <v>0.0</v>
      </c>
      <c r="O2847" s="1">
        <v>0.0</v>
      </c>
      <c r="P2847" s="1">
        <v>0.0</v>
      </c>
      <c r="R2847" s="1">
        <v>0.0</v>
      </c>
      <c r="S2847" s="1">
        <v>0.0</v>
      </c>
      <c r="U2847" s="1">
        <v>0.0</v>
      </c>
      <c r="W2847" s="1">
        <v>0.0</v>
      </c>
      <c r="Y2847" s="1">
        <v>0.0</v>
      </c>
      <c r="AA2847" s="1">
        <v>0.0</v>
      </c>
      <c r="AC2847" s="1">
        <v>0.0</v>
      </c>
      <c r="AM2847" s="1">
        <v>111313.0</v>
      </c>
      <c r="AN2847" s="1">
        <v>111313.0</v>
      </c>
      <c r="AO2847" s="1">
        <v>111313.0</v>
      </c>
      <c r="AP2847" s="1">
        <v>42.642</v>
      </c>
      <c r="AR2847" s="1">
        <v>0.0</v>
      </c>
      <c r="AW2847" s="1">
        <v>0.0</v>
      </c>
      <c r="AX2847" s="1">
        <v>6.0</v>
      </c>
      <c r="AY2847" s="1">
        <v>4.0</v>
      </c>
      <c r="BA2847" s="1">
        <v>0.0</v>
      </c>
      <c r="BB2847" s="1">
        <v>0.0</v>
      </c>
      <c r="BC2847" s="1">
        <v>0.0</v>
      </c>
      <c r="BD2847" s="1">
        <v>0.0</v>
      </c>
      <c r="BE2847" s="1">
        <v>0.0</v>
      </c>
      <c r="BF2847" s="1">
        <v>0.0</v>
      </c>
      <c r="BG2847" s="1">
        <v>0.0</v>
      </c>
      <c r="BH2847" s="1">
        <v>0.0</v>
      </c>
      <c r="BI2847" s="1">
        <v>0.0</v>
      </c>
      <c r="BJ2847" s="1">
        <v>0.0</v>
      </c>
      <c r="BP2847" s="1">
        <v>0.295</v>
      </c>
      <c r="BQ2847" s="1" t="s">
        <v>8718</v>
      </c>
      <c r="BV2847" s="1">
        <v>1.1</v>
      </c>
      <c r="EQ2847" s="9" t="s">
        <v>8717</v>
      </c>
      <c r="ER2847" s="21">
        <v>46045.30349537037</v>
      </c>
    </row>
    <row r="2848">
      <c r="A2848" s="9" t="s">
        <v>8719</v>
      </c>
      <c r="B2848" s="20" t="str">
        <f>IFERROR(__xludf.DUMMYFUNCTION("REGEXREPLACE(A2848, ""^https?://[^/]+"", """")"),"/more-about-halftime-finding-your-purpose-as-you-prepare-for-a-second-half-of-significance/")</f>
        <v>/more-about-halftime-finding-your-purpose-as-you-prepare-for-a-second-half-of-significance/</v>
      </c>
      <c r="C2848" s="1" t="s">
        <v>8720</v>
      </c>
      <c r="F2848" s="1" t="s">
        <v>965</v>
      </c>
      <c r="G2848" s="1">
        <v>200.0</v>
      </c>
      <c r="H2848" s="1" t="s">
        <v>966</v>
      </c>
      <c r="I2848" s="1" t="s">
        <v>967</v>
      </c>
      <c r="K2848" s="1" t="s">
        <v>8721</v>
      </c>
      <c r="L2848" s="1">
        <v>115.0</v>
      </c>
      <c r="M2848" s="1">
        <v>1039.0</v>
      </c>
      <c r="O2848" s="1">
        <v>0.0</v>
      </c>
      <c r="P2848" s="1">
        <v>0.0</v>
      </c>
      <c r="Q2848" s="1" t="s">
        <v>8722</v>
      </c>
      <c r="R2848" s="1">
        <v>157.0</v>
      </c>
      <c r="S2848" s="1">
        <v>931.0</v>
      </c>
      <c r="U2848" s="1">
        <v>0.0</v>
      </c>
      <c r="V2848" s="1" t="s">
        <v>8720</v>
      </c>
      <c r="W2848" s="1">
        <v>90.0</v>
      </c>
      <c r="Y2848" s="1">
        <v>0.0</v>
      </c>
      <c r="AA2848" s="1">
        <v>0.0</v>
      </c>
      <c r="AC2848" s="1">
        <v>0.0</v>
      </c>
      <c r="AD2848" s="1" t="s">
        <v>971</v>
      </c>
      <c r="AG2848" s="9" t="s">
        <v>8719</v>
      </c>
      <c r="AM2848" s="1">
        <v>203088.0</v>
      </c>
      <c r="AN2848" s="1">
        <v>36363.0</v>
      </c>
      <c r="AO2848" s="1">
        <v>36363.0</v>
      </c>
      <c r="AP2848" s="1">
        <v>13.93</v>
      </c>
      <c r="AR2848" s="1">
        <v>1386.0</v>
      </c>
      <c r="AS2848" s="1">
        <v>210.0</v>
      </c>
      <c r="AT2848" s="1">
        <v>6.6</v>
      </c>
      <c r="AU2848" s="1">
        <v>72.076</v>
      </c>
      <c r="AV2848" s="1" t="s">
        <v>1264</v>
      </c>
      <c r="AW2848" s="1">
        <v>5.242</v>
      </c>
      <c r="AX2848" s="1">
        <v>6.0</v>
      </c>
      <c r="AY2848" s="1">
        <v>1.0</v>
      </c>
      <c r="AZ2848" s="1">
        <v>1.0</v>
      </c>
      <c r="BA2848" s="1">
        <v>1.0</v>
      </c>
      <c r="BB2848" s="1">
        <v>1.0</v>
      </c>
      <c r="BC2848" s="1">
        <v>0.0</v>
      </c>
      <c r="BD2848" s="1">
        <v>0.13</v>
      </c>
      <c r="BE2848" s="1">
        <v>131.0</v>
      </c>
      <c r="BF2848" s="1">
        <v>48.0</v>
      </c>
      <c r="BG2848" s="1">
        <v>0.0</v>
      </c>
      <c r="BH2848" s="1">
        <v>17.0</v>
      </c>
      <c r="BI2848" s="1">
        <v>9.0</v>
      </c>
      <c r="BJ2848" s="1">
        <v>0.0</v>
      </c>
      <c r="BO2848" s="1" t="s">
        <v>8723</v>
      </c>
      <c r="BP2848" s="1">
        <v>1.645</v>
      </c>
      <c r="BU2848" s="1" t="s">
        <v>974</v>
      </c>
      <c r="BV2848" s="1">
        <v>1.1</v>
      </c>
      <c r="EQ2848" s="9" t="s">
        <v>8719</v>
      </c>
      <c r="ER2848" s="21">
        <v>46045.30347222222</v>
      </c>
    </row>
    <row r="2849">
      <c r="A2849" s="9" t="s">
        <v>8724</v>
      </c>
      <c r="B2849" s="20" t="str">
        <f>IFERROR(__xludf.DUMMYFUNCTION("REGEXREPLACE(A2849, ""^https?://[^/]+"", """")"),"/wp-content/uploads/2023/12/Boosting-Sales-Performance.jpg")</f>
        <v>/wp-content/uploads/2023/12/Boosting-Sales-Performance.jpg</v>
      </c>
      <c r="F2849" s="1" t="s">
        <v>1004</v>
      </c>
      <c r="G2849" s="1">
        <v>200.0</v>
      </c>
      <c r="H2849" s="1" t="s">
        <v>966</v>
      </c>
      <c r="I2849" s="1" t="s">
        <v>967</v>
      </c>
      <c r="L2849" s="1">
        <v>0.0</v>
      </c>
      <c r="M2849" s="1">
        <v>0.0</v>
      </c>
      <c r="O2849" s="1">
        <v>0.0</v>
      </c>
      <c r="P2849" s="1">
        <v>0.0</v>
      </c>
      <c r="R2849" s="1">
        <v>0.0</v>
      </c>
      <c r="S2849" s="1">
        <v>0.0</v>
      </c>
      <c r="U2849" s="1">
        <v>0.0</v>
      </c>
      <c r="W2849" s="1">
        <v>0.0</v>
      </c>
      <c r="Y2849" s="1">
        <v>0.0</v>
      </c>
      <c r="AA2849" s="1">
        <v>0.0</v>
      </c>
      <c r="AC2849" s="1">
        <v>0.0</v>
      </c>
      <c r="AM2849" s="1">
        <v>215014.0</v>
      </c>
      <c r="AN2849" s="1">
        <v>215014.0</v>
      </c>
      <c r="AO2849" s="1">
        <v>215014.0</v>
      </c>
      <c r="AP2849" s="1">
        <v>82.368</v>
      </c>
      <c r="AR2849" s="1">
        <v>0.0</v>
      </c>
      <c r="AW2849" s="1">
        <v>0.0</v>
      </c>
      <c r="AX2849" s="1">
        <v>6.0</v>
      </c>
      <c r="AY2849" s="1">
        <v>4.0</v>
      </c>
      <c r="BA2849" s="1">
        <v>0.0</v>
      </c>
      <c r="BB2849" s="1">
        <v>0.0</v>
      </c>
      <c r="BC2849" s="1">
        <v>0.0</v>
      </c>
      <c r="BD2849" s="1">
        <v>0.0</v>
      </c>
      <c r="BE2849" s="1">
        <v>0.0</v>
      </c>
      <c r="BF2849" s="1">
        <v>0.0</v>
      </c>
      <c r="BG2849" s="1">
        <v>0.0</v>
      </c>
      <c r="BH2849" s="1">
        <v>0.0</v>
      </c>
      <c r="BI2849" s="1">
        <v>0.0</v>
      </c>
      <c r="BJ2849" s="1">
        <v>0.0</v>
      </c>
      <c r="BP2849" s="1">
        <v>0.27</v>
      </c>
      <c r="BQ2849" s="1" t="s">
        <v>8725</v>
      </c>
      <c r="BV2849" s="1">
        <v>1.1</v>
      </c>
      <c r="EQ2849" s="9" t="s">
        <v>8724</v>
      </c>
      <c r="ER2849" s="21">
        <v>46045.30349537037</v>
      </c>
    </row>
    <row r="2850">
      <c r="A2850" s="9" t="s">
        <v>8726</v>
      </c>
      <c r="B2850" s="20" t="str">
        <f>IFERROR(__xludf.DUMMYFUNCTION("REGEXREPLACE(A2850, ""^https?://[^/]+"", """")"),"/infographics/sales-strategy-checklist/")</f>
        <v>/infographics/sales-strategy-checklist/</v>
      </c>
      <c r="F2850" s="1" t="s">
        <v>965</v>
      </c>
      <c r="G2850" s="1">
        <v>302.0</v>
      </c>
      <c r="H2850" s="1" t="s">
        <v>2980</v>
      </c>
      <c r="I2850" s="1" t="s">
        <v>1214</v>
      </c>
      <c r="J2850" s="1" t="s">
        <v>1305</v>
      </c>
      <c r="L2850" s="1">
        <v>0.0</v>
      </c>
      <c r="M2850" s="1">
        <v>0.0</v>
      </c>
      <c r="O2850" s="1">
        <v>0.0</v>
      </c>
      <c r="P2850" s="1">
        <v>0.0</v>
      </c>
      <c r="R2850" s="1">
        <v>0.0</v>
      </c>
      <c r="S2850" s="1">
        <v>0.0</v>
      </c>
      <c r="U2850" s="1">
        <v>0.0</v>
      </c>
      <c r="W2850" s="1">
        <v>0.0</v>
      </c>
      <c r="Y2850" s="1">
        <v>0.0</v>
      </c>
      <c r="AA2850" s="1">
        <v>0.0</v>
      </c>
      <c r="AC2850" s="1">
        <v>0.0</v>
      </c>
      <c r="AM2850" s="1">
        <v>0.0</v>
      </c>
      <c r="AN2850" s="1">
        <v>0.0</v>
      </c>
      <c r="AO2850" s="1">
        <v>0.0</v>
      </c>
      <c r="AP2850" s="1">
        <v>0.0</v>
      </c>
      <c r="AR2850" s="1">
        <v>0.0</v>
      </c>
      <c r="AW2850" s="1">
        <v>0.0</v>
      </c>
      <c r="AX2850" s="1">
        <v>6.0</v>
      </c>
      <c r="AY2850" s="1">
        <v>2.0</v>
      </c>
      <c r="BA2850" s="1">
        <v>1.0</v>
      </c>
      <c r="BB2850" s="1">
        <v>1.0</v>
      </c>
      <c r="BC2850" s="1">
        <v>0.0</v>
      </c>
      <c r="BD2850" s="1">
        <v>0.13</v>
      </c>
      <c r="BE2850" s="1">
        <v>0.0</v>
      </c>
      <c r="BF2850" s="1">
        <v>0.0</v>
      </c>
      <c r="BG2850" s="1">
        <v>0.0</v>
      </c>
      <c r="BH2850" s="1">
        <v>0.0</v>
      </c>
      <c r="BI2850" s="1">
        <v>0.0</v>
      </c>
      <c r="BJ2850" s="1">
        <v>0.0</v>
      </c>
      <c r="BP2850" s="1">
        <v>0.581</v>
      </c>
      <c r="BR2850" s="9" t="s">
        <v>8727</v>
      </c>
      <c r="BS2850" s="1" t="s">
        <v>1307</v>
      </c>
      <c r="BV2850" s="1">
        <v>1.1</v>
      </c>
      <c r="EQ2850" s="9" t="s">
        <v>8726</v>
      </c>
      <c r="ER2850" s="21">
        <v>46045.30349537037</v>
      </c>
    </row>
    <row r="2851">
      <c r="A2851" s="9" t="s">
        <v>8728</v>
      </c>
      <c r="B2851" s="20" t="str">
        <f>IFERROR(__xludf.DUMMYFUNCTION("REGEXREPLACE(A2851, ""^https?://[^/]+"", """")"),"/infographics/5-tips-to-boost-sales-performance/")</f>
        <v>/infographics/5-tips-to-boost-sales-performance/</v>
      </c>
      <c r="F2851" s="1" t="s">
        <v>965</v>
      </c>
      <c r="G2851" s="1">
        <v>302.0</v>
      </c>
      <c r="H2851" s="1" t="s">
        <v>2980</v>
      </c>
      <c r="I2851" s="1" t="s">
        <v>1214</v>
      </c>
      <c r="J2851" s="1" t="s">
        <v>1305</v>
      </c>
      <c r="L2851" s="1">
        <v>0.0</v>
      </c>
      <c r="M2851" s="1">
        <v>0.0</v>
      </c>
      <c r="O2851" s="1">
        <v>0.0</v>
      </c>
      <c r="P2851" s="1">
        <v>0.0</v>
      </c>
      <c r="R2851" s="1">
        <v>0.0</v>
      </c>
      <c r="S2851" s="1">
        <v>0.0</v>
      </c>
      <c r="U2851" s="1">
        <v>0.0</v>
      </c>
      <c r="W2851" s="1">
        <v>0.0</v>
      </c>
      <c r="Y2851" s="1">
        <v>0.0</v>
      </c>
      <c r="AA2851" s="1">
        <v>0.0</v>
      </c>
      <c r="AC2851" s="1">
        <v>0.0</v>
      </c>
      <c r="AM2851" s="1">
        <v>0.0</v>
      </c>
      <c r="AN2851" s="1">
        <v>0.0</v>
      </c>
      <c r="AO2851" s="1">
        <v>0.0</v>
      </c>
      <c r="AP2851" s="1">
        <v>0.0</v>
      </c>
      <c r="AR2851" s="1">
        <v>0.0</v>
      </c>
      <c r="AW2851" s="1">
        <v>0.0</v>
      </c>
      <c r="AX2851" s="1">
        <v>6.0</v>
      </c>
      <c r="AY2851" s="1">
        <v>2.0</v>
      </c>
      <c r="BA2851" s="1">
        <v>1.0</v>
      </c>
      <c r="BB2851" s="1">
        <v>1.0</v>
      </c>
      <c r="BC2851" s="1">
        <v>0.0</v>
      </c>
      <c r="BD2851" s="1">
        <v>0.13</v>
      </c>
      <c r="BE2851" s="1">
        <v>0.0</v>
      </c>
      <c r="BF2851" s="1">
        <v>0.0</v>
      </c>
      <c r="BG2851" s="1">
        <v>0.0</v>
      </c>
      <c r="BH2851" s="1">
        <v>0.0</v>
      </c>
      <c r="BI2851" s="1">
        <v>0.0</v>
      </c>
      <c r="BJ2851" s="1">
        <v>0.0</v>
      </c>
      <c r="BP2851" s="1">
        <v>0.6</v>
      </c>
      <c r="BR2851" s="9" t="s">
        <v>8729</v>
      </c>
      <c r="BS2851" s="1" t="s">
        <v>1307</v>
      </c>
      <c r="BV2851" s="1">
        <v>1.1</v>
      </c>
      <c r="EQ2851" s="9" t="s">
        <v>8728</v>
      </c>
      <c r="ER2851" s="21">
        <v>46045.30349537037</v>
      </c>
    </row>
    <row r="2852">
      <c r="A2852" s="9" t="s">
        <v>8730</v>
      </c>
      <c r="B2852" s="20" t="str">
        <f>IFERROR(__xludf.DUMMYFUNCTION("REGEXREPLACE(A2852, ""^https?://[^/]+"", """")"),"/wp-content/uploads/2021/01/working-at-desk-e1608576587284-1024x543-1.jpg")</f>
        <v>/wp-content/uploads/2021/01/working-at-desk-e1608576587284-1024x543-1.jpg</v>
      </c>
      <c r="F2852" s="1" t="s">
        <v>1004</v>
      </c>
      <c r="G2852" s="1">
        <v>200.0</v>
      </c>
      <c r="H2852" s="1" t="s">
        <v>966</v>
      </c>
      <c r="I2852" s="1" t="s">
        <v>967</v>
      </c>
      <c r="L2852" s="1">
        <v>0.0</v>
      </c>
      <c r="M2852" s="1">
        <v>0.0</v>
      </c>
      <c r="O2852" s="1">
        <v>0.0</v>
      </c>
      <c r="P2852" s="1">
        <v>0.0</v>
      </c>
      <c r="R2852" s="1">
        <v>0.0</v>
      </c>
      <c r="S2852" s="1">
        <v>0.0</v>
      </c>
      <c r="U2852" s="1">
        <v>0.0</v>
      </c>
      <c r="W2852" s="1">
        <v>0.0</v>
      </c>
      <c r="Y2852" s="1">
        <v>0.0</v>
      </c>
      <c r="AA2852" s="1">
        <v>0.0</v>
      </c>
      <c r="AC2852" s="1">
        <v>0.0</v>
      </c>
      <c r="AM2852" s="1">
        <v>61548.0</v>
      </c>
      <c r="AN2852" s="1">
        <v>61548.0</v>
      </c>
      <c r="AO2852" s="1">
        <v>61548.0</v>
      </c>
      <c r="AP2852" s="1">
        <v>23.578</v>
      </c>
      <c r="AR2852" s="1">
        <v>0.0</v>
      </c>
      <c r="AW2852" s="1">
        <v>0.0</v>
      </c>
      <c r="AX2852" s="1">
        <v>6.0</v>
      </c>
      <c r="AY2852" s="1">
        <v>4.0</v>
      </c>
      <c r="BA2852" s="1">
        <v>0.0</v>
      </c>
      <c r="BB2852" s="1">
        <v>0.0</v>
      </c>
      <c r="BC2852" s="1">
        <v>0.0</v>
      </c>
      <c r="BD2852" s="1">
        <v>0.0</v>
      </c>
      <c r="BE2852" s="1">
        <v>0.0</v>
      </c>
      <c r="BF2852" s="1">
        <v>0.0</v>
      </c>
      <c r="BG2852" s="1">
        <v>0.0</v>
      </c>
      <c r="BH2852" s="1">
        <v>0.0</v>
      </c>
      <c r="BI2852" s="1">
        <v>0.0</v>
      </c>
      <c r="BJ2852" s="1">
        <v>0.0</v>
      </c>
      <c r="BP2852" s="1">
        <v>0.302</v>
      </c>
      <c r="BQ2852" s="1" t="s">
        <v>8731</v>
      </c>
      <c r="BV2852" s="1">
        <v>1.1</v>
      </c>
      <c r="EQ2852" s="9" t="s">
        <v>8730</v>
      </c>
      <c r="ER2852" s="21">
        <v>46045.30349537037</v>
      </c>
    </row>
    <row r="2853">
      <c r="A2853" s="9" t="s">
        <v>8732</v>
      </c>
      <c r="B2853" s="20" t="str">
        <f>IFERROR(__xludf.DUMMYFUNCTION("REGEXREPLACE(A2853, ""^https?://[^/]+"", """")"),"/wp-content/themes/salesxceleratione/assets/css/style.css?ver=1769123767")</f>
        <v>/wp-content/themes/salesxceleratione/assets/css/style.css?ver=1769123767</v>
      </c>
      <c r="F2853" s="1" t="s">
        <v>1016</v>
      </c>
      <c r="G2853" s="1">
        <v>200.0</v>
      </c>
      <c r="H2853" s="1" t="s">
        <v>966</v>
      </c>
      <c r="I2853" s="1" t="s">
        <v>967</v>
      </c>
      <c r="L2853" s="1">
        <v>0.0</v>
      </c>
      <c r="M2853" s="1">
        <v>0.0</v>
      </c>
      <c r="O2853" s="1">
        <v>0.0</v>
      </c>
      <c r="P2853" s="1">
        <v>0.0</v>
      </c>
      <c r="R2853" s="1">
        <v>0.0</v>
      </c>
      <c r="S2853" s="1">
        <v>0.0</v>
      </c>
      <c r="U2853" s="1">
        <v>0.0</v>
      </c>
      <c r="W2853" s="1">
        <v>0.0</v>
      </c>
      <c r="Y2853" s="1">
        <v>0.0</v>
      </c>
      <c r="AA2853" s="1">
        <v>0.0</v>
      </c>
      <c r="AC2853" s="1">
        <v>0.0</v>
      </c>
      <c r="AM2853" s="1">
        <v>17704.0</v>
      </c>
      <c r="AN2853" s="1">
        <v>17704.0</v>
      </c>
      <c r="AO2853" s="1">
        <v>17704.0</v>
      </c>
      <c r="AP2853" s="1">
        <v>6.782</v>
      </c>
      <c r="AR2853" s="1">
        <v>0.0</v>
      </c>
      <c r="AW2853" s="1">
        <v>0.0</v>
      </c>
      <c r="AX2853" s="1">
        <v>6.0</v>
      </c>
      <c r="AY2853" s="1">
        <v>5.0</v>
      </c>
      <c r="BA2853" s="1">
        <v>0.0</v>
      </c>
      <c r="BB2853" s="1">
        <v>0.0</v>
      </c>
      <c r="BC2853" s="1">
        <v>0.0</v>
      </c>
      <c r="BD2853" s="1">
        <v>0.0</v>
      </c>
      <c r="BE2853" s="1">
        <v>0.0</v>
      </c>
      <c r="BF2853" s="1">
        <v>0.0</v>
      </c>
      <c r="BG2853" s="1">
        <v>0.0</v>
      </c>
      <c r="BH2853" s="1">
        <v>0.0</v>
      </c>
      <c r="BI2853" s="1">
        <v>0.0</v>
      </c>
      <c r="BJ2853" s="1">
        <v>0.0</v>
      </c>
      <c r="BP2853" s="1">
        <v>0.914</v>
      </c>
      <c r="BQ2853" s="1" t="s">
        <v>7927</v>
      </c>
      <c r="BV2853" s="1">
        <v>1.1</v>
      </c>
      <c r="EQ2853" s="9" t="s">
        <v>8732</v>
      </c>
      <c r="ER2853" s="21">
        <v>46045.30351851852</v>
      </c>
    </row>
    <row r="2854">
      <c r="A2854" s="9" t="s">
        <v>8733</v>
      </c>
      <c r="B2854" s="20" t="str">
        <f>IFERROR(__xludf.DUMMYFUNCTION("REGEXREPLACE(A2854, ""^https?://[^/]+"", """")"),"/effective-sales-training-in-focus-how-training-creates-a-competitive-advantage/")</f>
        <v>/effective-sales-training-in-focus-how-training-creates-a-competitive-advantage/</v>
      </c>
      <c r="C2854" s="1" t="s">
        <v>8734</v>
      </c>
      <c r="F2854" s="1" t="s">
        <v>965</v>
      </c>
      <c r="G2854" s="1">
        <v>200.0</v>
      </c>
      <c r="H2854" s="1" t="s">
        <v>966</v>
      </c>
      <c r="I2854" s="1" t="s">
        <v>967</v>
      </c>
      <c r="K2854" s="1" t="s">
        <v>8735</v>
      </c>
      <c r="L2854" s="1">
        <v>104.0</v>
      </c>
      <c r="M2854" s="1">
        <v>939.0</v>
      </c>
      <c r="O2854" s="1">
        <v>0.0</v>
      </c>
      <c r="P2854" s="1">
        <v>0.0</v>
      </c>
      <c r="Q2854" s="1" t="s">
        <v>8736</v>
      </c>
      <c r="R2854" s="1">
        <v>155.0</v>
      </c>
      <c r="S2854" s="1">
        <v>924.0</v>
      </c>
      <c r="U2854" s="1">
        <v>0.0</v>
      </c>
      <c r="V2854" s="1" t="s">
        <v>8734</v>
      </c>
      <c r="W2854" s="1">
        <v>79.0</v>
      </c>
      <c r="Y2854" s="1">
        <v>0.0</v>
      </c>
      <c r="AA2854" s="1">
        <v>0.0</v>
      </c>
      <c r="AC2854" s="1">
        <v>0.0</v>
      </c>
      <c r="AD2854" s="1" t="s">
        <v>971</v>
      </c>
      <c r="AG2854" s="9" t="s">
        <v>8733</v>
      </c>
      <c r="AM2854" s="1">
        <v>202999.0</v>
      </c>
      <c r="AN2854" s="1">
        <v>35760.0</v>
      </c>
      <c r="AO2854" s="1">
        <v>35760.0</v>
      </c>
      <c r="AP2854" s="1">
        <v>13.699</v>
      </c>
      <c r="AR2854" s="1">
        <v>1333.0</v>
      </c>
      <c r="AS2854" s="1">
        <v>210.0</v>
      </c>
      <c r="AT2854" s="1">
        <v>6.348</v>
      </c>
      <c r="AU2854" s="1">
        <v>61.973</v>
      </c>
      <c r="AV2854" s="1" t="s">
        <v>990</v>
      </c>
      <c r="AW2854" s="1">
        <v>5.272</v>
      </c>
      <c r="AX2854" s="1">
        <v>6.0</v>
      </c>
      <c r="AY2854" s="1">
        <v>1.0</v>
      </c>
      <c r="AZ2854" s="1">
        <v>1.0</v>
      </c>
      <c r="BA2854" s="1">
        <v>1.0</v>
      </c>
      <c r="BB2854" s="1">
        <v>1.0</v>
      </c>
      <c r="BC2854" s="1">
        <v>0.0</v>
      </c>
      <c r="BD2854" s="1">
        <v>0.13</v>
      </c>
      <c r="BE2854" s="1">
        <v>131.0</v>
      </c>
      <c r="BF2854" s="1">
        <v>48.0</v>
      </c>
      <c r="BG2854" s="1">
        <v>0.0</v>
      </c>
      <c r="BH2854" s="1">
        <v>16.0</v>
      </c>
      <c r="BI2854" s="1">
        <v>8.0</v>
      </c>
      <c r="BJ2854" s="1">
        <v>0.0</v>
      </c>
      <c r="BO2854" s="1" t="s">
        <v>8737</v>
      </c>
      <c r="BP2854" s="1">
        <v>1.156</v>
      </c>
      <c r="BU2854" s="1" t="s">
        <v>974</v>
      </c>
      <c r="BV2854" s="1">
        <v>1.1</v>
      </c>
      <c r="EQ2854" s="9" t="s">
        <v>8733</v>
      </c>
      <c r="ER2854" s="21">
        <v>46045.30349537037</v>
      </c>
    </row>
    <row r="2855">
      <c r="A2855" s="9" t="s">
        <v>8738</v>
      </c>
      <c r="B2855" s="20" t="str">
        <f>IFERROR(__xludf.DUMMYFUNCTION("REGEXREPLACE(A2855, ""^https?://[^/]+"", """")"),"/importance-sales-team-accountability/")</f>
        <v>/importance-sales-team-accountability/</v>
      </c>
      <c r="C2855" s="1" t="s">
        <v>8739</v>
      </c>
      <c r="F2855" s="1" t="s">
        <v>965</v>
      </c>
      <c r="G2855" s="1">
        <v>200.0</v>
      </c>
      <c r="H2855" s="1" t="s">
        <v>966</v>
      </c>
      <c r="I2855" s="1" t="s">
        <v>967</v>
      </c>
      <c r="K2855" s="1" t="s">
        <v>8740</v>
      </c>
      <c r="L2855" s="1">
        <v>68.0</v>
      </c>
      <c r="M2855" s="1">
        <v>621.0</v>
      </c>
      <c r="O2855" s="1">
        <v>0.0</v>
      </c>
      <c r="P2855" s="1">
        <v>0.0</v>
      </c>
      <c r="Q2855" s="1" t="s">
        <v>8741</v>
      </c>
      <c r="R2855" s="1">
        <v>152.0</v>
      </c>
      <c r="S2855" s="1">
        <v>932.0</v>
      </c>
      <c r="U2855" s="1">
        <v>0.0</v>
      </c>
      <c r="V2855" s="1" t="s">
        <v>8739</v>
      </c>
      <c r="W2855" s="1">
        <v>43.0</v>
      </c>
      <c r="Y2855" s="1">
        <v>0.0</v>
      </c>
      <c r="AA2855" s="1">
        <v>0.0</v>
      </c>
      <c r="AC2855" s="1">
        <v>0.0</v>
      </c>
      <c r="AD2855" s="1" t="s">
        <v>971</v>
      </c>
      <c r="AG2855" s="9" t="s">
        <v>8738</v>
      </c>
      <c r="AM2855" s="1">
        <v>199840.0</v>
      </c>
      <c r="AN2855" s="1">
        <v>35975.0</v>
      </c>
      <c r="AO2855" s="1">
        <v>35975.0</v>
      </c>
      <c r="AP2855" s="1">
        <v>13.781</v>
      </c>
      <c r="AR2855" s="1">
        <v>1457.0</v>
      </c>
      <c r="AS2855" s="1">
        <v>223.0</v>
      </c>
      <c r="AT2855" s="1">
        <v>6.534</v>
      </c>
      <c r="AU2855" s="1">
        <v>62.532</v>
      </c>
      <c r="AV2855" s="1" t="s">
        <v>990</v>
      </c>
      <c r="AW2855" s="1">
        <v>5.715</v>
      </c>
      <c r="AX2855" s="1">
        <v>6.0</v>
      </c>
      <c r="AY2855" s="1">
        <v>1.0</v>
      </c>
      <c r="AZ2855" s="1">
        <v>1.0</v>
      </c>
      <c r="BA2855" s="1">
        <v>1.0</v>
      </c>
      <c r="BB2855" s="1">
        <v>1.0</v>
      </c>
      <c r="BC2855" s="1">
        <v>0.0</v>
      </c>
      <c r="BD2855" s="1">
        <v>0.13</v>
      </c>
      <c r="BE2855" s="1">
        <v>130.0</v>
      </c>
      <c r="BF2855" s="1">
        <v>48.0</v>
      </c>
      <c r="BG2855" s="1">
        <v>0.0</v>
      </c>
      <c r="BH2855" s="1">
        <v>18.0</v>
      </c>
      <c r="BI2855" s="1">
        <v>10.0</v>
      </c>
      <c r="BJ2855" s="1">
        <v>0.0</v>
      </c>
      <c r="BO2855" s="1" t="s">
        <v>8742</v>
      </c>
      <c r="BP2855" s="1">
        <v>1.265</v>
      </c>
      <c r="BU2855" s="1" t="s">
        <v>974</v>
      </c>
      <c r="BV2855" s="1">
        <v>1.1</v>
      </c>
      <c r="EQ2855" s="9" t="s">
        <v>8738</v>
      </c>
      <c r="ER2855" s="21">
        <v>46045.30349537037</v>
      </c>
    </row>
    <row r="2856">
      <c r="A2856" s="9" t="s">
        <v>8743</v>
      </c>
      <c r="B2856" s="20" t="str">
        <f>IFERROR(__xludf.DUMMYFUNCTION("REGEXREPLACE(A2856, ""^https?://[^/]+"", """")"),"/wp-content/uploads/2020/12/Sales-Team-Building-a-Plan-scaled-1.jpg")</f>
        <v>/wp-content/uploads/2020/12/Sales-Team-Building-a-Plan-scaled-1.jpg</v>
      </c>
      <c r="F2856" s="1" t="s">
        <v>1004</v>
      </c>
      <c r="G2856" s="1">
        <v>200.0</v>
      </c>
      <c r="H2856" s="1" t="s">
        <v>966</v>
      </c>
      <c r="I2856" s="1" t="s">
        <v>967</v>
      </c>
      <c r="L2856" s="1">
        <v>0.0</v>
      </c>
      <c r="M2856" s="1">
        <v>0.0</v>
      </c>
      <c r="O2856" s="1">
        <v>0.0</v>
      </c>
      <c r="P2856" s="1">
        <v>0.0</v>
      </c>
      <c r="R2856" s="1">
        <v>0.0</v>
      </c>
      <c r="S2856" s="1">
        <v>0.0</v>
      </c>
      <c r="U2856" s="1">
        <v>0.0</v>
      </c>
      <c r="W2856" s="1">
        <v>0.0</v>
      </c>
      <c r="Y2856" s="1">
        <v>0.0</v>
      </c>
      <c r="AA2856" s="1">
        <v>0.0</v>
      </c>
      <c r="AC2856" s="1">
        <v>0.0</v>
      </c>
      <c r="AM2856" s="1">
        <v>169374.0</v>
      </c>
      <c r="AN2856" s="1">
        <v>169374.0</v>
      </c>
      <c r="AO2856" s="1">
        <v>169374.0</v>
      </c>
      <c r="AP2856" s="1">
        <v>64.884</v>
      </c>
      <c r="AR2856" s="1">
        <v>0.0</v>
      </c>
      <c r="AW2856" s="1">
        <v>0.0</v>
      </c>
      <c r="AX2856" s="1">
        <v>6.0</v>
      </c>
      <c r="AY2856" s="1">
        <v>4.0</v>
      </c>
      <c r="BA2856" s="1">
        <v>0.0</v>
      </c>
      <c r="BB2856" s="1">
        <v>0.0</v>
      </c>
      <c r="BC2856" s="1">
        <v>0.0</v>
      </c>
      <c r="BD2856" s="1">
        <v>0.0</v>
      </c>
      <c r="BE2856" s="1">
        <v>0.0</v>
      </c>
      <c r="BF2856" s="1">
        <v>0.0</v>
      </c>
      <c r="BG2856" s="1">
        <v>0.0</v>
      </c>
      <c r="BH2856" s="1">
        <v>0.0</v>
      </c>
      <c r="BI2856" s="1">
        <v>0.0</v>
      </c>
      <c r="BJ2856" s="1">
        <v>0.0</v>
      </c>
      <c r="BP2856" s="1">
        <v>0.271</v>
      </c>
      <c r="BQ2856" s="1" t="s">
        <v>8744</v>
      </c>
      <c r="BV2856" s="1">
        <v>1.1</v>
      </c>
      <c r="EQ2856" s="9" t="s">
        <v>8743</v>
      </c>
      <c r="ER2856" s="21">
        <v>46045.30353009259</v>
      </c>
    </row>
    <row r="2857">
      <c r="A2857" s="9" t="s">
        <v>8745</v>
      </c>
      <c r="B2857" s="20" t="str">
        <f>IFERROR(__xludf.DUMMYFUNCTION("REGEXREPLACE(A2857, ""^https?://[^/]+"", """")"),"/wp-content/uploads/2020/11/sales-pipeline.jpg")</f>
        <v>/wp-content/uploads/2020/11/sales-pipeline.jpg</v>
      </c>
      <c r="F2857" s="1" t="s">
        <v>1004</v>
      </c>
      <c r="G2857" s="1">
        <v>200.0</v>
      </c>
      <c r="H2857" s="1" t="s">
        <v>966</v>
      </c>
      <c r="I2857" s="1" t="s">
        <v>967</v>
      </c>
      <c r="L2857" s="1">
        <v>0.0</v>
      </c>
      <c r="M2857" s="1">
        <v>0.0</v>
      </c>
      <c r="O2857" s="1">
        <v>0.0</v>
      </c>
      <c r="P2857" s="1">
        <v>0.0</v>
      </c>
      <c r="R2857" s="1">
        <v>0.0</v>
      </c>
      <c r="S2857" s="1">
        <v>0.0</v>
      </c>
      <c r="U2857" s="1">
        <v>0.0</v>
      </c>
      <c r="W2857" s="1">
        <v>0.0</v>
      </c>
      <c r="Y2857" s="1">
        <v>0.0</v>
      </c>
      <c r="AA2857" s="1">
        <v>0.0</v>
      </c>
      <c r="AC2857" s="1">
        <v>0.0</v>
      </c>
      <c r="AM2857" s="1">
        <v>40785.0</v>
      </c>
      <c r="AN2857" s="1">
        <v>40785.0</v>
      </c>
      <c r="AO2857" s="1">
        <v>40785.0</v>
      </c>
      <c r="AP2857" s="1">
        <v>15.624</v>
      </c>
      <c r="AR2857" s="1">
        <v>0.0</v>
      </c>
      <c r="AW2857" s="1">
        <v>0.0</v>
      </c>
      <c r="AX2857" s="1">
        <v>6.0</v>
      </c>
      <c r="AY2857" s="1">
        <v>4.0</v>
      </c>
      <c r="BA2857" s="1">
        <v>0.0</v>
      </c>
      <c r="BB2857" s="1">
        <v>0.0</v>
      </c>
      <c r="BC2857" s="1">
        <v>0.0</v>
      </c>
      <c r="BD2857" s="1">
        <v>0.0</v>
      </c>
      <c r="BE2857" s="1">
        <v>0.0</v>
      </c>
      <c r="BF2857" s="1">
        <v>0.0</v>
      </c>
      <c r="BG2857" s="1">
        <v>0.0</v>
      </c>
      <c r="BH2857" s="1">
        <v>0.0</v>
      </c>
      <c r="BI2857" s="1">
        <v>0.0</v>
      </c>
      <c r="BJ2857" s="1">
        <v>0.0</v>
      </c>
      <c r="BP2857" s="1">
        <v>0.283</v>
      </c>
      <c r="BQ2857" s="1" t="s">
        <v>8746</v>
      </c>
      <c r="BV2857" s="1">
        <v>1.1</v>
      </c>
      <c r="EQ2857" s="9" t="s">
        <v>8745</v>
      </c>
      <c r="ER2857" s="21">
        <v>46045.30353009259</v>
      </c>
    </row>
    <row r="2858">
      <c r="A2858" s="9" t="s">
        <v>8747</v>
      </c>
      <c r="B2858" s="20" t="str">
        <f>IFERROR(__xludf.DUMMYFUNCTION("REGEXREPLACE(A2858, ""^https?://[^/]+"", """")"),"/wp-content/themes/salesxceleratione/assets/css/style.css?ver=1769123765")</f>
        <v>/wp-content/themes/salesxceleratione/assets/css/style.css?ver=1769123765</v>
      </c>
      <c r="F2858" s="1" t="s">
        <v>1016</v>
      </c>
      <c r="G2858" s="1">
        <v>200.0</v>
      </c>
      <c r="H2858" s="1" t="s">
        <v>966</v>
      </c>
      <c r="I2858" s="1" t="s">
        <v>967</v>
      </c>
      <c r="L2858" s="1">
        <v>0.0</v>
      </c>
      <c r="M2858" s="1">
        <v>0.0</v>
      </c>
      <c r="O2858" s="1">
        <v>0.0</v>
      </c>
      <c r="P2858" s="1">
        <v>0.0</v>
      </c>
      <c r="R2858" s="1">
        <v>0.0</v>
      </c>
      <c r="S2858" s="1">
        <v>0.0</v>
      </c>
      <c r="U2858" s="1">
        <v>0.0</v>
      </c>
      <c r="W2858" s="1">
        <v>0.0</v>
      </c>
      <c r="Y2858" s="1">
        <v>0.0</v>
      </c>
      <c r="AA2858" s="1">
        <v>0.0</v>
      </c>
      <c r="AC2858" s="1">
        <v>0.0</v>
      </c>
      <c r="AM2858" s="1">
        <v>17704.0</v>
      </c>
      <c r="AN2858" s="1">
        <v>17704.0</v>
      </c>
      <c r="AO2858" s="1">
        <v>17704.0</v>
      </c>
      <c r="AP2858" s="1">
        <v>6.782</v>
      </c>
      <c r="AR2858" s="1">
        <v>0.0</v>
      </c>
      <c r="AW2858" s="1">
        <v>0.0</v>
      </c>
      <c r="AX2858" s="1">
        <v>6.0</v>
      </c>
      <c r="AY2858" s="1">
        <v>5.0</v>
      </c>
      <c r="BA2858" s="1">
        <v>0.0</v>
      </c>
      <c r="BB2858" s="1">
        <v>0.0</v>
      </c>
      <c r="BC2858" s="1">
        <v>0.0</v>
      </c>
      <c r="BD2858" s="1">
        <v>0.0</v>
      </c>
      <c r="BE2858" s="1">
        <v>0.0</v>
      </c>
      <c r="BF2858" s="1">
        <v>0.0</v>
      </c>
      <c r="BG2858" s="1">
        <v>0.0</v>
      </c>
      <c r="BH2858" s="1">
        <v>0.0</v>
      </c>
      <c r="BI2858" s="1">
        <v>0.0</v>
      </c>
      <c r="BJ2858" s="1">
        <v>0.0</v>
      </c>
      <c r="BP2858" s="1">
        <v>0.279</v>
      </c>
      <c r="BQ2858" s="1" t="s">
        <v>8748</v>
      </c>
      <c r="BV2858" s="1">
        <v>1.1</v>
      </c>
      <c r="EQ2858" s="9" t="s">
        <v>8747</v>
      </c>
      <c r="ER2858" s="21">
        <v>46045.30354166667</v>
      </c>
    </row>
    <row r="2859">
      <c r="A2859" s="9" t="s">
        <v>8749</v>
      </c>
      <c r="B2859" s="20" t="str">
        <f>IFERROR(__xludf.DUMMYFUNCTION("REGEXREPLACE(A2859, ""^https?://[^/]+"", """")"),"/wp-content/uploads/2020/11/sales-team.jpg")</f>
        <v>/wp-content/uploads/2020/11/sales-team.jpg</v>
      </c>
      <c r="F2859" s="1" t="s">
        <v>1004</v>
      </c>
      <c r="G2859" s="1">
        <v>200.0</v>
      </c>
      <c r="H2859" s="1" t="s">
        <v>966</v>
      </c>
      <c r="I2859" s="1" t="s">
        <v>967</v>
      </c>
      <c r="L2859" s="1">
        <v>0.0</v>
      </c>
      <c r="M2859" s="1">
        <v>0.0</v>
      </c>
      <c r="O2859" s="1">
        <v>0.0</v>
      </c>
      <c r="P2859" s="1">
        <v>0.0</v>
      </c>
      <c r="R2859" s="1">
        <v>0.0</v>
      </c>
      <c r="S2859" s="1">
        <v>0.0</v>
      </c>
      <c r="U2859" s="1">
        <v>0.0</v>
      </c>
      <c r="W2859" s="1">
        <v>0.0</v>
      </c>
      <c r="Y2859" s="1">
        <v>0.0</v>
      </c>
      <c r="AA2859" s="1">
        <v>0.0</v>
      </c>
      <c r="AC2859" s="1">
        <v>0.0</v>
      </c>
      <c r="AM2859" s="1">
        <v>62234.0</v>
      </c>
      <c r="AN2859" s="1">
        <v>62234.0</v>
      </c>
      <c r="AO2859" s="1">
        <v>62234.0</v>
      </c>
      <c r="AP2859" s="1">
        <v>23.841</v>
      </c>
      <c r="AR2859" s="1">
        <v>0.0</v>
      </c>
      <c r="AW2859" s="1">
        <v>0.0</v>
      </c>
      <c r="AX2859" s="1">
        <v>6.0</v>
      </c>
      <c r="AY2859" s="1">
        <v>4.0</v>
      </c>
      <c r="BA2859" s="1">
        <v>0.0</v>
      </c>
      <c r="BB2859" s="1">
        <v>0.0</v>
      </c>
      <c r="BC2859" s="1">
        <v>0.0</v>
      </c>
      <c r="BD2859" s="1">
        <v>0.0</v>
      </c>
      <c r="BE2859" s="1">
        <v>0.0</v>
      </c>
      <c r="BF2859" s="1">
        <v>0.0</v>
      </c>
      <c r="BG2859" s="1">
        <v>0.0</v>
      </c>
      <c r="BH2859" s="1">
        <v>0.0</v>
      </c>
      <c r="BI2859" s="1">
        <v>0.0</v>
      </c>
      <c r="BJ2859" s="1">
        <v>0.0</v>
      </c>
      <c r="BP2859" s="1">
        <v>0.288</v>
      </c>
      <c r="BQ2859" s="1" t="s">
        <v>8750</v>
      </c>
      <c r="BV2859" s="1">
        <v>1.1</v>
      </c>
      <c r="EQ2859" s="9" t="s">
        <v>8749</v>
      </c>
      <c r="ER2859" s="21">
        <v>46045.30354166667</v>
      </c>
    </row>
    <row r="2860">
      <c r="A2860" s="9" t="s">
        <v>8751</v>
      </c>
      <c r="B2860" s="20" t="str">
        <f>IFERROR(__xludf.DUMMYFUNCTION("REGEXREPLACE(A2860, ""^https?://[^/]+"", """")"),"/wp-content/uploads/2020/01/sales-team-small.jpg")</f>
        <v>/wp-content/uploads/2020/01/sales-team-small.jpg</v>
      </c>
      <c r="F2860" s="1" t="s">
        <v>1004</v>
      </c>
      <c r="G2860" s="1">
        <v>200.0</v>
      </c>
      <c r="H2860" s="1" t="s">
        <v>966</v>
      </c>
      <c r="I2860" s="1" t="s">
        <v>967</v>
      </c>
      <c r="L2860" s="1">
        <v>0.0</v>
      </c>
      <c r="M2860" s="1">
        <v>0.0</v>
      </c>
      <c r="O2860" s="1">
        <v>0.0</v>
      </c>
      <c r="P2860" s="1">
        <v>0.0</v>
      </c>
      <c r="R2860" s="1">
        <v>0.0</v>
      </c>
      <c r="S2860" s="1">
        <v>0.0</v>
      </c>
      <c r="U2860" s="1">
        <v>0.0</v>
      </c>
      <c r="W2860" s="1">
        <v>0.0</v>
      </c>
      <c r="Y2860" s="1">
        <v>0.0</v>
      </c>
      <c r="AA2860" s="1">
        <v>0.0</v>
      </c>
      <c r="AC2860" s="1">
        <v>0.0</v>
      </c>
      <c r="AM2860" s="1">
        <v>124793.0</v>
      </c>
      <c r="AN2860" s="1">
        <v>124793.0</v>
      </c>
      <c r="AO2860" s="1">
        <v>124793.0</v>
      </c>
      <c r="AP2860" s="1">
        <v>47.806</v>
      </c>
      <c r="AR2860" s="1">
        <v>0.0</v>
      </c>
      <c r="AW2860" s="1">
        <v>0.0</v>
      </c>
      <c r="AX2860" s="1">
        <v>6.0</v>
      </c>
      <c r="AY2860" s="1">
        <v>4.0</v>
      </c>
      <c r="BA2860" s="1">
        <v>0.0</v>
      </c>
      <c r="BB2860" s="1">
        <v>0.0</v>
      </c>
      <c r="BC2860" s="1">
        <v>0.0</v>
      </c>
      <c r="BD2860" s="1">
        <v>0.0</v>
      </c>
      <c r="BE2860" s="1">
        <v>0.0</v>
      </c>
      <c r="BF2860" s="1">
        <v>0.0</v>
      </c>
      <c r="BG2860" s="1">
        <v>0.0</v>
      </c>
      <c r="BH2860" s="1">
        <v>0.0</v>
      </c>
      <c r="BI2860" s="1">
        <v>0.0</v>
      </c>
      <c r="BJ2860" s="1">
        <v>0.0</v>
      </c>
      <c r="BP2860" s="1">
        <v>0.27</v>
      </c>
      <c r="BQ2860" s="1" t="s">
        <v>8752</v>
      </c>
      <c r="BV2860" s="1">
        <v>1.1</v>
      </c>
      <c r="EQ2860" s="9" t="s">
        <v>8751</v>
      </c>
      <c r="ER2860" s="21">
        <v>46045.30354166667</v>
      </c>
    </row>
    <row r="2861">
      <c r="A2861" s="9" t="s">
        <v>8753</v>
      </c>
      <c r="B2861" s="20" t="str">
        <f>IFERROR(__xludf.DUMMYFUNCTION("REGEXREPLACE(A2861, ""^https?://[^/]+"", """")"),"/wp-content/uploads/2020/01/Motivation_Essentials.pdf")</f>
        <v>/wp-content/uploads/2020/01/Motivation_Essentials.pdf</v>
      </c>
      <c r="F2861" s="1" t="s">
        <v>1730</v>
      </c>
      <c r="G2861" s="1">
        <v>200.0</v>
      </c>
      <c r="H2861" s="1" t="s">
        <v>966</v>
      </c>
      <c r="I2861" s="1" t="s">
        <v>967</v>
      </c>
      <c r="K2861" s="1" t="s">
        <v>8754</v>
      </c>
      <c r="L2861" s="1">
        <v>28.0</v>
      </c>
      <c r="M2861" s="1">
        <v>255.0</v>
      </c>
      <c r="O2861" s="1">
        <v>0.0</v>
      </c>
      <c r="P2861" s="1">
        <v>0.0</v>
      </c>
      <c r="R2861" s="1">
        <v>0.0</v>
      </c>
      <c r="S2861" s="1">
        <v>0.0</v>
      </c>
      <c r="T2861" s="1" t="s">
        <v>8755</v>
      </c>
      <c r="U2861" s="1">
        <v>23.0</v>
      </c>
      <c r="W2861" s="1">
        <v>0.0</v>
      </c>
      <c r="Y2861" s="1">
        <v>0.0</v>
      </c>
      <c r="AA2861" s="1">
        <v>0.0</v>
      </c>
      <c r="AC2861" s="1">
        <v>0.0</v>
      </c>
      <c r="AM2861" s="1">
        <v>78497.0</v>
      </c>
      <c r="AN2861" s="1">
        <v>78497.0</v>
      </c>
      <c r="AO2861" s="1">
        <v>78497.0</v>
      </c>
      <c r="AP2861" s="1">
        <v>30.071</v>
      </c>
      <c r="AR2861" s="1">
        <v>0.0</v>
      </c>
      <c r="AW2861" s="1">
        <v>0.0</v>
      </c>
      <c r="AX2861" s="1">
        <v>6.0</v>
      </c>
      <c r="AY2861" s="1">
        <v>4.0</v>
      </c>
      <c r="AZ2861" s="1">
        <v>1.0</v>
      </c>
      <c r="BA2861" s="1">
        <v>1.0</v>
      </c>
      <c r="BB2861" s="1">
        <v>1.0</v>
      </c>
      <c r="BC2861" s="1">
        <v>0.0</v>
      </c>
      <c r="BD2861" s="1">
        <v>0.13</v>
      </c>
      <c r="BE2861" s="1">
        <v>0.0</v>
      </c>
      <c r="BF2861" s="1">
        <v>0.0</v>
      </c>
      <c r="BG2861" s="1">
        <v>0.0</v>
      </c>
      <c r="BH2861" s="1">
        <v>0.0</v>
      </c>
      <c r="BI2861" s="1">
        <v>0.0</v>
      </c>
      <c r="BJ2861" s="1">
        <v>0.0</v>
      </c>
      <c r="BP2861" s="1">
        <v>0.274</v>
      </c>
      <c r="BQ2861" s="1" t="s">
        <v>8756</v>
      </c>
      <c r="BV2861" s="1">
        <v>1.1</v>
      </c>
      <c r="EQ2861" s="9" t="s">
        <v>8753</v>
      </c>
      <c r="ER2861" s="21">
        <v>46045.30355324074</v>
      </c>
    </row>
    <row r="2862">
      <c r="A2862" s="9" t="s">
        <v>8757</v>
      </c>
      <c r="B2862" s="20" t="str">
        <f>IFERROR(__xludf.DUMMYFUNCTION("REGEXREPLACE(A2862, ""^https?://[^/]+"", """")"),"/wp-content/themes/salesxceleratione/assets/css/style.css?ver=1769123763")</f>
        <v>/wp-content/themes/salesxceleratione/assets/css/style.css?ver=1769123763</v>
      </c>
      <c r="F2862" s="1" t="s">
        <v>1016</v>
      </c>
      <c r="G2862" s="1">
        <v>200.0</v>
      </c>
      <c r="H2862" s="1" t="s">
        <v>966</v>
      </c>
      <c r="I2862" s="1" t="s">
        <v>967</v>
      </c>
      <c r="L2862" s="1">
        <v>0.0</v>
      </c>
      <c r="M2862" s="1">
        <v>0.0</v>
      </c>
      <c r="O2862" s="1">
        <v>0.0</v>
      </c>
      <c r="P2862" s="1">
        <v>0.0</v>
      </c>
      <c r="R2862" s="1">
        <v>0.0</v>
      </c>
      <c r="S2862" s="1">
        <v>0.0</v>
      </c>
      <c r="U2862" s="1">
        <v>0.0</v>
      </c>
      <c r="W2862" s="1">
        <v>0.0</v>
      </c>
      <c r="Y2862" s="1">
        <v>0.0</v>
      </c>
      <c r="AA2862" s="1">
        <v>0.0</v>
      </c>
      <c r="AC2862" s="1">
        <v>0.0</v>
      </c>
      <c r="AM2862" s="1">
        <v>17704.0</v>
      </c>
      <c r="AN2862" s="1">
        <v>17704.0</v>
      </c>
      <c r="AO2862" s="1">
        <v>17704.0</v>
      </c>
      <c r="AP2862" s="1">
        <v>6.782</v>
      </c>
      <c r="AR2862" s="1">
        <v>0.0</v>
      </c>
      <c r="AW2862" s="1">
        <v>0.0</v>
      </c>
      <c r="AX2862" s="1">
        <v>6.0</v>
      </c>
      <c r="AY2862" s="1">
        <v>5.0</v>
      </c>
      <c r="BA2862" s="1">
        <v>0.0</v>
      </c>
      <c r="BB2862" s="1">
        <v>0.0</v>
      </c>
      <c r="BC2862" s="1">
        <v>0.0</v>
      </c>
      <c r="BD2862" s="1">
        <v>0.0</v>
      </c>
      <c r="BE2862" s="1">
        <v>0.0</v>
      </c>
      <c r="BF2862" s="1">
        <v>0.0</v>
      </c>
      <c r="BG2862" s="1">
        <v>0.0</v>
      </c>
      <c r="BH2862" s="1">
        <v>0.0</v>
      </c>
      <c r="BI2862" s="1">
        <v>0.0</v>
      </c>
      <c r="BJ2862" s="1">
        <v>0.0</v>
      </c>
      <c r="BP2862" s="1">
        <v>0.294</v>
      </c>
      <c r="BQ2862" s="1" t="s">
        <v>8758</v>
      </c>
      <c r="BV2862" s="1">
        <v>1.1</v>
      </c>
      <c r="EQ2862" s="9" t="s">
        <v>8757</v>
      </c>
      <c r="ER2862" s="21">
        <v>46045.30355324074</v>
      </c>
    </row>
    <row r="2863">
      <c r="A2863" s="9" t="s">
        <v>8759</v>
      </c>
      <c r="B2863" s="20" t="str">
        <f>IFERROR(__xludf.DUMMYFUNCTION("REGEXREPLACE(A2863, ""^https?://[^/]+"", """")"),"/wp-content/uploads/2019/10/https___specials-images.forbesimg.com_dam_imageserve_690357502_960x0.jpg")</f>
        <v>/wp-content/uploads/2019/10/https___specials-images.forbesimg.com_dam_imageserve_690357502_960x0.jpg</v>
      </c>
      <c r="F2863" s="1" t="s">
        <v>1004</v>
      </c>
      <c r="G2863" s="1">
        <v>200.0</v>
      </c>
      <c r="H2863" s="1" t="s">
        <v>966</v>
      </c>
      <c r="I2863" s="1" t="s">
        <v>967</v>
      </c>
      <c r="L2863" s="1">
        <v>0.0</v>
      </c>
      <c r="M2863" s="1">
        <v>0.0</v>
      </c>
      <c r="O2863" s="1">
        <v>0.0</v>
      </c>
      <c r="P2863" s="1">
        <v>0.0</v>
      </c>
      <c r="R2863" s="1">
        <v>0.0</v>
      </c>
      <c r="S2863" s="1">
        <v>0.0</v>
      </c>
      <c r="U2863" s="1">
        <v>0.0</v>
      </c>
      <c r="W2863" s="1">
        <v>0.0</v>
      </c>
      <c r="Y2863" s="1">
        <v>0.0</v>
      </c>
      <c r="AA2863" s="1">
        <v>0.0</v>
      </c>
      <c r="AC2863" s="1">
        <v>0.0</v>
      </c>
      <c r="AM2863" s="1">
        <v>65474.0</v>
      </c>
      <c r="AN2863" s="1">
        <v>65474.0</v>
      </c>
      <c r="AO2863" s="1">
        <v>65474.0</v>
      </c>
      <c r="AP2863" s="1">
        <v>25.082</v>
      </c>
      <c r="AR2863" s="1">
        <v>0.0</v>
      </c>
      <c r="AW2863" s="1">
        <v>0.0</v>
      </c>
      <c r="AX2863" s="1">
        <v>6.0</v>
      </c>
      <c r="AY2863" s="1">
        <v>4.0</v>
      </c>
      <c r="BA2863" s="1">
        <v>0.0</v>
      </c>
      <c r="BB2863" s="1">
        <v>0.0</v>
      </c>
      <c r="BC2863" s="1">
        <v>0.0</v>
      </c>
      <c r="BD2863" s="1">
        <v>0.0</v>
      </c>
      <c r="BE2863" s="1">
        <v>0.0</v>
      </c>
      <c r="BF2863" s="1">
        <v>0.0</v>
      </c>
      <c r="BG2863" s="1">
        <v>0.0</v>
      </c>
      <c r="BH2863" s="1">
        <v>0.0</v>
      </c>
      <c r="BI2863" s="1">
        <v>0.0</v>
      </c>
      <c r="BJ2863" s="1">
        <v>0.0</v>
      </c>
      <c r="BP2863" s="1">
        <v>0.27</v>
      </c>
      <c r="BQ2863" s="1" t="s">
        <v>8760</v>
      </c>
      <c r="BV2863" s="1">
        <v>1.1</v>
      </c>
      <c r="EQ2863" s="9" t="s">
        <v>8759</v>
      </c>
      <c r="ER2863" s="21">
        <v>46045.30355324074</v>
      </c>
    </row>
    <row r="2864">
      <c r="A2864" s="9" t="s">
        <v>8761</v>
      </c>
      <c r="B2864" s="20" t="str">
        <f>IFERROR(__xludf.DUMMYFUNCTION("REGEXREPLACE(A2864, ""^https?://[^/]+"", """")"),"/wp-content/themes/salesxceleratione/assets/css/style.css?ver=1769123755")</f>
        <v>/wp-content/themes/salesxceleratione/assets/css/style.css?ver=1769123755</v>
      </c>
      <c r="F2864" s="1" t="s">
        <v>1016</v>
      </c>
      <c r="G2864" s="1">
        <v>200.0</v>
      </c>
      <c r="H2864" s="1" t="s">
        <v>966</v>
      </c>
      <c r="I2864" s="1" t="s">
        <v>967</v>
      </c>
      <c r="L2864" s="1">
        <v>0.0</v>
      </c>
      <c r="M2864" s="1">
        <v>0.0</v>
      </c>
      <c r="O2864" s="1">
        <v>0.0</v>
      </c>
      <c r="P2864" s="1">
        <v>0.0</v>
      </c>
      <c r="R2864" s="1">
        <v>0.0</v>
      </c>
      <c r="S2864" s="1">
        <v>0.0</v>
      </c>
      <c r="U2864" s="1">
        <v>0.0</v>
      </c>
      <c r="W2864" s="1">
        <v>0.0</v>
      </c>
      <c r="Y2864" s="1">
        <v>0.0</v>
      </c>
      <c r="AA2864" s="1">
        <v>0.0</v>
      </c>
      <c r="AC2864" s="1">
        <v>0.0</v>
      </c>
      <c r="AM2864" s="1">
        <v>17704.0</v>
      </c>
      <c r="AN2864" s="1">
        <v>17704.0</v>
      </c>
      <c r="AO2864" s="1">
        <v>17704.0</v>
      </c>
      <c r="AP2864" s="1">
        <v>6.782</v>
      </c>
      <c r="AR2864" s="1">
        <v>0.0</v>
      </c>
      <c r="AW2864" s="1">
        <v>0.0</v>
      </c>
      <c r="AX2864" s="1">
        <v>6.0</v>
      </c>
      <c r="AY2864" s="1">
        <v>5.0</v>
      </c>
      <c r="BA2864" s="1">
        <v>0.0</v>
      </c>
      <c r="BB2864" s="1">
        <v>0.0</v>
      </c>
      <c r="BC2864" s="1">
        <v>0.0</v>
      </c>
      <c r="BD2864" s="1">
        <v>0.0</v>
      </c>
      <c r="BE2864" s="1">
        <v>0.0</v>
      </c>
      <c r="BF2864" s="1">
        <v>0.0</v>
      </c>
      <c r="BG2864" s="1">
        <v>0.0</v>
      </c>
      <c r="BH2864" s="1">
        <v>0.0</v>
      </c>
      <c r="BI2864" s="1">
        <v>0.0</v>
      </c>
      <c r="BJ2864" s="1">
        <v>0.0</v>
      </c>
      <c r="BP2864" s="1">
        <v>0.255</v>
      </c>
      <c r="BQ2864" s="1" t="s">
        <v>8758</v>
      </c>
      <c r="BV2864" s="1">
        <v>1.1</v>
      </c>
      <c r="EQ2864" s="9" t="s">
        <v>8761</v>
      </c>
      <c r="ER2864" s="21">
        <v>46045.30355324074</v>
      </c>
    </row>
    <row r="2865">
      <c r="A2865" s="9" t="s">
        <v>8762</v>
      </c>
      <c r="B2865" s="20" t="str">
        <f>IFERROR(__xludf.DUMMYFUNCTION("REGEXREPLACE(A2865, ""^https?://[^/]+"", """")"),"/wp-content/uploads/2021/07/Exit-Strategy-scaled-1.jpg")</f>
        <v>/wp-content/uploads/2021/07/Exit-Strategy-scaled-1.jpg</v>
      </c>
      <c r="F2865" s="1" t="s">
        <v>1004</v>
      </c>
      <c r="G2865" s="1">
        <v>200.0</v>
      </c>
      <c r="H2865" s="1" t="s">
        <v>966</v>
      </c>
      <c r="I2865" s="1" t="s">
        <v>967</v>
      </c>
      <c r="L2865" s="1">
        <v>0.0</v>
      </c>
      <c r="M2865" s="1">
        <v>0.0</v>
      </c>
      <c r="O2865" s="1">
        <v>0.0</v>
      </c>
      <c r="P2865" s="1">
        <v>0.0</v>
      </c>
      <c r="R2865" s="1">
        <v>0.0</v>
      </c>
      <c r="S2865" s="1">
        <v>0.0</v>
      </c>
      <c r="U2865" s="1">
        <v>0.0</v>
      </c>
      <c r="W2865" s="1">
        <v>0.0</v>
      </c>
      <c r="Y2865" s="1">
        <v>0.0</v>
      </c>
      <c r="AA2865" s="1">
        <v>0.0</v>
      </c>
      <c r="AC2865" s="1">
        <v>0.0</v>
      </c>
      <c r="AM2865" s="1">
        <v>165277.0</v>
      </c>
      <c r="AN2865" s="1">
        <v>165277.0</v>
      </c>
      <c r="AO2865" s="1">
        <v>165277.0</v>
      </c>
      <c r="AP2865" s="1">
        <v>63.314</v>
      </c>
      <c r="AR2865" s="1">
        <v>0.0</v>
      </c>
      <c r="AW2865" s="1">
        <v>0.0</v>
      </c>
      <c r="AX2865" s="1">
        <v>6.0</v>
      </c>
      <c r="AY2865" s="1">
        <v>4.0</v>
      </c>
      <c r="BA2865" s="1">
        <v>0.0</v>
      </c>
      <c r="BB2865" s="1">
        <v>0.0</v>
      </c>
      <c r="BC2865" s="1">
        <v>0.0</v>
      </c>
      <c r="BD2865" s="1">
        <v>0.0</v>
      </c>
      <c r="BE2865" s="1">
        <v>0.0</v>
      </c>
      <c r="BF2865" s="1">
        <v>0.0</v>
      </c>
      <c r="BG2865" s="1">
        <v>0.0</v>
      </c>
      <c r="BH2865" s="1">
        <v>0.0</v>
      </c>
      <c r="BI2865" s="1">
        <v>0.0</v>
      </c>
      <c r="BJ2865" s="1">
        <v>0.0</v>
      </c>
      <c r="BP2865" s="1">
        <v>0.274</v>
      </c>
      <c r="BQ2865" s="1" t="s">
        <v>8763</v>
      </c>
      <c r="BV2865" s="1">
        <v>1.1</v>
      </c>
      <c r="EQ2865" s="9" t="s">
        <v>8762</v>
      </c>
      <c r="ER2865" s="21">
        <v>46045.30355324074</v>
      </c>
    </row>
    <row r="2866">
      <c r="A2866" s="9" t="s">
        <v>8764</v>
      </c>
      <c r="B2866" s="20" t="str">
        <f>IFERROR(__xludf.DUMMYFUNCTION("REGEXREPLACE(A2866, ""^https?://[^/]+"", """")"),"/wp-content/themes/salesxceleratione/assets/css/style.css?ver=1769123752")</f>
        <v>/wp-content/themes/salesxceleratione/assets/css/style.css?ver=1769123752</v>
      </c>
      <c r="F2866" s="1" t="s">
        <v>1016</v>
      </c>
      <c r="G2866" s="1">
        <v>200.0</v>
      </c>
      <c r="H2866" s="1" t="s">
        <v>966</v>
      </c>
      <c r="I2866" s="1" t="s">
        <v>967</v>
      </c>
      <c r="L2866" s="1">
        <v>0.0</v>
      </c>
      <c r="M2866" s="1">
        <v>0.0</v>
      </c>
      <c r="O2866" s="1">
        <v>0.0</v>
      </c>
      <c r="P2866" s="1">
        <v>0.0</v>
      </c>
      <c r="R2866" s="1">
        <v>0.0</v>
      </c>
      <c r="S2866" s="1">
        <v>0.0</v>
      </c>
      <c r="U2866" s="1">
        <v>0.0</v>
      </c>
      <c r="W2866" s="1">
        <v>0.0</v>
      </c>
      <c r="Y2866" s="1">
        <v>0.0</v>
      </c>
      <c r="AA2866" s="1">
        <v>0.0</v>
      </c>
      <c r="AC2866" s="1">
        <v>0.0</v>
      </c>
      <c r="AM2866" s="1">
        <v>17704.0</v>
      </c>
      <c r="AN2866" s="1">
        <v>17704.0</v>
      </c>
      <c r="AO2866" s="1">
        <v>17704.0</v>
      </c>
      <c r="AP2866" s="1">
        <v>6.782</v>
      </c>
      <c r="AR2866" s="1">
        <v>0.0</v>
      </c>
      <c r="AW2866" s="1">
        <v>0.0</v>
      </c>
      <c r="AX2866" s="1">
        <v>6.0</v>
      </c>
      <c r="AY2866" s="1">
        <v>5.0</v>
      </c>
      <c r="BA2866" s="1">
        <v>0.0</v>
      </c>
      <c r="BB2866" s="1">
        <v>0.0</v>
      </c>
      <c r="BC2866" s="1">
        <v>0.0</v>
      </c>
      <c r="BD2866" s="1">
        <v>0.0</v>
      </c>
      <c r="BE2866" s="1">
        <v>0.0</v>
      </c>
      <c r="BF2866" s="1">
        <v>0.0</v>
      </c>
      <c r="BG2866" s="1">
        <v>0.0</v>
      </c>
      <c r="BH2866" s="1">
        <v>0.0</v>
      </c>
      <c r="BI2866" s="1">
        <v>0.0</v>
      </c>
      <c r="BJ2866" s="1">
        <v>0.0</v>
      </c>
      <c r="BP2866" s="1">
        <v>0.273</v>
      </c>
      <c r="BQ2866" s="1" t="s">
        <v>8758</v>
      </c>
      <c r="BV2866" s="1">
        <v>1.1</v>
      </c>
      <c r="EQ2866" s="9" t="s">
        <v>8764</v>
      </c>
      <c r="ER2866" s="21">
        <v>46045.30355324074</v>
      </c>
    </row>
    <row r="2867">
      <c r="A2867" s="9" t="s">
        <v>8765</v>
      </c>
      <c r="B2867" s="20" t="str">
        <f>IFERROR(__xludf.DUMMYFUNCTION("REGEXREPLACE(A2867, ""^https?://[^/]+"", """")"),"/wp-content/uploads/elementor/css/post-18994.css?ver=1768847411")</f>
        <v>/wp-content/uploads/elementor/css/post-18994.css?ver=1768847411</v>
      </c>
      <c r="F2867" s="1" t="s">
        <v>1016</v>
      </c>
      <c r="G2867" s="1">
        <v>200.0</v>
      </c>
      <c r="H2867" s="1" t="s">
        <v>966</v>
      </c>
      <c r="I2867" s="1" t="s">
        <v>967</v>
      </c>
      <c r="L2867" s="1">
        <v>0.0</v>
      </c>
      <c r="M2867" s="1">
        <v>0.0</v>
      </c>
      <c r="O2867" s="1">
        <v>0.0</v>
      </c>
      <c r="P2867" s="1">
        <v>0.0</v>
      </c>
      <c r="R2867" s="1">
        <v>0.0</v>
      </c>
      <c r="S2867" s="1">
        <v>0.0</v>
      </c>
      <c r="U2867" s="1">
        <v>0.0</v>
      </c>
      <c r="W2867" s="1">
        <v>0.0</v>
      </c>
      <c r="Y2867" s="1">
        <v>0.0</v>
      </c>
      <c r="AA2867" s="1">
        <v>0.0</v>
      </c>
      <c r="AC2867" s="1">
        <v>0.0</v>
      </c>
      <c r="AM2867" s="1">
        <v>297.0</v>
      </c>
      <c r="AN2867" s="1">
        <v>297.0</v>
      </c>
      <c r="AO2867" s="1">
        <v>297.0</v>
      </c>
      <c r="AP2867" s="1">
        <v>0.114</v>
      </c>
      <c r="AR2867" s="1">
        <v>0.0</v>
      </c>
      <c r="AW2867" s="1">
        <v>0.0</v>
      </c>
      <c r="AX2867" s="1">
        <v>6.0</v>
      </c>
      <c r="AY2867" s="1">
        <v>4.0</v>
      </c>
      <c r="BA2867" s="1">
        <v>0.0</v>
      </c>
      <c r="BB2867" s="1">
        <v>0.0</v>
      </c>
      <c r="BC2867" s="1">
        <v>0.0</v>
      </c>
      <c r="BD2867" s="1">
        <v>0.0</v>
      </c>
      <c r="BE2867" s="1">
        <v>0.0</v>
      </c>
      <c r="BF2867" s="1">
        <v>0.0</v>
      </c>
      <c r="BG2867" s="1">
        <v>0.0</v>
      </c>
      <c r="BH2867" s="1">
        <v>0.0</v>
      </c>
      <c r="BI2867" s="1">
        <v>0.0</v>
      </c>
      <c r="BJ2867" s="1">
        <v>0.0</v>
      </c>
      <c r="BP2867" s="1">
        <v>0.276</v>
      </c>
      <c r="BQ2867" s="1" t="s">
        <v>8766</v>
      </c>
      <c r="BV2867" s="1">
        <v>1.1</v>
      </c>
      <c r="EQ2867" s="9" t="s">
        <v>8765</v>
      </c>
      <c r="ER2867" s="21">
        <v>46045.30355324074</v>
      </c>
    </row>
    <row r="2868">
      <c r="A2868" s="9" t="s">
        <v>8767</v>
      </c>
      <c r="B2868" s="20" t="str">
        <f>IFERROR(__xludf.DUMMYFUNCTION("REGEXREPLACE(A2868, ""^https?://[^/]+"", """")"),"/wp-content/uploads/2021/07/logo-entrepreneur.png")</f>
        <v>/wp-content/uploads/2021/07/logo-entrepreneur.png</v>
      </c>
      <c r="F2868" s="1" t="s">
        <v>1047</v>
      </c>
      <c r="G2868" s="1">
        <v>200.0</v>
      </c>
      <c r="H2868" s="1" t="s">
        <v>966</v>
      </c>
      <c r="I2868" s="1" t="s">
        <v>967</v>
      </c>
      <c r="L2868" s="1">
        <v>0.0</v>
      </c>
      <c r="M2868" s="1">
        <v>0.0</v>
      </c>
      <c r="O2868" s="1">
        <v>0.0</v>
      </c>
      <c r="P2868" s="1">
        <v>0.0</v>
      </c>
      <c r="R2868" s="1">
        <v>0.0</v>
      </c>
      <c r="S2868" s="1">
        <v>0.0</v>
      </c>
      <c r="U2868" s="1">
        <v>0.0</v>
      </c>
      <c r="W2868" s="1">
        <v>0.0</v>
      </c>
      <c r="Y2868" s="1">
        <v>0.0</v>
      </c>
      <c r="AA2868" s="1">
        <v>0.0</v>
      </c>
      <c r="AC2868" s="1">
        <v>0.0</v>
      </c>
      <c r="AM2868" s="1">
        <v>3380.0</v>
      </c>
      <c r="AN2868" s="1">
        <v>3380.0</v>
      </c>
      <c r="AO2868" s="1">
        <v>3380.0</v>
      </c>
      <c r="AP2868" s="1">
        <v>1.295</v>
      </c>
      <c r="AR2868" s="1">
        <v>0.0</v>
      </c>
      <c r="AW2868" s="1">
        <v>0.0</v>
      </c>
      <c r="AX2868" s="1">
        <v>6.0</v>
      </c>
      <c r="AY2868" s="1">
        <v>4.0</v>
      </c>
      <c r="BA2868" s="1">
        <v>0.0</v>
      </c>
      <c r="BB2868" s="1">
        <v>0.0</v>
      </c>
      <c r="BC2868" s="1">
        <v>0.0</v>
      </c>
      <c r="BD2868" s="1">
        <v>0.0</v>
      </c>
      <c r="BE2868" s="1">
        <v>0.0</v>
      </c>
      <c r="BF2868" s="1">
        <v>0.0</v>
      </c>
      <c r="BG2868" s="1">
        <v>0.0</v>
      </c>
      <c r="BH2868" s="1">
        <v>0.0</v>
      </c>
      <c r="BI2868" s="1">
        <v>0.0</v>
      </c>
      <c r="BJ2868" s="1">
        <v>0.0</v>
      </c>
      <c r="BP2868" s="1">
        <v>0.27</v>
      </c>
      <c r="BQ2868" s="1" t="s">
        <v>8768</v>
      </c>
      <c r="BV2868" s="1">
        <v>1.1</v>
      </c>
      <c r="EQ2868" s="9" t="s">
        <v>8767</v>
      </c>
      <c r="ER2868" s="21">
        <v>46045.30355324074</v>
      </c>
    </row>
    <row r="2869">
      <c r="A2869" s="9" t="s">
        <v>8769</v>
      </c>
      <c r="B2869" s="20" t="str">
        <f>IFERROR(__xludf.DUMMYFUNCTION("REGEXREPLACE(A2869, ""^https?://[^/]+"", """")"),"/wp-content/uploads/2021/05/Virtual-Selling-2048x2048.jpg")</f>
        <v>/wp-content/uploads/2021/05/Virtual-Selling-2048x2048.jpg</v>
      </c>
      <c r="F2869" s="1" t="s">
        <v>1004</v>
      </c>
      <c r="G2869" s="1">
        <v>200.0</v>
      </c>
      <c r="H2869" s="1" t="s">
        <v>966</v>
      </c>
      <c r="I2869" s="1" t="s">
        <v>967</v>
      </c>
      <c r="L2869" s="1">
        <v>0.0</v>
      </c>
      <c r="M2869" s="1">
        <v>0.0</v>
      </c>
      <c r="O2869" s="1">
        <v>0.0</v>
      </c>
      <c r="P2869" s="1">
        <v>0.0</v>
      </c>
      <c r="R2869" s="1">
        <v>0.0</v>
      </c>
      <c r="S2869" s="1">
        <v>0.0</v>
      </c>
      <c r="U2869" s="1">
        <v>0.0</v>
      </c>
      <c r="W2869" s="1">
        <v>0.0</v>
      </c>
      <c r="Y2869" s="1">
        <v>0.0</v>
      </c>
      <c r="AA2869" s="1">
        <v>0.0</v>
      </c>
      <c r="AC2869" s="1">
        <v>0.0</v>
      </c>
      <c r="AM2869" s="1">
        <v>282389.0</v>
      </c>
      <c r="AN2869" s="1">
        <v>282389.0</v>
      </c>
      <c r="AO2869" s="1">
        <v>282389.0</v>
      </c>
      <c r="AP2869" s="1">
        <v>108.178</v>
      </c>
      <c r="AR2869" s="1">
        <v>0.0</v>
      </c>
      <c r="AW2869" s="1">
        <v>0.0</v>
      </c>
      <c r="AX2869" s="1">
        <v>6.0</v>
      </c>
      <c r="AY2869" s="1">
        <v>4.0</v>
      </c>
      <c r="BA2869" s="1">
        <v>0.0</v>
      </c>
      <c r="BB2869" s="1">
        <v>0.0</v>
      </c>
      <c r="BC2869" s="1">
        <v>0.0</v>
      </c>
      <c r="BD2869" s="1">
        <v>0.0</v>
      </c>
      <c r="BE2869" s="1">
        <v>0.0</v>
      </c>
      <c r="BF2869" s="1">
        <v>0.0</v>
      </c>
      <c r="BG2869" s="1">
        <v>0.0</v>
      </c>
      <c r="BH2869" s="1">
        <v>0.0</v>
      </c>
      <c r="BI2869" s="1">
        <v>0.0</v>
      </c>
      <c r="BJ2869" s="1">
        <v>0.0</v>
      </c>
      <c r="BP2869" s="1">
        <v>0.265</v>
      </c>
      <c r="BQ2869" s="1" t="s">
        <v>8770</v>
      </c>
      <c r="BV2869" s="1">
        <v>1.1</v>
      </c>
      <c r="EQ2869" s="9" t="s">
        <v>8769</v>
      </c>
      <c r="ER2869" s="21">
        <v>46045.30355324074</v>
      </c>
    </row>
    <row r="2870">
      <c r="A2870" s="9" t="s">
        <v>8771</v>
      </c>
      <c r="B2870" s="20" t="str">
        <f>IFERROR(__xludf.DUMMYFUNCTION("REGEXREPLACE(A2870, ""^https?://[^/]+"", """")"),"/if-youre-not-looking-at-these-3-things-youre-not-optimizing-sales/")</f>
        <v>/if-youre-not-looking-at-these-3-things-youre-not-optimizing-sales/</v>
      </c>
      <c r="C2870" s="1" t="s">
        <v>8772</v>
      </c>
      <c r="F2870" s="1" t="s">
        <v>965</v>
      </c>
      <c r="G2870" s="1">
        <v>200.0</v>
      </c>
      <c r="H2870" s="1" t="s">
        <v>966</v>
      </c>
      <c r="I2870" s="1" t="s">
        <v>967</v>
      </c>
      <c r="K2870" s="1" t="s">
        <v>8773</v>
      </c>
      <c r="L2870" s="1">
        <v>107.0</v>
      </c>
      <c r="M2870" s="1">
        <v>950.0</v>
      </c>
      <c r="O2870" s="1">
        <v>0.0</v>
      </c>
      <c r="P2870" s="1">
        <v>0.0</v>
      </c>
      <c r="Q2870" s="1" t="s">
        <v>8774</v>
      </c>
      <c r="R2870" s="1">
        <v>120.0</v>
      </c>
      <c r="S2870" s="1">
        <v>744.0</v>
      </c>
      <c r="U2870" s="1">
        <v>0.0</v>
      </c>
      <c r="V2870" s="1" t="s">
        <v>8772</v>
      </c>
      <c r="W2870" s="1">
        <v>82.0</v>
      </c>
      <c r="Y2870" s="1">
        <v>0.0</v>
      </c>
      <c r="AA2870" s="1">
        <v>0.0</v>
      </c>
      <c r="AC2870" s="1">
        <v>0.0</v>
      </c>
      <c r="AD2870" s="1" t="s">
        <v>971</v>
      </c>
      <c r="AG2870" s="9" t="s">
        <v>8771</v>
      </c>
      <c r="AM2870" s="1">
        <v>197771.0</v>
      </c>
      <c r="AN2870" s="1">
        <v>34252.0</v>
      </c>
      <c r="AO2870" s="1">
        <v>34252.0</v>
      </c>
      <c r="AP2870" s="1">
        <v>13.121</v>
      </c>
      <c r="AR2870" s="1">
        <v>713.0</v>
      </c>
      <c r="AS2870" s="1">
        <v>122.0</v>
      </c>
      <c r="AT2870" s="1">
        <v>5.844</v>
      </c>
      <c r="AU2870" s="1">
        <v>63.74</v>
      </c>
      <c r="AV2870" s="1" t="s">
        <v>990</v>
      </c>
      <c r="AW2870" s="1">
        <v>3.419</v>
      </c>
      <c r="AX2870" s="1">
        <v>6.0</v>
      </c>
      <c r="AY2870" s="1">
        <v>1.0</v>
      </c>
      <c r="AZ2870" s="1">
        <v>1.0</v>
      </c>
      <c r="BA2870" s="1">
        <v>3.0</v>
      </c>
      <c r="BB2870" s="1">
        <v>3.0</v>
      </c>
      <c r="BC2870" s="1">
        <v>0.0</v>
      </c>
      <c r="BD2870" s="1">
        <v>0.4</v>
      </c>
      <c r="BE2870" s="1">
        <v>129.0</v>
      </c>
      <c r="BF2870" s="1">
        <v>47.0</v>
      </c>
      <c r="BG2870" s="1">
        <v>0.0</v>
      </c>
      <c r="BH2870" s="1">
        <v>20.0</v>
      </c>
      <c r="BI2870" s="1">
        <v>12.0</v>
      </c>
      <c r="BJ2870" s="1">
        <v>0.0</v>
      </c>
      <c r="BO2870" s="1" t="s">
        <v>8775</v>
      </c>
      <c r="BP2870" s="1">
        <v>0.991</v>
      </c>
      <c r="BU2870" s="1" t="s">
        <v>974</v>
      </c>
      <c r="BV2870" s="1">
        <v>1.1</v>
      </c>
      <c r="EQ2870" s="9" t="s">
        <v>8771</v>
      </c>
      <c r="ER2870" s="21">
        <v>46045.30355324074</v>
      </c>
    </row>
    <row r="2871">
      <c r="A2871" s="9" t="s">
        <v>8776</v>
      </c>
      <c r="B2871" s="20" t="str">
        <f>IFERROR(__xludf.DUMMYFUNCTION("REGEXREPLACE(A2871, ""^https?://[^/]+"", """")"),"/wp-content/uploads/2022/08/Remote-Sales-Team-2048x2048.jpg")</f>
        <v>/wp-content/uploads/2022/08/Remote-Sales-Team-2048x2048.jpg</v>
      </c>
      <c r="F2871" s="1" t="s">
        <v>1004</v>
      </c>
      <c r="G2871" s="1">
        <v>200.0</v>
      </c>
      <c r="H2871" s="1" t="s">
        <v>966</v>
      </c>
      <c r="I2871" s="1" t="s">
        <v>967</v>
      </c>
      <c r="L2871" s="1">
        <v>0.0</v>
      </c>
      <c r="M2871" s="1">
        <v>0.0</v>
      </c>
      <c r="O2871" s="1">
        <v>0.0</v>
      </c>
      <c r="P2871" s="1">
        <v>0.0</v>
      </c>
      <c r="R2871" s="1">
        <v>0.0</v>
      </c>
      <c r="S2871" s="1">
        <v>0.0</v>
      </c>
      <c r="U2871" s="1">
        <v>0.0</v>
      </c>
      <c r="W2871" s="1">
        <v>0.0</v>
      </c>
      <c r="Y2871" s="1">
        <v>0.0</v>
      </c>
      <c r="AA2871" s="1">
        <v>0.0</v>
      </c>
      <c r="AC2871" s="1">
        <v>0.0</v>
      </c>
      <c r="AM2871" s="1">
        <v>348932.0</v>
      </c>
      <c r="AN2871" s="1">
        <v>348932.0</v>
      </c>
      <c r="AO2871" s="1">
        <v>348932.0</v>
      </c>
      <c r="AP2871" s="1">
        <v>133.669</v>
      </c>
      <c r="AR2871" s="1">
        <v>0.0</v>
      </c>
      <c r="AW2871" s="1">
        <v>0.0</v>
      </c>
      <c r="AX2871" s="1">
        <v>6.0</v>
      </c>
      <c r="AY2871" s="1">
        <v>4.0</v>
      </c>
      <c r="BA2871" s="1">
        <v>0.0</v>
      </c>
      <c r="BB2871" s="1">
        <v>0.0</v>
      </c>
      <c r="BC2871" s="1">
        <v>0.0</v>
      </c>
      <c r="BD2871" s="1">
        <v>0.0</v>
      </c>
      <c r="BE2871" s="1">
        <v>0.0</v>
      </c>
      <c r="BF2871" s="1">
        <v>0.0</v>
      </c>
      <c r="BG2871" s="1">
        <v>0.0</v>
      </c>
      <c r="BH2871" s="1">
        <v>0.0</v>
      </c>
      <c r="BI2871" s="1">
        <v>0.0</v>
      </c>
      <c r="BJ2871" s="1">
        <v>0.0</v>
      </c>
      <c r="BP2871" s="1">
        <v>0.27</v>
      </c>
      <c r="BQ2871" s="1" t="s">
        <v>8777</v>
      </c>
      <c r="BV2871" s="1">
        <v>1.1</v>
      </c>
      <c r="EQ2871" s="9" t="s">
        <v>8776</v>
      </c>
      <c r="ER2871" s="21">
        <v>46045.303564814814</v>
      </c>
    </row>
    <row r="2872">
      <c r="A2872" s="9" t="s">
        <v>8778</v>
      </c>
      <c r="B2872" s="20" t="str">
        <f>IFERROR(__xludf.DUMMYFUNCTION("REGEXREPLACE(A2872, ""^https?://[^/]+"", """")"),"/wp-content/themes/salesxceleratione/assets/css/style.css?ver=1769123751")</f>
        <v>/wp-content/themes/salesxceleratione/assets/css/style.css?ver=1769123751</v>
      </c>
      <c r="F2872" s="1" t="s">
        <v>1016</v>
      </c>
      <c r="G2872" s="1">
        <v>200.0</v>
      </c>
      <c r="H2872" s="1" t="s">
        <v>966</v>
      </c>
      <c r="I2872" s="1" t="s">
        <v>967</v>
      </c>
      <c r="L2872" s="1">
        <v>0.0</v>
      </c>
      <c r="M2872" s="1">
        <v>0.0</v>
      </c>
      <c r="O2872" s="1">
        <v>0.0</v>
      </c>
      <c r="P2872" s="1">
        <v>0.0</v>
      </c>
      <c r="R2872" s="1">
        <v>0.0</v>
      </c>
      <c r="S2872" s="1">
        <v>0.0</v>
      </c>
      <c r="U2872" s="1">
        <v>0.0</v>
      </c>
      <c r="W2872" s="1">
        <v>0.0</v>
      </c>
      <c r="Y2872" s="1">
        <v>0.0</v>
      </c>
      <c r="AA2872" s="1">
        <v>0.0</v>
      </c>
      <c r="AC2872" s="1">
        <v>0.0</v>
      </c>
      <c r="AM2872" s="1">
        <v>17704.0</v>
      </c>
      <c r="AN2872" s="1">
        <v>17704.0</v>
      </c>
      <c r="AO2872" s="1">
        <v>17704.0</v>
      </c>
      <c r="AP2872" s="1">
        <v>6.782</v>
      </c>
      <c r="AR2872" s="1">
        <v>0.0</v>
      </c>
      <c r="AW2872" s="1">
        <v>0.0</v>
      </c>
      <c r="AX2872" s="1">
        <v>6.0</v>
      </c>
      <c r="AY2872" s="1">
        <v>5.0</v>
      </c>
      <c r="BA2872" s="1">
        <v>0.0</v>
      </c>
      <c r="BB2872" s="1">
        <v>0.0</v>
      </c>
      <c r="BC2872" s="1">
        <v>0.0</v>
      </c>
      <c r="BD2872" s="1">
        <v>0.0</v>
      </c>
      <c r="BE2872" s="1">
        <v>0.0</v>
      </c>
      <c r="BF2872" s="1">
        <v>0.0</v>
      </c>
      <c r="BG2872" s="1">
        <v>0.0</v>
      </c>
      <c r="BH2872" s="1">
        <v>0.0</v>
      </c>
      <c r="BI2872" s="1">
        <v>0.0</v>
      </c>
      <c r="BJ2872" s="1">
        <v>0.0</v>
      </c>
      <c r="BP2872" s="1">
        <v>0.297</v>
      </c>
      <c r="BQ2872" s="1" t="s">
        <v>8758</v>
      </c>
      <c r="BV2872" s="1">
        <v>1.1</v>
      </c>
      <c r="EQ2872" s="9" t="s">
        <v>8778</v>
      </c>
      <c r="ER2872" s="21">
        <v>46045.303564814814</v>
      </c>
    </row>
    <row r="2873">
      <c r="A2873" s="9" t="s">
        <v>8779</v>
      </c>
      <c r="B2873" s="20" t="str">
        <f>IFERROR(__xludf.DUMMYFUNCTION("REGEXREPLACE(A2873, ""^https?://[^/]+"", """")"),"/wp-content/themes/salesxceleratione/assets/css/style.css?ver=1769123749")</f>
        <v>/wp-content/themes/salesxceleratione/assets/css/style.css?ver=1769123749</v>
      </c>
      <c r="F2873" s="1" t="s">
        <v>1016</v>
      </c>
      <c r="G2873" s="1">
        <v>200.0</v>
      </c>
      <c r="H2873" s="1" t="s">
        <v>966</v>
      </c>
      <c r="I2873" s="1" t="s">
        <v>967</v>
      </c>
      <c r="L2873" s="1">
        <v>0.0</v>
      </c>
      <c r="M2873" s="1">
        <v>0.0</v>
      </c>
      <c r="O2873" s="1">
        <v>0.0</v>
      </c>
      <c r="P2873" s="1">
        <v>0.0</v>
      </c>
      <c r="R2873" s="1">
        <v>0.0</v>
      </c>
      <c r="S2873" s="1">
        <v>0.0</v>
      </c>
      <c r="U2873" s="1">
        <v>0.0</v>
      </c>
      <c r="W2873" s="1">
        <v>0.0</v>
      </c>
      <c r="Y2873" s="1">
        <v>0.0</v>
      </c>
      <c r="AA2873" s="1">
        <v>0.0</v>
      </c>
      <c r="AC2873" s="1">
        <v>0.0</v>
      </c>
      <c r="AM2873" s="1">
        <v>17704.0</v>
      </c>
      <c r="AN2873" s="1">
        <v>17704.0</v>
      </c>
      <c r="AO2873" s="1">
        <v>17704.0</v>
      </c>
      <c r="AP2873" s="1">
        <v>6.782</v>
      </c>
      <c r="AR2873" s="1">
        <v>0.0</v>
      </c>
      <c r="AW2873" s="1">
        <v>0.0</v>
      </c>
      <c r="AX2873" s="1">
        <v>6.0</v>
      </c>
      <c r="AY2873" s="1">
        <v>5.0</v>
      </c>
      <c r="BA2873" s="1">
        <v>0.0</v>
      </c>
      <c r="BB2873" s="1">
        <v>0.0</v>
      </c>
      <c r="BC2873" s="1">
        <v>0.0</v>
      </c>
      <c r="BD2873" s="1">
        <v>0.0</v>
      </c>
      <c r="BE2873" s="1">
        <v>0.0</v>
      </c>
      <c r="BF2873" s="1">
        <v>0.0</v>
      </c>
      <c r="BG2873" s="1">
        <v>0.0</v>
      </c>
      <c r="BH2873" s="1">
        <v>0.0</v>
      </c>
      <c r="BI2873" s="1">
        <v>0.0</v>
      </c>
      <c r="BJ2873" s="1">
        <v>0.0</v>
      </c>
      <c r="BP2873" s="1">
        <v>0.361</v>
      </c>
      <c r="BQ2873" s="1" t="s">
        <v>8758</v>
      </c>
      <c r="BV2873" s="1">
        <v>1.1</v>
      </c>
      <c r="EQ2873" s="9" t="s">
        <v>8779</v>
      </c>
      <c r="ER2873" s="21">
        <v>46045.303564814814</v>
      </c>
    </row>
    <row r="2874">
      <c r="A2874" s="9" t="s">
        <v>8780</v>
      </c>
      <c r="B2874" s="20" t="str">
        <f>IFERROR(__xludf.DUMMYFUNCTION("REGEXREPLACE(A2874, ""^https?://[^/]+"", """")"),"/wp-content/uploads/2019/06/shutterstock_387729373-resized.jpg")</f>
        <v>/wp-content/uploads/2019/06/shutterstock_387729373-resized.jpg</v>
      </c>
      <c r="F2874" s="1" t="s">
        <v>1004</v>
      </c>
      <c r="G2874" s="1">
        <v>200.0</v>
      </c>
      <c r="H2874" s="1" t="s">
        <v>966</v>
      </c>
      <c r="I2874" s="1" t="s">
        <v>967</v>
      </c>
      <c r="L2874" s="1">
        <v>0.0</v>
      </c>
      <c r="M2874" s="1">
        <v>0.0</v>
      </c>
      <c r="O2874" s="1">
        <v>0.0</v>
      </c>
      <c r="P2874" s="1">
        <v>0.0</v>
      </c>
      <c r="R2874" s="1">
        <v>0.0</v>
      </c>
      <c r="S2874" s="1">
        <v>0.0</v>
      </c>
      <c r="U2874" s="1">
        <v>0.0</v>
      </c>
      <c r="W2874" s="1">
        <v>0.0</v>
      </c>
      <c r="Y2874" s="1">
        <v>0.0</v>
      </c>
      <c r="AA2874" s="1">
        <v>0.0</v>
      </c>
      <c r="AC2874" s="1">
        <v>0.0</v>
      </c>
      <c r="AM2874" s="1">
        <v>260910.0</v>
      </c>
      <c r="AN2874" s="1">
        <v>260910.0</v>
      </c>
      <c r="AO2874" s="1">
        <v>260910.0</v>
      </c>
      <c r="AP2874" s="1">
        <v>99.95</v>
      </c>
      <c r="AR2874" s="1">
        <v>0.0</v>
      </c>
      <c r="AW2874" s="1">
        <v>0.0</v>
      </c>
      <c r="AX2874" s="1">
        <v>6.0</v>
      </c>
      <c r="AY2874" s="1">
        <v>4.0</v>
      </c>
      <c r="BA2874" s="1">
        <v>0.0</v>
      </c>
      <c r="BB2874" s="1">
        <v>0.0</v>
      </c>
      <c r="BC2874" s="1">
        <v>0.0</v>
      </c>
      <c r="BD2874" s="1">
        <v>0.0</v>
      </c>
      <c r="BE2874" s="1">
        <v>0.0</v>
      </c>
      <c r="BF2874" s="1">
        <v>0.0</v>
      </c>
      <c r="BG2874" s="1">
        <v>0.0</v>
      </c>
      <c r="BH2874" s="1">
        <v>0.0</v>
      </c>
      <c r="BI2874" s="1">
        <v>0.0</v>
      </c>
      <c r="BJ2874" s="1">
        <v>0.0</v>
      </c>
      <c r="BP2874" s="1">
        <v>0.266</v>
      </c>
      <c r="BQ2874" s="1" t="s">
        <v>8781</v>
      </c>
      <c r="BV2874" s="1">
        <v>1.1</v>
      </c>
      <c r="EQ2874" s="9" t="s">
        <v>8780</v>
      </c>
      <c r="ER2874" s="21">
        <v>46045.30357638889</v>
      </c>
    </row>
    <row r="2875">
      <c r="A2875" s="9" t="s">
        <v>8782</v>
      </c>
      <c r="B2875" s="20" t="str">
        <f>IFERROR(__xludf.DUMMYFUNCTION("REGEXREPLACE(A2875, ""^https?://[^/]+"", """")"),"/wp-content/themes/salesxceleratione/assets/css/style.css?ver=1769123748")</f>
        <v>/wp-content/themes/salesxceleratione/assets/css/style.css?ver=1769123748</v>
      </c>
      <c r="F2875" s="1" t="s">
        <v>1016</v>
      </c>
      <c r="G2875" s="1">
        <v>200.0</v>
      </c>
      <c r="H2875" s="1" t="s">
        <v>966</v>
      </c>
      <c r="I2875" s="1" t="s">
        <v>967</v>
      </c>
      <c r="L2875" s="1">
        <v>0.0</v>
      </c>
      <c r="M2875" s="1">
        <v>0.0</v>
      </c>
      <c r="O2875" s="1">
        <v>0.0</v>
      </c>
      <c r="P2875" s="1">
        <v>0.0</v>
      </c>
      <c r="R2875" s="1">
        <v>0.0</v>
      </c>
      <c r="S2875" s="1">
        <v>0.0</v>
      </c>
      <c r="U2875" s="1">
        <v>0.0</v>
      </c>
      <c r="W2875" s="1">
        <v>0.0</v>
      </c>
      <c r="Y2875" s="1">
        <v>0.0</v>
      </c>
      <c r="AA2875" s="1">
        <v>0.0</v>
      </c>
      <c r="AC2875" s="1">
        <v>0.0</v>
      </c>
      <c r="AM2875" s="1">
        <v>17704.0</v>
      </c>
      <c r="AN2875" s="1">
        <v>17704.0</v>
      </c>
      <c r="AO2875" s="1">
        <v>17704.0</v>
      </c>
      <c r="AP2875" s="1">
        <v>6.782</v>
      </c>
      <c r="AR2875" s="1">
        <v>0.0</v>
      </c>
      <c r="AW2875" s="1">
        <v>0.0</v>
      </c>
      <c r="AX2875" s="1">
        <v>6.0</v>
      </c>
      <c r="AY2875" s="1">
        <v>5.0</v>
      </c>
      <c r="BA2875" s="1">
        <v>0.0</v>
      </c>
      <c r="BB2875" s="1">
        <v>0.0</v>
      </c>
      <c r="BC2875" s="1">
        <v>0.0</v>
      </c>
      <c r="BD2875" s="1">
        <v>0.0</v>
      </c>
      <c r="BE2875" s="1">
        <v>0.0</v>
      </c>
      <c r="BF2875" s="1">
        <v>0.0</v>
      </c>
      <c r="BG2875" s="1">
        <v>0.0</v>
      </c>
      <c r="BH2875" s="1">
        <v>0.0</v>
      </c>
      <c r="BI2875" s="1">
        <v>0.0</v>
      </c>
      <c r="BJ2875" s="1">
        <v>0.0</v>
      </c>
      <c r="BP2875" s="1">
        <v>0.263</v>
      </c>
      <c r="BQ2875" s="1" t="s">
        <v>8783</v>
      </c>
      <c r="BV2875" s="1">
        <v>1.1</v>
      </c>
      <c r="EQ2875" s="9" t="s">
        <v>8782</v>
      </c>
      <c r="ER2875" s="21">
        <v>46045.30357638889</v>
      </c>
    </row>
    <row r="2876">
      <c r="A2876" s="9" t="s">
        <v>8784</v>
      </c>
      <c r="B2876" s="20" t="str">
        <f>IFERROR(__xludf.DUMMYFUNCTION("REGEXREPLACE(A2876, ""^https?://[^/]+"", """")"),"/wp-content/uploads/2020/02/leap-day-2048x2048.jpg")</f>
        <v>/wp-content/uploads/2020/02/leap-day-2048x2048.jpg</v>
      </c>
      <c r="F2876" s="1" t="s">
        <v>1004</v>
      </c>
      <c r="G2876" s="1">
        <v>200.0</v>
      </c>
      <c r="H2876" s="1" t="s">
        <v>966</v>
      </c>
      <c r="I2876" s="1" t="s">
        <v>967</v>
      </c>
      <c r="L2876" s="1">
        <v>0.0</v>
      </c>
      <c r="M2876" s="1">
        <v>0.0</v>
      </c>
      <c r="O2876" s="1">
        <v>0.0</v>
      </c>
      <c r="P2876" s="1">
        <v>0.0</v>
      </c>
      <c r="R2876" s="1">
        <v>0.0</v>
      </c>
      <c r="S2876" s="1">
        <v>0.0</v>
      </c>
      <c r="U2876" s="1">
        <v>0.0</v>
      </c>
      <c r="W2876" s="1">
        <v>0.0</v>
      </c>
      <c r="Y2876" s="1">
        <v>0.0</v>
      </c>
      <c r="AA2876" s="1">
        <v>0.0</v>
      </c>
      <c r="AC2876" s="1">
        <v>0.0</v>
      </c>
      <c r="AM2876" s="1">
        <v>468266.0</v>
      </c>
      <c r="AN2876" s="1">
        <v>468266.0</v>
      </c>
      <c r="AO2876" s="1">
        <v>468266.0</v>
      </c>
      <c r="AP2876" s="1">
        <v>179.384</v>
      </c>
      <c r="AR2876" s="1">
        <v>0.0</v>
      </c>
      <c r="AW2876" s="1">
        <v>0.0</v>
      </c>
      <c r="AX2876" s="1">
        <v>6.0</v>
      </c>
      <c r="AY2876" s="1">
        <v>4.0</v>
      </c>
      <c r="BA2876" s="1">
        <v>0.0</v>
      </c>
      <c r="BB2876" s="1">
        <v>0.0</v>
      </c>
      <c r="BC2876" s="1">
        <v>0.0</v>
      </c>
      <c r="BD2876" s="1">
        <v>0.0</v>
      </c>
      <c r="BE2876" s="1">
        <v>0.0</v>
      </c>
      <c r="BF2876" s="1">
        <v>0.0</v>
      </c>
      <c r="BG2876" s="1">
        <v>0.0</v>
      </c>
      <c r="BH2876" s="1">
        <v>0.0</v>
      </c>
      <c r="BI2876" s="1">
        <v>0.0</v>
      </c>
      <c r="BJ2876" s="1">
        <v>0.0</v>
      </c>
      <c r="BP2876" s="1">
        <v>0.259</v>
      </c>
      <c r="BQ2876" s="1" t="s">
        <v>8785</v>
      </c>
      <c r="BV2876" s="1">
        <v>1.1</v>
      </c>
      <c r="EQ2876" s="9" t="s">
        <v>8784</v>
      </c>
      <c r="ER2876" s="21">
        <v>46045.30358796296</v>
      </c>
    </row>
    <row r="2877">
      <c r="A2877" s="9" t="s">
        <v>8786</v>
      </c>
      <c r="B2877" s="20" t="str">
        <f>IFERROR(__xludf.DUMMYFUNCTION("REGEXREPLACE(A2877, ""^https?://[^/]+"", """")"),"/wp-content/uploads/2020/02/certified-sales-professional-2048x2048.jpg")</f>
        <v>/wp-content/uploads/2020/02/certified-sales-professional-2048x2048.jpg</v>
      </c>
      <c r="F2877" s="1" t="s">
        <v>1004</v>
      </c>
      <c r="G2877" s="1">
        <v>200.0</v>
      </c>
      <c r="H2877" s="1" t="s">
        <v>966</v>
      </c>
      <c r="I2877" s="1" t="s">
        <v>967</v>
      </c>
      <c r="L2877" s="1">
        <v>0.0</v>
      </c>
      <c r="M2877" s="1">
        <v>0.0</v>
      </c>
      <c r="O2877" s="1">
        <v>0.0</v>
      </c>
      <c r="P2877" s="1">
        <v>0.0</v>
      </c>
      <c r="R2877" s="1">
        <v>0.0</v>
      </c>
      <c r="S2877" s="1">
        <v>0.0</v>
      </c>
      <c r="U2877" s="1">
        <v>0.0</v>
      </c>
      <c r="W2877" s="1">
        <v>0.0</v>
      </c>
      <c r="Y2877" s="1">
        <v>0.0</v>
      </c>
      <c r="AA2877" s="1">
        <v>0.0</v>
      </c>
      <c r="AC2877" s="1">
        <v>0.0</v>
      </c>
      <c r="AM2877" s="1">
        <v>353080.0</v>
      </c>
      <c r="AN2877" s="1">
        <v>353080.0</v>
      </c>
      <c r="AO2877" s="1">
        <v>353080.0</v>
      </c>
      <c r="AP2877" s="1">
        <v>135.258</v>
      </c>
      <c r="AR2877" s="1">
        <v>0.0</v>
      </c>
      <c r="AW2877" s="1">
        <v>0.0</v>
      </c>
      <c r="AX2877" s="1">
        <v>6.0</v>
      </c>
      <c r="AY2877" s="1">
        <v>4.0</v>
      </c>
      <c r="BA2877" s="1">
        <v>0.0</v>
      </c>
      <c r="BB2877" s="1">
        <v>0.0</v>
      </c>
      <c r="BC2877" s="1">
        <v>0.0</v>
      </c>
      <c r="BD2877" s="1">
        <v>0.0</v>
      </c>
      <c r="BE2877" s="1">
        <v>0.0</v>
      </c>
      <c r="BF2877" s="1">
        <v>0.0</v>
      </c>
      <c r="BG2877" s="1">
        <v>0.0</v>
      </c>
      <c r="BH2877" s="1">
        <v>0.0</v>
      </c>
      <c r="BI2877" s="1">
        <v>0.0</v>
      </c>
      <c r="BJ2877" s="1">
        <v>0.0</v>
      </c>
      <c r="BP2877" s="1">
        <v>0.262</v>
      </c>
      <c r="BQ2877" s="1" t="s">
        <v>8787</v>
      </c>
      <c r="BV2877" s="1">
        <v>1.1</v>
      </c>
      <c r="EQ2877" s="9" t="s">
        <v>8786</v>
      </c>
      <c r="ER2877" s="21">
        <v>46045.30358796296</v>
      </c>
    </row>
    <row r="2878">
      <c r="A2878" s="9" t="s">
        <v>8788</v>
      </c>
      <c r="B2878" s="20" t="str">
        <f>IFERROR(__xludf.DUMMYFUNCTION("REGEXREPLACE(A2878, ""^https?://[^/]+"", """")"),"/is-this-the-year-to-take-the-leap-of-faith/")</f>
        <v>/is-this-the-year-to-take-the-leap-of-faith/</v>
      </c>
      <c r="C2878" s="1" t="s">
        <v>8789</v>
      </c>
      <c r="F2878" s="1" t="s">
        <v>965</v>
      </c>
      <c r="G2878" s="1">
        <v>200.0</v>
      </c>
      <c r="H2878" s="1" t="s">
        <v>966</v>
      </c>
      <c r="I2878" s="1" t="s">
        <v>967</v>
      </c>
      <c r="K2878" s="1" t="s">
        <v>8790</v>
      </c>
      <c r="L2878" s="1">
        <v>68.0</v>
      </c>
      <c r="M2878" s="1">
        <v>585.0</v>
      </c>
      <c r="O2878" s="1">
        <v>0.0</v>
      </c>
      <c r="P2878" s="1">
        <v>0.0</v>
      </c>
      <c r="Q2878" s="1" t="s">
        <v>8791</v>
      </c>
      <c r="R2878" s="1">
        <v>134.0</v>
      </c>
      <c r="S2878" s="1">
        <v>799.0</v>
      </c>
      <c r="U2878" s="1">
        <v>0.0</v>
      </c>
      <c r="V2878" s="1" t="s">
        <v>8789</v>
      </c>
      <c r="W2878" s="1">
        <v>43.0</v>
      </c>
      <c r="Y2878" s="1">
        <v>0.0</v>
      </c>
      <c r="AA2878" s="1">
        <v>0.0</v>
      </c>
      <c r="AC2878" s="1">
        <v>0.0</v>
      </c>
      <c r="AD2878" s="1" t="s">
        <v>971</v>
      </c>
      <c r="AG2878" s="9" t="s">
        <v>8788</v>
      </c>
      <c r="AM2878" s="1">
        <v>201648.0</v>
      </c>
      <c r="AN2878" s="1">
        <v>36119.0</v>
      </c>
      <c r="AO2878" s="1">
        <v>36119.0</v>
      </c>
      <c r="AP2878" s="1">
        <v>13.837</v>
      </c>
      <c r="AR2878" s="1">
        <v>1369.0</v>
      </c>
      <c r="AS2878" s="1">
        <v>215.0</v>
      </c>
      <c r="AT2878" s="1">
        <v>6.367</v>
      </c>
      <c r="AU2878" s="1">
        <v>71.649</v>
      </c>
      <c r="AV2878" s="1" t="s">
        <v>1264</v>
      </c>
      <c r="AW2878" s="1">
        <v>5.22</v>
      </c>
      <c r="AX2878" s="1">
        <v>6.0</v>
      </c>
      <c r="AY2878" s="1">
        <v>1.0</v>
      </c>
      <c r="AZ2878" s="1">
        <v>1.0</v>
      </c>
      <c r="BA2878" s="1">
        <v>3.0</v>
      </c>
      <c r="BB2878" s="1">
        <v>3.0</v>
      </c>
      <c r="BC2878" s="1">
        <v>0.0</v>
      </c>
      <c r="BD2878" s="1">
        <v>0.4</v>
      </c>
      <c r="BE2878" s="1">
        <v>131.0</v>
      </c>
      <c r="BF2878" s="1">
        <v>48.0</v>
      </c>
      <c r="BG2878" s="1">
        <v>0.0</v>
      </c>
      <c r="BH2878" s="1">
        <v>17.0</v>
      </c>
      <c r="BI2878" s="1">
        <v>9.0</v>
      </c>
      <c r="BJ2878" s="1">
        <v>0.0</v>
      </c>
      <c r="BO2878" s="1" t="s">
        <v>8792</v>
      </c>
      <c r="BP2878" s="1">
        <v>0.994</v>
      </c>
      <c r="BU2878" s="1" t="s">
        <v>974</v>
      </c>
      <c r="BV2878" s="1">
        <v>1.1</v>
      </c>
      <c r="EQ2878" s="9" t="s">
        <v>8788</v>
      </c>
      <c r="ER2878" s="21">
        <v>46045.30357638889</v>
      </c>
    </row>
    <row r="2879">
      <c r="A2879" s="9" t="s">
        <v>8793</v>
      </c>
      <c r="B2879" s="20" t="str">
        <f>IFERROR(__xludf.DUMMYFUNCTION("REGEXREPLACE(A2879, ""^https?://[^/]+"", """")"),"/wp-content/themes/salesxceleratione/assets/css/style.css?ver=1769123747")</f>
        <v>/wp-content/themes/salesxceleratione/assets/css/style.css?ver=1769123747</v>
      </c>
      <c r="F2879" s="1" t="s">
        <v>1016</v>
      </c>
      <c r="G2879" s="1">
        <v>200.0</v>
      </c>
      <c r="H2879" s="1" t="s">
        <v>966</v>
      </c>
      <c r="I2879" s="1" t="s">
        <v>967</v>
      </c>
      <c r="L2879" s="1">
        <v>0.0</v>
      </c>
      <c r="M2879" s="1">
        <v>0.0</v>
      </c>
      <c r="O2879" s="1">
        <v>0.0</v>
      </c>
      <c r="P2879" s="1">
        <v>0.0</v>
      </c>
      <c r="R2879" s="1">
        <v>0.0</v>
      </c>
      <c r="S2879" s="1">
        <v>0.0</v>
      </c>
      <c r="U2879" s="1">
        <v>0.0</v>
      </c>
      <c r="W2879" s="1">
        <v>0.0</v>
      </c>
      <c r="Y2879" s="1">
        <v>0.0</v>
      </c>
      <c r="AA2879" s="1">
        <v>0.0</v>
      </c>
      <c r="AC2879" s="1">
        <v>0.0</v>
      </c>
      <c r="AM2879" s="1">
        <v>17704.0</v>
      </c>
      <c r="AN2879" s="1">
        <v>17704.0</v>
      </c>
      <c r="AO2879" s="1">
        <v>17704.0</v>
      </c>
      <c r="AP2879" s="1">
        <v>6.782</v>
      </c>
      <c r="AR2879" s="1">
        <v>0.0</v>
      </c>
      <c r="AW2879" s="1">
        <v>0.0</v>
      </c>
      <c r="AX2879" s="1">
        <v>6.0</v>
      </c>
      <c r="AY2879" s="1">
        <v>5.0</v>
      </c>
      <c r="BA2879" s="1">
        <v>0.0</v>
      </c>
      <c r="BB2879" s="1">
        <v>0.0</v>
      </c>
      <c r="BC2879" s="1">
        <v>0.0</v>
      </c>
      <c r="BD2879" s="1">
        <v>0.0</v>
      </c>
      <c r="BE2879" s="1">
        <v>0.0</v>
      </c>
      <c r="BF2879" s="1">
        <v>0.0</v>
      </c>
      <c r="BG2879" s="1">
        <v>0.0</v>
      </c>
      <c r="BH2879" s="1">
        <v>0.0</v>
      </c>
      <c r="BI2879" s="1">
        <v>0.0</v>
      </c>
      <c r="BJ2879" s="1">
        <v>0.0</v>
      </c>
      <c r="BP2879" s="1">
        <v>0.257</v>
      </c>
      <c r="BQ2879" s="1" t="s">
        <v>7833</v>
      </c>
      <c r="BV2879" s="1">
        <v>1.1</v>
      </c>
      <c r="EQ2879" s="9" t="s">
        <v>8793</v>
      </c>
      <c r="ER2879" s="21">
        <v>46045.30358796296</v>
      </c>
    </row>
    <row r="2880">
      <c r="A2880" s="9" t="s">
        <v>8794</v>
      </c>
      <c r="B2880" s="20" t="str">
        <f>IFERROR(__xludf.DUMMYFUNCTION("REGEXREPLACE(A2880, ""^https?://[^/]+"", """")"),"/wp-content/uploads/2018/11/shutterstock_145160692-scaled.jpg")</f>
        <v>/wp-content/uploads/2018/11/shutterstock_145160692-scaled.jpg</v>
      </c>
      <c r="F2880" s="1" t="s">
        <v>1004</v>
      </c>
      <c r="G2880" s="1">
        <v>200.0</v>
      </c>
      <c r="H2880" s="1" t="s">
        <v>966</v>
      </c>
      <c r="I2880" s="1" t="s">
        <v>967</v>
      </c>
      <c r="L2880" s="1">
        <v>0.0</v>
      </c>
      <c r="M2880" s="1">
        <v>0.0</v>
      </c>
      <c r="O2880" s="1">
        <v>0.0</v>
      </c>
      <c r="P2880" s="1">
        <v>0.0</v>
      </c>
      <c r="R2880" s="1">
        <v>0.0</v>
      </c>
      <c r="S2880" s="1">
        <v>0.0</v>
      </c>
      <c r="U2880" s="1">
        <v>0.0</v>
      </c>
      <c r="W2880" s="1">
        <v>0.0</v>
      </c>
      <c r="Y2880" s="1">
        <v>0.0</v>
      </c>
      <c r="AA2880" s="1">
        <v>0.0</v>
      </c>
      <c r="AC2880" s="1">
        <v>0.0</v>
      </c>
      <c r="AM2880" s="1">
        <v>215559.0</v>
      </c>
      <c r="AN2880" s="1">
        <v>215559.0</v>
      </c>
      <c r="AO2880" s="1">
        <v>215559.0</v>
      </c>
      <c r="AP2880" s="1">
        <v>82.577</v>
      </c>
      <c r="AR2880" s="1">
        <v>0.0</v>
      </c>
      <c r="AW2880" s="1">
        <v>0.0</v>
      </c>
      <c r="AX2880" s="1">
        <v>6.0</v>
      </c>
      <c r="AY2880" s="1">
        <v>4.0</v>
      </c>
      <c r="BA2880" s="1">
        <v>0.0</v>
      </c>
      <c r="BB2880" s="1">
        <v>0.0</v>
      </c>
      <c r="BC2880" s="1">
        <v>0.0</v>
      </c>
      <c r="BD2880" s="1">
        <v>0.0</v>
      </c>
      <c r="BE2880" s="1">
        <v>0.0</v>
      </c>
      <c r="BF2880" s="1">
        <v>0.0</v>
      </c>
      <c r="BG2880" s="1">
        <v>0.0</v>
      </c>
      <c r="BH2880" s="1">
        <v>0.0</v>
      </c>
      <c r="BI2880" s="1">
        <v>0.0</v>
      </c>
      <c r="BJ2880" s="1">
        <v>0.0</v>
      </c>
      <c r="BP2880" s="1">
        <v>0.273</v>
      </c>
      <c r="BQ2880" s="1" t="s">
        <v>8795</v>
      </c>
      <c r="BV2880" s="1">
        <v>1.1</v>
      </c>
      <c r="EQ2880" s="9" t="s">
        <v>8794</v>
      </c>
      <c r="ER2880" s="21">
        <v>46045.30358796296</v>
      </c>
    </row>
    <row r="2881">
      <c r="A2881" s="9" t="s">
        <v>8796</v>
      </c>
      <c r="B2881" s="20" t="str">
        <f>IFERROR(__xludf.DUMMYFUNCTION("REGEXREPLACE(A2881, ""^https?://[^/]+"", """")"),"/managing-your-business-the-butler-way")</f>
        <v>/managing-your-business-the-butler-way</v>
      </c>
      <c r="F2881" s="1" t="s">
        <v>965</v>
      </c>
      <c r="G2881" s="1">
        <v>301.0</v>
      </c>
      <c r="H2881" s="1" t="s">
        <v>1304</v>
      </c>
      <c r="I2881" s="1" t="s">
        <v>1214</v>
      </c>
      <c r="J2881" s="1" t="s">
        <v>1305</v>
      </c>
      <c r="L2881" s="1">
        <v>0.0</v>
      </c>
      <c r="M2881" s="1">
        <v>0.0</v>
      </c>
      <c r="O2881" s="1">
        <v>0.0</v>
      </c>
      <c r="P2881" s="1">
        <v>0.0</v>
      </c>
      <c r="R2881" s="1">
        <v>0.0</v>
      </c>
      <c r="S2881" s="1">
        <v>0.0</v>
      </c>
      <c r="U2881" s="1">
        <v>0.0</v>
      </c>
      <c r="W2881" s="1">
        <v>0.0</v>
      </c>
      <c r="Y2881" s="1">
        <v>0.0</v>
      </c>
      <c r="AA2881" s="1">
        <v>0.0</v>
      </c>
      <c r="AC2881" s="1">
        <v>0.0</v>
      </c>
      <c r="AM2881" s="1">
        <v>0.0</v>
      </c>
      <c r="AN2881" s="1">
        <v>0.0</v>
      </c>
      <c r="AO2881" s="1">
        <v>0.0</v>
      </c>
      <c r="AP2881" s="1">
        <v>0.0</v>
      </c>
      <c r="AR2881" s="1">
        <v>0.0</v>
      </c>
      <c r="AW2881" s="1">
        <v>0.0</v>
      </c>
      <c r="AX2881" s="1">
        <v>6.0</v>
      </c>
      <c r="AY2881" s="1">
        <v>0.0</v>
      </c>
      <c r="BA2881" s="1">
        <v>1.0</v>
      </c>
      <c r="BB2881" s="1">
        <v>1.0</v>
      </c>
      <c r="BC2881" s="1">
        <v>0.0</v>
      </c>
      <c r="BD2881" s="1">
        <v>0.13</v>
      </c>
      <c r="BE2881" s="1">
        <v>0.0</v>
      </c>
      <c r="BF2881" s="1">
        <v>0.0</v>
      </c>
      <c r="BG2881" s="1">
        <v>0.0</v>
      </c>
      <c r="BH2881" s="1">
        <v>0.0</v>
      </c>
      <c r="BI2881" s="1">
        <v>0.0</v>
      </c>
      <c r="BJ2881" s="1">
        <v>0.0</v>
      </c>
      <c r="BP2881" s="1">
        <v>1.375</v>
      </c>
      <c r="BR2881" s="9" t="s">
        <v>5444</v>
      </c>
      <c r="BS2881" s="1" t="s">
        <v>1307</v>
      </c>
      <c r="BV2881" s="1">
        <v>1.1</v>
      </c>
      <c r="EQ2881" s="9" t="s">
        <v>8796</v>
      </c>
      <c r="ER2881" s="21">
        <v>46045.30357638889</v>
      </c>
    </row>
    <row r="2882">
      <c r="A2882" s="9" t="s">
        <v>8797</v>
      </c>
      <c r="B2882" s="20" t="str">
        <f>IFERROR(__xludf.DUMMYFUNCTION("REGEXREPLACE(A2882, ""^https?://[^/]+"", """")"),"/wp-content/themes/salesxceleratione/assets/css/style.css?ver=1769123746")</f>
        <v>/wp-content/themes/salesxceleratione/assets/css/style.css?ver=1769123746</v>
      </c>
      <c r="F2882" s="1" t="s">
        <v>1016</v>
      </c>
      <c r="G2882" s="1">
        <v>200.0</v>
      </c>
      <c r="H2882" s="1" t="s">
        <v>966</v>
      </c>
      <c r="I2882" s="1" t="s">
        <v>967</v>
      </c>
      <c r="L2882" s="1">
        <v>0.0</v>
      </c>
      <c r="M2882" s="1">
        <v>0.0</v>
      </c>
      <c r="O2882" s="1">
        <v>0.0</v>
      </c>
      <c r="P2882" s="1">
        <v>0.0</v>
      </c>
      <c r="R2882" s="1">
        <v>0.0</v>
      </c>
      <c r="S2882" s="1">
        <v>0.0</v>
      </c>
      <c r="U2882" s="1">
        <v>0.0</v>
      </c>
      <c r="W2882" s="1">
        <v>0.0</v>
      </c>
      <c r="Y2882" s="1">
        <v>0.0</v>
      </c>
      <c r="AA2882" s="1">
        <v>0.0</v>
      </c>
      <c r="AC2882" s="1">
        <v>0.0</v>
      </c>
      <c r="AM2882" s="1">
        <v>17704.0</v>
      </c>
      <c r="AN2882" s="1">
        <v>17704.0</v>
      </c>
      <c r="AO2882" s="1">
        <v>17704.0</v>
      </c>
      <c r="AP2882" s="1">
        <v>6.782</v>
      </c>
      <c r="AR2882" s="1">
        <v>0.0</v>
      </c>
      <c r="AW2882" s="1">
        <v>0.0</v>
      </c>
      <c r="AX2882" s="1">
        <v>6.0</v>
      </c>
      <c r="AY2882" s="1">
        <v>5.0</v>
      </c>
      <c r="BA2882" s="1">
        <v>0.0</v>
      </c>
      <c r="BB2882" s="1">
        <v>0.0</v>
      </c>
      <c r="BC2882" s="1">
        <v>0.0</v>
      </c>
      <c r="BD2882" s="1">
        <v>0.0</v>
      </c>
      <c r="BE2882" s="1">
        <v>0.0</v>
      </c>
      <c r="BF2882" s="1">
        <v>0.0</v>
      </c>
      <c r="BG2882" s="1">
        <v>0.0</v>
      </c>
      <c r="BH2882" s="1">
        <v>0.0</v>
      </c>
      <c r="BI2882" s="1">
        <v>0.0</v>
      </c>
      <c r="BJ2882" s="1">
        <v>0.0</v>
      </c>
      <c r="BP2882" s="1">
        <v>0.313</v>
      </c>
      <c r="BQ2882" s="1" t="s">
        <v>8798</v>
      </c>
      <c r="BV2882" s="1">
        <v>1.1</v>
      </c>
      <c r="EQ2882" s="9" t="s">
        <v>8797</v>
      </c>
      <c r="ER2882" s="21">
        <v>46045.30358796296</v>
      </c>
    </row>
    <row r="2883">
      <c r="A2883" s="9" t="s">
        <v>8799</v>
      </c>
      <c r="B2883" s="20" t="str">
        <f>IFERROR(__xludf.DUMMYFUNCTION("REGEXREPLACE(A2883, ""^https?://[^/]+"", """")"),"/why-sales-managers-must-be-coaches-so-salespeople-can-perform-when-it-counts")</f>
        <v>/why-sales-managers-must-be-coaches-so-salespeople-can-perform-when-it-counts</v>
      </c>
      <c r="F2883" s="1" t="s">
        <v>965</v>
      </c>
      <c r="G2883" s="1">
        <v>301.0</v>
      </c>
      <c r="H2883" s="1" t="s">
        <v>1304</v>
      </c>
      <c r="I2883" s="1" t="s">
        <v>1214</v>
      </c>
      <c r="J2883" s="1" t="s">
        <v>1305</v>
      </c>
      <c r="L2883" s="1">
        <v>0.0</v>
      </c>
      <c r="M2883" s="1">
        <v>0.0</v>
      </c>
      <c r="O2883" s="1">
        <v>0.0</v>
      </c>
      <c r="P2883" s="1">
        <v>0.0</v>
      </c>
      <c r="R2883" s="1">
        <v>0.0</v>
      </c>
      <c r="S2883" s="1">
        <v>0.0</v>
      </c>
      <c r="U2883" s="1">
        <v>0.0</v>
      </c>
      <c r="W2883" s="1">
        <v>0.0</v>
      </c>
      <c r="Y2883" s="1">
        <v>0.0</v>
      </c>
      <c r="AA2883" s="1">
        <v>0.0</v>
      </c>
      <c r="AC2883" s="1">
        <v>0.0</v>
      </c>
      <c r="AM2883" s="1">
        <v>0.0</v>
      </c>
      <c r="AN2883" s="1">
        <v>0.0</v>
      </c>
      <c r="AO2883" s="1">
        <v>0.0</v>
      </c>
      <c r="AP2883" s="1">
        <v>0.0</v>
      </c>
      <c r="AR2883" s="1">
        <v>0.0</v>
      </c>
      <c r="AW2883" s="1">
        <v>0.0</v>
      </c>
      <c r="AX2883" s="1">
        <v>6.0</v>
      </c>
      <c r="AY2883" s="1">
        <v>0.0</v>
      </c>
      <c r="BA2883" s="1">
        <v>1.0</v>
      </c>
      <c r="BB2883" s="1">
        <v>1.0</v>
      </c>
      <c r="BC2883" s="1">
        <v>0.0</v>
      </c>
      <c r="BD2883" s="1">
        <v>0.13</v>
      </c>
      <c r="BE2883" s="1">
        <v>0.0</v>
      </c>
      <c r="BF2883" s="1">
        <v>0.0</v>
      </c>
      <c r="BG2883" s="1">
        <v>0.0</v>
      </c>
      <c r="BH2883" s="1">
        <v>0.0</v>
      </c>
      <c r="BI2883" s="1">
        <v>0.0</v>
      </c>
      <c r="BJ2883" s="1">
        <v>0.0</v>
      </c>
      <c r="BP2883" s="1">
        <v>0.978</v>
      </c>
      <c r="BR2883" s="9" t="s">
        <v>8800</v>
      </c>
      <c r="BS2883" s="1" t="s">
        <v>1307</v>
      </c>
      <c r="BV2883" s="1">
        <v>1.1</v>
      </c>
      <c r="EQ2883" s="9" t="s">
        <v>8799</v>
      </c>
      <c r="ER2883" s="21">
        <v>46045.30358796296</v>
      </c>
    </row>
    <row r="2884">
      <c r="A2884" s="9" t="s">
        <v>8801</v>
      </c>
      <c r="B2884" s="20" t="str">
        <f>IFERROR(__xludf.DUMMYFUNCTION("REGEXREPLACE(A2884, ""^https?://[^/]+"", """")"),"/wp-content/uploads/2021/11/Competitor-Sales-Analysis-Checklist.pdf")</f>
        <v>/wp-content/uploads/2021/11/Competitor-Sales-Analysis-Checklist.pdf</v>
      </c>
      <c r="F2884" s="1" t="s">
        <v>1730</v>
      </c>
      <c r="G2884" s="1">
        <v>200.0</v>
      </c>
      <c r="H2884" s="1" t="s">
        <v>966</v>
      </c>
      <c r="I2884" s="1" t="s">
        <v>967</v>
      </c>
      <c r="L2884" s="1">
        <v>0.0</v>
      </c>
      <c r="M2884" s="1">
        <v>0.0</v>
      </c>
      <c r="O2884" s="1">
        <v>0.0</v>
      </c>
      <c r="P2884" s="1">
        <v>0.0</v>
      </c>
      <c r="R2884" s="1">
        <v>0.0</v>
      </c>
      <c r="S2884" s="1">
        <v>0.0</v>
      </c>
      <c r="U2884" s="1">
        <v>0.0</v>
      </c>
      <c r="W2884" s="1">
        <v>0.0</v>
      </c>
      <c r="Y2884" s="1">
        <v>0.0</v>
      </c>
      <c r="AA2884" s="1">
        <v>0.0</v>
      </c>
      <c r="AC2884" s="1">
        <v>0.0</v>
      </c>
      <c r="AM2884" s="1">
        <v>152739.0</v>
      </c>
      <c r="AN2884" s="1">
        <v>152739.0</v>
      </c>
      <c r="AO2884" s="1">
        <v>152739.0</v>
      </c>
      <c r="AP2884" s="1">
        <v>58.511</v>
      </c>
      <c r="AR2884" s="1">
        <v>0.0</v>
      </c>
      <c r="AW2884" s="1">
        <v>0.0</v>
      </c>
      <c r="AX2884" s="1">
        <v>6.0</v>
      </c>
      <c r="AY2884" s="1">
        <v>4.0</v>
      </c>
      <c r="BA2884" s="1">
        <v>0.0</v>
      </c>
      <c r="BB2884" s="1">
        <v>0.0</v>
      </c>
      <c r="BC2884" s="1">
        <v>0.0</v>
      </c>
      <c r="BD2884" s="1">
        <v>0.0</v>
      </c>
      <c r="BE2884" s="1">
        <v>0.0</v>
      </c>
      <c r="BF2884" s="1">
        <v>0.0</v>
      </c>
      <c r="BG2884" s="1">
        <v>0.0</v>
      </c>
      <c r="BH2884" s="1">
        <v>0.0</v>
      </c>
      <c r="BI2884" s="1">
        <v>0.0</v>
      </c>
      <c r="BJ2884" s="1">
        <v>0.0</v>
      </c>
      <c r="BP2884" s="1">
        <v>0.263</v>
      </c>
      <c r="BQ2884" s="1" t="s">
        <v>8802</v>
      </c>
      <c r="BV2884" s="1">
        <v>1.1</v>
      </c>
      <c r="EQ2884" s="9" t="s">
        <v>8801</v>
      </c>
      <c r="ER2884" s="21">
        <v>46045.30358796296</v>
      </c>
    </row>
    <row r="2885">
      <c r="A2885" s="9" t="s">
        <v>8803</v>
      </c>
      <c r="B2885" s="20" t="str">
        <f>IFERROR(__xludf.DUMMYFUNCTION("REGEXREPLACE(A2885, ""^https?://[^/]+"", """")"),"/wp-content/themes/salesxceleratione/assets/css/style.css?ver=1769123743")</f>
        <v>/wp-content/themes/salesxceleratione/assets/css/style.css?ver=1769123743</v>
      </c>
      <c r="F2885" s="1" t="s">
        <v>1016</v>
      </c>
      <c r="G2885" s="1">
        <v>200.0</v>
      </c>
      <c r="H2885" s="1" t="s">
        <v>966</v>
      </c>
      <c r="I2885" s="1" t="s">
        <v>967</v>
      </c>
      <c r="L2885" s="1">
        <v>0.0</v>
      </c>
      <c r="M2885" s="1">
        <v>0.0</v>
      </c>
      <c r="O2885" s="1">
        <v>0.0</v>
      </c>
      <c r="P2885" s="1">
        <v>0.0</v>
      </c>
      <c r="R2885" s="1">
        <v>0.0</v>
      </c>
      <c r="S2885" s="1">
        <v>0.0</v>
      </c>
      <c r="U2885" s="1">
        <v>0.0</v>
      </c>
      <c r="W2885" s="1">
        <v>0.0</v>
      </c>
      <c r="Y2885" s="1">
        <v>0.0</v>
      </c>
      <c r="AA2885" s="1">
        <v>0.0</v>
      </c>
      <c r="AC2885" s="1">
        <v>0.0</v>
      </c>
      <c r="AM2885" s="1">
        <v>17704.0</v>
      </c>
      <c r="AN2885" s="1">
        <v>17704.0</v>
      </c>
      <c r="AO2885" s="1">
        <v>17704.0</v>
      </c>
      <c r="AP2885" s="1">
        <v>6.782</v>
      </c>
      <c r="AR2885" s="1">
        <v>0.0</v>
      </c>
      <c r="AW2885" s="1">
        <v>0.0</v>
      </c>
      <c r="AX2885" s="1">
        <v>6.0</v>
      </c>
      <c r="AY2885" s="1">
        <v>5.0</v>
      </c>
      <c r="BA2885" s="1">
        <v>0.0</v>
      </c>
      <c r="BB2885" s="1">
        <v>0.0</v>
      </c>
      <c r="BC2885" s="1">
        <v>0.0</v>
      </c>
      <c r="BD2885" s="1">
        <v>0.0</v>
      </c>
      <c r="BE2885" s="1">
        <v>0.0</v>
      </c>
      <c r="BF2885" s="1">
        <v>0.0</v>
      </c>
      <c r="BG2885" s="1">
        <v>0.0</v>
      </c>
      <c r="BH2885" s="1">
        <v>0.0</v>
      </c>
      <c r="BI2885" s="1">
        <v>0.0</v>
      </c>
      <c r="BJ2885" s="1">
        <v>0.0</v>
      </c>
      <c r="BP2885" s="1">
        <v>0.255</v>
      </c>
      <c r="BQ2885" s="1" t="s">
        <v>8804</v>
      </c>
      <c r="BV2885" s="1">
        <v>1.1</v>
      </c>
      <c r="EQ2885" s="9" t="s">
        <v>8803</v>
      </c>
      <c r="ER2885" s="21">
        <v>46045.30359953704</v>
      </c>
    </row>
    <row r="2886">
      <c r="A2886" s="9" t="s">
        <v>8805</v>
      </c>
      <c r="B2886" s="20" t="str">
        <f>IFERROR(__xludf.DUMMYFUNCTION("REGEXREPLACE(A2886, ""^https?://[^/]+"", """")"),"/wp-content/uploads/2016/09/Advisors.jpg")</f>
        <v>/wp-content/uploads/2016/09/Advisors.jpg</v>
      </c>
      <c r="F2886" s="1" t="s">
        <v>1004</v>
      </c>
      <c r="G2886" s="1">
        <v>200.0</v>
      </c>
      <c r="H2886" s="1" t="s">
        <v>966</v>
      </c>
      <c r="I2886" s="1" t="s">
        <v>967</v>
      </c>
      <c r="L2886" s="1">
        <v>0.0</v>
      </c>
      <c r="M2886" s="1">
        <v>0.0</v>
      </c>
      <c r="O2886" s="1">
        <v>0.0</v>
      </c>
      <c r="P2886" s="1">
        <v>0.0</v>
      </c>
      <c r="R2886" s="1">
        <v>0.0</v>
      </c>
      <c r="S2886" s="1">
        <v>0.0</v>
      </c>
      <c r="U2886" s="1">
        <v>0.0</v>
      </c>
      <c r="W2886" s="1">
        <v>0.0</v>
      </c>
      <c r="Y2886" s="1">
        <v>0.0</v>
      </c>
      <c r="AA2886" s="1">
        <v>0.0</v>
      </c>
      <c r="AC2886" s="1">
        <v>0.0</v>
      </c>
      <c r="AM2886" s="1">
        <v>49663.0</v>
      </c>
      <c r="AN2886" s="1">
        <v>49663.0</v>
      </c>
      <c r="AO2886" s="1">
        <v>49663.0</v>
      </c>
      <c r="AP2886" s="1">
        <v>19.025</v>
      </c>
      <c r="AR2886" s="1">
        <v>0.0</v>
      </c>
      <c r="AW2886" s="1">
        <v>0.0</v>
      </c>
      <c r="AX2886" s="1">
        <v>6.0</v>
      </c>
      <c r="AY2886" s="1">
        <v>4.0</v>
      </c>
      <c r="BA2886" s="1">
        <v>0.0</v>
      </c>
      <c r="BB2886" s="1">
        <v>0.0</v>
      </c>
      <c r="BC2886" s="1">
        <v>0.0</v>
      </c>
      <c r="BD2886" s="1">
        <v>0.0</v>
      </c>
      <c r="BE2886" s="1">
        <v>0.0</v>
      </c>
      <c r="BF2886" s="1">
        <v>0.0</v>
      </c>
      <c r="BG2886" s="1">
        <v>0.0</v>
      </c>
      <c r="BH2886" s="1">
        <v>0.0</v>
      </c>
      <c r="BI2886" s="1">
        <v>0.0</v>
      </c>
      <c r="BJ2886" s="1">
        <v>0.0</v>
      </c>
      <c r="BP2886" s="1">
        <v>0.278</v>
      </c>
      <c r="BQ2886" s="1" t="s">
        <v>8806</v>
      </c>
      <c r="BV2886" s="1">
        <v>1.1</v>
      </c>
      <c r="EQ2886" s="9" t="s">
        <v>8805</v>
      </c>
      <c r="ER2886" s="21">
        <v>46045.30359953704</v>
      </c>
    </row>
    <row r="2887">
      <c r="A2887" s="9" t="s">
        <v>8807</v>
      </c>
      <c r="B2887" s="20" t="str">
        <f>IFERROR(__xludf.DUMMYFUNCTION("REGEXREPLACE(A2887, ""^https?://[^/]+"", """")"),"/wp-content/uploads/2015/12/sales-compensation-plan-get-fired-up.jpg")</f>
        <v>/wp-content/uploads/2015/12/sales-compensation-plan-get-fired-up.jpg</v>
      </c>
      <c r="F2887" s="1" t="s">
        <v>1004</v>
      </c>
      <c r="G2887" s="1">
        <v>200.0</v>
      </c>
      <c r="H2887" s="1" t="s">
        <v>966</v>
      </c>
      <c r="I2887" s="1" t="s">
        <v>967</v>
      </c>
      <c r="L2887" s="1">
        <v>0.0</v>
      </c>
      <c r="M2887" s="1">
        <v>0.0</v>
      </c>
      <c r="O2887" s="1">
        <v>0.0</v>
      </c>
      <c r="P2887" s="1">
        <v>0.0</v>
      </c>
      <c r="R2887" s="1">
        <v>0.0</v>
      </c>
      <c r="S2887" s="1">
        <v>0.0</v>
      </c>
      <c r="U2887" s="1">
        <v>0.0</v>
      </c>
      <c r="W2887" s="1">
        <v>0.0</v>
      </c>
      <c r="Y2887" s="1">
        <v>0.0</v>
      </c>
      <c r="AA2887" s="1">
        <v>0.0</v>
      </c>
      <c r="AC2887" s="1">
        <v>0.0</v>
      </c>
      <c r="AM2887" s="1">
        <v>193325.0</v>
      </c>
      <c r="AN2887" s="1">
        <v>193325.0</v>
      </c>
      <c r="AO2887" s="1">
        <v>193325.0</v>
      </c>
      <c r="AP2887" s="1">
        <v>74.059</v>
      </c>
      <c r="AR2887" s="1">
        <v>0.0</v>
      </c>
      <c r="AW2887" s="1">
        <v>0.0</v>
      </c>
      <c r="AX2887" s="1">
        <v>6.0</v>
      </c>
      <c r="AY2887" s="1">
        <v>4.0</v>
      </c>
      <c r="BA2887" s="1">
        <v>0.0</v>
      </c>
      <c r="BB2887" s="1">
        <v>0.0</v>
      </c>
      <c r="BC2887" s="1">
        <v>0.0</v>
      </c>
      <c r="BD2887" s="1">
        <v>0.0</v>
      </c>
      <c r="BE2887" s="1">
        <v>0.0</v>
      </c>
      <c r="BF2887" s="1">
        <v>0.0</v>
      </c>
      <c r="BG2887" s="1">
        <v>0.0</v>
      </c>
      <c r="BH2887" s="1">
        <v>0.0</v>
      </c>
      <c r="BI2887" s="1">
        <v>0.0</v>
      </c>
      <c r="BJ2887" s="1">
        <v>0.0</v>
      </c>
      <c r="BP2887" s="1">
        <v>0.278</v>
      </c>
      <c r="BQ2887" s="1" t="s">
        <v>8808</v>
      </c>
      <c r="BV2887" s="1">
        <v>1.1</v>
      </c>
      <c r="EQ2887" s="9" t="s">
        <v>8807</v>
      </c>
      <c r="ER2887" s="21">
        <v>46045.30359953704</v>
      </c>
    </row>
    <row r="2888">
      <c r="A2888" s="9" t="s">
        <v>7792</v>
      </c>
      <c r="B2888" s="20" t="str">
        <f>IFERROR(__xludf.DUMMYFUNCTION("REGEXREPLACE(A2888, ""^https?://[^/]+"", """")"),"/how-to-stop-circling-the-top-of-the-sales-funnel-and-make-that-sale/")</f>
        <v>/how-to-stop-circling-the-top-of-the-sales-funnel-and-make-that-sale/</v>
      </c>
      <c r="C2888" s="1" t="s">
        <v>8809</v>
      </c>
      <c r="F2888" s="1" t="s">
        <v>965</v>
      </c>
      <c r="G2888" s="1">
        <v>200.0</v>
      </c>
      <c r="H2888" s="1" t="s">
        <v>966</v>
      </c>
      <c r="I2888" s="1" t="s">
        <v>967</v>
      </c>
      <c r="K2888" s="1" t="s">
        <v>8810</v>
      </c>
      <c r="L2888" s="1">
        <v>92.0</v>
      </c>
      <c r="M2888" s="1">
        <v>827.0</v>
      </c>
      <c r="O2888" s="1">
        <v>0.0</v>
      </c>
      <c r="P2888" s="1">
        <v>0.0</v>
      </c>
      <c r="Q2888" s="1" t="s">
        <v>8811</v>
      </c>
      <c r="R2888" s="1">
        <v>147.0</v>
      </c>
      <c r="S2888" s="1">
        <v>928.0</v>
      </c>
      <c r="U2888" s="1">
        <v>0.0</v>
      </c>
      <c r="V2888" s="1" t="s">
        <v>8809</v>
      </c>
      <c r="W2888" s="1">
        <v>67.0</v>
      </c>
      <c r="Y2888" s="1">
        <v>0.0</v>
      </c>
      <c r="AA2888" s="1">
        <v>0.0</v>
      </c>
      <c r="AC2888" s="1">
        <v>0.0</v>
      </c>
      <c r="AD2888" s="1" t="s">
        <v>971</v>
      </c>
      <c r="AG2888" s="9" t="s">
        <v>7792</v>
      </c>
      <c r="AM2888" s="1">
        <v>202194.0</v>
      </c>
      <c r="AN2888" s="1">
        <v>35714.0</v>
      </c>
      <c r="AO2888" s="1">
        <v>35714.0</v>
      </c>
      <c r="AP2888" s="1">
        <v>13.681</v>
      </c>
      <c r="AR2888" s="1">
        <v>1250.0</v>
      </c>
      <c r="AS2888" s="1">
        <v>183.0</v>
      </c>
      <c r="AT2888" s="1">
        <v>6.831</v>
      </c>
      <c r="AU2888" s="1">
        <v>69.28</v>
      </c>
      <c r="AV2888" s="1" t="s">
        <v>990</v>
      </c>
      <c r="AW2888" s="1">
        <v>4.905</v>
      </c>
      <c r="AX2888" s="1">
        <v>6.0</v>
      </c>
      <c r="AY2888" s="1">
        <v>1.0</v>
      </c>
      <c r="AZ2888" s="1">
        <v>1.0</v>
      </c>
      <c r="BA2888" s="1">
        <v>0.0</v>
      </c>
      <c r="BB2888" s="1">
        <v>0.0</v>
      </c>
      <c r="BC2888" s="1">
        <v>0.0</v>
      </c>
      <c r="BD2888" s="1">
        <v>0.0</v>
      </c>
      <c r="BE2888" s="1">
        <v>130.0</v>
      </c>
      <c r="BF2888" s="1">
        <v>48.0</v>
      </c>
      <c r="BG2888" s="1">
        <v>0.0</v>
      </c>
      <c r="BH2888" s="1">
        <v>16.0</v>
      </c>
      <c r="BI2888" s="1">
        <v>8.0</v>
      </c>
      <c r="BJ2888" s="1">
        <v>0.0</v>
      </c>
      <c r="BO2888" s="1" t="s">
        <v>8812</v>
      </c>
      <c r="BP2888" s="1">
        <v>1.021</v>
      </c>
      <c r="BU2888" s="1" t="s">
        <v>974</v>
      </c>
      <c r="BV2888" s="1">
        <v>1.1</v>
      </c>
      <c r="EQ2888" s="9" t="s">
        <v>7792</v>
      </c>
      <c r="ER2888" s="21">
        <v>46045.30359953704</v>
      </c>
    </row>
    <row r="2889">
      <c r="A2889" s="9" t="s">
        <v>8813</v>
      </c>
      <c r="B2889" s="20" t="str">
        <f>IFERROR(__xludf.DUMMYFUNCTION("REGEXREPLACE(A2889, ""^https?://[^/]+"", """")"),"/wp-content/uploads/2015/12/sales-compensation-plan-get-fired-up-300x300.jpg")</f>
        <v>/wp-content/uploads/2015/12/sales-compensation-plan-get-fired-up-300x300.jpg</v>
      </c>
      <c r="F2889" s="1" t="s">
        <v>1004</v>
      </c>
      <c r="G2889" s="1">
        <v>200.0</v>
      </c>
      <c r="H2889" s="1" t="s">
        <v>966</v>
      </c>
      <c r="I2889" s="1" t="s">
        <v>967</v>
      </c>
      <c r="L2889" s="1">
        <v>0.0</v>
      </c>
      <c r="M2889" s="1">
        <v>0.0</v>
      </c>
      <c r="O2889" s="1">
        <v>0.0</v>
      </c>
      <c r="P2889" s="1">
        <v>0.0</v>
      </c>
      <c r="R2889" s="1">
        <v>0.0</v>
      </c>
      <c r="S2889" s="1">
        <v>0.0</v>
      </c>
      <c r="U2889" s="1">
        <v>0.0</v>
      </c>
      <c r="W2889" s="1">
        <v>0.0</v>
      </c>
      <c r="Y2889" s="1">
        <v>0.0</v>
      </c>
      <c r="AA2889" s="1">
        <v>0.0</v>
      </c>
      <c r="AC2889" s="1">
        <v>0.0</v>
      </c>
      <c r="AM2889" s="1">
        <v>11966.0</v>
      </c>
      <c r="AN2889" s="1">
        <v>11966.0</v>
      </c>
      <c r="AO2889" s="1">
        <v>11966.0</v>
      </c>
      <c r="AP2889" s="1">
        <v>4.584</v>
      </c>
      <c r="AR2889" s="1">
        <v>0.0</v>
      </c>
      <c r="AW2889" s="1">
        <v>0.0</v>
      </c>
      <c r="AX2889" s="1">
        <v>6.0</v>
      </c>
      <c r="AY2889" s="1">
        <v>4.0</v>
      </c>
      <c r="BA2889" s="1">
        <v>0.0</v>
      </c>
      <c r="BB2889" s="1">
        <v>0.0</v>
      </c>
      <c r="BC2889" s="1">
        <v>0.0</v>
      </c>
      <c r="BD2889" s="1">
        <v>0.0</v>
      </c>
      <c r="BE2889" s="1">
        <v>0.0</v>
      </c>
      <c r="BF2889" s="1">
        <v>0.0</v>
      </c>
      <c r="BG2889" s="1">
        <v>0.0</v>
      </c>
      <c r="BH2889" s="1">
        <v>0.0</v>
      </c>
      <c r="BI2889" s="1">
        <v>0.0</v>
      </c>
      <c r="BJ2889" s="1">
        <v>0.0</v>
      </c>
      <c r="BP2889" s="1">
        <v>0.274</v>
      </c>
      <c r="BQ2889" s="1" t="s">
        <v>8814</v>
      </c>
      <c r="BV2889" s="1">
        <v>1.1</v>
      </c>
      <c r="EQ2889" s="9" t="s">
        <v>8813</v>
      </c>
      <c r="ER2889" s="21">
        <v>46045.303611111114</v>
      </c>
    </row>
    <row r="2890">
      <c r="A2890" s="9" t="s">
        <v>8815</v>
      </c>
      <c r="B2890" s="20" t="str">
        <f>IFERROR(__xludf.DUMMYFUNCTION("REGEXREPLACE(A2890, ""^https?://[^/]+"", """")"),"/wp-content/uploads/2016/04/sales-compensation-plan-part-2-300x300.jpg")</f>
        <v>/wp-content/uploads/2016/04/sales-compensation-plan-part-2-300x300.jpg</v>
      </c>
      <c r="F2890" s="1" t="s">
        <v>1004</v>
      </c>
      <c r="G2890" s="1">
        <v>200.0</v>
      </c>
      <c r="H2890" s="1" t="s">
        <v>966</v>
      </c>
      <c r="I2890" s="1" t="s">
        <v>967</v>
      </c>
      <c r="L2890" s="1">
        <v>0.0</v>
      </c>
      <c r="M2890" s="1">
        <v>0.0</v>
      </c>
      <c r="O2890" s="1">
        <v>0.0</v>
      </c>
      <c r="P2890" s="1">
        <v>0.0</v>
      </c>
      <c r="R2890" s="1">
        <v>0.0</v>
      </c>
      <c r="S2890" s="1">
        <v>0.0</v>
      </c>
      <c r="U2890" s="1">
        <v>0.0</v>
      </c>
      <c r="W2890" s="1">
        <v>0.0</v>
      </c>
      <c r="Y2890" s="1">
        <v>0.0</v>
      </c>
      <c r="AA2890" s="1">
        <v>0.0</v>
      </c>
      <c r="AC2890" s="1">
        <v>0.0</v>
      </c>
      <c r="AM2890" s="1">
        <v>10210.0</v>
      </c>
      <c r="AN2890" s="1">
        <v>10210.0</v>
      </c>
      <c r="AO2890" s="1">
        <v>10210.0</v>
      </c>
      <c r="AP2890" s="1">
        <v>3.911</v>
      </c>
      <c r="AR2890" s="1">
        <v>0.0</v>
      </c>
      <c r="AW2890" s="1">
        <v>0.0</v>
      </c>
      <c r="AX2890" s="1">
        <v>6.0</v>
      </c>
      <c r="AY2890" s="1">
        <v>4.0</v>
      </c>
      <c r="BA2890" s="1">
        <v>0.0</v>
      </c>
      <c r="BB2890" s="1">
        <v>0.0</v>
      </c>
      <c r="BC2890" s="1">
        <v>0.0</v>
      </c>
      <c r="BD2890" s="1">
        <v>0.0</v>
      </c>
      <c r="BE2890" s="1">
        <v>0.0</v>
      </c>
      <c r="BF2890" s="1">
        <v>0.0</v>
      </c>
      <c r="BG2890" s="1">
        <v>0.0</v>
      </c>
      <c r="BH2890" s="1">
        <v>0.0</v>
      </c>
      <c r="BI2890" s="1">
        <v>0.0</v>
      </c>
      <c r="BJ2890" s="1">
        <v>0.0</v>
      </c>
      <c r="BP2890" s="1">
        <v>0.316</v>
      </c>
      <c r="BQ2890" s="1" t="s">
        <v>8816</v>
      </c>
      <c r="BV2890" s="1">
        <v>1.1</v>
      </c>
      <c r="EQ2890" s="9" t="s">
        <v>8815</v>
      </c>
      <c r="ER2890" s="21">
        <v>46045.303611111114</v>
      </c>
    </row>
    <row r="2891">
      <c r="A2891" s="9" t="s">
        <v>8817</v>
      </c>
      <c r="B2891" s="20" t="str">
        <f>IFERROR(__xludf.DUMMYFUNCTION("REGEXREPLACE(A2891, ""^https?://[^/]+"", """")"),"/draw-line-make-sure-companys-sales-territories-make-sense/")</f>
        <v>/draw-line-make-sure-companys-sales-territories-make-sense/</v>
      </c>
      <c r="C2891" s="1" t="s">
        <v>8818</v>
      </c>
      <c r="F2891" s="1" t="s">
        <v>965</v>
      </c>
      <c r="G2891" s="1">
        <v>200.0</v>
      </c>
      <c r="H2891" s="1" t="s">
        <v>966</v>
      </c>
      <c r="I2891" s="1" t="s">
        <v>967</v>
      </c>
      <c r="K2891" s="1" t="s">
        <v>8819</v>
      </c>
      <c r="L2891" s="1">
        <v>103.0</v>
      </c>
      <c r="M2891" s="1">
        <v>957.0</v>
      </c>
      <c r="O2891" s="1">
        <v>0.0</v>
      </c>
      <c r="P2891" s="1">
        <v>0.0</v>
      </c>
      <c r="Q2891" s="1" t="s">
        <v>8820</v>
      </c>
      <c r="R2891" s="1">
        <v>113.0</v>
      </c>
      <c r="S2891" s="1">
        <v>693.0</v>
      </c>
      <c r="U2891" s="1">
        <v>0.0</v>
      </c>
      <c r="V2891" s="1" t="s">
        <v>8818</v>
      </c>
      <c r="W2891" s="1">
        <v>78.0</v>
      </c>
      <c r="Y2891" s="1">
        <v>0.0</v>
      </c>
      <c r="AA2891" s="1">
        <v>0.0</v>
      </c>
      <c r="AC2891" s="1">
        <v>0.0</v>
      </c>
      <c r="AD2891" s="1" t="s">
        <v>971</v>
      </c>
      <c r="AG2891" s="9" t="s">
        <v>8817</v>
      </c>
      <c r="AM2891" s="1">
        <v>196841.0</v>
      </c>
      <c r="AN2891" s="1">
        <v>34810.0</v>
      </c>
      <c r="AO2891" s="1">
        <v>34810.0</v>
      </c>
      <c r="AP2891" s="1">
        <v>13.335</v>
      </c>
      <c r="AR2891" s="1">
        <v>1033.0</v>
      </c>
      <c r="AS2891" s="1">
        <v>153.0</v>
      </c>
      <c r="AT2891" s="1">
        <v>6.752</v>
      </c>
      <c r="AU2891" s="1">
        <v>62.804</v>
      </c>
      <c r="AV2891" s="1" t="s">
        <v>990</v>
      </c>
      <c r="AW2891" s="1">
        <v>4.433</v>
      </c>
      <c r="AX2891" s="1">
        <v>6.0</v>
      </c>
      <c r="AY2891" s="1">
        <v>1.0</v>
      </c>
      <c r="AZ2891" s="1">
        <v>1.0</v>
      </c>
      <c r="BA2891" s="1">
        <v>3.0</v>
      </c>
      <c r="BB2891" s="1">
        <v>1.0</v>
      </c>
      <c r="BC2891" s="1">
        <v>0.0</v>
      </c>
      <c r="BD2891" s="1">
        <v>0.13</v>
      </c>
      <c r="BE2891" s="1">
        <v>129.0</v>
      </c>
      <c r="BF2891" s="1">
        <v>47.0</v>
      </c>
      <c r="BG2891" s="1">
        <v>0.0</v>
      </c>
      <c r="BH2891" s="1">
        <v>16.0</v>
      </c>
      <c r="BI2891" s="1">
        <v>8.0</v>
      </c>
      <c r="BJ2891" s="1">
        <v>0.0</v>
      </c>
      <c r="BO2891" s="1" t="s">
        <v>8821</v>
      </c>
      <c r="BP2891" s="1">
        <v>0.969</v>
      </c>
      <c r="BU2891" s="1" t="s">
        <v>974</v>
      </c>
      <c r="BV2891" s="1">
        <v>1.1</v>
      </c>
      <c r="EQ2891" s="9" t="s">
        <v>8817</v>
      </c>
      <c r="ER2891" s="21">
        <v>46045.30359953704</v>
      </c>
    </row>
    <row r="2892">
      <c r="A2892" s="9" t="s">
        <v>8822</v>
      </c>
      <c r="B2892" s="20" t="str">
        <f>IFERROR(__xludf.DUMMYFUNCTION("REGEXREPLACE(A2892, ""^https?://[^/]+"", """")"),"/wp-content/uploads/2016/04/managing-growth-compensation-plan-300x167.jpg")</f>
        <v>/wp-content/uploads/2016/04/managing-growth-compensation-plan-300x167.jpg</v>
      </c>
      <c r="F2892" s="1" t="s">
        <v>1004</v>
      </c>
      <c r="G2892" s="1">
        <v>200.0</v>
      </c>
      <c r="H2892" s="1" t="s">
        <v>966</v>
      </c>
      <c r="I2892" s="1" t="s">
        <v>967</v>
      </c>
      <c r="L2892" s="1">
        <v>0.0</v>
      </c>
      <c r="M2892" s="1">
        <v>0.0</v>
      </c>
      <c r="O2892" s="1">
        <v>0.0</v>
      </c>
      <c r="P2892" s="1">
        <v>0.0</v>
      </c>
      <c r="R2892" s="1">
        <v>0.0</v>
      </c>
      <c r="S2892" s="1">
        <v>0.0</v>
      </c>
      <c r="U2892" s="1">
        <v>0.0</v>
      </c>
      <c r="W2892" s="1">
        <v>0.0</v>
      </c>
      <c r="Y2892" s="1">
        <v>0.0</v>
      </c>
      <c r="AA2892" s="1">
        <v>0.0</v>
      </c>
      <c r="AC2892" s="1">
        <v>0.0</v>
      </c>
      <c r="AM2892" s="1">
        <v>9932.0</v>
      </c>
      <c r="AN2892" s="1">
        <v>9932.0</v>
      </c>
      <c r="AO2892" s="1">
        <v>9932.0</v>
      </c>
      <c r="AP2892" s="1">
        <v>3.805</v>
      </c>
      <c r="AR2892" s="1">
        <v>0.0</v>
      </c>
      <c r="AW2892" s="1">
        <v>0.0</v>
      </c>
      <c r="AX2892" s="1">
        <v>6.0</v>
      </c>
      <c r="AY2892" s="1">
        <v>4.0</v>
      </c>
      <c r="BA2892" s="1">
        <v>0.0</v>
      </c>
      <c r="BB2892" s="1">
        <v>0.0</v>
      </c>
      <c r="BC2892" s="1">
        <v>0.0</v>
      </c>
      <c r="BD2892" s="1">
        <v>0.0</v>
      </c>
      <c r="BE2892" s="1">
        <v>0.0</v>
      </c>
      <c r="BF2892" s="1">
        <v>0.0</v>
      </c>
      <c r="BG2892" s="1">
        <v>0.0</v>
      </c>
      <c r="BH2892" s="1">
        <v>0.0</v>
      </c>
      <c r="BI2892" s="1">
        <v>0.0</v>
      </c>
      <c r="BJ2892" s="1">
        <v>0.0</v>
      </c>
      <c r="BP2892" s="1">
        <v>0.273</v>
      </c>
      <c r="BQ2892" s="1" t="s">
        <v>8823</v>
      </c>
      <c r="BV2892" s="1">
        <v>1.1</v>
      </c>
      <c r="EQ2892" s="9" t="s">
        <v>8822</v>
      </c>
      <c r="ER2892" s="21">
        <v>46045.303622685184</v>
      </c>
    </row>
    <row r="2893">
      <c r="A2893" s="9" t="s">
        <v>8824</v>
      </c>
      <c r="B2893" s="20" t="str">
        <f>IFERROR(__xludf.DUMMYFUNCTION("REGEXREPLACE(A2893, ""^https?://[^/]+"", """")"),"/growth-with-right-compensation-plan/")</f>
        <v>/growth-with-right-compensation-plan/</v>
      </c>
      <c r="C2893" s="1" t="s">
        <v>8825</v>
      </c>
      <c r="F2893" s="1" t="s">
        <v>965</v>
      </c>
      <c r="G2893" s="1">
        <v>200.0</v>
      </c>
      <c r="H2893" s="1" t="s">
        <v>966</v>
      </c>
      <c r="I2893" s="1" t="s">
        <v>967</v>
      </c>
      <c r="K2893" s="1" t="s">
        <v>8826</v>
      </c>
      <c r="L2893" s="1">
        <v>56.0</v>
      </c>
      <c r="M2893" s="1">
        <v>540.0</v>
      </c>
      <c r="O2893" s="1">
        <v>0.0</v>
      </c>
      <c r="P2893" s="1">
        <v>0.0</v>
      </c>
      <c r="Q2893" s="1" t="s">
        <v>8827</v>
      </c>
      <c r="R2893" s="1">
        <v>154.0</v>
      </c>
      <c r="S2893" s="1">
        <v>959.0</v>
      </c>
      <c r="U2893" s="1">
        <v>0.0</v>
      </c>
      <c r="V2893" s="1" t="s">
        <v>8825</v>
      </c>
      <c r="W2893" s="1">
        <v>54.0</v>
      </c>
      <c r="Y2893" s="1">
        <v>0.0</v>
      </c>
      <c r="AA2893" s="1">
        <v>0.0</v>
      </c>
      <c r="AC2893" s="1">
        <v>0.0</v>
      </c>
      <c r="AD2893" s="1" t="s">
        <v>971</v>
      </c>
      <c r="AG2893" s="9" t="s">
        <v>8824</v>
      </c>
      <c r="AM2893" s="1">
        <v>197990.0</v>
      </c>
      <c r="AN2893" s="1">
        <v>34004.0</v>
      </c>
      <c r="AO2893" s="1">
        <v>34004.0</v>
      </c>
      <c r="AP2893" s="1">
        <v>13.026</v>
      </c>
      <c r="AR2893" s="1">
        <v>644.0</v>
      </c>
      <c r="AS2893" s="1">
        <v>107.0</v>
      </c>
      <c r="AT2893" s="1">
        <v>6.019</v>
      </c>
      <c r="AU2893" s="1">
        <v>64.105</v>
      </c>
      <c r="AV2893" s="1" t="s">
        <v>990</v>
      </c>
      <c r="AW2893" s="1">
        <v>3.188</v>
      </c>
      <c r="AX2893" s="1">
        <v>6.0</v>
      </c>
      <c r="AY2893" s="1">
        <v>1.0</v>
      </c>
      <c r="AZ2893" s="1">
        <v>1.0</v>
      </c>
      <c r="BA2893" s="1">
        <v>5.0</v>
      </c>
      <c r="BB2893" s="1">
        <v>3.0</v>
      </c>
      <c r="BC2893" s="1">
        <v>0.0</v>
      </c>
      <c r="BD2893" s="1">
        <v>0.4</v>
      </c>
      <c r="BE2893" s="1">
        <v>130.0</v>
      </c>
      <c r="BF2893" s="1">
        <v>48.0</v>
      </c>
      <c r="BG2893" s="1">
        <v>0.0</v>
      </c>
      <c r="BH2893" s="1">
        <v>17.0</v>
      </c>
      <c r="BI2893" s="1">
        <v>9.0</v>
      </c>
      <c r="BJ2893" s="1">
        <v>0.0</v>
      </c>
      <c r="BO2893" s="1" t="s">
        <v>8828</v>
      </c>
      <c r="BP2893" s="1">
        <v>0.977</v>
      </c>
      <c r="BU2893" s="1" t="s">
        <v>974</v>
      </c>
      <c r="BV2893" s="1">
        <v>1.1</v>
      </c>
      <c r="EQ2893" s="9" t="s">
        <v>8824</v>
      </c>
      <c r="ER2893" s="21">
        <v>46045.303611111114</v>
      </c>
    </row>
    <row r="2894">
      <c r="A2894" s="9" t="s">
        <v>8829</v>
      </c>
      <c r="B2894" s="20" t="str">
        <f>IFERROR(__xludf.DUMMYFUNCTION("REGEXREPLACE(A2894, ""^https?://[^/]+"", """")"),"/wp-content/uploads/2016/05/Compensation-Payment-Plan--300x300.jpg")</f>
        <v>/wp-content/uploads/2016/05/Compensation-Payment-Plan--300x300.jpg</v>
      </c>
      <c r="F2894" s="1" t="s">
        <v>1004</v>
      </c>
      <c r="G2894" s="1">
        <v>200.0</v>
      </c>
      <c r="H2894" s="1" t="s">
        <v>966</v>
      </c>
      <c r="I2894" s="1" t="s">
        <v>967</v>
      </c>
      <c r="L2894" s="1">
        <v>0.0</v>
      </c>
      <c r="M2894" s="1">
        <v>0.0</v>
      </c>
      <c r="O2894" s="1">
        <v>0.0</v>
      </c>
      <c r="P2894" s="1">
        <v>0.0</v>
      </c>
      <c r="R2894" s="1">
        <v>0.0</v>
      </c>
      <c r="S2894" s="1">
        <v>0.0</v>
      </c>
      <c r="U2894" s="1">
        <v>0.0</v>
      </c>
      <c r="W2894" s="1">
        <v>0.0</v>
      </c>
      <c r="Y2894" s="1">
        <v>0.0</v>
      </c>
      <c r="AA2894" s="1">
        <v>0.0</v>
      </c>
      <c r="AC2894" s="1">
        <v>0.0</v>
      </c>
      <c r="AM2894" s="1">
        <v>15707.0</v>
      </c>
      <c r="AN2894" s="1">
        <v>15707.0</v>
      </c>
      <c r="AO2894" s="1">
        <v>15707.0</v>
      </c>
      <c r="AP2894" s="1">
        <v>6.017</v>
      </c>
      <c r="AR2894" s="1">
        <v>0.0</v>
      </c>
      <c r="AW2894" s="1">
        <v>0.0</v>
      </c>
      <c r="AX2894" s="1">
        <v>6.0</v>
      </c>
      <c r="AY2894" s="1">
        <v>4.0</v>
      </c>
      <c r="BA2894" s="1">
        <v>0.0</v>
      </c>
      <c r="BB2894" s="1">
        <v>0.0</v>
      </c>
      <c r="BC2894" s="1">
        <v>0.0</v>
      </c>
      <c r="BD2894" s="1">
        <v>0.0</v>
      </c>
      <c r="BE2894" s="1">
        <v>0.0</v>
      </c>
      <c r="BF2894" s="1">
        <v>0.0</v>
      </c>
      <c r="BG2894" s="1">
        <v>0.0</v>
      </c>
      <c r="BH2894" s="1">
        <v>0.0</v>
      </c>
      <c r="BI2894" s="1">
        <v>0.0</v>
      </c>
      <c r="BJ2894" s="1">
        <v>0.0</v>
      </c>
      <c r="BP2894" s="1">
        <v>0.28</v>
      </c>
      <c r="BQ2894" s="1" t="s">
        <v>8830</v>
      </c>
      <c r="BV2894" s="1">
        <v>1.1</v>
      </c>
      <c r="EQ2894" s="9" t="s">
        <v>8829</v>
      </c>
      <c r="ER2894" s="21">
        <v>46045.303622685184</v>
      </c>
    </row>
    <row r="2895">
      <c r="A2895" s="9" t="s">
        <v>8831</v>
      </c>
      <c r="B2895" s="20" t="str">
        <f>IFERROR(__xludf.DUMMYFUNCTION("REGEXREPLACE(A2895, ""^https?://[^/]+"", """")"),"/wp-content/uploads/2016/05/Sales-compensation-plan--300x143.jpg")</f>
        <v>/wp-content/uploads/2016/05/Sales-compensation-plan--300x143.jpg</v>
      </c>
      <c r="F2895" s="1" t="s">
        <v>1004</v>
      </c>
      <c r="G2895" s="1">
        <v>200.0</v>
      </c>
      <c r="H2895" s="1" t="s">
        <v>966</v>
      </c>
      <c r="I2895" s="1" t="s">
        <v>967</v>
      </c>
      <c r="L2895" s="1">
        <v>0.0</v>
      </c>
      <c r="M2895" s="1">
        <v>0.0</v>
      </c>
      <c r="O2895" s="1">
        <v>0.0</v>
      </c>
      <c r="P2895" s="1">
        <v>0.0</v>
      </c>
      <c r="R2895" s="1">
        <v>0.0</v>
      </c>
      <c r="S2895" s="1">
        <v>0.0</v>
      </c>
      <c r="U2895" s="1">
        <v>0.0</v>
      </c>
      <c r="W2895" s="1">
        <v>0.0</v>
      </c>
      <c r="Y2895" s="1">
        <v>0.0</v>
      </c>
      <c r="AA2895" s="1">
        <v>0.0</v>
      </c>
      <c r="AC2895" s="1">
        <v>0.0</v>
      </c>
      <c r="AM2895" s="1">
        <v>6301.0</v>
      </c>
      <c r="AN2895" s="1">
        <v>6301.0</v>
      </c>
      <c r="AO2895" s="1">
        <v>6301.0</v>
      </c>
      <c r="AP2895" s="1">
        <v>2.414</v>
      </c>
      <c r="AR2895" s="1">
        <v>0.0</v>
      </c>
      <c r="AW2895" s="1">
        <v>0.0</v>
      </c>
      <c r="AX2895" s="1">
        <v>6.0</v>
      </c>
      <c r="AY2895" s="1">
        <v>4.0</v>
      </c>
      <c r="BA2895" s="1">
        <v>0.0</v>
      </c>
      <c r="BB2895" s="1">
        <v>0.0</v>
      </c>
      <c r="BC2895" s="1">
        <v>0.0</v>
      </c>
      <c r="BD2895" s="1">
        <v>0.0</v>
      </c>
      <c r="BE2895" s="1">
        <v>0.0</v>
      </c>
      <c r="BF2895" s="1">
        <v>0.0</v>
      </c>
      <c r="BG2895" s="1">
        <v>0.0</v>
      </c>
      <c r="BH2895" s="1">
        <v>0.0</v>
      </c>
      <c r="BI2895" s="1">
        <v>0.0</v>
      </c>
      <c r="BJ2895" s="1">
        <v>0.0</v>
      </c>
      <c r="BP2895" s="1">
        <v>0.282</v>
      </c>
      <c r="BQ2895" s="1" t="s">
        <v>8832</v>
      </c>
      <c r="BV2895" s="1">
        <v>1.1</v>
      </c>
      <c r="EQ2895" s="9" t="s">
        <v>8831</v>
      </c>
      <c r="ER2895" s="21">
        <v>46045.303622685184</v>
      </c>
    </row>
    <row r="2896">
      <c r="A2896" s="9" t="s">
        <v>8833</v>
      </c>
      <c r="B2896" s="20" t="str">
        <f>IFERROR(__xludf.DUMMYFUNCTION("REGEXREPLACE(A2896, ""^https?://[^/]+"", """")"),"/wp-content/uploads/2017/05/DrawTheLineBlog-300x169.jpg")</f>
        <v>/wp-content/uploads/2017/05/DrawTheLineBlog-300x169.jpg</v>
      </c>
      <c r="F2896" s="1" t="s">
        <v>1004</v>
      </c>
      <c r="G2896" s="1">
        <v>200.0</v>
      </c>
      <c r="H2896" s="1" t="s">
        <v>966</v>
      </c>
      <c r="I2896" s="1" t="s">
        <v>967</v>
      </c>
      <c r="L2896" s="1">
        <v>0.0</v>
      </c>
      <c r="M2896" s="1">
        <v>0.0</v>
      </c>
      <c r="O2896" s="1">
        <v>0.0</v>
      </c>
      <c r="P2896" s="1">
        <v>0.0</v>
      </c>
      <c r="R2896" s="1">
        <v>0.0</v>
      </c>
      <c r="S2896" s="1">
        <v>0.0</v>
      </c>
      <c r="U2896" s="1">
        <v>0.0</v>
      </c>
      <c r="W2896" s="1">
        <v>0.0</v>
      </c>
      <c r="Y2896" s="1">
        <v>0.0</v>
      </c>
      <c r="AA2896" s="1">
        <v>0.0</v>
      </c>
      <c r="AC2896" s="1">
        <v>0.0</v>
      </c>
      <c r="AM2896" s="1">
        <v>2440.0</v>
      </c>
      <c r="AN2896" s="1">
        <v>2440.0</v>
      </c>
      <c r="AO2896" s="1">
        <v>2440.0</v>
      </c>
      <c r="AP2896" s="1">
        <v>0.935</v>
      </c>
      <c r="AR2896" s="1">
        <v>0.0</v>
      </c>
      <c r="AW2896" s="1">
        <v>0.0</v>
      </c>
      <c r="AX2896" s="1">
        <v>6.0</v>
      </c>
      <c r="AY2896" s="1">
        <v>4.0</v>
      </c>
      <c r="BA2896" s="1">
        <v>0.0</v>
      </c>
      <c r="BB2896" s="1">
        <v>0.0</v>
      </c>
      <c r="BC2896" s="1">
        <v>0.0</v>
      </c>
      <c r="BD2896" s="1">
        <v>0.0</v>
      </c>
      <c r="BE2896" s="1">
        <v>0.0</v>
      </c>
      <c r="BF2896" s="1">
        <v>0.0</v>
      </c>
      <c r="BG2896" s="1">
        <v>0.0</v>
      </c>
      <c r="BH2896" s="1">
        <v>0.0</v>
      </c>
      <c r="BI2896" s="1">
        <v>0.0</v>
      </c>
      <c r="BJ2896" s="1">
        <v>0.0</v>
      </c>
      <c r="BP2896" s="1">
        <v>0.28</v>
      </c>
      <c r="BQ2896" s="1" t="s">
        <v>8834</v>
      </c>
      <c r="BV2896" s="1">
        <v>1.1</v>
      </c>
      <c r="EQ2896" s="9" t="s">
        <v>8833</v>
      </c>
      <c r="ER2896" s="21">
        <v>46045.303622685184</v>
      </c>
    </row>
    <row r="2897">
      <c r="A2897" s="9" t="s">
        <v>8835</v>
      </c>
      <c r="B2897" s="20" t="str">
        <f>IFERROR(__xludf.DUMMYFUNCTION("REGEXREPLACE(A2897, ""^https?://[^/]+"", """")"),"/wp-content/uploads/2016/04/managing-growth-compensation-plan.jpg")</f>
        <v>/wp-content/uploads/2016/04/managing-growth-compensation-plan.jpg</v>
      </c>
      <c r="F2897" s="1" t="s">
        <v>1004</v>
      </c>
      <c r="G2897" s="1">
        <v>200.0</v>
      </c>
      <c r="H2897" s="1" t="s">
        <v>966</v>
      </c>
      <c r="I2897" s="1" t="s">
        <v>967</v>
      </c>
      <c r="L2897" s="1">
        <v>0.0</v>
      </c>
      <c r="M2897" s="1">
        <v>0.0</v>
      </c>
      <c r="O2897" s="1">
        <v>0.0</v>
      </c>
      <c r="P2897" s="1">
        <v>0.0</v>
      </c>
      <c r="R2897" s="1">
        <v>0.0</v>
      </c>
      <c r="S2897" s="1">
        <v>0.0</v>
      </c>
      <c r="U2897" s="1">
        <v>0.0</v>
      </c>
      <c r="W2897" s="1">
        <v>0.0</v>
      </c>
      <c r="Y2897" s="1">
        <v>0.0</v>
      </c>
      <c r="AA2897" s="1">
        <v>0.0</v>
      </c>
      <c r="AC2897" s="1">
        <v>0.0</v>
      </c>
      <c r="AM2897" s="1">
        <v>162371.0</v>
      </c>
      <c r="AN2897" s="1">
        <v>162371.0</v>
      </c>
      <c r="AO2897" s="1">
        <v>162371.0</v>
      </c>
      <c r="AP2897" s="1">
        <v>62.201</v>
      </c>
      <c r="AR2897" s="1">
        <v>0.0</v>
      </c>
      <c r="AW2897" s="1">
        <v>0.0</v>
      </c>
      <c r="AX2897" s="1">
        <v>7.0</v>
      </c>
      <c r="AY2897" s="1">
        <v>4.0</v>
      </c>
      <c r="BA2897" s="1">
        <v>0.0</v>
      </c>
      <c r="BB2897" s="1">
        <v>0.0</v>
      </c>
      <c r="BC2897" s="1">
        <v>0.0</v>
      </c>
      <c r="BD2897" s="1">
        <v>0.0</v>
      </c>
      <c r="BE2897" s="1">
        <v>0.0</v>
      </c>
      <c r="BF2897" s="1">
        <v>0.0</v>
      </c>
      <c r="BG2897" s="1">
        <v>0.0</v>
      </c>
      <c r="BH2897" s="1">
        <v>0.0</v>
      </c>
      <c r="BI2897" s="1">
        <v>0.0</v>
      </c>
      <c r="BJ2897" s="1">
        <v>0.0</v>
      </c>
      <c r="BP2897" s="1">
        <v>0.276</v>
      </c>
      <c r="BQ2897" s="1" t="s">
        <v>8836</v>
      </c>
      <c r="BV2897" s="1">
        <v>1.1</v>
      </c>
      <c r="EQ2897" s="9" t="s">
        <v>8835</v>
      </c>
      <c r="ER2897" s="21">
        <v>46045.303622685184</v>
      </c>
    </row>
    <row r="2898">
      <c r="A2898" s="9" t="s">
        <v>8837</v>
      </c>
      <c r="B2898" s="20" t="str">
        <f>IFERROR(__xludf.DUMMYFUNCTION("REGEXREPLACE(A2898, ""^https?://[^/]+"", """")"),"/wp-content/uploads/2015/03/sales-compensation-plan-2048x2048.png")</f>
        <v>/wp-content/uploads/2015/03/sales-compensation-plan-2048x2048.png</v>
      </c>
      <c r="F2898" s="1" t="s">
        <v>1047</v>
      </c>
      <c r="G2898" s="1">
        <v>200.0</v>
      </c>
      <c r="H2898" s="1" t="s">
        <v>966</v>
      </c>
      <c r="I2898" s="1" t="s">
        <v>967</v>
      </c>
      <c r="L2898" s="1">
        <v>0.0</v>
      </c>
      <c r="M2898" s="1">
        <v>0.0</v>
      </c>
      <c r="O2898" s="1">
        <v>0.0</v>
      </c>
      <c r="P2898" s="1">
        <v>0.0</v>
      </c>
      <c r="R2898" s="1">
        <v>0.0</v>
      </c>
      <c r="S2898" s="1">
        <v>0.0</v>
      </c>
      <c r="U2898" s="1">
        <v>0.0</v>
      </c>
      <c r="W2898" s="1">
        <v>0.0</v>
      </c>
      <c r="Y2898" s="1">
        <v>0.0</v>
      </c>
      <c r="AA2898" s="1">
        <v>0.0</v>
      </c>
      <c r="AC2898" s="1">
        <v>0.0</v>
      </c>
      <c r="AM2898" s="1">
        <v>2203168.0</v>
      </c>
      <c r="AN2898" s="1">
        <v>2203168.0</v>
      </c>
      <c r="AO2898" s="1">
        <v>2203168.0</v>
      </c>
      <c r="AP2898" s="1">
        <v>843.992</v>
      </c>
      <c r="AR2898" s="1">
        <v>0.0</v>
      </c>
      <c r="AW2898" s="1">
        <v>0.0</v>
      </c>
      <c r="AX2898" s="1">
        <v>7.0</v>
      </c>
      <c r="AY2898" s="1">
        <v>4.0</v>
      </c>
      <c r="BA2898" s="1">
        <v>0.0</v>
      </c>
      <c r="BB2898" s="1">
        <v>0.0</v>
      </c>
      <c r="BC2898" s="1">
        <v>0.0</v>
      </c>
      <c r="BD2898" s="1">
        <v>0.0</v>
      </c>
      <c r="BE2898" s="1">
        <v>0.0</v>
      </c>
      <c r="BF2898" s="1">
        <v>0.0</v>
      </c>
      <c r="BG2898" s="1">
        <v>0.0</v>
      </c>
      <c r="BH2898" s="1">
        <v>0.0</v>
      </c>
      <c r="BI2898" s="1">
        <v>0.0</v>
      </c>
      <c r="BJ2898" s="1">
        <v>0.0</v>
      </c>
      <c r="BP2898" s="1">
        <v>0.277</v>
      </c>
      <c r="BQ2898" s="1" t="s">
        <v>8838</v>
      </c>
      <c r="BV2898" s="1">
        <v>1.1</v>
      </c>
      <c r="EQ2898" s="9" t="s">
        <v>8837</v>
      </c>
      <c r="ER2898" s="21">
        <v>46045.303622685184</v>
      </c>
    </row>
    <row r="2899">
      <c r="A2899" s="9" t="s">
        <v>8839</v>
      </c>
      <c r="B2899" s="20" t="str">
        <f>IFERROR(__xludf.DUMMYFUNCTION("REGEXREPLACE(A2899, ""^https?://[^/]+"", """")"),"/wp-content/uploads/2018/04/newyayaya-2048x2048.jpg")</f>
        <v>/wp-content/uploads/2018/04/newyayaya-2048x2048.jpg</v>
      </c>
      <c r="F2899" s="1" t="s">
        <v>1004</v>
      </c>
      <c r="G2899" s="1">
        <v>200.0</v>
      </c>
      <c r="H2899" s="1" t="s">
        <v>966</v>
      </c>
      <c r="I2899" s="1" t="s">
        <v>967</v>
      </c>
      <c r="L2899" s="1">
        <v>0.0</v>
      </c>
      <c r="M2899" s="1">
        <v>0.0</v>
      </c>
      <c r="O2899" s="1">
        <v>0.0</v>
      </c>
      <c r="P2899" s="1">
        <v>0.0</v>
      </c>
      <c r="R2899" s="1">
        <v>0.0</v>
      </c>
      <c r="S2899" s="1">
        <v>0.0</v>
      </c>
      <c r="U2899" s="1">
        <v>0.0</v>
      </c>
      <c r="W2899" s="1">
        <v>0.0</v>
      </c>
      <c r="Y2899" s="1">
        <v>0.0</v>
      </c>
      <c r="AA2899" s="1">
        <v>0.0</v>
      </c>
      <c r="AC2899" s="1">
        <v>0.0</v>
      </c>
      <c r="AM2899" s="1">
        <v>323205.0</v>
      </c>
      <c r="AN2899" s="1">
        <v>323205.0</v>
      </c>
      <c r="AO2899" s="1">
        <v>323205.0</v>
      </c>
      <c r="AP2899" s="1">
        <v>123.814</v>
      </c>
      <c r="AR2899" s="1">
        <v>0.0</v>
      </c>
      <c r="AW2899" s="1">
        <v>0.0</v>
      </c>
      <c r="AX2899" s="1">
        <v>7.0</v>
      </c>
      <c r="AY2899" s="1">
        <v>4.0</v>
      </c>
      <c r="BA2899" s="1">
        <v>0.0</v>
      </c>
      <c r="BB2899" s="1">
        <v>0.0</v>
      </c>
      <c r="BC2899" s="1">
        <v>0.0</v>
      </c>
      <c r="BD2899" s="1">
        <v>0.0</v>
      </c>
      <c r="BE2899" s="1">
        <v>0.0</v>
      </c>
      <c r="BF2899" s="1">
        <v>0.0</v>
      </c>
      <c r="BG2899" s="1">
        <v>0.0</v>
      </c>
      <c r="BH2899" s="1">
        <v>0.0</v>
      </c>
      <c r="BI2899" s="1">
        <v>0.0</v>
      </c>
      <c r="BJ2899" s="1">
        <v>0.0</v>
      </c>
      <c r="BP2899" s="1">
        <v>0.276</v>
      </c>
      <c r="BQ2899" s="1" t="s">
        <v>8840</v>
      </c>
      <c r="BV2899" s="1">
        <v>1.1</v>
      </c>
      <c r="EQ2899" s="9" t="s">
        <v>8839</v>
      </c>
      <c r="ER2899" s="21">
        <v>46045.303622685184</v>
      </c>
    </row>
    <row r="2900">
      <c r="A2900" s="9" t="s">
        <v>8841</v>
      </c>
      <c r="B2900" s="20" t="str">
        <f>IFERROR(__xludf.DUMMYFUNCTION("REGEXREPLACE(A2900, ""^https?://[^/]+"", """")"),"/wp-content/themes/salesxceleratione/assets/css/style.css?ver=1769123832")</f>
        <v>/wp-content/themes/salesxceleratione/assets/css/style.css?ver=1769123832</v>
      </c>
      <c r="F2900" s="1" t="s">
        <v>1016</v>
      </c>
      <c r="G2900" s="1">
        <v>200.0</v>
      </c>
      <c r="H2900" s="1" t="s">
        <v>966</v>
      </c>
      <c r="I2900" s="1" t="s">
        <v>967</v>
      </c>
      <c r="L2900" s="1">
        <v>0.0</v>
      </c>
      <c r="M2900" s="1">
        <v>0.0</v>
      </c>
      <c r="O2900" s="1">
        <v>0.0</v>
      </c>
      <c r="P2900" s="1">
        <v>0.0</v>
      </c>
      <c r="R2900" s="1">
        <v>0.0</v>
      </c>
      <c r="S2900" s="1">
        <v>0.0</v>
      </c>
      <c r="U2900" s="1">
        <v>0.0</v>
      </c>
      <c r="W2900" s="1">
        <v>0.0</v>
      </c>
      <c r="Y2900" s="1">
        <v>0.0</v>
      </c>
      <c r="AA2900" s="1">
        <v>0.0</v>
      </c>
      <c r="AC2900" s="1">
        <v>0.0</v>
      </c>
      <c r="AM2900" s="1">
        <v>17704.0</v>
      </c>
      <c r="AN2900" s="1">
        <v>17704.0</v>
      </c>
      <c r="AO2900" s="1">
        <v>17704.0</v>
      </c>
      <c r="AP2900" s="1">
        <v>6.782</v>
      </c>
      <c r="AR2900" s="1">
        <v>0.0</v>
      </c>
      <c r="AW2900" s="1">
        <v>0.0</v>
      </c>
      <c r="AX2900" s="1">
        <v>7.0</v>
      </c>
      <c r="AY2900" s="1">
        <v>5.0</v>
      </c>
      <c r="BA2900" s="1">
        <v>0.0</v>
      </c>
      <c r="BB2900" s="1">
        <v>0.0</v>
      </c>
      <c r="BC2900" s="1">
        <v>0.0</v>
      </c>
      <c r="BD2900" s="1">
        <v>0.0</v>
      </c>
      <c r="BE2900" s="1">
        <v>0.0</v>
      </c>
      <c r="BF2900" s="1">
        <v>0.0</v>
      </c>
      <c r="BG2900" s="1">
        <v>0.0</v>
      </c>
      <c r="BH2900" s="1">
        <v>0.0</v>
      </c>
      <c r="BI2900" s="1">
        <v>0.0</v>
      </c>
      <c r="BJ2900" s="1">
        <v>0.0</v>
      </c>
      <c r="BP2900" s="1">
        <v>0.285</v>
      </c>
      <c r="BQ2900" s="1" t="s">
        <v>8842</v>
      </c>
      <c r="BV2900" s="1">
        <v>1.1</v>
      </c>
      <c r="EQ2900" s="9" t="s">
        <v>8841</v>
      </c>
      <c r="ER2900" s="21">
        <v>46045.303622685184</v>
      </c>
    </row>
    <row r="2901">
      <c r="A2901" s="9" t="s">
        <v>8843</v>
      </c>
      <c r="B2901" s="20" t="str">
        <f>IFERROR(__xludf.DUMMYFUNCTION("REGEXREPLACE(A2901, ""^https?://[^/]+"", """")"),"/sales-compensation-competitive/")</f>
        <v>/sales-compensation-competitive/</v>
      </c>
      <c r="C2901" s="1" t="s">
        <v>8844</v>
      </c>
      <c r="F2901" s="1" t="s">
        <v>965</v>
      </c>
      <c r="G2901" s="1">
        <v>200.0</v>
      </c>
      <c r="H2901" s="1" t="s">
        <v>966</v>
      </c>
      <c r="I2901" s="1" t="s">
        <v>967</v>
      </c>
      <c r="K2901" s="1" t="s">
        <v>8845</v>
      </c>
      <c r="L2901" s="1">
        <v>109.0</v>
      </c>
      <c r="M2901" s="1">
        <v>998.0</v>
      </c>
      <c r="O2901" s="1">
        <v>0.0</v>
      </c>
      <c r="P2901" s="1">
        <v>0.0</v>
      </c>
      <c r="Q2901" s="1" t="s">
        <v>8846</v>
      </c>
      <c r="R2901" s="1">
        <v>157.0</v>
      </c>
      <c r="S2901" s="1">
        <v>987.0</v>
      </c>
      <c r="U2901" s="1">
        <v>0.0</v>
      </c>
      <c r="V2901" s="1" t="s">
        <v>8844</v>
      </c>
      <c r="W2901" s="1">
        <v>84.0</v>
      </c>
      <c r="Y2901" s="1">
        <v>0.0</v>
      </c>
      <c r="AA2901" s="1">
        <v>0.0</v>
      </c>
      <c r="AC2901" s="1">
        <v>0.0</v>
      </c>
      <c r="AD2901" s="1" t="s">
        <v>971</v>
      </c>
      <c r="AG2901" s="9" t="s">
        <v>8843</v>
      </c>
      <c r="AM2901" s="1">
        <v>196714.0</v>
      </c>
      <c r="AN2901" s="1">
        <v>34076.0</v>
      </c>
      <c r="AO2901" s="1">
        <v>34076.0</v>
      </c>
      <c r="AP2901" s="1">
        <v>13.054</v>
      </c>
      <c r="AR2901" s="1">
        <v>672.0</v>
      </c>
      <c r="AS2901" s="1">
        <v>115.0</v>
      </c>
      <c r="AT2901" s="1">
        <v>5.843</v>
      </c>
      <c r="AU2901" s="1">
        <v>64.814</v>
      </c>
      <c r="AV2901" s="1" t="s">
        <v>990</v>
      </c>
      <c r="AW2901" s="1">
        <v>3.282</v>
      </c>
      <c r="AX2901" s="1">
        <v>6.0</v>
      </c>
      <c r="AY2901" s="1">
        <v>1.0</v>
      </c>
      <c r="AZ2901" s="1">
        <v>1.0</v>
      </c>
      <c r="BA2901" s="1">
        <v>4.0</v>
      </c>
      <c r="BB2901" s="1">
        <v>2.0</v>
      </c>
      <c r="BC2901" s="1">
        <v>0.0</v>
      </c>
      <c r="BD2901" s="1">
        <v>0.27</v>
      </c>
      <c r="BE2901" s="1">
        <v>133.0</v>
      </c>
      <c r="BF2901" s="1">
        <v>51.0</v>
      </c>
      <c r="BG2901" s="1">
        <v>0.0</v>
      </c>
      <c r="BH2901" s="1">
        <v>17.0</v>
      </c>
      <c r="BI2901" s="1">
        <v>9.0</v>
      </c>
      <c r="BJ2901" s="1">
        <v>0.0</v>
      </c>
      <c r="BO2901" s="1" t="s">
        <v>8847</v>
      </c>
      <c r="BP2901" s="1">
        <v>0.956</v>
      </c>
      <c r="BU2901" s="1" t="s">
        <v>974</v>
      </c>
      <c r="BV2901" s="1">
        <v>1.1</v>
      </c>
      <c r="EQ2901" s="9" t="s">
        <v>8843</v>
      </c>
      <c r="ER2901" s="21">
        <v>46045.303622685184</v>
      </c>
    </row>
    <row r="2902">
      <c r="A2902" s="9" t="s">
        <v>8848</v>
      </c>
      <c r="B2902" s="20" t="str">
        <f>IFERROR(__xludf.DUMMYFUNCTION("REGEXREPLACE(A2902, ""^https?://[^/]+"", """")"),"/wp-content/uploads/2017/05/DrawTheLineBlog.jpg")</f>
        <v>/wp-content/uploads/2017/05/DrawTheLineBlog.jpg</v>
      </c>
      <c r="F2902" s="1" t="s">
        <v>1004</v>
      </c>
      <c r="G2902" s="1">
        <v>200.0</v>
      </c>
      <c r="H2902" s="1" t="s">
        <v>966</v>
      </c>
      <c r="I2902" s="1" t="s">
        <v>967</v>
      </c>
      <c r="L2902" s="1">
        <v>0.0</v>
      </c>
      <c r="M2902" s="1">
        <v>0.0</v>
      </c>
      <c r="O2902" s="1">
        <v>0.0</v>
      </c>
      <c r="P2902" s="1">
        <v>0.0</v>
      </c>
      <c r="R2902" s="1">
        <v>0.0</v>
      </c>
      <c r="S2902" s="1">
        <v>0.0</v>
      </c>
      <c r="U2902" s="1">
        <v>0.0</v>
      </c>
      <c r="W2902" s="1">
        <v>0.0</v>
      </c>
      <c r="Y2902" s="1">
        <v>0.0</v>
      </c>
      <c r="AA2902" s="1">
        <v>0.0</v>
      </c>
      <c r="AC2902" s="1">
        <v>0.0</v>
      </c>
      <c r="AM2902" s="1">
        <v>8485.0</v>
      </c>
      <c r="AN2902" s="1">
        <v>8485.0</v>
      </c>
      <c r="AO2902" s="1">
        <v>8485.0</v>
      </c>
      <c r="AP2902" s="1">
        <v>3.25</v>
      </c>
      <c r="AR2902" s="1">
        <v>0.0</v>
      </c>
      <c r="AW2902" s="1">
        <v>0.0</v>
      </c>
      <c r="AX2902" s="1">
        <v>7.0</v>
      </c>
      <c r="AY2902" s="1">
        <v>4.0</v>
      </c>
      <c r="BA2902" s="1">
        <v>0.0</v>
      </c>
      <c r="BB2902" s="1">
        <v>0.0</v>
      </c>
      <c r="BC2902" s="1">
        <v>0.0</v>
      </c>
      <c r="BD2902" s="1">
        <v>0.0</v>
      </c>
      <c r="BE2902" s="1">
        <v>0.0</v>
      </c>
      <c r="BF2902" s="1">
        <v>0.0</v>
      </c>
      <c r="BG2902" s="1">
        <v>0.0</v>
      </c>
      <c r="BH2902" s="1">
        <v>0.0</v>
      </c>
      <c r="BI2902" s="1">
        <v>0.0</v>
      </c>
      <c r="BJ2902" s="1">
        <v>0.0</v>
      </c>
      <c r="BP2902" s="1">
        <v>0.26</v>
      </c>
      <c r="BQ2902" s="1" t="s">
        <v>8834</v>
      </c>
      <c r="BV2902" s="1">
        <v>1.1</v>
      </c>
      <c r="EQ2902" s="9" t="s">
        <v>8848</v>
      </c>
      <c r="ER2902" s="21">
        <v>46045.30363425926</v>
      </c>
    </row>
    <row r="2903">
      <c r="A2903" s="9" t="s">
        <v>8849</v>
      </c>
      <c r="B2903" s="20" t="str">
        <f>IFERROR(__xludf.DUMMYFUNCTION("REGEXREPLACE(A2903, ""^https?://[^/]+"", """")"),"/wp-content/uploads/2015/08/f2.jpg")</f>
        <v>/wp-content/uploads/2015/08/f2.jpg</v>
      </c>
      <c r="F2903" s="1" t="s">
        <v>1004</v>
      </c>
      <c r="G2903" s="1">
        <v>200.0</v>
      </c>
      <c r="H2903" s="1" t="s">
        <v>966</v>
      </c>
      <c r="I2903" s="1" t="s">
        <v>967</v>
      </c>
      <c r="L2903" s="1">
        <v>0.0</v>
      </c>
      <c r="M2903" s="1">
        <v>0.0</v>
      </c>
      <c r="O2903" s="1">
        <v>0.0</v>
      </c>
      <c r="P2903" s="1">
        <v>0.0</v>
      </c>
      <c r="R2903" s="1">
        <v>0.0</v>
      </c>
      <c r="S2903" s="1">
        <v>0.0</v>
      </c>
      <c r="U2903" s="1">
        <v>0.0</v>
      </c>
      <c r="W2903" s="1">
        <v>0.0</v>
      </c>
      <c r="Y2903" s="1">
        <v>0.0</v>
      </c>
      <c r="AA2903" s="1">
        <v>0.0</v>
      </c>
      <c r="AC2903" s="1">
        <v>0.0</v>
      </c>
      <c r="AM2903" s="1">
        <v>45498.0</v>
      </c>
      <c r="AN2903" s="1">
        <v>45498.0</v>
      </c>
      <c r="AO2903" s="1">
        <v>45498.0</v>
      </c>
      <c r="AP2903" s="1">
        <v>17.429</v>
      </c>
      <c r="AR2903" s="1">
        <v>0.0</v>
      </c>
      <c r="AW2903" s="1">
        <v>0.0</v>
      </c>
      <c r="AX2903" s="1">
        <v>7.0</v>
      </c>
      <c r="AY2903" s="1">
        <v>4.0</v>
      </c>
      <c r="BA2903" s="1">
        <v>0.0</v>
      </c>
      <c r="BB2903" s="1">
        <v>0.0</v>
      </c>
      <c r="BC2903" s="1">
        <v>0.0</v>
      </c>
      <c r="BD2903" s="1">
        <v>0.0</v>
      </c>
      <c r="BE2903" s="1">
        <v>0.0</v>
      </c>
      <c r="BF2903" s="1">
        <v>0.0</v>
      </c>
      <c r="BG2903" s="1">
        <v>0.0</v>
      </c>
      <c r="BH2903" s="1">
        <v>0.0</v>
      </c>
      <c r="BI2903" s="1">
        <v>0.0</v>
      </c>
      <c r="BJ2903" s="1">
        <v>0.0</v>
      </c>
      <c r="BP2903" s="1">
        <v>0.263</v>
      </c>
      <c r="BQ2903" s="1" t="s">
        <v>8850</v>
      </c>
      <c r="BV2903" s="1">
        <v>1.1</v>
      </c>
      <c r="EQ2903" s="9" t="s">
        <v>8849</v>
      </c>
      <c r="ER2903" s="21">
        <v>46045.30363425926</v>
      </c>
    </row>
    <row r="2904">
      <c r="A2904" s="9" t="s">
        <v>8851</v>
      </c>
      <c r="B2904" s="20" t="str">
        <f>IFERROR(__xludf.DUMMYFUNCTION("REGEXREPLACE(A2904, ""^https?://[^/]+"", """")"),"/how-top-salespeople-thrive-in-a-fast-paced-world/")</f>
        <v>/how-top-salespeople-thrive-in-a-fast-paced-world/</v>
      </c>
      <c r="C2904" s="1" t="s">
        <v>8852</v>
      </c>
      <c r="F2904" s="1" t="s">
        <v>965</v>
      </c>
      <c r="G2904" s="1">
        <v>200.0</v>
      </c>
      <c r="H2904" s="1" t="s">
        <v>966</v>
      </c>
      <c r="I2904" s="1" t="s">
        <v>967</v>
      </c>
      <c r="K2904" s="1" t="s">
        <v>8853</v>
      </c>
      <c r="L2904" s="1">
        <v>73.0</v>
      </c>
      <c r="M2904" s="1">
        <v>669.0</v>
      </c>
      <c r="O2904" s="1">
        <v>0.0</v>
      </c>
      <c r="P2904" s="1">
        <v>0.0</v>
      </c>
      <c r="Q2904" s="1" t="s">
        <v>8854</v>
      </c>
      <c r="R2904" s="1">
        <v>153.0</v>
      </c>
      <c r="S2904" s="1">
        <v>915.0</v>
      </c>
      <c r="U2904" s="1">
        <v>0.0</v>
      </c>
      <c r="V2904" s="1" t="s">
        <v>8852</v>
      </c>
      <c r="W2904" s="1">
        <v>48.0</v>
      </c>
      <c r="Y2904" s="1">
        <v>0.0</v>
      </c>
      <c r="AA2904" s="1">
        <v>0.0</v>
      </c>
      <c r="AC2904" s="1">
        <v>0.0</v>
      </c>
      <c r="AD2904" s="1" t="s">
        <v>971</v>
      </c>
      <c r="AG2904" s="9" t="s">
        <v>8851</v>
      </c>
      <c r="AM2904" s="1">
        <v>197651.0</v>
      </c>
      <c r="AN2904" s="1">
        <v>35137.0</v>
      </c>
      <c r="AO2904" s="1">
        <v>35137.0</v>
      </c>
      <c r="AP2904" s="1">
        <v>13.46</v>
      </c>
      <c r="AR2904" s="1">
        <v>1164.0</v>
      </c>
      <c r="AS2904" s="1">
        <v>178.0</v>
      </c>
      <c r="AT2904" s="1">
        <v>6.539</v>
      </c>
      <c r="AU2904" s="1">
        <v>66.32</v>
      </c>
      <c r="AV2904" s="1" t="s">
        <v>990</v>
      </c>
      <c r="AW2904" s="1">
        <v>4.768</v>
      </c>
      <c r="AX2904" s="1">
        <v>7.0</v>
      </c>
      <c r="AY2904" s="1">
        <v>1.0</v>
      </c>
      <c r="AZ2904" s="1">
        <v>1.0</v>
      </c>
      <c r="BA2904" s="1">
        <v>1.0</v>
      </c>
      <c r="BB2904" s="1">
        <v>1.0</v>
      </c>
      <c r="BC2904" s="1">
        <v>0.0</v>
      </c>
      <c r="BD2904" s="1">
        <v>0.13</v>
      </c>
      <c r="BE2904" s="1">
        <v>130.0</v>
      </c>
      <c r="BF2904" s="1">
        <v>47.0</v>
      </c>
      <c r="BG2904" s="1">
        <v>0.0</v>
      </c>
      <c r="BH2904" s="1">
        <v>16.0</v>
      </c>
      <c r="BI2904" s="1">
        <v>8.0</v>
      </c>
      <c r="BJ2904" s="1">
        <v>0.0</v>
      </c>
      <c r="BO2904" s="1" t="s">
        <v>8855</v>
      </c>
      <c r="BP2904" s="1">
        <v>0.961</v>
      </c>
      <c r="BU2904" s="1" t="s">
        <v>974</v>
      </c>
      <c r="BV2904" s="1">
        <v>1.1</v>
      </c>
      <c r="EQ2904" s="9" t="s">
        <v>8851</v>
      </c>
      <c r="ER2904" s="21">
        <v>46045.303622685184</v>
      </c>
    </row>
    <row r="2905">
      <c r="A2905" s="9" t="s">
        <v>8856</v>
      </c>
      <c r="B2905" s="20" t="str">
        <f>IFERROR(__xludf.DUMMYFUNCTION("REGEXREPLACE(A2905, ""^https?://[^/]+"", """")"),"/wp-content/uploads/2016/05/Sales-compensation-plan-.jpg")</f>
        <v>/wp-content/uploads/2016/05/Sales-compensation-plan-.jpg</v>
      </c>
      <c r="F2905" s="1" t="s">
        <v>1004</v>
      </c>
      <c r="G2905" s="1">
        <v>200.0</v>
      </c>
      <c r="H2905" s="1" t="s">
        <v>966</v>
      </c>
      <c r="I2905" s="1" t="s">
        <v>967</v>
      </c>
      <c r="L2905" s="1">
        <v>0.0</v>
      </c>
      <c r="M2905" s="1">
        <v>0.0</v>
      </c>
      <c r="O2905" s="1">
        <v>0.0</v>
      </c>
      <c r="P2905" s="1">
        <v>0.0</v>
      </c>
      <c r="R2905" s="1">
        <v>0.0</v>
      </c>
      <c r="S2905" s="1">
        <v>0.0</v>
      </c>
      <c r="U2905" s="1">
        <v>0.0</v>
      </c>
      <c r="W2905" s="1">
        <v>0.0</v>
      </c>
      <c r="Y2905" s="1">
        <v>0.0</v>
      </c>
      <c r="AA2905" s="1">
        <v>0.0</v>
      </c>
      <c r="AC2905" s="1">
        <v>0.0</v>
      </c>
      <c r="AM2905" s="1">
        <v>24520.0</v>
      </c>
      <c r="AN2905" s="1">
        <v>24520.0</v>
      </c>
      <c r="AO2905" s="1">
        <v>24520.0</v>
      </c>
      <c r="AP2905" s="1">
        <v>9.393</v>
      </c>
      <c r="AR2905" s="1">
        <v>0.0</v>
      </c>
      <c r="AW2905" s="1">
        <v>0.0</v>
      </c>
      <c r="AX2905" s="1">
        <v>7.0</v>
      </c>
      <c r="AY2905" s="1">
        <v>4.0</v>
      </c>
      <c r="BA2905" s="1">
        <v>0.0</v>
      </c>
      <c r="BB2905" s="1">
        <v>0.0</v>
      </c>
      <c r="BC2905" s="1">
        <v>0.0</v>
      </c>
      <c r="BD2905" s="1">
        <v>0.0</v>
      </c>
      <c r="BE2905" s="1">
        <v>0.0</v>
      </c>
      <c r="BF2905" s="1">
        <v>0.0</v>
      </c>
      <c r="BG2905" s="1">
        <v>0.0</v>
      </c>
      <c r="BH2905" s="1">
        <v>0.0</v>
      </c>
      <c r="BI2905" s="1">
        <v>0.0</v>
      </c>
      <c r="BJ2905" s="1">
        <v>0.0</v>
      </c>
      <c r="BP2905" s="1">
        <v>0.26</v>
      </c>
      <c r="BQ2905" s="1" t="s">
        <v>8832</v>
      </c>
      <c r="BV2905" s="1">
        <v>1.1</v>
      </c>
      <c r="EQ2905" s="9" t="s">
        <v>8856</v>
      </c>
      <c r="ER2905" s="21">
        <v>46045.30363425926</v>
      </c>
    </row>
    <row r="2906">
      <c r="A2906" s="9" t="s">
        <v>8857</v>
      </c>
      <c r="B2906" s="20" t="str">
        <f>IFERROR(__xludf.DUMMYFUNCTION("REGEXREPLACE(A2906, ""^https?://[^/]+"", """")"),"/wp-content/themes/salesxceleratione/assets/css/style.css?ver=1769123833")</f>
        <v>/wp-content/themes/salesxceleratione/assets/css/style.css?ver=1769123833</v>
      </c>
      <c r="F2906" s="1" t="s">
        <v>1016</v>
      </c>
      <c r="G2906" s="1">
        <v>200.0</v>
      </c>
      <c r="H2906" s="1" t="s">
        <v>966</v>
      </c>
      <c r="I2906" s="1" t="s">
        <v>967</v>
      </c>
      <c r="L2906" s="1">
        <v>0.0</v>
      </c>
      <c r="M2906" s="1">
        <v>0.0</v>
      </c>
      <c r="O2906" s="1">
        <v>0.0</v>
      </c>
      <c r="P2906" s="1">
        <v>0.0</v>
      </c>
      <c r="R2906" s="1">
        <v>0.0</v>
      </c>
      <c r="S2906" s="1">
        <v>0.0</v>
      </c>
      <c r="U2906" s="1">
        <v>0.0</v>
      </c>
      <c r="W2906" s="1">
        <v>0.0</v>
      </c>
      <c r="Y2906" s="1">
        <v>0.0</v>
      </c>
      <c r="AA2906" s="1">
        <v>0.0</v>
      </c>
      <c r="AC2906" s="1">
        <v>0.0</v>
      </c>
      <c r="AM2906" s="1">
        <v>17704.0</v>
      </c>
      <c r="AN2906" s="1">
        <v>17704.0</v>
      </c>
      <c r="AO2906" s="1">
        <v>17704.0</v>
      </c>
      <c r="AP2906" s="1">
        <v>6.782</v>
      </c>
      <c r="AR2906" s="1">
        <v>0.0</v>
      </c>
      <c r="AW2906" s="1">
        <v>0.0</v>
      </c>
      <c r="AX2906" s="1">
        <v>7.0</v>
      </c>
      <c r="AY2906" s="1">
        <v>5.0</v>
      </c>
      <c r="BA2906" s="1">
        <v>0.0</v>
      </c>
      <c r="BB2906" s="1">
        <v>0.0</v>
      </c>
      <c r="BC2906" s="1">
        <v>0.0</v>
      </c>
      <c r="BD2906" s="1">
        <v>0.0</v>
      </c>
      <c r="BE2906" s="1">
        <v>0.0</v>
      </c>
      <c r="BF2906" s="1">
        <v>0.0</v>
      </c>
      <c r="BG2906" s="1">
        <v>0.0</v>
      </c>
      <c r="BH2906" s="1">
        <v>0.0</v>
      </c>
      <c r="BI2906" s="1">
        <v>0.0</v>
      </c>
      <c r="BJ2906" s="1">
        <v>0.0</v>
      </c>
      <c r="BP2906" s="1">
        <v>0.287</v>
      </c>
      <c r="BQ2906" s="1" t="s">
        <v>8842</v>
      </c>
      <c r="BV2906" s="1">
        <v>1.1</v>
      </c>
      <c r="EQ2906" s="9" t="s">
        <v>8857</v>
      </c>
      <c r="ER2906" s="21">
        <v>46045.30363425926</v>
      </c>
    </row>
    <row r="2907">
      <c r="A2907" s="9" t="s">
        <v>8858</v>
      </c>
      <c r="B2907" s="20" t="str">
        <f>IFERROR(__xludf.DUMMYFUNCTION("REGEXREPLACE(A2907, ""^https?://[^/]+"", """")"),"/wp-content/themes/salesxceleratione/assets/css/style.css?ver=1769123831")</f>
        <v>/wp-content/themes/salesxceleratione/assets/css/style.css?ver=1769123831</v>
      </c>
      <c r="F2907" s="1" t="s">
        <v>1016</v>
      </c>
      <c r="G2907" s="1">
        <v>200.0</v>
      </c>
      <c r="H2907" s="1" t="s">
        <v>966</v>
      </c>
      <c r="I2907" s="1" t="s">
        <v>967</v>
      </c>
      <c r="L2907" s="1">
        <v>0.0</v>
      </c>
      <c r="M2907" s="1">
        <v>0.0</v>
      </c>
      <c r="O2907" s="1">
        <v>0.0</v>
      </c>
      <c r="P2907" s="1">
        <v>0.0</v>
      </c>
      <c r="R2907" s="1">
        <v>0.0</v>
      </c>
      <c r="S2907" s="1">
        <v>0.0</v>
      </c>
      <c r="U2907" s="1">
        <v>0.0</v>
      </c>
      <c r="W2907" s="1">
        <v>0.0</v>
      </c>
      <c r="Y2907" s="1">
        <v>0.0</v>
      </c>
      <c r="AA2907" s="1">
        <v>0.0</v>
      </c>
      <c r="AC2907" s="1">
        <v>0.0</v>
      </c>
      <c r="AM2907" s="1">
        <v>17704.0</v>
      </c>
      <c r="AN2907" s="1">
        <v>17704.0</v>
      </c>
      <c r="AO2907" s="1">
        <v>17704.0</v>
      </c>
      <c r="AP2907" s="1">
        <v>6.782</v>
      </c>
      <c r="AR2907" s="1">
        <v>0.0</v>
      </c>
      <c r="AW2907" s="1">
        <v>0.0</v>
      </c>
      <c r="AX2907" s="1">
        <v>7.0</v>
      </c>
      <c r="AY2907" s="1">
        <v>5.0</v>
      </c>
      <c r="BA2907" s="1">
        <v>0.0</v>
      </c>
      <c r="BB2907" s="1">
        <v>0.0</v>
      </c>
      <c r="BC2907" s="1">
        <v>0.0</v>
      </c>
      <c r="BD2907" s="1">
        <v>0.0</v>
      </c>
      <c r="BE2907" s="1">
        <v>0.0</v>
      </c>
      <c r="BF2907" s="1">
        <v>0.0</v>
      </c>
      <c r="BG2907" s="1">
        <v>0.0</v>
      </c>
      <c r="BH2907" s="1">
        <v>0.0</v>
      </c>
      <c r="BI2907" s="1">
        <v>0.0</v>
      </c>
      <c r="BJ2907" s="1">
        <v>0.0</v>
      </c>
      <c r="BP2907" s="1">
        <v>0.275</v>
      </c>
      <c r="BQ2907" s="1" t="s">
        <v>8842</v>
      </c>
      <c r="BV2907" s="1">
        <v>1.1</v>
      </c>
      <c r="EQ2907" s="9" t="s">
        <v>8858</v>
      </c>
      <c r="ER2907" s="21">
        <v>46045.30363425926</v>
      </c>
    </row>
    <row r="2908">
      <c r="A2908" s="9" t="s">
        <v>8859</v>
      </c>
      <c r="B2908" s="20" t="str">
        <f>IFERROR(__xludf.DUMMYFUNCTION("REGEXREPLACE(A2908, ""^https?://[^/]+"", """")"),"/wp-content/themes/salesxceleratione/assets/css/style.css?ver=1769123829")</f>
        <v>/wp-content/themes/salesxceleratione/assets/css/style.css?ver=1769123829</v>
      </c>
      <c r="F2908" s="1" t="s">
        <v>1016</v>
      </c>
      <c r="G2908" s="1">
        <v>200.0</v>
      </c>
      <c r="H2908" s="1" t="s">
        <v>966</v>
      </c>
      <c r="I2908" s="1" t="s">
        <v>967</v>
      </c>
      <c r="L2908" s="1">
        <v>0.0</v>
      </c>
      <c r="M2908" s="1">
        <v>0.0</v>
      </c>
      <c r="O2908" s="1">
        <v>0.0</v>
      </c>
      <c r="P2908" s="1">
        <v>0.0</v>
      </c>
      <c r="R2908" s="1">
        <v>0.0</v>
      </c>
      <c r="S2908" s="1">
        <v>0.0</v>
      </c>
      <c r="U2908" s="1">
        <v>0.0</v>
      </c>
      <c r="W2908" s="1">
        <v>0.0</v>
      </c>
      <c r="Y2908" s="1">
        <v>0.0</v>
      </c>
      <c r="AA2908" s="1">
        <v>0.0</v>
      </c>
      <c r="AC2908" s="1">
        <v>0.0</v>
      </c>
      <c r="AM2908" s="1">
        <v>17704.0</v>
      </c>
      <c r="AN2908" s="1">
        <v>17704.0</v>
      </c>
      <c r="AO2908" s="1">
        <v>17704.0</v>
      </c>
      <c r="AP2908" s="1">
        <v>6.782</v>
      </c>
      <c r="AR2908" s="1">
        <v>0.0</v>
      </c>
      <c r="AW2908" s="1">
        <v>0.0</v>
      </c>
      <c r="AX2908" s="1">
        <v>7.0</v>
      </c>
      <c r="AY2908" s="1">
        <v>5.0</v>
      </c>
      <c r="BA2908" s="1">
        <v>0.0</v>
      </c>
      <c r="BB2908" s="1">
        <v>0.0</v>
      </c>
      <c r="BC2908" s="1">
        <v>0.0</v>
      </c>
      <c r="BD2908" s="1">
        <v>0.0</v>
      </c>
      <c r="BE2908" s="1">
        <v>0.0</v>
      </c>
      <c r="BF2908" s="1">
        <v>0.0</v>
      </c>
      <c r="BG2908" s="1">
        <v>0.0</v>
      </c>
      <c r="BH2908" s="1">
        <v>0.0</v>
      </c>
      <c r="BI2908" s="1">
        <v>0.0</v>
      </c>
      <c r="BJ2908" s="1">
        <v>0.0</v>
      </c>
      <c r="BP2908" s="1">
        <v>0.272</v>
      </c>
      <c r="BQ2908" s="1" t="s">
        <v>8842</v>
      </c>
      <c r="BV2908" s="1">
        <v>1.1</v>
      </c>
      <c r="EQ2908" s="9" t="s">
        <v>8859</v>
      </c>
      <c r="ER2908" s="21">
        <v>46045.30363425926</v>
      </c>
    </row>
    <row r="2909">
      <c r="A2909" s="9" t="s">
        <v>8860</v>
      </c>
      <c r="B2909" s="20" t="str">
        <f>IFERROR(__xludf.DUMMYFUNCTION("REGEXREPLACE(A2909, ""^https?://[^/]+"", """")"),"/wp-content/uploads/2020/02/leap-day.jpg")</f>
        <v>/wp-content/uploads/2020/02/leap-day.jpg</v>
      </c>
      <c r="F2909" s="1" t="s">
        <v>1004</v>
      </c>
      <c r="G2909" s="1">
        <v>200.0</v>
      </c>
      <c r="H2909" s="1" t="s">
        <v>966</v>
      </c>
      <c r="I2909" s="1" t="s">
        <v>967</v>
      </c>
      <c r="L2909" s="1">
        <v>0.0</v>
      </c>
      <c r="M2909" s="1">
        <v>0.0</v>
      </c>
      <c r="O2909" s="1">
        <v>0.0</v>
      </c>
      <c r="P2909" s="1">
        <v>0.0</v>
      </c>
      <c r="R2909" s="1">
        <v>0.0</v>
      </c>
      <c r="S2909" s="1">
        <v>0.0</v>
      </c>
      <c r="U2909" s="1">
        <v>0.0</v>
      </c>
      <c r="W2909" s="1">
        <v>0.0</v>
      </c>
      <c r="Y2909" s="1">
        <v>0.0</v>
      </c>
      <c r="AA2909" s="1">
        <v>0.0</v>
      </c>
      <c r="AC2909" s="1">
        <v>0.0</v>
      </c>
      <c r="AM2909" s="1">
        <v>199671.0</v>
      </c>
      <c r="AN2909" s="1">
        <v>199671.0</v>
      </c>
      <c r="AO2909" s="1">
        <v>199671.0</v>
      </c>
      <c r="AP2909" s="1">
        <v>76.49</v>
      </c>
      <c r="AR2909" s="1">
        <v>0.0</v>
      </c>
      <c r="AW2909" s="1">
        <v>0.0</v>
      </c>
      <c r="AX2909" s="1">
        <v>7.0</v>
      </c>
      <c r="AY2909" s="1">
        <v>4.0</v>
      </c>
      <c r="BA2909" s="1">
        <v>0.0</v>
      </c>
      <c r="BB2909" s="1">
        <v>0.0</v>
      </c>
      <c r="BC2909" s="1">
        <v>0.0</v>
      </c>
      <c r="BD2909" s="1">
        <v>0.0</v>
      </c>
      <c r="BE2909" s="1">
        <v>0.0</v>
      </c>
      <c r="BF2909" s="1">
        <v>0.0</v>
      </c>
      <c r="BG2909" s="1">
        <v>0.0</v>
      </c>
      <c r="BH2909" s="1">
        <v>0.0</v>
      </c>
      <c r="BI2909" s="1">
        <v>0.0</v>
      </c>
      <c r="BJ2909" s="1">
        <v>0.0</v>
      </c>
      <c r="BP2909" s="1">
        <v>0.26</v>
      </c>
      <c r="BQ2909" s="1" t="s">
        <v>8861</v>
      </c>
      <c r="BV2909" s="1">
        <v>1.1</v>
      </c>
      <c r="EQ2909" s="9" t="s">
        <v>8860</v>
      </c>
      <c r="ER2909" s="21">
        <v>46045.30363425926</v>
      </c>
    </row>
    <row r="2910">
      <c r="A2910" s="9" t="s">
        <v>8862</v>
      </c>
      <c r="B2910" s="20" t="str">
        <f>IFERROR(__xludf.DUMMYFUNCTION("REGEXREPLACE(A2910, ""^https?://[^/]+"", """")"),"/wp-content/themes/salesxceleratione/assets/css/style.css?ver=1769123827")</f>
        <v>/wp-content/themes/salesxceleratione/assets/css/style.css?ver=1769123827</v>
      </c>
      <c r="F2910" s="1" t="s">
        <v>1016</v>
      </c>
      <c r="G2910" s="1">
        <v>200.0</v>
      </c>
      <c r="H2910" s="1" t="s">
        <v>966</v>
      </c>
      <c r="I2910" s="1" t="s">
        <v>967</v>
      </c>
      <c r="L2910" s="1">
        <v>0.0</v>
      </c>
      <c r="M2910" s="1">
        <v>0.0</v>
      </c>
      <c r="O2910" s="1">
        <v>0.0</v>
      </c>
      <c r="P2910" s="1">
        <v>0.0</v>
      </c>
      <c r="R2910" s="1">
        <v>0.0</v>
      </c>
      <c r="S2910" s="1">
        <v>0.0</v>
      </c>
      <c r="U2910" s="1">
        <v>0.0</v>
      </c>
      <c r="W2910" s="1">
        <v>0.0</v>
      </c>
      <c r="Y2910" s="1">
        <v>0.0</v>
      </c>
      <c r="AA2910" s="1">
        <v>0.0</v>
      </c>
      <c r="AC2910" s="1">
        <v>0.0</v>
      </c>
      <c r="AM2910" s="1">
        <v>17704.0</v>
      </c>
      <c r="AN2910" s="1">
        <v>17704.0</v>
      </c>
      <c r="AO2910" s="1">
        <v>17704.0</v>
      </c>
      <c r="AP2910" s="1">
        <v>6.782</v>
      </c>
      <c r="AR2910" s="1">
        <v>0.0</v>
      </c>
      <c r="AW2910" s="1">
        <v>0.0</v>
      </c>
      <c r="AX2910" s="1">
        <v>7.0</v>
      </c>
      <c r="AY2910" s="1">
        <v>5.0</v>
      </c>
      <c r="BA2910" s="1">
        <v>0.0</v>
      </c>
      <c r="BB2910" s="1">
        <v>0.0</v>
      </c>
      <c r="BC2910" s="1">
        <v>0.0</v>
      </c>
      <c r="BD2910" s="1">
        <v>0.0</v>
      </c>
      <c r="BE2910" s="1">
        <v>0.0</v>
      </c>
      <c r="BF2910" s="1">
        <v>0.0</v>
      </c>
      <c r="BG2910" s="1">
        <v>0.0</v>
      </c>
      <c r="BH2910" s="1">
        <v>0.0</v>
      </c>
      <c r="BI2910" s="1">
        <v>0.0</v>
      </c>
      <c r="BJ2910" s="1">
        <v>0.0</v>
      </c>
      <c r="BP2910" s="1">
        <v>0.283</v>
      </c>
      <c r="BQ2910" s="1" t="s">
        <v>8758</v>
      </c>
      <c r="BV2910" s="1">
        <v>1.1</v>
      </c>
      <c r="EQ2910" s="9" t="s">
        <v>8862</v>
      </c>
      <c r="ER2910" s="21">
        <v>46045.30364583333</v>
      </c>
    </row>
    <row r="2911">
      <c r="A2911" s="9" t="s">
        <v>8863</v>
      </c>
      <c r="B2911" s="20" t="str">
        <f>IFERROR(__xludf.DUMMYFUNCTION("REGEXREPLACE(A2911, ""^https?://[^/]+"", """")"),"/wp-content/uploads/2021/05/Virtual-Selling.jpg")</f>
        <v>/wp-content/uploads/2021/05/Virtual-Selling.jpg</v>
      </c>
      <c r="F2911" s="1" t="s">
        <v>1004</v>
      </c>
      <c r="G2911" s="1">
        <v>200.0</v>
      </c>
      <c r="H2911" s="1" t="s">
        <v>966</v>
      </c>
      <c r="I2911" s="1" t="s">
        <v>967</v>
      </c>
      <c r="L2911" s="1">
        <v>0.0</v>
      </c>
      <c r="M2911" s="1">
        <v>0.0</v>
      </c>
      <c r="O2911" s="1">
        <v>0.0</v>
      </c>
      <c r="P2911" s="1">
        <v>0.0</v>
      </c>
      <c r="R2911" s="1">
        <v>0.0</v>
      </c>
      <c r="S2911" s="1">
        <v>0.0</v>
      </c>
      <c r="U2911" s="1">
        <v>0.0</v>
      </c>
      <c r="W2911" s="1">
        <v>0.0</v>
      </c>
      <c r="Y2911" s="1">
        <v>0.0</v>
      </c>
      <c r="AA2911" s="1">
        <v>0.0</v>
      </c>
      <c r="AC2911" s="1">
        <v>0.0</v>
      </c>
      <c r="AM2911" s="1">
        <v>94425.0</v>
      </c>
      <c r="AN2911" s="1">
        <v>94425.0</v>
      </c>
      <c r="AO2911" s="1">
        <v>94425.0</v>
      </c>
      <c r="AP2911" s="1">
        <v>36.172</v>
      </c>
      <c r="AR2911" s="1">
        <v>0.0</v>
      </c>
      <c r="AW2911" s="1">
        <v>0.0</v>
      </c>
      <c r="AX2911" s="1">
        <v>7.0</v>
      </c>
      <c r="AY2911" s="1">
        <v>4.0</v>
      </c>
      <c r="BA2911" s="1">
        <v>0.0</v>
      </c>
      <c r="BB2911" s="1">
        <v>0.0</v>
      </c>
      <c r="BC2911" s="1">
        <v>0.0</v>
      </c>
      <c r="BD2911" s="1">
        <v>0.0</v>
      </c>
      <c r="BE2911" s="1">
        <v>0.0</v>
      </c>
      <c r="BF2911" s="1">
        <v>0.0</v>
      </c>
      <c r="BG2911" s="1">
        <v>0.0</v>
      </c>
      <c r="BH2911" s="1">
        <v>0.0</v>
      </c>
      <c r="BI2911" s="1">
        <v>0.0</v>
      </c>
      <c r="BJ2911" s="1">
        <v>0.0</v>
      </c>
      <c r="BP2911" s="1">
        <v>0.274</v>
      </c>
      <c r="BQ2911" s="1" t="s">
        <v>8864</v>
      </c>
      <c r="BV2911" s="1">
        <v>1.1</v>
      </c>
      <c r="EQ2911" s="9" t="s">
        <v>8863</v>
      </c>
      <c r="ER2911" s="21">
        <v>46045.30364583333</v>
      </c>
    </row>
    <row r="2912">
      <c r="A2912" s="9" t="s">
        <v>8865</v>
      </c>
      <c r="B2912" s="20" t="str">
        <f>IFERROR(__xludf.DUMMYFUNCTION("REGEXREPLACE(A2912, ""^https?://[^/]+"", """")"),"/wp-content/uploads/2017/07/AccountabilityBlog.jpg")</f>
        <v>/wp-content/uploads/2017/07/AccountabilityBlog.jpg</v>
      </c>
      <c r="F2912" s="1" t="s">
        <v>1004</v>
      </c>
      <c r="G2912" s="1">
        <v>200.0</v>
      </c>
      <c r="H2912" s="1" t="s">
        <v>966</v>
      </c>
      <c r="I2912" s="1" t="s">
        <v>967</v>
      </c>
      <c r="L2912" s="1">
        <v>0.0</v>
      </c>
      <c r="M2912" s="1">
        <v>0.0</v>
      </c>
      <c r="O2912" s="1">
        <v>0.0</v>
      </c>
      <c r="P2912" s="1">
        <v>0.0</v>
      </c>
      <c r="R2912" s="1">
        <v>0.0</v>
      </c>
      <c r="S2912" s="1">
        <v>0.0</v>
      </c>
      <c r="U2912" s="1">
        <v>0.0</v>
      </c>
      <c r="W2912" s="1">
        <v>0.0</v>
      </c>
      <c r="Y2912" s="1">
        <v>0.0</v>
      </c>
      <c r="AA2912" s="1">
        <v>0.0</v>
      </c>
      <c r="AC2912" s="1">
        <v>0.0</v>
      </c>
      <c r="AM2912" s="1">
        <v>33560.0</v>
      </c>
      <c r="AN2912" s="1">
        <v>33560.0</v>
      </c>
      <c r="AO2912" s="1">
        <v>33560.0</v>
      </c>
      <c r="AP2912" s="1">
        <v>12.856</v>
      </c>
      <c r="AR2912" s="1">
        <v>0.0</v>
      </c>
      <c r="AW2912" s="1">
        <v>0.0</v>
      </c>
      <c r="AX2912" s="1">
        <v>7.0</v>
      </c>
      <c r="AY2912" s="1">
        <v>4.0</v>
      </c>
      <c r="BA2912" s="1">
        <v>0.0</v>
      </c>
      <c r="BB2912" s="1">
        <v>0.0</v>
      </c>
      <c r="BC2912" s="1">
        <v>0.0</v>
      </c>
      <c r="BD2912" s="1">
        <v>0.0</v>
      </c>
      <c r="BE2912" s="1">
        <v>0.0</v>
      </c>
      <c r="BF2912" s="1">
        <v>0.0</v>
      </c>
      <c r="BG2912" s="1">
        <v>0.0</v>
      </c>
      <c r="BH2912" s="1">
        <v>0.0</v>
      </c>
      <c r="BI2912" s="1">
        <v>0.0</v>
      </c>
      <c r="BJ2912" s="1">
        <v>0.0</v>
      </c>
      <c r="BP2912" s="1">
        <v>0.268</v>
      </c>
      <c r="BQ2912" s="1" t="s">
        <v>8866</v>
      </c>
      <c r="BV2912" s="1">
        <v>1.1</v>
      </c>
      <c r="EQ2912" s="9" t="s">
        <v>8865</v>
      </c>
      <c r="ER2912" s="21">
        <v>46045.30364583333</v>
      </c>
    </row>
    <row r="2913">
      <c r="A2913" s="9" t="s">
        <v>8867</v>
      </c>
      <c r="B2913" s="20" t="str">
        <f>IFERROR(__xludf.DUMMYFUNCTION("REGEXREPLACE(A2913, ""^https?://[^/]+"", """")"),"/wp-content/themes/salesxceleratione/assets/css/style.css?ver=1769123823")</f>
        <v>/wp-content/themes/salesxceleratione/assets/css/style.css?ver=1769123823</v>
      </c>
      <c r="F2913" s="1" t="s">
        <v>1016</v>
      </c>
      <c r="G2913" s="1">
        <v>200.0</v>
      </c>
      <c r="H2913" s="1" t="s">
        <v>966</v>
      </c>
      <c r="I2913" s="1" t="s">
        <v>967</v>
      </c>
      <c r="L2913" s="1">
        <v>0.0</v>
      </c>
      <c r="M2913" s="1">
        <v>0.0</v>
      </c>
      <c r="O2913" s="1">
        <v>0.0</v>
      </c>
      <c r="P2913" s="1">
        <v>0.0</v>
      </c>
      <c r="R2913" s="1">
        <v>0.0</v>
      </c>
      <c r="S2913" s="1">
        <v>0.0</v>
      </c>
      <c r="U2913" s="1">
        <v>0.0</v>
      </c>
      <c r="W2913" s="1">
        <v>0.0</v>
      </c>
      <c r="Y2913" s="1">
        <v>0.0</v>
      </c>
      <c r="AA2913" s="1">
        <v>0.0</v>
      </c>
      <c r="AC2913" s="1">
        <v>0.0</v>
      </c>
      <c r="AM2913" s="1">
        <v>17704.0</v>
      </c>
      <c r="AN2913" s="1">
        <v>17704.0</v>
      </c>
      <c r="AO2913" s="1">
        <v>17704.0</v>
      </c>
      <c r="AP2913" s="1">
        <v>6.782</v>
      </c>
      <c r="AR2913" s="1">
        <v>0.0</v>
      </c>
      <c r="AW2913" s="1">
        <v>0.0</v>
      </c>
      <c r="AX2913" s="1">
        <v>7.0</v>
      </c>
      <c r="AY2913" s="1">
        <v>5.0</v>
      </c>
      <c r="BA2913" s="1">
        <v>0.0</v>
      </c>
      <c r="BB2913" s="1">
        <v>0.0</v>
      </c>
      <c r="BC2913" s="1">
        <v>0.0</v>
      </c>
      <c r="BD2913" s="1">
        <v>0.0</v>
      </c>
      <c r="BE2913" s="1">
        <v>0.0</v>
      </c>
      <c r="BF2913" s="1">
        <v>0.0</v>
      </c>
      <c r="BG2913" s="1">
        <v>0.0</v>
      </c>
      <c r="BH2913" s="1">
        <v>0.0</v>
      </c>
      <c r="BI2913" s="1">
        <v>0.0</v>
      </c>
      <c r="BJ2913" s="1">
        <v>0.0</v>
      </c>
      <c r="BP2913" s="1">
        <v>0.282</v>
      </c>
      <c r="BQ2913" s="1" t="s">
        <v>8868</v>
      </c>
      <c r="BV2913" s="1">
        <v>1.1</v>
      </c>
      <c r="EQ2913" s="9" t="s">
        <v>8867</v>
      </c>
      <c r="ER2913" s="21">
        <v>46045.30364583333</v>
      </c>
    </row>
    <row r="2914">
      <c r="A2914" s="9" t="s">
        <v>8800</v>
      </c>
      <c r="B2914" s="20" t="str">
        <f>IFERROR(__xludf.DUMMYFUNCTION("REGEXREPLACE(A2914, ""^https?://[^/]+"", """")"),"/why-sales-managers-must-be-coaches-so-salespeople-can-perform-when-it-counts/")</f>
        <v>/why-sales-managers-must-be-coaches-so-salespeople-can-perform-when-it-counts/</v>
      </c>
      <c r="C2914" s="1" t="s">
        <v>8869</v>
      </c>
      <c r="F2914" s="1" t="s">
        <v>965</v>
      </c>
      <c r="G2914" s="1">
        <v>200.0</v>
      </c>
      <c r="H2914" s="1" t="s">
        <v>966</v>
      </c>
      <c r="I2914" s="1" t="s">
        <v>967</v>
      </c>
      <c r="K2914" s="1" t="s">
        <v>8870</v>
      </c>
      <c r="L2914" s="1">
        <v>103.0</v>
      </c>
      <c r="M2914" s="1">
        <v>977.0</v>
      </c>
      <c r="O2914" s="1">
        <v>0.0</v>
      </c>
      <c r="P2914" s="1">
        <v>0.0</v>
      </c>
      <c r="Q2914" s="1" t="s">
        <v>8871</v>
      </c>
      <c r="R2914" s="1">
        <v>152.0</v>
      </c>
      <c r="S2914" s="1">
        <v>948.0</v>
      </c>
      <c r="U2914" s="1">
        <v>0.0</v>
      </c>
      <c r="V2914" s="1" t="s">
        <v>8869</v>
      </c>
      <c r="W2914" s="1">
        <v>78.0</v>
      </c>
      <c r="Y2914" s="1">
        <v>0.0</v>
      </c>
      <c r="AA2914" s="1">
        <v>0.0</v>
      </c>
      <c r="AC2914" s="1">
        <v>0.0</v>
      </c>
      <c r="AD2914" s="1" t="s">
        <v>971</v>
      </c>
      <c r="AG2914" s="9" t="s">
        <v>8800</v>
      </c>
      <c r="AM2914" s="1">
        <v>203461.0</v>
      </c>
      <c r="AN2914" s="1">
        <v>36155.0</v>
      </c>
      <c r="AO2914" s="1">
        <v>36155.0</v>
      </c>
      <c r="AP2914" s="1">
        <v>13.85</v>
      </c>
      <c r="AR2914" s="1">
        <v>1392.0</v>
      </c>
      <c r="AS2914" s="1">
        <v>216.0</v>
      </c>
      <c r="AT2914" s="1">
        <v>6.444</v>
      </c>
      <c r="AU2914" s="1">
        <v>64.642</v>
      </c>
      <c r="AV2914" s="1" t="s">
        <v>990</v>
      </c>
      <c r="AW2914" s="1">
        <v>5.401</v>
      </c>
      <c r="AX2914" s="1">
        <v>7.0</v>
      </c>
      <c r="AY2914" s="1">
        <v>1.0</v>
      </c>
      <c r="AZ2914" s="1">
        <v>1.0</v>
      </c>
      <c r="BA2914" s="1">
        <v>0.0</v>
      </c>
      <c r="BB2914" s="1">
        <v>0.0</v>
      </c>
      <c r="BC2914" s="1">
        <v>0.0</v>
      </c>
      <c r="BD2914" s="1">
        <v>0.0</v>
      </c>
      <c r="BE2914" s="1">
        <v>134.0</v>
      </c>
      <c r="BF2914" s="1">
        <v>51.0</v>
      </c>
      <c r="BG2914" s="1">
        <v>0.0</v>
      </c>
      <c r="BH2914" s="1">
        <v>16.0</v>
      </c>
      <c r="BI2914" s="1">
        <v>8.0</v>
      </c>
      <c r="BJ2914" s="1">
        <v>0.0</v>
      </c>
      <c r="BO2914" s="1" t="s">
        <v>8872</v>
      </c>
      <c r="BP2914" s="1">
        <v>1.214</v>
      </c>
      <c r="BU2914" s="1" t="s">
        <v>974</v>
      </c>
      <c r="BV2914" s="1">
        <v>1.1</v>
      </c>
      <c r="EQ2914" s="9" t="s">
        <v>8800</v>
      </c>
      <c r="ER2914" s="21">
        <v>46045.30363425926</v>
      </c>
    </row>
    <row r="2915">
      <c r="A2915" s="9" t="s">
        <v>8873</v>
      </c>
      <c r="B2915" s="20" t="str">
        <f>IFERROR(__xludf.DUMMYFUNCTION("REGEXREPLACE(A2915, ""^https?://[^/]+"", """")"),"/wp-content/uploads/2018/08/Effective_Sales.jpg")</f>
        <v>/wp-content/uploads/2018/08/Effective_Sales.jpg</v>
      </c>
      <c r="F2915" s="1" t="s">
        <v>1004</v>
      </c>
      <c r="G2915" s="1">
        <v>200.0</v>
      </c>
      <c r="H2915" s="1" t="s">
        <v>966</v>
      </c>
      <c r="I2915" s="1" t="s">
        <v>967</v>
      </c>
      <c r="L2915" s="1">
        <v>0.0</v>
      </c>
      <c r="M2915" s="1">
        <v>0.0</v>
      </c>
      <c r="O2915" s="1">
        <v>0.0</v>
      </c>
      <c r="P2915" s="1">
        <v>0.0</v>
      </c>
      <c r="R2915" s="1">
        <v>0.0</v>
      </c>
      <c r="S2915" s="1">
        <v>0.0</v>
      </c>
      <c r="U2915" s="1">
        <v>0.0</v>
      </c>
      <c r="W2915" s="1">
        <v>0.0</v>
      </c>
      <c r="Y2915" s="1">
        <v>0.0</v>
      </c>
      <c r="AA2915" s="1">
        <v>0.0</v>
      </c>
      <c r="AC2915" s="1">
        <v>0.0</v>
      </c>
      <c r="AM2915" s="1">
        <v>22215.0</v>
      </c>
      <c r="AN2915" s="1">
        <v>22215.0</v>
      </c>
      <c r="AO2915" s="1">
        <v>22215.0</v>
      </c>
      <c r="AP2915" s="1">
        <v>8.51</v>
      </c>
      <c r="AR2915" s="1">
        <v>0.0</v>
      </c>
      <c r="AW2915" s="1">
        <v>0.0</v>
      </c>
      <c r="AX2915" s="1">
        <v>7.0</v>
      </c>
      <c r="AY2915" s="1">
        <v>4.0</v>
      </c>
      <c r="BA2915" s="1">
        <v>0.0</v>
      </c>
      <c r="BB2915" s="1">
        <v>0.0</v>
      </c>
      <c r="BC2915" s="1">
        <v>0.0</v>
      </c>
      <c r="BD2915" s="1">
        <v>0.0</v>
      </c>
      <c r="BE2915" s="1">
        <v>0.0</v>
      </c>
      <c r="BF2915" s="1">
        <v>0.0</v>
      </c>
      <c r="BG2915" s="1">
        <v>0.0</v>
      </c>
      <c r="BH2915" s="1">
        <v>0.0</v>
      </c>
      <c r="BI2915" s="1">
        <v>0.0</v>
      </c>
      <c r="BJ2915" s="1">
        <v>0.0</v>
      </c>
      <c r="BP2915" s="1">
        <v>0.265</v>
      </c>
      <c r="BQ2915" s="1" t="s">
        <v>8874</v>
      </c>
      <c r="BV2915" s="1">
        <v>1.1</v>
      </c>
      <c r="EQ2915" s="9" t="s">
        <v>8873</v>
      </c>
      <c r="ER2915" s="21">
        <v>46045.30364583333</v>
      </c>
    </row>
    <row r="2916">
      <c r="A2916" s="9" t="s">
        <v>8875</v>
      </c>
      <c r="B2916" s="20" t="str">
        <f>IFERROR(__xludf.DUMMYFUNCTION("REGEXREPLACE(A2916, ""^https?://[^/]+"", """")"),"/wp-content/uploads/2018/10/shutterstock_282189722-scaled.jpg")</f>
        <v>/wp-content/uploads/2018/10/shutterstock_282189722-scaled.jpg</v>
      </c>
      <c r="F2916" s="1" t="s">
        <v>1004</v>
      </c>
      <c r="G2916" s="1">
        <v>200.0</v>
      </c>
      <c r="H2916" s="1" t="s">
        <v>966</v>
      </c>
      <c r="I2916" s="1" t="s">
        <v>967</v>
      </c>
      <c r="L2916" s="1">
        <v>0.0</v>
      </c>
      <c r="M2916" s="1">
        <v>0.0</v>
      </c>
      <c r="O2916" s="1">
        <v>0.0</v>
      </c>
      <c r="P2916" s="1">
        <v>0.0</v>
      </c>
      <c r="R2916" s="1">
        <v>0.0</v>
      </c>
      <c r="S2916" s="1">
        <v>0.0</v>
      </c>
      <c r="U2916" s="1">
        <v>0.0</v>
      </c>
      <c r="W2916" s="1">
        <v>0.0</v>
      </c>
      <c r="Y2916" s="1">
        <v>0.0</v>
      </c>
      <c r="AA2916" s="1">
        <v>0.0</v>
      </c>
      <c r="AC2916" s="1">
        <v>0.0</v>
      </c>
      <c r="AM2916" s="1">
        <v>311536.0</v>
      </c>
      <c r="AN2916" s="1">
        <v>311536.0</v>
      </c>
      <c r="AO2916" s="1">
        <v>311536.0</v>
      </c>
      <c r="AP2916" s="1">
        <v>119.344</v>
      </c>
      <c r="AR2916" s="1">
        <v>0.0</v>
      </c>
      <c r="AW2916" s="1">
        <v>0.0</v>
      </c>
      <c r="AX2916" s="1">
        <v>7.0</v>
      </c>
      <c r="AY2916" s="1">
        <v>4.0</v>
      </c>
      <c r="BA2916" s="1">
        <v>0.0</v>
      </c>
      <c r="BB2916" s="1">
        <v>0.0</v>
      </c>
      <c r="BC2916" s="1">
        <v>0.0</v>
      </c>
      <c r="BD2916" s="1">
        <v>0.0</v>
      </c>
      <c r="BE2916" s="1">
        <v>0.0</v>
      </c>
      <c r="BF2916" s="1">
        <v>0.0</v>
      </c>
      <c r="BG2916" s="1">
        <v>0.0</v>
      </c>
      <c r="BH2916" s="1">
        <v>0.0</v>
      </c>
      <c r="BI2916" s="1">
        <v>0.0</v>
      </c>
      <c r="BJ2916" s="1">
        <v>0.0</v>
      </c>
      <c r="BP2916" s="1">
        <v>0.263</v>
      </c>
      <c r="BQ2916" s="1" t="s">
        <v>8876</v>
      </c>
      <c r="BV2916" s="1">
        <v>1.1</v>
      </c>
      <c r="EQ2916" s="9" t="s">
        <v>8875</v>
      </c>
      <c r="ER2916" s="21">
        <v>46045.30365740741</v>
      </c>
    </row>
    <row r="2917">
      <c r="A2917" s="9" t="s">
        <v>8729</v>
      </c>
      <c r="B2917" s="20" t="str">
        <f>IFERROR(__xludf.DUMMYFUNCTION("REGEXREPLACE(A2917, ""^https?://[^/]+"", """")"),"/?download=29203")</f>
        <v>/?download=29203</v>
      </c>
      <c r="F2917" s="1" t="s">
        <v>965</v>
      </c>
      <c r="G2917" s="1">
        <v>302.0</v>
      </c>
      <c r="H2917" s="1" t="s">
        <v>2980</v>
      </c>
      <c r="I2917" s="1" t="s">
        <v>1214</v>
      </c>
      <c r="J2917" s="1" t="s">
        <v>1305</v>
      </c>
      <c r="L2917" s="1">
        <v>0.0</v>
      </c>
      <c r="M2917" s="1">
        <v>0.0</v>
      </c>
      <c r="O2917" s="1">
        <v>0.0</v>
      </c>
      <c r="P2917" s="1">
        <v>0.0</v>
      </c>
      <c r="R2917" s="1">
        <v>0.0</v>
      </c>
      <c r="S2917" s="1">
        <v>0.0</v>
      </c>
      <c r="U2917" s="1">
        <v>0.0</v>
      </c>
      <c r="W2917" s="1">
        <v>0.0</v>
      </c>
      <c r="Y2917" s="1">
        <v>0.0</v>
      </c>
      <c r="AA2917" s="1">
        <v>0.0</v>
      </c>
      <c r="AC2917" s="1">
        <v>0.0</v>
      </c>
      <c r="AM2917" s="1">
        <v>0.0</v>
      </c>
      <c r="AN2917" s="1">
        <v>0.0</v>
      </c>
      <c r="AO2917" s="1">
        <v>0.0</v>
      </c>
      <c r="AP2917" s="1">
        <v>0.0</v>
      </c>
      <c r="AR2917" s="1">
        <v>0.0</v>
      </c>
      <c r="AW2917" s="1">
        <v>0.0</v>
      </c>
      <c r="AX2917" s="1">
        <v>7.0</v>
      </c>
      <c r="AY2917" s="1">
        <v>0.0</v>
      </c>
      <c r="BA2917" s="1">
        <v>0.0</v>
      </c>
      <c r="BB2917" s="1">
        <v>0.0</v>
      </c>
      <c r="BC2917" s="1">
        <v>0.0</v>
      </c>
      <c r="BD2917" s="1">
        <v>0.0</v>
      </c>
      <c r="BE2917" s="1">
        <v>0.0</v>
      </c>
      <c r="BF2917" s="1">
        <v>0.0</v>
      </c>
      <c r="BG2917" s="1">
        <v>0.0</v>
      </c>
      <c r="BH2917" s="1">
        <v>0.0</v>
      </c>
      <c r="BI2917" s="1">
        <v>0.0</v>
      </c>
      <c r="BJ2917" s="1">
        <v>0.0</v>
      </c>
      <c r="BP2917" s="1">
        <v>0.566</v>
      </c>
      <c r="BR2917" s="9" t="s">
        <v>8877</v>
      </c>
      <c r="BS2917" s="1" t="s">
        <v>1307</v>
      </c>
      <c r="BV2917" s="1">
        <v>1.1</v>
      </c>
      <c r="EQ2917" s="9" t="s">
        <v>8729</v>
      </c>
      <c r="ER2917" s="21">
        <v>46045.30365740741</v>
      </c>
    </row>
    <row r="2918">
      <c r="A2918" s="9" t="s">
        <v>8727</v>
      </c>
      <c r="B2918" s="20" t="str">
        <f>IFERROR(__xludf.DUMMYFUNCTION("REGEXREPLACE(A2918, ""^https?://[^/]+"", """")"),"/?download=27890")</f>
        <v>/?download=27890</v>
      </c>
      <c r="F2918" s="1" t="s">
        <v>965</v>
      </c>
      <c r="G2918" s="1">
        <v>302.0</v>
      </c>
      <c r="H2918" s="1" t="s">
        <v>2980</v>
      </c>
      <c r="I2918" s="1" t="s">
        <v>1214</v>
      </c>
      <c r="J2918" s="1" t="s">
        <v>1305</v>
      </c>
      <c r="L2918" s="1">
        <v>0.0</v>
      </c>
      <c r="M2918" s="1">
        <v>0.0</v>
      </c>
      <c r="O2918" s="1">
        <v>0.0</v>
      </c>
      <c r="P2918" s="1">
        <v>0.0</v>
      </c>
      <c r="R2918" s="1">
        <v>0.0</v>
      </c>
      <c r="S2918" s="1">
        <v>0.0</v>
      </c>
      <c r="U2918" s="1">
        <v>0.0</v>
      </c>
      <c r="W2918" s="1">
        <v>0.0</v>
      </c>
      <c r="Y2918" s="1">
        <v>0.0</v>
      </c>
      <c r="AA2918" s="1">
        <v>0.0</v>
      </c>
      <c r="AC2918" s="1">
        <v>0.0</v>
      </c>
      <c r="AM2918" s="1">
        <v>0.0</v>
      </c>
      <c r="AN2918" s="1">
        <v>0.0</v>
      </c>
      <c r="AO2918" s="1">
        <v>0.0</v>
      </c>
      <c r="AP2918" s="1">
        <v>0.0</v>
      </c>
      <c r="AR2918" s="1">
        <v>0.0</v>
      </c>
      <c r="AW2918" s="1">
        <v>0.0</v>
      </c>
      <c r="AX2918" s="1">
        <v>7.0</v>
      </c>
      <c r="AY2918" s="1">
        <v>0.0</v>
      </c>
      <c r="BA2918" s="1">
        <v>0.0</v>
      </c>
      <c r="BB2918" s="1">
        <v>0.0</v>
      </c>
      <c r="BC2918" s="1">
        <v>0.0</v>
      </c>
      <c r="BD2918" s="1">
        <v>0.0</v>
      </c>
      <c r="BE2918" s="1">
        <v>0.0</v>
      </c>
      <c r="BF2918" s="1">
        <v>0.0</v>
      </c>
      <c r="BG2918" s="1">
        <v>0.0</v>
      </c>
      <c r="BH2918" s="1">
        <v>0.0</v>
      </c>
      <c r="BI2918" s="1">
        <v>0.0</v>
      </c>
      <c r="BJ2918" s="1">
        <v>0.0</v>
      </c>
      <c r="BP2918" s="1">
        <v>0.561</v>
      </c>
      <c r="BR2918" s="9" t="s">
        <v>8878</v>
      </c>
      <c r="BS2918" s="1" t="s">
        <v>1307</v>
      </c>
      <c r="BV2918" s="1">
        <v>1.1</v>
      </c>
      <c r="EQ2918" s="9" t="s">
        <v>8727</v>
      </c>
      <c r="ER2918" s="21">
        <v>46045.30365740741</v>
      </c>
    </row>
    <row r="2919">
      <c r="A2919" s="9" t="s">
        <v>8879</v>
      </c>
      <c r="B2919" s="20" t="str">
        <f>IFERROR(__xludf.DUMMYFUNCTION("REGEXREPLACE(A2919, ""^https?://[^/]+"", """")"),"/wp-content/themes/salesxceleratione/assets/css/style.css?ver=1769123821")</f>
        <v>/wp-content/themes/salesxceleratione/assets/css/style.css?ver=1769123821</v>
      </c>
      <c r="F2919" s="1" t="s">
        <v>1016</v>
      </c>
      <c r="G2919" s="1">
        <v>200.0</v>
      </c>
      <c r="H2919" s="1" t="s">
        <v>966</v>
      </c>
      <c r="I2919" s="1" t="s">
        <v>967</v>
      </c>
      <c r="L2919" s="1">
        <v>0.0</v>
      </c>
      <c r="M2919" s="1">
        <v>0.0</v>
      </c>
      <c r="O2919" s="1">
        <v>0.0</v>
      </c>
      <c r="P2919" s="1">
        <v>0.0</v>
      </c>
      <c r="R2919" s="1">
        <v>0.0</v>
      </c>
      <c r="S2919" s="1">
        <v>0.0</v>
      </c>
      <c r="U2919" s="1">
        <v>0.0</v>
      </c>
      <c r="W2919" s="1">
        <v>0.0</v>
      </c>
      <c r="Y2919" s="1">
        <v>0.0</v>
      </c>
      <c r="AA2919" s="1">
        <v>0.0</v>
      </c>
      <c r="AC2919" s="1">
        <v>0.0</v>
      </c>
      <c r="AM2919" s="1">
        <v>17704.0</v>
      </c>
      <c r="AN2919" s="1">
        <v>17704.0</v>
      </c>
      <c r="AO2919" s="1">
        <v>17704.0</v>
      </c>
      <c r="AP2919" s="1">
        <v>6.782</v>
      </c>
      <c r="AR2919" s="1">
        <v>0.0</v>
      </c>
      <c r="AW2919" s="1">
        <v>0.0</v>
      </c>
      <c r="AX2919" s="1">
        <v>7.0</v>
      </c>
      <c r="AY2919" s="1">
        <v>5.0</v>
      </c>
      <c r="BA2919" s="1">
        <v>0.0</v>
      </c>
      <c r="BB2919" s="1">
        <v>0.0</v>
      </c>
      <c r="BC2919" s="1">
        <v>0.0</v>
      </c>
      <c r="BD2919" s="1">
        <v>0.0</v>
      </c>
      <c r="BE2919" s="1">
        <v>0.0</v>
      </c>
      <c r="BF2919" s="1">
        <v>0.0</v>
      </c>
      <c r="BG2919" s="1">
        <v>0.0</v>
      </c>
      <c r="BH2919" s="1">
        <v>0.0</v>
      </c>
      <c r="BI2919" s="1">
        <v>0.0</v>
      </c>
      <c r="BJ2919" s="1">
        <v>0.0</v>
      </c>
      <c r="BP2919" s="1">
        <v>0.266</v>
      </c>
      <c r="BQ2919" s="1" t="s">
        <v>8880</v>
      </c>
      <c r="BV2919" s="1">
        <v>1.1</v>
      </c>
      <c r="EQ2919" s="9" t="s">
        <v>8879</v>
      </c>
      <c r="ER2919" s="21">
        <v>46045.30365740741</v>
      </c>
    </row>
    <row r="2920">
      <c r="A2920" s="9" t="s">
        <v>8881</v>
      </c>
      <c r="B2920" s="20" t="str">
        <f>IFERROR(__xludf.DUMMYFUNCTION("REGEXREPLACE(A2920, ""^https?://[^/]+"", """")"),"/wp-content/uploads/2023/04/Sales-Team-discussing-recession.jpg")</f>
        <v>/wp-content/uploads/2023/04/Sales-Team-discussing-recession.jpg</v>
      </c>
      <c r="F2920" s="1" t="s">
        <v>1004</v>
      </c>
      <c r="G2920" s="1">
        <v>200.0</v>
      </c>
      <c r="H2920" s="1" t="s">
        <v>966</v>
      </c>
      <c r="I2920" s="1" t="s">
        <v>967</v>
      </c>
      <c r="L2920" s="1">
        <v>0.0</v>
      </c>
      <c r="M2920" s="1">
        <v>0.0</v>
      </c>
      <c r="O2920" s="1">
        <v>0.0</v>
      </c>
      <c r="P2920" s="1">
        <v>0.0</v>
      </c>
      <c r="R2920" s="1">
        <v>0.0</v>
      </c>
      <c r="S2920" s="1">
        <v>0.0</v>
      </c>
      <c r="U2920" s="1">
        <v>0.0</v>
      </c>
      <c r="W2920" s="1">
        <v>0.0</v>
      </c>
      <c r="Y2920" s="1">
        <v>0.0</v>
      </c>
      <c r="AA2920" s="1">
        <v>0.0</v>
      </c>
      <c r="AC2920" s="1">
        <v>0.0</v>
      </c>
      <c r="AM2920" s="1">
        <v>492123.0</v>
      </c>
      <c r="AN2920" s="1">
        <v>492123.0</v>
      </c>
      <c r="AO2920" s="1">
        <v>492123.0</v>
      </c>
      <c r="AP2920" s="1">
        <v>188.523</v>
      </c>
      <c r="AR2920" s="1">
        <v>0.0</v>
      </c>
      <c r="AW2920" s="1">
        <v>0.0</v>
      </c>
      <c r="AX2920" s="1">
        <v>7.0</v>
      </c>
      <c r="AY2920" s="1">
        <v>4.0</v>
      </c>
      <c r="BA2920" s="1">
        <v>0.0</v>
      </c>
      <c r="BB2920" s="1">
        <v>0.0</v>
      </c>
      <c r="BC2920" s="1">
        <v>0.0</v>
      </c>
      <c r="BD2920" s="1">
        <v>0.0</v>
      </c>
      <c r="BE2920" s="1">
        <v>0.0</v>
      </c>
      <c r="BF2920" s="1">
        <v>0.0</v>
      </c>
      <c r="BG2920" s="1">
        <v>0.0</v>
      </c>
      <c r="BH2920" s="1">
        <v>0.0</v>
      </c>
      <c r="BI2920" s="1">
        <v>0.0</v>
      </c>
      <c r="BJ2920" s="1">
        <v>0.0</v>
      </c>
      <c r="BP2920" s="1">
        <v>0.273</v>
      </c>
      <c r="BQ2920" s="1" t="s">
        <v>8882</v>
      </c>
      <c r="BV2920" s="1">
        <v>1.1</v>
      </c>
      <c r="EQ2920" s="9" t="s">
        <v>8881</v>
      </c>
      <c r="ER2920" s="21">
        <v>46045.30365740741</v>
      </c>
    </row>
    <row r="2921">
      <c r="A2921" s="9" t="s">
        <v>8883</v>
      </c>
      <c r="B2921" s="20" t="str">
        <f>IFERROR(__xludf.DUMMYFUNCTION("REGEXREPLACE(A2921, ""^https?://[^/]+"", """")"),"/wp-content/themes/salesxceleratione/assets/css/style.css?ver=1769123817")</f>
        <v>/wp-content/themes/salesxceleratione/assets/css/style.css?ver=1769123817</v>
      </c>
      <c r="F2921" s="1" t="s">
        <v>1016</v>
      </c>
      <c r="G2921" s="1">
        <v>200.0</v>
      </c>
      <c r="H2921" s="1" t="s">
        <v>966</v>
      </c>
      <c r="I2921" s="1" t="s">
        <v>967</v>
      </c>
      <c r="L2921" s="1">
        <v>0.0</v>
      </c>
      <c r="M2921" s="1">
        <v>0.0</v>
      </c>
      <c r="O2921" s="1">
        <v>0.0</v>
      </c>
      <c r="P2921" s="1">
        <v>0.0</v>
      </c>
      <c r="R2921" s="1">
        <v>0.0</v>
      </c>
      <c r="S2921" s="1">
        <v>0.0</v>
      </c>
      <c r="U2921" s="1">
        <v>0.0</v>
      </c>
      <c r="W2921" s="1">
        <v>0.0</v>
      </c>
      <c r="Y2921" s="1">
        <v>0.0</v>
      </c>
      <c r="AA2921" s="1">
        <v>0.0</v>
      </c>
      <c r="AC2921" s="1">
        <v>0.0</v>
      </c>
      <c r="AM2921" s="1">
        <v>17704.0</v>
      </c>
      <c r="AN2921" s="1">
        <v>17704.0</v>
      </c>
      <c r="AO2921" s="1">
        <v>17704.0</v>
      </c>
      <c r="AP2921" s="1">
        <v>6.782</v>
      </c>
      <c r="AR2921" s="1">
        <v>0.0</v>
      </c>
      <c r="AW2921" s="1">
        <v>0.0</v>
      </c>
      <c r="AX2921" s="1">
        <v>7.0</v>
      </c>
      <c r="AY2921" s="1">
        <v>5.0</v>
      </c>
      <c r="BA2921" s="1">
        <v>0.0</v>
      </c>
      <c r="BB2921" s="1">
        <v>0.0</v>
      </c>
      <c r="BC2921" s="1">
        <v>0.0</v>
      </c>
      <c r="BD2921" s="1">
        <v>0.0</v>
      </c>
      <c r="BE2921" s="1">
        <v>0.0</v>
      </c>
      <c r="BF2921" s="1">
        <v>0.0</v>
      </c>
      <c r="BG2921" s="1">
        <v>0.0</v>
      </c>
      <c r="BH2921" s="1">
        <v>0.0</v>
      </c>
      <c r="BI2921" s="1">
        <v>0.0</v>
      </c>
      <c r="BJ2921" s="1">
        <v>0.0</v>
      </c>
      <c r="BP2921" s="1">
        <v>0.29</v>
      </c>
      <c r="BQ2921" s="1" t="s">
        <v>8884</v>
      </c>
      <c r="BV2921" s="1">
        <v>1.1</v>
      </c>
      <c r="EQ2921" s="9" t="s">
        <v>8883</v>
      </c>
      <c r="ER2921" s="21">
        <v>46045.30366898148</v>
      </c>
    </row>
    <row r="2922">
      <c r="A2922" s="9" t="s">
        <v>8885</v>
      </c>
      <c r="B2922" s="20" t="str">
        <f>IFERROR(__xludf.DUMMYFUNCTION("REGEXREPLACE(A2922, ""^https?://[^/]+"", """")"),"/wp-content/uploads/2023/04/Sales-Leaders-Working-in-Office.jpg")</f>
        <v>/wp-content/uploads/2023/04/Sales-Leaders-Working-in-Office.jpg</v>
      </c>
      <c r="F2922" s="1" t="s">
        <v>1004</v>
      </c>
      <c r="G2922" s="1">
        <v>200.0</v>
      </c>
      <c r="H2922" s="1" t="s">
        <v>966</v>
      </c>
      <c r="I2922" s="1" t="s">
        <v>967</v>
      </c>
      <c r="L2922" s="1">
        <v>0.0</v>
      </c>
      <c r="M2922" s="1">
        <v>0.0</v>
      </c>
      <c r="O2922" s="1">
        <v>0.0</v>
      </c>
      <c r="P2922" s="1">
        <v>0.0</v>
      </c>
      <c r="R2922" s="1">
        <v>0.0</v>
      </c>
      <c r="S2922" s="1">
        <v>0.0</v>
      </c>
      <c r="U2922" s="1">
        <v>0.0</v>
      </c>
      <c r="W2922" s="1">
        <v>0.0</v>
      </c>
      <c r="Y2922" s="1">
        <v>0.0</v>
      </c>
      <c r="AA2922" s="1">
        <v>0.0</v>
      </c>
      <c r="AC2922" s="1">
        <v>0.0</v>
      </c>
      <c r="AM2922" s="1">
        <v>243278.0</v>
      </c>
      <c r="AN2922" s="1">
        <v>243278.0</v>
      </c>
      <c r="AO2922" s="1">
        <v>243278.0</v>
      </c>
      <c r="AP2922" s="1">
        <v>93.195</v>
      </c>
      <c r="AR2922" s="1">
        <v>0.0</v>
      </c>
      <c r="AW2922" s="1">
        <v>0.0</v>
      </c>
      <c r="AX2922" s="1">
        <v>7.0</v>
      </c>
      <c r="AY2922" s="1">
        <v>4.0</v>
      </c>
      <c r="BA2922" s="1">
        <v>0.0</v>
      </c>
      <c r="BB2922" s="1">
        <v>0.0</v>
      </c>
      <c r="BC2922" s="1">
        <v>0.0</v>
      </c>
      <c r="BD2922" s="1">
        <v>0.0</v>
      </c>
      <c r="BE2922" s="1">
        <v>0.0</v>
      </c>
      <c r="BF2922" s="1">
        <v>0.0</v>
      </c>
      <c r="BG2922" s="1">
        <v>0.0</v>
      </c>
      <c r="BH2922" s="1">
        <v>0.0</v>
      </c>
      <c r="BI2922" s="1">
        <v>0.0</v>
      </c>
      <c r="BJ2922" s="1">
        <v>0.0</v>
      </c>
      <c r="BP2922" s="1">
        <v>0.269</v>
      </c>
      <c r="BQ2922" s="1" t="s">
        <v>8886</v>
      </c>
      <c r="BV2922" s="1">
        <v>1.1</v>
      </c>
      <c r="EQ2922" s="9" t="s">
        <v>8885</v>
      </c>
      <c r="ER2922" s="21">
        <v>46045.30366898148</v>
      </c>
    </row>
    <row r="2923">
      <c r="A2923" s="9" t="s">
        <v>8887</v>
      </c>
      <c r="B2923" s="20" t="str">
        <f>IFERROR(__xludf.DUMMYFUNCTION("REGEXREPLACE(A2923, ""^https?://[^/]+"", """")"),"/wp-content/uploads/2022/06/Client-Connection.jpg")</f>
        <v>/wp-content/uploads/2022/06/Client-Connection.jpg</v>
      </c>
      <c r="F2923" s="1" t="s">
        <v>1004</v>
      </c>
      <c r="G2923" s="1">
        <v>200.0</v>
      </c>
      <c r="H2923" s="1" t="s">
        <v>966</v>
      </c>
      <c r="I2923" s="1" t="s">
        <v>967</v>
      </c>
      <c r="L2923" s="1">
        <v>0.0</v>
      </c>
      <c r="M2923" s="1">
        <v>0.0</v>
      </c>
      <c r="O2923" s="1">
        <v>0.0</v>
      </c>
      <c r="P2923" s="1">
        <v>0.0</v>
      </c>
      <c r="R2923" s="1">
        <v>0.0</v>
      </c>
      <c r="S2923" s="1">
        <v>0.0</v>
      </c>
      <c r="U2923" s="1">
        <v>0.0</v>
      </c>
      <c r="W2923" s="1">
        <v>0.0</v>
      </c>
      <c r="Y2923" s="1">
        <v>0.0</v>
      </c>
      <c r="AA2923" s="1">
        <v>0.0</v>
      </c>
      <c r="AC2923" s="1">
        <v>0.0</v>
      </c>
      <c r="AM2923" s="1">
        <v>204101.0</v>
      </c>
      <c r="AN2923" s="1">
        <v>204101.0</v>
      </c>
      <c r="AO2923" s="1">
        <v>204101.0</v>
      </c>
      <c r="AP2923" s="1">
        <v>78.187</v>
      </c>
      <c r="AR2923" s="1">
        <v>0.0</v>
      </c>
      <c r="AW2923" s="1">
        <v>0.0</v>
      </c>
      <c r="AX2923" s="1">
        <v>7.0</v>
      </c>
      <c r="AY2923" s="1">
        <v>4.0</v>
      </c>
      <c r="BA2923" s="1">
        <v>0.0</v>
      </c>
      <c r="BB2923" s="1">
        <v>0.0</v>
      </c>
      <c r="BC2923" s="1">
        <v>0.0</v>
      </c>
      <c r="BD2923" s="1">
        <v>0.0</v>
      </c>
      <c r="BE2923" s="1">
        <v>0.0</v>
      </c>
      <c r="BF2923" s="1">
        <v>0.0</v>
      </c>
      <c r="BG2923" s="1">
        <v>0.0</v>
      </c>
      <c r="BH2923" s="1">
        <v>0.0</v>
      </c>
      <c r="BI2923" s="1">
        <v>0.0</v>
      </c>
      <c r="BJ2923" s="1">
        <v>0.0</v>
      </c>
      <c r="BP2923" s="1">
        <v>0.271</v>
      </c>
      <c r="BQ2923" s="1" t="s">
        <v>8888</v>
      </c>
      <c r="BV2923" s="1">
        <v>1.1</v>
      </c>
      <c r="EQ2923" s="9" t="s">
        <v>8887</v>
      </c>
      <c r="ER2923" s="21">
        <v>46045.30366898148</v>
      </c>
    </row>
    <row r="2924">
      <c r="A2924" s="9" t="s">
        <v>8889</v>
      </c>
      <c r="B2924" s="20" t="str">
        <f>IFERROR(__xludf.DUMMYFUNCTION("REGEXREPLACE(A2924, ""^https?://[^/]+"", """")"),"/wp-content/uploads/2022/06/Business-Meeting.jpg")</f>
        <v>/wp-content/uploads/2022/06/Business-Meeting.jpg</v>
      </c>
      <c r="F2924" s="1" t="s">
        <v>1004</v>
      </c>
      <c r="G2924" s="1">
        <v>200.0</v>
      </c>
      <c r="H2924" s="1" t="s">
        <v>966</v>
      </c>
      <c r="I2924" s="1" t="s">
        <v>967</v>
      </c>
      <c r="L2924" s="1">
        <v>0.0</v>
      </c>
      <c r="M2924" s="1">
        <v>0.0</v>
      </c>
      <c r="O2924" s="1">
        <v>0.0</v>
      </c>
      <c r="P2924" s="1">
        <v>0.0</v>
      </c>
      <c r="R2924" s="1">
        <v>0.0</v>
      </c>
      <c r="S2924" s="1">
        <v>0.0</v>
      </c>
      <c r="U2924" s="1">
        <v>0.0</v>
      </c>
      <c r="W2924" s="1">
        <v>0.0</v>
      </c>
      <c r="Y2924" s="1">
        <v>0.0</v>
      </c>
      <c r="AA2924" s="1">
        <v>0.0</v>
      </c>
      <c r="AC2924" s="1">
        <v>0.0</v>
      </c>
      <c r="AM2924" s="1">
        <v>281307.0</v>
      </c>
      <c r="AN2924" s="1">
        <v>281307.0</v>
      </c>
      <c r="AO2924" s="1">
        <v>281307.0</v>
      </c>
      <c r="AP2924" s="1">
        <v>107.763</v>
      </c>
      <c r="AR2924" s="1">
        <v>0.0</v>
      </c>
      <c r="AW2924" s="1">
        <v>0.0</v>
      </c>
      <c r="AX2924" s="1">
        <v>7.0</v>
      </c>
      <c r="AY2924" s="1">
        <v>4.0</v>
      </c>
      <c r="BA2924" s="1">
        <v>0.0</v>
      </c>
      <c r="BB2924" s="1">
        <v>0.0</v>
      </c>
      <c r="BC2924" s="1">
        <v>0.0</v>
      </c>
      <c r="BD2924" s="1">
        <v>0.0</v>
      </c>
      <c r="BE2924" s="1">
        <v>0.0</v>
      </c>
      <c r="BF2924" s="1">
        <v>0.0</v>
      </c>
      <c r="BG2924" s="1">
        <v>0.0</v>
      </c>
      <c r="BH2924" s="1">
        <v>0.0</v>
      </c>
      <c r="BI2924" s="1">
        <v>0.0</v>
      </c>
      <c r="BJ2924" s="1">
        <v>0.0</v>
      </c>
      <c r="BP2924" s="1">
        <v>0.281</v>
      </c>
      <c r="BQ2924" s="1" t="s">
        <v>8890</v>
      </c>
      <c r="BV2924" s="1">
        <v>1.1</v>
      </c>
      <c r="EQ2924" s="9" t="s">
        <v>8889</v>
      </c>
      <c r="ER2924" s="21">
        <v>46045.30366898148</v>
      </c>
    </row>
    <row r="2925">
      <c r="A2925" s="9" t="s">
        <v>8891</v>
      </c>
      <c r="B2925" s="20" t="str">
        <f>IFERROR(__xludf.DUMMYFUNCTION("REGEXREPLACE(A2925, ""^https?://[^/]+"", """")"),"/wp-content/themes/salesxceleratione/assets/css/style.css?ver=1769123816")</f>
        <v>/wp-content/themes/salesxceleratione/assets/css/style.css?ver=1769123816</v>
      </c>
      <c r="F2925" s="1" t="s">
        <v>1016</v>
      </c>
      <c r="G2925" s="1">
        <v>200.0</v>
      </c>
      <c r="H2925" s="1" t="s">
        <v>966</v>
      </c>
      <c r="I2925" s="1" t="s">
        <v>967</v>
      </c>
      <c r="L2925" s="1">
        <v>0.0</v>
      </c>
      <c r="M2925" s="1">
        <v>0.0</v>
      </c>
      <c r="O2925" s="1">
        <v>0.0</v>
      </c>
      <c r="P2925" s="1">
        <v>0.0</v>
      </c>
      <c r="R2925" s="1">
        <v>0.0</v>
      </c>
      <c r="S2925" s="1">
        <v>0.0</v>
      </c>
      <c r="U2925" s="1">
        <v>0.0</v>
      </c>
      <c r="W2925" s="1">
        <v>0.0</v>
      </c>
      <c r="Y2925" s="1">
        <v>0.0</v>
      </c>
      <c r="AA2925" s="1">
        <v>0.0</v>
      </c>
      <c r="AC2925" s="1">
        <v>0.0</v>
      </c>
      <c r="AM2925" s="1">
        <v>17704.0</v>
      </c>
      <c r="AN2925" s="1">
        <v>17704.0</v>
      </c>
      <c r="AO2925" s="1">
        <v>17704.0</v>
      </c>
      <c r="AP2925" s="1">
        <v>6.782</v>
      </c>
      <c r="AR2925" s="1">
        <v>0.0</v>
      </c>
      <c r="AW2925" s="1">
        <v>0.0</v>
      </c>
      <c r="AX2925" s="1">
        <v>7.0</v>
      </c>
      <c r="AY2925" s="1">
        <v>5.0</v>
      </c>
      <c r="BA2925" s="1">
        <v>0.0</v>
      </c>
      <c r="BB2925" s="1">
        <v>0.0</v>
      </c>
      <c r="BC2925" s="1">
        <v>0.0</v>
      </c>
      <c r="BD2925" s="1">
        <v>0.0</v>
      </c>
      <c r="BE2925" s="1">
        <v>0.0</v>
      </c>
      <c r="BF2925" s="1">
        <v>0.0</v>
      </c>
      <c r="BG2925" s="1">
        <v>0.0</v>
      </c>
      <c r="BH2925" s="1">
        <v>0.0</v>
      </c>
      <c r="BI2925" s="1">
        <v>0.0</v>
      </c>
      <c r="BJ2925" s="1">
        <v>0.0</v>
      </c>
      <c r="BP2925" s="1">
        <v>0.264</v>
      </c>
      <c r="BQ2925" s="1" t="s">
        <v>8683</v>
      </c>
      <c r="BV2925" s="1">
        <v>1.1</v>
      </c>
      <c r="EQ2925" s="9" t="s">
        <v>8891</v>
      </c>
      <c r="ER2925" s="21">
        <v>46045.30366898148</v>
      </c>
    </row>
    <row r="2926">
      <c r="A2926" s="9" t="s">
        <v>8892</v>
      </c>
      <c r="B2926" s="20" t="str">
        <f>IFERROR(__xludf.DUMMYFUNCTION("REGEXREPLACE(A2926, ""^https?://[^/]+"", """")"),"/wp-content/uploads/2022/11/Sales-Management.jpg")</f>
        <v>/wp-content/uploads/2022/11/Sales-Management.jpg</v>
      </c>
      <c r="F2926" s="1" t="s">
        <v>1004</v>
      </c>
      <c r="G2926" s="1">
        <v>200.0</v>
      </c>
      <c r="H2926" s="1" t="s">
        <v>966</v>
      </c>
      <c r="I2926" s="1" t="s">
        <v>967</v>
      </c>
      <c r="L2926" s="1">
        <v>0.0</v>
      </c>
      <c r="M2926" s="1">
        <v>0.0</v>
      </c>
      <c r="O2926" s="1">
        <v>0.0</v>
      </c>
      <c r="P2926" s="1">
        <v>0.0</v>
      </c>
      <c r="R2926" s="1">
        <v>0.0</v>
      </c>
      <c r="S2926" s="1">
        <v>0.0</v>
      </c>
      <c r="U2926" s="1">
        <v>0.0</v>
      </c>
      <c r="W2926" s="1">
        <v>0.0</v>
      </c>
      <c r="Y2926" s="1">
        <v>0.0</v>
      </c>
      <c r="AA2926" s="1">
        <v>0.0</v>
      </c>
      <c r="AC2926" s="1">
        <v>0.0</v>
      </c>
      <c r="AM2926" s="1">
        <v>157106.0</v>
      </c>
      <c r="AN2926" s="1">
        <v>157106.0</v>
      </c>
      <c r="AO2926" s="1">
        <v>157106.0</v>
      </c>
      <c r="AP2926" s="1">
        <v>60.184</v>
      </c>
      <c r="AR2926" s="1">
        <v>0.0</v>
      </c>
      <c r="AW2926" s="1">
        <v>0.0</v>
      </c>
      <c r="AX2926" s="1">
        <v>7.0</v>
      </c>
      <c r="AY2926" s="1">
        <v>4.0</v>
      </c>
      <c r="BA2926" s="1">
        <v>0.0</v>
      </c>
      <c r="BB2926" s="1">
        <v>0.0</v>
      </c>
      <c r="BC2926" s="1">
        <v>0.0</v>
      </c>
      <c r="BD2926" s="1">
        <v>0.0</v>
      </c>
      <c r="BE2926" s="1">
        <v>0.0</v>
      </c>
      <c r="BF2926" s="1">
        <v>0.0</v>
      </c>
      <c r="BG2926" s="1">
        <v>0.0</v>
      </c>
      <c r="BH2926" s="1">
        <v>0.0</v>
      </c>
      <c r="BI2926" s="1">
        <v>0.0</v>
      </c>
      <c r="BJ2926" s="1">
        <v>0.0</v>
      </c>
      <c r="BP2926" s="1">
        <v>0.274</v>
      </c>
      <c r="BQ2926" s="1" t="s">
        <v>8893</v>
      </c>
      <c r="BV2926" s="1">
        <v>1.1</v>
      </c>
      <c r="EQ2926" s="9" t="s">
        <v>8892</v>
      </c>
      <c r="ER2926" s="21">
        <v>46045.30366898148</v>
      </c>
    </row>
    <row r="2927">
      <c r="A2927" s="9" t="s">
        <v>8894</v>
      </c>
      <c r="B2927" s="20" t="str">
        <f>IFERROR(__xludf.DUMMYFUNCTION("REGEXREPLACE(A2927, ""^https?://[^/]+"", """")"),"/wp-content/uploads/2018/06/Good_News_Bad_News.jpg")</f>
        <v>/wp-content/uploads/2018/06/Good_News_Bad_News.jpg</v>
      </c>
      <c r="F2927" s="1" t="s">
        <v>1004</v>
      </c>
      <c r="G2927" s="1">
        <v>200.0</v>
      </c>
      <c r="H2927" s="1" t="s">
        <v>966</v>
      </c>
      <c r="I2927" s="1" t="s">
        <v>967</v>
      </c>
      <c r="L2927" s="1">
        <v>0.0</v>
      </c>
      <c r="M2927" s="1">
        <v>0.0</v>
      </c>
      <c r="O2927" s="1">
        <v>0.0</v>
      </c>
      <c r="P2927" s="1">
        <v>0.0</v>
      </c>
      <c r="R2927" s="1">
        <v>0.0</v>
      </c>
      <c r="S2927" s="1">
        <v>0.0</v>
      </c>
      <c r="U2927" s="1">
        <v>0.0</v>
      </c>
      <c r="W2927" s="1">
        <v>0.0</v>
      </c>
      <c r="Y2927" s="1">
        <v>0.0</v>
      </c>
      <c r="AA2927" s="1">
        <v>0.0</v>
      </c>
      <c r="AC2927" s="1">
        <v>0.0</v>
      </c>
      <c r="AM2927" s="1">
        <v>53642.0</v>
      </c>
      <c r="AN2927" s="1">
        <v>53642.0</v>
      </c>
      <c r="AO2927" s="1">
        <v>53642.0</v>
      </c>
      <c r="AP2927" s="1">
        <v>20.549</v>
      </c>
      <c r="AR2927" s="1">
        <v>0.0</v>
      </c>
      <c r="AW2927" s="1">
        <v>0.0</v>
      </c>
      <c r="AX2927" s="1">
        <v>7.0</v>
      </c>
      <c r="AY2927" s="1">
        <v>4.0</v>
      </c>
      <c r="BA2927" s="1">
        <v>0.0</v>
      </c>
      <c r="BB2927" s="1">
        <v>0.0</v>
      </c>
      <c r="BC2927" s="1">
        <v>0.0</v>
      </c>
      <c r="BD2927" s="1">
        <v>0.0</v>
      </c>
      <c r="BE2927" s="1">
        <v>0.0</v>
      </c>
      <c r="BF2927" s="1">
        <v>0.0</v>
      </c>
      <c r="BG2927" s="1">
        <v>0.0</v>
      </c>
      <c r="BH2927" s="1">
        <v>0.0</v>
      </c>
      <c r="BI2927" s="1">
        <v>0.0</v>
      </c>
      <c r="BJ2927" s="1">
        <v>0.0</v>
      </c>
      <c r="BP2927" s="1">
        <v>1.382</v>
      </c>
      <c r="BQ2927" s="1" t="s">
        <v>8895</v>
      </c>
      <c r="BV2927" s="1">
        <v>1.1</v>
      </c>
      <c r="EQ2927" s="9" t="s">
        <v>8894</v>
      </c>
      <c r="ER2927" s="21">
        <v>46045.30366898148</v>
      </c>
    </row>
    <row r="2928">
      <c r="A2928" s="9" t="s">
        <v>8896</v>
      </c>
      <c r="B2928" s="20" t="str">
        <f>IFERROR(__xludf.DUMMYFUNCTION("REGEXREPLACE(A2928, ""^https?://[^/]+"", """")"),"/downsized-your-accidental-entrepreneur-opportunity-as-a-sales-consultant/")</f>
        <v>/downsized-your-accidental-entrepreneur-opportunity-as-a-sales-consultant/</v>
      </c>
      <c r="C2928" s="1" t="s">
        <v>8897</v>
      </c>
      <c r="F2928" s="1" t="s">
        <v>965</v>
      </c>
      <c r="G2928" s="1">
        <v>200.0</v>
      </c>
      <c r="H2928" s="1" t="s">
        <v>966</v>
      </c>
      <c r="I2928" s="1" t="s">
        <v>967</v>
      </c>
      <c r="K2928" s="1" t="s">
        <v>8898</v>
      </c>
      <c r="L2928" s="1">
        <v>100.0</v>
      </c>
      <c r="M2928" s="1">
        <v>904.0</v>
      </c>
      <c r="O2928" s="1">
        <v>0.0</v>
      </c>
      <c r="P2928" s="1">
        <v>0.0</v>
      </c>
      <c r="Q2928" s="1" t="s">
        <v>8899</v>
      </c>
      <c r="R2928" s="1">
        <v>144.0</v>
      </c>
      <c r="S2928" s="1">
        <v>871.0</v>
      </c>
      <c r="U2928" s="1">
        <v>0.0</v>
      </c>
      <c r="V2928" s="1" t="s">
        <v>8897</v>
      </c>
      <c r="W2928" s="1">
        <v>75.0</v>
      </c>
      <c r="Y2928" s="1">
        <v>0.0</v>
      </c>
      <c r="AA2928" s="1">
        <v>0.0</v>
      </c>
      <c r="AC2928" s="1">
        <v>0.0</v>
      </c>
      <c r="AD2928" s="1" t="s">
        <v>971</v>
      </c>
      <c r="AG2928" s="9" t="s">
        <v>8896</v>
      </c>
      <c r="AM2928" s="1">
        <v>202478.0</v>
      </c>
      <c r="AN2928" s="1">
        <v>36804.0</v>
      </c>
      <c r="AO2928" s="1">
        <v>36804.0</v>
      </c>
      <c r="AP2928" s="1">
        <v>14.099</v>
      </c>
      <c r="AR2928" s="1">
        <v>1626.0</v>
      </c>
      <c r="AS2928" s="1">
        <v>237.0</v>
      </c>
      <c r="AT2928" s="1">
        <v>6.861</v>
      </c>
      <c r="AU2928" s="1">
        <v>64.699</v>
      </c>
      <c r="AV2928" s="1" t="s">
        <v>990</v>
      </c>
      <c r="AW2928" s="1">
        <v>6.118</v>
      </c>
      <c r="AX2928" s="1">
        <v>7.0</v>
      </c>
      <c r="AY2928" s="1">
        <v>1.0</v>
      </c>
      <c r="AZ2928" s="1">
        <v>1.0</v>
      </c>
      <c r="BA2928" s="1">
        <v>1.0</v>
      </c>
      <c r="BB2928" s="1">
        <v>1.0</v>
      </c>
      <c r="BC2928" s="1">
        <v>0.0</v>
      </c>
      <c r="BD2928" s="1">
        <v>0.13</v>
      </c>
      <c r="BE2928" s="1">
        <v>133.0</v>
      </c>
      <c r="BF2928" s="1">
        <v>50.0</v>
      </c>
      <c r="BG2928" s="1">
        <v>0.0</v>
      </c>
      <c r="BH2928" s="1">
        <v>18.0</v>
      </c>
      <c r="BI2928" s="1">
        <v>10.0</v>
      </c>
      <c r="BJ2928" s="1">
        <v>0.0</v>
      </c>
      <c r="BO2928" s="1" t="s">
        <v>8900</v>
      </c>
      <c r="BP2928" s="1">
        <v>1.059</v>
      </c>
      <c r="BU2928" s="1" t="s">
        <v>974</v>
      </c>
      <c r="BV2928" s="1">
        <v>1.1</v>
      </c>
      <c r="EQ2928" s="9" t="s">
        <v>8896</v>
      </c>
      <c r="ER2928" s="21">
        <v>46045.30366898148</v>
      </c>
    </row>
    <row r="2929">
      <c r="A2929" s="9" t="s">
        <v>8901</v>
      </c>
      <c r="B2929" s="20" t="str">
        <f>IFERROR(__xludf.DUMMYFUNCTION("REGEXREPLACE(A2929, ""^https?://[^/]+"", """")"),"/wp-content/themes/salesxceleratione/assets/css/style.css?ver=1769123814")</f>
        <v>/wp-content/themes/salesxceleratione/assets/css/style.css?ver=1769123814</v>
      </c>
      <c r="F2929" s="1" t="s">
        <v>1016</v>
      </c>
      <c r="G2929" s="1">
        <v>200.0</v>
      </c>
      <c r="H2929" s="1" t="s">
        <v>966</v>
      </c>
      <c r="I2929" s="1" t="s">
        <v>967</v>
      </c>
      <c r="L2929" s="1">
        <v>0.0</v>
      </c>
      <c r="M2929" s="1">
        <v>0.0</v>
      </c>
      <c r="O2929" s="1">
        <v>0.0</v>
      </c>
      <c r="P2929" s="1">
        <v>0.0</v>
      </c>
      <c r="R2929" s="1">
        <v>0.0</v>
      </c>
      <c r="S2929" s="1">
        <v>0.0</v>
      </c>
      <c r="U2929" s="1">
        <v>0.0</v>
      </c>
      <c r="W2929" s="1">
        <v>0.0</v>
      </c>
      <c r="Y2929" s="1">
        <v>0.0</v>
      </c>
      <c r="AA2929" s="1">
        <v>0.0</v>
      </c>
      <c r="AC2929" s="1">
        <v>0.0</v>
      </c>
      <c r="AM2929" s="1">
        <v>17704.0</v>
      </c>
      <c r="AN2929" s="1">
        <v>17704.0</v>
      </c>
      <c r="AO2929" s="1">
        <v>17704.0</v>
      </c>
      <c r="AP2929" s="1">
        <v>6.782</v>
      </c>
      <c r="AR2929" s="1">
        <v>0.0</v>
      </c>
      <c r="AW2929" s="1">
        <v>0.0</v>
      </c>
      <c r="AX2929" s="1">
        <v>7.0</v>
      </c>
      <c r="AY2929" s="1">
        <v>5.0</v>
      </c>
      <c r="BA2929" s="1">
        <v>0.0</v>
      </c>
      <c r="BB2929" s="1">
        <v>0.0</v>
      </c>
      <c r="BC2929" s="1">
        <v>0.0</v>
      </c>
      <c r="BD2929" s="1">
        <v>0.0</v>
      </c>
      <c r="BE2929" s="1">
        <v>0.0</v>
      </c>
      <c r="BF2929" s="1">
        <v>0.0</v>
      </c>
      <c r="BG2929" s="1">
        <v>0.0</v>
      </c>
      <c r="BH2929" s="1">
        <v>0.0</v>
      </c>
      <c r="BI2929" s="1">
        <v>0.0</v>
      </c>
      <c r="BJ2929" s="1">
        <v>0.0</v>
      </c>
      <c r="BP2929" s="1">
        <v>0.275</v>
      </c>
      <c r="BQ2929" s="1" t="s">
        <v>8902</v>
      </c>
      <c r="BV2929" s="1">
        <v>1.1</v>
      </c>
      <c r="EQ2929" s="9" t="s">
        <v>8901</v>
      </c>
      <c r="ER2929" s="21">
        <v>46045.30368055555</v>
      </c>
    </row>
    <row r="2930">
      <c r="A2930" s="9" t="s">
        <v>8903</v>
      </c>
      <c r="B2930" s="20" t="str">
        <f>IFERROR(__xludf.DUMMYFUNCTION("REGEXREPLACE(A2930, ""^https?://[^/]+"", """")"),"/wp-content/uploads/2016/12/business-card-1525590-640x960-623x248-1.jpg")</f>
        <v>/wp-content/uploads/2016/12/business-card-1525590-640x960-623x248-1.jpg</v>
      </c>
      <c r="F2930" s="1" t="s">
        <v>1004</v>
      </c>
      <c r="G2930" s="1">
        <v>200.0</v>
      </c>
      <c r="H2930" s="1" t="s">
        <v>966</v>
      </c>
      <c r="I2930" s="1" t="s">
        <v>967</v>
      </c>
      <c r="L2930" s="1">
        <v>0.0</v>
      </c>
      <c r="M2930" s="1">
        <v>0.0</v>
      </c>
      <c r="O2930" s="1">
        <v>0.0</v>
      </c>
      <c r="P2930" s="1">
        <v>0.0</v>
      </c>
      <c r="R2930" s="1">
        <v>0.0</v>
      </c>
      <c r="S2930" s="1">
        <v>0.0</v>
      </c>
      <c r="U2930" s="1">
        <v>0.0</v>
      </c>
      <c r="W2930" s="1">
        <v>0.0</v>
      </c>
      <c r="Y2930" s="1">
        <v>0.0</v>
      </c>
      <c r="AA2930" s="1">
        <v>0.0</v>
      </c>
      <c r="AC2930" s="1">
        <v>0.0</v>
      </c>
      <c r="AM2930" s="1">
        <v>15021.0</v>
      </c>
      <c r="AN2930" s="1">
        <v>15021.0</v>
      </c>
      <c r="AO2930" s="1">
        <v>15021.0</v>
      </c>
      <c r="AP2930" s="1">
        <v>5.754</v>
      </c>
      <c r="AR2930" s="1">
        <v>0.0</v>
      </c>
      <c r="AW2930" s="1">
        <v>0.0</v>
      </c>
      <c r="AX2930" s="1">
        <v>7.0</v>
      </c>
      <c r="AY2930" s="1">
        <v>4.0</v>
      </c>
      <c r="BA2930" s="1">
        <v>0.0</v>
      </c>
      <c r="BB2930" s="1">
        <v>0.0</v>
      </c>
      <c r="BC2930" s="1">
        <v>0.0</v>
      </c>
      <c r="BD2930" s="1">
        <v>0.0</v>
      </c>
      <c r="BE2930" s="1">
        <v>0.0</v>
      </c>
      <c r="BF2930" s="1">
        <v>0.0</v>
      </c>
      <c r="BG2930" s="1">
        <v>0.0</v>
      </c>
      <c r="BH2930" s="1">
        <v>0.0</v>
      </c>
      <c r="BI2930" s="1">
        <v>0.0</v>
      </c>
      <c r="BJ2930" s="1">
        <v>0.0</v>
      </c>
      <c r="BP2930" s="1">
        <v>0.27</v>
      </c>
      <c r="BQ2930" s="1" t="s">
        <v>8904</v>
      </c>
      <c r="BV2930" s="1">
        <v>1.1</v>
      </c>
      <c r="EQ2930" s="9" t="s">
        <v>8903</v>
      </c>
      <c r="ER2930" s="21">
        <v>46045.30369212963</v>
      </c>
    </row>
    <row r="2931">
      <c r="A2931" s="9" t="s">
        <v>8905</v>
      </c>
      <c r="B2931" s="20" t="str">
        <f>IFERROR(__xludf.DUMMYFUNCTION("REGEXREPLACE(A2931, ""^https?://[^/]+"", """")"),"/wp-content/themes/salesxceleratione/assets/css/style.css?ver=1769123812")</f>
        <v>/wp-content/themes/salesxceleratione/assets/css/style.css?ver=1769123812</v>
      </c>
      <c r="F2931" s="1" t="s">
        <v>1016</v>
      </c>
      <c r="G2931" s="1">
        <v>200.0</v>
      </c>
      <c r="H2931" s="1" t="s">
        <v>966</v>
      </c>
      <c r="I2931" s="1" t="s">
        <v>967</v>
      </c>
      <c r="L2931" s="1">
        <v>0.0</v>
      </c>
      <c r="M2931" s="1">
        <v>0.0</v>
      </c>
      <c r="O2931" s="1">
        <v>0.0</v>
      </c>
      <c r="P2931" s="1">
        <v>0.0</v>
      </c>
      <c r="R2931" s="1">
        <v>0.0</v>
      </c>
      <c r="S2931" s="1">
        <v>0.0</v>
      </c>
      <c r="U2931" s="1">
        <v>0.0</v>
      </c>
      <c r="W2931" s="1">
        <v>0.0</v>
      </c>
      <c r="Y2931" s="1">
        <v>0.0</v>
      </c>
      <c r="AA2931" s="1">
        <v>0.0</v>
      </c>
      <c r="AC2931" s="1">
        <v>0.0</v>
      </c>
      <c r="AM2931" s="1">
        <v>17704.0</v>
      </c>
      <c r="AN2931" s="1">
        <v>17704.0</v>
      </c>
      <c r="AO2931" s="1">
        <v>17704.0</v>
      </c>
      <c r="AP2931" s="1">
        <v>6.782</v>
      </c>
      <c r="AR2931" s="1">
        <v>0.0</v>
      </c>
      <c r="AW2931" s="1">
        <v>0.0</v>
      </c>
      <c r="AX2931" s="1">
        <v>7.0</v>
      </c>
      <c r="AY2931" s="1">
        <v>5.0</v>
      </c>
      <c r="BA2931" s="1">
        <v>0.0</v>
      </c>
      <c r="BB2931" s="1">
        <v>0.0</v>
      </c>
      <c r="BC2931" s="1">
        <v>0.0</v>
      </c>
      <c r="BD2931" s="1">
        <v>0.0</v>
      </c>
      <c r="BE2931" s="1">
        <v>0.0</v>
      </c>
      <c r="BF2931" s="1">
        <v>0.0</v>
      </c>
      <c r="BG2931" s="1">
        <v>0.0</v>
      </c>
      <c r="BH2931" s="1">
        <v>0.0</v>
      </c>
      <c r="BI2931" s="1">
        <v>0.0</v>
      </c>
      <c r="BJ2931" s="1">
        <v>0.0</v>
      </c>
      <c r="BP2931" s="1">
        <v>0.292</v>
      </c>
      <c r="BQ2931" s="1" t="s">
        <v>8902</v>
      </c>
      <c r="BV2931" s="1">
        <v>1.1</v>
      </c>
      <c r="EQ2931" s="9" t="s">
        <v>8905</v>
      </c>
      <c r="ER2931" s="21">
        <v>46045.30369212963</v>
      </c>
    </row>
    <row r="2932">
      <c r="A2932" s="9" t="s">
        <v>8906</v>
      </c>
      <c r="B2932" s="20" t="str">
        <f>IFERROR(__xludf.DUMMYFUNCTION("REGEXREPLACE(A2932, ""^https?://[^/]+"", """")"),"/wp-content/uploads/2018/12/shutterstock_368529578-resized1.jpg")</f>
        <v>/wp-content/uploads/2018/12/shutterstock_368529578-resized1.jpg</v>
      </c>
      <c r="F2932" s="1" t="s">
        <v>1004</v>
      </c>
      <c r="G2932" s="1">
        <v>200.0</v>
      </c>
      <c r="H2932" s="1" t="s">
        <v>966</v>
      </c>
      <c r="I2932" s="1" t="s">
        <v>967</v>
      </c>
      <c r="L2932" s="1">
        <v>0.0</v>
      </c>
      <c r="M2932" s="1">
        <v>0.0</v>
      </c>
      <c r="O2932" s="1">
        <v>0.0</v>
      </c>
      <c r="P2932" s="1">
        <v>0.0</v>
      </c>
      <c r="R2932" s="1">
        <v>0.0</v>
      </c>
      <c r="S2932" s="1">
        <v>0.0</v>
      </c>
      <c r="U2932" s="1">
        <v>0.0</v>
      </c>
      <c r="W2932" s="1">
        <v>0.0</v>
      </c>
      <c r="Y2932" s="1">
        <v>0.0</v>
      </c>
      <c r="AA2932" s="1">
        <v>0.0</v>
      </c>
      <c r="AC2932" s="1">
        <v>0.0</v>
      </c>
      <c r="AM2932" s="1">
        <v>35393.0</v>
      </c>
      <c r="AN2932" s="1">
        <v>35393.0</v>
      </c>
      <c r="AO2932" s="1">
        <v>35393.0</v>
      </c>
      <c r="AP2932" s="1">
        <v>13.558</v>
      </c>
      <c r="AR2932" s="1">
        <v>0.0</v>
      </c>
      <c r="AW2932" s="1">
        <v>0.0</v>
      </c>
      <c r="AX2932" s="1">
        <v>7.0</v>
      </c>
      <c r="AY2932" s="1">
        <v>4.0</v>
      </c>
      <c r="BA2932" s="1">
        <v>0.0</v>
      </c>
      <c r="BB2932" s="1">
        <v>0.0</v>
      </c>
      <c r="BC2932" s="1">
        <v>0.0</v>
      </c>
      <c r="BD2932" s="1">
        <v>0.0</v>
      </c>
      <c r="BE2932" s="1">
        <v>0.0</v>
      </c>
      <c r="BF2932" s="1">
        <v>0.0</v>
      </c>
      <c r="BG2932" s="1">
        <v>0.0</v>
      </c>
      <c r="BH2932" s="1">
        <v>0.0</v>
      </c>
      <c r="BI2932" s="1">
        <v>0.0</v>
      </c>
      <c r="BJ2932" s="1">
        <v>0.0</v>
      </c>
      <c r="BP2932" s="1">
        <v>0.271</v>
      </c>
      <c r="BQ2932" s="1" t="s">
        <v>8907</v>
      </c>
      <c r="BV2932" s="1">
        <v>1.1</v>
      </c>
      <c r="EQ2932" s="9" t="s">
        <v>8906</v>
      </c>
      <c r="ER2932" s="21">
        <v>46045.30369212963</v>
      </c>
    </row>
    <row r="2933">
      <c r="A2933" s="9" t="s">
        <v>8635</v>
      </c>
      <c r="B2933" s="20" t="str">
        <f>IFERROR(__xludf.DUMMYFUNCTION("REGEXREPLACE(A2933, ""^https?://[^/]+"", """")"),"/no-access/download-id/27893/")</f>
        <v>/no-access/download-id/27893/</v>
      </c>
      <c r="C2933" s="1" t="s">
        <v>6664</v>
      </c>
      <c r="F2933" s="1" t="s">
        <v>965</v>
      </c>
      <c r="G2933" s="1">
        <v>200.0</v>
      </c>
      <c r="H2933" s="1" t="s">
        <v>966</v>
      </c>
      <c r="I2933" s="1" t="s">
        <v>1214</v>
      </c>
      <c r="J2933" s="1" t="s">
        <v>1215</v>
      </c>
      <c r="K2933" s="1" t="s">
        <v>6665</v>
      </c>
      <c r="L2933" s="1">
        <v>29.0</v>
      </c>
      <c r="M2933" s="1">
        <v>265.0</v>
      </c>
      <c r="O2933" s="1">
        <v>0.0</v>
      </c>
      <c r="P2933" s="1">
        <v>0.0</v>
      </c>
      <c r="R2933" s="1">
        <v>0.0</v>
      </c>
      <c r="S2933" s="1">
        <v>0.0</v>
      </c>
      <c r="U2933" s="1">
        <v>0.0</v>
      </c>
      <c r="V2933" s="1" t="s">
        <v>6664</v>
      </c>
      <c r="W2933" s="1">
        <v>9.0</v>
      </c>
      <c r="Y2933" s="1">
        <v>0.0</v>
      </c>
      <c r="AA2933" s="1">
        <v>0.0</v>
      </c>
      <c r="AC2933" s="1">
        <v>0.0</v>
      </c>
      <c r="AD2933" s="1" t="s">
        <v>971</v>
      </c>
      <c r="AG2933" s="9" t="s">
        <v>6666</v>
      </c>
      <c r="AM2933" s="1">
        <v>145754.0</v>
      </c>
      <c r="AN2933" s="1">
        <v>28289.0</v>
      </c>
      <c r="AO2933" s="1">
        <v>28289.0</v>
      </c>
      <c r="AP2933" s="1">
        <v>10.837</v>
      </c>
      <c r="AR2933" s="1">
        <v>538.0</v>
      </c>
      <c r="AS2933" s="1">
        <v>93.0</v>
      </c>
      <c r="AT2933" s="1">
        <v>5.785</v>
      </c>
      <c r="AU2933" s="1">
        <v>61.483</v>
      </c>
      <c r="AV2933" s="1" t="s">
        <v>990</v>
      </c>
      <c r="AW2933" s="1">
        <v>3.905</v>
      </c>
      <c r="AX2933" s="1">
        <v>7.0</v>
      </c>
      <c r="AY2933" s="1">
        <v>3.0</v>
      </c>
      <c r="BA2933" s="1">
        <v>0.0</v>
      </c>
      <c r="BB2933" s="1">
        <v>0.0</v>
      </c>
      <c r="BC2933" s="1">
        <v>0.0</v>
      </c>
      <c r="BD2933" s="1">
        <v>0.0</v>
      </c>
      <c r="BE2933" s="1">
        <v>123.0</v>
      </c>
      <c r="BF2933" s="1">
        <v>42.0</v>
      </c>
      <c r="BG2933" s="1">
        <v>0.0</v>
      </c>
      <c r="BH2933" s="1">
        <v>16.0</v>
      </c>
      <c r="BI2933" s="1">
        <v>8.0</v>
      </c>
      <c r="BJ2933" s="1">
        <v>0.0</v>
      </c>
      <c r="BO2933" s="1" t="s">
        <v>8908</v>
      </c>
      <c r="BP2933" s="1">
        <v>0.938</v>
      </c>
      <c r="BU2933" s="1" t="s">
        <v>974</v>
      </c>
      <c r="BV2933" s="1">
        <v>1.1</v>
      </c>
      <c r="EQ2933" s="9" t="s">
        <v>8635</v>
      </c>
      <c r="ER2933" s="21">
        <v>46045.30368055555</v>
      </c>
    </row>
    <row r="2934">
      <c r="A2934" s="9" t="s">
        <v>8628</v>
      </c>
      <c r="B2934" s="20" t="str">
        <f>IFERROR(__xludf.DUMMYFUNCTION("REGEXREPLACE(A2934, ""^https?://[^/]+"", """")"),"/?p=539")</f>
        <v>/?p=539</v>
      </c>
      <c r="F2934" s="1" t="s">
        <v>965</v>
      </c>
      <c r="G2934" s="1">
        <v>404.0</v>
      </c>
      <c r="H2934" s="1" t="s">
        <v>2067</v>
      </c>
      <c r="I2934" s="1" t="s">
        <v>1214</v>
      </c>
      <c r="J2934" s="1" t="s">
        <v>2068</v>
      </c>
      <c r="L2934" s="1">
        <v>0.0</v>
      </c>
      <c r="M2934" s="1">
        <v>0.0</v>
      </c>
      <c r="O2934" s="1">
        <v>0.0</v>
      </c>
      <c r="P2934" s="1">
        <v>0.0</v>
      </c>
      <c r="R2934" s="1">
        <v>0.0</v>
      </c>
      <c r="S2934" s="1">
        <v>0.0</v>
      </c>
      <c r="U2934" s="1">
        <v>0.0</v>
      </c>
      <c r="W2934" s="1">
        <v>0.0</v>
      </c>
      <c r="Y2934" s="1">
        <v>0.0</v>
      </c>
      <c r="AA2934" s="1">
        <v>0.0</v>
      </c>
      <c r="AC2934" s="1">
        <v>0.0</v>
      </c>
      <c r="AM2934" s="1">
        <v>0.0</v>
      </c>
      <c r="AN2934" s="1">
        <v>0.0</v>
      </c>
      <c r="AO2934" s="1">
        <v>0.0</v>
      </c>
      <c r="AP2934" s="1">
        <v>0.0</v>
      </c>
      <c r="AR2934" s="1">
        <v>0.0</v>
      </c>
      <c r="AW2934" s="1">
        <v>0.0</v>
      </c>
      <c r="AX2934" s="1">
        <v>7.0</v>
      </c>
      <c r="AY2934" s="1">
        <v>0.0</v>
      </c>
      <c r="AZ2934" s="1">
        <v>1.0</v>
      </c>
      <c r="BA2934" s="1">
        <v>0.0</v>
      </c>
      <c r="BB2934" s="1">
        <v>0.0</v>
      </c>
      <c r="BC2934" s="1">
        <v>0.0</v>
      </c>
      <c r="BD2934" s="1">
        <v>0.0</v>
      </c>
      <c r="BE2934" s="1">
        <v>0.0</v>
      </c>
      <c r="BF2934" s="1">
        <v>0.0</v>
      </c>
      <c r="BG2934" s="1">
        <v>0.0</v>
      </c>
      <c r="BH2934" s="1">
        <v>0.0</v>
      </c>
      <c r="BI2934" s="1">
        <v>0.0</v>
      </c>
      <c r="BJ2934" s="1">
        <v>0.0</v>
      </c>
      <c r="BP2934" s="1">
        <v>0.878</v>
      </c>
      <c r="BV2934" s="1">
        <v>1.1</v>
      </c>
      <c r="EQ2934" s="9" t="s">
        <v>8628</v>
      </c>
      <c r="ER2934" s="21">
        <v>46045.30369212963</v>
      </c>
    </row>
    <row r="2935">
      <c r="A2935" s="9" t="s">
        <v>8909</v>
      </c>
      <c r="B2935" s="20" t="str">
        <f>IFERROR(__xludf.DUMMYFUNCTION("REGEXREPLACE(A2935, ""^https?://[^/]+"", """")"),"/wp-content/uploads/2015/04/Confessions-misunderstood-salesperson-sales-xceleration.png")</f>
        <v>/wp-content/uploads/2015/04/Confessions-misunderstood-salesperson-sales-xceleration.png</v>
      </c>
      <c r="F2935" s="1" t="s">
        <v>1047</v>
      </c>
      <c r="G2935" s="1">
        <v>200.0</v>
      </c>
      <c r="H2935" s="1" t="s">
        <v>966</v>
      </c>
      <c r="I2935" s="1" t="s">
        <v>967</v>
      </c>
      <c r="L2935" s="1">
        <v>0.0</v>
      </c>
      <c r="M2935" s="1">
        <v>0.0</v>
      </c>
      <c r="O2935" s="1">
        <v>0.0</v>
      </c>
      <c r="P2935" s="1">
        <v>0.0</v>
      </c>
      <c r="R2935" s="1">
        <v>0.0</v>
      </c>
      <c r="S2935" s="1">
        <v>0.0</v>
      </c>
      <c r="U2935" s="1">
        <v>0.0</v>
      </c>
      <c r="W2935" s="1">
        <v>0.0</v>
      </c>
      <c r="Y2935" s="1">
        <v>0.0</v>
      </c>
      <c r="AA2935" s="1">
        <v>0.0</v>
      </c>
      <c r="AC2935" s="1">
        <v>0.0</v>
      </c>
      <c r="AM2935" s="1">
        <v>122601.0</v>
      </c>
      <c r="AN2935" s="1">
        <v>122601.0</v>
      </c>
      <c r="AO2935" s="1">
        <v>122601.0</v>
      </c>
      <c r="AP2935" s="1">
        <v>46.966</v>
      </c>
      <c r="AR2935" s="1">
        <v>0.0</v>
      </c>
      <c r="AW2935" s="1">
        <v>0.0</v>
      </c>
      <c r="AX2935" s="1">
        <v>7.0</v>
      </c>
      <c r="AY2935" s="1">
        <v>4.0</v>
      </c>
      <c r="BA2935" s="1">
        <v>0.0</v>
      </c>
      <c r="BB2935" s="1">
        <v>0.0</v>
      </c>
      <c r="BC2935" s="1">
        <v>0.0</v>
      </c>
      <c r="BD2935" s="1">
        <v>0.0</v>
      </c>
      <c r="BE2935" s="1">
        <v>0.0</v>
      </c>
      <c r="BF2935" s="1">
        <v>0.0</v>
      </c>
      <c r="BG2935" s="1">
        <v>0.0</v>
      </c>
      <c r="BH2935" s="1">
        <v>0.0</v>
      </c>
      <c r="BI2935" s="1">
        <v>0.0</v>
      </c>
      <c r="BJ2935" s="1">
        <v>0.0</v>
      </c>
      <c r="BP2935" s="1">
        <v>0.278</v>
      </c>
      <c r="BQ2935" s="1" t="s">
        <v>8910</v>
      </c>
      <c r="BV2935" s="1">
        <v>1.1</v>
      </c>
      <c r="EQ2935" s="9" t="s">
        <v>8909</v>
      </c>
      <c r="ER2935" s="21">
        <v>46045.30370370371</v>
      </c>
    </row>
    <row r="2936">
      <c r="A2936" s="9" t="s">
        <v>8911</v>
      </c>
      <c r="B2936" s="20" t="str">
        <f>IFERROR(__xludf.DUMMYFUNCTION("REGEXREPLACE(A2936, ""^https?://[^/]+"", """")"),"/wp-content/themes/salesxceleratione/assets/css/style.css?ver=1769123810")</f>
        <v>/wp-content/themes/salesxceleratione/assets/css/style.css?ver=1769123810</v>
      </c>
      <c r="F2936" s="1" t="s">
        <v>1016</v>
      </c>
      <c r="G2936" s="1">
        <v>200.0</v>
      </c>
      <c r="H2936" s="1" t="s">
        <v>966</v>
      </c>
      <c r="I2936" s="1" t="s">
        <v>967</v>
      </c>
      <c r="L2936" s="1">
        <v>0.0</v>
      </c>
      <c r="M2936" s="1">
        <v>0.0</v>
      </c>
      <c r="O2936" s="1">
        <v>0.0</v>
      </c>
      <c r="P2936" s="1">
        <v>0.0</v>
      </c>
      <c r="R2936" s="1">
        <v>0.0</v>
      </c>
      <c r="S2936" s="1">
        <v>0.0</v>
      </c>
      <c r="U2936" s="1">
        <v>0.0</v>
      </c>
      <c r="W2936" s="1">
        <v>0.0</v>
      </c>
      <c r="Y2936" s="1">
        <v>0.0</v>
      </c>
      <c r="AA2936" s="1">
        <v>0.0</v>
      </c>
      <c r="AC2936" s="1">
        <v>0.0</v>
      </c>
      <c r="AM2936" s="1">
        <v>17704.0</v>
      </c>
      <c r="AN2936" s="1">
        <v>17704.0</v>
      </c>
      <c r="AO2936" s="1">
        <v>17704.0</v>
      </c>
      <c r="AP2936" s="1">
        <v>6.782</v>
      </c>
      <c r="AR2936" s="1">
        <v>0.0</v>
      </c>
      <c r="AW2936" s="1">
        <v>0.0</v>
      </c>
      <c r="AX2936" s="1">
        <v>7.0</v>
      </c>
      <c r="AY2936" s="1">
        <v>5.0</v>
      </c>
      <c r="BA2936" s="1">
        <v>0.0</v>
      </c>
      <c r="BB2936" s="1">
        <v>0.0</v>
      </c>
      <c r="BC2936" s="1">
        <v>0.0</v>
      </c>
      <c r="BD2936" s="1">
        <v>0.0</v>
      </c>
      <c r="BE2936" s="1">
        <v>0.0</v>
      </c>
      <c r="BF2936" s="1">
        <v>0.0</v>
      </c>
      <c r="BG2936" s="1">
        <v>0.0</v>
      </c>
      <c r="BH2936" s="1">
        <v>0.0</v>
      </c>
      <c r="BI2936" s="1">
        <v>0.0</v>
      </c>
      <c r="BJ2936" s="1">
        <v>0.0</v>
      </c>
      <c r="BP2936" s="1">
        <v>0.294</v>
      </c>
      <c r="BQ2936" s="1" t="s">
        <v>8557</v>
      </c>
      <c r="BV2936" s="1">
        <v>1.1</v>
      </c>
      <c r="EQ2936" s="9" t="s">
        <v>8911</v>
      </c>
      <c r="ER2936" s="21">
        <v>46045.30370370371</v>
      </c>
    </row>
    <row r="2937">
      <c r="A2937" s="9" t="s">
        <v>8602</v>
      </c>
      <c r="B2937" s="20" t="str">
        <f>IFERROR(__xludf.DUMMYFUNCTION("REGEXREPLACE(A2937, ""^https?://[^/]+"", """")"),"/no-access/download-id/27871/")</f>
        <v>/no-access/download-id/27871/</v>
      </c>
      <c r="C2937" s="1" t="s">
        <v>6664</v>
      </c>
      <c r="F2937" s="1" t="s">
        <v>965</v>
      </c>
      <c r="G2937" s="1">
        <v>200.0</v>
      </c>
      <c r="H2937" s="1" t="s">
        <v>966</v>
      </c>
      <c r="I2937" s="1" t="s">
        <v>1214</v>
      </c>
      <c r="J2937" s="1" t="s">
        <v>1215</v>
      </c>
      <c r="K2937" s="1" t="s">
        <v>6665</v>
      </c>
      <c r="L2937" s="1">
        <v>29.0</v>
      </c>
      <c r="M2937" s="1">
        <v>265.0</v>
      </c>
      <c r="O2937" s="1">
        <v>0.0</v>
      </c>
      <c r="P2937" s="1">
        <v>0.0</v>
      </c>
      <c r="R2937" s="1">
        <v>0.0</v>
      </c>
      <c r="S2937" s="1">
        <v>0.0</v>
      </c>
      <c r="U2937" s="1">
        <v>0.0</v>
      </c>
      <c r="V2937" s="1" t="s">
        <v>6664</v>
      </c>
      <c r="W2937" s="1">
        <v>9.0</v>
      </c>
      <c r="Y2937" s="1">
        <v>0.0</v>
      </c>
      <c r="AA2937" s="1">
        <v>0.0</v>
      </c>
      <c r="AC2937" s="1">
        <v>0.0</v>
      </c>
      <c r="AD2937" s="1" t="s">
        <v>971</v>
      </c>
      <c r="AG2937" s="9" t="s">
        <v>6666</v>
      </c>
      <c r="AM2937" s="1">
        <v>145754.0</v>
      </c>
      <c r="AN2937" s="1">
        <v>28287.0</v>
      </c>
      <c r="AO2937" s="1">
        <v>28287.0</v>
      </c>
      <c r="AP2937" s="1">
        <v>10.836</v>
      </c>
      <c r="AR2937" s="1">
        <v>538.0</v>
      </c>
      <c r="AS2937" s="1">
        <v>93.0</v>
      </c>
      <c r="AT2937" s="1">
        <v>5.785</v>
      </c>
      <c r="AU2937" s="1">
        <v>61.483</v>
      </c>
      <c r="AV2937" s="1" t="s">
        <v>990</v>
      </c>
      <c r="AW2937" s="1">
        <v>3.905</v>
      </c>
      <c r="AX2937" s="1">
        <v>7.0</v>
      </c>
      <c r="AY2937" s="1">
        <v>3.0</v>
      </c>
      <c r="BA2937" s="1">
        <v>0.0</v>
      </c>
      <c r="BB2937" s="1">
        <v>0.0</v>
      </c>
      <c r="BC2937" s="1">
        <v>0.0</v>
      </c>
      <c r="BD2937" s="1">
        <v>0.0</v>
      </c>
      <c r="BE2937" s="1">
        <v>123.0</v>
      </c>
      <c r="BF2937" s="1">
        <v>42.0</v>
      </c>
      <c r="BG2937" s="1">
        <v>0.0</v>
      </c>
      <c r="BH2937" s="1">
        <v>16.0</v>
      </c>
      <c r="BI2937" s="1">
        <v>8.0</v>
      </c>
      <c r="BJ2937" s="1">
        <v>0.0</v>
      </c>
      <c r="BO2937" s="1" t="s">
        <v>8912</v>
      </c>
      <c r="BP2937" s="1">
        <v>0.928</v>
      </c>
      <c r="BU2937" s="1" t="s">
        <v>974</v>
      </c>
      <c r="BV2937" s="1">
        <v>1.1</v>
      </c>
      <c r="EQ2937" s="9" t="s">
        <v>8602</v>
      </c>
      <c r="ER2937" s="21">
        <v>46045.30369212963</v>
      </c>
    </row>
    <row r="2938">
      <c r="A2938" s="9" t="s">
        <v>8913</v>
      </c>
      <c r="B2938" s="20" t="str">
        <f>IFERROR(__xludf.DUMMYFUNCTION("REGEXREPLACE(A2938, ""^https?://[^/]+"", """")"),"/confessions-of-the-misunderstood-salesperson")</f>
        <v>/confessions-of-the-misunderstood-salesperson</v>
      </c>
      <c r="F2938" s="1" t="s">
        <v>965</v>
      </c>
      <c r="G2938" s="1">
        <v>301.0</v>
      </c>
      <c r="H2938" s="1" t="s">
        <v>1304</v>
      </c>
      <c r="I2938" s="1" t="s">
        <v>1214</v>
      </c>
      <c r="J2938" s="1" t="s">
        <v>1305</v>
      </c>
      <c r="L2938" s="1">
        <v>0.0</v>
      </c>
      <c r="M2938" s="1">
        <v>0.0</v>
      </c>
      <c r="O2938" s="1">
        <v>0.0</v>
      </c>
      <c r="P2938" s="1">
        <v>0.0</v>
      </c>
      <c r="R2938" s="1">
        <v>0.0</v>
      </c>
      <c r="S2938" s="1">
        <v>0.0</v>
      </c>
      <c r="U2938" s="1">
        <v>0.0</v>
      </c>
      <c r="W2938" s="1">
        <v>0.0</v>
      </c>
      <c r="Y2938" s="1">
        <v>0.0</v>
      </c>
      <c r="AA2938" s="1">
        <v>0.0</v>
      </c>
      <c r="AC2938" s="1">
        <v>0.0</v>
      </c>
      <c r="AM2938" s="1">
        <v>0.0</v>
      </c>
      <c r="AN2938" s="1">
        <v>0.0</v>
      </c>
      <c r="AO2938" s="1">
        <v>0.0</v>
      </c>
      <c r="AP2938" s="1">
        <v>0.0</v>
      </c>
      <c r="AR2938" s="1">
        <v>0.0</v>
      </c>
      <c r="AW2938" s="1">
        <v>0.0</v>
      </c>
      <c r="AX2938" s="1">
        <v>7.0</v>
      </c>
      <c r="AY2938" s="1">
        <v>0.0</v>
      </c>
      <c r="BA2938" s="1">
        <v>1.0</v>
      </c>
      <c r="BB2938" s="1">
        <v>1.0</v>
      </c>
      <c r="BC2938" s="1">
        <v>0.0</v>
      </c>
      <c r="BD2938" s="1">
        <v>0.13</v>
      </c>
      <c r="BE2938" s="1">
        <v>0.0</v>
      </c>
      <c r="BF2938" s="1">
        <v>0.0</v>
      </c>
      <c r="BG2938" s="1">
        <v>0.0</v>
      </c>
      <c r="BH2938" s="1">
        <v>0.0</v>
      </c>
      <c r="BI2938" s="1">
        <v>0.0</v>
      </c>
      <c r="BJ2938" s="1">
        <v>0.0</v>
      </c>
      <c r="BP2938" s="1">
        <v>0.978</v>
      </c>
      <c r="BR2938" s="9" t="s">
        <v>8539</v>
      </c>
      <c r="BS2938" s="1" t="s">
        <v>1307</v>
      </c>
      <c r="BV2938" s="1">
        <v>1.1</v>
      </c>
      <c r="EQ2938" s="9" t="s">
        <v>8913</v>
      </c>
      <c r="ER2938" s="21">
        <v>46045.30369212963</v>
      </c>
    </row>
    <row r="2939">
      <c r="A2939" s="9" t="s">
        <v>8914</v>
      </c>
      <c r="B2939" s="20" t="str">
        <f>IFERROR(__xludf.DUMMYFUNCTION("REGEXREPLACE(A2939, ""^https?://[^/]+"", """")"),"/wp-content/uploads/2015/03/Confessions-misunderstood-salesperson-sales-xceleration-2.png")</f>
        <v>/wp-content/uploads/2015/03/Confessions-misunderstood-salesperson-sales-xceleration-2.png</v>
      </c>
      <c r="F2939" s="1" t="s">
        <v>1047</v>
      </c>
      <c r="G2939" s="1">
        <v>200.0</v>
      </c>
      <c r="H2939" s="1" t="s">
        <v>966</v>
      </c>
      <c r="I2939" s="1" t="s">
        <v>967</v>
      </c>
      <c r="L2939" s="1">
        <v>0.0</v>
      </c>
      <c r="M2939" s="1">
        <v>0.0</v>
      </c>
      <c r="O2939" s="1">
        <v>0.0</v>
      </c>
      <c r="P2939" s="1">
        <v>0.0</v>
      </c>
      <c r="R2939" s="1">
        <v>0.0</v>
      </c>
      <c r="S2939" s="1">
        <v>0.0</v>
      </c>
      <c r="U2939" s="1">
        <v>0.0</v>
      </c>
      <c r="W2939" s="1">
        <v>0.0</v>
      </c>
      <c r="Y2939" s="1">
        <v>0.0</v>
      </c>
      <c r="AA2939" s="1">
        <v>0.0</v>
      </c>
      <c r="AC2939" s="1">
        <v>0.0</v>
      </c>
      <c r="AM2939" s="1">
        <v>152134.0</v>
      </c>
      <c r="AN2939" s="1">
        <v>152134.0</v>
      </c>
      <c r="AO2939" s="1">
        <v>152134.0</v>
      </c>
      <c r="AP2939" s="1">
        <v>58.28</v>
      </c>
      <c r="AR2939" s="1">
        <v>0.0</v>
      </c>
      <c r="AW2939" s="1">
        <v>0.0</v>
      </c>
      <c r="AX2939" s="1">
        <v>7.0</v>
      </c>
      <c r="AY2939" s="1">
        <v>4.0</v>
      </c>
      <c r="BA2939" s="1">
        <v>0.0</v>
      </c>
      <c r="BB2939" s="1">
        <v>0.0</v>
      </c>
      <c r="BC2939" s="1">
        <v>0.0</v>
      </c>
      <c r="BD2939" s="1">
        <v>0.0</v>
      </c>
      <c r="BE2939" s="1">
        <v>0.0</v>
      </c>
      <c r="BF2939" s="1">
        <v>0.0</v>
      </c>
      <c r="BG2939" s="1">
        <v>0.0</v>
      </c>
      <c r="BH2939" s="1">
        <v>0.0</v>
      </c>
      <c r="BI2939" s="1">
        <v>0.0</v>
      </c>
      <c r="BJ2939" s="1">
        <v>0.0</v>
      </c>
      <c r="BP2939" s="1">
        <v>0.279</v>
      </c>
      <c r="BQ2939" s="1" t="s">
        <v>8915</v>
      </c>
      <c r="BV2939" s="1">
        <v>1.1</v>
      </c>
      <c r="EQ2939" s="9" t="s">
        <v>8914</v>
      </c>
      <c r="ER2939" s="21">
        <v>46045.30370370371</v>
      </c>
    </row>
    <row r="2940">
      <c r="A2940" s="9" t="s">
        <v>8916</v>
      </c>
      <c r="B2940" s="20" t="str">
        <f>IFERROR(__xludf.DUMMYFUNCTION("REGEXREPLACE(A2940, ""^https?://[^/]+"", """")"),"/wp-content/themes/salesxceleratione/assets/css/style.css?ver=1769123809")</f>
        <v>/wp-content/themes/salesxceleratione/assets/css/style.css?ver=1769123809</v>
      </c>
      <c r="F2940" s="1" t="s">
        <v>1016</v>
      </c>
      <c r="G2940" s="1">
        <v>200.0</v>
      </c>
      <c r="H2940" s="1" t="s">
        <v>966</v>
      </c>
      <c r="I2940" s="1" t="s">
        <v>967</v>
      </c>
      <c r="L2940" s="1">
        <v>0.0</v>
      </c>
      <c r="M2940" s="1">
        <v>0.0</v>
      </c>
      <c r="O2940" s="1">
        <v>0.0</v>
      </c>
      <c r="P2940" s="1">
        <v>0.0</v>
      </c>
      <c r="R2940" s="1">
        <v>0.0</v>
      </c>
      <c r="S2940" s="1">
        <v>0.0</v>
      </c>
      <c r="U2940" s="1">
        <v>0.0</v>
      </c>
      <c r="W2940" s="1">
        <v>0.0</v>
      </c>
      <c r="Y2940" s="1">
        <v>0.0</v>
      </c>
      <c r="AA2940" s="1">
        <v>0.0</v>
      </c>
      <c r="AC2940" s="1">
        <v>0.0</v>
      </c>
      <c r="AM2940" s="1">
        <v>17704.0</v>
      </c>
      <c r="AN2940" s="1">
        <v>17704.0</v>
      </c>
      <c r="AO2940" s="1">
        <v>17704.0</v>
      </c>
      <c r="AP2940" s="1">
        <v>6.782</v>
      </c>
      <c r="AR2940" s="1">
        <v>0.0</v>
      </c>
      <c r="AW2940" s="1">
        <v>0.0</v>
      </c>
      <c r="AX2940" s="1">
        <v>7.0</v>
      </c>
      <c r="AY2940" s="1">
        <v>5.0</v>
      </c>
      <c r="BA2940" s="1">
        <v>0.0</v>
      </c>
      <c r="BB2940" s="1">
        <v>0.0</v>
      </c>
      <c r="BC2940" s="1">
        <v>0.0</v>
      </c>
      <c r="BD2940" s="1">
        <v>0.0</v>
      </c>
      <c r="BE2940" s="1">
        <v>0.0</v>
      </c>
      <c r="BF2940" s="1">
        <v>0.0</v>
      </c>
      <c r="BG2940" s="1">
        <v>0.0</v>
      </c>
      <c r="BH2940" s="1">
        <v>0.0</v>
      </c>
      <c r="BI2940" s="1">
        <v>0.0</v>
      </c>
      <c r="BJ2940" s="1">
        <v>0.0</v>
      </c>
      <c r="BP2940" s="1">
        <v>0.278</v>
      </c>
      <c r="BQ2940" s="1" t="s">
        <v>8917</v>
      </c>
      <c r="BV2940" s="1">
        <v>1.1</v>
      </c>
      <c r="EQ2940" s="9" t="s">
        <v>8916</v>
      </c>
      <c r="ER2940" s="21">
        <v>46045.30370370371</v>
      </c>
    </row>
    <row r="2941">
      <c r="A2941" s="9" t="s">
        <v>8918</v>
      </c>
      <c r="B2941" s="20" t="str">
        <f>IFERROR(__xludf.DUMMYFUNCTION("REGEXREPLACE(A2941, ""^https?://[^/]+"", """")"),"/wp-content/uploads/2015/10/merger-derail-sales-success-sales-xceleration.jpg")</f>
        <v>/wp-content/uploads/2015/10/merger-derail-sales-success-sales-xceleration.jpg</v>
      </c>
      <c r="F2941" s="1" t="s">
        <v>1004</v>
      </c>
      <c r="G2941" s="1">
        <v>200.0</v>
      </c>
      <c r="H2941" s="1" t="s">
        <v>966</v>
      </c>
      <c r="I2941" s="1" t="s">
        <v>967</v>
      </c>
      <c r="L2941" s="1">
        <v>0.0</v>
      </c>
      <c r="M2941" s="1">
        <v>0.0</v>
      </c>
      <c r="O2941" s="1">
        <v>0.0</v>
      </c>
      <c r="P2941" s="1">
        <v>0.0</v>
      </c>
      <c r="R2941" s="1">
        <v>0.0</v>
      </c>
      <c r="S2941" s="1">
        <v>0.0</v>
      </c>
      <c r="U2941" s="1">
        <v>0.0</v>
      </c>
      <c r="W2941" s="1">
        <v>0.0</v>
      </c>
      <c r="Y2941" s="1">
        <v>0.0</v>
      </c>
      <c r="AA2941" s="1">
        <v>0.0</v>
      </c>
      <c r="AC2941" s="1">
        <v>0.0</v>
      </c>
      <c r="AM2941" s="1">
        <v>66292.0</v>
      </c>
      <c r="AN2941" s="1">
        <v>66292.0</v>
      </c>
      <c r="AO2941" s="1">
        <v>66292.0</v>
      </c>
      <c r="AP2941" s="1">
        <v>25.395</v>
      </c>
      <c r="AR2941" s="1">
        <v>0.0</v>
      </c>
      <c r="AW2941" s="1">
        <v>0.0</v>
      </c>
      <c r="AX2941" s="1">
        <v>7.0</v>
      </c>
      <c r="AY2941" s="1">
        <v>4.0</v>
      </c>
      <c r="BA2941" s="1">
        <v>0.0</v>
      </c>
      <c r="BB2941" s="1">
        <v>0.0</v>
      </c>
      <c r="BC2941" s="1">
        <v>0.0</v>
      </c>
      <c r="BD2941" s="1">
        <v>0.0</v>
      </c>
      <c r="BE2941" s="1">
        <v>0.0</v>
      </c>
      <c r="BF2941" s="1">
        <v>0.0</v>
      </c>
      <c r="BG2941" s="1">
        <v>0.0</v>
      </c>
      <c r="BH2941" s="1">
        <v>0.0</v>
      </c>
      <c r="BI2941" s="1">
        <v>0.0</v>
      </c>
      <c r="BJ2941" s="1">
        <v>0.0</v>
      </c>
      <c r="BP2941" s="1">
        <v>0.274</v>
      </c>
      <c r="BQ2941" s="1" t="s">
        <v>8919</v>
      </c>
      <c r="BV2941" s="1">
        <v>1.1</v>
      </c>
      <c r="EQ2941" s="9" t="s">
        <v>8918</v>
      </c>
      <c r="ER2941" s="21">
        <v>46045.30370370371</v>
      </c>
    </row>
    <row r="2942">
      <c r="A2942" s="9" t="s">
        <v>8591</v>
      </c>
      <c r="B2942" s="20" t="str">
        <f>IFERROR(__xludf.DUMMYFUNCTION("REGEXREPLACE(A2942, ""^https?://[^/]+"", """")"),"/5-keys-to-a-successful-sales-compensation-plan/")</f>
        <v>/5-keys-to-a-successful-sales-compensation-plan/</v>
      </c>
      <c r="C2942" s="1" t="s">
        <v>8920</v>
      </c>
      <c r="F2942" s="1" t="s">
        <v>965</v>
      </c>
      <c r="G2942" s="1">
        <v>200.0</v>
      </c>
      <c r="H2942" s="1" t="s">
        <v>966</v>
      </c>
      <c r="I2942" s="1" t="s">
        <v>967</v>
      </c>
      <c r="K2942" s="1" t="s">
        <v>8921</v>
      </c>
      <c r="L2942" s="1">
        <v>71.0</v>
      </c>
      <c r="M2942" s="1">
        <v>649.0</v>
      </c>
      <c r="O2942" s="1">
        <v>0.0</v>
      </c>
      <c r="P2942" s="1">
        <v>0.0</v>
      </c>
      <c r="Q2942" s="1" t="s">
        <v>8922</v>
      </c>
      <c r="R2942" s="1">
        <v>142.0</v>
      </c>
      <c r="S2942" s="1">
        <v>905.0</v>
      </c>
      <c r="U2942" s="1">
        <v>0.0</v>
      </c>
      <c r="V2942" s="1" t="s">
        <v>8920</v>
      </c>
      <c r="W2942" s="1">
        <v>46.0</v>
      </c>
      <c r="Y2942" s="1">
        <v>0.0</v>
      </c>
      <c r="AA2942" s="1">
        <v>0.0</v>
      </c>
      <c r="AC2942" s="1">
        <v>0.0</v>
      </c>
      <c r="AD2942" s="1" t="s">
        <v>971</v>
      </c>
      <c r="AG2942" s="9" t="s">
        <v>8591</v>
      </c>
      <c r="AM2942" s="1">
        <v>201475.0</v>
      </c>
      <c r="AN2942" s="1">
        <v>35892.0</v>
      </c>
      <c r="AO2942" s="1">
        <v>35892.0</v>
      </c>
      <c r="AP2942" s="1">
        <v>13.75</v>
      </c>
      <c r="AR2942" s="1">
        <v>1431.0</v>
      </c>
      <c r="AS2942" s="1">
        <v>232.0</v>
      </c>
      <c r="AT2942" s="1">
        <v>6.168</v>
      </c>
      <c r="AU2942" s="1">
        <v>60.106</v>
      </c>
      <c r="AV2942" s="1" t="s">
        <v>990</v>
      </c>
      <c r="AW2942" s="1">
        <v>5.641</v>
      </c>
      <c r="AX2942" s="1">
        <v>7.0</v>
      </c>
      <c r="AY2942" s="1">
        <v>1.0</v>
      </c>
      <c r="AZ2942" s="1">
        <v>1.0</v>
      </c>
      <c r="BA2942" s="1">
        <v>1.0</v>
      </c>
      <c r="BB2942" s="1">
        <v>1.0</v>
      </c>
      <c r="BC2942" s="1">
        <v>0.0</v>
      </c>
      <c r="BD2942" s="1">
        <v>0.13</v>
      </c>
      <c r="BE2942" s="1">
        <v>132.0</v>
      </c>
      <c r="BF2942" s="1">
        <v>49.0</v>
      </c>
      <c r="BG2942" s="1">
        <v>0.0</v>
      </c>
      <c r="BH2942" s="1">
        <v>16.0</v>
      </c>
      <c r="BI2942" s="1">
        <v>8.0</v>
      </c>
      <c r="BJ2942" s="1">
        <v>0.0</v>
      </c>
      <c r="BO2942" s="1" t="s">
        <v>8923</v>
      </c>
      <c r="BP2942" s="1">
        <v>0.994</v>
      </c>
      <c r="BU2942" s="1" t="s">
        <v>974</v>
      </c>
      <c r="BV2942" s="1">
        <v>1.1</v>
      </c>
      <c r="EQ2942" s="9" t="s">
        <v>8591</v>
      </c>
      <c r="ER2942" s="21">
        <v>46045.30369212963</v>
      </c>
    </row>
    <row r="2943">
      <c r="A2943" s="9" t="s">
        <v>8924</v>
      </c>
      <c r="B2943" s="20" t="str">
        <f>IFERROR(__xludf.DUMMYFUNCTION("REGEXREPLACE(A2943, ""^https?://[^/]+"", """")"),"/wp-content/uploads/2017/06/NetworkingBlog.jpg")</f>
        <v>/wp-content/uploads/2017/06/NetworkingBlog.jpg</v>
      </c>
      <c r="F2943" s="1" t="s">
        <v>1004</v>
      </c>
      <c r="G2943" s="1">
        <v>200.0</v>
      </c>
      <c r="H2943" s="1" t="s">
        <v>966</v>
      </c>
      <c r="I2943" s="1" t="s">
        <v>967</v>
      </c>
      <c r="L2943" s="1">
        <v>0.0</v>
      </c>
      <c r="M2943" s="1">
        <v>0.0</v>
      </c>
      <c r="O2943" s="1">
        <v>0.0</v>
      </c>
      <c r="P2943" s="1">
        <v>0.0</v>
      </c>
      <c r="R2943" s="1">
        <v>0.0</v>
      </c>
      <c r="S2943" s="1">
        <v>0.0</v>
      </c>
      <c r="U2943" s="1">
        <v>0.0</v>
      </c>
      <c r="W2943" s="1">
        <v>0.0</v>
      </c>
      <c r="Y2943" s="1">
        <v>0.0</v>
      </c>
      <c r="AA2943" s="1">
        <v>0.0</v>
      </c>
      <c r="AC2943" s="1">
        <v>0.0</v>
      </c>
      <c r="AM2943" s="1">
        <v>53927.0</v>
      </c>
      <c r="AN2943" s="1">
        <v>53927.0</v>
      </c>
      <c r="AO2943" s="1">
        <v>53927.0</v>
      </c>
      <c r="AP2943" s="1">
        <v>20.658</v>
      </c>
      <c r="AR2943" s="1">
        <v>0.0</v>
      </c>
      <c r="AW2943" s="1">
        <v>0.0</v>
      </c>
      <c r="AX2943" s="1">
        <v>7.0</v>
      </c>
      <c r="AY2943" s="1">
        <v>4.0</v>
      </c>
      <c r="BA2943" s="1">
        <v>0.0</v>
      </c>
      <c r="BB2943" s="1">
        <v>0.0</v>
      </c>
      <c r="BC2943" s="1">
        <v>0.0</v>
      </c>
      <c r="BD2943" s="1">
        <v>0.0</v>
      </c>
      <c r="BE2943" s="1">
        <v>0.0</v>
      </c>
      <c r="BF2943" s="1">
        <v>0.0</v>
      </c>
      <c r="BG2943" s="1">
        <v>0.0</v>
      </c>
      <c r="BH2943" s="1">
        <v>0.0</v>
      </c>
      <c r="BI2943" s="1">
        <v>0.0</v>
      </c>
      <c r="BJ2943" s="1">
        <v>0.0</v>
      </c>
      <c r="BP2943" s="1">
        <v>0.279</v>
      </c>
      <c r="BQ2943" s="1" t="s">
        <v>8505</v>
      </c>
      <c r="BV2943" s="1">
        <v>1.1</v>
      </c>
      <c r="EQ2943" s="9" t="s">
        <v>8924</v>
      </c>
      <c r="ER2943" s="21">
        <v>46045.303715277776</v>
      </c>
    </row>
    <row r="2944">
      <c r="A2944" s="9" t="s">
        <v>8925</v>
      </c>
      <c r="B2944" s="20" t="str">
        <f>IFERROR(__xludf.DUMMYFUNCTION("REGEXREPLACE(A2944, ""^https?://[^/]+"", """")"),"/wp-content/uploads/2015/11/Consulting-sales-xceleration.png")</f>
        <v>/wp-content/uploads/2015/11/Consulting-sales-xceleration.png</v>
      </c>
      <c r="F2944" s="1" t="s">
        <v>1047</v>
      </c>
      <c r="G2944" s="1">
        <v>200.0</v>
      </c>
      <c r="H2944" s="1" t="s">
        <v>966</v>
      </c>
      <c r="I2944" s="1" t="s">
        <v>967</v>
      </c>
      <c r="L2944" s="1">
        <v>0.0</v>
      </c>
      <c r="M2944" s="1">
        <v>0.0</v>
      </c>
      <c r="O2944" s="1">
        <v>0.0</v>
      </c>
      <c r="P2944" s="1">
        <v>0.0</v>
      </c>
      <c r="R2944" s="1">
        <v>0.0</v>
      </c>
      <c r="S2944" s="1">
        <v>0.0</v>
      </c>
      <c r="U2944" s="1">
        <v>0.0</v>
      </c>
      <c r="W2944" s="1">
        <v>0.0</v>
      </c>
      <c r="Y2944" s="1">
        <v>0.0</v>
      </c>
      <c r="AA2944" s="1">
        <v>0.0</v>
      </c>
      <c r="AC2944" s="1">
        <v>0.0</v>
      </c>
      <c r="AM2944" s="1">
        <v>86671.0</v>
      </c>
      <c r="AN2944" s="1">
        <v>86671.0</v>
      </c>
      <c r="AO2944" s="1">
        <v>86671.0</v>
      </c>
      <c r="AP2944" s="1">
        <v>33.202</v>
      </c>
      <c r="AR2944" s="1">
        <v>0.0</v>
      </c>
      <c r="AW2944" s="1">
        <v>0.0</v>
      </c>
      <c r="AX2944" s="1">
        <v>7.0</v>
      </c>
      <c r="AY2944" s="1">
        <v>4.0</v>
      </c>
      <c r="BA2944" s="1">
        <v>0.0</v>
      </c>
      <c r="BB2944" s="1">
        <v>0.0</v>
      </c>
      <c r="BC2944" s="1">
        <v>0.0</v>
      </c>
      <c r="BD2944" s="1">
        <v>0.0</v>
      </c>
      <c r="BE2944" s="1">
        <v>0.0</v>
      </c>
      <c r="BF2944" s="1">
        <v>0.0</v>
      </c>
      <c r="BG2944" s="1">
        <v>0.0</v>
      </c>
      <c r="BH2944" s="1">
        <v>0.0</v>
      </c>
      <c r="BI2944" s="1">
        <v>0.0</v>
      </c>
      <c r="BJ2944" s="1">
        <v>0.0</v>
      </c>
      <c r="BP2944" s="1">
        <v>0.271</v>
      </c>
      <c r="BQ2944" s="1" t="s">
        <v>8926</v>
      </c>
      <c r="BV2944" s="1">
        <v>1.1</v>
      </c>
      <c r="EQ2944" s="9" t="s">
        <v>8925</v>
      </c>
      <c r="ER2944" s="21">
        <v>46045.303715277776</v>
      </c>
    </row>
    <row r="2945">
      <c r="A2945" s="9" t="s">
        <v>8927</v>
      </c>
      <c r="B2945" s="20" t="str">
        <f>IFERROR(__xludf.DUMMYFUNCTION("REGEXREPLACE(A2945, ""^https?://[^/]+"", """")"),"/wp-content/uploads/2016/04/sales-training-strategies-scaled-1.jpg")</f>
        <v>/wp-content/uploads/2016/04/sales-training-strategies-scaled-1.jpg</v>
      </c>
      <c r="F2945" s="1" t="s">
        <v>1004</v>
      </c>
      <c r="G2945" s="1">
        <v>200.0</v>
      </c>
      <c r="H2945" s="1" t="s">
        <v>966</v>
      </c>
      <c r="I2945" s="1" t="s">
        <v>967</v>
      </c>
      <c r="L2945" s="1">
        <v>0.0</v>
      </c>
      <c r="M2945" s="1">
        <v>0.0</v>
      </c>
      <c r="O2945" s="1">
        <v>0.0</v>
      </c>
      <c r="P2945" s="1">
        <v>0.0</v>
      </c>
      <c r="R2945" s="1">
        <v>0.0</v>
      </c>
      <c r="S2945" s="1">
        <v>0.0</v>
      </c>
      <c r="U2945" s="1">
        <v>0.0</v>
      </c>
      <c r="W2945" s="1">
        <v>0.0</v>
      </c>
      <c r="Y2945" s="1">
        <v>0.0</v>
      </c>
      <c r="AA2945" s="1">
        <v>0.0</v>
      </c>
      <c r="AC2945" s="1">
        <v>0.0</v>
      </c>
      <c r="AM2945" s="1">
        <v>218465.0</v>
      </c>
      <c r="AN2945" s="1">
        <v>218465.0</v>
      </c>
      <c r="AO2945" s="1">
        <v>218465.0</v>
      </c>
      <c r="AP2945" s="1">
        <v>83.69</v>
      </c>
      <c r="AR2945" s="1">
        <v>0.0</v>
      </c>
      <c r="AW2945" s="1">
        <v>0.0</v>
      </c>
      <c r="AX2945" s="1">
        <v>7.0</v>
      </c>
      <c r="AY2945" s="1">
        <v>4.0</v>
      </c>
      <c r="BA2945" s="1">
        <v>0.0</v>
      </c>
      <c r="BB2945" s="1">
        <v>0.0</v>
      </c>
      <c r="BC2945" s="1">
        <v>0.0</v>
      </c>
      <c r="BD2945" s="1">
        <v>0.0</v>
      </c>
      <c r="BE2945" s="1">
        <v>0.0</v>
      </c>
      <c r="BF2945" s="1">
        <v>0.0</v>
      </c>
      <c r="BG2945" s="1">
        <v>0.0</v>
      </c>
      <c r="BH2945" s="1">
        <v>0.0</v>
      </c>
      <c r="BI2945" s="1">
        <v>0.0</v>
      </c>
      <c r="BJ2945" s="1">
        <v>0.0</v>
      </c>
      <c r="BP2945" s="1">
        <v>0.269</v>
      </c>
      <c r="BQ2945" s="1" t="s">
        <v>8928</v>
      </c>
      <c r="BV2945" s="1">
        <v>1.1</v>
      </c>
      <c r="EQ2945" s="9" t="s">
        <v>8927</v>
      </c>
      <c r="ER2945" s="21">
        <v>46045.303715277776</v>
      </c>
    </row>
    <row r="2946">
      <c r="A2946" s="9" t="s">
        <v>8929</v>
      </c>
      <c r="B2946" s="20" t="str">
        <f>IFERROR(__xludf.DUMMYFUNCTION("REGEXREPLACE(A2946, ""^https?://[^/]+"", """")"),"/wp-content/uploads/2016/01/Doctor-Ordered-Peer-Pressure-.jpg")</f>
        <v>/wp-content/uploads/2016/01/Doctor-Ordered-Peer-Pressure-.jpg</v>
      </c>
      <c r="F2946" s="1" t="s">
        <v>1004</v>
      </c>
      <c r="G2946" s="1">
        <v>200.0</v>
      </c>
      <c r="H2946" s="1" t="s">
        <v>966</v>
      </c>
      <c r="I2946" s="1" t="s">
        <v>967</v>
      </c>
      <c r="L2946" s="1">
        <v>0.0</v>
      </c>
      <c r="M2946" s="1">
        <v>0.0</v>
      </c>
      <c r="O2946" s="1">
        <v>0.0</v>
      </c>
      <c r="P2946" s="1">
        <v>0.0</v>
      </c>
      <c r="R2946" s="1">
        <v>0.0</v>
      </c>
      <c r="S2946" s="1">
        <v>0.0</v>
      </c>
      <c r="U2946" s="1">
        <v>0.0</v>
      </c>
      <c r="W2946" s="1">
        <v>0.0</v>
      </c>
      <c r="Y2946" s="1">
        <v>0.0</v>
      </c>
      <c r="AA2946" s="1">
        <v>0.0</v>
      </c>
      <c r="AC2946" s="1">
        <v>0.0</v>
      </c>
      <c r="AM2946" s="1">
        <v>41577.0</v>
      </c>
      <c r="AN2946" s="1">
        <v>41577.0</v>
      </c>
      <c r="AO2946" s="1">
        <v>41577.0</v>
      </c>
      <c r="AP2946" s="1">
        <v>15.927</v>
      </c>
      <c r="AR2946" s="1">
        <v>0.0</v>
      </c>
      <c r="AW2946" s="1">
        <v>0.0</v>
      </c>
      <c r="AX2946" s="1">
        <v>7.0</v>
      </c>
      <c r="AY2946" s="1">
        <v>4.0</v>
      </c>
      <c r="BA2946" s="1">
        <v>0.0</v>
      </c>
      <c r="BB2946" s="1">
        <v>0.0</v>
      </c>
      <c r="BC2946" s="1">
        <v>0.0</v>
      </c>
      <c r="BD2946" s="1">
        <v>0.0</v>
      </c>
      <c r="BE2946" s="1">
        <v>0.0</v>
      </c>
      <c r="BF2946" s="1">
        <v>0.0</v>
      </c>
      <c r="BG2946" s="1">
        <v>0.0</v>
      </c>
      <c r="BH2946" s="1">
        <v>0.0</v>
      </c>
      <c r="BI2946" s="1">
        <v>0.0</v>
      </c>
      <c r="BJ2946" s="1">
        <v>0.0</v>
      </c>
      <c r="BP2946" s="1">
        <v>0.263</v>
      </c>
      <c r="BQ2946" s="1" t="s">
        <v>8507</v>
      </c>
      <c r="BV2946" s="1">
        <v>1.1</v>
      </c>
      <c r="EQ2946" s="9" t="s">
        <v>8929</v>
      </c>
      <c r="ER2946" s="21">
        <v>46045.303715277776</v>
      </c>
    </row>
    <row r="2947">
      <c r="A2947" s="9" t="s">
        <v>8930</v>
      </c>
      <c r="B2947" s="20" t="str">
        <f>IFERROR(__xludf.DUMMYFUNCTION("REGEXREPLACE(A2947, ""^https?://[^/]+"", """")"),"/wp-content/themes/salesxceleratione/assets/css/style.css?ver=1769123808")</f>
        <v>/wp-content/themes/salesxceleratione/assets/css/style.css?ver=1769123808</v>
      </c>
      <c r="F2947" s="1" t="s">
        <v>1016</v>
      </c>
      <c r="G2947" s="1">
        <v>200.0</v>
      </c>
      <c r="H2947" s="1" t="s">
        <v>966</v>
      </c>
      <c r="I2947" s="1" t="s">
        <v>967</v>
      </c>
      <c r="L2947" s="1">
        <v>0.0</v>
      </c>
      <c r="M2947" s="1">
        <v>0.0</v>
      </c>
      <c r="O2947" s="1">
        <v>0.0</v>
      </c>
      <c r="P2947" s="1">
        <v>0.0</v>
      </c>
      <c r="R2947" s="1">
        <v>0.0</v>
      </c>
      <c r="S2947" s="1">
        <v>0.0</v>
      </c>
      <c r="U2947" s="1">
        <v>0.0</v>
      </c>
      <c r="W2947" s="1">
        <v>0.0</v>
      </c>
      <c r="Y2947" s="1">
        <v>0.0</v>
      </c>
      <c r="AA2947" s="1">
        <v>0.0</v>
      </c>
      <c r="AC2947" s="1">
        <v>0.0</v>
      </c>
      <c r="AM2947" s="1">
        <v>17704.0</v>
      </c>
      <c r="AN2947" s="1">
        <v>17704.0</v>
      </c>
      <c r="AO2947" s="1">
        <v>17704.0</v>
      </c>
      <c r="AP2947" s="1">
        <v>6.782</v>
      </c>
      <c r="AR2947" s="1">
        <v>0.0</v>
      </c>
      <c r="AW2947" s="1">
        <v>0.0</v>
      </c>
      <c r="AX2947" s="1">
        <v>7.0</v>
      </c>
      <c r="AY2947" s="1">
        <v>5.0</v>
      </c>
      <c r="BA2947" s="1">
        <v>0.0</v>
      </c>
      <c r="BB2947" s="1">
        <v>0.0</v>
      </c>
      <c r="BC2947" s="1">
        <v>0.0</v>
      </c>
      <c r="BD2947" s="1">
        <v>0.0</v>
      </c>
      <c r="BE2947" s="1">
        <v>0.0</v>
      </c>
      <c r="BF2947" s="1">
        <v>0.0</v>
      </c>
      <c r="BG2947" s="1">
        <v>0.0</v>
      </c>
      <c r="BH2947" s="1">
        <v>0.0</v>
      </c>
      <c r="BI2947" s="1">
        <v>0.0</v>
      </c>
      <c r="BJ2947" s="1">
        <v>0.0</v>
      </c>
      <c r="BP2947" s="1">
        <v>0.27</v>
      </c>
      <c r="BQ2947" s="1" t="s">
        <v>8917</v>
      </c>
      <c r="BV2947" s="1">
        <v>1.1</v>
      </c>
      <c r="EQ2947" s="9" t="s">
        <v>8930</v>
      </c>
      <c r="ER2947" s="21">
        <v>46045.303715277776</v>
      </c>
    </row>
    <row r="2948">
      <c r="A2948" s="9" t="s">
        <v>8931</v>
      </c>
      <c r="B2948" s="20" t="str">
        <f>IFERROR(__xludf.DUMMYFUNCTION("REGEXREPLACE(A2948, ""^https?://[^/]+"", """")"),"/wp-content/themes/salesxceleratione/assets/css/style.css?ver=1769123807")</f>
        <v>/wp-content/themes/salesxceleratione/assets/css/style.css?ver=1769123807</v>
      </c>
      <c r="F2948" s="1" t="s">
        <v>1016</v>
      </c>
      <c r="G2948" s="1">
        <v>200.0</v>
      </c>
      <c r="H2948" s="1" t="s">
        <v>966</v>
      </c>
      <c r="I2948" s="1" t="s">
        <v>967</v>
      </c>
      <c r="L2948" s="1">
        <v>0.0</v>
      </c>
      <c r="M2948" s="1">
        <v>0.0</v>
      </c>
      <c r="O2948" s="1">
        <v>0.0</v>
      </c>
      <c r="P2948" s="1">
        <v>0.0</v>
      </c>
      <c r="R2948" s="1">
        <v>0.0</v>
      </c>
      <c r="S2948" s="1">
        <v>0.0</v>
      </c>
      <c r="U2948" s="1">
        <v>0.0</v>
      </c>
      <c r="W2948" s="1">
        <v>0.0</v>
      </c>
      <c r="Y2948" s="1">
        <v>0.0</v>
      </c>
      <c r="AA2948" s="1">
        <v>0.0</v>
      </c>
      <c r="AC2948" s="1">
        <v>0.0</v>
      </c>
      <c r="AM2948" s="1">
        <v>17704.0</v>
      </c>
      <c r="AN2948" s="1">
        <v>17704.0</v>
      </c>
      <c r="AO2948" s="1">
        <v>17704.0</v>
      </c>
      <c r="AP2948" s="1">
        <v>6.782</v>
      </c>
      <c r="AR2948" s="1">
        <v>0.0</v>
      </c>
      <c r="AW2948" s="1">
        <v>0.0</v>
      </c>
      <c r="AX2948" s="1">
        <v>7.0</v>
      </c>
      <c r="AY2948" s="1">
        <v>5.0</v>
      </c>
      <c r="BA2948" s="1">
        <v>0.0</v>
      </c>
      <c r="BB2948" s="1">
        <v>0.0</v>
      </c>
      <c r="BC2948" s="1">
        <v>0.0</v>
      </c>
      <c r="BD2948" s="1">
        <v>0.0</v>
      </c>
      <c r="BE2948" s="1">
        <v>0.0</v>
      </c>
      <c r="BF2948" s="1">
        <v>0.0</v>
      </c>
      <c r="BG2948" s="1">
        <v>0.0</v>
      </c>
      <c r="BH2948" s="1">
        <v>0.0</v>
      </c>
      <c r="BI2948" s="1">
        <v>0.0</v>
      </c>
      <c r="BJ2948" s="1">
        <v>0.0</v>
      </c>
      <c r="BP2948" s="1">
        <v>0.272</v>
      </c>
      <c r="BQ2948" s="1" t="s">
        <v>8917</v>
      </c>
      <c r="BV2948" s="1">
        <v>1.1</v>
      </c>
      <c r="EQ2948" s="9" t="s">
        <v>8931</v>
      </c>
      <c r="ER2948" s="21">
        <v>46045.303715277776</v>
      </c>
    </row>
    <row r="2949">
      <c r="A2949" s="9" t="s">
        <v>8932</v>
      </c>
      <c r="B2949" s="20" t="str">
        <f>IFERROR(__xludf.DUMMYFUNCTION("REGEXREPLACE(A2949, ""^https?://[^/]+"", """")"),"/wp-content/uploads/2017/03/Bad-Reputation-RS-72-650-x-325.jpg")</f>
        <v>/wp-content/uploads/2017/03/Bad-Reputation-RS-72-650-x-325.jpg</v>
      </c>
      <c r="F2949" s="1" t="s">
        <v>1004</v>
      </c>
      <c r="G2949" s="1">
        <v>200.0</v>
      </c>
      <c r="H2949" s="1" t="s">
        <v>966</v>
      </c>
      <c r="I2949" s="1" t="s">
        <v>967</v>
      </c>
      <c r="L2949" s="1">
        <v>0.0</v>
      </c>
      <c r="M2949" s="1">
        <v>0.0</v>
      </c>
      <c r="O2949" s="1">
        <v>0.0</v>
      </c>
      <c r="P2949" s="1">
        <v>0.0</v>
      </c>
      <c r="R2949" s="1">
        <v>0.0</v>
      </c>
      <c r="S2949" s="1">
        <v>0.0</v>
      </c>
      <c r="U2949" s="1">
        <v>0.0</v>
      </c>
      <c r="W2949" s="1">
        <v>0.0</v>
      </c>
      <c r="Y2949" s="1">
        <v>0.0</v>
      </c>
      <c r="AA2949" s="1">
        <v>0.0</v>
      </c>
      <c r="AC2949" s="1">
        <v>0.0</v>
      </c>
      <c r="AM2949" s="1">
        <v>40491.0</v>
      </c>
      <c r="AN2949" s="1">
        <v>40491.0</v>
      </c>
      <c r="AO2949" s="1">
        <v>40491.0</v>
      </c>
      <c r="AP2949" s="1">
        <v>15.511</v>
      </c>
      <c r="AR2949" s="1">
        <v>0.0</v>
      </c>
      <c r="AW2949" s="1">
        <v>0.0</v>
      </c>
      <c r="AX2949" s="1">
        <v>7.0</v>
      </c>
      <c r="AY2949" s="1">
        <v>4.0</v>
      </c>
      <c r="BA2949" s="1">
        <v>0.0</v>
      </c>
      <c r="BB2949" s="1">
        <v>0.0</v>
      </c>
      <c r="BC2949" s="1">
        <v>0.0</v>
      </c>
      <c r="BD2949" s="1">
        <v>0.0</v>
      </c>
      <c r="BE2949" s="1">
        <v>0.0</v>
      </c>
      <c r="BF2949" s="1">
        <v>0.0</v>
      </c>
      <c r="BG2949" s="1">
        <v>0.0</v>
      </c>
      <c r="BH2949" s="1">
        <v>0.0</v>
      </c>
      <c r="BI2949" s="1">
        <v>0.0</v>
      </c>
      <c r="BJ2949" s="1">
        <v>0.0</v>
      </c>
      <c r="BP2949" s="1">
        <v>0.266</v>
      </c>
      <c r="BQ2949" s="1" t="s">
        <v>8933</v>
      </c>
      <c r="BV2949" s="1">
        <v>1.1</v>
      </c>
      <c r="EQ2949" s="9" t="s">
        <v>8932</v>
      </c>
      <c r="ER2949" s="21">
        <v>46045.303715277776</v>
      </c>
    </row>
    <row r="2950">
      <c r="A2950" s="9" t="s">
        <v>8934</v>
      </c>
      <c r="B2950" s="20" t="str">
        <f>IFERROR(__xludf.DUMMYFUNCTION("REGEXREPLACE(A2950, ""^https?://[^/]+"", """")"),"/wp-content/uploads/2022/05/Weathering-Economic-Downturn.jpg")</f>
        <v>/wp-content/uploads/2022/05/Weathering-Economic-Downturn.jpg</v>
      </c>
      <c r="F2950" s="1" t="s">
        <v>1004</v>
      </c>
      <c r="G2950" s="1">
        <v>200.0</v>
      </c>
      <c r="H2950" s="1" t="s">
        <v>966</v>
      </c>
      <c r="I2950" s="1" t="s">
        <v>967</v>
      </c>
      <c r="L2950" s="1">
        <v>0.0</v>
      </c>
      <c r="M2950" s="1">
        <v>0.0</v>
      </c>
      <c r="O2950" s="1">
        <v>0.0</v>
      </c>
      <c r="P2950" s="1">
        <v>0.0</v>
      </c>
      <c r="R2950" s="1">
        <v>0.0</v>
      </c>
      <c r="S2950" s="1">
        <v>0.0</v>
      </c>
      <c r="U2950" s="1">
        <v>0.0</v>
      </c>
      <c r="W2950" s="1">
        <v>0.0</v>
      </c>
      <c r="Y2950" s="1">
        <v>0.0</v>
      </c>
      <c r="AA2950" s="1">
        <v>0.0</v>
      </c>
      <c r="AC2950" s="1">
        <v>0.0</v>
      </c>
      <c r="AM2950" s="1">
        <v>117506.0</v>
      </c>
      <c r="AN2950" s="1">
        <v>117506.0</v>
      </c>
      <c r="AO2950" s="1">
        <v>117506.0</v>
      </c>
      <c r="AP2950" s="1">
        <v>45.014</v>
      </c>
      <c r="AR2950" s="1">
        <v>0.0</v>
      </c>
      <c r="AW2950" s="1">
        <v>0.0</v>
      </c>
      <c r="AX2950" s="1">
        <v>7.0</v>
      </c>
      <c r="AY2950" s="1">
        <v>4.0</v>
      </c>
      <c r="BA2950" s="1">
        <v>0.0</v>
      </c>
      <c r="BB2950" s="1">
        <v>0.0</v>
      </c>
      <c r="BC2950" s="1">
        <v>0.0</v>
      </c>
      <c r="BD2950" s="1">
        <v>0.0</v>
      </c>
      <c r="BE2950" s="1">
        <v>0.0</v>
      </c>
      <c r="BF2950" s="1">
        <v>0.0</v>
      </c>
      <c r="BG2950" s="1">
        <v>0.0</v>
      </c>
      <c r="BH2950" s="1">
        <v>0.0</v>
      </c>
      <c r="BI2950" s="1">
        <v>0.0</v>
      </c>
      <c r="BJ2950" s="1">
        <v>0.0</v>
      </c>
      <c r="BP2950" s="1">
        <v>0.273</v>
      </c>
      <c r="BQ2950" s="1" t="s">
        <v>8935</v>
      </c>
      <c r="BV2950" s="1">
        <v>1.1</v>
      </c>
      <c r="EQ2950" s="9" t="s">
        <v>8934</v>
      </c>
      <c r="ER2950" s="21">
        <v>46045.303715277776</v>
      </c>
    </row>
    <row r="2951">
      <c r="A2951" s="9" t="s">
        <v>8936</v>
      </c>
      <c r="B2951" s="20" t="str">
        <f>IFERROR(__xludf.DUMMYFUNCTION("REGEXREPLACE(A2951, ""^https?://[^/]+"", """")"),"/wp-content/themes/salesxceleratione/assets/css/style.css?ver=1769123806")</f>
        <v>/wp-content/themes/salesxceleratione/assets/css/style.css?ver=1769123806</v>
      </c>
      <c r="F2951" s="1" t="s">
        <v>1016</v>
      </c>
      <c r="G2951" s="1">
        <v>200.0</v>
      </c>
      <c r="H2951" s="1" t="s">
        <v>966</v>
      </c>
      <c r="I2951" s="1" t="s">
        <v>967</v>
      </c>
      <c r="L2951" s="1">
        <v>0.0</v>
      </c>
      <c r="M2951" s="1">
        <v>0.0</v>
      </c>
      <c r="O2951" s="1">
        <v>0.0</v>
      </c>
      <c r="P2951" s="1">
        <v>0.0</v>
      </c>
      <c r="R2951" s="1">
        <v>0.0</v>
      </c>
      <c r="S2951" s="1">
        <v>0.0</v>
      </c>
      <c r="U2951" s="1">
        <v>0.0</v>
      </c>
      <c r="W2951" s="1">
        <v>0.0</v>
      </c>
      <c r="Y2951" s="1">
        <v>0.0</v>
      </c>
      <c r="AA2951" s="1">
        <v>0.0</v>
      </c>
      <c r="AC2951" s="1">
        <v>0.0</v>
      </c>
      <c r="AM2951" s="1">
        <v>17704.0</v>
      </c>
      <c r="AN2951" s="1">
        <v>17704.0</v>
      </c>
      <c r="AO2951" s="1">
        <v>17704.0</v>
      </c>
      <c r="AP2951" s="1">
        <v>6.782</v>
      </c>
      <c r="AR2951" s="1">
        <v>0.0</v>
      </c>
      <c r="AW2951" s="1">
        <v>0.0</v>
      </c>
      <c r="AX2951" s="1">
        <v>7.0</v>
      </c>
      <c r="AY2951" s="1">
        <v>5.0</v>
      </c>
      <c r="BA2951" s="1">
        <v>0.0</v>
      </c>
      <c r="BB2951" s="1">
        <v>0.0</v>
      </c>
      <c r="BC2951" s="1">
        <v>0.0</v>
      </c>
      <c r="BD2951" s="1">
        <v>0.0</v>
      </c>
      <c r="BE2951" s="1">
        <v>0.0</v>
      </c>
      <c r="BF2951" s="1">
        <v>0.0</v>
      </c>
      <c r="BG2951" s="1">
        <v>0.0</v>
      </c>
      <c r="BH2951" s="1">
        <v>0.0</v>
      </c>
      <c r="BI2951" s="1">
        <v>0.0</v>
      </c>
      <c r="BJ2951" s="1">
        <v>0.0</v>
      </c>
      <c r="BP2951" s="1">
        <v>0.277</v>
      </c>
      <c r="BQ2951" s="1" t="s">
        <v>8917</v>
      </c>
      <c r="BV2951" s="1">
        <v>1.1</v>
      </c>
      <c r="EQ2951" s="9" t="s">
        <v>8936</v>
      </c>
      <c r="ER2951" s="21">
        <v>46045.303715277776</v>
      </c>
    </row>
    <row r="2952">
      <c r="A2952" s="9" t="s">
        <v>8937</v>
      </c>
      <c r="B2952" s="20" t="str">
        <f>IFERROR(__xludf.DUMMYFUNCTION("REGEXREPLACE(A2952, ""^https?://[^/]+"", """")"),"/wp-content/uploads/2022/05/Sales-Team-Strategizing.jpg")</f>
        <v>/wp-content/uploads/2022/05/Sales-Team-Strategizing.jpg</v>
      </c>
      <c r="F2952" s="1" t="s">
        <v>1004</v>
      </c>
      <c r="G2952" s="1">
        <v>200.0</v>
      </c>
      <c r="H2952" s="1" t="s">
        <v>966</v>
      </c>
      <c r="I2952" s="1" t="s">
        <v>967</v>
      </c>
      <c r="L2952" s="1">
        <v>0.0</v>
      </c>
      <c r="M2952" s="1">
        <v>0.0</v>
      </c>
      <c r="O2952" s="1">
        <v>0.0</v>
      </c>
      <c r="P2952" s="1">
        <v>0.0</v>
      </c>
      <c r="R2952" s="1">
        <v>0.0</v>
      </c>
      <c r="S2952" s="1">
        <v>0.0</v>
      </c>
      <c r="U2952" s="1">
        <v>0.0</v>
      </c>
      <c r="W2952" s="1">
        <v>0.0</v>
      </c>
      <c r="Y2952" s="1">
        <v>0.0</v>
      </c>
      <c r="AA2952" s="1">
        <v>0.0</v>
      </c>
      <c r="AC2952" s="1">
        <v>0.0</v>
      </c>
      <c r="AM2952" s="1">
        <v>127596.0</v>
      </c>
      <c r="AN2952" s="1">
        <v>127596.0</v>
      </c>
      <c r="AO2952" s="1">
        <v>127596.0</v>
      </c>
      <c r="AP2952" s="1">
        <v>48.88</v>
      </c>
      <c r="AR2952" s="1">
        <v>0.0</v>
      </c>
      <c r="AW2952" s="1">
        <v>0.0</v>
      </c>
      <c r="AX2952" s="1">
        <v>7.0</v>
      </c>
      <c r="AY2952" s="1">
        <v>4.0</v>
      </c>
      <c r="BA2952" s="1">
        <v>0.0</v>
      </c>
      <c r="BB2952" s="1">
        <v>0.0</v>
      </c>
      <c r="BC2952" s="1">
        <v>0.0</v>
      </c>
      <c r="BD2952" s="1">
        <v>0.0</v>
      </c>
      <c r="BE2952" s="1">
        <v>0.0</v>
      </c>
      <c r="BF2952" s="1">
        <v>0.0</v>
      </c>
      <c r="BG2952" s="1">
        <v>0.0</v>
      </c>
      <c r="BH2952" s="1">
        <v>0.0</v>
      </c>
      <c r="BI2952" s="1">
        <v>0.0</v>
      </c>
      <c r="BJ2952" s="1">
        <v>0.0</v>
      </c>
      <c r="BP2952" s="1">
        <v>0.267</v>
      </c>
      <c r="BQ2952" s="1" t="s">
        <v>8938</v>
      </c>
      <c r="BV2952" s="1">
        <v>1.1</v>
      </c>
      <c r="EQ2952" s="9" t="s">
        <v>8937</v>
      </c>
      <c r="ER2952" s="21">
        <v>46045.303715277776</v>
      </c>
    </row>
    <row r="2953">
      <c r="A2953" s="9" t="s">
        <v>8939</v>
      </c>
      <c r="B2953" s="20" t="str">
        <f>IFERROR(__xludf.DUMMYFUNCTION("REGEXREPLACE(A2953, ""^https?://[^/]+"", """")"),"/wp-content/themes/salesxceleratione/assets/css/style.css?ver=1769123805")</f>
        <v>/wp-content/themes/salesxceleratione/assets/css/style.css?ver=1769123805</v>
      </c>
      <c r="F2953" s="1" t="s">
        <v>1016</v>
      </c>
      <c r="G2953" s="1">
        <v>200.0</v>
      </c>
      <c r="H2953" s="1" t="s">
        <v>966</v>
      </c>
      <c r="I2953" s="1" t="s">
        <v>967</v>
      </c>
      <c r="L2953" s="1">
        <v>0.0</v>
      </c>
      <c r="M2953" s="1">
        <v>0.0</v>
      </c>
      <c r="O2953" s="1">
        <v>0.0</v>
      </c>
      <c r="P2953" s="1">
        <v>0.0</v>
      </c>
      <c r="R2953" s="1">
        <v>0.0</v>
      </c>
      <c r="S2953" s="1">
        <v>0.0</v>
      </c>
      <c r="U2953" s="1">
        <v>0.0</v>
      </c>
      <c r="W2953" s="1">
        <v>0.0</v>
      </c>
      <c r="Y2953" s="1">
        <v>0.0</v>
      </c>
      <c r="AA2953" s="1">
        <v>0.0</v>
      </c>
      <c r="AC2953" s="1">
        <v>0.0</v>
      </c>
      <c r="AM2953" s="1">
        <v>17704.0</v>
      </c>
      <c r="AN2953" s="1">
        <v>17704.0</v>
      </c>
      <c r="AO2953" s="1">
        <v>17704.0</v>
      </c>
      <c r="AP2953" s="1">
        <v>6.782</v>
      </c>
      <c r="AR2953" s="1">
        <v>0.0</v>
      </c>
      <c r="AW2953" s="1">
        <v>0.0</v>
      </c>
      <c r="AX2953" s="1">
        <v>7.0</v>
      </c>
      <c r="AY2953" s="1">
        <v>5.0</v>
      </c>
      <c r="BA2953" s="1">
        <v>0.0</v>
      </c>
      <c r="BB2953" s="1">
        <v>0.0</v>
      </c>
      <c r="BC2953" s="1">
        <v>0.0</v>
      </c>
      <c r="BD2953" s="1">
        <v>0.0</v>
      </c>
      <c r="BE2953" s="1">
        <v>0.0</v>
      </c>
      <c r="BF2953" s="1">
        <v>0.0</v>
      </c>
      <c r="BG2953" s="1">
        <v>0.0</v>
      </c>
      <c r="BH2953" s="1">
        <v>0.0</v>
      </c>
      <c r="BI2953" s="1">
        <v>0.0</v>
      </c>
      <c r="BJ2953" s="1">
        <v>0.0</v>
      </c>
      <c r="BP2953" s="1">
        <v>0.291</v>
      </c>
      <c r="BQ2953" s="1" t="s">
        <v>8448</v>
      </c>
      <c r="BV2953" s="1">
        <v>1.1</v>
      </c>
      <c r="EQ2953" s="9" t="s">
        <v>8939</v>
      </c>
      <c r="ER2953" s="21">
        <v>46045.303715277776</v>
      </c>
    </row>
    <row r="2954">
      <c r="A2954" s="9" t="s">
        <v>8940</v>
      </c>
      <c r="B2954" s="20" t="str">
        <f>IFERROR(__xludf.DUMMYFUNCTION("REGEXREPLACE(A2954, ""^https?://[^/]+"", """")"),"/wp-content/uploads/2021/05/4-Key-Investments-New-Business-Owner-Must-Make-1024x682-1.jpg")</f>
        <v>/wp-content/uploads/2021/05/4-Key-Investments-New-Business-Owner-Must-Make-1024x682-1.jpg</v>
      </c>
      <c r="F2954" s="1" t="s">
        <v>1004</v>
      </c>
      <c r="G2954" s="1">
        <v>200.0</v>
      </c>
      <c r="H2954" s="1" t="s">
        <v>966</v>
      </c>
      <c r="I2954" s="1" t="s">
        <v>967</v>
      </c>
      <c r="L2954" s="1">
        <v>0.0</v>
      </c>
      <c r="M2954" s="1">
        <v>0.0</v>
      </c>
      <c r="O2954" s="1">
        <v>0.0</v>
      </c>
      <c r="P2954" s="1">
        <v>0.0</v>
      </c>
      <c r="R2954" s="1">
        <v>0.0</v>
      </c>
      <c r="S2954" s="1">
        <v>0.0</v>
      </c>
      <c r="U2954" s="1">
        <v>0.0</v>
      </c>
      <c r="W2954" s="1">
        <v>0.0</v>
      </c>
      <c r="Y2954" s="1">
        <v>0.0</v>
      </c>
      <c r="AA2954" s="1">
        <v>0.0</v>
      </c>
      <c r="AC2954" s="1">
        <v>0.0</v>
      </c>
      <c r="AM2954" s="1">
        <v>56472.0</v>
      </c>
      <c r="AN2954" s="1">
        <v>56472.0</v>
      </c>
      <c r="AO2954" s="1">
        <v>56472.0</v>
      </c>
      <c r="AP2954" s="1">
        <v>21.633</v>
      </c>
      <c r="AR2954" s="1">
        <v>0.0</v>
      </c>
      <c r="AW2954" s="1">
        <v>0.0</v>
      </c>
      <c r="AX2954" s="1">
        <v>7.0</v>
      </c>
      <c r="AY2954" s="1">
        <v>4.0</v>
      </c>
      <c r="BA2954" s="1">
        <v>0.0</v>
      </c>
      <c r="BB2954" s="1">
        <v>0.0</v>
      </c>
      <c r="BC2954" s="1">
        <v>0.0</v>
      </c>
      <c r="BD2954" s="1">
        <v>0.0</v>
      </c>
      <c r="BE2954" s="1">
        <v>0.0</v>
      </c>
      <c r="BF2954" s="1">
        <v>0.0</v>
      </c>
      <c r="BG2954" s="1">
        <v>0.0</v>
      </c>
      <c r="BH2954" s="1">
        <v>0.0</v>
      </c>
      <c r="BI2954" s="1">
        <v>0.0</v>
      </c>
      <c r="BJ2954" s="1">
        <v>0.0</v>
      </c>
      <c r="BP2954" s="1">
        <v>0.265</v>
      </c>
      <c r="BQ2954" s="1" t="s">
        <v>8941</v>
      </c>
      <c r="BV2954" s="1">
        <v>1.1</v>
      </c>
      <c r="EQ2954" s="9" t="s">
        <v>8940</v>
      </c>
      <c r="ER2954" s="21">
        <v>46045.303715277776</v>
      </c>
    </row>
    <row r="2955">
      <c r="A2955" s="9" t="s">
        <v>8942</v>
      </c>
      <c r="B2955" s="20" t="str">
        <f>IFERROR(__xludf.DUMMYFUNCTION("REGEXREPLACE(A2955, ""^https?://[^/]+"", """")"),"/wp-content/uploads/2017/02/Elevator-Down-RS-72-650-x-325-2048x2048.jpg")</f>
        <v>/wp-content/uploads/2017/02/Elevator-Down-RS-72-650-x-325-2048x2048.jpg</v>
      </c>
      <c r="F2955" s="1" t="s">
        <v>1004</v>
      </c>
      <c r="G2955" s="1">
        <v>200.0</v>
      </c>
      <c r="H2955" s="1" t="s">
        <v>966</v>
      </c>
      <c r="I2955" s="1" t="s">
        <v>967</v>
      </c>
      <c r="L2955" s="1">
        <v>0.0</v>
      </c>
      <c r="M2955" s="1">
        <v>0.0</v>
      </c>
      <c r="O2955" s="1">
        <v>0.0</v>
      </c>
      <c r="P2955" s="1">
        <v>0.0</v>
      </c>
      <c r="R2955" s="1">
        <v>0.0</v>
      </c>
      <c r="S2955" s="1">
        <v>0.0</v>
      </c>
      <c r="U2955" s="1">
        <v>0.0</v>
      </c>
      <c r="W2955" s="1">
        <v>0.0</v>
      </c>
      <c r="Y2955" s="1">
        <v>0.0</v>
      </c>
      <c r="AA2955" s="1">
        <v>0.0</v>
      </c>
      <c r="AC2955" s="1">
        <v>0.0</v>
      </c>
      <c r="AM2955" s="1">
        <v>147572.0</v>
      </c>
      <c r="AN2955" s="1">
        <v>147572.0</v>
      </c>
      <c r="AO2955" s="1">
        <v>147572.0</v>
      </c>
      <c r="AP2955" s="1">
        <v>56.532</v>
      </c>
      <c r="AR2955" s="1">
        <v>0.0</v>
      </c>
      <c r="AW2955" s="1">
        <v>0.0</v>
      </c>
      <c r="AX2955" s="1">
        <v>7.0</v>
      </c>
      <c r="AY2955" s="1">
        <v>4.0</v>
      </c>
      <c r="BA2955" s="1">
        <v>0.0</v>
      </c>
      <c r="BB2955" s="1">
        <v>0.0</v>
      </c>
      <c r="BC2955" s="1">
        <v>0.0</v>
      </c>
      <c r="BD2955" s="1">
        <v>0.0</v>
      </c>
      <c r="BE2955" s="1">
        <v>0.0</v>
      </c>
      <c r="BF2955" s="1">
        <v>0.0</v>
      </c>
      <c r="BG2955" s="1">
        <v>0.0</v>
      </c>
      <c r="BH2955" s="1">
        <v>0.0</v>
      </c>
      <c r="BI2955" s="1">
        <v>0.0</v>
      </c>
      <c r="BJ2955" s="1">
        <v>0.0</v>
      </c>
      <c r="BP2955" s="1">
        <v>0.28</v>
      </c>
      <c r="BQ2955" s="1" t="s">
        <v>8943</v>
      </c>
      <c r="BV2955" s="1">
        <v>1.1</v>
      </c>
      <c r="EQ2955" s="9" t="s">
        <v>8942</v>
      </c>
      <c r="ER2955" s="21">
        <v>46045.303715277776</v>
      </c>
    </row>
    <row r="2956">
      <c r="A2956" s="9" t="s">
        <v>8944</v>
      </c>
      <c r="B2956" s="20" t="str">
        <f>IFERROR(__xludf.DUMMYFUNCTION("REGEXREPLACE(A2956, ""^https?://[^/]+"", """")"),"/wp-content/uploads/2020/10/Woman-Certified-Sales-Leader-scaled-1-2048x2048.jpg")</f>
        <v>/wp-content/uploads/2020/10/Woman-Certified-Sales-Leader-scaled-1-2048x2048.jpg</v>
      </c>
      <c r="F2956" s="1" t="s">
        <v>1004</v>
      </c>
      <c r="G2956" s="1">
        <v>200.0</v>
      </c>
      <c r="H2956" s="1" t="s">
        <v>966</v>
      </c>
      <c r="I2956" s="1" t="s">
        <v>967</v>
      </c>
      <c r="L2956" s="1">
        <v>0.0</v>
      </c>
      <c r="M2956" s="1">
        <v>0.0</v>
      </c>
      <c r="O2956" s="1">
        <v>0.0</v>
      </c>
      <c r="P2956" s="1">
        <v>0.0</v>
      </c>
      <c r="R2956" s="1">
        <v>0.0</v>
      </c>
      <c r="S2956" s="1">
        <v>0.0</v>
      </c>
      <c r="U2956" s="1">
        <v>0.0</v>
      </c>
      <c r="W2956" s="1">
        <v>0.0</v>
      </c>
      <c r="Y2956" s="1">
        <v>0.0</v>
      </c>
      <c r="AA2956" s="1">
        <v>0.0</v>
      </c>
      <c r="AC2956" s="1">
        <v>0.0</v>
      </c>
      <c r="AM2956" s="1">
        <v>306220.0</v>
      </c>
      <c r="AN2956" s="1">
        <v>306220.0</v>
      </c>
      <c r="AO2956" s="1">
        <v>306220.0</v>
      </c>
      <c r="AP2956" s="1">
        <v>117.307</v>
      </c>
      <c r="AR2956" s="1">
        <v>0.0</v>
      </c>
      <c r="AW2956" s="1">
        <v>0.0</v>
      </c>
      <c r="AX2956" s="1">
        <v>7.0</v>
      </c>
      <c r="AY2956" s="1">
        <v>4.0</v>
      </c>
      <c r="BA2956" s="1">
        <v>0.0</v>
      </c>
      <c r="BB2956" s="1">
        <v>0.0</v>
      </c>
      <c r="BC2956" s="1">
        <v>0.0</v>
      </c>
      <c r="BD2956" s="1">
        <v>0.0</v>
      </c>
      <c r="BE2956" s="1">
        <v>0.0</v>
      </c>
      <c r="BF2956" s="1">
        <v>0.0</v>
      </c>
      <c r="BG2956" s="1">
        <v>0.0</v>
      </c>
      <c r="BH2956" s="1">
        <v>0.0</v>
      </c>
      <c r="BI2956" s="1">
        <v>0.0</v>
      </c>
      <c r="BJ2956" s="1">
        <v>0.0</v>
      </c>
      <c r="BP2956" s="1">
        <v>0.259</v>
      </c>
      <c r="BQ2956" s="1" t="s">
        <v>8945</v>
      </c>
      <c r="BV2956" s="1">
        <v>1.1</v>
      </c>
      <c r="EQ2956" s="9" t="s">
        <v>8944</v>
      </c>
      <c r="ER2956" s="21">
        <v>46045.30372685185</v>
      </c>
    </row>
    <row r="2957">
      <c r="A2957" s="9" t="s">
        <v>8437</v>
      </c>
      <c r="B2957" s="20" t="str">
        <f>IFERROR(__xludf.DUMMYFUNCTION("REGEXREPLACE(A2957, ""^https?://[^/]+"", """")"),"/?download=27891")</f>
        <v>/?download=27891</v>
      </c>
      <c r="F2957" s="1" t="s">
        <v>965</v>
      </c>
      <c r="G2957" s="1">
        <v>302.0</v>
      </c>
      <c r="H2957" s="1" t="s">
        <v>2980</v>
      </c>
      <c r="I2957" s="1" t="s">
        <v>1214</v>
      </c>
      <c r="J2957" s="1" t="s">
        <v>1305</v>
      </c>
      <c r="L2957" s="1">
        <v>0.0</v>
      </c>
      <c r="M2957" s="1">
        <v>0.0</v>
      </c>
      <c r="O2957" s="1">
        <v>0.0</v>
      </c>
      <c r="P2957" s="1">
        <v>0.0</v>
      </c>
      <c r="R2957" s="1">
        <v>0.0</v>
      </c>
      <c r="S2957" s="1">
        <v>0.0</v>
      </c>
      <c r="U2957" s="1">
        <v>0.0</v>
      </c>
      <c r="W2957" s="1">
        <v>0.0</v>
      </c>
      <c r="Y2957" s="1">
        <v>0.0</v>
      </c>
      <c r="AA2957" s="1">
        <v>0.0</v>
      </c>
      <c r="AC2957" s="1">
        <v>0.0</v>
      </c>
      <c r="AM2957" s="1">
        <v>0.0</v>
      </c>
      <c r="AN2957" s="1">
        <v>0.0</v>
      </c>
      <c r="AO2957" s="1">
        <v>0.0</v>
      </c>
      <c r="AP2957" s="1">
        <v>0.0</v>
      </c>
      <c r="AR2957" s="1">
        <v>0.0</v>
      </c>
      <c r="AW2957" s="1">
        <v>0.0</v>
      </c>
      <c r="AX2957" s="1">
        <v>7.0</v>
      </c>
      <c r="AY2957" s="1">
        <v>0.0</v>
      </c>
      <c r="BA2957" s="1">
        <v>0.0</v>
      </c>
      <c r="BB2957" s="1">
        <v>0.0</v>
      </c>
      <c r="BC2957" s="1">
        <v>0.0</v>
      </c>
      <c r="BD2957" s="1">
        <v>0.0</v>
      </c>
      <c r="BE2957" s="1">
        <v>0.0</v>
      </c>
      <c r="BF2957" s="1">
        <v>0.0</v>
      </c>
      <c r="BG2957" s="1">
        <v>0.0</v>
      </c>
      <c r="BH2957" s="1">
        <v>0.0</v>
      </c>
      <c r="BI2957" s="1">
        <v>0.0</v>
      </c>
      <c r="BJ2957" s="1">
        <v>0.0</v>
      </c>
      <c r="BP2957" s="1">
        <v>0.551</v>
      </c>
      <c r="BR2957" s="9" t="s">
        <v>8946</v>
      </c>
      <c r="BS2957" s="1" t="s">
        <v>1307</v>
      </c>
      <c r="BV2957" s="1">
        <v>1.1</v>
      </c>
      <c r="EQ2957" s="9" t="s">
        <v>8437</v>
      </c>
      <c r="ER2957" s="21">
        <v>46045.30372685185</v>
      </c>
    </row>
    <row r="2958">
      <c r="A2958" s="9" t="s">
        <v>8431</v>
      </c>
      <c r="B2958" s="20" t="str">
        <f>IFERROR(__xludf.DUMMYFUNCTION("REGEXREPLACE(A2958, ""^https?://[^/]+"", """")"),"/?download=27888")</f>
        <v>/?download=27888</v>
      </c>
      <c r="F2958" s="1" t="s">
        <v>965</v>
      </c>
      <c r="G2958" s="1">
        <v>302.0</v>
      </c>
      <c r="H2958" s="1" t="s">
        <v>2980</v>
      </c>
      <c r="I2958" s="1" t="s">
        <v>1214</v>
      </c>
      <c r="J2958" s="1" t="s">
        <v>1305</v>
      </c>
      <c r="L2958" s="1">
        <v>0.0</v>
      </c>
      <c r="M2958" s="1">
        <v>0.0</v>
      </c>
      <c r="O2958" s="1">
        <v>0.0</v>
      </c>
      <c r="P2958" s="1">
        <v>0.0</v>
      </c>
      <c r="R2958" s="1">
        <v>0.0</v>
      </c>
      <c r="S2958" s="1">
        <v>0.0</v>
      </c>
      <c r="U2958" s="1">
        <v>0.0</v>
      </c>
      <c r="W2958" s="1">
        <v>0.0</v>
      </c>
      <c r="Y2958" s="1">
        <v>0.0</v>
      </c>
      <c r="AA2958" s="1">
        <v>0.0</v>
      </c>
      <c r="AC2958" s="1">
        <v>0.0</v>
      </c>
      <c r="AM2958" s="1">
        <v>0.0</v>
      </c>
      <c r="AN2958" s="1">
        <v>0.0</v>
      </c>
      <c r="AO2958" s="1">
        <v>0.0</v>
      </c>
      <c r="AP2958" s="1">
        <v>0.0</v>
      </c>
      <c r="AR2958" s="1">
        <v>0.0</v>
      </c>
      <c r="AW2958" s="1">
        <v>0.0</v>
      </c>
      <c r="AX2958" s="1">
        <v>7.0</v>
      </c>
      <c r="AY2958" s="1">
        <v>0.0</v>
      </c>
      <c r="BA2958" s="1">
        <v>0.0</v>
      </c>
      <c r="BB2958" s="1">
        <v>0.0</v>
      </c>
      <c r="BC2958" s="1">
        <v>0.0</v>
      </c>
      <c r="BD2958" s="1">
        <v>0.0</v>
      </c>
      <c r="BE2958" s="1">
        <v>0.0</v>
      </c>
      <c r="BF2958" s="1">
        <v>0.0</v>
      </c>
      <c r="BG2958" s="1">
        <v>0.0</v>
      </c>
      <c r="BH2958" s="1">
        <v>0.0</v>
      </c>
      <c r="BI2958" s="1">
        <v>0.0</v>
      </c>
      <c r="BJ2958" s="1">
        <v>0.0</v>
      </c>
      <c r="BP2958" s="1">
        <v>0.582</v>
      </c>
      <c r="BR2958" s="9" t="s">
        <v>8947</v>
      </c>
      <c r="BS2958" s="1" t="s">
        <v>1307</v>
      </c>
      <c r="BV2958" s="1">
        <v>1.1</v>
      </c>
      <c r="EQ2958" s="9" t="s">
        <v>8431</v>
      </c>
      <c r="ER2958" s="21">
        <v>46045.30372685185</v>
      </c>
    </row>
    <row r="2959">
      <c r="A2959" s="9" t="s">
        <v>8948</v>
      </c>
      <c r="B2959" s="20" t="str">
        <f>IFERROR(__xludf.DUMMYFUNCTION("REGEXREPLACE(A2959, ""^https?://[^/]+"", """")"),"/wp-content/uploads/2019/07/shutterstock_1361250578-1.jpg")</f>
        <v>/wp-content/uploads/2019/07/shutterstock_1361250578-1.jpg</v>
      </c>
      <c r="F2959" s="1" t="s">
        <v>1004</v>
      </c>
      <c r="G2959" s="1">
        <v>200.0</v>
      </c>
      <c r="H2959" s="1" t="s">
        <v>966</v>
      </c>
      <c r="I2959" s="1" t="s">
        <v>967</v>
      </c>
      <c r="L2959" s="1">
        <v>0.0</v>
      </c>
      <c r="M2959" s="1">
        <v>0.0</v>
      </c>
      <c r="O2959" s="1">
        <v>0.0</v>
      </c>
      <c r="P2959" s="1">
        <v>0.0</v>
      </c>
      <c r="R2959" s="1">
        <v>0.0</v>
      </c>
      <c r="S2959" s="1">
        <v>0.0</v>
      </c>
      <c r="U2959" s="1">
        <v>0.0</v>
      </c>
      <c r="W2959" s="1">
        <v>0.0</v>
      </c>
      <c r="Y2959" s="1">
        <v>0.0</v>
      </c>
      <c r="AA2959" s="1">
        <v>0.0</v>
      </c>
      <c r="AC2959" s="1">
        <v>0.0</v>
      </c>
      <c r="AM2959" s="1">
        <v>129281.0</v>
      </c>
      <c r="AN2959" s="1">
        <v>129281.0</v>
      </c>
      <c r="AO2959" s="1">
        <v>129281.0</v>
      </c>
      <c r="AP2959" s="1">
        <v>49.525</v>
      </c>
      <c r="AR2959" s="1">
        <v>0.0</v>
      </c>
      <c r="AW2959" s="1">
        <v>0.0</v>
      </c>
      <c r="AX2959" s="1">
        <v>7.0</v>
      </c>
      <c r="AY2959" s="1">
        <v>4.0</v>
      </c>
      <c r="BA2959" s="1">
        <v>0.0</v>
      </c>
      <c r="BB2959" s="1">
        <v>0.0</v>
      </c>
      <c r="BC2959" s="1">
        <v>0.0</v>
      </c>
      <c r="BD2959" s="1">
        <v>0.0</v>
      </c>
      <c r="BE2959" s="1">
        <v>0.0</v>
      </c>
      <c r="BF2959" s="1">
        <v>0.0</v>
      </c>
      <c r="BG2959" s="1">
        <v>0.0</v>
      </c>
      <c r="BH2959" s="1">
        <v>0.0</v>
      </c>
      <c r="BI2959" s="1">
        <v>0.0</v>
      </c>
      <c r="BJ2959" s="1">
        <v>0.0</v>
      </c>
      <c r="BP2959" s="1">
        <v>0.26</v>
      </c>
      <c r="BQ2959" s="1" t="s">
        <v>8624</v>
      </c>
      <c r="BV2959" s="1">
        <v>1.1</v>
      </c>
      <c r="EQ2959" s="9" t="s">
        <v>8948</v>
      </c>
      <c r="ER2959" s="21">
        <v>46045.30372685185</v>
      </c>
    </row>
    <row r="2960">
      <c r="A2960" s="9" t="s">
        <v>8949</v>
      </c>
      <c r="B2960" s="20" t="str">
        <f>IFERROR(__xludf.DUMMYFUNCTION("REGEXREPLACE(A2960, ""^https?://[^/]+"", """")"),"/elevator-pitches-fail-just-like-pick-lines/")</f>
        <v>/elevator-pitches-fail-just-like-pick-lines/</v>
      </c>
      <c r="C2960" s="1" t="s">
        <v>8950</v>
      </c>
      <c r="F2960" s="1" t="s">
        <v>965</v>
      </c>
      <c r="G2960" s="1">
        <v>200.0</v>
      </c>
      <c r="H2960" s="1" t="s">
        <v>966</v>
      </c>
      <c r="I2960" s="1" t="s">
        <v>967</v>
      </c>
      <c r="K2960" s="1" t="s">
        <v>8951</v>
      </c>
      <c r="L2960" s="1">
        <v>81.0</v>
      </c>
      <c r="M2960" s="1">
        <v>714.0</v>
      </c>
      <c r="O2960" s="1">
        <v>0.0</v>
      </c>
      <c r="P2960" s="1">
        <v>0.0</v>
      </c>
      <c r="Q2960" s="1" t="s">
        <v>8952</v>
      </c>
      <c r="R2960" s="1">
        <v>153.0</v>
      </c>
      <c r="S2960" s="1">
        <v>938.0</v>
      </c>
      <c r="U2960" s="1">
        <v>0.0</v>
      </c>
      <c r="V2960" s="1" t="s">
        <v>8950</v>
      </c>
      <c r="W2960" s="1">
        <v>56.0</v>
      </c>
      <c r="Y2960" s="1">
        <v>0.0</v>
      </c>
      <c r="AA2960" s="1">
        <v>0.0</v>
      </c>
      <c r="AC2960" s="1">
        <v>0.0</v>
      </c>
      <c r="AD2960" s="1" t="s">
        <v>971</v>
      </c>
      <c r="AG2960" s="9" t="s">
        <v>8949</v>
      </c>
      <c r="AM2960" s="1">
        <v>202621.0</v>
      </c>
      <c r="AN2960" s="1">
        <v>36391.0</v>
      </c>
      <c r="AO2960" s="1">
        <v>36391.0</v>
      </c>
      <c r="AP2960" s="1">
        <v>13.941</v>
      </c>
      <c r="AR2960" s="1">
        <v>1416.0</v>
      </c>
      <c r="AS2960" s="1">
        <v>232.0</v>
      </c>
      <c r="AT2960" s="1">
        <v>6.103</v>
      </c>
      <c r="AU2960" s="1">
        <v>70.454</v>
      </c>
      <c r="AV2960" s="1" t="s">
        <v>1264</v>
      </c>
      <c r="AW2960" s="1">
        <v>5.398</v>
      </c>
      <c r="AX2960" s="1">
        <v>7.0</v>
      </c>
      <c r="AY2960" s="1">
        <v>1.0</v>
      </c>
      <c r="AZ2960" s="1">
        <v>1.0</v>
      </c>
      <c r="BA2960" s="1">
        <v>2.0</v>
      </c>
      <c r="BB2960" s="1">
        <v>2.0</v>
      </c>
      <c r="BC2960" s="1">
        <v>0.0</v>
      </c>
      <c r="BD2960" s="1">
        <v>0.27</v>
      </c>
      <c r="BE2960" s="1">
        <v>131.0</v>
      </c>
      <c r="BF2960" s="1">
        <v>49.0</v>
      </c>
      <c r="BG2960" s="1">
        <v>0.0</v>
      </c>
      <c r="BH2960" s="1">
        <v>16.0</v>
      </c>
      <c r="BI2960" s="1">
        <v>8.0</v>
      </c>
      <c r="BJ2960" s="1">
        <v>0.0</v>
      </c>
      <c r="BO2960" s="1" t="s">
        <v>8953</v>
      </c>
      <c r="BP2960" s="1">
        <v>1.006</v>
      </c>
      <c r="BU2960" s="1" t="s">
        <v>974</v>
      </c>
      <c r="BV2960" s="1">
        <v>1.1</v>
      </c>
      <c r="EQ2960" s="9" t="s">
        <v>8949</v>
      </c>
      <c r="ER2960" s="21">
        <v>46045.303715277776</v>
      </c>
    </row>
    <row r="2961">
      <c r="A2961" s="9" t="s">
        <v>8954</v>
      </c>
      <c r="B2961" s="20" t="str">
        <f>IFERROR(__xludf.DUMMYFUNCTION("REGEXREPLACE(A2961, ""^https?://[^/]+"", """")"),"/wp-content/themes/salesxceleratione/assets/css/style.css?ver=1769123803")</f>
        <v>/wp-content/themes/salesxceleratione/assets/css/style.css?ver=1769123803</v>
      </c>
      <c r="F2961" s="1" t="s">
        <v>1016</v>
      </c>
      <c r="G2961" s="1">
        <v>200.0</v>
      </c>
      <c r="H2961" s="1" t="s">
        <v>966</v>
      </c>
      <c r="I2961" s="1" t="s">
        <v>967</v>
      </c>
      <c r="L2961" s="1">
        <v>0.0</v>
      </c>
      <c r="M2961" s="1">
        <v>0.0</v>
      </c>
      <c r="O2961" s="1">
        <v>0.0</v>
      </c>
      <c r="P2961" s="1">
        <v>0.0</v>
      </c>
      <c r="R2961" s="1">
        <v>0.0</v>
      </c>
      <c r="S2961" s="1">
        <v>0.0</v>
      </c>
      <c r="U2961" s="1">
        <v>0.0</v>
      </c>
      <c r="W2961" s="1">
        <v>0.0</v>
      </c>
      <c r="Y2961" s="1">
        <v>0.0</v>
      </c>
      <c r="AA2961" s="1">
        <v>0.0</v>
      </c>
      <c r="AC2961" s="1">
        <v>0.0</v>
      </c>
      <c r="AM2961" s="1">
        <v>17704.0</v>
      </c>
      <c r="AN2961" s="1">
        <v>17704.0</v>
      </c>
      <c r="AO2961" s="1">
        <v>17704.0</v>
      </c>
      <c r="AP2961" s="1">
        <v>6.782</v>
      </c>
      <c r="AR2961" s="1">
        <v>0.0</v>
      </c>
      <c r="AW2961" s="1">
        <v>0.0</v>
      </c>
      <c r="AX2961" s="1">
        <v>7.0</v>
      </c>
      <c r="AY2961" s="1">
        <v>5.0</v>
      </c>
      <c r="BA2961" s="1">
        <v>0.0</v>
      </c>
      <c r="BB2961" s="1">
        <v>0.0</v>
      </c>
      <c r="BC2961" s="1">
        <v>0.0</v>
      </c>
      <c r="BD2961" s="1">
        <v>0.0</v>
      </c>
      <c r="BE2961" s="1">
        <v>0.0</v>
      </c>
      <c r="BF2961" s="1">
        <v>0.0</v>
      </c>
      <c r="BG2961" s="1">
        <v>0.0</v>
      </c>
      <c r="BH2961" s="1">
        <v>0.0</v>
      </c>
      <c r="BI2961" s="1">
        <v>0.0</v>
      </c>
      <c r="BJ2961" s="1">
        <v>0.0</v>
      </c>
      <c r="BP2961" s="1">
        <v>0.259</v>
      </c>
      <c r="BQ2961" s="1" t="s">
        <v>8379</v>
      </c>
      <c r="BV2961" s="1">
        <v>1.1</v>
      </c>
      <c r="EQ2961" s="9" t="s">
        <v>8954</v>
      </c>
      <c r="ER2961" s="21">
        <v>46045.30373842592</v>
      </c>
    </row>
    <row r="2962">
      <c r="A2962" s="9" t="s">
        <v>8955</v>
      </c>
      <c r="B2962" s="20" t="str">
        <f>IFERROR(__xludf.DUMMYFUNCTION("REGEXREPLACE(A2962, ""^https?://[^/]+"", """")"),"/wp-content/uploads/2022/04/Oser-Gregg-275x275-1-100x100.jpg")</f>
        <v>/wp-content/uploads/2022/04/Oser-Gregg-275x275-1-100x100.jpg</v>
      </c>
      <c r="F2962" s="1" t="s">
        <v>1004</v>
      </c>
      <c r="G2962" s="1">
        <v>200.0</v>
      </c>
      <c r="H2962" s="1" t="s">
        <v>966</v>
      </c>
      <c r="I2962" s="1" t="s">
        <v>967</v>
      </c>
      <c r="L2962" s="1">
        <v>0.0</v>
      </c>
      <c r="M2962" s="1">
        <v>0.0</v>
      </c>
      <c r="O2962" s="1">
        <v>0.0</v>
      </c>
      <c r="P2962" s="1">
        <v>0.0</v>
      </c>
      <c r="R2962" s="1">
        <v>0.0</v>
      </c>
      <c r="S2962" s="1">
        <v>0.0</v>
      </c>
      <c r="U2962" s="1">
        <v>0.0</v>
      </c>
      <c r="W2962" s="1">
        <v>0.0</v>
      </c>
      <c r="Y2962" s="1">
        <v>0.0</v>
      </c>
      <c r="AA2962" s="1">
        <v>0.0</v>
      </c>
      <c r="AC2962" s="1">
        <v>0.0</v>
      </c>
      <c r="AM2962" s="1">
        <v>2622.0</v>
      </c>
      <c r="AN2962" s="1">
        <v>2622.0</v>
      </c>
      <c r="AO2962" s="1">
        <v>2622.0</v>
      </c>
      <c r="AP2962" s="1">
        <v>1.004</v>
      </c>
      <c r="AR2962" s="1">
        <v>0.0</v>
      </c>
      <c r="AW2962" s="1">
        <v>0.0</v>
      </c>
      <c r="AX2962" s="1">
        <v>7.0</v>
      </c>
      <c r="AY2962" s="1">
        <v>4.0</v>
      </c>
      <c r="BA2962" s="1">
        <v>0.0</v>
      </c>
      <c r="BB2962" s="1">
        <v>0.0</v>
      </c>
      <c r="BC2962" s="1">
        <v>0.0</v>
      </c>
      <c r="BD2962" s="1">
        <v>0.0</v>
      </c>
      <c r="BE2962" s="1">
        <v>0.0</v>
      </c>
      <c r="BF2962" s="1">
        <v>0.0</v>
      </c>
      <c r="BG2962" s="1">
        <v>0.0</v>
      </c>
      <c r="BH2962" s="1">
        <v>0.0</v>
      </c>
      <c r="BI2962" s="1">
        <v>0.0</v>
      </c>
      <c r="BJ2962" s="1">
        <v>0.0</v>
      </c>
      <c r="BP2962" s="1">
        <v>0.263</v>
      </c>
      <c r="BQ2962" s="1" t="s">
        <v>8956</v>
      </c>
      <c r="BV2962" s="1">
        <v>1.1</v>
      </c>
      <c r="EQ2962" s="9" t="s">
        <v>8955</v>
      </c>
      <c r="ER2962" s="21">
        <v>46045.30373842592</v>
      </c>
    </row>
    <row r="2963">
      <c r="A2963" s="9" t="s">
        <v>8957</v>
      </c>
      <c r="B2963" s="20" t="str">
        <f>IFERROR(__xludf.DUMMYFUNCTION("REGEXREPLACE(A2963, ""^https?://[^/]+"", """")"),"/top-5-in-focus-key-areas-where-effective-sales-leaders-excel/")</f>
        <v>/top-5-in-focus-key-areas-where-effective-sales-leaders-excel/</v>
      </c>
      <c r="C2963" s="1" t="s">
        <v>8958</v>
      </c>
      <c r="D2963" s="1" t="s">
        <v>8959</v>
      </c>
      <c r="E2963" s="1" t="s">
        <v>8960</v>
      </c>
      <c r="F2963" s="1" t="s">
        <v>965</v>
      </c>
      <c r="G2963" s="1">
        <v>200.0</v>
      </c>
      <c r="H2963" s="1" t="s">
        <v>966</v>
      </c>
      <c r="I2963" s="1" t="s">
        <v>967</v>
      </c>
      <c r="K2963" s="1" t="s">
        <v>8961</v>
      </c>
      <c r="L2963" s="1">
        <v>75.0</v>
      </c>
      <c r="M2963" s="1">
        <v>678.0</v>
      </c>
      <c r="O2963" s="1">
        <v>0.0</v>
      </c>
      <c r="P2963" s="1">
        <v>0.0</v>
      </c>
      <c r="Q2963" s="1" t="s">
        <v>8962</v>
      </c>
      <c r="R2963" s="1">
        <v>181.0</v>
      </c>
      <c r="S2963" s="1">
        <v>1120.0</v>
      </c>
      <c r="U2963" s="1">
        <v>0.0</v>
      </c>
      <c r="V2963" s="1" t="s">
        <v>8958</v>
      </c>
      <c r="W2963" s="1">
        <v>50.0</v>
      </c>
      <c r="Y2963" s="1">
        <v>0.0</v>
      </c>
      <c r="Z2963" s="1" t="s">
        <v>8959</v>
      </c>
      <c r="AA2963" s="1">
        <v>29.0</v>
      </c>
      <c r="AB2963" s="1" t="s">
        <v>8960</v>
      </c>
      <c r="AC2963" s="1">
        <v>21.0</v>
      </c>
      <c r="AD2963" s="1" t="s">
        <v>971</v>
      </c>
      <c r="AG2963" s="9" t="s">
        <v>8957</v>
      </c>
      <c r="AM2963" s="1">
        <v>200507.0</v>
      </c>
      <c r="AN2963" s="1">
        <v>35508.0</v>
      </c>
      <c r="AO2963" s="1">
        <v>35508.0</v>
      </c>
      <c r="AP2963" s="1">
        <v>13.602</v>
      </c>
      <c r="AR2963" s="1">
        <v>1189.0</v>
      </c>
      <c r="AS2963" s="1">
        <v>186.0</v>
      </c>
      <c r="AT2963" s="1">
        <v>6.392</v>
      </c>
      <c r="AU2963" s="1">
        <v>60.034</v>
      </c>
      <c r="AV2963" s="1" t="s">
        <v>990</v>
      </c>
      <c r="AW2963" s="1">
        <v>4.949</v>
      </c>
      <c r="AX2963" s="1">
        <v>7.0</v>
      </c>
      <c r="AY2963" s="1">
        <v>1.0</v>
      </c>
      <c r="AZ2963" s="1">
        <v>1.0</v>
      </c>
      <c r="BA2963" s="1">
        <v>2.0</v>
      </c>
      <c r="BB2963" s="1">
        <v>2.0</v>
      </c>
      <c r="BC2963" s="1">
        <v>0.0</v>
      </c>
      <c r="BD2963" s="1">
        <v>0.27</v>
      </c>
      <c r="BE2963" s="1">
        <v>131.0</v>
      </c>
      <c r="BF2963" s="1">
        <v>47.0</v>
      </c>
      <c r="BG2963" s="1">
        <v>0.0</v>
      </c>
      <c r="BH2963" s="1">
        <v>17.0</v>
      </c>
      <c r="BI2963" s="1">
        <v>9.0</v>
      </c>
      <c r="BJ2963" s="1">
        <v>0.0</v>
      </c>
      <c r="BO2963" s="1" t="s">
        <v>8963</v>
      </c>
      <c r="BP2963" s="1">
        <v>1.052</v>
      </c>
      <c r="BU2963" s="1" t="s">
        <v>974</v>
      </c>
      <c r="BV2963" s="1">
        <v>1.1</v>
      </c>
      <c r="EQ2963" s="9" t="s">
        <v>8957</v>
      </c>
      <c r="ER2963" s="21">
        <v>46045.30372685185</v>
      </c>
    </row>
    <row r="2964">
      <c r="A2964" s="9" t="s">
        <v>8964</v>
      </c>
      <c r="B2964" s="20" t="str">
        <f>IFERROR(__xludf.DUMMYFUNCTION("REGEXREPLACE(A2964, ""^https?://[^/]+"", """")"),"/wp-content/uploads/2022/03/Businessman-Holding-a-Football.jpg")</f>
        <v>/wp-content/uploads/2022/03/Businessman-Holding-a-Football.jpg</v>
      </c>
      <c r="F2964" s="1" t="s">
        <v>1004</v>
      </c>
      <c r="G2964" s="1">
        <v>200.0</v>
      </c>
      <c r="H2964" s="1" t="s">
        <v>966</v>
      </c>
      <c r="I2964" s="1" t="s">
        <v>967</v>
      </c>
      <c r="L2964" s="1">
        <v>0.0</v>
      </c>
      <c r="M2964" s="1">
        <v>0.0</v>
      </c>
      <c r="O2964" s="1">
        <v>0.0</v>
      </c>
      <c r="P2964" s="1">
        <v>0.0</v>
      </c>
      <c r="R2964" s="1">
        <v>0.0</v>
      </c>
      <c r="S2964" s="1">
        <v>0.0</v>
      </c>
      <c r="U2964" s="1">
        <v>0.0</v>
      </c>
      <c r="W2964" s="1">
        <v>0.0</v>
      </c>
      <c r="Y2964" s="1">
        <v>0.0</v>
      </c>
      <c r="AA2964" s="1">
        <v>0.0</v>
      </c>
      <c r="AC2964" s="1">
        <v>0.0</v>
      </c>
      <c r="AM2964" s="1">
        <v>203134.0</v>
      </c>
      <c r="AN2964" s="1">
        <v>203134.0</v>
      </c>
      <c r="AO2964" s="1">
        <v>203134.0</v>
      </c>
      <c r="AP2964" s="1">
        <v>77.817</v>
      </c>
      <c r="AR2964" s="1">
        <v>0.0</v>
      </c>
      <c r="AW2964" s="1">
        <v>0.0</v>
      </c>
      <c r="AX2964" s="1">
        <v>7.0</v>
      </c>
      <c r="AY2964" s="1">
        <v>4.0</v>
      </c>
      <c r="BA2964" s="1">
        <v>0.0</v>
      </c>
      <c r="BB2964" s="1">
        <v>0.0</v>
      </c>
      <c r="BC2964" s="1">
        <v>0.0</v>
      </c>
      <c r="BD2964" s="1">
        <v>0.0</v>
      </c>
      <c r="BE2964" s="1">
        <v>0.0</v>
      </c>
      <c r="BF2964" s="1">
        <v>0.0</v>
      </c>
      <c r="BG2964" s="1">
        <v>0.0</v>
      </c>
      <c r="BH2964" s="1">
        <v>0.0</v>
      </c>
      <c r="BI2964" s="1">
        <v>0.0</v>
      </c>
      <c r="BJ2964" s="1">
        <v>0.0</v>
      </c>
      <c r="BP2964" s="1">
        <v>0.321</v>
      </c>
      <c r="BQ2964" s="1" t="s">
        <v>8965</v>
      </c>
      <c r="BV2964" s="1">
        <v>1.1</v>
      </c>
      <c r="EQ2964" s="9" t="s">
        <v>8964</v>
      </c>
      <c r="ER2964" s="21">
        <v>46045.30373842592</v>
      </c>
    </row>
    <row r="2965">
      <c r="A2965" s="9" t="s">
        <v>8966</v>
      </c>
      <c r="B2965" s="20" t="str">
        <f>IFERROR(__xludf.DUMMYFUNCTION("REGEXREPLACE(A2965, ""^https?://[^/]+"", """")"),"/using-ride-along-better-sales-management-coaching/")</f>
        <v>/using-ride-along-better-sales-management-coaching/</v>
      </c>
      <c r="C2965" s="1" t="s">
        <v>8967</v>
      </c>
      <c r="F2965" s="1" t="s">
        <v>965</v>
      </c>
      <c r="G2965" s="1">
        <v>200.0</v>
      </c>
      <c r="H2965" s="1" t="s">
        <v>966</v>
      </c>
      <c r="I2965" s="1" t="s">
        <v>967</v>
      </c>
      <c r="K2965" s="1" t="s">
        <v>8968</v>
      </c>
      <c r="L2965" s="1">
        <v>86.0</v>
      </c>
      <c r="M2965" s="1">
        <v>794.0</v>
      </c>
      <c r="O2965" s="1">
        <v>0.0</v>
      </c>
      <c r="P2965" s="1">
        <v>0.0</v>
      </c>
      <c r="Q2965" s="1" t="s">
        <v>8969</v>
      </c>
      <c r="R2965" s="1">
        <v>151.0</v>
      </c>
      <c r="S2965" s="1">
        <v>931.0</v>
      </c>
      <c r="U2965" s="1">
        <v>0.0</v>
      </c>
      <c r="V2965" s="1" t="s">
        <v>8967</v>
      </c>
      <c r="W2965" s="1">
        <v>61.0</v>
      </c>
      <c r="Y2965" s="1">
        <v>0.0</v>
      </c>
      <c r="AA2965" s="1">
        <v>0.0</v>
      </c>
      <c r="AC2965" s="1">
        <v>0.0</v>
      </c>
      <c r="AD2965" s="1" t="s">
        <v>971</v>
      </c>
      <c r="AG2965" s="9" t="s">
        <v>8966</v>
      </c>
      <c r="AM2965" s="1">
        <v>207371.0</v>
      </c>
      <c r="AN2965" s="1">
        <v>37176.0</v>
      </c>
      <c r="AO2965" s="1">
        <v>37176.0</v>
      </c>
      <c r="AP2965" s="1">
        <v>14.241</v>
      </c>
      <c r="AR2965" s="1">
        <v>1841.0</v>
      </c>
      <c r="AS2965" s="1">
        <v>267.0</v>
      </c>
      <c r="AT2965" s="1">
        <v>6.895</v>
      </c>
      <c r="AU2965" s="1">
        <v>62.666</v>
      </c>
      <c r="AV2965" s="1" t="s">
        <v>990</v>
      </c>
      <c r="AW2965" s="1">
        <v>6.659</v>
      </c>
      <c r="AX2965" s="1">
        <v>7.0</v>
      </c>
      <c r="AY2965" s="1">
        <v>1.0</v>
      </c>
      <c r="AZ2965" s="1">
        <v>1.0</v>
      </c>
      <c r="BA2965" s="1">
        <v>1.0</v>
      </c>
      <c r="BB2965" s="1">
        <v>1.0</v>
      </c>
      <c r="BC2965" s="1">
        <v>0.0</v>
      </c>
      <c r="BD2965" s="1">
        <v>0.13</v>
      </c>
      <c r="BE2965" s="1">
        <v>137.0</v>
      </c>
      <c r="BF2965" s="1">
        <v>49.0</v>
      </c>
      <c r="BG2965" s="1">
        <v>0.0</v>
      </c>
      <c r="BH2965" s="1">
        <v>16.0</v>
      </c>
      <c r="BI2965" s="1">
        <v>8.0</v>
      </c>
      <c r="BJ2965" s="1">
        <v>0.0</v>
      </c>
      <c r="BO2965" s="1" t="s">
        <v>8970</v>
      </c>
      <c r="BP2965" s="1">
        <v>1.004</v>
      </c>
      <c r="BU2965" s="1" t="s">
        <v>974</v>
      </c>
      <c r="BV2965" s="1">
        <v>1.1</v>
      </c>
      <c r="EQ2965" s="9" t="s">
        <v>8966</v>
      </c>
      <c r="ER2965" s="21">
        <v>46045.30372685185</v>
      </c>
    </row>
    <row r="2966">
      <c r="A2966" s="9" t="s">
        <v>8971</v>
      </c>
      <c r="B2966" s="20" t="str">
        <f>IFERROR(__xludf.DUMMYFUNCTION("REGEXREPLACE(A2966, ""^https?://[^/]+"", """")"),"/author/goser/")</f>
        <v>/author/goser/</v>
      </c>
      <c r="C2966" s="1" t="s">
        <v>8972</v>
      </c>
      <c r="F2966" s="1" t="s">
        <v>965</v>
      </c>
      <c r="G2966" s="1">
        <v>200.0</v>
      </c>
      <c r="H2966" s="1" t="s">
        <v>966</v>
      </c>
      <c r="I2966" s="1" t="s">
        <v>967</v>
      </c>
      <c r="K2966" s="1" t="s">
        <v>8973</v>
      </c>
      <c r="L2966" s="1">
        <v>39.0</v>
      </c>
      <c r="M2966" s="1">
        <v>354.0</v>
      </c>
      <c r="O2966" s="1">
        <v>0.0</v>
      </c>
      <c r="P2966" s="1">
        <v>0.0</v>
      </c>
      <c r="R2966" s="1">
        <v>0.0</v>
      </c>
      <c r="S2966" s="1">
        <v>0.0</v>
      </c>
      <c r="U2966" s="1">
        <v>0.0</v>
      </c>
      <c r="V2966" s="1" t="s">
        <v>8972</v>
      </c>
      <c r="W2966" s="1">
        <v>10.0</v>
      </c>
      <c r="Y2966" s="1">
        <v>0.0</v>
      </c>
      <c r="AA2966" s="1">
        <v>0.0</v>
      </c>
      <c r="AC2966" s="1">
        <v>0.0</v>
      </c>
      <c r="AD2966" s="1" t="s">
        <v>971</v>
      </c>
      <c r="AG2966" s="9" t="s">
        <v>8971</v>
      </c>
      <c r="AM2966" s="1">
        <v>151669.0</v>
      </c>
      <c r="AN2966" s="1">
        <v>29698.0</v>
      </c>
      <c r="AO2966" s="1">
        <v>29698.0</v>
      </c>
      <c r="AP2966" s="1">
        <v>11.377</v>
      </c>
      <c r="AR2966" s="1">
        <v>597.0</v>
      </c>
      <c r="AS2966" s="1">
        <v>102.0</v>
      </c>
      <c r="AT2966" s="1">
        <v>5.853</v>
      </c>
      <c r="AU2966" s="1">
        <v>61.878</v>
      </c>
      <c r="AV2966" s="1" t="s">
        <v>990</v>
      </c>
      <c r="AW2966" s="1">
        <v>4.005</v>
      </c>
      <c r="AX2966" s="1">
        <v>7.0</v>
      </c>
      <c r="AY2966" s="1">
        <v>2.0</v>
      </c>
      <c r="AZ2966" s="1">
        <v>1.0</v>
      </c>
      <c r="BA2966" s="1">
        <v>3.0</v>
      </c>
      <c r="BB2966" s="1">
        <v>1.0</v>
      </c>
      <c r="BC2966" s="1">
        <v>0.0</v>
      </c>
      <c r="BD2966" s="1">
        <v>0.13</v>
      </c>
      <c r="BE2966" s="1">
        <v>127.0</v>
      </c>
      <c r="BF2966" s="1">
        <v>45.0</v>
      </c>
      <c r="BG2966" s="1">
        <v>0.0</v>
      </c>
      <c r="BH2966" s="1">
        <v>16.0</v>
      </c>
      <c r="BI2966" s="1">
        <v>8.0</v>
      </c>
      <c r="BJ2966" s="1">
        <v>0.0</v>
      </c>
      <c r="BO2966" s="1" t="s">
        <v>8974</v>
      </c>
      <c r="BP2966" s="1">
        <v>1.038</v>
      </c>
      <c r="BU2966" s="1" t="s">
        <v>974</v>
      </c>
      <c r="BV2966" s="1">
        <v>1.1</v>
      </c>
      <c r="EQ2966" s="9" t="s">
        <v>8971</v>
      </c>
      <c r="ER2966" s="21">
        <v>46045.30372685185</v>
      </c>
    </row>
    <row r="2967">
      <c r="A2967" s="9" t="s">
        <v>8975</v>
      </c>
      <c r="B2967" s="20" t="str">
        <f>IFERROR(__xludf.DUMMYFUNCTION("REGEXREPLACE(A2967, ""^https?://[^/]+"", """")"),"/wp-content/uploads/2022/05/Key-Performance-Indicators.jpg")</f>
        <v>/wp-content/uploads/2022/05/Key-Performance-Indicators.jpg</v>
      </c>
      <c r="F2967" s="1" t="s">
        <v>1004</v>
      </c>
      <c r="G2967" s="1">
        <v>200.0</v>
      </c>
      <c r="H2967" s="1" t="s">
        <v>966</v>
      </c>
      <c r="I2967" s="1" t="s">
        <v>967</v>
      </c>
      <c r="L2967" s="1">
        <v>0.0</v>
      </c>
      <c r="M2967" s="1">
        <v>0.0</v>
      </c>
      <c r="O2967" s="1">
        <v>0.0</v>
      </c>
      <c r="P2967" s="1">
        <v>0.0</v>
      </c>
      <c r="R2967" s="1">
        <v>0.0</v>
      </c>
      <c r="S2967" s="1">
        <v>0.0</v>
      </c>
      <c r="U2967" s="1">
        <v>0.0</v>
      </c>
      <c r="W2967" s="1">
        <v>0.0</v>
      </c>
      <c r="Y2967" s="1">
        <v>0.0</v>
      </c>
      <c r="AA2967" s="1">
        <v>0.0</v>
      </c>
      <c r="AC2967" s="1">
        <v>0.0</v>
      </c>
      <c r="AM2967" s="1">
        <v>508177.0</v>
      </c>
      <c r="AN2967" s="1">
        <v>508177.0</v>
      </c>
      <c r="AO2967" s="1">
        <v>508177.0</v>
      </c>
      <c r="AP2967" s="1">
        <v>194.673</v>
      </c>
      <c r="AR2967" s="1">
        <v>0.0</v>
      </c>
      <c r="AW2967" s="1">
        <v>0.0</v>
      </c>
      <c r="AX2967" s="1">
        <v>7.0</v>
      </c>
      <c r="AY2967" s="1">
        <v>4.0</v>
      </c>
      <c r="BA2967" s="1">
        <v>0.0</v>
      </c>
      <c r="BB2967" s="1">
        <v>0.0</v>
      </c>
      <c r="BC2967" s="1">
        <v>0.0</v>
      </c>
      <c r="BD2967" s="1">
        <v>0.0</v>
      </c>
      <c r="BE2967" s="1">
        <v>0.0</v>
      </c>
      <c r="BF2967" s="1">
        <v>0.0</v>
      </c>
      <c r="BG2967" s="1">
        <v>0.0</v>
      </c>
      <c r="BH2967" s="1">
        <v>0.0</v>
      </c>
      <c r="BI2967" s="1">
        <v>0.0</v>
      </c>
      <c r="BJ2967" s="1">
        <v>0.0</v>
      </c>
      <c r="BP2967" s="1">
        <v>0.26</v>
      </c>
      <c r="BQ2967" s="1" t="s">
        <v>8976</v>
      </c>
      <c r="BV2967" s="1">
        <v>1.1</v>
      </c>
      <c r="EQ2967" s="9" t="s">
        <v>8975</v>
      </c>
      <c r="ER2967" s="21">
        <v>46045.30375</v>
      </c>
    </row>
    <row r="2968">
      <c r="A2968" s="9" t="s">
        <v>8977</v>
      </c>
      <c r="B2968" s="20" t="str">
        <f>IFERROR(__xludf.DUMMYFUNCTION("REGEXREPLACE(A2968, ""^https?://[^/]+"", """")"),"/wp-content/themes/salesxceleratione/assets/css/style.css?ver=1769123802")</f>
        <v>/wp-content/themes/salesxceleratione/assets/css/style.css?ver=1769123802</v>
      </c>
      <c r="F2968" s="1" t="s">
        <v>1016</v>
      </c>
      <c r="G2968" s="1">
        <v>200.0</v>
      </c>
      <c r="H2968" s="1" t="s">
        <v>966</v>
      </c>
      <c r="I2968" s="1" t="s">
        <v>967</v>
      </c>
      <c r="L2968" s="1">
        <v>0.0</v>
      </c>
      <c r="M2968" s="1">
        <v>0.0</v>
      </c>
      <c r="O2968" s="1">
        <v>0.0</v>
      </c>
      <c r="P2968" s="1">
        <v>0.0</v>
      </c>
      <c r="R2968" s="1">
        <v>0.0</v>
      </c>
      <c r="S2968" s="1">
        <v>0.0</v>
      </c>
      <c r="U2968" s="1">
        <v>0.0</v>
      </c>
      <c r="W2968" s="1">
        <v>0.0</v>
      </c>
      <c r="Y2968" s="1">
        <v>0.0</v>
      </c>
      <c r="AA2968" s="1">
        <v>0.0</v>
      </c>
      <c r="AC2968" s="1">
        <v>0.0</v>
      </c>
      <c r="AM2968" s="1">
        <v>17704.0</v>
      </c>
      <c r="AN2968" s="1">
        <v>17704.0</v>
      </c>
      <c r="AO2968" s="1">
        <v>17704.0</v>
      </c>
      <c r="AP2968" s="1">
        <v>6.782</v>
      </c>
      <c r="AR2968" s="1">
        <v>0.0</v>
      </c>
      <c r="AW2968" s="1">
        <v>0.0</v>
      </c>
      <c r="AX2968" s="1">
        <v>7.0</v>
      </c>
      <c r="AY2968" s="1">
        <v>5.0</v>
      </c>
      <c r="BA2968" s="1">
        <v>0.0</v>
      </c>
      <c r="BB2968" s="1">
        <v>0.0</v>
      </c>
      <c r="BC2968" s="1">
        <v>0.0</v>
      </c>
      <c r="BD2968" s="1">
        <v>0.0</v>
      </c>
      <c r="BE2968" s="1">
        <v>0.0</v>
      </c>
      <c r="BF2968" s="1">
        <v>0.0</v>
      </c>
      <c r="BG2968" s="1">
        <v>0.0</v>
      </c>
      <c r="BH2968" s="1">
        <v>0.0</v>
      </c>
      <c r="BI2968" s="1">
        <v>0.0</v>
      </c>
      <c r="BJ2968" s="1">
        <v>0.0</v>
      </c>
      <c r="BP2968" s="1">
        <v>0.271</v>
      </c>
      <c r="BQ2968" s="1" t="s">
        <v>8978</v>
      </c>
      <c r="BV2968" s="1">
        <v>1.1</v>
      </c>
      <c r="EQ2968" s="9" t="s">
        <v>8977</v>
      </c>
      <c r="ER2968" s="21">
        <v>46045.30375</v>
      </c>
    </row>
    <row r="2969">
      <c r="A2969" s="9" t="s">
        <v>8979</v>
      </c>
      <c r="B2969" s="20" t="str">
        <f>IFERROR(__xludf.DUMMYFUNCTION("REGEXREPLACE(A2969, ""^https?://[^/]+"", """")"),"/wp-content/uploads/2018/12/shutterstock_1209757879-resized.jpg")</f>
        <v>/wp-content/uploads/2018/12/shutterstock_1209757879-resized.jpg</v>
      </c>
      <c r="F2969" s="1" t="s">
        <v>1004</v>
      </c>
      <c r="G2969" s="1">
        <v>200.0</v>
      </c>
      <c r="H2969" s="1" t="s">
        <v>966</v>
      </c>
      <c r="I2969" s="1" t="s">
        <v>967</v>
      </c>
      <c r="L2969" s="1">
        <v>0.0</v>
      </c>
      <c r="M2969" s="1">
        <v>0.0</v>
      </c>
      <c r="O2969" s="1">
        <v>0.0</v>
      </c>
      <c r="P2969" s="1">
        <v>0.0</v>
      </c>
      <c r="R2969" s="1">
        <v>0.0</v>
      </c>
      <c r="S2969" s="1">
        <v>0.0</v>
      </c>
      <c r="U2969" s="1">
        <v>0.0</v>
      </c>
      <c r="W2969" s="1">
        <v>0.0</v>
      </c>
      <c r="Y2969" s="1">
        <v>0.0</v>
      </c>
      <c r="AA2969" s="1">
        <v>0.0</v>
      </c>
      <c r="AC2969" s="1">
        <v>0.0</v>
      </c>
      <c r="AM2969" s="1">
        <v>163203.0</v>
      </c>
      <c r="AN2969" s="1">
        <v>163203.0</v>
      </c>
      <c r="AO2969" s="1">
        <v>163203.0</v>
      </c>
      <c r="AP2969" s="1">
        <v>62.52</v>
      </c>
      <c r="AR2969" s="1">
        <v>0.0</v>
      </c>
      <c r="AW2969" s="1">
        <v>0.0</v>
      </c>
      <c r="AX2969" s="1">
        <v>7.0</v>
      </c>
      <c r="AY2969" s="1">
        <v>4.0</v>
      </c>
      <c r="BA2969" s="1">
        <v>0.0</v>
      </c>
      <c r="BB2969" s="1">
        <v>0.0</v>
      </c>
      <c r="BC2969" s="1">
        <v>0.0</v>
      </c>
      <c r="BD2969" s="1">
        <v>0.0</v>
      </c>
      <c r="BE2969" s="1">
        <v>0.0</v>
      </c>
      <c r="BF2969" s="1">
        <v>0.0</v>
      </c>
      <c r="BG2969" s="1">
        <v>0.0</v>
      </c>
      <c r="BH2969" s="1">
        <v>0.0</v>
      </c>
      <c r="BI2969" s="1">
        <v>0.0</v>
      </c>
      <c r="BJ2969" s="1">
        <v>0.0</v>
      </c>
      <c r="BP2969" s="1">
        <v>0.263</v>
      </c>
      <c r="BQ2969" s="1" t="s">
        <v>8980</v>
      </c>
      <c r="BV2969" s="1">
        <v>1.1</v>
      </c>
      <c r="EQ2969" s="9" t="s">
        <v>8979</v>
      </c>
      <c r="ER2969" s="21">
        <v>46045.30375</v>
      </c>
    </row>
    <row r="2970">
      <c r="A2970" s="9" t="s">
        <v>8981</v>
      </c>
      <c r="B2970" s="20" t="str">
        <f>IFERROR(__xludf.DUMMYFUNCTION("REGEXREPLACE(A2970, ""^https?://[^/]+"", """")"),"/wp-content/themes/salesxceleratione/assets/css/style.css?ver=1769123801")</f>
        <v>/wp-content/themes/salesxceleratione/assets/css/style.css?ver=1769123801</v>
      </c>
      <c r="F2970" s="1" t="s">
        <v>1016</v>
      </c>
      <c r="G2970" s="1">
        <v>200.0</v>
      </c>
      <c r="H2970" s="1" t="s">
        <v>966</v>
      </c>
      <c r="I2970" s="1" t="s">
        <v>967</v>
      </c>
      <c r="L2970" s="1">
        <v>0.0</v>
      </c>
      <c r="M2970" s="1">
        <v>0.0</v>
      </c>
      <c r="O2970" s="1">
        <v>0.0</v>
      </c>
      <c r="P2970" s="1">
        <v>0.0</v>
      </c>
      <c r="R2970" s="1">
        <v>0.0</v>
      </c>
      <c r="S2970" s="1">
        <v>0.0</v>
      </c>
      <c r="U2970" s="1">
        <v>0.0</v>
      </c>
      <c r="W2970" s="1">
        <v>0.0</v>
      </c>
      <c r="Y2970" s="1">
        <v>0.0</v>
      </c>
      <c r="AA2970" s="1">
        <v>0.0</v>
      </c>
      <c r="AC2970" s="1">
        <v>0.0</v>
      </c>
      <c r="AM2970" s="1">
        <v>17704.0</v>
      </c>
      <c r="AN2970" s="1">
        <v>17704.0</v>
      </c>
      <c r="AO2970" s="1">
        <v>17704.0</v>
      </c>
      <c r="AP2970" s="1">
        <v>6.782</v>
      </c>
      <c r="AR2970" s="1">
        <v>0.0</v>
      </c>
      <c r="AW2970" s="1">
        <v>0.0</v>
      </c>
      <c r="AX2970" s="1">
        <v>7.0</v>
      </c>
      <c r="AY2970" s="1">
        <v>5.0</v>
      </c>
      <c r="BA2970" s="1">
        <v>0.0</v>
      </c>
      <c r="BB2970" s="1">
        <v>0.0</v>
      </c>
      <c r="BC2970" s="1">
        <v>0.0</v>
      </c>
      <c r="BD2970" s="1">
        <v>0.0</v>
      </c>
      <c r="BE2970" s="1">
        <v>0.0</v>
      </c>
      <c r="BF2970" s="1">
        <v>0.0</v>
      </c>
      <c r="BG2970" s="1">
        <v>0.0</v>
      </c>
      <c r="BH2970" s="1">
        <v>0.0</v>
      </c>
      <c r="BI2970" s="1">
        <v>0.0</v>
      </c>
      <c r="BJ2970" s="1">
        <v>0.0</v>
      </c>
      <c r="BP2970" s="1">
        <v>0.273</v>
      </c>
      <c r="BQ2970" s="1" t="s">
        <v>8982</v>
      </c>
      <c r="BV2970" s="1">
        <v>1.1</v>
      </c>
      <c r="EQ2970" s="9" t="s">
        <v>8981</v>
      </c>
      <c r="ER2970" s="21">
        <v>46045.30375</v>
      </c>
    </row>
    <row r="2971">
      <c r="A2971" s="9" t="s">
        <v>8983</v>
      </c>
      <c r="B2971" s="20" t="str">
        <f>IFERROR(__xludf.DUMMYFUNCTION("REGEXREPLACE(A2971, ""^https?://[^/]+"", """")"),"/wp-content/uploads/2017/07/meat-2378342_640.jpg")</f>
        <v>/wp-content/uploads/2017/07/meat-2378342_640.jpg</v>
      </c>
      <c r="F2971" s="1" t="s">
        <v>1004</v>
      </c>
      <c r="G2971" s="1">
        <v>200.0</v>
      </c>
      <c r="H2971" s="1" t="s">
        <v>966</v>
      </c>
      <c r="I2971" s="1" t="s">
        <v>967</v>
      </c>
      <c r="L2971" s="1">
        <v>0.0</v>
      </c>
      <c r="M2971" s="1">
        <v>0.0</v>
      </c>
      <c r="O2971" s="1">
        <v>0.0</v>
      </c>
      <c r="P2971" s="1">
        <v>0.0</v>
      </c>
      <c r="R2971" s="1">
        <v>0.0</v>
      </c>
      <c r="S2971" s="1">
        <v>0.0</v>
      </c>
      <c r="U2971" s="1">
        <v>0.0</v>
      </c>
      <c r="W2971" s="1">
        <v>0.0</v>
      </c>
      <c r="Y2971" s="1">
        <v>0.0</v>
      </c>
      <c r="AA2971" s="1">
        <v>0.0</v>
      </c>
      <c r="AC2971" s="1">
        <v>0.0</v>
      </c>
      <c r="AM2971" s="1">
        <v>81897.0</v>
      </c>
      <c r="AN2971" s="1">
        <v>81897.0</v>
      </c>
      <c r="AO2971" s="1">
        <v>81897.0</v>
      </c>
      <c r="AP2971" s="1">
        <v>31.373</v>
      </c>
      <c r="AR2971" s="1">
        <v>0.0</v>
      </c>
      <c r="AW2971" s="1">
        <v>0.0</v>
      </c>
      <c r="AX2971" s="1">
        <v>7.0</v>
      </c>
      <c r="AY2971" s="1">
        <v>4.0</v>
      </c>
      <c r="BA2971" s="1">
        <v>0.0</v>
      </c>
      <c r="BB2971" s="1">
        <v>0.0</v>
      </c>
      <c r="BC2971" s="1">
        <v>0.0</v>
      </c>
      <c r="BD2971" s="1">
        <v>0.0</v>
      </c>
      <c r="BE2971" s="1">
        <v>0.0</v>
      </c>
      <c r="BF2971" s="1">
        <v>0.0</v>
      </c>
      <c r="BG2971" s="1">
        <v>0.0</v>
      </c>
      <c r="BH2971" s="1">
        <v>0.0</v>
      </c>
      <c r="BI2971" s="1">
        <v>0.0</v>
      </c>
      <c r="BJ2971" s="1">
        <v>0.0</v>
      </c>
      <c r="BP2971" s="1">
        <v>0.269</v>
      </c>
      <c r="BQ2971" s="1" t="s">
        <v>8347</v>
      </c>
      <c r="BV2971" s="1">
        <v>1.1</v>
      </c>
      <c r="EQ2971" s="9" t="s">
        <v>8983</v>
      </c>
      <c r="ER2971" s="21">
        <v>46045.30375</v>
      </c>
    </row>
    <row r="2972">
      <c r="A2972" s="9" t="s">
        <v>8984</v>
      </c>
      <c r="B2972" s="20" t="str">
        <f>IFERROR(__xludf.DUMMYFUNCTION("REGEXREPLACE(A2972, ""^https?://[^/]+"", """")"),"/wp-content/uploads/2020/04/Climbing_the_ladder-scaled-1.jpg")</f>
        <v>/wp-content/uploads/2020/04/Climbing_the_ladder-scaled-1.jpg</v>
      </c>
      <c r="F2972" s="1" t="s">
        <v>1004</v>
      </c>
      <c r="G2972" s="1">
        <v>200.0</v>
      </c>
      <c r="H2972" s="1" t="s">
        <v>966</v>
      </c>
      <c r="I2972" s="1" t="s">
        <v>967</v>
      </c>
      <c r="L2972" s="1">
        <v>0.0</v>
      </c>
      <c r="M2972" s="1">
        <v>0.0</v>
      </c>
      <c r="O2972" s="1">
        <v>0.0</v>
      </c>
      <c r="P2972" s="1">
        <v>0.0</v>
      </c>
      <c r="R2972" s="1">
        <v>0.0</v>
      </c>
      <c r="S2972" s="1">
        <v>0.0</v>
      </c>
      <c r="U2972" s="1">
        <v>0.0</v>
      </c>
      <c r="W2972" s="1">
        <v>0.0</v>
      </c>
      <c r="Y2972" s="1">
        <v>0.0</v>
      </c>
      <c r="AA2972" s="1">
        <v>0.0</v>
      </c>
      <c r="AC2972" s="1">
        <v>0.0</v>
      </c>
      <c r="AM2972" s="1">
        <v>222649.0</v>
      </c>
      <c r="AN2972" s="1">
        <v>222649.0</v>
      </c>
      <c r="AO2972" s="1">
        <v>222649.0</v>
      </c>
      <c r="AP2972" s="1">
        <v>85.293</v>
      </c>
      <c r="AR2972" s="1">
        <v>0.0</v>
      </c>
      <c r="AW2972" s="1">
        <v>0.0</v>
      </c>
      <c r="AX2972" s="1">
        <v>7.0</v>
      </c>
      <c r="AY2972" s="1">
        <v>4.0</v>
      </c>
      <c r="BA2972" s="1">
        <v>0.0</v>
      </c>
      <c r="BB2972" s="1">
        <v>0.0</v>
      </c>
      <c r="BC2972" s="1">
        <v>0.0</v>
      </c>
      <c r="BD2972" s="1">
        <v>0.0</v>
      </c>
      <c r="BE2972" s="1">
        <v>0.0</v>
      </c>
      <c r="BF2972" s="1">
        <v>0.0</v>
      </c>
      <c r="BG2972" s="1">
        <v>0.0</v>
      </c>
      <c r="BH2972" s="1">
        <v>0.0</v>
      </c>
      <c r="BI2972" s="1">
        <v>0.0</v>
      </c>
      <c r="BJ2972" s="1">
        <v>0.0</v>
      </c>
      <c r="BP2972" s="1">
        <v>0.265</v>
      </c>
      <c r="BQ2972" s="1" t="s">
        <v>8985</v>
      </c>
      <c r="BV2972" s="1">
        <v>1.1</v>
      </c>
      <c r="EQ2972" s="9" t="s">
        <v>8984</v>
      </c>
      <c r="ER2972" s="21">
        <v>46045.30375</v>
      </c>
    </row>
    <row r="2973">
      <c r="A2973" s="9" t="s">
        <v>8986</v>
      </c>
      <c r="B2973" s="20" t="str">
        <f>IFERROR(__xludf.DUMMYFUNCTION("REGEXREPLACE(A2973, ""^https?://[^/]+"", """")"),"/wp-content/uploads/2017/11/newnew-1.jpg")</f>
        <v>/wp-content/uploads/2017/11/newnew-1.jpg</v>
      </c>
      <c r="F2973" s="1" t="s">
        <v>1004</v>
      </c>
      <c r="G2973" s="1">
        <v>200.0</v>
      </c>
      <c r="H2973" s="1" t="s">
        <v>966</v>
      </c>
      <c r="I2973" s="1" t="s">
        <v>967</v>
      </c>
      <c r="L2973" s="1">
        <v>0.0</v>
      </c>
      <c r="M2973" s="1">
        <v>0.0</v>
      </c>
      <c r="O2973" s="1">
        <v>0.0</v>
      </c>
      <c r="P2973" s="1">
        <v>0.0</v>
      </c>
      <c r="R2973" s="1">
        <v>0.0</v>
      </c>
      <c r="S2973" s="1">
        <v>0.0</v>
      </c>
      <c r="U2973" s="1">
        <v>0.0</v>
      </c>
      <c r="W2973" s="1">
        <v>0.0</v>
      </c>
      <c r="Y2973" s="1">
        <v>0.0</v>
      </c>
      <c r="AA2973" s="1">
        <v>0.0</v>
      </c>
      <c r="AC2973" s="1">
        <v>0.0</v>
      </c>
      <c r="AM2973" s="1">
        <v>31032.0</v>
      </c>
      <c r="AN2973" s="1">
        <v>31032.0</v>
      </c>
      <c r="AO2973" s="1">
        <v>31032.0</v>
      </c>
      <c r="AP2973" s="1">
        <v>11.888</v>
      </c>
      <c r="AR2973" s="1">
        <v>0.0</v>
      </c>
      <c r="AW2973" s="1">
        <v>0.0</v>
      </c>
      <c r="AX2973" s="1">
        <v>7.0</v>
      </c>
      <c r="AY2973" s="1">
        <v>4.0</v>
      </c>
      <c r="BA2973" s="1">
        <v>0.0</v>
      </c>
      <c r="BB2973" s="1">
        <v>0.0</v>
      </c>
      <c r="BC2973" s="1">
        <v>0.0</v>
      </c>
      <c r="BD2973" s="1">
        <v>0.0</v>
      </c>
      <c r="BE2973" s="1">
        <v>0.0</v>
      </c>
      <c r="BF2973" s="1">
        <v>0.0</v>
      </c>
      <c r="BG2973" s="1">
        <v>0.0</v>
      </c>
      <c r="BH2973" s="1">
        <v>0.0</v>
      </c>
      <c r="BI2973" s="1">
        <v>0.0</v>
      </c>
      <c r="BJ2973" s="1">
        <v>0.0</v>
      </c>
      <c r="BP2973" s="1">
        <v>0.269</v>
      </c>
      <c r="BQ2973" s="1" t="s">
        <v>8336</v>
      </c>
      <c r="BV2973" s="1">
        <v>1.1</v>
      </c>
      <c r="EQ2973" s="9" t="s">
        <v>8986</v>
      </c>
      <c r="ER2973" s="21">
        <v>46045.30375</v>
      </c>
    </row>
    <row r="2974">
      <c r="A2974" s="9" t="s">
        <v>8987</v>
      </c>
      <c r="B2974" s="20" t="str">
        <f>IFERROR(__xludf.DUMMYFUNCTION("REGEXREPLACE(A2974, ""^https?://[^/]+"", """")"),"/wp-content/themes/salesxceleratione/assets/css/style.css?ver=1769123800")</f>
        <v>/wp-content/themes/salesxceleratione/assets/css/style.css?ver=1769123800</v>
      </c>
      <c r="F2974" s="1" t="s">
        <v>1016</v>
      </c>
      <c r="G2974" s="1">
        <v>200.0</v>
      </c>
      <c r="H2974" s="1" t="s">
        <v>966</v>
      </c>
      <c r="I2974" s="1" t="s">
        <v>967</v>
      </c>
      <c r="L2974" s="1">
        <v>0.0</v>
      </c>
      <c r="M2974" s="1">
        <v>0.0</v>
      </c>
      <c r="O2974" s="1">
        <v>0.0</v>
      </c>
      <c r="P2974" s="1">
        <v>0.0</v>
      </c>
      <c r="R2974" s="1">
        <v>0.0</v>
      </c>
      <c r="S2974" s="1">
        <v>0.0</v>
      </c>
      <c r="U2974" s="1">
        <v>0.0</v>
      </c>
      <c r="W2974" s="1">
        <v>0.0</v>
      </c>
      <c r="Y2974" s="1">
        <v>0.0</v>
      </c>
      <c r="AA2974" s="1">
        <v>0.0</v>
      </c>
      <c r="AC2974" s="1">
        <v>0.0</v>
      </c>
      <c r="AM2974" s="1">
        <v>17704.0</v>
      </c>
      <c r="AN2974" s="1">
        <v>17704.0</v>
      </c>
      <c r="AO2974" s="1">
        <v>17704.0</v>
      </c>
      <c r="AP2974" s="1">
        <v>6.782</v>
      </c>
      <c r="AR2974" s="1">
        <v>0.0</v>
      </c>
      <c r="AW2974" s="1">
        <v>0.0</v>
      </c>
      <c r="AX2974" s="1">
        <v>7.0</v>
      </c>
      <c r="AY2974" s="1">
        <v>5.0</v>
      </c>
      <c r="BA2974" s="1">
        <v>0.0</v>
      </c>
      <c r="BB2974" s="1">
        <v>0.0</v>
      </c>
      <c r="BC2974" s="1">
        <v>0.0</v>
      </c>
      <c r="BD2974" s="1">
        <v>0.0</v>
      </c>
      <c r="BE2974" s="1">
        <v>0.0</v>
      </c>
      <c r="BF2974" s="1">
        <v>0.0</v>
      </c>
      <c r="BG2974" s="1">
        <v>0.0</v>
      </c>
      <c r="BH2974" s="1">
        <v>0.0</v>
      </c>
      <c r="BI2974" s="1">
        <v>0.0</v>
      </c>
      <c r="BJ2974" s="1">
        <v>0.0</v>
      </c>
      <c r="BP2974" s="1">
        <v>0.268</v>
      </c>
      <c r="BQ2974" s="1" t="s">
        <v>8353</v>
      </c>
      <c r="BV2974" s="1">
        <v>1.1</v>
      </c>
      <c r="EQ2974" s="9" t="s">
        <v>8987</v>
      </c>
      <c r="ER2974" s="21">
        <v>46045.30375</v>
      </c>
    </row>
    <row r="2975">
      <c r="A2975" s="9" t="s">
        <v>8988</v>
      </c>
      <c r="B2975" s="20" t="str">
        <f>IFERROR(__xludf.DUMMYFUNCTION("REGEXREPLACE(A2975, ""^https?://[^/]+"", """")"),"/wp-content/uploads/2022/02/Business-Executive-on-Manufaturing-Floor.jpg")</f>
        <v>/wp-content/uploads/2022/02/Business-Executive-on-Manufaturing-Floor.jpg</v>
      </c>
      <c r="F2975" s="1" t="s">
        <v>1004</v>
      </c>
      <c r="G2975" s="1">
        <v>200.0</v>
      </c>
      <c r="H2975" s="1" t="s">
        <v>966</v>
      </c>
      <c r="I2975" s="1" t="s">
        <v>967</v>
      </c>
      <c r="L2975" s="1">
        <v>0.0</v>
      </c>
      <c r="M2975" s="1">
        <v>0.0</v>
      </c>
      <c r="O2975" s="1">
        <v>0.0</v>
      </c>
      <c r="P2975" s="1">
        <v>0.0</v>
      </c>
      <c r="R2975" s="1">
        <v>0.0</v>
      </c>
      <c r="S2975" s="1">
        <v>0.0</v>
      </c>
      <c r="U2975" s="1">
        <v>0.0</v>
      </c>
      <c r="W2975" s="1">
        <v>0.0</v>
      </c>
      <c r="Y2975" s="1">
        <v>0.0</v>
      </c>
      <c r="AA2975" s="1">
        <v>0.0</v>
      </c>
      <c r="AC2975" s="1">
        <v>0.0</v>
      </c>
      <c r="AM2975" s="1">
        <v>236960.0</v>
      </c>
      <c r="AN2975" s="1">
        <v>236960.0</v>
      </c>
      <c r="AO2975" s="1">
        <v>236960.0</v>
      </c>
      <c r="AP2975" s="1">
        <v>90.775</v>
      </c>
      <c r="AR2975" s="1">
        <v>0.0</v>
      </c>
      <c r="AW2975" s="1">
        <v>0.0</v>
      </c>
      <c r="AX2975" s="1">
        <v>7.0</v>
      </c>
      <c r="AY2975" s="1">
        <v>4.0</v>
      </c>
      <c r="BA2975" s="1">
        <v>0.0</v>
      </c>
      <c r="BB2975" s="1">
        <v>0.0</v>
      </c>
      <c r="BC2975" s="1">
        <v>0.0</v>
      </c>
      <c r="BD2975" s="1">
        <v>0.0</v>
      </c>
      <c r="BE2975" s="1">
        <v>0.0</v>
      </c>
      <c r="BF2975" s="1">
        <v>0.0</v>
      </c>
      <c r="BG2975" s="1">
        <v>0.0</v>
      </c>
      <c r="BH2975" s="1">
        <v>0.0</v>
      </c>
      <c r="BI2975" s="1">
        <v>0.0</v>
      </c>
      <c r="BJ2975" s="1">
        <v>0.0</v>
      </c>
      <c r="BP2975" s="1">
        <v>0.26</v>
      </c>
      <c r="BQ2975" s="1" t="s">
        <v>8302</v>
      </c>
      <c r="BV2975" s="1">
        <v>1.1</v>
      </c>
      <c r="EQ2975" s="9" t="s">
        <v>8988</v>
      </c>
      <c r="ER2975" s="21">
        <v>46045.30375</v>
      </c>
    </row>
    <row r="2976">
      <c r="A2976" s="9" t="s">
        <v>8989</v>
      </c>
      <c r="B2976" s="20" t="str">
        <f>IFERROR(__xludf.DUMMYFUNCTION("REGEXREPLACE(A2976, ""^https?://[^/]+"", """")"),"/wp-content/uploads/2016/03/chocolate-cake-300x123.jpg")</f>
        <v>/wp-content/uploads/2016/03/chocolate-cake-300x123.jpg</v>
      </c>
      <c r="F2976" s="1" t="s">
        <v>1004</v>
      </c>
      <c r="G2976" s="1">
        <v>200.0</v>
      </c>
      <c r="H2976" s="1" t="s">
        <v>966</v>
      </c>
      <c r="I2976" s="1" t="s">
        <v>967</v>
      </c>
      <c r="L2976" s="1">
        <v>0.0</v>
      </c>
      <c r="M2976" s="1">
        <v>0.0</v>
      </c>
      <c r="O2976" s="1">
        <v>0.0</v>
      </c>
      <c r="P2976" s="1">
        <v>0.0</v>
      </c>
      <c r="R2976" s="1">
        <v>0.0</v>
      </c>
      <c r="S2976" s="1">
        <v>0.0</v>
      </c>
      <c r="U2976" s="1">
        <v>0.0</v>
      </c>
      <c r="W2976" s="1">
        <v>0.0</v>
      </c>
      <c r="Y2976" s="1">
        <v>0.0</v>
      </c>
      <c r="AA2976" s="1">
        <v>0.0</v>
      </c>
      <c r="AC2976" s="1">
        <v>0.0</v>
      </c>
      <c r="AM2976" s="1">
        <v>7848.0</v>
      </c>
      <c r="AN2976" s="1">
        <v>7848.0</v>
      </c>
      <c r="AO2976" s="1">
        <v>7848.0</v>
      </c>
      <c r="AP2976" s="1">
        <v>3.006</v>
      </c>
      <c r="AR2976" s="1">
        <v>0.0</v>
      </c>
      <c r="AW2976" s="1">
        <v>0.0</v>
      </c>
      <c r="AX2976" s="1">
        <v>7.0</v>
      </c>
      <c r="AY2976" s="1">
        <v>4.0</v>
      </c>
      <c r="BA2976" s="1">
        <v>0.0</v>
      </c>
      <c r="BB2976" s="1">
        <v>0.0</v>
      </c>
      <c r="BC2976" s="1">
        <v>0.0</v>
      </c>
      <c r="BD2976" s="1">
        <v>0.0</v>
      </c>
      <c r="BE2976" s="1">
        <v>0.0</v>
      </c>
      <c r="BF2976" s="1">
        <v>0.0</v>
      </c>
      <c r="BG2976" s="1">
        <v>0.0</v>
      </c>
      <c r="BH2976" s="1">
        <v>0.0</v>
      </c>
      <c r="BI2976" s="1">
        <v>0.0</v>
      </c>
      <c r="BJ2976" s="1">
        <v>0.0</v>
      </c>
      <c r="BP2976" s="1">
        <v>0.274</v>
      </c>
      <c r="BQ2976" s="1" t="s">
        <v>8990</v>
      </c>
      <c r="BV2976" s="1">
        <v>1.1</v>
      </c>
      <c r="EQ2976" s="9" t="s">
        <v>8989</v>
      </c>
      <c r="ER2976" s="21">
        <v>46045.303761574076</v>
      </c>
    </row>
    <row r="2977">
      <c r="A2977" s="9" t="s">
        <v>8991</v>
      </c>
      <c r="B2977" s="20" t="str">
        <f>IFERROR(__xludf.DUMMYFUNCTION("REGEXREPLACE(A2977, ""^https?://[^/]+"", """")"),"/wp-content/themes/salesxceleratione/assets/css/style.css?ver=1769123799")</f>
        <v>/wp-content/themes/salesxceleratione/assets/css/style.css?ver=1769123799</v>
      </c>
      <c r="F2977" s="1" t="s">
        <v>1016</v>
      </c>
      <c r="G2977" s="1">
        <v>200.0</v>
      </c>
      <c r="H2977" s="1" t="s">
        <v>966</v>
      </c>
      <c r="I2977" s="1" t="s">
        <v>967</v>
      </c>
      <c r="L2977" s="1">
        <v>0.0</v>
      </c>
      <c r="M2977" s="1">
        <v>0.0</v>
      </c>
      <c r="O2977" s="1">
        <v>0.0</v>
      </c>
      <c r="P2977" s="1">
        <v>0.0</v>
      </c>
      <c r="R2977" s="1">
        <v>0.0</v>
      </c>
      <c r="S2977" s="1">
        <v>0.0</v>
      </c>
      <c r="U2977" s="1">
        <v>0.0</v>
      </c>
      <c r="W2977" s="1">
        <v>0.0</v>
      </c>
      <c r="Y2977" s="1">
        <v>0.0</v>
      </c>
      <c r="AA2977" s="1">
        <v>0.0</v>
      </c>
      <c r="AC2977" s="1">
        <v>0.0</v>
      </c>
      <c r="AM2977" s="1">
        <v>17704.0</v>
      </c>
      <c r="AN2977" s="1">
        <v>17704.0</v>
      </c>
      <c r="AO2977" s="1">
        <v>17704.0</v>
      </c>
      <c r="AP2977" s="1">
        <v>6.782</v>
      </c>
      <c r="AR2977" s="1">
        <v>0.0</v>
      </c>
      <c r="AW2977" s="1">
        <v>0.0</v>
      </c>
      <c r="AX2977" s="1">
        <v>7.0</v>
      </c>
      <c r="AY2977" s="1">
        <v>5.0</v>
      </c>
      <c r="BA2977" s="1">
        <v>0.0</v>
      </c>
      <c r="BB2977" s="1">
        <v>0.0</v>
      </c>
      <c r="BC2977" s="1">
        <v>0.0</v>
      </c>
      <c r="BD2977" s="1">
        <v>0.0</v>
      </c>
      <c r="BE2977" s="1">
        <v>0.0</v>
      </c>
      <c r="BF2977" s="1">
        <v>0.0</v>
      </c>
      <c r="BG2977" s="1">
        <v>0.0</v>
      </c>
      <c r="BH2977" s="1">
        <v>0.0</v>
      </c>
      <c r="BI2977" s="1">
        <v>0.0</v>
      </c>
      <c r="BJ2977" s="1">
        <v>0.0</v>
      </c>
      <c r="BP2977" s="1">
        <v>0.28</v>
      </c>
      <c r="BQ2977" s="1" t="s">
        <v>8992</v>
      </c>
      <c r="BV2977" s="1">
        <v>1.1</v>
      </c>
      <c r="EQ2977" s="9" t="s">
        <v>8991</v>
      </c>
      <c r="ER2977" s="21">
        <v>46045.303761574076</v>
      </c>
    </row>
    <row r="2978">
      <c r="A2978" s="9" t="s">
        <v>8993</v>
      </c>
      <c r="B2978" s="20" t="str">
        <f>IFERROR(__xludf.DUMMYFUNCTION("REGEXREPLACE(A2978, ""^https?://[^/]+"", """")"),"/wp-content/uploads/2022/05/Sales-Lifecycle.jpg")</f>
        <v>/wp-content/uploads/2022/05/Sales-Lifecycle.jpg</v>
      </c>
      <c r="F2978" s="1" t="s">
        <v>1004</v>
      </c>
      <c r="G2978" s="1">
        <v>200.0</v>
      </c>
      <c r="H2978" s="1" t="s">
        <v>966</v>
      </c>
      <c r="I2978" s="1" t="s">
        <v>967</v>
      </c>
      <c r="L2978" s="1">
        <v>0.0</v>
      </c>
      <c r="M2978" s="1">
        <v>0.0</v>
      </c>
      <c r="O2978" s="1">
        <v>0.0</v>
      </c>
      <c r="P2978" s="1">
        <v>0.0</v>
      </c>
      <c r="R2978" s="1">
        <v>0.0</v>
      </c>
      <c r="S2978" s="1">
        <v>0.0</v>
      </c>
      <c r="U2978" s="1">
        <v>0.0</v>
      </c>
      <c r="W2978" s="1">
        <v>0.0</v>
      </c>
      <c r="Y2978" s="1">
        <v>0.0</v>
      </c>
      <c r="AA2978" s="1">
        <v>0.0</v>
      </c>
      <c r="AC2978" s="1">
        <v>0.0</v>
      </c>
      <c r="AM2978" s="1">
        <v>219031.0</v>
      </c>
      <c r="AN2978" s="1">
        <v>219031.0</v>
      </c>
      <c r="AO2978" s="1">
        <v>219031.0</v>
      </c>
      <c r="AP2978" s="1">
        <v>83.907</v>
      </c>
      <c r="AR2978" s="1">
        <v>0.0</v>
      </c>
      <c r="AW2978" s="1">
        <v>0.0</v>
      </c>
      <c r="AX2978" s="1">
        <v>7.0</v>
      </c>
      <c r="AY2978" s="1">
        <v>4.0</v>
      </c>
      <c r="BA2978" s="1">
        <v>0.0</v>
      </c>
      <c r="BB2978" s="1">
        <v>0.0</v>
      </c>
      <c r="BC2978" s="1">
        <v>0.0</v>
      </c>
      <c r="BD2978" s="1">
        <v>0.0</v>
      </c>
      <c r="BE2978" s="1">
        <v>0.0</v>
      </c>
      <c r="BF2978" s="1">
        <v>0.0</v>
      </c>
      <c r="BG2978" s="1">
        <v>0.0</v>
      </c>
      <c r="BH2978" s="1">
        <v>0.0</v>
      </c>
      <c r="BI2978" s="1">
        <v>0.0</v>
      </c>
      <c r="BJ2978" s="1">
        <v>0.0</v>
      </c>
      <c r="BP2978" s="1">
        <v>0.271</v>
      </c>
      <c r="BQ2978" s="1" t="s">
        <v>8994</v>
      </c>
      <c r="BV2978" s="1">
        <v>1.1</v>
      </c>
      <c r="EQ2978" s="9" t="s">
        <v>8993</v>
      </c>
      <c r="ER2978" s="21">
        <v>46045.303761574076</v>
      </c>
    </row>
    <row r="2979">
      <c r="A2979" s="9" t="s">
        <v>8995</v>
      </c>
      <c r="B2979" s="20" t="str">
        <f>IFERROR(__xludf.DUMMYFUNCTION("REGEXREPLACE(A2979, ""^https?://[^/]+"", """")"),"/wp-content/uploads/2016/07/Find-the-Right-Lid.png")</f>
        <v>/wp-content/uploads/2016/07/Find-the-Right-Lid.png</v>
      </c>
      <c r="F2979" s="1" t="s">
        <v>1047</v>
      </c>
      <c r="G2979" s="1">
        <v>200.0</v>
      </c>
      <c r="H2979" s="1" t="s">
        <v>966</v>
      </c>
      <c r="I2979" s="1" t="s">
        <v>967</v>
      </c>
      <c r="L2979" s="1">
        <v>0.0</v>
      </c>
      <c r="M2979" s="1">
        <v>0.0</v>
      </c>
      <c r="O2979" s="1">
        <v>0.0</v>
      </c>
      <c r="P2979" s="1">
        <v>0.0</v>
      </c>
      <c r="R2979" s="1">
        <v>0.0</v>
      </c>
      <c r="S2979" s="1">
        <v>0.0</v>
      </c>
      <c r="U2979" s="1">
        <v>0.0</v>
      </c>
      <c r="W2979" s="1">
        <v>0.0</v>
      </c>
      <c r="Y2979" s="1">
        <v>0.0</v>
      </c>
      <c r="AA2979" s="1">
        <v>0.0</v>
      </c>
      <c r="AC2979" s="1">
        <v>0.0</v>
      </c>
      <c r="AM2979" s="1">
        <v>74580.0</v>
      </c>
      <c r="AN2979" s="1">
        <v>74580.0</v>
      </c>
      <c r="AO2979" s="1">
        <v>74580.0</v>
      </c>
      <c r="AP2979" s="1">
        <v>28.57</v>
      </c>
      <c r="AR2979" s="1">
        <v>0.0</v>
      </c>
      <c r="AW2979" s="1">
        <v>0.0</v>
      </c>
      <c r="AX2979" s="1">
        <v>7.0</v>
      </c>
      <c r="AY2979" s="1">
        <v>4.0</v>
      </c>
      <c r="BA2979" s="1">
        <v>0.0</v>
      </c>
      <c r="BB2979" s="1">
        <v>0.0</v>
      </c>
      <c r="BC2979" s="1">
        <v>0.0</v>
      </c>
      <c r="BD2979" s="1">
        <v>0.0</v>
      </c>
      <c r="BE2979" s="1">
        <v>0.0</v>
      </c>
      <c r="BF2979" s="1">
        <v>0.0</v>
      </c>
      <c r="BG2979" s="1">
        <v>0.0</v>
      </c>
      <c r="BH2979" s="1">
        <v>0.0</v>
      </c>
      <c r="BI2979" s="1">
        <v>0.0</v>
      </c>
      <c r="BJ2979" s="1">
        <v>0.0</v>
      </c>
      <c r="BP2979" s="1">
        <v>0.273</v>
      </c>
      <c r="BQ2979" s="1" t="s">
        <v>8996</v>
      </c>
      <c r="BV2979" s="1">
        <v>1.1</v>
      </c>
      <c r="EQ2979" s="9" t="s">
        <v>8995</v>
      </c>
      <c r="ER2979" s="21">
        <v>46045.303761574076</v>
      </c>
    </row>
    <row r="2980">
      <c r="A2980" s="9" t="s">
        <v>8997</v>
      </c>
      <c r="B2980" s="20" t="str">
        <f>IFERROR(__xludf.DUMMYFUNCTION("REGEXREPLACE(A2980, ""^https?://[^/]+"", """")"),"/wp-content/uploads/2018/08/Winning_Blog.jpg")</f>
        <v>/wp-content/uploads/2018/08/Winning_Blog.jpg</v>
      </c>
      <c r="F2980" s="1" t="s">
        <v>1004</v>
      </c>
      <c r="G2980" s="1">
        <v>200.0</v>
      </c>
      <c r="H2980" s="1" t="s">
        <v>966</v>
      </c>
      <c r="I2980" s="1" t="s">
        <v>967</v>
      </c>
      <c r="L2980" s="1">
        <v>0.0</v>
      </c>
      <c r="M2980" s="1">
        <v>0.0</v>
      </c>
      <c r="O2980" s="1">
        <v>0.0</v>
      </c>
      <c r="P2980" s="1">
        <v>0.0</v>
      </c>
      <c r="R2980" s="1">
        <v>0.0</v>
      </c>
      <c r="S2980" s="1">
        <v>0.0</v>
      </c>
      <c r="U2980" s="1">
        <v>0.0</v>
      </c>
      <c r="W2980" s="1">
        <v>0.0</v>
      </c>
      <c r="Y2980" s="1">
        <v>0.0</v>
      </c>
      <c r="AA2980" s="1">
        <v>0.0</v>
      </c>
      <c r="AC2980" s="1">
        <v>0.0</v>
      </c>
      <c r="AM2980" s="1">
        <v>28345.0</v>
      </c>
      <c r="AN2980" s="1">
        <v>28345.0</v>
      </c>
      <c r="AO2980" s="1">
        <v>28345.0</v>
      </c>
      <c r="AP2980" s="1">
        <v>10.858</v>
      </c>
      <c r="AR2980" s="1">
        <v>0.0</v>
      </c>
      <c r="AW2980" s="1">
        <v>0.0</v>
      </c>
      <c r="AX2980" s="1">
        <v>7.0</v>
      </c>
      <c r="AY2980" s="1">
        <v>4.0</v>
      </c>
      <c r="BA2980" s="1">
        <v>0.0</v>
      </c>
      <c r="BB2980" s="1">
        <v>0.0</v>
      </c>
      <c r="BC2980" s="1">
        <v>0.0</v>
      </c>
      <c r="BD2980" s="1">
        <v>0.0</v>
      </c>
      <c r="BE2980" s="1">
        <v>0.0</v>
      </c>
      <c r="BF2980" s="1">
        <v>0.0</v>
      </c>
      <c r="BG2980" s="1">
        <v>0.0</v>
      </c>
      <c r="BH2980" s="1">
        <v>0.0</v>
      </c>
      <c r="BI2980" s="1">
        <v>0.0</v>
      </c>
      <c r="BJ2980" s="1">
        <v>0.0</v>
      </c>
      <c r="BP2980" s="1">
        <v>1.278</v>
      </c>
      <c r="BQ2980" s="1" t="s">
        <v>8998</v>
      </c>
      <c r="BV2980" s="1">
        <v>1.1</v>
      </c>
      <c r="EQ2980" s="9" t="s">
        <v>8997</v>
      </c>
      <c r="ER2980" s="21">
        <v>46045.30375</v>
      </c>
    </row>
    <row r="2981">
      <c r="A2981" s="9" t="s">
        <v>8999</v>
      </c>
      <c r="B2981" s="20" t="str">
        <f>IFERROR(__xludf.DUMMYFUNCTION("REGEXREPLACE(A2981, ""^https?://[^/]+"", """")"),"/wp-content/themes/salesxceleratione/assets/css/style.css?ver=1769123798")</f>
        <v>/wp-content/themes/salesxceleratione/assets/css/style.css?ver=1769123798</v>
      </c>
      <c r="F2981" s="1" t="s">
        <v>1016</v>
      </c>
      <c r="G2981" s="1">
        <v>200.0</v>
      </c>
      <c r="H2981" s="1" t="s">
        <v>966</v>
      </c>
      <c r="I2981" s="1" t="s">
        <v>967</v>
      </c>
      <c r="L2981" s="1">
        <v>0.0</v>
      </c>
      <c r="M2981" s="1">
        <v>0.0</v>
      </c>
      <c r="O2981" s="1">
        <v>0.0</v>
      </c>
      <c r="P2981" s="1">
        <v>0.0</v>
      </c>
      <c r="R2981" s="1">
        <v>0.0</v>
      </c>
      <c r="S2981" s="1">
        <v>0.0</v>
      </c>
      <c r="U2981" s="1">
        <v>0.0</v>
      </c>
      <c r="W2981" s="1">
        <v>0.0</v>
      </c>
      <c r="Y2981" s="1">
        <v>0.0</v>
      </c>
      <c r="AA2981" s="1">
        <v>0.0</v>
      </c>
      <c r="AC2981" s="1">
        <v>0.0</v>
      </c>
      <c r="AM2981" s="1">
        <v>17704.0</v>
      </c>
      <c r="AN2981" s="1">
        <v>17704.0</v>
      </c>
      <c r="AO2981" s="1">
        <v>17704.0</v>
      </c>
      <c r="AP2981" s="1">
        <v>6.782</v>
      </c>
      <c r="AR2981" s="1">
        <v>0.0</v>
      </c>
      <c r="AW2981" s="1">
        <v>0.0</v>
      </c>
      <c r="AX2981" s="1">
        <v>7.0</v>
      </c>
      <c r="AY2981" s="1">
        <v>5.0</v>
      </c>
      <c r="BA2981" s="1">
        <v>0.0</v>
      </c>
      <c r="BB2981" s="1">
        <v>0.0</v>
      </c>
      <c r="BC2981" s="1">
        <v>0.0</v>
      </c>
      <c r="BD2981" s="1">
        <v>0.0</v>
      </c>
      <c r="BE2981" s="1">
        <v>0.0</v>
      </c>
      <c r="BF2981" s="1">
        <v>0.0</v>
      </c>
      <c r="BG2981" s="1">
        <v>0.0</v>
      </c>
      <c r="BH2981" s="1">
        <v>0.0</v>
      </c>
      <c r="BI2981" s="1">
        <v>0.0</v>
      </c>
      <c r="BJ2981" s="1">
        <v>0.0</v>
      </c>
      <c r="BP2981" s="1">
        <v>0.279</v>
      </c>
      <c r="BQ2981" s="1" t="s">
        <v>8992</v>
      </c>
      <c r="BV2981" s="1">
        <v>1.1</v>
      </c>
      <c r="EQ2981" s="9" t="s">
        <v>8999</v>
      </c>
      <c r="ER2981" s="21">
        <v>46045.303761574076</v>
      </c>
    </row>
    <row r="2982">
      <c r="A2982" s="9" t="s">
        <v>9000</v>
      </c>
      <c r="B2982" s="20" t="str">
        <f>IFERROR(__xludf.DUMMYFUNCTION("REGEXREPLACE(A2982, ""^https?://[^/]+"", """")"),"/wp-content/uploads/2017/08/mwblog.jpg")</f>
        <v>/wp-content/uploads/2017/08/mwblog.jpg</v>
      </c>
      <c r="F2982" s="1" t="s">
        <v>1004</v>
      </c>
      <c r="G2982" s="1">
        <v>200.0</v>
      </c>
      <c r="H2982" s="1" t="s">
        <v>966</v>
      </c>
      <c r="I2982" s="1" t="s">
        <v>967</v>
      </c>
      <c r="L2982" s="1">
        <v>0.0</v>
      </c>
      <c r="M2982" s="1">
        <v>0.0</v>
      </c>
      <c r="O2982" s="1">
        <v>0.0</v>
      </c>
      <c r="P2982" s="1">
        <v>0.0</v>
      </c>
      <c r="R2982" s="1">
        <v>0.0</v>
      </c>
      <c r="S2982" s="1">
        <v>0.0</v>
      </c>
      <c r="U2982" s="1">
        <v>0.0</v>
      </c>
      <c r="W2982" s="1">
        <v>0.0</v>
      </c>
      <c r="Y2982" s="1">
        <v>0.0</v>
      </c>
      <c r="AA2982" s="1">
        <v>0.0</v>
      </c>
      <c r="AC2982" s="1">
        <v>0.0</v>
      </c>
      <c r="AM2982" s="1">
        <v>34387.0</v>
      </c>
      <c r="AN2982" s="1">
        <v>34387.0</v>
      </c>
      <c r="AO2982" s="1">
        <v>34387.0</v>
      </c>
      <c r="AP2982" s="1">
        <v>13.173</v>
      </c>
      <c r="AR2982" s="1">
        <v>0.0</v>
      </c>
      <c r="AW2982" s="1">
        <v>0.0</v>
      </c>
      <c r="AX2982" s="1">
        <v>7.0</v>
      </c>
      <c r="AY2982" s="1">
        <v>4.0</v>
      </c>
      <c r="BA2982" s="1">
        <v>0.0</v>
      </c>
      <c r="BB2982" s="1">
        <v>0.0</v>
      </c>
      <c r="BC2982" s="1">
        <v>0.0</v>
      </c>
      <c r="BD2982" s="1">
        <v>0.0</v>
      </c>
      <c r="BE2982" s="1">
        <v>0.0</v>
      </c>
      <c r="BF2982" s="1">
        <v>0.0</v>
      </c>
      <c r="BG2982" s="1">
        <v>0.0</v>
      </c>
      <c r="BH2982" s="1">
        <v>0.0</v>
      </c>
      <c r="BI2982" s="1">
        <v>0.0</v>
      </c>
      <c r="BJ2982" s="1">
        <v>0.0</v>
      </c>
      <c r="BP2982" s="1">
        <v>0.268</v>
      </c>
      <c r="BQ2982" s="1" t="s">
        <v>9001</v>
      </c>
      <c r="BV2982" s="1">
        <v>1.1</v>
      </c>
      <c r="EQ2982" s="9" t="s">
        <v>9000</v>
      </c>
      <c r="ER2982" s="21">
        <v>46045.303761574076</v>
      </c>
    </row>
    <row r="2983">
      <c r="A2983" s="9" t="s">
        <v>9002</v>
      </c>
      <c r="B2983" s="20" t="str">
        <f>IFERROR(__xludf.DUMMYFUNCTION("REGEXREPLACE(A2983, ""^https?://[^/]+"", """")"),"/wp-content/uploads/2016/10/Screen-Shot-2016-10-12-at-2.11.04-PM.png")</f>
        <v>/wp-content/uploads/2016/10/Screen-Shot-2016-10-12-at-2.11.04-PM.png</v>
      </c>
      <c r="F2983" s="1" t="s">
        <v>1047</v>
      </c>
      <c r="G2983" s="1">
        <v>200.0</v>
      </c>
      <c r="H2983" s="1" t="s">
        <v>966</v>
      </c>
      <c r="I2983" s="1" t="s">
        <v>967</v>
      </c>
      <c r="L2983" s="1">
        <v>0.0</v>
      </c>
      <c r="M2983" s="1">
        <v>0.0</v>
      </c>
      <c r="O2983" s="1">
        <v>0.0</v>
      </c>
      <c r="P2983" s="1">
        <v>0.0</v>
      </c>
      <c r="R2983" s="1">
        <v>0.0</v>
      </c>
      <c r="S2983" s="1">
        <v>0.0</v>
      </c>
      <c r="U2983" s="1">
        <v>0.0</v>
      </c>
      <c r="W2983" s="1">
        <v>0.0</v>
      </c>
      <c r="Y2983" s="1">
        <v>0.0</v>
      </c>
      <c r="AA2983" s="1">
        <v>0.0</v>
      </c>
      <c r="AC2983" s="1">
        <v>0.0</v>
      </c>
      <c r="AM2983" s="1">
        <v>55853.0</v>
      </c>
      <c r="AN2983" s="1">
        <v>55853.0</v>
      </c>
      <c r="AO2983" s="1">
        <v>55853.0</v>
      </c>
      <c r="AP2983" s="1">
        <v>21.396</v>
      </c>
      <c r="AR2983" s="1">
        <v>0.0</v>
      </c>
      <c r="AW2983" s="1">
        <v>0.0</v>
      </c>
      <c r="AX2983" s="1">
        <v>7.0</v>
      </c>
      <c r="AY2983" s="1">
        <v>4.0</v>
      </c>
      <c r="BA2983" s="1">
        <v>0.0</v>
      </c>
      <c r="BB2983" s="1">
        <v>0.0</v>
      </c>
      <c r="BC2983" s="1">
        <v>0.0</v>
      </c>
      <c r="BD2983" s="1">
        <v>0.0</v>
      </c>
      <c r="BE2983" s="1">
        <v>0.0</v>
      </c>
      <c r="BF2983" s="1">
        <v>0.0</v>
      </c>
      <c r="BG2983" s="1">
        <v>0.0</v>
      </c>
      <c r="BH2983" s="1">
        <v>0.0</v>
      </c>
      <c r="BI2983" s="1">
        <v>0.0</v>
      </c>
      <c r="BJ2983" s="1">
        <v>0.0</v>
      </c>
      <c r="BP2983" s="1">
        <v>0.284</v>
      </c>
      <c r="BQ2983" s="1" t="s">
        <v>9003</v>
      </c>
      <c r="BV2983" s="1">
        <v>1.1</v>
      </c>
      <c r="EQ2983" s="9" t="s">
        <v>9002</v>
      </c>
      <c r="ER2983" s="21">
        <v>46045.303761574076</v>
      </c>
    </row>
    <row r="2984">
      <c r="A2984" s="9" t="s">
        <v>9004</v>
      </c>
      <c r="B2984" s="20" t="str">
        <f>IFERROR(__xludf.DUMMYFUNCTION("REGEXREPLACE(A2984, ""^https?://[^/]+"", """")"),"/sales-agility-assessment/?locationid=29383251")</f>
        <v>/sales-agility-assessment/?locationid=29383251</v>
      </c>
      <c r="C2984" s="1" t="s">
        <v>1381</v>
      </c>
      <c r="F2984" s="1" t="s">
        <v>965</v>
      </c>
      <c r="G2984" s="1">
        <v>200.0</v>
      </c>
      <c r="H2984" s="1" t="s">
        <v>966</v>
      </c>
      <c r="I2984" s="1" t="s">
        <v>1214</v>
      </c>
      <c r="J2984" s="1" t="s">
        <v>1215</v>
      </c>
      <c r="K2984" s="1" t="s">
        <v>1382</v>
      </c>
      <c r="L2984" s="1">
        <v>79.0</v>
      </c>
      <c r="M2984" s="1">
        <v>719.0</v>
      </c>
      <c r="O2984" s="1">
        <v>0.0</v>
      </c>
      <c r="P2984" s="1">
        <v>0.0</v>
      </c>
      <c r="Q2984" s="1" t="s">
        <v>1383</v>
      </c>
      <c r="R2984" s="1">
        <v>155.0</v>
      </c>
      <c r="S2984" s="1">
        <v>970.0</v>
      </c>
      <c r="U2984" s="1">
        <v>0.0</v>
      </c>
      <c r="V2984" s="1" t="s">
        <v>1381</v>
      </c>
      <c r="W2984" s="1">
        <v>31.0</v>
      </c>
      <c r="Y2984" s="1">
        <v>0.0</v>
      </c>
      <c r="AA2984" s="1">
        <v>0.0</v>
      </c>
      <c r="AC2984" s="1">
        <v>0.0</v>
      </c>
      <c r="AD2984" s="1" t="s">
        <v>971</v>
      </c>
      <c r="AG2984" s="9" t="s">
        <v>1380</v>
      </c>
      <c r="AM2984" s="1">
        <v>221355.0</v>
      </c>
      <c r="AN2984" s="1">
        <v>43060.0</v>
      </c>
      <c r="AO2984" s="1">
        <v>43060.0</v>
      </c>
      <c r="AP2984" s="1">
        <v>16.495</v>
      </c>
      <c r="AR2984" s="1">
        <v>1077.0</v>
      </c>
      <c r="AS2984" s="1">
        <v>195.0</v>
      </c>
      <c r="AT2984" s="1">
        <v>5.523</v>
      </c>
      <c r="AU2984" s="1">
        <v>72.247</v>
      </c>
      <c r="AV2984" s="1" t="s">
        <v>1264</v>
      </c>
      <c r="AW2984" s="1">
        <v>5.467</v>
      </c>
      <c r="AX2984" s="1">
        <v>7.0</v>
      </c>
      <c r="AY2984" s="1">
        <v>1.0</v>
      </c>
      <c r="BA2984" s="1">
        <v>2.0</v>
      </c>
      <c r="BB2984" s="1">
        <v>2.0</v>
      </c>
      <c r="BC2984" s="1">
        <v>0.0</v>
      </c>
      <c r="BD2984" s="1">
        <v>0.27</v>
      </c>
      <c r="BE2984" s="1">
        <v>121.0</v>
      </c>
      <c r="BF2984" s="1">
        <v>42.0</v>
      </c>
      <c r="BG2984" s="1">
        <v>0.0</v>
      </c>
      <c r="BH2984" s="1">
        <v>16.0</v>
      </c>
      <c r="BI2984" s="1">
        <v>8.0</v>
      </c>
      <c r="BJ2984" s="1">
        <v>0.0</v>
      </c>
      <c r="BO2984" s="1" t="s">
        <v>9005</v>
      </c>
      <c r="BP2984" s="1">
        <v>1.467</v>
      </c>
      <c r="BU2984" s="1" t="s">
        <v>974</v>
      </c>
      <c r="BV2984" s="1">
        <v>1.1</v>
      </c>
      <c r="EQ2984" s="9" t="s">
        <v>9004</v>
      </c>
      <c r="ER2984" s="21">
        <v>46045.30373842592</v>
      </c>
    </row>
    <row r="2985">
      <c r="A2985" s="9" t="s">
        <v>9006</v>
      </c>
      <c r="B2985" s="20" t="str">
        <f>IFERROR(__xludf.DUMMYFUNCTION("REGEXREPLACE(A2985, ""^https?://[^/]+"", """")"),"/wp-content/themes/salesxceleratione/assets/css/style.css?ver=1769123797")</f>
        <v>/wp-content/themes/salesxceleratione/assets/css/style.css?ver=1769123797</v>
      </c>
      <c r="F2985" s="1" t="s">
        <v>1016</v>
      </c>
      <c r="G2985" s="1">
        <v>200.0</v>
      </c>
      <c r="H2985" s="1" t="s">
        <v>966</v>
      </c>
      <c r="I2985" s="1" t="s">
        <v>967</v>
      </c>
      <c r="L2985" s="1">
        <v>0.0</v>
      </c>
      <c r="M2985" s="1">
        <v>0.0</v>
      </c>
      <c r="O2985" s="1">
        <v>0.0</v>
      </c>
      <c r="P2985" s="1">
        <v>0.0</v>
      </c>
      <c r="R2985" s="1">
        <v>0.0</v>
      </c>
      <c r="S2985" s="1">
        <v>0.0</v>
      </c>
      <c r="U2985" s="1">
        <v>0.0</v>
      </c>
      <c r="W2985" s="1">
        <v>0.0</v>
      </c>
      <c r="Y2985" s="1">
        <v>0.0</v>
      </c>
      <c r="AA2985" s="1">
        <v>0.0</v>
      </c>
      <c r="AC2985" s="1">
        <v>0.0</v>
      </c>
      <c r="AM2985" s="1">
        <v>17704.0</v>
      </c>
      <c r="AN2985" s="1">
        <v>17704.0</v>
      </c>
      <c r="AO2985" s="1">
        <v>17704.0</v>
      </c>
      <c r="AP2985" s="1">
        <v>6.782</v>
      </c>
      <c r="AR2985" s="1">
        <v>0.0</v>
      </c>
      <c r="AW2985" s="1">
        <v>0.0</v>
      </c>
      <c r="AX2985" s="1">
        <v>7.0</v>
      </c>
      <c r="AY2985" s="1">
        <v>5.0</v>
      </c>
      <c r="BA2985" s="1">
        <v>0.0</v>
      </c>
      <c r="BB2985" s="1">
        <v>0.0</v>
      </c>
      <c r="BC2985" s="1">
        <v>0.0</v>
      </c>
      <c r="BD2985" s="1">
        <v>0.0</v>
      </c>
      <c r="BE2985" s="1">
        <v>0.0</v>
      </c>
      <c r="BF2985" s="1">
        <v>0.0</v>
      </c>
      <c r="BG2985" s="1">
        <v>0.0</v>
      </c>
      <c r="BH2985" s="1">
        <v>0.0</v>
      </c>
      <c r="BI2985" s="1">
        <v>0.0</v>
      </c>
      <c r="BJ2985" s="1">
        <v>0.0</v>
      </c>
      <c r="BP2985" s="1">
        <v>0.279</v>
      </c>
      <c r="BQ2985" s="1" t="s">
        <v>8992</v>
      </c>
      <c r="BV2985" s="1">
        <v>1.1</v>
      </c>
      <c r="EQ2985" s="9" t="s">
        <v>9006</v>
      </c>
      <c r="ER2985" s="21">
        <v>46045.303761574076</v>
      </c>
    </row>
    <row r="2986">
      <c r="A2986" s="9" t="s">
        <v>9007</v>
      </c>
      <c r="B2986" s="20" t="str">
        <f>IFERROR(__xludf.DUMMYFUNCTION("REGEXREPLACE(A2986, ""^https?://[^/]+"", """")"),"/wp-content/uploads/2017/07/Sales-Training.jpg")</f>
        <v>/wp-content/uploads/2017/07/Sales-Training.jpg</v>
      </c>
      <c r="F2986" s="1" t="s">
        <v>1004</v>
      </c>
      <c r="G2986" s="1">
        <v>200.0</v>
      </c>
      <c r="H2986" s="1" t="s">
        <v>966</v>
      </c>
      <c r="I2986" s="1" t="s">
        <v>967</v>
      </c>
      <c r="L2986" s="1">
        <v>0.0</v>
      </c>
      <c r="M2986" s="1">
        <v>0.0</v>
      </c>
      <c r="O2986" s="1">
        <v>0.0</v>
      </c>
      <c r="P2986" s="1">
        <v>0.0</v>
      </c>
      <c r="R2986" s="1">
        <v>0.0</v>
      </c>
      <c r="S2986" s="1">
        <v>0.0</v>
      </c>
      <c r="U2986" s="1">
        <v>0.0</v>
      </c>
      <c r="W2986" s="1">
        <v>0.0</v>
      </c>
      <c r="Y2986" s="1">
        <v>0.0</v>
      </c>
      <c r="AA2986" s="1">
        <v>0.0</v>
      </c>
      <c r="AC2986" s="1">
        <v>0.0</v>
      </c>
      <c r="AM2986" s="1">
        <v>40018.0</v>
      </c>
      <c r="AN2986" s="1">
        <v>40018.0</v>
      </c>
      <c r="AO2986" s="1">
        <v>40018.0</v>
      </c>
      <c r="AP2986" s="1">
        <v>15.33</v>
      </c>
      <c r="AR2986" s="1">
        <v>0.0</v>
      </c>
      <c r="AW2986" s="1">
        <v>0.0</v>
      </c>
      <c r="AX2986" s="1">
        <v>7.0</v>
      </c>
      <c r="AY2986" s="1">
        <v>4.0</v>
      </c>
      <c r="BA2986" s="1">
        <v>0.0</v>
      </c>
      <c r="BB2986" s="1">
        <v>0.0</v>
      </c>
      <c r="BC2986" s="1">
        <v>0.0</v>
      </c>
      <c r="BD2986" s="1">
        <v>0.0</v>
      </c>
      <c r="BE2986" s="1">
        <v>0.0</v>
      </c>
      <c r="BF2986" s="1">
        <v>0.0</v>
      </c>
      <c r="BG2986" s="1">
        <v>0.0</v>
      </c>
      <c r="BH2986" s="1">
        <v>0.0</v>
      </c>
      <c r="BI2986" s="1">
        <v>0.0</v>
      </c>
      <c r="BJ2986" s="1">
        <v>0.0</v>
      </c>
      <c r="BP2986" s="1">
        <v>0.27</v>
      </c>
      <c r="BQ2986" s="1" t="s">
        <v>8347</v>
      </c>
      <c r="BV2986" s="1">
        <v>1.1</v>
      </c>
      <c r="EQ2986" s="9" t="s">
        <v>9007</v>
      </c>
      <c r="ER2986" s="21">
        <v>46045.303761574076</v>
      </c>
    </row>
    <row r="2987">
      <c r="A2987" s="9" t="s">
        <v>9008</v>
      </c>
      <c r="B2987" s="20" t="str">
        <f>IFERROR(__xludf.DUMMYFUNCTION("REGEXREPLACE(A2987, ""^https?://[^/]+"", """")"),"/wp-content/uploads/2016/08/Talent-vs-talented.png")</f>
        <v>/wp-content/uploads/2016/08/Talent-vs-talented.png</v>
      </c>
      <c r="F2987" s="1" t="s">
        <v>1047</v>
      </c>
      <c r="G2987" s="1">
        <v>200.0</v>
      </c>
      <c r="H2987" s="1" t="s">
        <v>966</v>
      </c>
      <c r="I2987" s="1" t="s">
        <v>967</v>
      </c>
      <c r="L2987" s="1">
        <v>0.0</v>
      </c>
      <c r="M2987" s="1">
        <v>0.0</v>
      </c>
      <c r="O2987" s="1">
        <v>0.0</v>
      </c>
      <c r="P2987" s="1">
        <v>0.0</v>
      </c>
      <c r="R2987" s="1">
        <v>0.0</v>
      </c>
      <c r="S2987" s="1">
        <v>0.0</v>
      </c>
      <c r="U2987" s="1">
        <v>0.0</v>
      </c>
      <c r="W2987" s="1">
        <v>0.0</v>
      </c>
      <c r="Y2987" s="1">
        <v>0.0</v>
      </c>
      <c r="AA2987" s="1">
        <v>0.0</v>
      </c>
      <c r="AC2987" s="1">
        <v>0.0</v>
      </c>
      <c r="AM2987" s="1">
        <v>38730.0</v>
      </c>
      <c r="AN2987" s="1">
        <v>38730.0</v>
      </c>
      <c r="AO2987" s="1">
        <v>38730.0</v>
      </c>
      <c r="AP2987" s="1">
        <v>14.837</v>
      </c>
      <c r="AR2987" s="1">
        <v>0.0</v>
      </c>
      <c r="AW2987" s="1">
        <v>0.0</v>
      </c>
      <c r="AX2987" s="1">
        <v>7.0</v>
      </c>
      <c r="AY2987" s="1">
        <v>4.0</v>
      </c>
      <c r="BA2987" s="1">
        <v>0.0</v>
      </c>
      <c r="BB2987" s="1">
        <v>0.0</v>
      </c>
      <c r="BC2987" s="1">
        <v>0.0</v>
      </c>
      <c r="BD2987" s="1">
        <v>0.0</v>
      </c>
      <c r="BE2987" s="1">
        <v>0.0</v>
      </c>
      <c r="BF2987" s="1">
        <v>0.0</v>
      </c>
      <c r="BG2987" s="1">
        <v>0.0</v>
      </c>
      <c r="BH2987" s="1">
        <v>0.0</v>
      </c>
      <c r="BI2987" s="1">
        <v>0.0</v>
      </c>
      <c r="BJ2987" s="1">
        <v>0.0</v>
      </c>
      <c r="BP2987" s="1">
        <v>0.27</v>
      </c>
      <c r="BQ2987" s="1" t="s">
        <v>9009</v>
      </c>
      <c r="BV2987" s="1">
        <v>1.1</v>
      </c>
      <c r="EQ2987" s="9" t="s">
        <v>9008</v>
      </c>
      <c r="ER2987" s="21">
        <v>46045.303761574076</v>
      </c>
    </row>
    <row r="2988">
      <c r="A2988" s="9" t="s">
        <v>9010</v>
      </c>
      <c r="B2988" s="20" t="str">
        <f>IFERROR(__xludf.DUMMYFUNCTION("REGEXREPLACE(A2988, ""^https?://[^/]+"", """")"),"/wp-content/uploads/2017/02/Tall-Businessman-Featured.jpg")</f>
        <v>/wp-content/uploads/2017/02/Tall-Businessman-Featured.jpg</v>
      </c>
      <c r="F2988" s="1" t="s">
        <v>1004</v>
      </c>
      <c r="G2988" s="1">
        <v>200.0</v>
      </c>
      <c r="H2988" s="1" t="s">
        <v>966</v>
      </c>
      <c r="I2988" s="1" t="s">
        <v>967</v>
      </c>
      <c r="L2988" s="1">
        <v>0.0</v>
      </c>
      <c r="M2988" s="1">
        <v>0.0</v>
      </c>
      <c r="O2988" s="1">
        <v>0.0</v>
      </c>
      <c r="P2988" s="1">
        <v>0.0</v>
      </c>
      <c r="R2988" s="1">
        <v>0.0</v>
      </c>
      <c r="S2988" s="1">
        <v>0.0</v>
      </c>
      <c r="U2988" s="1">
        <v>0.0</v>
      </c>
      <c r="W2988" s="1">
        <v>0.0</v>
      </c>
      <c r="Y2988" s="1">
        <v>0.0</v>
      </c>
      <c r="AA2988" s="1">
        <v>0.0</v>
      </c>
      <c r="AC2988" s="1">
        <v>0.0</v>
      </c>
      <c r="AM2988" s="1">
        <v>71006.0</v>
      </c>
      <c r="AN2988" s="1">
        <v>71006.0</v>
      </c>
      <c r="AO2988" s="1">
        <v>71006.0</v>
      </c>
      <c r="AP2988" s="1">
        <v>27.201</v>
      </c>
      <c r="AR2988" s="1">
        <v>0.0</v>
      </c>
      <c r="AW2988" s="1">
        <v>0.0</v>
      </c>
      <c r="AX2988" s="1">
        <v>7.0</v>
      </c>
      <c r="AY2988" s="1">
        <v>4.0</v>
      </c>
      <c r="BA2988" s="1">
        <v>0.0</v>
      </c>
      <c r="BB2988" s="1">
        <v>0.0</v>
      </c>
      <c r="BC2988" s="1">
        <v>0.0</v>
      </c>
      <c r="BD2988" s="1">
        <v>0.0</v>
      </c>
      <c r="BE2988" s="1">
        <v>0.0</v>
      </c>
      <c r="BF2988" s="1">
        <v>0.0</v>
      </c>
      <c r="BG2988" s="1">
        <v>0.0</v>
      </c>
      <c r="BH2988" s="1">
        <v>0.0</v>
      </c>
      <c r="BI2988" s="1">
        <v>0.0</v>
      </c>
      <c r="BJ2988" s="1">
        <v>0.0</v>
      </c>
      <c r="BP2988" s="1">
        <v>0.279</v>
      </c>
      <c r="BQ2988" s="1" t="s">
        <v>9011</v>
      </c>
      <c r="BV2988" s="1">
        <v>1.1</v>
      </c>
      <c r="EQ2988" s="9" t="s">
        <v>9010</v>
      </c>
      <c r="ER2988" s="21">
        <v>46045.303761574076</v>
      </c>
    </row>
    <row r="2989">
      <c r="A2989" s="9" t="s">
        <v>9012</v>
      </c>
      <c r="B2989" s="20" t="str">
        <f>IFERROR(__xludf.DUMMYFUNCTION("REGEXREPLACE(A2989, ""^https?://[^/]+"", """")"),"/wp-content/themes/salesxceleratione/assets/css/style.css?ver=1769123796")</f>
        <v>/wp-content/themes/salesxceleratione/assets/css/style.css?ver=1769123796</v>
      </c>
      <c r="F2989" s="1" t="s">
        <v>1016</v>
      </c>
      <c r="G2989" s="1">
        <v>200.0</v>
      </c>
      <c r="H2989" s="1" t="s">
        <v>966</v>
      </c>
      <c r="I2989" s="1" t="s">
        <v>967</v>
      </c>
      <c r="L2989" s="1">
        <v>0.0</v>
      </c>
      <c r="M2989" s="1">
        <v>0.0</v>
      </c>
      <c r="O2989" s="1">
        <v>0.0</v>
      </c>
      <c r="P2989" s="1">
        <v>0.0</v>
      </c>
      <c r="R2989" s="1">
        <v>0.0</v>
      </c>
      <c r="S2989" s="1">
        <v>0.0</v>
      </c>
      <c r="U2989" s="1">
        <v>0.0</v>
      </c>
      <c r="W2989" s="1">
        <v>0.0</v>
      </c>
      <c r="Y2989" s="1">
        <v>0.0</v>
      </c>
      <c r="AA2989" s="1">
        <v>0.0</v>
      </c>
      <c r="AC2989" s="1">
        <v>0.0</v>
      </c>
      <c r="AM2989" s="1">
        <v>17704.0</v>
      </c>
      <c r="AN2989" s="1">
        <v>17704.0</v>
      </c>
      <c r="AO2989" s="1">
        <v>17704.0</v>
      </c>
      <c r="AP2989" s="1">
        <v>6.782</v>
      </c>
      <c r="AR2989" s="1">
        <v>0.0</v>
      </c>
      <c r="AW2989" s="1">
        <v>0.0</v>
      </c>
      <c r="AX2989" s="1">
        <v>7.0</v>
      </c>
      <c r="AY2989" s="1">
        <v>5.0</v>
      </c>
      <c r="BA2989" s="1">
        <v>0.0</v>
      </c>
      <c r="BB2989" s="1">
        <v>0.0</v>
      </c>
      <c r="BC2989" s="1">
        <v>0.0</v>
      </c>
      <c r="BD2989" s="1">
        <v>0.0</v>
      </c>
      <c r="BE2989" s="1">
        <v>0.0</v>
      </c>
      <c r="BF2989" s="1">
        <v>0.0</v>
      </c>
      <c r="BG2989" s="1">
        <v>0.0</v>
      </c>
      <c r="BH2989" s="1">
        <v>0.0</v>
      </c>
      <c r="BI2989" s="1">
        <v>0.0</v>
      </c>
      <c r="BJ2989" s="1">
        <v>0.0</v>
      </c>
      <c r="BP2989" s="1">
        <v>0.267</v>
      </c>
      <c r="BQ2989" s="1" t="s">
        <v>8992</v>
      </c>
      <c r="BV2989" s="1">
        <v>1.1</v>
      </c>
      <c r="EQ2989" s="9" t="s">
        <v>9012</v>
      </c>
      <c r="ER2989" s="21">
        <v>46045.303773148145</v>
      </c>
    </row>
    <row r="2990">
      <c r="A2990" s="9" t="s">
        <v>9013</v>
      </c>
      <c r="B2990" s="20" t="str">
        <f>IFERROR(__xludf.DUMMYFUNCTION("REGEXREPLACE(A2990, ""^https?://[^/]+"", """")"),"/wp-content/uploads/2022/02/survey-results.jpg")</f>
        <v>/wp-content/uploads/2022/02/survey-results.jpg</v>
      </c>
      <c r="F2990" s="1" t="s">
        <v>1004</v>
      </c>
      <c r="G2990" s="1">
        <v>200.0</v>
      </c>
      <c r="H2990" s="1" t="s">
        <v>966</v>
      </c>
      <c r="I2990" s="1" t="s">
        <v>967</v>
      </c>
      <c r="L2990" s="1">
        <v>0.0</v>
      </c>
      <c r="M2990" s="1">
        <v>0.0</v>
      </c>
      <c r="O2990" s="1">
        <v>0.0</v>
      </c>
      <c r="P2990" s="1">
        <v>0.0</v>
      </c>
      <c r="R2990" s="1">
        <v>0.0</v>
      </c>
      <c r="S2990" s="1">
        <v>0.0</v>
      </c>
      <c r="U2990" s="1">
        <v>0.0</v>
      </c>
      <c r="W2990" s="1">
        <v>0.0</v>
      </c>
      <c r="Y2990" s="1">
        <v>0.0</v>
      </c>
      <c r="AA2990" s="1">
        <v>0.0</v>
      </c>
      <c r="AC2990" s="1">
        <v>0.0</v>
      </c>
      <c r="AM2990" s="1">
        <v>33815.0</v>
      </c>
      <c r="AN2990" s="1">
        <v>33815.0</v>
      </c>
      <c r="AO2990" s="1">
        <v>33815.0</v>
      </c>
      <c r="AP2990" s="1">
        <v>12.954</v>
      </c>
      <c r="AR2990" s="1">
        <v>0.0</v>
      </c>
      <c r="AW2990" s="1">
        <v>0.0</v>
      </c>
      <c r="AX2990" s="1">
        <v>7.0</v>
      </c>
      <c r="AY2990" s="1">
        <v>4.0</v>
      </c>
      <c r="BA2990" s="1">
        <v>0.0</v>
      </c>
      <c r="BB2990" s="1">
        <v>0.0</v>
      </c>
      <c r="BC2990" s="1">
        <v>0.0</v>
      </c>
      <c r="BD2990" s="1">
        <v>0.0</v>
      </c>
      <c r="BE2990" s="1">
        <v>0.0</v>
      </c>
      <c r="BF2990" s="1">
        <v>0.0</v>
      </c>
      <c r="BG2990" s="1">
        <v>0.0</v>
      </c>
      <c r="BH2990" s="1">
        <v>0.0</v>
      </c>
      <c r="BI2990" s="1">
        <v>0.0</v>
      </c>
      <c r="BJ2990" s="1">
        <v>0.0</v>
      </c>
      <c r="BP2990" s="1">
        <v>0.27</v>
      </c>
      <c r="BQ2990" s="1" t="s">
        <v>9014</v>
      </c>
      <c r="BV2990" s="1">
        <v>1.1</v>
      </c>
      <c r="EQ2990" s="9" t="s">
        <v>9013</v>
      </c>
      <c r="ER2990" s="21">
        <v>46045.303773148145</v>
      </c>
    </row>
    <row r="2991">
      <c r="A2991" s="9" t="s">
        <v>9015</v>
      </c>
      <c r="B2991" s="20" t="str">
        <f>IFERROR(__xludf.DUMMYFUNCTION("REGEXREPLACE(A2991, ""^https?://[^/]+"", """")"),"/wp-content/uploads/2022/02/Businessmen-Shaking-Hands.jpg")</f>
        <v>/wp-content/uploads/2022/02/Businessmen-Shaking-Hands.jpg</v>
      </c>
      <c r="F2991" s="1" t="s">
        <v>1004</v>
      </c>
      <c r="G2991" s="1">
        <v>200.0</v>
      </c>
      <c r="H2991" s="1" t="s">
        <v>966</v>
      </c>
      <c r="I2991" s="1" t="s">
        <v>967</v>
      </c>
      <c r="L2991" s="1">
        <v>0.0</v>
      </c>
      <c r="M2991" s="1">
        <v>0.0</v>
      </c>
      <c r="O2991" s="1">
        <v>0.0</v>
      </c>
      <c r="P2991" s="1">
        <v>0.0</v>
      </c>
      <c r="R2991" s="1">
        <v>0.0</v>
      </c>
      <c r="S2991" s="1">
        <v>0.0</v>
      </c>
      <c r="U2991" s="1">
        <v>0.0</v>
      </c>
      <c r="W2991" s="1">
        <v>0.0</v>
      </c>
      <c r="Y2991" s="1">
        <v>0.0</v>
      </c>
      <c r="AA2991" s="1">
        <v>0.0</v>
      </c>
      <c r="AC2991" s="1">
        <v>0.0</v>
      </c>
      <c r="AM2991" s="1">
        <v>27009.0</v>
      </c>
      <c r="AN2991" s="1">
        <v>27009.0</v>
      </c>
      <c r="AO2991" s="1">
        <v>27009.0</v>
      </c>
      <c r="AP2991" s="1">
        <v>10.347</v>
      </c>
      <c r="AR2991" s="1">
        <v>0.0</v>
      </c>
      <c r="AW2991" s="1">
        <v>0.0</v>
      </c>
      <c r="AX2991" s="1">
        <v>7.0</v>
      </c>
      <c r="AY2991" s="1">
        <v>4.0</v>
      </c>
      <c r="BA2991" s="1">
        <v>0.0</v>
      </c>
      <c r="BB2991" s="1">
        <v>0.0</v>
      </c>
      <c r="BC2991" s="1">
        <v>0.0</v>
      </c>
      <c r="BD2991" s="1">
        <v>0.0</v>
      </c>
      <c r="BE2991" s="1">
        <v>0.0</v>
      </c>
      <c r="BF2991" s="1">
        <v>0.0</v>
      </c>
      <c r="BG2991" s="1">
        <v>0.0</v>
      </c>
      <c r="BH2991" s="1">
        <v>0.0</v>
      </c>
      <c r="BI2991" s="1">
        <v>0.0</v>
      </c>
      <c r="BJ2991" s="1">
        <v>0.0</v>
      </c>
      <c r="BP2991" s="1">
        <v>0.27</v>
      </c>
      <c r="BQ2991" s="1" t="s">
        <v>8214</v>
      </c>
      <c r="BV2991" s="1">
        <v>1.1</v>
      </c>
      <c r="EQ2991" s="9" t="s">
        <v>9015</v>
      </c>
      <c r="ER2991" s="21">
        <v>46045.303773148145</v>
      </c>
    </row>
    <row r="2992">
      <c r="A2992" s="9" t="s">
        <v>9016</v>
      </c>
      <c r="B2992" s="20" t="str">
        <f>IFERROR(__xludf.DUMMYFUNCTION("REGEXREPLACE(A2992, ""^https?://[^/]+"", """")"),"/wp-content/themes/salesxceleratione/assets/css/style.css?ver=1769123795")</f>
        <v>/wp-content/themes/salesxceleratione/assets/css/style.css?ver=1769123795</v>
      </c>
      <c r="F2992" s="1" t="s">
        <v>1016</v>
      </c>
      <c r="G2992" s="1">
        <v>200.0</v>
      </c>
      <c r="H2992" s="1" t="s">
        <v>966</v>
      </c>
      <c r="I2992" s="1" t="s">
        <v>967</v>
      </c>
      <c r="L2992" s="1">
        <v>0.0</v>
      </c>
      <c r="M2992" s="1">
        <v>0.0</v>
      </c>
      <c r="O2992" s="1">
        <v>0.0</v>
      </c>
      <c r="P2992" s="1">
        <v>0.0</v>
      </c>
      <c r="R2992" s="1">
        <v>0.0</v>
      </c>
      <c r="S2992" s="1">
        <v>0.0</v>
      </c>
      <c r="U2992" s="1">
        <v>0.0</v>
      </c>
      <c r="W2992" s="1">
        <v>0.0</v>
      </c>
      <c r="Y2992" s="1">
        <v>0.0</v>
      </c>
      <c r="AA2992" s="1">
        <v>0.0</v>
      </c>
      <c r="AC2992" s="1">
        <v>0.0</v>
      </c>
      <c r="AM2992" s="1">
        <v>17704.0</v>
      </c>
      <c r="AN2992" s="1">
        <v>17704.0</v>
      </c>
      <c r="AO2992" s="1">
        <v>17704.0</v>
      </c>
      <c r="AP2992" s="1">
        <v>6.782</v>
      </c>
      <c r="AR2992" s="1">
        <v>0.0</v>
      </c>
      <c r="AW2992" s="1">
        <v>0.0</v>
      </c>
      <c r="AX2992" s="1">
        <v>7.0</v>
      </c>
      <c r="AY2992" s="1">
        <v>5.0</v>
      </c>
      <c r="BA2992" s="1">
        <v>0.0</v>
      </c>
      <c r="BB2992" s="1">
        <v>0.0</v>
      </c>
      <c r="BC2992" s="1">
        <v>0.0</v>
      </c>
      <c r="BD2992" s="1">
        <v>0.0</v>
      </c>
      <c r="BE2992" s="1">
        <v>0.0</v>
      </c>
      <c r="BF2992" s="1">
        <v>0.0</v>
      </c>
      <c r="BG2992" s="1">
        <v>0.0</v>
      </c>
      <c r="BH2992" s="1">
        <v>0.0</v>
      </c>
      <c r="BI2992" s="1">
        <v>0.0</v>
      </c>
      <c r="BJ2992" s="1">
        <v>0.0</v>
      </c>
      <c r="BP2992" s="1">
        <v>0.276</v>
      </c>
      <c r="BQ2992" s="1" t="s">
        <v>8992</v>
      </c>
      <c r="BV2992" s="1">
        <v>1.1</v>
      </c>
      <c r="EQ2992" s="9" t="s">
        <v>9016</v>
      </c>
      <c r="ER2992" s="21">
        <v>46045.303773148145</v>
      </c>
    </row>
    <row r="2993">
      <c r="A2993" s="9" t="s">
        <v>9017</v>
      </c>
      <c r="B2993" s="20" t="str">
        <f>IFERROR(__xludf.DUMMYFUNCTION("REGEXREPLACE(A2993, ""^https?://[^/]+"", """")"),"/wp-content/uploads/2017/10/rewind-1.jpg")</f>
        <v>/wp-content/uploads/2017/10/rewind-1.jpg</v>
      </c>
      <c r="F2993" s="1" t="s">
        <v>1004</v>
      </c>
      <c r="G2993" s="1">
        <v>200.0</v>
      </c>
      <c r="H2993" s="1" t="s">
        <v>966</v>
      </c>
      <c r="I2993" s="1" t="s">
        <v>967</v>
      </c>
      <c r="L2993" s="1">
        <v>0.0</v>
      </c>
      <c r="M2993" s="1">
        <v>0.0</v>
      </c>
      <c r="O2993" s="1">
        <v>0.0</v>
      </c>
      <c r="P2993" s="1">
        <v>0.0</v>
      </c>
      <c r="R2993" s="1">
        <v>0.0</v>
      </c>
      <c r="S2993" s="1">
        <v>0.0</v>
      </c>
      <c r="U2993" s="1">
        <v>0.0</v>
      </c>
      <c r="W2993" s="1">
        <v>0.0</v>
      </c>
      <c r="Y2993" s="1">
        <v>0.0</v>
      </c>
      <c r="AA2993" s="1">
        <v>0.0</v>
      </c>
      <c r="AC2993" s="1">
        <v>0.0</v>
      </c>
      <c r="AM2993" s="1">
        <v>76519.0</v>
      </c>
      <c r="AN2993" s="1">
        <v>76519.0</v>
      </c>
      <c r="AO2993" s="1">
        <v>76519.0</v>
      </c>
      <c r="AP2993" s="1">
        <v>29.313</v>
      </c>
      <c r="AR2993" s="1">
        <v>0.0</v>
      </c>
      <c r="AW2993" s="1">
        <v>0.0</v>
      </c>
      <c r="AX2993" s="1">
        <v>7.0</v>
      </c>
      <c r="AY2993" s="1">
        <v>4.0</v>
      </c>
      <c r="BA2993" s="1">
        <v>0.0</v>
      </c>
      <c r="BB2993" s="1">
        <v>0.0</v>
      </c>
      <c r="BC2993" s="1">
        <v>0.0</v>
      </c>
      <c r="BD2993" s="1">
        <v>0.0</v>
      </c>
      <c r="BE2993" s="1">
        <v>0.0</v>
      </c>
      <c r="BF2993" s="1">
        <v>0.0</v>
      </c>
      <c r="BG2993" s="1">
        <v>0.0</v>
      </c>
      <c r="BH2993" s="1">
        <v>0.0</v>
      </c>
      <c r="BI2993" s="1">
        <v>0.0</v>
      </c>
      <c r="BJ2993" s="1">
        <v>0.0</v>
      </c>
      <c r="BP2993" s="1">
        <v>0.27</v>
      </c>
      <c r="BQ2993" s="1" t="s">
        <v>9018</v>
      </c>
      <c r="BV2993" s="1">
        <v>1.1</v>
      </c>
      <c r="EQ2993" s="9" t="s">
        <v>9017</v>
      </c>
      <c r="ER2993" s="21">
        <v>46045.303773148145</v>
      </c>
    </row>
    <row r="2994">
      <c r="A2994" s="9" t="s">
        <v>9019</v>
      </c>
      <c r="B2994" s="20" t="str">
        <f>IFERROR(__xludf.DUMMYFUNCTION("REGEXREPLACE(A2994, ""^https?://[^/]+"", """")"),"/wp-content/uploads/2017/07/WhatnottodoBlog.jpg")</f>
        <v>/wp-content/uploads/2017/07/WhatnottodoBlog.jpg</v>
      </c>
      <c r="F2994" s="1" t="s">
        <v>1004</v>
      </c>
      <c r="G2994" s="1">
        <v>200.0</v>
      </c>
      <c r="H2994" s="1" t="s">
        <v>966</v>
      </c>
      <c r="I2994" s="1" t="s">
        <v>967</v>
      </c>
      <c r="L2994" s="1">
        <v>0.0</v>
      </c>
      <c r="M2994" s="1">
        <v>0.0</v>
      </c>
      <c r="O2994" s="1">
        <v>0.0</v>
      </c>
      <c r="P2994" s="1">
        <v>0.0</v>
      </c>
      <c r="R2994" s="1">
        <v>0.0</v>
      </c>
      <c r="S2994" s="1">
        <v>0.0</v>
      </c>
      <c r="U2994" s="1">
        <v>0.0</v>
      </c>
      <c r="W2994" s="1">
        <v>0.0</v>
      </c>
      <c r="Y2994" s="1">
        <v>0.0</v>
      </c>
      <c r="AA2994" s="1">
        <v>0.0</v>
      </c>
      <c r="AC2994" s="1">
        <v>0.0</v>
      </c>
      <c r="AM2994" s="1">
        <v>34162.0</v>
      </c>
      <c r="AN2994" s="1">
        <v>34162.0</v>
      </c>
      <c r="AO2994" s="1">
        <v>34162.0</v>
      </c>
      <c r="AP2994" s="1">
        <v>13.087</v>
      </c>
      <c r="AR2994" s="1">
        <v>0.0</v>
      </c>
      <c r="AW2994" s="1">
        <v>0.0</v>
      </c>
      <c r="AX2994" s="1">
        <v>7.0</v>
      </c>
      <c r="AY2994" s="1">
        <v>4.0</v>
      </c>
      <c r="BA2994" s="1">
        <v>0.0</v>
      </c>
      <c r="BB2994" s="1">
        <v>0.0</v>
      </c>
      <c r="BC2994" s="1">
        <v>0.0</v>
      </c>
      <c r="BD2994" s="1">
        <v>0.0</v>
      </c>
      <c r="BE2994" s="1">
        <v>0.0</v>
      </c>
      <c r="BF2994" s="1">
        <v>0.0</v>
      </c>
      <c r="BG2994" s="1">
        <v>0.0</v>
      </c>
      <c r="BH2994" s="1">
        <v>0.0</v>
      </c>
      <c r="BI2994" s="1">
        <v>0.0</v>
      </c>
      <c r="BJ2994" s="1">
        <v>0.0</v>
      </c>
      <c r="BP2994" s="1">
        <v>0.318</v>
      </c>
      <c r="BQ2994" s="1" t="s">
        <v>9020</v>
      </c>
      <c r="BV2994" s="1">
        <v>1.1</v>
      </c>
      <c r="EQ2994" s="9" t="s">
        <v>9019</v>
      </c>
      <c r="ER2994" s="21">
        <v>46045.30378472222</v>
      </c>
    </row>
    <row r="2995">
      <c r="A2995" s="9" t="s">
        <v>9021</v>
      </c>
      <c r="B2995" s="20" t="str">
        <f>IFERROR(__xludf.DUMMYFUNCTION("REGEXREPLACE(A2995, ""^https?://[^/]+"", """")"),"/wp-content/uploads/2017/03/TheValueFactory.jpg")</f>
        <v>/wp-content/uploads/2017/03/TheValueFactory.jpg</v>
      </c>
      <c r="F2995" s="1" t="s">
        <v>1004</v>
      </c>
      <c r="G2995" s="1">
        <v>200.0</v>
      </c>
      <c r="H2995" s="1" t="s">
        <v>966</v>
      </c>
      <c r="I2995" s="1" t="s">
        <v>967</v>
      </c>
      <c r="L2995" s="1">
        <v>0.0</v>
      </c>
      <c r="M2995" s="1">
        <v>0.0</v>
      </c>
      <c r="O2995" s="1">
        <v>0.0</v>
      </c>
      <c r="P2995" s="1">
        <v>0.0</v>
      </c>
      <c r="R2995" s="1">
        <v>0.0</v>
      </c>
      <c r="S2995" s="1">
        <v>0.0</v>
      </c>
      <c r="U2995" s="1">
        <v>0.0</v>
      </c>
      <c r="W2995" s="1">
        <v>0.0</v>
      </c>
      <c r="Y2995" s="1">
        <v>0.0</v>
      </c>
      <c r="AA2995" s="1">
        <v>0.0</v>
      </c>
      <c r="AC2995" s="1">
        <v>0.0</v>
      </c>
      <c r="AM2995" s="1">
        <v>13861.0</v>
      </c>
      <c r="AN2995" s="1">
        <v>13861.0</v>
      </c>
      <c r="AO2995" s="1">
        <v>13861.0</v>
      </c>
      <c r="AP2995" s="1">
        <v>5.31</v>
      </c>
      <c r="AR2995" s="1">
        <v>0.0</v>
      </c>
      <c r="AW2995" s="1">
        <v>0.0</v>
      </c>
      <c r="AX2995" s="1">
        <v>7.0</v>
      </c>
      <c r="AY2995" s="1">
        <v>4.0</v>
      </c>
      <c r="BA2995" s="1">
        <v>0.0</v>
      </c>
      <c r="BB2995" s="1">
        <v>0.0</v>
      </c>
      <c r="BC2995" s="1">
        <v>0.0</v>
      </c>
      <c r="BD2995" s="1">
        <v>0.0</v>
      </c>
      <c r="BE2995" s="1">
        <v>0.0</v>
      </c>
      <c r="BF2995" s="1">
        <v>0.0</v>
      </c>
      <c r="BG2995" s="1">
        <v>0.0</v>
      </c>
      <c r="BH2995" s="1">
        <v>0.0</v>
      </c>
      <c r="BI2995" s="1">
        <v>0.0</v>
      </c>
      <c r="BJ2995" s="1">
        <v>0.0</v>
      </c>
      <c r="BP2995" s="1">
        <v>0.269</v>
      </c>
      <c r="BQ2995" s="1" t="s">
        <v>9022</v>
      </c>
      <c r="BV2995" s="1">
        <v>1.1</v>
      </c>
      <c r="EQ2995" s="9" t="s">
        <v>9021</v>
      </c>
      <c r="ER2995" s="21">
        <v>46045.30378472222</v>
      </c>
    </row>
    <row r="2996">
      <c r="A2996" s="9" t="s">
        <v>9023</v>
      </c>
      <c r="B2996" s="20" t="str">
        <f>IFERROR(__xludf.DUMMYFUNCTION("REGEXREPLACE(A2996, ""^https?://[^/]+"", """")"),"/wp-content/uploads/2017/12/brainblog.jpg")</f>
        <v>/wp-content/uploads/2017/12/brainblog.jpg</v>
      </c>
      <c r="F2996" s="1" t="s">
        <v>1004</v>
      </c>
      <c r="G2996" s="1">
        <v>200.0</v>
      </c>
      <c r="H2996" s="1" t="s">
        <v>966</v>
      </c>
      <c r="I2996" s="1" t="s">
        <v>967</v>
      </c>
      <c r="L2996" s="1">
        <v>0.0</v>
      </c>
      <c r="M2996" s="1">
        <v>0.0</v>
      </c>
      <c r="O2996" s="1">
        <v>0.0</v>
      </c>
      <c r="P2996" s="1">
        <v>0.0</v>
      </c>
      <c r="R2996" s="1">
        <v>0.0</v>
      </c>
      <c r="S2996" s="1">
        <v>0.0</v>
      </c>
      <c r="U2996" s="1">
        <v>0.0</v>
      </c>
      <c r="W2996" s="1">
        <v>0.0</v>
      </c>
      <c r="Y2996" s="1">
        <v>0.0</v>
      </c>
      <c r="AA2996" s="1">
        <v>0.0</v>
      </c>
      <c r="AC2996" s="1">
        <v>0.0</v>
      </c>
      <c r="AM2996" s="1">
        <v>95963.0</v>
      </c>
      <c r="AN2996" s="1">
        <v>95963.0</v>
      </c>
      <c r="AO2996" s="1">
        <v>95963.0</v>
      </c>
      <c r="AP2996" s="1">
        <v>36.762</v>
      </c>
      <c r="AR2996" s="1">
        <v>0.0</v>
      </c>
      <c r="AW2996" s="1">
        <v>0.0</v>
      </c>
      <c r="AX2996" s="1">
        <v>7.0</v>
      </c>
      <c r="AY2996" s="1">
        <v>4.0</v>
      </c>
      <c r="BA2996" s="1">
        <v>0.0</v>
      </c>
      <c r="BB2996" s="1">
        <v>0.0</v>
      </c>
      <c r="BC2996" s="1">
        <v>0.0</v>
      </c>
      <c r="BD2996" s="1">
        <v>0.0</v>
      </c>
      <c r="BE2996" s="1">
        <v>0.0</v>
      </c>
      <c r="BF2996" s="1">
        <v>0.0</v>
      </c>
      <c r="BG2996" s="1">
        <v>0.0</v>
      </c>
      <c r="BH2996" s="1">
        <v>0.0</v>
      </c>
      <c r="BI2996" s="1">
        <v>0.0</v>
      </c>
      <c r="BJ2996" s="1">
        <v>0.0</v>
      </c>
      <c r="BP2996" s="1">
        <v>0.27</v>
      </c>
      <c r="BQ2996" s="1" t="s">
        <v>9024</v>
      </c>
      <c r="BV2996" s="1">
        <v>1.1</v>
      </c>
      <c r="EQ2996" s="9" t="s">
        <v>9023</v>
      </c>
      <c r="ER2996" s="21">
        <v>46045.30378472222</v>
      </c>
    </row>
    <row r="2997">
      <c r="A2997" s="9" t="s">
        <v>9025</v>
      </c>
      <c r="B2997" s="20" t="str">
        <f>IFERROR(__xludf.DUMMYFUNCTION("REGEXREPLACE(A2997, ""^https?://[^/]+"", """")"),"/wp-content/themes/salesxceleratione/assets/css/style.css?ver=1769123794")</f>
        <v>/wp-content/themes/salesxceleratione/assets/css/style.css?ver=1769123794</v>
      </c>
      <c r="F2997" s="1" t="s">
        <v>1016</v>
      </c>
      <c r="G2997" s="1">
        <v>200.0</v>
      </c>
      <c r="H2997" s="1" t="s">
        <v>966</v>
      </c>
      <c r="I2997" s="1" t="s">
        <v>967</v>
      </c>
      <c r="L2997" s="1">
        <v>0.0</v>
      </c>
      <c r="M2997" s="1">
        <v>0.0</v>
      </c>
      <c r="O2997" s="1">
        <v>0.0</v>
      </c>
      <c r="P2997" s="1">
        <v>0.0</v>
      </c>
      <c r="R2997" s="1">
        <v>0.0</v>
      </c>
      <c r="S2997" s="1">
        <v>0.0</v>
      </c>
      <c r="U2997" s="1">
        <v>0.0</v>
      </c>
      <c r="W2997" s="1">
        <v>0.0</v>
      </c>
      <c r="Y2997" s="1">
        <v>0.0</v>
      </c>
      <c r="AA2997" s="1">
        <v>0.0</v>
      </c>
      <c r="AC2997" s="1">
        <v>0.0</v>
      </c>
      <c r="AM2997" s="1">
        <v>17704.0</v>
      </c>
      <c r="AN2997" s="1">
        <v>17704.0</v>
      </c>
      <c r="AO2997" s="1">
        <v>17704.0</v>
      </c>
      <c r="AP2997" s="1">
        <v>6.782</v>
      </c>
      <c r="AR2997" s="1">
        <v>0.0</v>
      </c>
      <c r="AW2997" s="1">
        <v>0.0</v>
      </c>
      <c r="AX2997" s="1">
        <v>7.0</v>
      </c>
      <c r="AY2997" s="1">
        <v>5.0</v>
      </c>
      <c r="BA2997" s="1">
        <v>0.0</v>
      </c>
      <c r="BB2997" s="1">
        <v>0.0</v>
      </c>
      <c r="BC2997" s="1">
        <v>0.0</v>
      </c>
      <c r="BD2997" s="1">
        <v>0.0</v>
      </c>
      <c r="BE2997" s="1">
        <v>0.0</v>
      </c>
      <c r="BF2997" s="1">
        <v>0.0</v>
      </c>
      <c r="BG2997" s="1">
        <v>0.0</v>
      </c>
      <c r="BH2997" s="1">
        <v>0.0</v>
      </c>
      <c r="BI2997" s="1">
        <v>0.0</v>
      </c>
      <c r="BJ2997" s="1">
        <v>0.0</v>
      </c>
      <c r="BP2997" s="1">
        <v>0.274</v>
      </c>
      <c r="BQ2997" s="1" t="s">
        <v>9026</v>
      </c>
      <c r="BV2997" s="1">
        <v>1.1</v>
      </c>
      <c r="EQ2997" s="9" t="s">
        <v>9025</v>
      </c>
      <c r="ER2997" s="21">
        <v>46045.30378472222</v>
      </c>
    </row>
    <row r="2998">
      <c r="A2998" s="9" t="s">
        <v>9027</v>
      </c>
      <c r="B2998" s="20" t="str">
        <f>IFERROR(__xludf.DUMMYFUNCTION("REGEXREPLACE(A2998, ""^https?://[^/]+"", """")"),"/wp-content/uploads/2022/04/Growth-Bottled-Up-300x300.jpg")</f>
        <v>/wp-content/uploads/2022/04/Growth-Bottled-Up-300x300.jpg</v>
      </c>
      <c r="F2998" s="1" t="s">
        <v>1004</v>
      </c>
      <c r="G2998" s="1">
        <v>200.0</v>
      </c>
      <c r="H2998" s="1" t="s">
        <v>966</v>
      </c>
      <c r="I2998" s="1" t="s">
        <v>967</v>
      </c>
      <c r="L2998" s="1">
        <v>0.0</v>
      </c>
      <c r="M2998" s="1">
        <v>0.0</v>
      </c>
      <c r="O2998" s="1">
        <v>0.0</v>
      </c>
      <c r="P2998" s="1">
        <v>0.0</v>
      </c>
      <c r="R2998" s="1">
        <v>0.0</v>
      </c>
      <c r="S2998" s="1">
        <v>0.0</v>
      </c>
      <c r="U2998" s="1">
        <v>0.0</v>
      </c>
      <c r="W2998" s="1">
        <v>0.0</v>
      </c>
      <c r="Y2998" s="1">
        <v>0.0</v>
      </c>
      <c r="AA2998" s="1">
        <v>0.0</v>
      </c>
      <c r="AC2998" s="1">
        <v>0.0</v>
      </c>
      <c r="AM2998" s="1">
        <v>18252.0</v>
      </c>
      <c r="AN2998" s="1">
        <v>18252.0</v>
      </c>
      <c r="AO2998" s="1">
        <v>18252.0</v>
      </c>
      <c r="AP2998" s="1">
        <v>6.992</v>
      </c>
      <c r="AR2998" s="1">
        <v>0.0</v>
      </c>
      <c r="AW2998" s="1">
        <v>0.0</v>
      </c>
      <c r="AX2998" s="1">
        <v>7.0</v>
      </c>
      <c r="AY2998" s="1">
        <v>4.0</v>
      </c>
      <c r="BA2998" s="1">
        <v>0.0</v>
      </c>
      <c r="BB2998" s="1">
        <v>0.0</v>
      </c>
      <c r="BC2998" s="1">
        <v>0.0</v>
      </c>
      <c r="BD2998" s="1">
        <v>0.0</v>
      </c>
      <c r="BE2998" s="1">
        <v>0.0</v>
      </c>
      <c r="BF2998" s="1">
        <v>0.0</v>
      </c>
      <c r="BG2998" s="1">
        <v>0.0</v>
      </c>
      <c r="BH2998" s="1">
        <v>0.0</v>
      </c>
      <c r="BI2998" s="1">
        <v>0.0</v>
      </c>
      <c r="BJ2998" s="1">
        <v>0.0</v>
      </c>
      <c r="BP2998" s="1">
        <v>0.268</v>
      </c>
      <c r="BQ2998" s="1" t="s">
        <v>9028</v>
      </c>
      <c r="BV2998" s="1">
        <v>1.1</v>
      </c>
      <c r="EQ2998" s="9" t="s">
        <v>9027</v>
      </c>
      <c r="ER2998" s="21">
        <v>46045.30378472222</v>
      </c>
    </row>
    <row r="2999">
      <c r="A2999" s="9" t="s">
        <v>9029</v>
      </c>
      <c r="B2999" s="20" t="str">
        <f>IFERROR(__xludf.DUMMYFUNCTION("REGEXREPLACE(A2999, ""^https?://[^/]+"", """")"),"/wp-content/themes/salesxceleratione/assets/css/style.css?ver=1769123793")</f>
        <v>/wp-content/themes/salesxceleratione/assets/css/style.css?ver=1769123793</v>
      </c>
      <c r="F2999" s="1" t="s">
        <v>1016</v>
      </c>
      <c r="G2999" s="1">
        <v>200.0</v>
      </c>
      <c r="H2999" s="1" t="s">
        <v>966</v>
      </c>
      <c r="I2999" s="1" t="s">
        <v>967</v>
      </c>
      <c r="L2999" s="1">
        <v>0.0</v>
      </c>
      <c r="M2999" s="1">
        <v>0.0</v>
      </c>
      <c r="O2999" s="1">
        <v>0.0</v>
      </c>
      <c r="P2999" s="1">
        <v>0.0</v>
      </c>
      <c r="R2999" s="1">
        <v>0.0</v>
      </c>
      <c r="S2999" s="1">
        <v>0.0</v>
      </c>
      <c r="U2999" s="1">
        <v>0.0</v>
      </c>
      <c r="W2999" s="1">
        <v>0.0</v>
      </c>
      <c r="Y2999" s="1">
        <v>0.0</v>
      </c>
      <c r="AA2999" s="1">
        <v>0.0</v>
      </c>
      <c r="AC2999" s="1">
        <v>0.0</v>
      </c>
      <c r="AM2999" s="1">
        <v>17704.0</v>
      </c>
      <c r="AN2999" s="1">
        <v>17704.0</v>
      </c>
      <c r="AO2999" s="1">
        <v>17704.0</v>
      </c>
      <c r="AP2999" s="1">
        <v>6.782</v>
      </c>
      <c r="AR2999" s="1">
        <v>0.0</v>
      </c>
      <c r="AW2999" s="1">
        <v>0.0</v>
      </c>
      <c r="AX2999" s="1">
        <v>7.0</v>
      </c>
      <c r="AY2999" s="1">
        <v>5.0</v>
      </c>
      <c r="BA2999" s="1">
        <v>0.0</v>
      </c>
      <c r="BB2999" s="1">
        <v>0.0</v>
      </c>
      <c r="BC2999" s="1">
        <v>0.0</v>
      </c>
      <c r="BD2999" s="1">
        <v>0.0</v>
      </c>
      <c r="BE2999" s="1">
        <v>0.0</v>
      </c>
      <c r="BF2999" s="1">
        <v>0.0</v>
      </c>
      <c r="BG2999" s="1">
        <v>0.0</v>
      </c>
      <c r="BH2999" s="1">
        <v>0.0</v>
      </c>
      <c r="BI2999" s="1">
        <v>0.0</v>
      </c>
      <c r="BJ2999" s="1">
        <v>0.0</v>
      </c>
      <c r="BP2999" s="1">
        <v>0.262</v>
      </c>
      <c r="BQ2999" s="1" t="s">
        <v>9030</v>
      </c>
      <c r="BV2999" s="1">
        <v>1.1</v>
      </c>
      <c r="EQ2999" s="9" t="s">
        <v>9029</v>
      </c>
      <c r="ER2999" s="21">
        <v>46045.3037962963</v>
      </c>
    </row>
    <row r="3000">
      <c r="A3000" s="9" t="s">
        <v>9031</v>
      </c>
      <c r="B3000" s="20" t="str">
        <f>IFERROR(__xludf.DUMMYFUNCTION("REGEXREPLACE(A3000, ""^https?://[^/]+"", """")"),"/wp-content/uploads/2023/02/7-Ways-to-Enhance-Sales-Performance-social.pdf")</f>
        <v>/wp-content/uploads/2023/02/7-Ways-to-Enhance-Sales-Performance-social.pdf</v>
      </c>
      <c r="F3000" s="1" t="s">
        <v>1730</v>
      </c>
      <c r="G3000" s="1">
        <v>200.0</v>
      </c>
      <c r="H3000" s="1" t="s">
        <v>966</v>
      </c>
      <c r="I3000" s="1" t="s">
        <v>967</v>
      </c>
      <c r="K3000" s="1" t="s">
        <v>9032</v>
      </c>
      <c r="L3000" s="1">
        <v>42.0</v>
      </c>
      <c r="M3000" s="1">
        <v>401.0</v>
      </c>
      <c r="O3000" s="1">
        <v>0.0</v>
      </c>
      <c r="P3000" s="1">
        <v>0.0</v>
      </c>
      <c r="R3000" s="1">
        <v>0.0</v>
      </c>
      <c r="S3000" s="1">
        <v>0.0</v>
      </c>
      <c r="T3000" s="1" t="s">
        <v>9033</v>
      </c>
      <c r="U3000" s="1">
        <v>23.0</v>
      </c>
      <c r="W3000" s="1">
        <v>0.0</v>
      </c>
      <c r="Y3000" s="1">
        <v>0.0</v>
      </c>
      <c r="AA3000" s="1">
        <v>0.0</v>
      </c>
      <c r="AC3000" s="1">
        <v>0.0</v>
      </c>
      <c r="AM3000" s="1">
        <v>118390.0</v>
      </c>
      <c r="AN3000" s="1">
        <v>118390.0</v>
      </c>
      <c r="AO3000" s="1">
        <v>118390.0</v>
      </c>
      <c r="AP3000" s="1">
        <v>45.353</v>
      </c>
      <c r="AR3000" s="1">
        <v>0.0</v>
      </c>
      <c r="AW3000" s="1">
        <v>0.0</v>
      </c>
      <c r="AX3000" s="1">
        <v>7.0</v>
      </c>
      <c r="AY3000" s="1">
        <v>4.0</v>
      </c>
      <c r="AZ3000" s="1">
        <v>1.0</v>
      </c>
      <c r="BA3000" s="1">
        <v>1.0</v>
      </c>
      <c r="BB3000" s="1">
        <v>1.0</v>
      </c>
      <c r="BC3000" s="1">
        <v>0.0</v>
      </c>
      <c r="BD3000" s="1">
        <v>0.13</v>
      </c>
      <c r="BE3000" s="1">
        <v>0.0</v>
      </c>
      <c r="BF3000" s="1">
        <v>0.0</v>
      </c>
      <c r="BG3000" s="1">
        <v>0.0</v>
      </c>
      <c r="BH3000" s="1">
        <v>0.0</v>
      </c>
      <c r="BI3000" s="1">
        <v>0.0</v>
      </c>
      <c r="BJ3000" s="1">
        <v>0.0</v>
      </c>
      <c r="BP3000" s="1">
        <v>0.269</v>
      </c>
      <c r="BQ3000" s="1" t="s">
        <v>9034</v>
      </c>
      <c r="BV3000" s="1">
        <v>1.1</v>
      </c>
      <c r="EQ3000" s="9" t="s">
        <v>9031</v>
      </c>
      <c r="ER3000" s="21">
        <v>46045.3037962963</v>
      </c>
    </row>
    <row r="3001">
      <c r="A3001" s="9" t="s">
        <v>9035</v>
      </c>
      <c r="B3001" s="20" t="str">
        <f>IFERROR(__xludf.DUMMYFUNCTION("REGEXREPLACE(A3001, ""^https?://[^/]+"", """")"),"/want-better-sales-process-consider-buyers-process-first/")</f>
        <v>/want-better-sales-process-consider-buyers-process-first/</v>
      </c>
      <c r="C3001" s="1" t="s">
        <v>9036</v>
      </c>
      <c r="F3001" s="1" t="s">
        <v>965</v>
      </c>
      <c r="G3001" s="1">
        <v>200.0</v>
      </c>
      <c r="H3001" s="1" t="s">
        <v>966</v>
      </c>
      <c r="I3001" s="1" t="s">
        <v>967</v>
      </c>
      <c r="K3001" s="1" t="s">
        <v>9037</v>
      </c>
      <c r="L3001" s="1">
        <v>63.0</v>
      </c>
      <c r="M3001" s="1">
        <v>572.0</v>
      </c>
      <c r="O3001" s="1">
        <v>0.0</v>
      </c>
      <c r="P3001" s="1">
        <v>0.0</v>
      </c>
      <c r="Q3001" s="1" t="s">
        <v>9038</v>
      </c>
      <c r="R3001" s="1">
        <v>141.0</v>
      </c>
      <c r="S3001" s="1">
        <v>880.0</v>
      </c>
      <c r="U3001" s="1">
        <v>0.0</v>
      </c>
      <c r="V3001" s="1" t="s">
        <v>9036</v>
      </c>
      <c r="W3001" s="1">
        <v>64.0</v>
      </c>
      <c r="Y3001" s="1">
        <v>0.0</v>
      </c>
      <c r="AA3001" s="1">
        <v>0.0</v>
      </c>
      <c r="AC3001" s="1">
        <v>0.0</v>
      </c>
      <c r="AD3001" s="1" t="s">
        <v>971</v>
      </c>
      <c r="AG3001" s="9" t="s">
        <v>9035</v>
      </c>
      <c r="AM3001" s="1">
        <v>203921.0</v>
      </c>
      <c r="AN3001" s="1">
        <v>36171.0</v>
      </c>
      <c r="AO3001" s="1">
        <v>36171.0</v>
      </c>
      <c r="AP3001" s="1">
        <v>13.856</v>
      </c>
      <c r="AR3001" s="1">
        <v>1446.0</v>
      </c>
      <c r="AS3001" s="1">
        <v>219.0</v>
      </c>
      <c r="AT3001" s="1">
        <v>6.603</v>
      </c>
      <c r="AU3001" s="1">
        <v>69.079</v>
      </c>
      <c r="AV3001" s="1" t="s">
        <v>990</v>
      </c>
      <c r="AW3001" s="1">
        <v>5.465</v>
      </c>
      <c r="AX3001" s="1">
        <v>7.0</v>
      </c>
      <c r="AY3001" s="1">
        <v>1.0</v>
      </c>
      <c r="AZ3001" s="1">
        <v>1.0</v>
      </c>
      <c r="BA3001" s="1">
        <v>2.0</v>
      </c>
      <c r="BB3001" s="1">
        <v>2.0</v>
      </c>
      <c r="BC3001" s="1">
        <v>0.0</v>
      </c>
      <c r="BD3001" s="1">
        <v>0.27</v>
      </c>
      <c r="BE3001" s="1">
        <v>132.0</v>
      </c>
      <c r="BF3001" s="1">
        <v>50.0</v>
      </c>
      <c r="BG3001" s="1">
        <v>0.0</v>
      </c>
      <c r="BH3001" s="1">
        <v>16.0</v>
      </c>
      <c r="BI3001" s="1">
        <v>8.0</v>
      </c>
      <c r="BJ3001" s="1">
        <v>0.0</v>
      </c>
      <c r="BO3001" s="1" t="s">
        <v>9039</v>
      </c>
      <c r="BP3001" s="1">
        <v>0.975</v>
      </c>
      <c r="BU3001" s="1" t="s">
        <v>974</v>
      </c>
      <c r="BV3001" s="1">
        <v>1.1</v>
      </c>
      <c r="EQ3001" s="9" t="s">
        <v>9035</v>
      </c>
      <c r="ER3001" s="21">
        <v>46045.30378472222</v>
      </c>
    </row>
    <row r="3002">
      <c r="A3002" s="9" t="s">
        <v>9040</v>
      </c>
      <c r="B3002" s="20" t="str">
        <f>IFERROR(__xludf.DUMMYFUNCTION("REGEXREPLACE(A3002, ""^https?://[^/]+"", """")"),"/wp-content/uploads/2023/02/7-Ways-to-Enhance-Sales-Performance-Diving-Deeper.jpg")</f>
        <v>/wp-content/uploads/2023/02/7-Ways-to-Enhance-Sales-Performance-Diving-Deeper.jpg</v>
      </c>
      <c r="F3002" s="1" t="s">
        <v>1004</v>
      </c>
      <c r="G3002" s="1">
        <v>200.0</v>
      </c>
      <c r="H3002" s="1" t="s">
        <v>966</v>
      </c>
      <c r="I3002" s="1" t="s">
        <v>967</v>
      </c>
      <c r="L3002" s="1">
        <v>0.0</v>
      </c>
      <c r="M3002" s="1">
        <v>0.0</v>
      </c>
      <c r="O3002" s="1">
        <v>0.0</v>
      </c>
      <c r="P3002" s="1">
        <v>0.0</v>
      </c>
      <c r="R3002" s="1">
        <v>0.0</v>
      </c>
      <c r="S3002" s="1">
        <v>0.0</v>
      </c>
      <c r="U3002" s="1">
        <v>0.0</v>
      </c>
      <c r="W3002" s="1">
        <v>0.0</v>
      </c>
      <c r="Y3002" s="1">
        <v>0.0</v>
      </c>
      <c r="AA3002" s="1">
        <v>0.0</v>
      </c>
      <c r="AC3002" s="1">
        <v>0.0</v>
      </c>
      <c r="AM3002" s="1">
        <v>175905.0</v>
      </c>
      <c r="AN3002" s="1">
        <v>175905.0</v>
      </c>
      <c r="AO3002" s="1">
        <v>175905.0</v>
      </c>
      <c r="AP3002" s="1">
        <v>67.386</v>
      </c>
      <c r="AR3002" s="1">
        <v>0.0</v>
      </c>
      <c r="AW3002" s="1">
        <v>0.0</v>
      </c>
      <c r="AX3002" s="1">
        <v>7.0</v>
      </c>
      <c r="AY3002" s="1">
        <v>4.0</v>
      </c>
      <c r="BA3002" s="1">
        <v>0.0</v>
      </c>
      <c r="BB3002" s="1">
        <v>0.0</v>
      </c>
      <c r="BC3002" s="1">
        <v>0.0</v>
      </c>
      <c r="BD3002" s="1">
        <v>0.0</v>
      </c>
      <c r="BE3002" s="1">
        <v>0.0</v>
      </c>
      <c r="BF3002" s="1">
        <v>0.0</v>
      </c>
      <c r="BG3002" s="1">
        <v>0.0</v>
      </c>
      <c r="BH3002" s="1">
        <v>0.0</v>
      </c>
      <c r="BI3002" s="1">
        <v>0.0</v>
      </c>
      <c r="BJ3002" s="1">
        <v>0.0</v>
      </c>
      <c r="BP3002" s="1">
        <v>0.253</v>
      </c>
      <c r="BQ3002" s="1" t="s">
        <v>9041</v>
      </c>
      <c r="BV3002" s="1">
        <v>1.1</v>
      </c>
      <c r="EQ3002" s="9" t="s">
        <v>9040</v>
      </c>
      <c r="ER3002" s="21">
        <v>46045.3037962963</v>
      </c>
    </row>
    <row r="3003">
      <c r="A3003" s="9" t="s">
        <v>8198</v>
      </c>
      <c r="B3003" s="20" t="str">
        <f>IFERROR(__xludf.DUMMYFUNCTION("REGEXREPLACE(A3003, ""^https?://[^/]+"", """")"),"/no-access/download-id/27866/")</f>
        <v>/no-access/download-id/27866/</v>
      </c>
      <c r="C3003" s="1" t="s">
        <v>6664</v>
      </c>
      <c r="F3003" s="1" t="s">
        <v>965</v>
      </c>
      <c r="G3003" s="1">
        <v>200.0</v>
      </c>
      <c r="H3003" s="1" t="s">
        <v>966</v>
      </c>
      <c r="I3003" s="1" t="s">
        <v>1214</v>
      </c>
      <c r="J3003" s="1" t="s">
        <v>1215</v>
      </c>
      <c r="K3003" s="1" t="s">
        <v>6665</v>
      </c>
      <c r="L3003" s="1">
        <v>29.0</v>
      </c>
      <c r="M3003" s="1">
        <v>265.0</v>
      </c>
      <c r="O3003" s="1">
        <v>0.0</v>
      </c>
      <c r="P3003" s="1">
        <v>0.0</v>
      </c>
      <c r="R3003" s="1">
        <v>0.0</v>
      </c>
      <c r="S3003" s="1">
        <v>0.0</v>
      </c>
      <c r="U3003" s="1">
        <v>0.0</v>
      </c>
      <c r="V3003" s="1" t="s">
        <v>6664</v>
      </c>
      <c r="W3003" s="1">
        <v>9.0</v>
      </c>
      <c r="Y3003" s="1">
        <v>0.0</v>
      </c>
      <c r="AA3003" s="1">
        <v>0.0</v>
      </c>
      <c r="AC3003" s="1">
        <v>0.0</v>
      </c>
      <c r="AD3003" s="1" t="s">
        <v>971</v>
      </c>
      <c r="AG3003" s="9" t="s">
        <v>6666</v>
      </c>
      <c r="AM3003" s="1">
        <v>145754.0</v>
      </c>
      <c r="AN3003" s="1">
        <v>28290.0</v>
      </c>
      <c r="AO3003" s="1">
        <v>28290.0</v>
      </c>
      <c r="AP3003" s="1">
        <v>10.837</v>
      </c>
      <c r="AR3003" s="1">
        <v>538.0</v>
      </c>
      <c r="AS3003" s="1">
        <v>93.0</v>
      </c>
      <c r="AT3003" s="1">
        <v>5.785</v>
      </c>
      <c r="AU3003" s="1">
        <v>61.483</v>
      </c>
      <c r="AV3003" s="1" t="s">
        <v>990</v>
      </c>
      <c r="AW3003" s="1">
        <v>3.905</v>
      </c>
      <c r="AX3003" s="1">
        <v>7.0</v>
      </c>
      <c r="AY3003" s="1">
        <v>3.0</v>
      </c>
      <c r="BA3003" s="1">
        <v>0.0</v>
      </c>
      <c r="BB3003" s="1">
        <v>0.0</v>
      </c>
      <c r="BC3003" s="1">
        <v>0.0</v>
      </c>
      <c r="BD3003" s="1">
        <v>0.0</v>
      </c>
      <c r="BE3003" s="1">
        <v>123.0</v>
      </c>
      <c r="BF3003" s="1">
        <v>42.0</v>
      </c>
      <c r="BG3003" s="1">
        <v>0.0</v>
      </c>
      <c r="BH3003" s="1">
        <v>16.0</v>
      </c>
      <c r="BI3003" s="1">
        <v>8.0</v>
      </c>
      <c r="BJ3003" s="1">
        <v>0.0</v>
      </c>
      <c r="BO3003" s="1" t="s">
        <v>9042</v>
      </c>
      <c r="BP3003" s="1">
        <v>0.975</v>
      </c>
      <c r="BU3003" s="1" t="s">
        <v>974</v>
      </c>
      <c r="BV3003" s="1">
        <v>1.1</v>
      </c>
      <c r="EQ3003" s="9" t="s">
        <v>8198</v>
      </c>
      <c r="ER3003" s="21">
        <v>46045.30378472222</v>
      </c>
    </row>
    <row r="3004">
      <c r="A3004" s="9" t="s">
        <v>9043</v>
      </c>
      <c r="B3004" s="20" t="str">
        <f>IFERROR(__xludf.DUMMYFUNCTION("REGEXREPLACE(A3004, ""^https?://[^/]+"", """")"),"/wp-content/themes/salesxceleratione/assets/css/style.css?ver=1769123792")</f>
        <v>/wp-content/themes/salesxceleratione/assets/css/style.css?ver=1769123792</v>
      </c>
      <c r="F3004" s="1" t="s">
        <v>1016</v>
      </c>
      <c r="G3004" s="1">
        <v>200.0</v>
      </c>
      <c r="H3004" s="1" t="s">
        <v>966</v>
      </c>
      <c r="I3004" s="1" t="s">
        <v>967</v>
      </c>
      <c r="L3004" s="1">
        <v>0.0</v>
      </c>
      <c r="M3004" s="1">
        <v>0.0</v>
      </c>
      <c r="O3004" s="1">
        <v>0.0</v>
      </c>
      <c r="P3004" s="1">
        <v>0.0</v>
      </c>
      <c r="R3004" s="1">
        <v>0.0</v>
      </c>
      <c r="S3004" s="1">
        <v>0.0</v>
      </c>
      <c r="U3004" s="1">
        <v>0.0</v>
      </c>
      <c r="W3004" s="1">
        <v>0.0</v>
      </c>
      <c r="Y3004" s="1">
        <v>0.0</v>
      </c>
      <c r="AA3004" s="1">
        <v>0.0</v>
      </c>
      <c r="AC3004" s="1">
        <v>0.0</v>
      </c>
      <c r="AM3004" s="1">
        <v>17704.0</v>
      </c>
      <c r="AN3004" s="1">
        <v>17704.0</v>
      </c>
      <c r="AO3004" s="1">
        <v>17704.0</v>
      </c>
      <c r="AP3004" s="1">
        <v>6.782</v>
      </c>
      <c r="AR3004" s="1">
        <v>0.0</v>
      </c>
      <c r="AW3004" s="1">
        <v>0.0</v>
      </c>
      <c r="AX3004" s="1">
        <v>7.0</v>
      </c>
      <c r="AY3004" s="1">
        <v>5.0</v>
      </c>
      <c r="BA3004" s="1">
        <v>0.0</v>
      </c>
      <c r="BB3004" s="1">
        <v>0.0</v>
      </c>
      <c r="BC3004" s="1">
        <v>0.0</v>
      </c>
      <c r="BD3004" s="1">
        <v>0.0</v>
      </c>
      <c r="BE3004" s="1">
        <v>0.0</v>
      </c>
      <c r="BF3004" s="1">
        <v>0.0</v>
      </c>
      <c r="BG3004" s="1">
        <v>0.0</v>
      </c>
      <c r="BH3004" s="1">
        <v>0.0</v>
      </c>
      <c r="BI3004" s="1">
        <v>0.0</v>
      </c>
      <c r="BJ3004" s="1">
        <v>0.0</v>
      </c>
      <c r="BP3004" s="1">
        <v>0.263</v>
      </c>
      <c r="BQ3004" s="1" t="s">
        <v>9044</v>
      </c>
      <c r="BV3004" s="1">
        <v>1.1</v>
      </c>
      <c r="EQ3004" s="9" t="s">
        <v>9043</v>
      </c>
      <c r="ER3004" s="21">
        <v>46045.3037962963</v>
      </c>
    </row>
    <row r="3005">
      <c r="A3005" s="9" t="s">
        <v>8166</v>
      </c>
      <c r="B3005" s="20" t="str">
        <f>IFERROR(__xludf.DUMMYFUNCTION("REGEXREPLACE(A3005, ""^https?://[^/]+"", """")"),"/?download=27887")</f>
        <v>/?download=27887</v>
      </c>
      <c r="F3005" s="1" t="s">
        <v>965</v>
      </c>
      <c r="G3005" s="1">
        <v>302.0</v>
      </c>
      <c r="H3005" s="1" t="s">
        <v>2980</v>
      </c>
      <c r="I3005" s="1" t="s">
        <v>1214</v>
      </c>
      <c r="J3005" s="1" t="s">
        <v>1305</v>
      </c>
      <c r="L3005" s="1">
        <v>0.0</v>
      </c>
      <c r="M3005" s="1">
        <v>0.0</v>
      </c>
      <c r="O3005" s="1">
        <v>0.0</v>
      </c>
      <c r="P3005" s="1">
        <v>0.0</v>
      </c>
      <c r="R3005" s="1">
        <v>0.0</v>
      </c>
      <c r="S3005" s="1">
        <v>0.0</v>
      </c>
      <c r="U3005" s="1">
        <v>0.0</v>
      </c>
      <c r="W3005" s="1">
        <v>0.0</v>
      </c>
      <c r="Y3005" s="1">
        <v>0.0</v>
      </c>
      <c r="AA3005" s="1">
        <v>0.0</v>
      </c>
      <c r="AC3005" s="1">
        <v>0.0</v>
      </c>
      <c r="AM3005" s="1">
        <v>0.0</v>
      </c>
      <c r="AN3005" s="1">
        <v>0.0</v>
      </c>
      <c r="AO3005" s="1">
        <v>0.0</v>
      </c>
      <c r="AP3005" s="1">
        <v>0.0</v>
      </c>
      <c r="AR3005" s="1">
        <v>0.0</v>
      </c>
      <c r="AW3005" s="1">
        <v>0.0</v>
      </c>
      <c r="AX3005" s="1">
        <v>7.0</v>
      </c>
      <c r="AY3005" s="1">
        <v>0.0</v>
      </c>
      <c r="BA3005" s="1">
        <v>0.0</v>
      </c>
      <c r="BB3005" s="1">
        <v>0.0</v>
      </c>
      <c r="BC3005" s="1">
        <v>0.0</v>
      </c>
      <c r="BD3005" s="1">
        <v>0.0</v>
      </c>
      <c r="BE3005" s="1">
        <v>0.0</v>
      </c>
      <c r="BF3005" s="1">
        <v>0.0</v>
      </c>
      <c r="BG3005" s="1">
        <v>0.0</v>
      </c>
      <c r="BH3005" s="1">
        <v>0.0</v>
      </c>
      <c r="BI3005" s="1">
        <v>0.0</v>
      </c>
      <c r="BJ3005" s="1">
        <v>0.0</v>
      </c>
      <c r="BP3005" s="1">
        <v>0.56</v>
      </c>
      <c r="BR3005" s="9" t="s">
        <v>9045</v>
      </c>
      <c r="BS3005" s="1" t="s">
        <v>1307</v>
      </c>
      <c r="BV3005" s="1">
        <v>1.1</v>
      </c>
      <c r="EQ3005" s="9" t="s">
        <v>8166</v>
      </c>
      <c r="ER3005" s="21">
        <v>46045.30380787037</v>
      </c>
    </row>
    <row r="3006">
      <c r="A3006" s="9" t="s">
        <v>8156</v>
      </c>
      <c r="B3006" s="20" t="str">
        <f>IFERROR(__xludf.DUMMYFUNCTION("REGEXREPLACE(A3006, ""^https?://[^/]+"", """")"),"/books/5th-edition-2023-state-of-sales")</f>
        <v>/books/5th-edition-2023-state-of-sales</v>
      </c>
      <c r="F3006" s="1" t="s">
        <v>965</v>
      </c>
      <c r="G3006" s="1">
        <v>301.0</v>
      </c>
      <c r="H3006" s="1" t="s">
        <v>1304</v>
      </c>
      <c r="I3006" s="1" t="s">
        <v>1214</v>
      </c>
      <c r="J3006" s="1" t="s">
        <v>1305</v>
      </c>
      <c r="L3006" s="1">
        <v>0.0</v>
      </c>
      <c r="M3006" s="1">
        <v>0.0</v>
      </c>
      <c r="O3006" s="1">
        <v>0.0</v>
      </c>
      <c r="P3006" s="1">
        <v>0.0</v>
      </c>
      <c r="R3006" s="1">
        <v>0.0</v>
      </c>
      <c r="S3006" s="1">
        <v>0.0</v>
      </c>
      <c r="U3006" s="1">
        <v>0.0</v>
      </c>
      <c r="W3006" s="1">
        <v>0.0</v>
      </c>
      <c r="Y3006" s="1">
        <v>0.0</v>
      </c>
      <c r="AA3006" s="1">
        <v>0.0</v>
      </c>
      <c r="AC3006" s="1">
        <v>0.0</v>
      </c>
      <c r="AM3006" s="1">
        <v>0.0</v>
      </c>
      <c r="AN3006" s="1">
        <v>0.0</v>
      </c>
      <c r="AO3006" s="1">
        <v>0.0</v>
      </c>
      <c r="AP3006" s="1">
        <v>0.0</v>
      </c>
      <c r="AR3006" s="1">
        <v>0.0</v>
      </c>
      <c r="AW3006" s="1">
        <v>0.0</v>
      </c>
      <c r="AX3006" s="1">
        <v>7.0</v>
      </c>
      <c r="AY3006" s="1">
        <v>1.0</v>
      </c>
      <c r="BA3006" s="1">
        <v>0.0</v>
      </c>
      <c r="BB3006" s="1">
        <v>0.0</v>
      </c>
      <c r="BC3006" s="1">
        <v>0.0</v>
      </c>
      <c r="BD3006" s="1">
        <v>0.0</v>
      </c>
      <c r="BE3006" s="1">
        <v>0.0</v>
      </c>
      <c r="BF3006" s="1">
        <v>0.0</v>
      </c>
      <c r="BG3006" s="1">
        <v>0.0</v>
      </c>
      <c r="BH3006" s="1">
        <v>0.0</v>
      </c>
      <c r="BI3006" s="1">
        <v>0.0</v>
      </c>
      <c r="BJ3006" s="1">
        <v>0.0</v>
      </c>
      <c r="BP3006" s="1">
        <v>0.555</v>
      </c>
      <c r="BR3006" s="9" t="s">
        <v>1657</v>
      </c>
      <c r="BS3006" s="1" t="s">
        <v>1307</v>
      </c>
      <c r="BV3006" s="1">
        <v>1.1</v>
      </c>
      <c r="EQ3006" s="9" t="s">
        <v>8156</v>
      </c>
      <c r="ER3006" s="21">
        <v>46045.30380787037</v>
      </c>
    </row>
    <row r="3007">
      <c r="A3007" s="9" t="s">
        <v>9046</v>
      </c>
      <c r="B3007" s="20" t="str">
        <f>IFERROR(__xludf.DUMMYFUNCTION("REGEXREPLACE(A3007, ""^https?://[^/]+"", """")"),"/sales-plan-checklist/")</f>
        <v>/sales-plan-checklist/</v>
      </c>
      <c r="C3007" s="1" t="s">
        <v>9047</v>
      </c>
      <c r="F3007" s="1" t="s">
        <v>965</v>
      </c>
      <c r="G3007" s="1">
        <v>200.0</v>
      </c>
      <c r="H3007" s="1" t="s">
        <v>966</v>
      </c>
      <c r="I3007" s="1" t="s">
        <v>967</v>
      </c>
      <c r="K3007" s="1" t="s">
        <v>9048</v>
      </c>
      <c r="L3007" s="1">
        <v>52.0</v>
      </c>
      <c r="M3007" s="1">
        <v>455.0</v>
      </c>
      <c r="O3007" s="1">
        <v>0.0</v>
      </c>
      <c r="P3007" s="1">
        <v>0.0</v>
      </c>
      <c r="R3007" s="1">
        <v>0.0</v>
      </c>
      <c r="S3007" s="1">
        <v>0.0</v>
      </c>
      <c r="U3007" s="1">
        <v>0.0</v>
      </c>
      <c r="V3007" s="1" t="s">
        <v>9047</v>
      </c>
      <c r="W3007" s="1">
        <v>20.0</v>
      </c>
      <c r="Y3007" s="1">
        <v>0.0</v>
      </c>
      <c r="AA3007" s="1">
        <v>0.0</v>
      </c>
      <c r="AC3007" s="1">
        <v>0.0</v>
      </c>
      <c r="AD3007" s="1" t="s">
        <v>971</v>
      </c>
      <c r="AG3007" s="9" t="s">
        <v>9046</v>
      </c>
      <c r="AM3007" s="1">
        <v>144767.0</v>
      </c>
      <c r="AN3007" s="1">
        <v>27596.0</v>
      </c>
      <c r="AO3007" s="1">
        <v>27596.0</v>
      </c>
      <c r="AP3007" s="1">
        <v>10.572</v>
      </c>
      <c r="AR3007" s="1">
        <v>527.0</v>
      </c>
      <c r="AS3007" s="1">
        <v>91.0</v>
      </c>
      <c r="AT3007" s="1">
        <v>5.791</v>
      </c>
      <c r="AU3007" s="1">
        <v>61.134</v>
      </c>
      <c r="AV3007" s="1" t="s">
        <v>990</v>
      </c>
      <c r="AW3007" s="1">
        <v>3.893</v>
      </c>
      <c r="AX3007" s="1">
        <v>7.0</v>
      </c>
      <c r="AY3007" s="1">
        <v>1.0</v>
      </c>
      <c r="AZ3007" s="1">
        <v>1.0</v>
      </c>
      <c r="BA3007" s="1">
        <v>1.0</v>
      </c>
      <c r="BB3007" s="1">
        <v>1.0</v>
      </c>
      <c r="BC3007" s="1">
        <v>0.0</v>
      </c>
      <c r="BD3007" s="1">
        <v>0.13</v>
      </c>
      <c r="BE3007" s="1">
        <v>122.0</v>
      </c>
      <c r="BF3007" s="1">
        <v>42.0</v>
      </c>
      <c r="BG3007" s="1">
        <v>0.0</v>
      </c>
      <c r="BH3007" s="1">
        <v>16.0</v>
      </c>
      <c r="BI3007" s="1">
        <v>8.0</v>
      </c>
      <c r="BJ3007" s="1">
        <v>0.0</v>
      </c>
      <c r="BO3007" s="1" t="s">
        <v>9049</v>
      </c>
      <c r="BP3007" s="1">
        <v>1.03</v>
      </c>
      <c r="BU3007" s="1" t="s">
        <v>974</v>
      </c>
      <c r="BV3007" s="1">
        <v>1.1</v>
      </c>
      <c r="EQ3007" s="9" t="s">
        <v>9046</v>
      </c>
      <c r="ER3007" s="21">
        <v>46045.3037962963</v>
      </c>
    </row>
    <row r="3008">
      <c r="A3008" s="9" t="s">
        <v>9050</v>
      </c>
      <c r="B3008" s="20" t="str">
        <f>IFERROR(__xludf.DUMMYFUNCTION("REGEXREPLACE(A3008, ""^https?://[^/]+"", """")"),"/wp-content/uploads/2021/12/Exit-Plan-scaled.jpg")</f>
        <v>/wp-content/uploads/2021/12/Exit-Plan-scaled.jpg</v>
      </c>
      <c r="F3008" s="1" t="s">
        <v>1004</v>
      </c>
      <c r="G3008" s="1">
        <v>200.0</v>
      </c>
      <c r="H3008" s="1" t="s">
        <v>966</v>
      </c>
      <c r="I3008" s="1" t="s">
        <v>967</v>
      </c>
      <c r="L3008" s="1">
        <v>0.0</v>
      </c>
      <c r="M3008" s="1">
        <v>0.0</v>
      </c>
      <c r="O3008" s="1">
        <v>0.0</v>
      </c>
      <c r="P3008" s="1">
        <v>0.0</v>
      </c>
      <c r="R3008" s="1">
        <v>0.0</v>
      </c>
      <c r="S3008" s="1">
        <v>0.0</v>
      </c>
      <c r="U3008" s="1">
        <v>0.0</v>
      </c>
      <c r="W3008" s="1">
        <v>0.0</v>
      </c>
      <c r="Y3008" s="1">
        <v>0.0</v>
      </c>
      <c r="AA3008" s="1">
        <v>0.0</v>
      </c>
      <c r="AC3008" s="1">
        <v>0.0</v>
      </c>
      <c r="AM3008" s="1">
        <v>213776.0</v>
      </c>
      <c r="AN3008" s="1">
        <v>213776.0</v>
      </c>
      <c r="AO3008" s="1">
        <v>213776.0</v>
      </c>
      <c r="AP3008" s="1">
        <v>81.894</v>
      </c>
      <c r="AR3008" s="1">
        <v>0.0</v>
      </c>
      <c r="AW3008" s="1">
        <v>0.0</v>
      </c>
      <c r="AX3008" s="1">
        <v>7.0</v>
      </c>
      <c r="AY3008" s="1">
        <v>4.0</v>
      </c>
      <c r="BA3008" s="1">
        <v>0.0</v>
      </c>
      <c r="BB3008" s="1">
        <v>0.0</v>
      </c>
      <c r="BC3008" s="1">
        <v>0.0</v>
      </c>
      <c r="BD3008" s="1">
        <v>0.0</v>
      </c>
      <c r="BE3008" s="1">
        <v>0.0</v>
      </c>
      <c r="BF3008" s="1">
        <v>0.0</v>
      </c>
      <c r="BG3008" s="1">
        <v>0.0</v>
      </c>
      <c r="BH3008" s="1">
        <v>0.0</v>
      </c>
      <c r="BI3008" s="1">
        <v>0.0</v>
      </c>
      <c r="BJ3008" s="1">
        <v>0.0</v>
      </c>
      <c r="BP3008" s="1">
        <v>0.278</v>
      </c>
      <c r="BQ3008" s="1" t="s">
        <v>9051</v>
      </c>
      <c r="BV3008" s="1">
        <v>1.1</v>
      </c>
      <c r="EQ3008" s="9" t="s">
        <v>9050</v>
      </c>
      <c r="ER3008" s="21">
        <v>46045.30383101852</v>
      </c>
    </row>
    <row r="3009">
      <c r="A3009" s="9" t="s">
        <v>9052</v>
      </c>
      <c r="B3009" s="20" t="str">
        <f>IFERROR(__xludf.DUMMYFUNCTION("REGEXREPLACE(A3009, ""^https?://[^/]+"", """")"),"/wp-content/uploads/2016/05/Compensation-Payment-Plan-.jpg")</f>
        <v>/wp-content/uploads/2016/05/Compensation-Payment-Plan-.jpg</v>
      </c>
      <c r="F3009" s="1" t="s">
        <v>1004</v>
      </c>
      <c r="G3009" s="1">
        <v>200.0</v>
      </c>
      <c r="H3009" s="1" t="s">
        <v>966</v>
      </c>
      <c r="I3009" s="1" t="s">
        <v>967</v>
      </c>
      <c r="L3009" s="1">
        <v>0.0</v>
      </c>
      <c r="M3009" s="1">
        <v>0.0</v>
      </c>
      <c r="O3009" s="1">
        <v>0.0</v>
      </c>
      <c r="P3009" s="1">
        <v>0.0</v>
      </c>
      <c r="R3009" s="1">
        <v>0.0</v>
      </c>
      <c r="S3009" s="1">
        <v>0.0</v>
      </c>
      <c r="U3009" s="1">
        <v>0.0</v>
      </c>
      <c r="W3009" s="1">
        <v>0.0</v>
      </c>
      <c r="Y3009" s="1">
        <v>0.0</v>
      </c>
      <c r="AA3009" s="1">
        <v>0.0</v>
      </c>
      <c r="AC3009" s="1">
        <v>0.0</v>
      </c>
      <c r="AM3009" s="1">
        <v>32683.0</v>
      </c>
      <c r="AN3009" s="1">
        <v>32683.0</v>
      </c>
      <c r="AO3009" s="1">
        <v>32683.0</v>
      </c>
      <c r="AP3009" s="1">
        <v>12.52</v>
      </c>
      <c r="AR3009" s="1">
        <v>0.0</v>
      </c>
      <c r="AW3009" s="1">
        <v>0.0</v>
      </c>
      <c r="AX3009" s="1">
        <v>7.0</v>
      </c>
      <c r="AY3009" s="1">
        <v>4.0</v>
      </c>
      <c r="BA3009" s="1">
        <v>0.0</v>
      </c>
      <c r="BB3009" s="1">
        <v>0.0</v>
      </c>
      <c r="BC3009" s="1">
        <v>0.0</v>
      </c>
      <c r="BD3009" s="1">
        <v>0.0</v>
      </c>
      <c r="BE3009" s="1">
        <v>0.0</v>
      </c>
      <c r="BF3009" s="1">
        <v>0.0</v>
      </c>
      <c r="BG3009" s="1">
        <v>0.0</v>
      </c>
      <c r="BH3009" s="1">
        <v>0.0</v>
      </c>
      <c r="BI3009" s="1">
        <v>0.0</v>
      </c>
      <c r="BJ3009" s="1">
        <v>0.0</v>
      </c>
      <c r="BP3009" s="1">
        <v>0.269</v>
      </c>
      <c r="BQ3009" s="1" t="s">
        <v>9053</v>
      </c>
      <c r="BV3009" s="1">
        <v>1.1</v>
      </c>
      <c r="EQ3009" s="9" t="s">
        <v>9052</v>
      </c>
      <c r="ER3009" s="21">
        <v>46045.30385416667</v>
      </c>
    </row>
    <row r="3010">
      <c r="A3010" s="9" t="s">
        <v>9054</v>
      </c>
      <c r="B3010" s="20" t="str">
        <f>IFERROR(__xludf.DUMMYFUNCTION("REGEXREPLACE(A3010, ""^https?://[^/]+"", """")"),"/wp-content/uploads/2022/01/assessment-2048x2048.jpg")</f>
        <v>/wp-content/uploads/2022/01/assessment-2048x2048.jpg</v>
      </c>
      <c r="F3010" s="1" t="s">
        <v>1004</v>
      </c>
      <c r="G3010" s="1">
        <v>200.0</v>
      </c>
      <c r="H3010" s="1" t="s">
        <v>966</v>
      </c>
      <c r="I3010" s="1" t="s">
        <v>967</v>
      </c>
      <c r="L3010" s="1">
        <v>0.0</v>
      </c>
      <c r="M3010" s="1">
        <v>0.0</v>
      </c>
      <c r="O3010" s="1">
        <v>0.0</v>
      </c>
      <c r="P3010" s="1">
        <v>0.0</v>
      </c>
      <c r="R3010" s="1">
        <v>0.0</v>
      </c>
      <c r="S3010" s="1">
        <v>0.0</v>
      </c>
      <c r="U3010" s="1">
        <v>0.0</v>
      </c>
      <c r="W3010" s="1">
        <v>0.0</v>
      </c>
      <c r="Y3010" s="1">
        <v>0.0</v>
      </c>
      <c r="AA3010" s="1">
        <v>0.0</v>
      </c>
      <c r="AC3010" s="1">
        <v>0.0</v>
      </c>
      <c r="AM3010" s="1">
        <v>508964.0</v>
      </c>
      <c r="AN3010" s="1">
        <v>508964.0</v>
      </c>
      <c r="AO3010" s="1">
        <v>508964.0</v>
      </c>
      <c r="AP3010" s="1">
        <v>194.974</v>
      </c>
      <c r="AR3010" s="1">
        <v>0.0</v>
      </c>
      <c r="AW3010" s="1">
        <v>0.0</v>
      </c>
      <c r="AX3010" s="1">
        <v>7.0</v>
      </c>
      <c r="AY3010" s="1">
        <v>4.0</v>
      </c>
      <c r="BA3010" s="1">
        <v>0.0</v>
      </c>
      <c r="BB3010" s="1">
        <v>0.0</v>
      </c>
      <c r="BC3010" s="1">
        <v>0.0</v>
      </c>
      <c r="BD3010" s="1">
        <v>0.0</v>
      </c>
      <c r="BE3010" s="1">
        <v>0.0</v>
      </c>
      <c r="BF3010" s="1">
        <v>0.0</v>
      </c>
      <c r="BG3010" s="1">
        <v>0.0</v>
      </c>
      <c r="BH3010" s="1">
        <v>0.0</v>
      </c>
      <c r="BI3010" s="1">
        <v>0.0</v>
      </c>
      <c r="BJ3010" s="1">
        <v>0.0</v>
      </c>
      <c r="BP3010" s="1">
        <v>0.27</v>
      </c>
      <c r="BQ3010" s="1" t="s">
        <v>9055</v>
      </c>
      <c r="BV3010" s="1">
        <v>1.1</v>
      </c>
      <c r="EQ3010" s="9" t="s">
        <v>9054</v>
      </c>
      <c r="ER3010" s="21">
        <v>46045.30385416667</v>
      </c>
    </row>
    <row r="3011">
      <c r="A3011" s="9" t="s">
        <v>9056</v>
      </c>
      <c r="B3011" s="20" t="str">
        <f>IFERROR(__xludf.DUMMYFUNCTION("REGEXREPLACE(A3011, ""^https?://[^/]+"", """")"),"/wp-content/themes/salesxceleratione/assets/css/style.css?ver=1769123790")</f>
        <v>/wp-content/themes/salesxceleratione/assets/css/style.css?ver=1769123790</v>
      </c>
      <c r="F3011" s="1" t="s">
        <v>1016</v>
      </c>
      <c r="G3011" s="1">
        <v>200.0</v>
      </c>
      <c r="H3011" s="1" t="s">
        <v>966</v>
      </c>
      <c r="I3011" s="1" t="s">
        <v>967</v>
      </c>
      <c r="L3011" s="1">
        <v>0.0</v>
      </c>
      <c r="M3011" s="1">
        <v>0.0</v>
      </c>
      <c r="O3011" s="1">
        <v>0.0</v>
      </c>
      <c r="P3011" s="1">
        <v>0.0</v>
      </c>
      <c r="R3011" s="1">
        <v>0.0</v>
      </c>
      <c r="S3011" s="1">
        <v>0.0</v>
      </c>
      <c r="U3011" s="1">
        <v>0.0</v>
      </c>
      <c r="W3011" s="1">
        <v>0.0</v>
      </c>
      <c r="Y3011" s="1">
        <v>0.0</v>
      </c>
      <c r="AA3011" s="1">
        <v>0.0</v>
      </c>
      <c r="AC3011" s="1">
        <v>0.0</v>
      </c>
      <c r="AM3011" s="1">
        <v>17704.0</v>
      </c>
      <c r="AN3011" s="1">
        <v>17704.0</v>
      </c>
      <c r="AO3011" s="1">
        <v>17704.0</v>
      </c>
      <c r="AP3011" s="1">
        <v>6.782</v>
      </c>
      <c r="AR3011" s="1">
        <v>0.0</v>
      </c>
      <c r="AW3011" s="1">
        <v>0.0</v>
      </c>
      <c r="AX3011" s="1">
        <v>7.0</v>
      </c>
      <c r="AY3011" s="1">
        <v>5.0</v>
      </c>
      <c r="BA3011" s="1">
        <v>0.0</v>
      </c>
      <c r="BB3011" s="1">
        <v>0.0</v>
      </c>
      <c r="BC3011" s="1">
        <v>0.0</v>
      </c>
      <c r="BD3011" s="1">
        <v>0.0</v>
      </c>
      <c r="BE3011" s="1">
        <v>0.0</v>
      </c>
      <c r="BF3011" s="1">
        <v>0.0</v>
      </c>
      <c r="BG3011" s="1">
        <v>0.0</v>
      </c>
      <c r="BH3011" s="1">
        <v>0.0</v>
      </c>
      <c r="BI3011" s="1">
        <v>0.0</v>
      </c>
      <c r="BJ3011" s="1">
        <v>0.0</v>
      </c>
      <c r="BP3011" s="1">
        <v>0.28</v>
      </c>
      <c r="BQ3011" s="1" t="s">
        <v>9057</v>
      </c>
      <c r="BV3011" s="1">
        <v>1.1</v>
      </c>
      <c r="EQ3011" s="9" t="s">
        <v>9056</v>
      </c>
      <c r="ER3011" s="21">
        <v>46045.30385416667</v>
      </c>
    </row>
    <row r="3012">
      <c r="A3012" s="9" t="s">
        <v>9058</v>
      </c>
      <c r="B3012" s="20" t="str">
        <f>IFERROR(__xludf.DUMMYFUNCTION("REGEXREPLACE(A3012, ""^https?://[^/]+"", """")"),"/wp-content/uploads/2020/06/shutterstock_738625801-scaled-1.jpg")</f>
        <v>/wp-content/uploads/2020/06/shutterstock_738625801-scaled-1.jpg</v>
      </c>
      <c r="F3012" s="1" t="s">
        <v>1004</v>
      </c>
      <c r="G3012" s="1">
        <v>200.0</v>
      </c>
      <c r="H3012" s="1" t="s">
        <v>966</v>
      </c>
      <c r="I3012" s="1" t="s">
        <v>967</v>
      </c>
      <c r="L3012" s="1">
        <v>0.0</v>
      </c>
      <c r="M3012" s="1">
        <v>0.0</v>
      </c>
      <c r="O3012" s="1">
        <v>0.0</v>
      </c>
      <c r="P3012" s="1">
        <v>0.0</v>
      </c>
      <c r="R3012" s="1">
        <v>0.0</v>
      </c>
      <c r="S3012" s="1">
        <v>0.0</v>
      </c>
      <c r="U3012" s="1">
        <v>0.0</v>
      </c>
      <c r="W3012" s="1">
        <v>0.0</v>
      </c>
      <c r="Y3012" s="1">
        <v>0.0</v>
      </c>
      <c r="AA3012" s="1">
        <v>0.0</v>
      </c>
      <c r="AC3012" s="1">
        <v>0.0</v>
      </c>
      <c r="AM3012" s="1">
        <v>183923.0</v>
      </c>
      <c r="AN3012" s="1">
        <v>183923.0</v>
      </c>
      <c r="AO3012" s="1">
        <v>183923.0</v>
      </c>
      <c r="AP3012" s="1">
        <v>70.457</v>
      </c>
      <c r="AR3012" s="1">
        <v>0.0</v>
      </c>
      <c r="AW3012" s="1">
        <v>0.0</v>
      </c>
      <c r="AX3012" s="1">
        <v>7.0</v>
      </c>
      <c r="AY3012" s="1">
        <v>4.0</v>
      </c>
      <c r="BA3012" s="1">
        <v>0.0</v>
      </c>
      <c r="BB3012" s="1">
        <v>0.0</v>
      </c>
      <c r="BC3012" s="1">
        <v>0.0</v>
      </c>
      <c r="BD3012" s="1">
        <v>0.0</v>
      </c>
      <c r="BE3012" s="1">
        <v>0.0</v>
      </c>
      <c r="BF3012" s="1">
        <v>0.0</v>
      </c>
      <c r="BG3012" s="1">
        <v>0.0</v>
      </c>
      <c r="BH3012" s="1">
        <v>0.0</v>
      </c>
      <c r="BI3012" s="1">
        <v>0.0</v>
      </c>
      <c r="BJ3012" s="1">
        <v>0.0</v>
      </c>
      <c r="BP3012" s="1">
        <v>0.28</v>
      </c>
      <c r="BQ3012" s="1" t="s">
        <v>9059</v>
      </c>
      <c r="BV3012" s="1">
        <v>1.1</v>
      </c>
      <c r="EQ3012" s="9" t="s">
        <v>9058</v>
      </c>
      <c r="ER3012" s="21">
        <v>46045.30385416667</v>
      </c>
    </row>
    <row r="3013">
      <c r="A3013" s="9" t="s">
        <v>9060</v>
      </c>
      <c r="B3013" s="20" t="str">
        <f>IFERROR(__xludf.DUMMYFUNCTION("REGEXREPLACE(A3013, ""^https?://[^/]+"", """")"),"/wp-content/uploads/2015/07/Profit-Article-Image.jpg")</f>
        <v>/wp-content/uploads/2015/07/Profit-Article-Image.jpg</v>
      </c>
      <c r="F3013" s="1" t="s">
        <v>1004</v>
      </c>
      <c r="G3013" s="1">
        <v>200.0</v>
      </c>
      <c r="H3013" s="1" t="s">
        <v>966</v>
      </c>
      <c r="I3013" s="1" t="s">
        <v>967</v>
      </c>
      <c r="L3013" s="1">
        <v>0.0</v>
      </c>
      <c r="M3013" s="1">
        <v>0.0</v>
      </c>
      <c r="O3013" s="1">
        <v>0.0</v>
      </c>
      <c r="P3013" s="1">
        <v>0.0</v>
      </c>
      <c r="R3013" s="1">
        <v>0.0</v>
      </c>
      <c r="S3013" s="1">
        <v>0.0</v>
      </c>
      <c r="U3013" s="1">
        <v>0.0</v>
      </c>
      <c r="W3013" s="1">
        <v>0.0</v>
      </c>
      <c r="Y3013" s="1">
        <v>0.0</v>
      </c>
      <c r="AA3013" s="1">
        <v>0.0</v>
      </c>
      <c r="AC3013" s="1">
        <v>0.0</v>
      </c>
      <c r="AM3013" s="1">
        <v>5631.0</v>
      </c>
      <c r="AN3013" s="1">
        <v>5631.0</v>
      </c>
      <c r="AO3013" s="1">
        <v>5631.0</v>
      </c>
      <c r="AP3013" s="1">
        <v>2.157</v>
      </c>
      <c r="AR3013" s="1">
        <v>0.0</v>
      </c>
      <c r="AW3013" s="1">
        <v>0.0</v>
      </c>
      <c r="AX3013" s="1">
        <v>7.0</v>
      </c>
      <c r="AY3013" s="1">
        <v>4.0</v>
      </c>
      <c r="BA3013" s="1">
        <v>0.0</v>
      </c>
      <c r="BB3013" s="1">
        <v>0.0</v>
      </c>
      <c r="BC3013" s="1">
        <v>0.0</v>
      </c>
      <c r="BD3013" s="1">
        <v>0.0</v>
      </c>
      <c r="BE3013" s="1">
        <v>0.0</v>
      </c>
      <c r="BF3013" s="1">
        <v>0.0</v>
      </c>
      <c r="BG3013" s="1">
        <v>0.0</v>
      </c>
      <c r="BH3013" s="1">
        <v>0.0</v>
      </c>
      <c r="BI3013" s="1">
        <v>0.0</v>
      </c>
      <c r="BJ3013" s="1">
        <v>0.0</v>
      </c>
      <c r="BP3013" s="1">
        <v>0.285</v>
      </c>
      <c r="BQ3013" s="1" t="s">
        <v>9061</v>
      </c>
      <c r="BV3013" s="1">
        <v>1.1</v>
      </c>
      <c r="EQ3013" s="9" t="s">
        <v>9060</v>
      </c>
      <c r="ER3013" s="21">
        <v>46045.30385416667</v>
      </c>
    </row>
    <row r="3014">
      <c r="A3014" s="9" t="s">
        <v>9062</v>
      </c>
      <c r="B3014" s="20" t="str">
        <f>IFERROR(__xludf.DUMMYFUNCTION("REGEXREPLACE(A3014, ""^https?://[^/]+"", """")"),"/wp-content/uploads/2015/03/strategic-sales-planning-business-on-track-sales-xcerleation.png")</f>
        <v>/wp-content/uploads/2015/03/strategic-sales-planning-business-on-track-sales-xcerleation.png</v>
      </c>
      <c r="F3014" s="1" t="s">
        <v>1047</v>
      </c>
      <c r="G3014" s="1">
        <v>200.0</v>
      </c>
      <c r="H3014" s="1" t="s">
        <v>966</v>
      </c>
      <c r="I3014" s="1" t="s">
        <v>967</v>
      </c>
      <c r="L3014" s="1">
        <v>0.0</v>
      </c>
      <c r="M3014" s="1">
        <v>0.0</v>
      </c>
      <c r="O3014" s="1">
        <v>0.0</v>
      </c>
      <c r="P3014" s="1">
        <v>0.0</v>
      </c>
      <c r="R3014" s="1">
        <v>0.0</v>
      </c>
      <c r="S3014" s="1">
        <v>0.0</v>
      </c>
      <c r="U3014" s="1">
        <v>0.0</v>
      </c>
      <c r="W3014" s="1">
        <v>0.0</v>
      </c>
      <c r="Y3014" s="1">
        <v>0.0</v>
      </c>
      <c r="AA3014" s="1">
        <v>0.0</v>
      </c>
      <c r="AC3014" s="1">
        <v>0.0</v>
      </c>
      <c r="AM3014" s="1">
        <v>466503.0</v>
      </c>
      <c r="AN3014" s="1">
        <v>466503.0</v>
      </c>
      <c r="AO3014" s="1">
        <v>466503.0</v>
      </c>
      <c r="AP3014" s="1">
        <v>178.708</v>
      </c>
      <c r="AR3014" s="1">
        <v>0.0</v>
      </c>
      <c r="AW3014" s="1">
        <v>0.0</v>
      </c>
      <c r="AX3014" s="1">
        <v>7.0</v>
      </c>
      <c r="AY3014" s="1">
        <v>4.0</v>
      </c>
      <c r="BA3014" s="1">
        <v>0.0</v>
      </c>
      <c r="BB3014" s="1">
        <v>0.0</v>
      </c>
      <c r="BC3014" s="1">
        <v>0.0</v>
      </c>
      <c r="BD3014" s="1">
        <v>0.0</v>
      </c>
      <c r="BE3014" s="1">
        <v>0.0</v>
      </c>
      <c r="BF3014" s="1">
        <v>0.0</v>
      </c>
      <c r="BG3014" s="1">
        <v>0.0</v>
      </c>
      <c r="BH3014" s="1">
        <v>0.0</v>
      </c>
      <c r="BI3014" s="1">
        <v>0.0</v>
      </c>
      <c r="BJ3014" s="1">
        <v>0.0</v>
      </c>
      <c r="BP3014" s="1">
        <v>0.263</v>
      </c>
      <c r="BQ3014" s="1" t="s">
        <v>9063</v>
      </c>
      <c r="BV3014" s="1">
        <v>1.1</v>
      </c>
      <c r="EQ3014" s="9" t="s">
        <v>9062</v>
      </c>
      <c r="ER3014" s="21">
        <v>46045.30386574074</v>
      </c>
    </row>
    <row r="3015">
      <c r="A3015" s="9" t="s">
        <v>9064</v>
      </c>
      <c r="B3015" s="20" t="str">
        <f>IFERROR(__xludf.DUMMYFUNCTION("REGEXREPLACE(A3015, ""^https?://[^/]+"", """")"),"/wp-content/themes/salesxceleratione/assets/css/style.css?ver=1769123789")</f>
        <v>/wp-content/themes/salesxceleratione/assets/css/style.css?ver=1769123789</v>
      </c>
      <c r="F3015" s="1" t="s">
        <v>1016</v>
      </c>
      <c r="G3015" s="1">
        <v>200.0</v>
      </c>
      <c r="H3015" s="1" t="s">
        <v>966</v>
      </c>
      <c r="I3015" s="1" t="s">
        <v>967</v>
      </c>
      <c r="L3015" s="1">
        <v>0.0</v>
      </c>
      <c r="M3015" s="1">
        <v>0.0</v>
      </c>
      <c r="O3015" s="1">
        <v>0.0</v>
      </c>
      <c r="P3015" s="1">
        <v>0.0</v>
      </c>
      <c r="R3015" s="1">
        <v>0.0</v>
      </c>
      <c r="S3015" s="1">
        <v>0.0</v>
      </c>
      <c r="U3015" s="1">
        <v>0.0</v>
      </c>
      <c r="W3015" s="1">
        <v>0.0</v>
      </c>
      <c r="Y3015" s="1">
        <v>0.0</v>
      </c>
      <c r="AA3015" s="1">
        <v>0.0</v>
      </c>
      <c r="AC3015" s="1">
        <v>0.0</v>
      </c>
      <c r="AM3015" s="1">
        <v>17704.0</v>
      </c>
      <c r="AN3015" s="1">
        <v>17704.0</v>
      </c>
      <c r="AO3015" s="1">
        <v>17704.0</v>
      </c>
      <c r="AP3015" s="1">
        <v>6.782</v>
      </c>
      <c r="AR3015" s="1">
        <v>0.0</v>
      </c>
      <c r="AW3015" s="1">
        <v>0.0</v>
      </c>
      <c r="AX3015" s="1">
        <v>7.0</v>
      </c>
      <c r="AY3015" s="1">
        <v>5.0</v>
      </c>
      <c r="BA3015" s="1">
        <v>0.0</v>
      </c>
      <c r="BB3015" s="1">
        <v>0.0</v>
      </c>
      <c r="BC3015" s="1">
        <v>0.0</v>
      </c>
      <c r="BD3015" s="1">
        <v>0.0</v>
      </c>
      <c r="BE3015" s="1">
        <v>0.0</v>
      </c>
      <c r="BF3015" s="1">
        <v>0.0</v>
      </c>
      <c r="BG3015" s="1">
        <v>0.0</v>
      </c>
      <c r="BH3015" s="1">
        <v>0.0</v>
      </c>
      <c r="BI3015" s="1">
        <v>0.0</v>
      </c>
      <c r="BJ3015" s="1">
        <v>0.0</v>
      </c>
      <c r="BP3015" s="1">
        <v>0.289</v>
      </c>
      <c r="BQ3015" s="1" t="s">
        <v>9065</v>
      </c>
      <c r="BV3015" s="1">
        <v>1.1</v>
      </c>
      <c r="EQ3015" s="9" t="s">
        <v>9064</v>
      </c>
      <c r="ER3015" s="21">
        <v>46045.30386574074</v>
      </c>
    </row>
    <row r="3016">
      <c r="A3016" s="9" t="s">
        <v>9066</v>
      </c>
      <c r="B3016" s="20" t="str">
        <f>IFERROR(__xludf.DUMMYFUNCTION("REGEXREPLACE(A3016, ""^https?://[^/]+"", """")"),"/wp-content/uploads/2015/11/Sales-Plan-RS-72-dpi-560-x-225-2048x2048.jpg")</f>
        <v>/wp-content/uploads/2015/11/Sales-Plan-RS-72-dpi-560-x-225-2048x2048.jpg</v>
      </c>
      <c r="F3016" s="1" t="s">
        <v>1004</v>
      </c>
      <c r="G3016" s="1">
        <v>200.0</v>
      </c>
      <c r="H3016" s="1" t="s">
        <v>966</v>
      </c>
      <c r="I3016" s="1" t="s">
        <v>967</v>
      </c>
      <c r="L3016" s="1">
        <v>0.0</v>
      </c>
      <c r="M3016" s="1">
        <v>0.0</v>
      </c>
      <c r="O3016" s="1">
        <v>0.0</v>
      </c>
      <c r="P3016" s="1">
        <v>0.0</v>
      </c>
      <c r="R3016" s="1">
        <v>0.0</v>
      </c>
      <c r="S3016" s="1">
        <v>0.0</v>
      </c>
      <c r="U3016" s="1">
        <v>0.0</v>
      </c>
      <c r="W3016" s="1">
        <v>0.0</v>
      </c>
      <c r="Y3016" s="1">
        <v>0.0</v>
      </c>
      <c r="AA3016" s="1">
        <v>0.0</v>
      </c>
      <c r="AC3016" s="1">
        <v>0.0</v>
      </c>
      <c r="AM3016" s="1">
        <v>380721.0</v>
      </c>
      <c r="AN3016" s="1">
        <v>380721.0</v>
      </c>
      <c r="AO3016" s="1">
        <v>380721.0</v>
      </c>
      <c r="AP3016" s="1">
        <v>145.847</v>
      </c>
      <c r="AR3016" s="1">
        <v>0.0</v>
      </c>
      <c r="AW3016" s="1">
        <v>0.0</v>
      </c>
      <c r="AX3016" s="1">
        <v>7.0</v>
      </c>
      <c r="AY3016" s="1">
        <v>4.0</v>
      </c>
      <c r="BA3016" s="1">
        <v>0.0</v>
      </c>
      <c r="BB3016" s="1">
        <v>0.0</v>
      </c>
      <c r="BC3016" s="1">
        <v>0.0</v>
      </c>
      <c r="BD3016" s="1">
        <v>0.0</v>
      </c>
      <c r="BE3016" s="1">
        <v>0.0</v>
      </c>
      <c r="BF3016" s="1">
        <v>0.0</v>
      </c>
      <c r="BG3016" s="1">
        <v>0.0</v>
      </c>
      <c r="BH3016" s="1">
        <v>0.0</v>
      </c>
      <c r="BI3016" s="1">
        <v>0.0</v>
      </c>
      <c r="BJ3016" s="1">
        <v>0.0</v>
      </c>
      <c r="BP3016" s="1">
        <v>0.277</v>
      </c>
      <c r="BQ3016" s="1" t="s">
        <v>9067</v>
      </c>
      <c r="BV3016" s="1">
        <v>1.1</v>
      </c>
      <c r="EQ3016" s="9" t="s">
        <v>9066</v>
      </c>
      <c r="ER3016" s="21">
        <v>46045.30386574074</v>
      </c>
    </row>
    <row r="3017">
      <c r="A3017" s="9" t="s">
        <v>9068</v>
      </c>
      <c r="B3017" s="20" t="str">
        <f>IFERROR(__xludf.DUMMYFUNCTION("REGEXREPLACE(A3017, ""^https?://[^/]+"", """")"),"/wp-content/uploads/2018/10/9d37d0fc-d7c3-11e8-8b20-d6718e0bd3f4.jpg")</f>
        <v>/wp-content/uploads/2018/10/9d37d0fc-d7c3-11e8-8b20-d6718e0bd3f4.jpg</v>
      </c>
      <c r="F3017" s="1" t="s">
        <v>1004</v>
      </c>
      <c r="G3017" s="1">
        <v>200.0</v>
      </c>
      <c r="H3017" s="1" t="s">
        <v>966</v>
      </c>
      <c r="I3017" s="1" t="s">
        <v>967</v>
      </c>
      <c r="L3017" s="1">
        <v>0.0</v>
      </c>
      <c r="M3017" s="1">
        <v>0.0</v>
      </c>
      <c r="O3017" s="1">
        <v>0.0</v>
      </c>
      <c r="P3017" s="1">
        <v>0.0</v>
      </c>
      <c r="R3017" s="1">
        <v>0.0</v>
      </c>
      <c r="S3017" s="1">
        <v>0.0</v>
      </c>
      <c r="U3017" s="1">
        <v>0.0</v>
      </c>
      <c r="W3017" s="1">
        <v>0.0</v>
      </c>
      <c r="Y3017" s="1">
        <v>0.0</v>
      </c>
      <c r="AA3017" s="1">
        <v>0.0</v>
      </c>
      <c r="AC3017" s="1">
        <v>0.0</v>
      </c>
      <c r="AM3017" s="1">
        <v>69055.0</v>
      </c>
      <c r="AN3017" s="1">
        <v>69055.0</v>
      </c>
      <c r="AO3017" s="1">
        <v>69055.0</v>
      </c>
      <c r="AP3017" s="1">
        <v>26.454</v>
      </c>
      <c r="AR3017" s="1">
        <v>0.0</v>
      </c>
      <c r="AW3017" s="1">
        <v>0.0</v>
      </c>
      <c r="AX3017" s="1">
        <v>7.0</v>
      </c>
      <c r="AY3017" s="1">
        <v>4.0</v>
      </c>
      <c r="BA3017" s="1">
        <v>0.0</v>
      </c>
      <c r="BB3017" s="1">
        <v>0.0</v>
      </c>
      <c r="BC3017" s="1">
        <v>0.0</v>
      </c>
      <c r="BD3017" s="1">
        <v>0.0</v>
      </c>
      <c r="BE3017" s="1">
        <v>0.0</v>
      </c>
      <c r="BF3017" s="1">
        <v>0.0</v>
      </c>
      <c r="BG3017" s="1">
        <v>0.0</v>
      </c>
      <c r="BH3017" s="1">
        <v>0.0</v>
      </c>
      <c r="BI3017" s="1">
        <v>0.0</v>
      </c>
      <c r="BJ3017" s="1">
        <v>0.0</v>
      </c>
      <c r="BP3017" s="1">
        <v>0.33</v>
      </c>
      <c r="BQ3017" s="1" t="s">
        <v>9069</v>
      </c>
      <c r="BV3017" s="1">
        <v>1.1</v>
      </c>
      <c r="EQ3017" s="9" t="s">
        <v>9068</v>
      </c>
      <c r="ER3017" s="21">
        <v>46045.30386574074</v>
      </c>
    </row>
    <row r="3018">
      <c r="A3018" s="9" t="s">
        <v>9070</v>
      </c>
      <c r="B3018" s="20" t="str">
        <f>IFERROR(__xludf.DUMMYFUNCTION("REGEXREPLACE(A3018, ""^https?://[^/]+"", """")"),"/wp-content/themes/salesxceleratione/assets/css/style.css?ver=1769123788")</f>
        <v>/wp-content/themes/salesxceleratione/assets/css/style.css?ver=1769123788</v>
      </c>
      <c r="F3018" s="1" t="s">
        <v>1016</v>
      </c>
      <c r="G3018" s="1">
        <v>200.0</v>
      </c>
      <c r="H3018" s="1" t="s">
        <v>966</v>
      </c>
      <c r="I3018" s="1" t="s">
        <v>967</v>
      </c>
      <c r="L3018" s="1">
        <v>0.0</v>
      </c>
      <c r="M3018" s="1">
        <v>0.0</v>
      </c>
      <c r="O3018" s="1">
        <v>0.0</v>
      </c>
      <c r="P3018" s="1">
        <v>0.0</v>
      </c>
      <c r="R3018" s="1">
        <v>0.0</v>
      </c>
      <c r="S3018" s="1">
        <v>0.0</v>
      </c>
      <c r="U3018" s="1">
        <v>0.0</v>
      </c>
      <c r="W3018" s="1">
        <v>0.0</v>
      </c>
      <c r="Y3018" s="1">
        <v>0.0</v>
      </c>
      <c r="AA3018" s="1">
        <v>0.0</v>
      </c>
      <c r="AC3018" s="1">
        <v>0.0</v>
      </c>
      <c r="AM3018" s="1">
        <v>17704.0</v>
      </c>
      <c r="AN3018" s="1">
        <v>17704.0</v>
      </c>
      <c r="AO3018" s="1">
        <v>17704.0</v>
      </c>
      <c r="AP3018" s="1">
        <v>6.782</v>
      </c>
      <c r="AR3018" s="1">
        <v>0.0</v>
      </c>
      <c r="AW3018" s="1">
        <v>0.0</v>
      </c>
      <c r="AX3018" s="1">
        <v>7.0</v>
      </c>
      <c r="AY3018" s="1">
        <v>5.0</v>
      </c>
      <c r="BA3018" s="1">
        <v>0.0</v>
      </c>
      <c r="BB3018" s="1">
        <v>0.0</v>
      </c>
      <c r="BC3018" s="1">
        <v>0.0</v>
      </c>
      <c r="BD3018" s="1">
        <v>0.0</v>
      </c>
      <c r="BE3018" s="1">
        <v>0.0</v>
      </c>
      <c r="BF3018" s="1">
        <v>0.0</v>
      </c>
      <c r="BG3018" s="1">
        <v>0.0</v>
      </c>
      <c r="BH3018" s="1">
        <v>0.0</v>
      </c>
      <c r="BI3018" s="1">
        <v>0.0</v>
      </c>
      <c r="BJ3018" s="1">
        <v>0.0</v>
      </c>
      <c r="BP3018" s="1">
        <v>0.27</v>
      </c>
      <c r="BQ3018" s="1" t="s">
        <v>9065</v>
      </c>
      <c r="BV3018" s="1">
        <v>1.1</v>
      </c>
      <c r="EQ3018" s="9" t="s">
        <v>9070</v>
      </c>
      <c r="ER3018" s="21">
        <v>46045.30386574074</v>
      </c>
    </row>
    <row r="3019">
      <c r="A3019" s="9" t="s">
        <v>9071</v>
      </c>
      <c r="B3019" s="20" t="str">
        <f>IFERROR(__xludf.DUMMYFUNCTION("REGEXREPLACE(A3019, ""^https?://[^/]+"", """")"),"/wp-content/uploads/2020/03/Businessman_preventing_the_dominos_from_crumbling.jpg")</f>
        <v>/wp-content/uploads/2020/03/Businessman_preventing_the_dominos_from_crumbling.jpg</v>
      </c>
      <c r="F3019" s="1" t="s">
        <v>1004</v>
      </c>
      <c r="G3019" s="1">
        <v>200.0</v>
      </c>
      <c r="H3019" s="1" t="s">
        <v>966</v>
      </c>
      <c r="I3019" s="1" t="s">
        <v>967</v>
      </c>
      <c r="L3019" s="1">
        <v>0.0</v>
      </c>
      <c r="M3019" s="1">
        <v>0.0</v>
      </c>
      <c r="O3019" s="1">
        <v>0.0</v>
      </c>
      <c r="P3019" s="1">
        <v>0.0</v>
      </c>
      <c r="R3019" s="1">
        <v>0.0</v>
      </c>
      <c r="S3019" s="1">
        <v>0.0</v>
      </c>
      <c r="U3019" s="1">
        <v>0.0</v>
      </c>
      <c r="W3019" s="1">
        <v>0.0</v>
      </c>
      <c r="Y3019" s="1">
        <v>0.0</v>
      </c>
      <c r="AA3019" s="1">
        <v>0.0</v>
      </c>
      <c r="AC3019" s="1">
        <v>0.0</v>
      </c>
      <c r="AM3019" s="1">
        <v>121072.0</v>
      </c>
      <c r="AN3019" s="1">
        <v>121072.0</v>
      </c>
      <c r="AO3019" s="1">
        <v>121072.0</v>
      </c>
      <c r="AP3019" s="1">
        <v>46.38</v>
      </c>
      <c r="AR3019" s="1">
        <v>0.0</v>
      </c>
      <c r="AW3019" s="1">
        <v>0.0</v>
      </c>
      <c r="AX3019" s="1">
        <v>7.0</v>
      </c>
      <c r="AY3019" s="1">
        <v>4.0</v>
      </c>
      <c r="BA3019" s="1">
        <v>0.0</v>
      </c>
      <c r="BB3019" s="1">
        <v>0.0</v>
      </c>
      <c r="BC3019" s="1">
        <v>0.0</v>
      </c>
      <c r="BD3019" s="1">
        <v>0.0</v>
      </c>
      <c r="BE3019" s="1">
        <v>0.0</v>
      </c>
      <c r="BF3019" s="1">
        <v>0.0</v>
      </c>
      <c r="BG3019" s="1">
        <v>0.0</v>
      </c>
      <c r="BH3019" s="1">
        <v>0.0</v>
      </c>
      <c r="BI3019" s="1">
        <v>0.0</v>
      </c>
      <c r="BJ3019" s="1">
        <v>0.0</v>
      </c>
      <c r="BP3019" s="1">
        <v>0.275</v>
      </c>
      <c r="BQ3019" s="1" t="s">
        <v>9072</v>
      </c>
      <c r="BV3019" s="1">
        <v>1.1</v>
      </c>
      <c r="EQ3019" s="9" t="s">
        <v>9071</v>
      </c>
      <c r="ER3019" s="21">
        <v>46045.30386574074</v>
      </c>
    </row>
    <row r="3020">
      <c r="A3020" s="9" t="s">
        <v>9073</v>
      </c>
      <c r="B3020" s="20" t="str">
        <f>IFERROR(__xludf.DUMMYFUNCTION("REGEXREPLACE(A3020, ""^https?://[^/]+"", """")"),"/wp-content/uploads/2016/07/Hiring-Outsourcing-RS-72-560-x-225.jpg")</f>
        <v>/wp-content/uploads/2016/07/Hiring-Outsourcing-RS-72-560-x-225.jpg</v>
      </c>
      <c r="F3020" s="1" t="s">
        <v>1004</v>
      </c>
      <c r="G3020" s="1">
        <v>200.0</v>
      </c>
      <c r="H3020" s="1" t="s">
        <v>966</v>
      </c>
      <c r="I3020" s="1" t="s">
        <v>967</v>
      </c>
      <c r="L3020" s="1">
        <v>0.0</v>
      </c>
      <c r="M3020" s="1">
        <v>0.0</v>
      </c>
      <c r="O3020" s="1">
        <v>0.0</v>
      </c>
      <c r="P3020" s="1">
        <v>0.0</v>
      </c>
      <c r="R3020" s="1">
        <v>0.0</v>
      </c>
      <c r="S3020" s="1">
        <v>0.0</v>
      </c>
      <c r="U3020" s="1">
        <v>0.0</v>
      </c>
      <c r="W3020" s="1">
        <v>0.0</v>
      </c>
      <c r="Y3020" s="1">
        <v>0.0</v>
      </c>
      <c r="AA3020" s="1">
        <v>0.0</v>
      </c>
      <c r="AC3020" s="1">
        <v>0.0</v>
      </c>
      <c r="AM3020" s="1">
        <v>35355.0</v>
      </c>
      <c r="AN3020" s="1">
        <v>35355.0</v>
      </c>
      <c r="AO3020" s="1">
        <v>35355.0</v>
      </c>
      <c r="AP3020" s="1">
        <v>13.544</v>
      </c>
      <c r="AR3020" s="1">
        <v>0.0</v>
      </c>
      <c r="AW3020" s="1">
        <v>0.0</v>
      </c>
      <c r="AX3020" s="1">
        <v>7.0</v>
      </c>
      <c r="AY3020" s="1">
        <v>4.0</v>
      </c>
      <c r="BA3020" s="1">
        <v>0.0</v>
      </c>
      <c r="BB3020" s="1">
        <v>0.0</v>
      </c>
      <c r="BC3020" s="1">
        <v>0.0</v>
      </c>
      <c r="BD3020" s="1">
        <v>0.0</v>
      </c>
      <c r="BE3020" s="1">
        <v>0.0</v>
      </c>
      <c r="BF3020" s="1">
        <v>0.0</v>
      </c>
      <c r="BG3020" s="1">
        <v>0.0</v>
      </c>
      <c r="BH3020" s="1">
        <v>0.0</v>
      </c>
      <c r="BI3020" s="1">
        <v>0.0</v>
      </c>
      <c r="BJ3020" s="1">
        <v>0.0</v>
      </c>
      <c r="BP3020" s="1">
        <v>0.283</v>
      </c>
      <c r="BQ3020" s="1" t="s">
        <v>9074</v>
      </c>
      <c r="BV3020" s="1">
        <v>1.1</v>
      </c>
      <c r="EQ3020" s="9" t="s">
        <v>9073</v>
      </c>
      <c r="ER3020" s="21">
        <v>46045.30386574074</v>
      </c>
    </row>
    <row r="3021">
      <c r="A3021" s="9" t="s">
        <v>9075</v>
      </c>
      <c r="B3021" s="20" t="str">
        <f>IFERROR(__xludf.DUMMYFUNCTION("REGEXREPLACE(A3021, ""^https?://[^/]+"", """")"),"/wp-content/themes/salesxceleratione/assets/css/style.css?ver=1769123787")</f>
        <v>/wp-content/themes/salesxceleratione/assets/css/style.css?ver=1769123787</v>
      </c>
      <c r="F3021" s="1" t="s">
        <v>1016</v>
      </c>
      <c r="G3021" s="1">
        <v>200.0</v>
      </c>
      <c r="H3021" s="1" t="s">
        <v>966</v>
      </c>
      <c r="I3021" s="1" t="s">
        <v>967</v>
      </c>
      <c r="L3021" s="1">
        <v>0.0</v>
      </c>
      <c r="M3021" s="1">
        <v>0.0</v>
      </c>
      <c r="O3021" s="1">
        <v>0.0</v>
      </c>
      <c r="P3021" s="1">
        <v>0.0</v>
      </c>
      <c r="R3021" s="1">
        <v>0.0</v>
      </c>
      <c r="S3021" s="1">
        <v>0.0</v>
      </c>
      <c r="U3021" s="1">
        <v>0.0</v>
      </c>
      <c r="W3021" s="1">
        <v>0.0</v>
      </c>
      <c r="Y3021" s="1">
        <v>0.0</v>
      </c>
      <c r="AA3021" s="1">
        <v>0.0</v>
      </c>
      <c r="AC3021" s="1">
        <v>0.0</v>
      </c>
      <c r="AM3021" s="1">
        <v>17704.0</v>
      </c>
      <c r="AN3021" s="1">
        <v>17704.0</v>
      </c>
      <c r="AO3021" s="1">
        <v>17704.0</v>
      </c>
      <c r="AP3021" s="1">
        <v>6.782</v>
      </c>
      <c r="AR3021" s="1">
        <v>0.0</v>
      </c>
      <c r="AW3021" s="1">
        <v>0.0</v>
      </c>
      <c r="AX3021" s="1">
        <v>7.0</v>
      </c>
      <c r="AY3021" s="1">
        <v>5.0</v>
      </c>
      <c r="BA3021" s="1">
        <v>0.0</v>
      </c>
      <c r="BB3021" s="1">
        <v>0.0</v>
      </c>
      <c r="BC3021" s="1">
        <v>0.0</v>
      </c>
      <c r="BD3021" s="1">
        <v>0.0</v>
      </c>
      <c r="BE3021" s="1">
        <v>0.0</v>
      </c>
      <c r="BF3021" s="1">
        <v>0.0</v>
      </c>
      <c r="BG3021" s="1">
        <v>0.0</v>
      </c>
      <c r="BH3021" s="1">
        <v>0.0</v>
      </c>
      <c r="BI3021" s="1">
        <v>0.0</v>
      </c>
      <c r="BJ3021" s="1">
        <v>0.0</v>
      </c>
      <c r="BP3021" s="1">
        <v>0.358</v>
      </c>
      <c r="BQ3021" s="1" t="s">
        <v>9065</v>
      </c>
      <c r="BV3021" s="1">
        <v>1.1</v>
      </c>
      <c r="EQ3021" s="9" t="s">
        <v>9075</v>
      </c>
      <c r="ER3021" s="21">
        <v>46045.30386574074</v>
      </c>
    </row>
    <row r="3022">
      <c r="A3022" s="9" t="s">
        <v>9076</v>
      </c>
      <c r="B3022" s="20" t="str">
        <f>IFERROR(__xludf.DUMMYFUNCTION("REGEXREPLACE(A3022, ""^https?://[^/]+"", """")"),"/wp-content/uploads/2015/10/writing-933262_640.jpg")</f>
        <v>/wp-content/uploads/2015/10/writing-933262_640.jpg</v>
      </c>
      <c r="F3022" s="1" t="s">
        <v>1004</v>
      </c>
      <c r="G3022" s="1">
        <v>200.0</v>
      </c>
      <c r="H3022" s="1" t="s">
        <v>966</v>
      </c>
      <c r="I3022" s="1" t="s">
        <v>967</v>
      </c>
      <c r="L3022" s="1">
        <v>0.0</v>
      </c>
      <c r="M3022" s="1">
        <v>0.0</v>
      </c>
      <c r="O3022" s="1">
        <v>0.0</v>
      </c>
      <c r="P3022" s="1">
        <v>0.0</v>
      </c>
      <c r="R3022" s="1">
        <v>0.0</v>
      </c>
      <c r="S3022" s="1">
        <v>0.0</v>
      </c>
      <c r="U3022" s="1">
        <v>0.0</v>
      </c>
      <c r="W3022" s="1">
        <v>0.0</v>
      </c>
      <c r="Y3022" s="1">
        <v>0.0</v>
      </c>
      <c r="AA3022" s="1">
        <v>0.0</v>
      </c>
      <c r="AC3022" s="1">
        <v>0.0</v>
      </c>
      <c r="AM3022" s="1">
        <v>35553.0</v>
      </c>
      <c r="AN3022" s="1">
        <v>35553.0</v>
      </c>
      <c r="AO3022" s="1">
        <v>35553.0</v>
      </c>
      <c r="AP3022" s="1">
        <v>13.62</v>
      </c>
      <c r="AR3022" s="1">
        <v>0.0</v>
      </c>
      <c r="AW3022" s="1">
        <v>0.0</v>
      </c>
      <c r="AX3022" s="1">
        <v>7.0</v>
      </c>
      <c r="AY3022" s="1">
        <v>4.0</v>
      </c>
      <c r="BA3022" s="1">
        <v>0.0</v>
      </c>
      <c r="BB3022" s="1">
        <v>0.0</v>
      </c>
      <c r="BC3022" s="1">
        <v>0.0</v>
      </c>
      <c r="BD3022" s="1">
        <v>0.0</v>
      </c>
      <c r="BE3022" s="1">
        <v>0.0</v>
      </c>
      <c r="BF3022" s="1">
        <v>0.0</v>
      </c>
      <c r="BG3022" s="1">
        <v>0.0</v>
      </c>
      <c r="BH3022" s="1">
        <v>0.0</v>
      </c>
      <c r="BI3022" s="1">
        <v>0.0</v>
      </c>
      <c r="BJ3022" s="1">
        <v>0.0</v>
      </c>
      <c r="BP3022" s="1">
        <v>0.277</v>
      </c>
      <c r="BQ3022" s="1" t="s">
        <v>9077</v>
      </c>
      <c r="BV3022" s="1">
        <v>1.1</v>
      </c>
      <c r="EQ3022" s="9" t="s">
        <v>9076</v>
      </c>
      <c r="ER3022" s="21">
        <v>46045.30386574074</v>
      </c>
    </row>
    <row r="3023">
      <c r="A3023" s="9" t="s">
        <v>9078</v>
      </c>
      <c r="B3023" s="20" t="str">
        <f>IFERROR(__xludf.DUMMYFUNCTION("REGEXREPLACE(A3023, ""^https?://[^/]+"", """")"),"/wp-content/themes/salesxceleratione/assets/css/style.css?ver=1769123786")</f>
        <v>/wp-content/themes/salesxceleratione/assets/css/style.css?ver=1769123786</v>
      </c>
      <c r="F3023" s="1" t="s">
        <v>1016</v>
      </c>
      <c r="G3023" s="1">
        <v>200.0</v>
      </c>
      <c r="H3023" s="1" t="s">
        <v>966</v>
      </c>
      <c r="I3023" s="1" t="s">
        <v>967</v>
      </c>
      <c r="L3023" s="1">
        <v>0.0</v>
      </c>
      <c r="M3023" s="1">
        <v>0.0</v>
      </c>
      <c r="O3023" s="1">
        <v>0.0</v>
      </c>
      <c r="P3023" s="1">
        <v>0.0</v>
      </c>
      <c r="R3023" s="1">
        <v>0.0</v>
      </c>
      <c r="S3023" s="1">
        <v>0.0</v>
      </c>
      <c r="U3023" s="1">
        <v>0.0</v>
      </c>
      <c r="W3023" s="1">
        <v>0.0</v>
      </c>
      <c r="Y3023" s="1">
        <v>0.0</v>
      </c>
      <c r="AA3023" s="1">
        <v>0.0</v>
      </c>
      <c r="AC3023" s="1">
        <v>0.0</v>
      </c>
      <c r="AM3023" s="1">
        <v>17704.0</v>
      </c>
      <c r="AN3023" s="1">
        <v>17704.0</v>
      </c>
      <c r="AO3023" s="1">
        <v>17704.0</v>
      </c>
      <c r="AP3023" s="1">
        <v>6.782</v>
      </c>
      <c r="AR3023" s="1">
        <v>0.0</v>
      </c>
      <c r="AW3023" s="1">
        <v>0.0</v>
      </c>
      <c r="AX3023" s="1">
        <v>7.0</v>
      </c>
      <c r="AY3023" s="1">
        <v>5.0</v>
      </c>
      <c r="BA3023" s="1">
        <v>0.0</v>
      </c>
      <c r="BB3023" s="1">
        <v>0.0</v>
      </c>
      <c r="BC3023" s="1">
        <v>0.0</v>
      </c>
      <c r="BD3023" s="1">
        <v>0.0</v>
      </c>
      <c r="BE3023" s="1">
        <v>0.0</v>
      </c>
      <c r="BF3023" s="1">
        <v>0.0</v>
      </c>
      <c r="BG3023" s="1">
        <v>0.0</v>
      </c>
      <c r="BH3023" s="1">
        <v>0.0</v>
      </c>
      <c r="BI3023" s="1">
        <v>0.0</v>
      </c>
      <c r="BJ3023" s="1">
        <v>0.0</v>
      </c>
      <c r="BP3023" s="1">
        <v>0.276</v>
      </c>
      <c r="BQ3023" s="1" t="s">
        <v>9065</v>
      </c>
      <c r="BV3023" s="1">
        <v>1.1</v>
      </c>
      <c r="EQ3023" s="9" t="s">
        <v>9078</v>
      </c>
      <c r="ER3023" s="21">
        <v>46045.30386574074</v>
      </c>
    </row>
    <row r="3024">
      <c r="A3024" s="9" t="s">
        <v>9079</v>
      </c>
      <c r="B3024" s="20" t="str">
        <f>IFERROR(__xludf.DUMMYFUNCTION("REGEXREPLACE(A3024, ""^https?://[^/]+"", """")"),"/wp-content/themes/salesxceleratione/assets/css/style.css?ver=1769123849")</f>
        <v>/wp-content/themes/salesxceleratione/assets/css/style.css?ver=1769123849</v>
      </c>
      <c r="F3024" s="1" t="s">
        <v>1016</v>
      </c>
      <c r="G3024" s="1">
        <v>200.0</v>
      </c>
      <c r="H3024" s="1" t="s">
        <v>966</v>
      </c>
      <c r="I3024" s="1" t="s">
        <v>967</v>
      </c>
      <c r="L3024" s="1">
        <v>0.0</v>
      </c>
      <c r="M3024" s="1">
        <v>0.0</v>
      </c>
      <c r="O3024" s="1">
        <v>0.0</v>
      </c>
      <c r="P3024" s="1">
        <v>0.0</v>
      </c>
      <c r="R3024" s="1">
        <v>0.0</v>
      </c>
      <c r="S3024" s="1">
        <v>0.0</v>
      </c>
      <c r="U3024" s="1">
        <v>0.0</v>
      </c>
      <c r="W3024" s="1">
        <v>0.0</v>
      </c>
      <c r="Y3024" s="1">
        <v>0.0</v>
      </c>
      <c r="AA3024" s="1">
        <v>0.0</v>
      </c>
      <c r="AC3024" s="1">
        <v>0.0</v>
      </c>
      <c r="AM3024" s="1">
        <v>17704.0</v>
      </c>
      <c r="AN3024" s="1">
        <v>17704.0</v>
      </c>
      <c r="AO3024" s="1">
        <v>17704.0</v>
      </c>
      <c r="AP3024" s="1">
        <v>6.782</v>
      </c>
      <c r="AR3024" s="1">
        <v>0.0</v>
      </c>
      <c r="AW3024" s="1">
        <v>0.0</v>
      </c>
      <c r="AX3024" s="1">
        <v>8.0</v>
      </c>
      <c r="AY3024" s="1">
        <v>5.0</v>
      </c>
      <c r="BA3024" s="1">
        <v>0.0</v>
      </c>
      <c r="BB3024" s="1">
        <v>0.0</v>
      </c>
      <c r="BC3024" s="1">
        <v>0.0</v>
      </c>
      <c r="BD3024" s="1">
        <v>0.0</v>
      </c>
      <c r="BE3024" s="1">
        <v>0.0</v>
      </c>
      <c r="BF3024" s="1">
        <v>0.0</v>
      </c>
      <c r="BG3024" s="1">
        <v>0.0</v>
      </c>
      <c r="BH3024" s="1">
        <v>0.0</v>
      </c>
      <c r="BI3024" s="1">
        <v>0.0</v>
      </c>
      <c r="BJ3024" s="1">
        <v>0.0</v>
      </c>
      <c r="BP3024" s="1">
        <v>0.28</v>
      </c>
      <c r="BQ3024" s="1" t="s">
        <v>9065</v>
      </c>
      <c r="BV3024" s="1">
        <v>1.1</v>
      </c>
      <c r="EQ3024" s="9" t="s">
        <v>9079</v>
      </c>
      <c r="ER3024" s="21">
        <v>46045.30386574074</v>
      </c>
    </row>
    <row r="3025">
      <c r="A3025" s="9" t="s">
        <v>9080</v>
      </c>
      <c r="B3025" s="20" t="str">
        <f>IFERROR(__xludf.DUMMYFUNCTION("REGEXREPLACE(A3025, ""^https?://[^/]+"", """")"),"/wp-content/uploads/elementor/css/post-21389.css?ver=1768849909")</f>
        <v>/wp-content/uploads/elementor/css/post-21389.css?ver=1768849909</v>
      </c>
      <c r="F3025" s="1" t="s">
        <v>1016</v>
      </c>
      <c r="G3025" s="1">
        <v>200.0</v>
      </c>
      <c r="H3025" s="1" t="s">
        <v>966</v>
      </c>
      <c r="I3025" s="1" t="s">
        <v>967</v>
      </c>
      <c r="L3025" s="1">
        <v>0.0</v>
      </c>
      <c r="M3025" s="1">
        <v>0.0</v>
      </c>
      <c r="O3025" s="1">
        <v>0.0</v>
      </c>
      <c r="P3025" s="1">
        <v>0.0</v>
      </c>
      <c r="R3025" s="1">
        <v>0.0</v>
      </c>
      <c r="S3025" s="1">
        <v>0.0</v>
      </c>
      <c r="U3025" s="1">
        <v>0.0</v>
      </c>
      <c r="W3025" s="1">
        <v>0.0</v>
      </c>
      <c r="Y3025" s="1">
        <v>0.0</v>
      </c>
      <c r="AA3025" s="1">
        <v>0.0</v>
      </c>
      <c r="AC3025" s="1">
        <v>0.0</v>
      </c>
      <c r="AM3025" s="1">
        <v>478.0</v>
      </c>
      <c r="AN3025" s="1">
        <v>478.0</v>
      </c>
      <c r="AO3025" s="1">
        <v>478.0</v>
      </c>
      <c r="AP3025" s="1">
        <v>0.183</v>
      </c>
      <c r="AR3025" s="1">
        <v>0.0</v>
      </c>
      <c r="AW3025" s="1">
        <v>0.0</v>
      </c>
      <c r="AX3025" s="1">
        <v>8.0</v>
      </c>
      <c r="AY3025" s="1">
        <v>4.0</v>
      </c>
      <c r="BA3025" s="1">
        <v>0.0</v>
      </c>
      <c r="BB3025" s="1">
        <v>0.0</v>
      </c>
      <c r="BC3025" s="1">
        <v>0.0</v>
      </c>
      <c r="BD3025" s="1">
        <v>0.0</v>
      </c>
      <c r="BE3025" s="1">
        <v>0.0</v>
      </c>
      <c r="BF3025" s="1">
        <v>0.0</v>
      </c>
      <c r="BG3025" s="1">
        <v>0.0</v>
      </c>
      <c r="BH3025" s="1">
        <v>0.0</v>
      </c>
      <c r="BI3025" s="1">
        <v>0.0</v>
      </c>
      <c r="BJ3025" s="1">
        <v>0.0</v>
      </c>
      <c r="BP3025" s="1">
        <v>0.273</v>
      </c>
      <c r="BQ3025" s="1" t="s">
        <v>9081</v>
      </c>
      <c r="BV3025" s="1">
        <v>1.1</v>
      </c>
      <c r="EQ3025" s="9" t="s">
        <v>9080</v>
      </c>
      <c r="ER3025" s="21">
        <v>46045.30386574074</v>
      </c>
    </row>
    <row r="3026">
      <c r="A3026" s="9" t="s">
        <v>9082</v>
      </c>
      <c r="B3026" s="20" t="str">
        <f>IFERROR(__xludf.DUMMYFUNCTION("REGEXREPLACE(A3026, ""^https?://[^/]+"", """")"),"/wp-content/themes/salesxceleratione/assets/css/style.css?ver=1769123848")</f>
        <v>/wp-content/themes/salesxceleratione/assets/css/style.css?ver=1769123848</v>
      </c>
      <c r="F3026" s="1" t="s">
        <v>1016</v>
      </c>
      <c r="G3026" s="1">
        <v>200.0</v>
      </c>
      <c r="H3026" s="1" t="s">
        <v>966</v>
      </c>
      <c r="I3026" s="1" t="s">
        <v>967</v>
      </c>
      <c r="L3026" s="1">
        <v>0.0</v>
      </c>
      <c r="M3026" s="1">
        <v>0.0</v>
      </c>
      <c r="O3026" s="1">
        <v>0.0</v>
      </c>
      <c r="P3026" s="1">
        <v>0.0</v>
      </c>
      <c r="R3026" s="1">
        <v>0.0</v>
      </c>
      <c r="S3026" s="1">
        <v>0.0</v>
      </c>
      <c r="U3026" s="1">
        <v>0.0</v>
      </c>
      <c r="W3026" s="1">
        <v>0.0</v>
      </c>
      <c r="Y3026" s="1">
        <v>0.0</v>
      </c>
      <c r="AA3026" s="1">
        <v>0.0</v>
      </c>
      <c r="AC3026" s="1">
        <v>0.0</v>
      </c>
      <c r="AM3026" s="1">
        <v>17704.0</v>
      </c>
      <c r="AN3026" s="1">
        <v>17704.0</v>
      </c>
      <c r="AO3026" s="1">
        <v>17704.0</v>
      </c>
      <c r="AP3026" s="1">
        <v>6.782</v>
      </c>
      <c r="AR3026" s="1">
        <v>0.0</v>
      </c>
      <c r="AW3026" s="1">
        <v>0.0</v>
      </c>
      <c r="AX3026" s="1">
        <v>8.0</v>
      </c>
      <c r="AY3026" s="1">
        <v>5.0</v>
      </c>
      <c r="BA3026" s="1">
        <v>0.0</v>
      </c>
      <c r="BB3026" s="1">
        <v>0.0</v>
      </c>
      <c r="BC3026" s="1">
        <v>0.0</v>
      </c>
      <c r="BD3026" s="1">
        <v>0.0</v>
      </c>
      <c r="BE3026" s="1">
        <v>0.0</v>
      </c>
      <c r="BF3026" s="1">
        <v>0.0</v>
      </c>
      <c r="BG3026" s="1">
        <v>0.0</v>
      </c>
      <c r="BH3026" s="1">
        <v>0.0</v>
      </c>
      <c r="BI3026" s="1">
        <v>0.0</v>
      </c>
      <c r="BJ3026" s="1">
        <v>0.0</v>
      </c>
      <c r="BP3026" s="1">
        <v>0.26</v>
      </c>
      <c r="BQ3026" s="1" t="s">
        <v>9065</v>
      </c>
      <c r="BV3026" s="1">
        <v>1.1</v>
      </c>
      <c r="EQ3026" s="9" t="s">
        <v>9082</v>
      </c>
      <c r="ER3026" s="21">
        <v>46045.30386574074</v>
      </c>
    </row>
    <row r="3027">
      <c r="A3027" s="9" t="s">
        <v>9083</v>
      </c>
      <c r="B3027" s="20" t="str">
        <f>IFERROR(__xludf.DUMMYFUNCTION("REGEXREPLACE(A3027, ""^https?://[^/]+"", """")"),"/wp-content/themes/salesxceleratione/assets/css/style.css?ver=1769123847")</f>
        <v>/wp-content/themes/salesxceleratione/assets/css/style.css?ver=1769123847</v>
      </c>
      <c r="F3027" s="1" t="s">
        <v>1016</v>
      </c>
      <c r="G3027" s="1">
        <v>200.0</v>
      </c>
      <c r="H3027" s="1" t="s">
        <v>966</v>
      </c>
      <c r="I3027" s="1" t="s">
        <v>967</v>
      </c>
      <c r="L3027" s="1">
        <v>0.0</v>
      </c>
      <c r="M3027" s="1">
        <v>0.0</v>
      </c>
      <c r="O3027" s="1">
        <v>0.0</v>
      </c>
      <c r="P3027" s="1">
        <v>0.0</v>
      </c>
      <c r="R3027" s="1">
        <v>0.0</v>
      </c>
      <c r="S3027" s="1">
        <v>0.0</v>
      </c>
      <c r="U3027" s="1">
        <v>0.0</v>
      </c>
      <c r="W3027" s="1">
        <v>0.0</v>
      </c>
      <c r="Y3027" s="1">
        <v>0.0</v>
      </c>
      <c r="AA3027" s="1">
        <v>0.0</v>
      </c>
      <c r="AC3027" s="1">
        <v>0.0</v>
      </c>
      <c r="AM3027" s="1">
        <v>17704.0</v>
      </c>
      <c r="AN3027" s="1">
        <v>17704.0</v>
      </c>
      <c r="AO3027" s="1">
        <v>17704.0</v>
      </c>
      <c r="AP3027" s="1">
        <v>6.782</v>
      </c>
      <c r="AR3027" s="1">
        <v>0.0</v>
      </c>
      <c r="AW3027" s="1">
        <v>0.0</v>
      </c>
      <c r="AX3027" s="1">
        <v>8.0</v>
      </c>
      <c r="AY3027" s="1">
        <v>5.0</v>
      </c>
      <c r="BA3027" s="1">
        <v>0.0</v>
      </c>
      <c r="BB3027" s="1">
        <v>0.0</v>
      </c>
      <c r="BC3027" s="1">
        <v>0.0</v>
      </c>
      <c r="BD3027" s="1">
        <v>0.0</v>
      </c>
      <c r="BE3027" s="1">
        <v>0.0</v>
      </c>
      <c r="BF3027" s="1">
        <v>0.0</v>
      </c>
      <c r="BG3027" s="1">
        <v>0.0</v>
      </c>
      <c r="BH3027" s="1">
        <v>0.0</v>
      </c>
      <c r="BI3027" s="1">
        <v>0.0</v>
      </c>
      <c r="BJ3027" s="1">
        <v>0.0</v>
      </c>
      <c r="BP3027" s="1">
        <v>0.27</v>
      </c>
      <c r="BQ3027" s="1" t="s">
        <v>9065</v>
      </c>
      <c r="BV3027" s="1">
        <v>1.1</v>
      </c>
      <c r="EQ3027" s="9" t="s">
        <v>9083</v>
      </c>
      <c r="ER3027" s="21">
        <v>46045.30386574074</v>
      </c>
    </row>
    <row r="3028">
      <c r="A3028" s="9" t="s">
        <v>9084</v>
      </c>
      <c r="B3028" s="20" t="str">
        <f>IFERROR(__xludf.DUMMYFUNCTION("REGEXREPLACE(A3028, ""^https?://[^/]+"", """")"),"/wp-content/uploads/2017/07/Sales-Success-Buyer-Process.jpg")</f>
        <v>/wp-content/uploads/2017/07/Sales-Success-Buyer-Process.jpg</v>
      </c>
      <c r="F3028" s="1" t="s">
        <v>1004</v>
      </c>
      <c r="G3028" s="1">
        <v>200.0</v>
      </c>
      <c r="H3028" s="1" t="s">
        <v>966</v>
      </c>
      <c r="I3028" s="1" t="s">
        <v>967</v>
      </c>
      <c r="L3028" s="1">
        <v>0.0</v>
      </c>
      <c r="M3028" s="1">
        <v>0.0</v>
      </c>
      <c r="O3028" s="1">
        <v>0.0</v>
      </c>
      <c r="P3028" s="1">
        <v>0.0</v>
      </c>
      <c r="R3028" s="1">
        <v>0.0</v>
      </c>
      <c r="S3028" s="1">
        <v>0.0</v>
      </c>
      <c r="U3028" s="1">
        <v>0.0</v>
      </c>
      <c r="W3028" s="1">
        <v>0.0</v>
      </c>
      <c r="Y3028" s="1">
        <v>0.0</v>
      </c>
      <c r="AA3028" s="1">
        <v>0.0</v>
      </c>
      <c r="AC3028" s="1">
        <v>0.0</v>
      </c>
      <c r="AM3028" s="1">
        <v>35836.0</v>
      </c>
      <c r="AN3028" s="1">
        <v>35836.0</v>
      </c>
      <c r="AO3028" s="1">
        <v>35836.0</v>
      </c>
      <c r="AP3028" s="1">
        <v>13.728</v>
      </c>
      <c r="AR3028" s="1">
        <v>0.0</v>
      </c>
      <c r="AW3028" s="1">
        <v>0.0</v>
      </c>
      <c r="AX3028" s="1">
        <v>8.0</v>
      </c>
      <c r="AY3028" s="1">
        <v>4.0</v>
      </c>
      <c r="BA3028" s="1">
        <v>0.0</v>
      </c>
      <c r="BB3028" s="1">
        <v>0.0</v>
      </c>
      <c r="BC3028" s="1">
        <v>0.0</v>
      </c>
      <c r="BD3028" s="1">
        <v>0.0</v>
      </c>
      <c r="BE3028" s="1">
        <v>0.0</v>
      </c>
      <c r="BF3028" s="1">
        <v>0.0</v>
      </c>
      <c r="BG3028" s="1">
        <v>0.0</v>
      </c>
      <c r="BH3028" s="1">
        <v>0.0</v>
      </c>
      <c r="BI3028" s="1">
        <v>0.0</v>
      </c>
      <c r="BJ3028" s="1">
        <v>0.0</v>
      </c>
      <c r="BP3028" s="1">
        <v>0.27</v>
      </c>
      <c r="BQ3028" s="1" t="s">
        <v>8459</v>
      </c>
      <c r="BV3028" s="1">
        <v>1.1</v>
      </c>
      <c r="EQ3028" s="9" t="s">
        <v>9084</v>
      </c>
      <c r="ER3028" s="21">
        <v>46045.303877314815</v>
      </c>
    </row>
    <row r="3029">
      <c r="A3029" s="9" t="s">
        <v>9085</v>
      </c>
      <c r="B3029" s="20" t="str">
        <f>IFERROR(__xludf.DUMMYFUNCTION("REGEXREPLACE(A3029, ""^https?://[^/]+"", """")"),"/now-what-a-story-of-life-beyond-corporate-sales-success/")</f>
        <v>/now-what-a-story-of-life-beyond-corporate-sales-success/</v>
      </c>
      <c r="C3029" s="1" t="s">
        <v>9086</v>
      </c>
      <c r="F3029" s="1" t="s">
        <v>965</v>
      </c>
      <c r="G3029" s="1">
        <v>200.0</v>
      </c>
      <c r="H3029" s="1" t="s">
        <v>966</v>
      </c>
      <c r="I3029" s="1" t="s">
        <v>967</v>
      </c>
      <c r="K3029" s="1" t="s">
        <v>9087</v>
      </c>
      <c r="L3029" s="1">
        <v>82.0</v>
      </c>
      <c r="M3029" s="1">
        <v>749.0</v>
      </c>
      <c r="O3029" s="1">
        <v>0.0</v>
      </c>
      <c r="P3029" s="1">
        <v>0.0</v>
      </c>
      <c r="Q3029" s="1" t="s">
        <v>9088</v>
      </c>
      <c r="R3029" s="1">
        <v>134.0</v>
      </c>
      <c r="S3029" s="1">
        <v>829.0</v>
      </c>
      <c r="U3029" s="1">
        <v>0.0</v>
      </c>
      <c r="V3029" s="1" t="s">
        <v>9086</v>
      </c>
      <c r="W3029" s="1">
        <v>57.0</v>
      </c>
      <c r="Y3029" s="1">
        <v>0.0</v>
      </c>
      <c r="AA3029" s="1">
        <v>0.0</v>
      </c>
      <c r="AC3029" s="1">
        <v>0.0</v>
      </c>
      <c r="AD3029" s="1" t="s">
        <v>971</v>
      </c>
      <c r="AG3029" s="9" t="s">
        <v>9085</v>
      </c>
      <c r="AM3029" s="1">
        <v>202548.0</v>
      </c>
      <c r="AN3029" s="1">
        <v>36234.0</v>
      </c>
      <c r="AO3029" s="1">
        <v>36234.0</v>
      </c>
      <c r="AP3029" s="1">
        <v>13.881</v>
      </c>
      <c r="AR3029" s="1">
        <v>1456.0</v>
      </c>
      <c r="AS3029" s="1">
        <v>229.0</v>
      </c>
      <c r="AT3029" s="1">
        <v>6.358</v>
      </c>
      <c r="AU3029" s="1">
        <v>68.485</v>
      </c>
      <c r="AV3029" s="1" t="s">
        <v>990</v>
      </c>
      <c r="AW3029" s="1">
        <v>5.528</v>
      </c>
      <c r="AX3029" s="1">
        <v>7.0</v>
      </c>
      <c r="AY3029" s="1">
        <v>1.0</v>
      </c>
      <c r="AZ3029" s="1">
        <v>1.0</v>
      </c>
      <c r="BA3029" s="1">
        <v>1.0</v>
      </c>
      <c r="BB3029" s="1">
        <v>1.0</v>
      </c>
      <c r="BC3029" s="1">
        <v>0.0</v>
      </c>
      <c r="BD3029" s="1">
        <v>0.13</v>
      </c>
      <c r="BE3029" s="1">
        <v>130.0</v>
      </c>
      <c r="BF3029" s="1">
        <v>47.0</v>
      </c>
      <c r="BG3029" s="1">
        <v>0.0</v>
      </c>
      <c r="BH3029" s="1">
        <v>16.0</v>
      </c>
      <c r="BI3029" s="1">
        <v>8.0</v>
      </c>
      <c r="BJ3029" s="1">
        <v>0.0</v>
      </c>
      <c r="BO3029" s="1" t="s">
        <v>9089</v>
      </c>
      <c r="BP3029" s="1">
        <v>1.023</v>
      </c>
      <c r="BU3029" s="1" t="s">
        <v>974</v>
      </c>
      <c r="BV3029" s="1">
        <v>1.1</v>
      </c>
      <c r="EQ3029" s="9" t="s">
        <v>9085</v>
      </c>
      <c r="ER3029" s="21">
        <v>46045.30386574074</v>
      </c>
    </row>
    <row r="3030">
      <c r="A3030" s="9" t="s">
        <v>9090</v>
      </c>
      <c r="B3030" s="20" t="str">
        <f>IFERROR(__xludf.DUMMYFUNCTION("REGEXREPLACE(A3030, ""^https?://[^/]+"", """")"),"/wp-content/uploads/2018/05/wysimage.jpg")</f>
        <v>/wp-content/uploads/2018/05/wysimage.jpg</v>
      </c>
      <c r="F3030" s="1" t="s">
        <v>1004</v>
      </c>
      <c r="G3030" s="1">
        <v>200.0</v>
      </c>
      <c r="H3030" s="1" t="s">
        <v>966</v>
      </c>
      <c r="I3030" s="1" t="s">
        <v>967</v>
      </c>
      <c r="L3030" s="1">
        <v>0.0</v>
      </c>
      <c r="M3030" s="1">
        <v>0.0</v>
      </c>
      <c r="O3030" s="1">
        <v>0.0</v>
      </c>
      <c r="P3030" s="1">
        <v>0.0</v>
      </c>
      <c r="R3030" s="1">
        <v>0.0</v>
      </c>
      <c r="S3030" s="1">
        <v>0.0</v>
      </c>
      <c r="U3030" s="1">
        <v>0.0</v>
      </c>
      <c r="W3030" s="1">
        <v>0.0</v>
      </c>
      <c r="Y3030" s="1">
        <v>0.0</v>
      </c>
      <c r="AA3030" s="1">
        <v>0.0</v>
      </c>
      <c r="AC3030" s="1">
        <v>0.0</v>
      </c>
      <c r="AM3030" s="1">
        <v>58069.0</v>
      </c>
      <c r="AN3030" s="1">
        <v>58069.0</v>
      </c>
      <c r="AO3030" s="1">
        <v>58069.0</v>
      </c>
      <c r="AP3030" s="1">
        <v>22.245</v>
      </c>
      <c r="AR3030" s="1">
        <v>0.0</v>
      </c>
      <c r="AW3030" s="1">
        <v>0.0</v>
      </c>
      <c r="AX3030" s="1">
        <v>8.0</v>
      </c>
      <c r="AY3030" s="1">
        <v>4.0</v>
      </c>
      <c r="BA3030" s="1">
        <v>0.0</v>
      </c>
      <c r="BB3030" s="1">
        <v>0.0</v>
      </c>
      <c r="BC3030" s="1">
        <v>0.0</v>
      </c>
      <c r="BD3030" s="1">
        <v>0.0</v>
      </c>
      <c r="BE3030" s="1">
        <v>0.0</v>
      </c>
      <c r="BF3030" s="1">
        <v>0.0</v>
      </c>
      <c r="BG3030" s="1">
        <v>0.0</v>
      </c>
      <c r="BH3030" s="1">
        <v>0.0</v>
      </c>
      <c r="BI3030" s="1">
        <v>0.0</v>
      </c>
      <c r="BJ3030" s="1">
        <v>0.0</v>
      </c>
      <c r="BP3030" s="1">
        <v>0.266</v>
      </c>
      <c r="BQ3030" s="1" t="s">
        <v>9091</v>
      </c>
      <c r="BV3030" s="1">
        <v>1.1</v>
      </c>
      <c r="EQ3030" s="9" t="s">
        <v>9090</v>
      </c>
      <c r="ER3030" s="21">
        <v>46045.303877314815</v>
      </c>
    </row>
    <row r="3031">
      <c r="A3031" s="9" t="s">
        <v>9092</v>
      </c>
      <c r="B3031" s="20" t="str">
        <f>IFERROR(__xludf.DUMMYFUNCTION("REGEXREPLACE(A3031, ""^https?://[^/]+"", """")"),"/wp-content/themes/salesxceleratione/assets/css/style.css?ver=1769123854")</f>
        <v>/wp-content/themes/salesxceleratione/assets/css/style.css?ver=1769123854</v>
      </c>
      <c r="F3031" s="1" t="s">
        <v>1016</v>
      </c>
      <c r="G3031" s="1">
        <v>200.0</v>
      </c>
      <c r="H3031" s="1" t="s">
        <v>966</v>
      </c>
      <c r="I3031" s="1" t="s">
        <v>967</v>
      </c>
      <c r="L3031" s="1">
        <v>0.0</v>
      </c>
      <c r="M3031" s="1">
        <v>0.0</v>
      </c>
      <c r="O3031" s="1">
        <v>0.0</v>
      </c>
      <c r="P3031" s="1">
        <v>0.0</v>
      </c>
      <c r="R3031" s="1">
        <v>0.0</v>
      </c>
      <c r="S3031" s="1">
        <v>0.0</v>
      </c>
      <c r="U3031" s="1">
        <v>0.0</v>
      </c>
      <c r="W3031" s="1">
        <v>0.0</v>
      </c>
      <c r="Y3031" s="1">
        <v>0.0</v>
      </c>
      <c r="AA3031" s="1">
        <v>0.0</v>
      </c>
      <c r="AC3031" s="1">
        <v>0.0</v>
      </c>
      <c r="AM3031" s="1">
        <v>17704.0</v>
      </c>
      <c r="AN3031" s="1">
        <v>17704.0</v>
      </c>
      <c r="AO3031" s="1">
        <v>17704.0</v>
      </c>
      <c r="AP3031" s="1">
        <v>6.782</v>
      </c>
      <c r="AR3031" s="1">
        <v>0.0</v>
      </c>
      <c r="AW3031" s="1">
        <v>0.0</v>
      </c>
      <c r="AX3031" s="1">
        <v>8.0</v>
      </c>
      <c r="AY3031" s="1">
        <v>5.0</v>
      </c>
      <c r="BA3031" s="1">
        <v>0.0</v>
      </c>
      <c r="BB3031" s="1">
        <v>0.0</v>
      </c>
      <c r="BC3031" s="1">
        <v>0.0</v>
      </c>
      <c r="BD3031" s="1">
        <v>0.0</v>
      </c>
      <c r="BE3031" s="1">
        <v>0.0</v>
      </c>
      <c r="BF3031" s="1">
        <v>0.0</v>
      </c>
      <c r="BG3031" s="1">
        <v>0.0</v>
      </c>
      <c r="BH3031" s="1">
        <v>0.0</v>
      </c>
      <c r="BI3031" s="1">
        <v>0.0</v>
      </c>
      <c r="BJ3031" s="1">
        <v>0.0</v>
      </c>
      <c r="BP3031" s="1">
        <v>0.259</v>
      </c>
      <c r="BQ3031" s="1" t="s">
        <v>9065</v>
      </c>
      <c r="BV3031" s="1">
        <v>1.1</v>
      </c>
      <c r="EQ3031" s="9" t="s">
        <v>9092</v>
      </c>
      <c r="ER3031" s="21">
        <v>46045.303877314815</v>
      </c>
    </row>
    <row r="3032">
      <c r="A3032" s="9" t="s">
        <v>9045</v>
      </c>
      <c r="B3032" s="20" t="str">
        <f>IFERROR(__xludf.DUMMYFUNCTION("REGEXREPLACE(A3032, ""^https?://[^/]+"", """")"),"/no-access/download-id/27887/")</f>
        <v>/no-access/download-id/27887/</v>
      </c>
      <c r="C3032" s="1" t="s">
        <v>6664</v>
      </c>
      <c r="F3032" s="1" t="s">
        <v>965</v>
      </c>
      <c r="G3032" s="1">
        <v>200.0</v>
      </c>
      <c r="H3032" s="1" t="s">
        <v>966</v>
      </c>
      <c r="I3032" s="1" t="s">
        <v>1214</v>
      </c>
      <c r="J3032" s="1" t="s">
        <v>1215</v>
      </c>
      <c r="K3032" s="1" t="s">
        <v>6665</v>
      </c>
      <c r="L3032" s="1">
        <v>29.0</v>
      </c>
      <c r="M3032" s="1">
        <v>265.0</v>
      </c>
      <c r="O3032" s="1">
        <v>0.0</v>
      </c>
      <c r="P3032" s="1">
        <v>0.0</v>
      </c>
      <c r="R3032" s="1">
        <v>0.0</v>
      </c>
      <c r="S3032" s="1">
        <v>0.0</v>
      </c>
      <c r="U3032" s="1">
        <v>0.0</v>
      </c>
      <c r="V3032" s="1" t="s">
        <v>6664</v>
      </c>
      <c r="W3032" s="1">
        <v>9.0</v>
      </c>
      <c r="Y3032" s="1">
        <v>0.0</v>
      </c>
      <c r="AA3032" s="1">
        <v>0.0</v>
      </c>
      <c r="AC3032" s="1">
        <v>0.0</v>
      </c>
      <c r="AD3032" s="1" t="s">
        <v>971</v>
      </c>
      <c r="AG3032" s="9" t="s">
        <v>6666</v>
      </c>
      <c r="AM3032" s="1">
        <v>145754.0</v>
      </c>
      <c r="AN3032" s="1">
        <v>28289.0</v>
      </c>
      <c r="AO3032" s="1">
        <v>28289.0</v>
      </c>
      <c r="AP3032" s="1">
        <v>10.837</v>
      </c>
      <c r="AR3032" s="1">
        <v>538.0</v>
      </c>
      <c r="AS3032" s="1">
        <v>93.0</v>
      </c>
      <c r="AT3032" s="1">
        <v>5.785</v>
      </c>
      <c r="AU3032" s="1">
        <v>61.483</v>
      </c>
      <c r="AV3032" s="1" t="s">
        <v>990</v>
      </c>
      <c r="AW3032" s="1">
        <v>3.905</v>
      </c>
      <c r="AX3032" s="1">
        <v>8.0</v>
      </c>
      <c r="AY3032" s="1">
        <v>3.0</v>
      </c>
      <c r="BA3032" s="1">
        <v>0.0</v>
      </c>
      <c r="BB3032" s="1">
        <v>0.0</v>
      </c>
      <c r="BC3032" s="1">
        <v>0.0</v>
      </c>
      <c r="BD3032" s="1">
        <v>0.0</v>
      </c>
      <c r="BE3032" s="1">
        <v>123.0</v>
      </c>
      <c r="BF3032" s="1">
        <v>42.0</v>
      </c>
      <c r="BG3032" s="1">
        <v>0.0</v>
      </c>
      <c r="BH3032" s="1">
        <v>16.0</v>
      </c>
      <c r="BI3032" s="1">
        <v>8.0</v>
      </c>
      <c r="BJ3032" s="1">
        <v>0.0</v>
      </c>
      <c r="BO3032" s="1" t="s">
        <v>9093</v>
      </c>
      <c r="BP3032" s="1">
        <v>1.406</v>
      </c>
      <c r="BU3032" s="1" t="s">
        <v>974</v>
      </c>
      <c r="BV3032" s="1">
        <v>1.1</v>
      </c>
      <c r="EQ3032" s="9" t="s">
        <v>9045</v>
      </c>
      <c r="ER3032" s="21">
        <v>46045.30386574074</v>
      </c>
    </row>
    <row r="3033">
      <c r="A3033" s="9" t="s">
        <v>9094</v>
      </c>
      <c r="B3033" s="20" t="str">
        <f>IFERROR(__xludf.DUMMYFUNCTION("REGEXREPLACE(A3033, ""^https?://[^/]+"", """")"),"/want-to-close-more-sales-stop-closing/")</f>
        <v>/want-to-close-more-sales-stop-closing/</v>
      </c>
      <c r="C3033" s="1" t="s">
        <v>9095</v>
      </c>
      <c r="F3033" s="1" t="s">
        <v>965</v>
      </c>
      <c r="G3033" s="1">
        <v>200.0</v>
      </c>
      <c r="H3033" s="1" t="s">
        <v>966</v>
      </c>
      <c r="I3033" s="1" t="s">
        <v>967</v>
      </c>
      <c r="K3033" s="1" t="s">
        <v>9096</v>
      </c>
      <c r="L3033" s="1">
        <v>64.0</v>
      </c>
      <c r="M3033" s="1">
        <v>576.0</v>
      </c>
      <c r="O3033" s="1">
        <v>0.0</v>
      </c>
      <c r="P3033" s="1">
        <v>0.0</v>
      </c>
      <c r="Q3033" s="1" t="s">
        <v>9097</v>
      </c>
      <c r="R3033" s="1">
        <v>153.0</v>
      </c>
      <c r="S3033" s="1">
        <v>918.0</v>
      </c>
      <c r="U3033" s="1">
        <v>0.0</v>
      </c>
      <c r="V3033" s="1" t="s">
        <v>9095</v>
      </c>
      <c r="W3033" s="1">
        <v>39.0</v>
      </c>
      <c r="Y3033" s="1">
        <v>0.0</v>
      </c>
      <c r="AA3033" s="1">
        <v>0.0</v>
      </c>
      <c r="AC3033" s="1">
        <v>0.0</v>
      </c>
      <c r="AD3033" s="1" t="s">
        <v>971</v>
      </c>
      <c r="AG3033" s="9" t="s">
        <v>9094</v>
      </c>
      <c r="AM3033" s="1">
        <v>205214.0</v>
      </c>
      <c r="AN3033" s="1">
        <v>36694.0</v>
      </c>
      <c r="AO3033" s="1">
        <v>36694.0</v>
      </c>
      <c r="AP3033" s="1">
        <v>14.057</v>
      </c>
      <c r="AR3033" s="1">
        <v>1569.0</v>
      </c>
      <c r="AS3033" s="1">
        <v>227.0</v>
      </c>
      <c r="AT3033" s="1">
        <v>6.912</v>
      </c>
      <c r="AU3033" s="1">
        <v>70.304</v>
      </c>
      <c r="AV3033" s="1" t="s">
        <v>1264</v>
      </c>
      <c r="AW3033" s="1">
        <v>5.774</v>
      </c>
      <c r="AX3033" s="1">
        <v>8.0</v>
      </c>
      <c r="AY3033" s="1">
        <v>1.0</v>
      </c>
      <c r="AZ3033" s="1">
        <v>1.0</v>
      </c>
      <c r="BA3033" s="1">
        <v>1.0</v>
      </c>
      <c r="BB3033" s="1">
        <v>1.0</v>
      </c>
      <c r="BC3033" s="1">
        <v>0.0</v>
      </c>
      <c r="BD3033" s="1">
        <v>0.13</v>
      </c>
      <c r="BE3033" s="1">
        <v>132.0</v>
      </c>
      <c r="BF3033" s="1">
        <v>49.0</v>
      </c>
      <c r="BG3033" s="1">
        <v>0.0</v>
      </c>
      <c r="BH3033" s="1">
        <v>16.0</v>
      </c>
      <c r="BI3033" s="1">
        <v>8.0</v>
      </c>
      <c r="BJ3033" s="1">
        <v>0.0</v>
      </c>
      <c r="BO3033" s="1" t="s">
        <v>9098</v>
      </c>
      <c r="BP3033" s="1">
        <v>1.413</v>
      </c>
      <c r="BU3033" s="1" t="s">
        <v>974</v>
      </c>
      <c r="BV3033" s="1">
        <v>1.1</v>
      </c>
      <c r="EQ3033" s="9" t="s">
        <v>9094</v>
      </c>
      <c r="ER3033" s="21">
        <v>46045.303877314815</v>
      </c>
    </row>
    <row r="3034">
      <c r="A3034" s="9" t="s">
        <v>9099</v>
      </c>
      <c r="B3034" s="20" t="str">
        <f>IFERROR(__xludf.DUMMYFUNCTION("REGEXREPLACE(A3034, ""^https?://[^/]+"", """")"),"/three-ways-a-crm-can-impact-your-small-business/")</f>
        <v>/three-ways-a-crm-can-impact-your-small-business/</v>
      </c>
      <c r="C3034" s="1" t="s">
        <v>9100</v>
      </c>
      <c r="D3034" s="1" t="s">
        <v>9101</v>
      </c>
      <c r="E3034" s="1" t="s">
        <v>9102</v>
      </c>
      <c r="F3034" s="1" t="s">
        <v>965</v>
      </c>
      <c r="G3034" s="1">
        <v>200.0</v>
      </c>
      <c r="H3034" s="1" t="s">
        <v>966</v>
      </c>
      <c r="I3034" s="1" t="s">
        <v>967</v>
      </c>
      <c r="K3034" s="1" t="s">
        <v>9103</v>
      </c>
      <c r="L3034" s="1">
        <v>72.0</v>
      </c>
      <c r="M3034" s="1">
        <v>677.0</v>
      </c>
      <c r="O3034" s="1">
        <v>0.0</v>
      </c>
      <c r="P3034" s="1">
        <v>0.0</v>
      </c>
      <c r="Q3034" s="1" t="s">
        <v>9104</v>
      </c>
      <c r="R3034" s="1">
        <v>157.0</v>
      </c>
      <c r="S3034" s="1">
        <v>988.0</v>
      </c>
      <c r="U3034" s="1">
        <v>0.0</v>
      </c>
      <c r="V3034" s="1" t="s">
        <v>9100</v>
      </c>
      <c r="W3034" s="1">
        <v>47.0</v>
      </c>
      <c r="Y3034" s="1">
        <v>0.0</v>
      </c>
      <c r="Z3034" s="1" t="s">
        <v>9101</v>
      </c>
      <c r="AA3034" s="1">
        <v>37.0</v>
      </c>
      <c r="AB3034" s="1" t="s">
        <v>9102</v>
      </c>
      <c r="AC3034" s="1">
        <v>37.0</v>
      </c>
      <c r="AD3034" s="1" t="s">
        <v>971</v>
      </c>
      <c r="AG3034" s="9" t="s">
        <v>9099</v>
      </c>
      <c r="AM3034" s="1">
        <v>203302.0</v>
      </c>
      <c r="AN3034" s="1">
        <v>36186.0</v>
      </c>
      <c r="AO3034" s="1">
        <v>36186.0</v>
      </c>
      <c r="AP3034" s="1">
        <v>13.862</v>
      </c>
      <c r="AR3034" s="1">
        <v>1394.0</v>
      </c>
      <c r="AS3034" s="1">
        <v>204.0</v>
      </c>
      <c r="AT3034" s="1">
        <v>6.833</v>
      </c>
      <c r="AU3034" s="1">
        <v>61.772</v>
      </c>
      <c r="AV3034" s="1" t="s">
        <v>990</v>
      </c>
      <c r="AW3034" s="1">
        <v>5.451</v>
      </c>
      <c r="AX3034" s="1">
        <v>8.0</v>
      </c>
      <c r="AY3034" s="1">
        <v>1.0</v>
      </c>
      <c r="BA3034" s="1">
        <v>0.0</v>
      </c>
      <c r="BB3034" s="1">
        <v>0.0</v>
      </c>
      <c r="BC3034" s="1">
        <v>0.0</v>
      </c>
      <c r="BD3034" s="1">
        <v>0.0</v>
      </c>
      <c r="BE3034" s="1">
        <v>131.0</v>
      </c>
      <c r="BF3034" s="1">
        <v>48.0</v>
      </c>
      <c r="BG3034" s="1">
        <v>0.0</v>
      </c>
      <c r="BH3034" s="1">
        <v>18.0</v>
      </c>
      <c r="BI3034" s="1">
        <v>10.0</v>
      </c>
      <c r="BJ3034" s="1">
        <v>0.0</v>
      </c>
      <c r="BO3034" s="1" t="s">
        <v>9105</v>
      </c>
      <c r="BP3034" s="1">
        <v>1.453</v>
      </c>
      <c r="BU3034" s="1" t="s">
        <v>974</v>
      </c>
      <c r="BV3034" s="1">
        <v>1.1</v>
      </c>
      <c r="EQ3034" s="9" t="s">
        <v>9099</v>
      </c>
      <c r="ER3034" s="21">
        <v>46045.303877314815</v>
      </c>
    </row>
    <row r="3035">
      <c r="A3035" s="9" t="s">
        <v>9106</v>
      </c>
      <c r="B3035" s="20" t="str">
        <f>IFERROR(__xludf.DUMMYFUNCTION("REGEXREPLACE(A3035, ""^https?://[^/]+"", """")"),"/wp-content/uploads/2022/03/Businessman-Holding-a-Football-300x300.jpg")</f>
        <v>/wp-content/uploads/2022/03/Businessman-Holding-a-Football-300x300.jpg</v>
      </c>
      <c r="F3035" s="1" t="s">
        <v>1004</v>
      </c>
      <c r="G3035" s="1">
        <v>200.0</v>
      </c>
      <c r="H3035" s="1" t="s">
        <v>966</v>
      </c>
      <c r="I3035" s="1" t="s">
        <v>967</v>
      </c>
      <c r="L3035" s="1">
        <v>0.0</v>
      </c>
      <c r="M3035" s="1">
        <v>0.0</v>
      </c>
      <c r="O3035" s="1">
        <v>0.0</v>
      </c>
      <c r="P3035" s="1">
        <v>0.0</v>
      </c>
      <c r="R3035" s="1">
        <v>0.0</v>
      </c>
      <c r="S3035" s="1">
        <v>0.0</v>
      </c>
      <c r="U3035" s="1">
        <v>0.0</v>
      </c>
      <c r="W3035" s="1">
        <v>0.0</v>
      </c>
      <c r="Y3035" s="1">
        <v>0.0</v>
      </c>
      <c r="AA3035" s="1">
        <v>0.0</v>
      </c>
      <c r="AC3035" s="1">
        <v>0.0</v>
      </c>
      <c r="AM3035" s="1">
        <v>12427.0</v>
      </c>
      <c r="AN3035" s="1">
        <v>12427.0</v>
      </c>
      <c r="AO3035" s="1">
        <v>12427.0</v>
      </c>
      <c r="AP3035" s="1">
        <v>4.761</v>
      </c>
      <c r="AR3035" s="1">
        <v>0.0</v>
      </c>
      <c r="AW3035" s="1">
        <v>0.0</v>
      </c>
      <c r="AX3035" s="1">
        <v>8.0</v>
      </c>
      <c r="AY3035" s="1">
        <v>4.0</v>
      </c>
      <c r="BA3035" s="1">
        <v>0.0</v>
      </c>
      <c r="BB3035" s="1">
        <v>0.0</v>
      </c>
      <c r="BC3035" s="1">
        <v>0.0</v>
      </c>
      <c r="BD3035" s="1">
        <v>0.0</v>
      </c>
      <c r="BE3035" s="1">
        <v>0.0</v>
      </c>
      <c r="BF3035" s="1">
        <v>0.0</v>
      </c>
      <c r="BG3035" s="1">
        <v>0.0</v>
      </c>
      <c r="BH3035" s="1">
        <v>0.0</v>
      </c>
      <c r="BI3035" s="1">
        <v>0.0</v>
      </c>
      <c r="BJ3035" s="1">
        <v>0.0</v>
      </c>
      <c r="BP3035" s="1">
        <v>0.277</v>
      </c>
      <c r="BQ3035" s="1" t="s">
        <v>8377</v>
      </c>
      <c r="BV3035" s="1">
        <v>1.1</v>
      </c>
      <c r="EQ3035" s="9" t="s">
        <v>9106</v>
      </c>
      <c r="ER3035" s="21">
        <v>46045.30388888889</v>
      </c>
    </row>
    <row r="3036">
      <c r="A3036" s="9" t="s">
        <v>9107</v>
      </c>
      <c r="B3036" s="20" t="str">
        <f>IFERROR(__xludf.DUMMYFUNCTION("REGEXREPLACE(A3036, ""^https?://[^/]+"", """")"),"/four-essential-elements-to-include-in-your-sales-action-plan-to-increase-sales/")</f>
        <v>/four-essential-elements-to-include-in-your-sales-action-plan-to-increase-sales/</v>
      </c>
      <c r="C3036" s="1" t="s">
        <v>9108</v>
      </c>
      <c r="D3036" s="1" t="s">
        <v>9109</v>
      </c>
      <c r="E3036" s="1" t="s">
        <v>9110</v>
      </c>
      <c r="F3036" s="1" t="s">
        <v>965</v>
      </c>
      <c r="G3036" s="1">
        <v>200.0</v>
      </c>
      <c r="H3036" s="1" t="s">
        <v>966</v>
      </c>
      <c r="I3036" s="1" t="s">
        <v>967</v>
      </c>
      <c r="K3036" s="1" t="s">
        <v>9111</v>
      </c>
      <c r="L3036" s="1">
        <v>103.0</v>
      </c>
      <c r="M3036" s="1">
        <v>908.0</v>
      </c>
      <c r="O3036" s="1">
        <v>0.0</v>
      </c>
      <c r="P3036" s="1">
        <v>0.0</v>
      </c>
      <c r="Q3036" s="1" t="s">
        <v>9112</v>
      </c>
      <c r="R3036" s="1">
        <v>118.0</v>
      </c>
      <c r="S3036" s="1">
        <v>717.0</v>
      </c>
      <c r="U3036" s="1">
        <v>0.0</v>
      </c>
      <c r="V3036" s="1" t="s">
        <v>9108</v>
      </c>
      <c r="W3036" s="1">
        <v>78.0</v>
      </c>
      <c r="Y3036" s="1">
        <v>0.0</v>
      </c>
      <c r="Z3036" s="1" t="s">
        <v>9109</v>
      </c>
      <c r="AA3036" s="1">
        <v>67.0</v>
      </c>
      <c r="AB3036" s="1" t="s">
        <v>9110</v>
      </c>
      <c r="AC3036" s="1">
        <v>62.0</v>
      </c>
      <c r="AD3036" s="1" t="s">
        <v>971</v>
      </c>
      <c r="AG3036" s="9" t="s">
        <v>9107</v>
      </c>
      <c r="AM3036" s="1">
        <v>202001.0</v>
      </c>
      <c r="AN3036" s="1">
        <v>35421.0</v>
      </c>
      <c r="AO3036" s="1">
        <v>35421.0</v>
      </c>
      <c r="AP3036" s="1">
        <v>13.569</v>
      </c>
      <c r="AR3036" s="1">
        <v>1197.0</v>
      </c>
      <c r="AS3036" s="1">
        <v>184.0</v>
      </c>
      <c r="AT3036" s="1">
        <v>6.505</v>
      </c>
      <c r="AU3036" s="1">
        <v>62.13</v>
      </c>
      <c r="AV3036" s="1" t="s">
        <v>990</v>
      </c>
      <c r="AW3036" s="1">
        <v>4.826</v>
      </c>
      <c r="AX3036" s="1">
        <v>8.0</v>
      </c>
      <c r="AY3036" s="1">
        <v>1.0</v>
      </c>
      <c r="BA3036" s="1">
        <v>0.0</v>
      </c>
      <c r="BB3036" s="1">
        <v>0.0</v>
      </c>
      <c r="BC3036" s="1">
        <v>0.0</v>
      </c>
      <c r="BD3036" s="1">
        <v>0.0</v>
      </c>
      <c r="BE3036" s="1">
        <v>132.0</v>
      </c>
      <c r="BF3036" s="1">
        <v>49.0</v>
      </c>
      <c r="BG3036" s="1">
        <v>0.0</v>
      </c>
      <c r="BH3036" s="1">
        <v>16.0</v>
      </c>
      <c r="BI3036" s="1">
        <v>8.0</v>
      </c>
      <c r="BJ3036" s="1">
        <v>0.0</v>
      </c>
      <c r="BO3036" s="1" t="s">
        <v>9113</v>
      </c>
      <c r="BP3036" s="1">
        <v>1.015</v>
      </c>
      <c r="BU3036" s="1" t="s">
        <v>974</v>
      </c>
      <c r="BV3036" s="1">
        <v>1.1</v>
      </c>
      <c r="EQ3036" s="9" t="s">
        <v>9107</v>
      </c>
      <c r="ER3036" s="21">
        <v>46045.30388888889</v>
      </c>
    </row>
    <row r="3037">
      <c r="A3037" s="9" t="s">
        <v>9114</v>
      </c>
      <c r="B3037" s="20" t="str">
        <f>IFERROR(__xludf.DUMMYFUNCTION("REGEXREPLACE(A3037, ""^https?://[^/]+"", """")"),"/wp-content/uploads/2017/11/Sales-Management-Ride-along-Sales-Xceleration.jpg")</f>
        <v>/wp-content/uploads/2017/11/Sales-Management-Ride-along-Sales-Xceleration.jpg</v>
      </c>
      <c r="F3037" s="1" t="s">
        <v>1004</v>
      </c>
      <c r="G3037" s="1">
        <v>200.0</v>
      </c>
      <c r="H3037" s="1" t="s">
        <v>966</v>
      </c>
      <c r="I3037" s="1" t="s">
        <v>967</v>
      </c>
      <c r="L3037" s="1">
        <v>0.0</v>
      </c>
      <c r="M3037" s="1">
        <v>0.0</v>
      </c>
      <c r="O3037" s="1">
        <v>0.0</v>
      </c>
      <c r="P3037" s="1">
        <v>0.0</v>
      </c>
      <c r="R3037" s="1">
        <v>0.0</v>
      </c>
      <c r="S3037" s="1">
        <v>0.0</v>
      </c>
      <c r="U3037" s="1">
        <v>0.0</v>
      </c>
      <c r="W3037" s="1">
        <v>0.0</v>
      </c>
      <c r="Y3037" s="1">
        <v>0.0</v>
      </c>
      <c r="AA3037" s="1">
        <v>0.0</v>
      </c>
      <c r="AC3037" s="1">
        <v>0.0</v>
      </c>
      <c r="AM3037" s="1">
        <v>31448.0</v>
      </c>
      <c r="AN3037" s="1">
        <v>31448.0</v>
      </c>
      <c r="AO3037" s="1">
        <v>31448.0</v>
      </c>
      <c r="AP3037" s="1">
        <v>12.047</v>
      </c>
      <c r="AR3037" s="1">
        <v>0.0</v>
      </c>
      <c r="AW3037" s="1">
        <v>0.0</v>
      </c>
      <c r="AX3037" s="1">
        <v>8.0</v>
      </c>
      <c r="AY3037" s="1">
        <v>4.0</v>
      </c>
      <c r="BA3037" s="1">
        <v>0.0</v>
      </c>
      <c r="BB3037" s="1">
        <v>0.0</v>
      </c>
      <c r="BC3037" s="1">
        <v>0.0</v>
      </c>
      <c r="BD3037" s="1">
        <v>0.0</v>
      </c>
      <c r="BE3037" s="1">
        <v>0.0</v>
      </c>
      <c r="BF3037" s="1">
        <v>0.0</v>
      </c>
      <c r="BG3037" s="1">
        <v>0.0</v>
      </c>
      <c r="BH3037" s="1">
        <v>0.0</v>
      </c>
      <c r="BI3037" s="1">
        <v>0.0</v>
      </c>
      <c r="BJ3037" s="1">
        <v>0.0</v>
      </c>
      <c r="BP3037" s="1">
        <v>0.272</v>
      </c>
      <c r="BQ3037" s="1" t="s">
        <v>9115</v>
      </c>
      <c r="BV3037" s="1">
        <v>1.1</v>
      </c>
      <c r="EQ3037" s="9" t="s">
        <v>9114</v>
      </c>
      <c r="ER3037" s="21">
        <v>46045.30390046296</v>
      </c>
    </row>
    <row r="3038">
      <c r="A3038" s="9" t="s">
        <v>9116</v>
      </c>
      <c r="B3038" s="20" t="str">
        <f>IFERROR(__xludf.DUMMYFUNCTION("REGEXREPLACE(A3038, ""^https?://[^/]+"", """")"),"/wp-content/uploads/2020/10/Woman-Certified-Sales-Leader-scaled-1.jpg")</f>
        <v>/wp-content/uploads/2020/10/Woman-Certified-Sales-Leader-scaled-1.jpg</v>
      </c>
      <c r="F3038" s="1" t="s">
        <v>1004</v>
      </c>
      <c r="G3038" s="1">
        <v>200.0</v>
      </c>
      <c r="H3038" s="1" t="s">
        <v>966</v>
      </c>
      <c r="I3038" s="1" t="s">
        <v>967</v>
      </c>
      <c r="L3038" s="1">
        <v>0.0</v>
      </c>
      <c r="M3038" s="1">
        <v>0.0</v>
      </c>
      <c r="O3038" s="1">
        <v>0.0</v>
      </c>
      <c r="P3038" s="1">
        <v>0.0</v>
      </c>
      <c r="R3038" s="1">
        <v>0.0</v>
      </c>
      <c r="S3038" s="1">
        <v>0.0</v>
      </c>
      <c r="U3038" s="1">
        <v>0.0</v>
      </c>
      <c r="W3038" s="1">
        <v>0.0</v>
      </c>
      <c r="Y3038" s="1">
        <v>0.0</v>
      </c>
      <c r="AA3038" s="1">
        <v>0.0</v>
      </c>
      <c r="AC3038" s="1">
        <v>0.0</v>
      </c>
      <c r="AM3038" s="1">
        <v>211482.0</v>
      </c>
      <c r="AN3038" s="1">
        <v>211482.0</v>
      </c>
      <c r="AO3038" s="1">
        <v>211482.0</v>
      </c>
      <c r="AP3038" s="1">
        <v>81.015</v>
      </c>
      <c r="AR3038" s="1">
        <v>0.0</v>
      </c>
      <c r="AW3038" s="1">
        <v>0.0</v>
      </c>
      <c r="AX3038" s="1">
        <v>8.0</v>
      </c>
      <c r="AY3038" s="1">
        <v>4.0</v>
      </c>
      <c r="BA3038" s="1">
        <v>0.0</v>
      </c>
      <c r="BB3038" s="1">
        <v>0.0</v>
      </c>
      <c r="BC3038" s="1">
        <v>0.0</v>
      </c>
      <c r="BD3038" s="1">
        <v>0.0</v>
      </c>
      <c r="BE3038" s="1">
        <v>0.0</v>
      </c>
      <c r="BF3038" s="1">
        <v>0.0</v>
      </c>
      <c r="BG3038" s="1">
        <v>0.0</v>
      </c>
      <c r="BH3038" s="1">
        <v>0.0</v>
      </c>
      <c r="BI3038" s="1">
        <v>0.0</v>
      </c>
      <c r="BJ3038" s="1">
        <v>0.0</v>
      </c>
      <c r="BP3038" s="1">
        <v>0.262</v>
      </c>
      <c r="BQ3038" s="1" t="s">
        <v>9117</v>
      </c>
      <c r="BV3038" s="1">
        <v>1.1</v>
      </c>
      <c r="EQ3038" s="9" t="s">
        <v>9116</v>
      </c>
      <c r="ER3038" s="21">
        <v>46045.30390046296</v>
      </c>
    </row>
    <row r="3039">
      <c r="A3039" s="9" t="s">
        <v>9118</v>
      </c>
      <c r="B3039" s="20" t="str">
        <f>IFERROR(__xludf.DUMMYFUNCTION("REGEXREPLACE(A3039, ""^https?://[^/]+"", """")"),"/wp-content/themes/salesxceleratione/assets/css/style.css?ver=1769123843")</f>
        <v>/wp-content/themes/salesxceleratione/assets/css/style.css?ver=1769123843</v>
      </c>
      <c r="F3039" s="1" t="s">
        <v>1016</v>
      </c>
      <c r="G3039" s="1">
        <v>200.0</v>
      </c>
      <c r="H3039" s="1" t="s">
        <v>966</v>
      </c>
      <c r="I3039" s="1" t="s">
        <v>967</v>
      </c>
      <c r="L3039" s="1">
        <v>0.0</v>
      </c>
      <c r="M3039" s="1">
        <v>0.0</v>
      </c>
      <c r="O3039" s="1">
        <v>0.0</v>
      </c>
      <c r="P3039" s="1">
        <v>0.0</v>
      </c>
      <c r="R3039" s="1">
        <v>0.0</v>
      </c>
      <c r="S3039" s="1">
        <v>0.0</v>
      </c>
      <c r="U3039" s="1">
        <v>0.0</v>
      </c>
      <c r="W3039" s="1">
        <v>0.0</v>
      </c>
      <c r="Y3039" s="1">
        <v>0.0</v>
      </c>
      <c r="AA3039" s="1">
        <v>0.0</v>
      </c>
      <c r="AC3039" s="1">
        <v>0.0</v>
      </c>
      <c r="AM3039" s="1">
        <v>17704.0</v>
      </c>
      <c r="AN3039" s="1">
        <v>17704.0</v>
      </c>
      <c r="AO3039" s="1">
        <v>17704.0</v>
      </c>
      <c r="AP3039" s="1">
        <v>6.782</v>
      </c>
      <c r="AR3039" s="1">
        <v>0.0</v>
      </c>
      <c r="AW3039" s="1">
        <v>0.0</v>
      </c>
      <c r="AX3039" s="1">
        <v>8.0</v>
      </c>
      <c r="AY3039" s="1">
        <v>5.0</v>
      </c>
      <c r="BA3039" s="1">
        <v>0.0</v>
      </c>
      <c r="BB3039" s="1">
        <v>0.0</v>
      </c>
      <c r="BC3039" s="1">
        <v>0.0</v>
      </c>
      <c r="BD3039" s="1">
        <v>0.0</v>
      </c>
      <c r="BE3039" s="1">
        <v>0.0</v>
      </c>
      <c r="BF3039" s="1">
        <v>0.0</v>
      </c>
      <c r="BG3039" s="1">
        <v>0.0</v>
      </c>
      <c r="BH3039" s="1">
        <v>0.0</v>
      </c>
      <c r="BI3039" s="1">
        <v>0.0</v>
      </c>
      <c r="BJ3039" s="1">
        <v>0.0</v>
      </c>
      <c r="BP3039" s="1">
        <v>0.27</v>
      </c>
      <c r="BQ3039" s="1" t="s">
        <v>9119</v>
      </c>
      <c r="BV3039" s="1">
        <v>1.1</v>
      </c>
      <c r="EQ3039" s="9" t="s">
        <v>9118</v>
      </c>
      <c r="ER3039" s="21">
        <v>46045.30390046296</v>
      </c>
    </row>
    <row r="3040">
      <c r="A3040" s="9" t="s">
        <v>9120</v>
      </c>
      <c r="B3040" s="20" t="str">
        <f>IFERROR(__xludf.DUMMYFUNCTION("REGEXREPLACE(A3040, ""^https?://[^/]+"", """")"),"/wp-content/themes/salesxceleratione/assets/css/style.css?ver=1769123844")</f>
        <v>/wp-content/themes/salesxceleratione/assets/css/style.css?ver=1769123844</v>
      </c>
      <c r="F3040" s="1" t="s">
        <v>1016</v>
      </c>
      <c r="G3040" s="1">
        <v>200.0</v>
      </c>
      <c r="H3040" s="1" t="s">
        <v>966</v>
      </c>
      <c r="I3040" s="1" t="s">
        <v>967</v>
      </c>
      <c r="L3040" s="1">
        <v>0.0</v>
      </c>
      <c r="M3040" s="1">
        <v>0.0</v>
      </c>
      <c r="O3040" s="1">
        <v>0.0</v>
      </c>
      <c r="P3040" s="1">
        <v>0.0</v>
      </c>
      <c r="R3040" s="1">
        <v>0.0</v>
      </c>
      <c r="S3040" s="1">
        <v>0.0</v>
      </c>
      <c r="U3040" s="1">
        <v>0.0</v>
      </c>
      <c r="W3040" s="1">
        <v>0.0</v>
      </c>
      <c r="Y3040" s="1">
        <v>0.0</v>
      </c>
      <c r="AA3040" s="1">
        <v>0.0</v>
      </c>
      <c r="AC3040" s="1">
        <v>0.0</v>
      </c>
      <c r="AM3040" s="1">
        <v>17704.0</v>
      </c>
      <c r="AN3040" s="1">
        <v>17704.0</v>
      </c>
      <c r="AO3040" s="1">
        <v>17704.0</v>
      </c>
      <c r="AP3040" s="1">
        <v>6.782</v>
      </c>
      <c r="AR3040" s="1">
        <v>0.0</v>
      </c>
      <c r="AW3040" s="1">
        <v>0.0</v>
      </c>
      <c r="AX3040" s="1">
        <v>8.0</v>
      </c>
      <c r="AY3040" s="1">
        <v>5.0</v>
      </c>
      <c r="BA3040" s="1">
        <v>0.0</v>
      </c>
      <c r="BB3040" s="1">
        <v>0.0</v>
      </c>
      <c r="BC3040" s="1">
        <v>0.0</v>
      </c>
      <c r="BD3040" s="1">
        <v>0.0</v>
      </c>
      <c r="BE3040" s="1">
        <v>0.0</v>
      </c>
      <c r="BF3040" s="1">
        <v>0.0</v>
      </c>
      <c r="BG3040" s="1">
        <v>0.0</v>
      </c>
      <c r="BH3040" s="1">
        <v>0.0</v>
      </c>
      <c r="BI3040" s="1">
        <v>0.0</v>
      </c>
      <c r="BJ3040" s="1">
        <v>0.0</v>
      </c>
      <c r="BP3040" s="1">
        <v>0.94</v>
      </c>
      <c r="BQ3040" s="1" t="s">
        <v>9119</v>
      </c>
      <c r="BV3040" s="1">
        <v>1.1</v>
      </c>
      <c r="EQ3040" s="9" t="s">
        <v>9120</v>
      </c>
      <c r="ER3040" s="21">
        <v>46045.30388888889</v>
      </c>
    </row>
    <row r="3041">
      <c r="A3041" s="9" t="s">
        <v>9121</v>
      </c>
      <c r="B3041" s="20" t="str">
        <f>IFERROR(__xludf.DUMMYFUNCTION("REGEXREPLACE(A3041, ""^https?://[^/]+"", """")"),"/7-ways-to-make-your-smart-goals-smarter-and-more-effective-than-ever/")</f>
        <v>/7-ways-to-make-your-smart-goals-smarter-and-more-effective-than-ever/</v>
      </c>
      <c r="C3041" s="1" t="s">
        <v>9122</v>
      </c>
      <c r="D3041" s="1" t="s">
        <v>9123</v>
      </c>
      <c r="E3041" s="1" t="s">
        <v>9124</v>
      </c>
      <c r="F3041" s="1" t="s">
        <v>965</v>
      </c>
      <c r="G3041" s="1">
        <v>200.0</v>
      </c>
      <c r="H3041" s="1" t="s">
        <v>966</v>
      </c>
      <c r="I3041" s="1" t="s">
        <v>967</v>
      </c>
      <c r="K3041" s="1" t="s">
        <v>9125</v>
      </c>
      <c r="L3041" s="1">
        <v>95.0</v>
      </c>
      <c r="M3041" s="1">
        <v>888.0</v>
      </c>
      <c r="O3041" s="1">
        <v>0.0</v>
      </c>
      <c r="P3041" s="1">
        <v>0.0</v>
      </c>
      <c r="Q3041" s="1" t="s">
        <v>9126</v>
      </c>
      <c r="R3041" s="1">
        <v>183.0</v>
      </c>
      <c r="S3041" s="1">
        <v>1127.0</v>
      </c>
      <c r="U3041" s="1">
        <v>0.0</v>
      </c>
      <c r="V3041" s="1" t="s">
        <v>9122</v>
      </c>
      <c r="W3041" s="1">
        <v>70.0</v>
      </c>
      <c r="Y3041" s="1">
        <v>0.0</v>
      </c>
      <c r="Z3041" s="1" t="s">
        <v>9123</v>
      </c>
      <c r="AA3041" s="1">
        <v>19.0</v>
      </c>
      <c r="AB3041" s="1" t="s">
        <v>9124</v>
      </c>
      <c r="AC3041" s="1">
        <v>25.0</v>
      </c>
      <c r="AD3041" s="1" t="s">
        <v>971</v>
      </c>
      <c r="AG3041" s="9" t="s">
        <v>9121</v>
      </c>
      <c r="AM3041" s="1">
        <v>205444.0</v>
      </c>
      <c r="AN3041" s="1">
        <v>36528.0</v>
      </c>
      <c r="AO3041" s="1">
        <v>36528.0</v>
      </c>
      <c r="AP3041" s="1">
        <v>13.993</v>
      </c>
      <c r="AR3041" s="1">
        <v>1474.0</v>
      </c>
      <c r="AS3041" s="1">
        <v>229.0</v>
      </c>
      <c r="AT3041" s="1">
        <v>6.437</v>
      </c>
      <c r="AU3041" s="1">
        <v>62.784</v>
      </c>
      <c r="AV3041" s="1" t="s">
        <v>990</v>
      </c>
      <c r="AW3041" s="1">
        <v>5.645</v>
      </c>
      <c r="AX3041" s="1">
        <v>8.0</v>
      </c>
      <c r="AY3041" s="1">
        <v>1.0</v>
      </c>
      <c r="BA3041" s="1">
        <v>0.0</v>
      </c>
      <c r="BB3041" s="1">
        <v>0.0</v>
      </c>
      <c r="BC3041" s="1">
        <v>0.0</v>
      </c>
      <c r="BD3041" s="1">
        <v>0.0</v>
      </c>
      <c r="BE3041" s="1">
        <v>130.0</v>
      </c>
      <c r="BF3041" s="1">
        <v>48.0</v>
      </c>
      <c r="BG3041" s="1">
        <v>0.0</v>
      </c>
      <c r="BH3041" s="1">
        <v>16.0</v>
      </c>
      <c r="BI3041" s="1">
        <v>8.0</v>
      </c>
      <c r="BJ3041" s="1">
        <v>0.0</v>
      </c>
      <c r="BO3041" s="1" t="s">
        <v>9127</v>
      </c>
      <c r="BP3041" s="1">
        <v>1.021</v>
      </c>
      <c r="BU3041" s="1" t="s">
        <v>974</v>
      </c>
      <c r="BV3041" s="1">
        <v>1.1</v>
      </c>
      <c r="EQ3041" s="9" t="s">
        <v>9121</v>
      </c>
      <c r="ER3041" s="21">
        <v>46045.30388888889</v>
      </c>
    </row>
    <row r="3042">
      <c r="A3042" s="9" t="s">
        <v>9128</v>
      </c>
      <c r="B3042" s="20" t="str">
        <f>IFERROR(__xludf.DUMMYFUNCTION("REGEXREPLACE(A3042, ""^https?://[^/]+"", """")"),"/creating-a-sales-process-that-meets-modern-buyer-needs/")</f>
        <v>/creating-a-sales-process-that-meets-modern-buyer-needs/</v>
      </c>
      <c r="C3042" s="1" t="s">
        <v>9129</v>
      </c>
      <c r="D3042" s="1" t="s">
        <v>9130</v>
      </c>
      <c r="E3042" s="1" t="s">
        <v>9131</v>
      </c>
      <c r="F3042" s="1" t="s">
        <v>965</v>
      </c>
      <c r="G3042" s="1">
        <v>200.0</v>
      </c>
      <c r="H3042" s="1" t="s">
        <v>966</v>
      </c>
      <c r="I3042" s="1" t="s">
        <v>967</v>
      </c>
      <c r="K3042" s="1" t="s">
        <v>9132</v>
      </c>
      <c r="L3042" s="1">
        <v>79.0</v>
      </c>
      <c r="M3042" s="1">
        <v>735.0</v>
      </c>
      <c r="O3042" s="1">
        <v>0.0</v>
      </c>
      <c r="P3042" s="1">
        <v>0.0</v>
      </c>
      <c r="Q3042" s="1" t="s">
        <v>9133</v>
      </c>
      <c r="R3042" s="1">
        <v>155.0</v>
      </c>
      <c r="S3042" s="1">
        <v>926.0</v>
      </c>
      <c r="U3042" s="1">
        <v>0.0</v>
      </c>
      <c r="V3042" s="1" t="s">
        <v>9129</v>
      </c>
      <c r="W3042" s="1">
        <v>54.0</v>
      </c>
      <c r="Y3042" s="1">
        <v>0.0</v>
      </c>
      <c r="Z3042" s="1" t="s">
        <v>9130</v>
      </c>
      <c r="AA3042" s="1">
        <v>26.0</v>
      </c>
      <c r="AB3042" s="1" t="s">
        <v>9131</v>
      </c>
      <c r="AC3042" s="1">
        <v>37.0</v>
      </c>
      <c r="AD3042" s="1" t="s">
        <v>971</v>
      </c>
      <c r="AG3042" s="9" t="s">
        <v>9128</v>
      </c>
      <c r="AM3042" s="1">
        <v>211839.0</v>
      </c>
      <c r="AN3042" s="1">
        <v>39707.0</v>
      </c>
      <c r="AO3042" s="1">
        <v>39707.0</v>
      </c>
      <c r="AP3042" s="1">
        <v>15.211</v>
      </c>
      <c r="AR3042" s="1">
        <v>2637.0</v>
      </c>
      <c r="AS3042" s="1">
        <v>376.0</v>
      </c>
      <c r="AT3042" s="1">
        <v>7.013</v>
      </c>
      <c r="AU3042" s="1">
        <v>69.4</v>
      </c>
      <c r="AV3042" s="1" t="s">
        <v>990</v>
      </c>
      <c r="AW3042" s="1">
        <v>8.655</v>
      </c>
      <c r="AX3042" s="1">
        <v>8.0</v>
      </c>
      <c r="AY3042" s="1">
        <v>1.0</v>
      </c>
      <c r="BA3042" s="1">
        <v>0.0</v>
      </c>
      <c r="BB3042" s="1">
        <v>0.0</v>
      </c>
      <c r="BC3042" s="1">
        <v>0.0</v>
      </c>
      <c r="BD3042" s="1">
        <v>0.0</v>
      </c>
      <c r="BE3042" s="1">
        <v>133.0</v>
      </c>
      <c r="BF3042" s="1">
        <v>49.0</v>
      </c>
      <c r="BG3042" s="1">
        <v>0.0</v>
      </c>
      <c r="BH3042" s="1">
        <v>24.0</v>
      </c>
      <c r="BI3042" s="1">
        <v>16.0</v>
      </c>
      <c r="BJ3042" s="1">
        <v>0.0</v>
      </c>
      <c r="BO3042" s="1" t="s">
        <v>9134</v>
      </c>
      <c r="BP3042" s="1">
        <v>2.301</v>
      </c>
      <c r="BU3042" s="1" t="s">
        <v>974</v>
      </c>
      <c r="BV3042" s="1">
        <v>1.1</v>
      </c>
      <c r="EQ3042" s="9" t="s">
        <v>9128</v>
      </c>
      <c r="ER3042" s="21">
        <v>46045.303877314815</v>
      </c>
    </row>
    <row r="3043">
      <c r="A3043" s="9" t="s">
        <v>9135</v>
      </c>
      <c r="B3043" s="20" t="str">
        <f>IFERROR(__xludf.DUMMYFUNCTION("REGEXREPLACE(A3043, ""^https?://[^/]+"", """")"),"/wp-content/uploads/2017/02/Elevator-Down-RS-72-650-x-325.jpg")</f>
        <v>/wp-content/uploads/2017/02/Elevator-Down-RS-72-650-x-325.jpg</v>
      </c>
      <c r="F3043" s="1" t="s">
        <v>1004</v>
      </c>
      <c r="G3043" s="1">
        <v>200.0</v>
      </c>
      <c r="H3043" s="1" t="s">
        <v>966</v>
      </c>
      <c r="I3043" s="1" t="s">
        <v>967</v>
      </c>
      <c r="L3043" s="1">
        <v>0.0</v>
      </c>
      <c r="M3043" s="1">
        <v>0.0</v>
      </c>
      <c r="O3043" s="1">
        <v>0.0</v>
      </c>
      <c r="P3043" s="1">
        <v>0.0</v>
      </c>
      <c r="R3043" s="1">
        <v>0.0</v>
      </c>
      <c r="S3043" s="1">
        <v>0.0</v>
      </c>
      <c r="U3043" s="1">
        <v>0.0</v>
      </c>
      <c r="W3043" s="1">
        <v>0.0</v>
      </c>
      <c r="Y3043" s="1">
        <v>0.0</v>
      </c>
      <c r="AA3043" s="1">
        <v>0.0</v>
      </c>
      <c r="AC3043" s="1">
        <v>0.0</v>
      </c>
      <c r="AM3043" s="1">
        <v>19985.0</v>
      </c>
      <c r="AN3043" s="1">
        <v>19985.0</v>
      </c>
      <c r="AO3043" s="1">
        <v>19985.0</v>
      </c>
      <c r="AP3043" s="1">
        <v>7.656</v>
      </c>
      <c r="AR3043" s="1">
        <v>0.0</v>
      </c>
      <c r="AW3043" s="1">
        <v>0.0</v>
      </c>
      <c r="AX3043" s="1">
        <v>8.0</v>
      </c>
      <c r="AY3043" s="1">
        <v>4.0</v>
      </c>
      <c r="BA3043" s="1">
        <v>0.0</v>
      </c>
      <c r="BB3043" s="1">
        <v>0.0</v>
      </c>
      <c r="BC3043" s="1">
        <v>0.0</v>
      </c>
      <c r="BD3043" s="1">
        <v>0.0</v>
      </c>
      <c r="BE3043" s="1">
        <v>0.0</v>
      </c>
      <c r="BF3043" s="1">
        <v>0.0</v>
      </c>
      <c r="BG3043" s="1">
        <v>0.0</v>
      </c>
      <c r="BH3043" s="1">
        <v>0.0</v>
      </c>
      <c r="BI3043" s="1">
        <v>0.0</v>
      </c>
      <c r="BJ3043" s="1">
        <v>0.0</v>
      </c>
      <c r="BP3043" s="1">
        <v>0.261</v>
      </c>
      <c r="BQ3043" s="1" t="s">
        <v>9136</v>
      </c>
      <c r="BV3043" s="1">
        <v>1.1</v>
      </c>
      <c r="EQ3043" s="9" t="s">
        <v>9135</v>
      </c>
      <c r="ER3043" s="21">
        <v>46045.30390046296</v>
      </c>
    </row>
    <row r="3044">
      <c r="A3044" s="9" t="s">
        <v>9137</v>
      </c>
      <c r="B3044" s="20" t="str">
        <f>IFERROR(__xludf.DUMMYFUNCTION("REGEXREPLACE(A3044, ""^https?://[^/]+"", """")"),"/wp-content/uploads/2016/06/CEO-Breakfast-Workshop-2048x2048.png")</f>
        <v>/wp-content/uploads/2016/06/CEO-Breakfast-Workshop-2048x2048.png</v>
      </c>
      <c r="F3044" s="1" t="s">
        <v>1047</v>
      </c>
      <c r="G3044" s="1">
        <v>200.0</v>
      </c>
      <c r="H3044" s="1" t="s">
        <v>966</v>
      </c>
      <c r="I3044" s="1" t="s">
        <v>967</v>
      </c>
      <c r="L3044" s="1">
        <v>0.0</v>
      </c>
      <c r="M3044" s="1">
        <v>0.0</v>
      </c>
      <c r="O3044" s="1">
        <v>0.0</v>
      </c>
      <c r="P3044" s="1">
        <v>0.0</v>
      </c>
      <c r="R3044" s="1">
        <v>0.0</v>
      </c>
      <c r="S3044" s="1">
        <v>0.0</v>
      </c>
      <c r="U3044" s="1">
        <v>0.0</v>
      </c>
      <c r="W3044" s="1">
        <v>0.0</v>
      </c>
      <c r="Y3044" s="1">
        <v>0.0</v>
      </c>
      <c r="AA3044" s="1">
        <v>0.0</v>
      </c>
      <c r="AC3044" s="1">
        <v>0.0</v>
      </c>
      <c r="AM3044" s="1">
        <v>1599416.0</v>
      </c>
      <c r="AN3044" s="1">
        <v>1599416.0</v>
      </c>
      <c r="AO3044" s="1">
        <v>1599416.0</v>
      </c>
      <c r="AP3044" s="1">
        <v>612.706</v>
      </c>
      <c r="AR3044" s="1">
        <v>0.0</v>
      </c>
      <c r="AW3044" s="1">
        <v>0.0</v>
      </c>
      <c r="AX3044" s="1">
        <v>8.0</v>
      </c>
      <c r="AY3044" s="1">
        <v>4.0</v>
      </c>
      <c r="BA3044" s="1">
        <v>0.0</v>
      </c>
      <c r="BB3044" s="1">
        <v>0.0</v>
      </c>
      <c r="BC3044" s="1">
        <v>0.0</v>
      </c>
      <c r="BD3044" s="1">
        <v>0.0</v>
      </c>
      <c r="BE3044" s="1">
        <v>0.0</v>
      </c>
      <c r="BF3044" s="1">
        <v>0.0</v>
      </c>
      <c r="BG3044" s="1">
        <v>0.0</v>
      </c>
      <c r="BH3044" s="1">
        <v>0.0</v>
      </c>
      <c r="BI3044" s="1">
        <v>0.0</v>
      </c>
      <c r="BJ3044" s="1">
        <v>0.0</v>
      </c>
      <c r="BP3044" s="1">
        <v>0.269</v>
      </c>
      <c r="BQ3044" s="1" t="s">
        <v>9138</v>
      </c>
      <c r="BV3044" s="1">
        <v>1.1</v>
      </c>
      <c r="EQ3044" s="9" t="s">
        <v>9137</v>
      </c>
      <c r="ER3044" s="21">
        <v>46045.30390046296</v>
      </c>
    </row>
    <row r="3045">
      <c r="A3045" s="9" t="s">
        <v>9139</v>
      </c>
      <c r="B3045" s="20" t="str">
        <f>IFERROR(__xludf.DUMMYFUNCTION("REGEXREPLACE(A3045, ""^https?://[^/]+"", """")"),"/wp-content/themes/salesxceleratione/assets/css/style.css?ver=1769123842")</f>
        <v>/wp-content/themes/salesxceleratione/assets/css/style.css?ver=1769123842</v>
      </c>
      <c r="F3045" s="1" t="s">
        <v>1016</v>
      </c>
      <c r="G3045" s="1">
        <v>200.0</v>
      </c>
      <c r="H3045" s="1" t="s">
        <v>966</v>
      </c>
      <c r="I3045" s="1" t="s">
        <v>967</v>
      </c>
      <c r="L3045" s="1">
        <v>0.0</v>
      </c>
      <c r="M3045" s="1">
        <v>0.0</v>
      </c>
      <c r="O3045" s="1">
        <v>0.0</v>
      </c>
      <c r="P3045" s="1">
        <v>0.0</v>
      </c>
      <c r="R3045" s="1">
        <v>0.0</v>
      </c>
      <c r="S3045" s="1">
        <v>0.0</v>
      </c>
      <c r="U3045" s="1">
        <v>0.0</v>
      </c>
      <c r="W3045" s="1">
        <v>0.0</v>
      </c>
      <c r="Y3045" s="1">
        <v>0.0</v>
      </c>
      <c r="AA3045" s="1">
        <v>0.0</v>
      </c>
      <c r="AC3045" s="1">
        <v>0.0</v>
      </c>
      <c r="AM3045" s="1">
        <v>17704.0</v>
      </c>
      <c r="AN3045" s="1">
        <v>17704.0</v>
      </c>
      <c r="AO3045" s="1">
        <v>17704.0</v>
      </c>
      <c r="AP3045" s="1">
        <v>6.782</v>
      </c>
      <c r="AR3045" s="1">
        <v>0.0</v>
      </c>
      <c r="AW3045" s="1">
        <v>0.0</v>
      </c>
      <c r="AX3045" s="1">
        <v>8.0</v>
      </c>
      <c r="AY3045" s="1">
        <v>5.0</v>
      </c>
      <c r="BA3045" s="1">
        <v>0.0</v>
      </c>
      <c r="BB3045" s="1">
        <v>0.0</v>
      </c>
      <c r="BC3045" s="1">
        <v>0.0</v>
      </c>
      <c r="BD3045" s="1">
        <v>0.0</v>
      </c>
      <c r="BE3045" s="1">
        <v>0.0</v>
      </c>
      <c r="BF3045" s="1">
        <v>0.0</v>
      </c>
      <c r="BG3045" s="1">
        <v>0.0</v>
      </c>
      <c r="BH3045" s="1">
        <v>0.0</v>
      </c>
      <c r="BI3045" s="1">
        <v>0.0</v>
      </c>
      <c r="BJ3045" s="1">
        <v>0.0</v>
      </c>
      <c r="BP3045" s="1">
        <v>0.276</v>
      </c>
      <c r="BQ3045" s="1" t="s">
        <v>9140</v>
      </c>
      <c r="BV3045" s="1">
        <v>1.1</v>
      </c>
      <c r="EQ3045" s="9" t="s">
        <v>9139</v>
      </c>
      <c r="ER3045" s="21">
        <v>46045.30390046296</v>
      </c>
    </row>
    <row r="3046">
      <c r="A3046" s="9" t="s">
        <v>9141</v>
      </c>
      <c r="B3046" s="20" t="str">
        <f>IFERROR(__xludf.DUMMYFUNCTION("REGEXREPLACE(A3046, ""^https?://[^/]+"", """")"),"/wp-content/uploads/2015/05/Sales_Compensation.jpg")</f>
        <v>/wp-content/uploads/2015/05/Sales_Compensation.jpg</v>
      </c>
      <c r="F3046" s="1" t="s">
        <v>1004</v>
      </c>
      <c r="G3046" s="1">
        <v>200.0</v>
      </c>
      <c r="H3046" s="1" t="s">
        <v>966</v>
      </c>
      <c r="I3046" s="1" t="s">
        <v>967</v>
      </c>
      <c r="L3046" s="1">
        <v>0.0</v>
      </c>
      <c r="M3046" s="1">
        <v>0.0</v>
      </c>
      <c r="O3046" s="1">
        <v>0.0</v>
      </c>
      <c r="P3046" s="1">
        <v>0.0</v>
      </c>
      <c r="R3046" s="1">
        <v>0.0</v>
      </c>
      <c r="S3046" s="1">
        <v>0.0</v>
      </c>
      <c r="U3046" s="1">
        <v>0.0</v>
      </c>
      <c r="W3046" s="1">
        <v>0.0</v>
      </c>
      <c r="Y3046" s="1">
        <v>0.0</v>
      </c>
      <c r="AA3046" s="1">
        <v>0.0</v>
      </c>
      <c r="AC3046" s="1">
        <v>0.0</v>
      </c>
      <c r="AM3046" s="1">
        <v>53338.0</v>
      </c>
      <c r="AN3046" s="1">
        <v>53338.0</v>
      </c>
      <c r="AO3046" s="1">
        <v>53338.0</v>
      </c>
      <c r="AP3046" s="1">
        <v>20.433</v>
      </c>
      <c r="AR3046" s="1">
        <v>0.0</v>
      </c>
      <c r="AW3046" s="1">
        <v>0.0</v>
      </c>
      <c r="AX3046" s="1">
        <v>8.0</v>
      </c>
      <c r="AY3046" s="1">
        <v>4.0</v>
      </c>
      <c r="BA3046" s="1">
        <v>0.0</v>
      </c>
      <c r="BB3046" s="1">
        <v>0.0</v>
      </c>
      <c r="BC3046" s="1">
        <v>0.0</v>
      </c>
      <c r="BD3046" s="1">
        <v>0.0</v>
      </c>
      <c r="BE3046" s="1">
        <v>0.0</v>
      </c>
      <c r="BF3046" s="1">
        <v>0.0</v>
      </c>
      <c r="BG3046" s="1">
        <v>0.0</v>
      </c>
      <c r="BH3046" s="1">
        <v>0.0</v>
      </c>
      <c r="BI3046" s="1">
        <v>0.0</v>
      </c>
      <c r="BJ3046" s="1">
        <v>0.0</v>
      </c>
      <c r="BP3046" s="1">
        <v>0.283</v>
      </c>
      <c r="BQ3046" s="1" t="s">
        <v>9142</v>
      </c>
      <c r="BV3046" s="1">
        <v>1.1</v>
      </c>
      <c r="EQ3046" s="9" t="s">
        <v>9141</v>
      </c>
      <c r="ER3046" s="21">
        <v>46045.30391203704</v>
      </c>
    </row>
    <row r="3047">
      <c r="A3047" s="9" t="s">
        <v>9143</v>
      </c>
      <c r="B3047" s="20" t="str">
        <f>IFERROR(__xludf.DUMMYFUNCTION("REGEXREPLACE(A3047, ""^https?://[^/]+"", """")"),"/wp-content/themes/salesxceleratione/assets/css/style.css?ver=1769123840")</f>
        <v>/wp-content/themes/salesxceleratione/assets/css/style.css?ver=1769123840</v>
      </c>
      <c r="F3047" s="1" t="s">
        <v>1016</v>
      </c>
      <c r="G3047" s="1">
        <v>200.0</v>
      </c>
      <c r="H3047" s="1" t="s">
        <v>966</v>
      </c>
      <c r="I3047" s="1" t="s">
        <v>967</v>
      </c>
      <c r="L3047" s="1">
        <v>0.0</v>
      </c>
      <c r="M3047" s="1">
        <v>0.0</v>
      </c>
      <c r="O3047" s="1">
        <v>0.0</v>
      </c>
      <c r="P3047" s="1">
        <v>0.0</v>
      </c>
      <c r="R3047" s="1">
        <v>0.0</v>
      </c>
      <c r="S3047" s="1">
        <v>0.0</v>
      </c>
      <c r="U3047" s="1">
        <v>0.0</v>
      </c>
      <c r="W3047" s="1">
        <v>0.0</v>
      </c>
      <c r="Y3047" s="1">
        <v>0.0</v>
      </c>
      <c r="AA3047" s="1">
        <v>0.0</v>
      </c>
      <c r="AC3047" s="1">
        <v>0.0</v>
      </c>
      <c r="AM3047" s="1">
        <v>17704.0</v>
      </c>
      <c r="AN3047" s="1">
        <v>17704.0</v>
      </c>
      <c r="AO3047" s="1">
        <v>17704.0</v>
      </c>
      <c r="AP3047" s="1">
        <v>6.782</v>
      </c>
      <c r="AR3047" s="1">
        <v>0.0</v>
      </c>
      <c r="AW3047" s="1">
        <v>0.0</v>
      </c>
      <c r="AX3047" s="1">
        <v>8.0</v>
      </c>
      <c r="AY3047" s="1">
        <v>5.0</v>
      </c>
      <c r="BA3047" s="1">
        <v>0.0</v>
      </c>
      <c r="BB3047" s="1">
        <v>0.0</v>
      </c>
      <c r="BC3047" s="1">
        <v>0.0</v>
      </c>
      <c r="BD3047" s="1">
        <v>0.0</v>
      </c>
      <c r="BE3047" s="1">
        <v>0.0</v>
      </c>
      <c r="BF3047" s="1">
        <v>0.0</v>
      </c>
      <c r="BG3047" s="1">
        <v>0.0</v>
      </c>
      <c r="BH3047" s="1">
        <v>0.0</v>
      </c>
      <c r="BI3047" s="1">
        <v>0.0</v>
      </c>
      <c r="BJ3047" s="1">
        <v>0.0</v>
      </c>
      <c r="BP3047" s="1">
        <v>0.284</v>
      </c>
      <c r="BQ3047" s="1" t="s">
        <v>9140</v>
      </c>
      <c r="BV3047" s="1">
        <v>1.1</v>
      </c>
      <c r="EQ3047" s="9" t="s">
        <v>9143</v>
      </c>
      <c r="ER3047" s="21">
        <v>46045.30391203704</v>
      </c>
    </row>
    <row r="3048">
      <c r="A3048" s="9" t="s">
        <v>9144</v>
      </c>
      <c r="B3048" s="20" t="str">
        <f>IFERROR(__xludf.DUMMYFUNCTION("REGEXREPLACE(A3048, ""^https?://[^/]+"", """")"),"/wp-content/themes/salesxceleratione/assets/css/style.css?ver=1769123839")</f>
        <v>/wp-content/themes/salesxceleratione/assets/css/style.css?ver=1769123839</v>
      </c>
      <c r="F3048" s="1" t="s">
        <v>1016</v>
      </c>
      <c r="G3048" s="1">
        <v>200.0</v>
      </c>
      <c r="H3048" s="1" t="s">
        <v>966</v>
      </c>
      <c r="I3048" s="1" t="s">
        <v>967</v>
      </c>
      <c r="L3048" s="1">
        <v>0.0</v>
      </c>
      <c r="M3048" s="1">
        <v>0.0</v>
      </c>
      <c r="O3048" s="1">
        <v>0.0</v>
      </c>
      <c r="P3048" s="1">
        <v>0.0</v>
      </c>
      <c r="R3048" s="1">
        <v>0.0</v>
      </c>
      <c r="S3048" s="1">
        <v>0.0</v>
      </c>
      <c r="U3048" s="1">
        <v>0.0</v>
      </c>
      <c r="W3048" s="1">
        <v>0.0</v>
      </c>
      <c r="Y3048" s="1">
        <v>0.0</v>
      </c>
      <c r="AA3048" s="1">
        <v>0.0</v>
      </c>
      <c r="AC3048" s="1">
        <v>0.0</v>
      </c>
      <c r="AM3048" s="1">
        <v>17704.0</v>
      </c>
      <c r="AN3048" s="1">
        <v>17704.0</v>
      </c>
      <c r="AO3048" s="1">
        <v>17704.0</v>
      </c>
      <c r="AP3048" s="1">
        <v>6.782</v>
      </c>
      <c r="AR3048" s="1">
        <v>0.0</v>
      </c>
      <c r="AW3048" s="1">
        <v>0.0</v>
      </c>
      <c r="AX3048" s="1">
        <v>8.0</v>
      </c>
      <c r="AY3048" s="1">
        <v>5.0</v>
      </c>
      <c r="BA3048" s="1">
        <v>0.0</v>
      </c>
      <c r="BB3048" s="1">
        <v>0.0</v>
      </c>
      <c r="BC3048" s="1">
        <v>0.0</v>
      </c>
      <c r="BD3048" s="1">
        <v>0.0</v>
      </c>
      <c r="BE3048" s="1">
        <v>0.0</v>
      </c>
      <c r="BF3048" s="1">
        <v>0.0</v>
      </c>
      <c r="BG3048" s="1">
        <v>0.0</v>
      </c>
      <c r="BH3048" s="1">
        <v>0.0</v>
      </c>
      <c r="BI3048" s="1">
        <v>0.0</v>
      </c>
      <c r="BJ3048" s="1">
        <v>0.0</v>
      </c>
      <c r="BP3048" s="1">
        <v>0.26</v>
      </c>
      <c r="BQ3048" s="1" t="s">
        <v>9140</v>
      </c>
      <c r="BV3048" s="1">
        <v>1.1</v>
      </c>
      <c r="EQ3048" s="9" t="s">
        <v>9144</v>
      </c>
      <c r="ER3048" s="21">
        <v>46045.30391203704</v>
      </c>
    </row>
    <row r="3049">
      <c r="A3049" s="9" t="s">
        <v>9145</v>
      </c>
      <c r="B3049" s="20" t="str">
        <f>IFERROR(__xludf.DUMMYFUNCTION("REGEXREPLACE(A3049, ""^https?://[^/]+"", """")"),"/wp-content/themes/salesxceleratione/assets/css/style.css?ver=1769123838")</f>
        <v>/wp-content/themes/salesxceleratione/assets/css/style.css?ver=1769123838</v>
      </c>
      <c r="F3049" s="1" t="s">
        <v>1016</v>
      </c>
      <c r="G3049" s="1">
        <v>200.0</v>
      </c>
      <c r="H3049" s="1" t="s">
        <v>966</v>
      </c>
      <c r="I3049" s="1" t="s">
        <v>967</v>
      </c>
      <c r="L3049" s="1">
        <v>0.0</v>
      </c>
      <c r="M3049" s="1">
        <v>0.0</v>
      </c>
      <c r="O3049" s="1">
        <v>0.0</v>
      </c>
      <c r="P3049" s="1">
        <v>0.0</v>
      </c>
      <c r="R3049" s="1">
        <v>0.0</v>
      </c>
      <c r="S3049" s="1">
        <v>0.0</v>
      </c>
      <c r="U3049" s="1">
        <v>0.0</v>
      </c>
      <c r="W3049" s="1">
        <v>0.0</v>
      </c>
      <c r="Y3049" s="1">
        <v>0.0</v>
      </c>
      <c r="AA3049" s="1">
        <v>0.0</v>
      </c>
      <c r="AC3049" s="1">
        <v>0.0</v>
      </c>
      <c r="AM3049" s="1">
        <v>17704.0</v>
      </c>
      <c r="AN3049" s="1">
        <v>17704.0</v>
      </c>
      <c r="AO3049" s="1">
        <v>17704.0</v>
      </c>
      <c r="AP3049" s="1">
        <v>6.782</v>
      </c>
      <c r="AR3049" s="1">
        <v>0.0</v>
      </c>
      <c r="AW3049" s="1">
        <v>0.0</v>
      </c>
      <c r="AX3049" s="1">
        <v>8.0</v>
      </c>
      <c r="AY3049" s="1">
        <v>5.0</v>
      </c>
      <c r="BA3049" s="1">
        <v>0.0</v>
      </c>
      <c r="BB3049" s="1">
        <v>0.0</v>
      </c>
      <c r="BC3049" s="1">
        <v>0.0</v>
      </c>
      <c r="BD3049" s="1">
        <v>0.0</v>
      </c>
      <c r="BE3049" s="1">
        <v>0.0</v>
      </c>
      <c r="BF3049" s="1">
        <v>0.0</v>
      </c>
      <c r="BG3049" s="1">
        <v>0.0</v>
      </c>
      <c r="BH3049" s="1">
        <v>0.0</v>
      </c>
      <c r="BI3049" s="1">
        <v>0.0</v>
      </c>
      <c r="BJ3049" s="1">
        <v>0.0</v>
      </c>
      <c r="BP3049" s="1">
        <v>0.252</v>
      </c>
      <c r="BQ3049" s="1" t="s">
        <v>8902</v>
      </c>
      <c r="BV3049" s="1">
        <v>1.1</v>
      </c>
      <c r="EQ3049" s="9" t="s">
        <v>9145</v>
      </c>
      <c r="ER3049" s="21">
        <v>46045.30391203704</v>
      </c>
    </row>
    <row r="3050">
      <c r="A3050" s="9" t="s">
        <v>9146</v>
      </c>
      <c r="B3050" s="20" t="str">
        <f>IFERROR(__xludf.DUMMYFUNCTION("REGEXREPLACE(A3050, ""^https?://[^/]+"", """")"),"/wp-content/uploads/2018/04/updateblog.jpg")</f>
        <v>/wp-content/uploads/2018/04/updateblog.jpg</v>
      </c>
      <c r="F3050" s="1" t="s">
        <v>1004</v>
      </c>
      <c r="G3050" s="1">
        <v>200.0</v>
      </c>
      <c r="H3050" s="1" t="s">
        <v>966</v>
      </c>
      <c r="I3050" s="1" t="s">
        <v>967</v>
      </c>
      <c r="L3050" s="1">
        <v>0.0</v>
      </c>
      <c r="M3050" s="1">
        <v>0.0</v>
      </c>
      <c r="O3050" s="1">
        <v>0.0</v>
      </c>
      <c r="P3050" s="1">
        <v>0.0</v>
      </c>
      <c r="R3050" s="1">
        <v>0.0</v>
      </c>
      <c r="S3050" s="1">
        <v>0.0</v>
      </c>
      <c r="U3050" s="1">
        <v>0.0</v>
      </c>
      <c r="W3050" s="1">
        <v>0.0</v>
      </c>
      <c r="Y3050" s="1">
        <v>0.0</v>
      </c>
      <c r="AA3050" s="1">
        <v>0.0</v>
      </c>
      <c r="AC3050" s="1">
        <v>0.0</v>
      </c>
      <c r="AM3050" s="1">
        <v>58125.0</v>
      </c>
      <c r="AN3050" s="1">
        <v>58125.0</v>
      </c>
      <c r="AO3050" s="1">
        <v>58125.0</v>
      </c>
      <c r="AP3050" s="1">
        <v>22.267</v>
      </c>
      <c r="AR3050" s="1">
        <v>0.0</v>
      </c>
      <c r="AW3050" s="1">
        <v>0.0</v>
      </c>
      <c r="AX3050" s="1">
        <v>8.0</v>
      </c>
      <c r="AY3050" s="1">
        <v>4.0</v>
      </c>
      <c r="BA3050" s="1">
        <v>0.0</v>
      </c>
      <c r="BB3050" s="1">
        <v>0.0</v>
      </c>
      <c r="BC3050" s="1">
        <v>0.0</v>
      </c>
      <c r="BD3050" s="1">
        <v>0.0</v>
      </c>
      <c r="BE3050" s="1">
        <v>0.0</v>
      </c>
      <c r="BF3050" s="1">
        <v>0.0</v>
      </c>
      <c r="BG3050" s="1">
        <v>0.0</v>
      </c>
      <c r="BH3050" s="1">
        <v>0.0</v>
      </c>
      <c r="BI3050" s="1">
        <v>0.0</v>
      </c>
      <c r="BJ3050" s="1">
        <v>0.0</v>
      </c>
      <c r="BP3050" s="1">
        <v>0.268</v>
      </c>
      <c r="BQ3050" s="1" t="s">
        <v>9147</v>
      </c>
      <c r="BV3050" s="1">
        <v>1.1</v>
      </c>
      <c r="EQ3050" s="9" t="s">
        <v>9146</v>
      </c>
      <c r="ER3050" s="21">
        <v>46045.30391203704</v>
      </c>
    </row>
    <row r="3051">
      <c r="A3051" s="9" t="s">
        <v>9148</v>
      </c>
      <c r="B3051" s="20" t="str">
        <f>IFERROR(__xludf.DUMMYFUNCTION("REGEXREPLACE(A3051, ""^https?://[^/]+"", """")"),"/press-release-chief-outsiders-sales-xceleration-announce-interactive-sales-marketing-breakfast-workshop-ceos/")</f>
        <v>/press-release-chief-outsiders-sales-xceleration-announce-interactive-sales-marketing-breakfast-workshop-ceos/</v>
      </c>
      <c r="C3051" s="1" t="s">
        <v>9149</v>
      </c>
      <c r="F3051" s="1" t="s">
        <v>965</v>
      </c>
      <c r="G3051" s="1">
        <v>200.0</v>
      </c>
      <c r="H3051" s="1" t="s">
        <v>966</v>
      </c>
      <c r="I3051" s="1" t="s">
        <v>967</v>
      </c>
      <c r="K3051" s="1" t="s">
        <v>9150</v>
      </c>
      <c r="L3051" s="1">
        <v>146.0</v>
      </c>
      <c r="M3051" s="1">
        <v>1357.0</v>
      </c>
      <c r="O3051" s="1">
        <v>0.0</v>
      </c>
      <c r="P3051" s="1">
        <v>0.0</v>
      </c>
      <c r="Q3051" s="1" t="s">
        <v>9151</v>
      </c>
      <c r="R3051" s="1">
        <v>151.0</v>
      </c>
      <c r="S3051" s="1">
        <v>948.0</v>
      </c>
      <c r="U3051" s="1">
        <v>0.0</v>
      </c>
      <c r="V3051" s="1" t="s">
        <v>9149</v>
      </c>
      <c r="W3051" s="1">
        <v>121.0</v>
      </c>
      <c r="Y3051" s="1">
        <v>0.0</v>
      </c>
      <c r="AA3051" s="1">
        <v>0.0</v>
      </c>
      <c r="AC3051" s="1">
        <v>0.0</v>
      </c>
      <c r="AD3051" s="1" t="s">
        <v>971</v>
      </c>
      <c r="AG3051" s="9" t="s">
        <v>9148</v>
      </c>
      <c r="AM3051" s="1">
        <v>209835.0</v>
      </c>
      <c r="AN3051" s="1">
        <v>37006.0</v>
      </c>
      <c r="AO3051" s="1">
        <v>37006.0</v>
      </c>
      <c r="AP3051" s="1">
        <v>14.176</v>
      </c>
      <c r="AR3051" s="1">
        <v>1080.0</v>
      </c>
      <c r="AS3051" s="1">
        <v>171.0</v>
      </c>
      <c r="AT3051" s="1">
        <v>6.316</v>
      </c>
      <c r="AU3051" s="1">
        <v>59.503</v>
      </c>
      <c r="AV3051" s="1" t="s">
        <v>972</v>
      </c>
      <c r="AW3051" s="1">
        <v>4.412</v>
      </c>
      <c r="AX3051" s="1">
        <v>8.0</v>
      </c>
      <c r="AY3051" s="1">
        <v>1.0</v>
      </c>
      <c r="AZ3051" s="1">
        <v>1.0</v>
      </c>
      <c r="BA3051" s="1">
        <v>4.0</v>
      </c>
      <c r="BB3051" s="1">
        <v>2.0</v>
      </c>
      <c r="BC3051" s="1">
        <v>0.0</v>
      </c>
      <c r="BD3051" s="1">
        <v>0.27</v>
      </c>
      <c r="BE3051" s="1">
        <v>132.0</v>
      </c>
      <c r="BF3051" s="1">
        <v>48.0</v>
      </c>
      <c r="BG3051" s="1">
        <v>0.0</v>
      </c>
      <c r="BH3051" s="1">
        <v>24.0</v>
      </c>
      <c r="BI3051" s="1">
        <v>14.0</v>
      </c>
      <c r="BJ3051" s="1">
        <v>0.0</v>
      </c>
      <c r="BO3051" s="1" t="s">
        <v>9152</v>
      </c>
      <c r="BP3051" s="1">
        <v>1.043</v>
      </c>
      <c r="BU3051" s="1" t="s">
        <v>974</v>
      </c>
      <c r="BV3051" s="1">
        <v>1.1</v>
      </c>
      <c r="EQ3051" s="9" t="s">
        <v>9148</v>
      </c>
      <c r="ER3051" s="21">
        <v>46045.30390046296</v>
      </c>
    </row>
    <row r="3052">
      <c r="A3052" s="9" t="s">
        <v>8946</v>
      </c>
      <c r="B3052" s="20" t="str">
        <f>IFERROR(__xludf.DUMMYFUNCTION("REGEXREPLACE(A3052, ""^https?://[^/]+"", """")"),"/no-access/download-id/27891/")</f>
        <v>/no-access/download-id/27891/</v>
      </c>
      <c r="C3052" s="1" t="s">
        <v>6664</v>
      </c>
      <c r="F3052" s="1" t="s">
        <v>965</v>
      </c>
      <c r="G3052" s="1">
        <v>200.0</v>
      </c>
      <c r="H3052" s="1" t="s">
        <v>966</v>
      </c>
      <c r="I3052" s="1" t="s">
        <v>1214</v>
      </c>
      <c r="J3052" s="1" t="s">
        <v>1215</v>
      </c>
      <c r="K3052" s="1" t="s">
        <v>6665</v>
      </c>
      <c r="L3052" s="1">
        <v>29.0</v>
      </c>
      <c r="M3052" s="1">
        <v>265.0</v>
      </c>
      <c r="O3052" s="1">
        <v>0.0</v>
      </c>
      <c r="P3052" s="1">
        <v>0.0</v>
      </c>
      <c r="R3052" s="1">
        <v>0.0</v>
      </c>
      <c r="S3052" s="1">
        <v>0.0</v>
      </c>
      <c r="U3052" s="1">
        <v>0.0</v>
      </c>
      <c r="V3052" s="1" t="s">
        <v>6664</v>
      </c>
      <c r="W3052" s="1">
        <v>9.0</v>
      </c>
      <c r="Y3052" s="1">
        <v>0.0</v>
      </c>
      <c r="AA3052" s="1">
        <v>0.0</v>
      </c>
      <c r="AC3052" s="1">
        <v>0.0</v>
      </c>
      <c r="AD3052" s="1" t="s">
        <v>971</v>
      </c>
      <c r="AG3052" s="9" t="s">
        <v>6666</v>
      </c>
      <c r="AM3052" s="1">
        <v>145754.0</v>
      </c>
      <c r="AN3052" s="1">
        <v>28288.0</v>
      </c>
      <c r="AO3052" s="1">
        <v>28288.0</v>
      </c>
      <c r="AP3052" s="1">
        <v>10.837</v>
      </c>
      <c r="AR3052" s="1">
        <v>538.0</v>
      </c>
      <c r="AS3052" s="1">
        <v>93.0</v>
      </c>
      <c r="AT3052" s="1">
        <v>5.785</v>
      </c>
      <c r="AU3052" s="1">
        <v>61.483</v>
      </c>
      <c r="AV3052" s="1" t="s">
        <v>990</v>
      </c>
      <c r="AW3052" s="1">
        <v>3.905</v>
      </c>
      <c r="AX3052" s="1">
        <v>8.0</v>
      </c>
      <c r="AY3052" s="1">
        <v>3.0</v>
      </c>
      <c r="BA3052" s="1">
        <v>0.0</v>
      </c>
      <c r="BB3052" s="1">
        <v>0.0</v>
      </c>
      <c r="BC3052" s="1">
        <v>0.0</v>
      </c>
      <c r="BD3052" s="1">
        <v>0.0</v>
      </c>
      <c r="BE3052" s="1">
        <v>123.0</v>
      </c>
      <c r="BF3052" s="1">
        <v>42.0</v>
      </c>
      <c r="BG3052" s="1">
        <v>0.0</v>
      </c>
      <c r="BH3052" s="1">
        <v>16.0</v>
      </c>
      <c r="BI3052" s="1">
        <v>8.0</v>
      </c>
      <c r="BJ3052" s="1">
        <v>0.0</v>
      </c>
      <c r="BO3052" s="1" t="s">
        <v>9153</v>
      </c>
      <c r="BP3052" s="1">
        <v>0.961</v>
      </c>
      <c r="BU3052" s="1" t="s">
        <v>974</v>
      </c>
      <c r="BV3052" s="1">
        <v>1.1</v>
      </c>
      <c r="EQ3052" s="9" t="s">
        <v>8946</v>
      </c>
      <c r="ER3052" s="21">
        <v>46045.30391203704</v>
      </c>
    </row>
    <row r="3053">
      <c r="A3053" s="9" t="s">
        <v>8947</v>
      </c>
      <c r="B3053" s="20" t="str">
        <f>IFERROR(__xludf.DUMMYFUNCTION("REGEXREPLACE(A3053, ""^https?://[^/]+"", """")"),"/no-access/download-id/27888/")</f>
        <v>/no-access/download-id/27888/</v>
      </c>
      <c r="C3053" s="1" t="s">
        <v>6664</v>
      </c>
      <c r="F3053" s="1" t="s">
        <v>965</v>
      </c>
      <c r="G3053" s="1">
        <v>200.0</v>
      </c>
      <c r="H3053" s="1" t="s">
        <v>966</v>
      </c>
      <c r="I3053" s="1" t="s">
        <v>1214</v>
      </c>
      <c r="J3053" s="1" t="s">
        <v>1215</v>
      </c>
      <c r="K3053" s="1" t="s">
        <v>6665</v>
      </c>
      <c r="L3053" s="1">
        <v>29.0</v>
      </c>
      <c r="M3053" s="1">
        <v>265.0</v>
      </c>
      <c r="O3053" s="1">
        <v>0.0</v>
      </c>
      <c r="P3053" s="1">
        <v>0.0</v>
      </c>
      <c r="R3053" s="1">
        <v>0.0</v>
      </c>
      <c r="S3053" s="1">
        <v>0.0</v>
      </c>
      <c r="U3053" s="1">
        <v>0.0</v>
      </c>
      <c r="V3053" s="1" t="s">
        <v>6664</v>
      </c>
      <c r="W3053" s="1">
        <v>9.0</v>
      </c>
      <c r="Y3053" s="1">
        <v>0.0</v>
      </c>
      <c r="AA3053" s="1">
        <v>0.0</v>
      </c>
      <c r="AC3053" s="1">
        <v>0.0</v>
      </c>
      <c r="AD3053" s="1" t="s">
        <v>971</v>
      </c>
      <c r="AG3053" s="9" t="s">
        <v>6666</v>
      </c>
      <c r="AM3053" s="1">
        <v>145754.0</v>
      </c>
      <c r="AN3053" s="1">
        <v>28289.0</v>
      </c>
      <c r="AO3053" s="1">
        <v>28289.0</v>
      </c>
      <c r="AP3053" s="1">
        <v>10.837</v>
      </c>
      <c r="AR3053" s="1">
        <v>538.0</v>
      </c>
      <c r="AS3053" s="1">
        <v>93.0</v>
      </c>
      <c r="AT3053" s="1">
        <v>5.785</v>
      </c>
      <c r="AU3053" s="1">
        <v>61.483</v>
      </c>
      <c r="AV3053" s="1" t="s">
        <v>990</v>
      </c>
      <c r="AW3053" s="1">
        <v>3.905</v>
      </c>
      <c r="AX3053" s="1">
        <v>8.0</v>
      </c>
      <c r="AY3053" s="1">
        <v>3.0</v>
      </c>
      <c r="BA3053" s="1">
        <v>0.0</v>
      </c>
      <c r="BB3053" s="1">
        <v>0.0</v>
      </c>
      <c r="BC3053" s="1">
        <v>0.0</v>
      </c>
      <c r="BD3053" s="1">
        <v>0.0</v>
      </c>
      <c r="BE3053" s="1">
        <v>123.0</v>
      </c>
      <c r="BF3053" s="1">
        <v>42.0</v>
      </c>
      <c r="BG3053" s="1">
        <v>0.0</v>
      </c>
      <c r="BH3053" s="1">
        <v>16.0</v>
      </c>
      <c r="BI3053" s="1">
        <v>8.0</v>
      </c>
      <c r="BJ3053" s="1">
        <v>0.0</v>
      </c>
      <c r="BO3053" s="1" t="s">
        <v>9154</v>
      </c>
      <c r="BP3053" s="1">
        <v>0.941</v>
      </c>
      <c r="BU3053" s="1" t="s">
        <v>974</v>
      </c>
      <c r="BV3053" s="1">
        <v>1.1</v>
      </c>
      <c r="EQ3053" s="9" t="s">
        <v>8947</v>
      </c>
      <c r="ER3053" s="21">
        <v>46045.30390046296</v>
      </c>
    </row>
    <row r="3054">
      <c r="A3054" s="9" t="s">
        <v>9155</v>
      </c>
      <c r="B3054" s="20" t="str">
        <f>IFERROR(__xludf.DUMMYFUNCTION("REGEXREPLACE(A3054, ""^https?://[^/]+"", """")"),"/wp-content/themes/salesxceleratione/assets/css/style.css?ver=1769123835")</f>
        <v>/wp-content/themes/salesxceleratione/assets/css/style.css?ver=1769123835</v>
      </c>
      <c r="F3054" s="1" t="s">
        <v>1016</v>
      </c>
      <c r="G3054" s="1">
        <v>200.0</v>
      </c>
      <c r="H3054" s="1" t="s">
        <v>966</v>
      </c>
      <c r="I3054" s="1" t="s">
        <v>967</v>
      </c>
      <c r="L3054" s="1">
        <v>0.0</v>
      </c>
      <c r="M3054" s="1">
        <v>0.0</v>
      </c>
      <c r="O3054" s="1">
        <v>0.0</v>
      </c>
      <c r="P3054" s="1">
        <v>0.0</v>
      </c>
      <c r="R3054" s="1">
        <v>0.0</v>
      </c>
      <c r="S3054" s="1">
        <v>0.0</v>
      </c>
      <c r="U3054" s="1">
        <v>0.0</v>
      </c>
      <c r="W3054" s="1">
        <v>0.0</v>
      </c>
      <c r="Y3054" s="1">
        <v>0.0</v>
      </c>
      <c r="AA3054" s="1">
        <v>0.0</v>
      </c>
      <c r="AC3054" s="1">
        <v>0.0</v>
      </c>
      <c r="AM3054" s="1">
        <v>17704.0</v>
      </c>
      <c r="AN3054" s="1">
        <v>17704.0</v>
      </c>
      <c r="AO3054" s="1">
        <v>17704.0</v>
      </c>
      <c r="AP3054" s="1">
        <v>6.782</v>
      </c>
      <c r="AR3054" s="1">
        <v>0.0</v>
      </c>
      <c r="AW3054" s="1">
        <v>0.0</v>
      </c>
      <c r="AX3054" s="1">
        <v>8.0</v>
      </c>
      <c r="AY3054" s="1">
        <v>5.0</v>
      </c>
      <c r="BA3054" s="1">
        <v>0.0</v>
      </c>
      <c r="BB3054" s="1">
        <v>0.0</v>
      </c>
      <c r="BC3054" s="1">
        <v>0.0</v>
      </c>
      <c r="BD3054" s="1">
        <v>0.0</v>
      </c>
      <c r="BE3054" s="1">
        <v>0.0</v>
      </c>
      <c r="BF3054" s="1">
        <v>0.0</v>
      </c>
      <c r="BG3054" s="1">
        <v>0.0</v>
      </c>
      <c r="BH3054" s="1">
        <v>0.0</v>
      </c>
      <c r="BI3054" s="1">
        <v>0.0</v>
      </c>
      <c r="BJ3054" s="1">
        <v>0.0</v>
      </c>
      <c r="BP3054" s="1">
        <v>0.287</v>
      </c>
      <c r="BQ3054" s="1" t="s">
        <v>9156</v>
      </c>
      <c r="BV3054" s="1">
        <v>1.1</v>
      </c>
      <c r="EQ3054" s="9" t="s">
        <v>9155</v>
      </c>
      <c r="ER3054" s="21">
        <v>46045.303923611114</v>
      </c>
    </row>
    <row r="3055">
      <c r="A3055" s="9" t="s">
        <v>9157</v>
      </c>
      <c r="B3055" s="20" t="str">
        <f>IFERROR(__xludf.DUMMYFUNCTION("REGEXREPLACE(A3055, ""^https?://[^/]+"", """")"),"/wp-content/uploads/2015/03/sales-Coaches.png")</f>
        <v>/wp-content/uploads/2015/03/sales-Coaches.png</v>
      </c>
      <c r="F3055" s="1" t="s">
        <v>1047</v>
      </c>
      <c r="G3055" s="1">
        <v>200.0</v>
      </c>
      <c r="H3055" s="1" t="s">
        <v>966</v>
      </c>
      <c r="I3055" s="1" t="s">
        <v>967</v>
      </c>
      <c r="L3055" s="1">
        <v>0.0</v>
      </c>
      <c r="M3055" s="1">
        <v>0.0</v>
      </c>
      <c r="O3055" s="1">
        <v>0.0</v>
      </c>
      <c r="P3055" s="1">
        <v>0.0</v>
      </c>
      <c r="R3055" s="1">
        <v>0.0</v>
      </c>
      <c r="S3055" s="1">
        <v>0.0</v>
      </c>
      <c r="U3055" s="1">
        <v>0.0</v>
      </c>
      <c r="W3055" s="1">
        <v>0.0</v>
      </c>
      <c r="Y3055" s="1">
        <v>0.0</v>
      </c>
      <c r="AA3055" s="1">
        <v>0.0</v>
      </c>
      <c r="AC3055" s="1">
        <v>0.0</v>
      </c>
      <c r="AM3055" s="1">
        <v>122925.0</v>
      </c>
      <c r="AN3055" s="1">
        <v>122925.0</v>
      </c>
      <c r="AO3055" s="1">
        <v>122925.0</v>
      </c>
      <c r="AP3055" s="1">
        <v>47.09</v>
      </c>
      <c r="AR3055" s="1">
        <v>0.0</v>
      </c>
      <c r="AW3055" s="1">
        <v>0.0</v>
      </c>
      <c r="AX3055" s="1">
        <v>8.0</v>
      </c>
      <c r="AY3055" s="1">
        <v>4.0</v>
      </c>
      <c r="BA3055" s="1">
        <v>0.0</v>
      </c>
      <c r="BB3055" s="1">
        <v>0.0</v>
      </c>
      <c r="BC3055" s="1">
        <v>0.0</v>
      </c>
      <c r="BD3055" s="1">
        <v>0.0</v>
      </c>
      <c r="BE3055" s="1">
        <v>0.0</v>
      </c>
      <c r="BF3055" s="1">
        <v>0.0</v>
      </c>
      <c r="BG3055" s="1">
        <v>0.0</v>
      </c>
      <c r="BH3055" s="1">
        <v>0.0</v>
      </c>
      <c r="BI3055" s="1">
        <v>0.0</v>
      </c>
      <c r="BJ3055" s="1">
        <v>0.0</v>
      </c>
      <c r="BP3055" s="1">
        <v>0.266</v>
      </c>
      <c r="BQ3055" s="1" t="s">
        <v>9158</v>
      </c>
      <c r="BV3055" s="1">
        <v>1.1</v>
      </c>
      <c r="EQ3055" s="9" t="s">
        <v>9157</v>
      </c>
      <c r="ER3055" s="21">
        <v>46045.303923611114</v>
      </c>
    </row>
    <row r="3056">
      <c r="A3056" s="9" t="s">
        <v>8878</v>
      </c>
      <c r="B3056" s="20" t="str">
        <f>IFERROR(__xludf.DUMMYFUNCTION("REGEXREPLACE(A3056, ""^https?://[^/]+"", """")"),"/no-access/download-id/27890/")</f>
        <v>/no-access/download-id/27890/</v>
      </c>
      <c r="C3056" s="1" t="s">
        <v>6664</v>
      </c>
      <c r="F3056" s="1" t="s">
        <v>965</v>
      </c>
      <c r="G3056" s="1">
        <v>200.0</v>
      </c>
      <c r="H3056" s="1" t="s">
        <v>966</v>
      </c>
      <c r="I3056" s="1" t="s">
        <v>1214</v>
      </c>
      <c r="J3056" s="1" t="s">
        <v>1215</v>
      </c>
      <c r="K3056" s="1" t="s">
        <v>6665</v>
      </c>
      <c r="L3056" s="1">
        <v>29.0</v>
      </c>
      <c r="M3056" s="1">
        <v>265.0</v>
      </c>
      <c r="O3056" s="1">
        <v>0.0</v>
      </c>
      <c r="P3056" s="1">
        <v>0.0</v>
      </c>
      <c r="R3056" s="1">
        <v>0.0</v>
      </c>
      <c r="S3056" s="1">
        <v>0.0</v>
      </c>
      <c r="U3056" s="1">
        <v>0.0</v>
      </c>
      <c r="V3056" s="1" t="s">
        <v>6664</v>
      </c>
      <c r="W3056" s="1">
        <v>9.0</v>
      </c>
      <c r="Y3056" s="1">
        <v>0.0</v>
      </c>
      <c r="AA3056" s="1">
        <v>0.0</v>
      </c>
      <c r="AC3056" s="1">
        <v>0.0</v>
      </c>
      <c r="AD3056" s="1" t="s">
        <v>971</v>
      </c>
      <c r="AG3056" s="9" t="s">
        <v>6666</v>
      </c>
      <c r="AM3056" s="1">
        <v>145754.0</v>
      </c>
      <c r="AN3056" s="1">
        <v>28288.0</v>
      </c>
      <c r="AO3056" s="1">
        <v>28288.0</v>
      </c>
      <c r="AP3056" s="1">
        <v>10.837</v>
      </c>
      <c r="AR3056" s="1">
        <v>538.0</v>
      </c>
      <c r="AS3056" s="1">
        <v>93.0</v>
      </c>
      <c r="AT3056" s="1">
        <v>5.785</v>
      </c>
      <c r="AU3056" s="1">
        <v>61.483</v>
      </c>
      <c r="AV3056" s="1" t="s">
        <v>990</v>
      </c>
      <c r="AW3056" s="1">
        <v>3.905</v>
      </c>
      <c r="AX3056" s="1">
        <v>8.0</v>
      </c>
      <c r="AY3056" s="1">
        <v>3.0</v>
      </c>
      <c r="BA3056" s="1">
        <v>0.0</v>
      </c>
      <c r="BB3056" s="1">
        <v>0.0</v>
      </c>
      <c r="BC3056" s="1">
        <v>0.0</v>
      </c>
      <c r="BD3056" s="1">
        <v>0.0</v>
      </c>
      <c r="BE3056" s="1">
        <v>123.0</v>
      </c>
      <c r="BF3056" s="1">
        <v>42.0</v>
      </c>
      <c r="BG3056" s="1">
        <v>0.0</v>
      </c>
      <c r="BH3056" s="1">
        <v>16.0</v>
      </c>
      <c r="BI3056" s="1">
        <v>8.0</v>
      </c>
      <c r="BJ3056" s="1">
        <v>0.0</v>
      </c>
      <c r="BO3056" s="1" t="s">
        <v>9159</v>
      </c>
      <c r="BP3056" s="1">
        <v>1.011</v>
      </c>
      <c r="BU3056" s="1" t="s">
        <v>974</v>
      </c>
      <c r="BV3056" s="1">
        <v>1.1</v>
      </c>
      <c r="EQ3056" s="9" t="s">
        <v>8878</v>
      </c>
      <c r="ER3056" s="21">
        <v>46045.30391203704</v>
      </c>
    </row>
    <row r="3057">
      <c r="A3057" s="9" t="s">
        <v>9160</v>
      </c>
      <c r="B3057" s="20" t="str">
        <f>IFERROR(__xludf.DUMMYFUNCTION("REGEXREPLACE(A3057, ""^https?://[^/]+"", """")"),"/how-leaders-create-sales-action-plans-to-improve-the-bottom-line")</f>
        <v>/how-leaders-create-sales-action-plans-to-improve-the-bottom-line</v>
      </c>
      <c r="F3057" s="1" t="s">
        <v>965</v>
      </c>
      <c r="G3057" s="1">
        <v>301.0</v>
      </c>
      <c r="H3057" s="1" t="s">
        <v>1304</v>
      </c>
      <c r="I3057" s="1" t="s">
        <v>1214</v>
      </c>
      <c r="J3057" s="1" t="s">
        <v>1305</v>
      </c>
      <c r="L3057" s="1">
        <v>0.0</v>
      </c>
      <c r="M3057" s="1">
        <v>0.0</v>
      </c>
      <c r="O3057" s="1">
        <v>0.0</v>
      </c>
      <c r="P3057" s="1">
        <v>0.0</v>
      </c>
      <c r="R3057" s="1">
        <v>0.0</v>
      </c>
      <c r="S3057" s="1">
        <v>0.0</v>
      </c>
      <c r="U3057" s="1">
        <v>0.0</v>
      </c>
      <c r="W3057" s="1">
        <v>0.0</v>
      </c>
      <c r="Y3057" s="1">
        <v>0.0</v>
      </c>
      <c r="AA3057" s="1">
        <v>0.0</v>
      </c>
      <c r="AC3057" s="1">
        <v>0.0</v>
      </c>
      <c r="AM3057" s="1">
        <v>0.0</v>
      </c>
      <c r="AN3057" s="1">
        <v>0.0</v>
      </c>
      <c r="AO3057" s="1">
        <v>0.0</v>
      </c>
      <c r="AP3057" s="1">
        <v>0.0</v>
      </c>
      <c r="AR3057" s="1">
        <v>0.0</v>
      </c>
      <c r="AW3057" s="1">
        <v>0.0</v>
      </c>
      <c r="AX3057" s="1">
        <v>8.0</v>
      </c>
      <c r="AY3057" s="1">
        <v>0.0</v>
      </c>
      <c r="BA3057" s="1">
        <v>1.0</v>
      </c>
      <c r="BB3057" s="1">
        <v>1.0</v>
      </c>
      <c r="BC3057" s="1">
        <v>0.0</v>
      </c>
      <c r="BD3057" s="1">
        <v>0.13</v>
      </c>
      <c r="BE3057" s="1">
        <v>0.0</v>
      </c>
      <c r="BF3057" s="1">
        <v>0.0</v>
      </c>
      <c r="BG3057" s="1">
        <v>0.0</v>
      </c>
      <c r="BH3057" s="1">
        <v>0.0</v>
      </c>
      <c r="BI3057" s="1">
        <v>0.0</v>
      </c>
      <c r="BJ3057" s="1">
        <v>0.0</v>
      </c>
      <c r="BP3057" s="1">
        <v>0.559</v>
      </c>
      <c r="BR3057" s="9" t="s">
        <v>5470</v>
      </c>
      <c r="BS3057" s="1" t="s">
        <v>1307</v>
      </c>
      <c r="BV3057" s="1">
        <v>1.1</v>
      </c>
      <c r="EQ3057" s="9" t="s">
        <v>9160</v>
      </c>
      <c r="ER3057" s="21">
        <v>46045.303923611114</v>
      </c>
    </row>
    <row r="3058">
      <c r="A3058" s="9" t="s">
        <v>9161</v>
      </c>
      <c r="B3058" s="20" t="str">
        <f>IFERROR(__xludf.DUMMYFUNCTION("REGEXREPLACE(A3058, ""^https?://[^/]+"", """")"),"/wp-content/uploads/2020/09/marketing-sales-2048x2048.png")</f>
        <v>/wp-content/uploads/2020/09/marketing-sales-2048x2048.png</v>
      </c>
      <c r="F3058" s="1" t="s">
        <v>1047</v>
      </c>
      <c r="G3058" s="1">
        <v>200.0</v>
      </c>
      <c r="H3058" s="1" t="s">
        <v>966</v>
      </c>
      <c r="I3058" s="1" t="s">
        <v>967</v>
      </c>
      <c r="L3058" s="1">
        <v>0.0</v>
      </c>
      <c r="M3058" s="1">
        <v>0.0</v>
      </c>
      <c r="O3058" s="1">
        <v>0.0</v>
      </c>
      <c r="P3058" s="1">
        <v>0.0</v>
      </c>
      <c r="R3058" s="1">
        <v>0.0</v>
      </c>
      <c r="S3058" s="1">
        <v>0.0</v>
      </c>
      <c r="U3058" s="1">
        <v>0.0</v>
      </c>
      <c r="W3058" s="1">
        <v>0.0</v>
      </c>
      <c r="Y3058" s="1">
        <v>0.0</v>
      </c>
      <c r="AA3058" s="1">
        <v>0.0</v>
      </c>
      <c r="AC3058" s="1">
        <v>0.0</v>
      </c>
      <c r="AM3058" s="1">
        <v>1340533.0</v>
      </c>
      <c r="AN3058" s="1">
        <v>1340533.0</v>
      </c>
      <c r="AO3058" s="1">
        <v>1340533.0</v>
      </c>
      <c r="AP3058" s="1">
        <v>513.533</v>
      </c>
      <c r="AR3058" s="1">
        <v>0.0</v>
      </c>
      <c r="AW3058" s="1">
        <v>0.0</v>
      </c>
      <c r="AX3058" s="1">
        <v>8.0</v>
      </c>
      <c r="AY3058" s="1">
        <v>4.0</v>
      </c>
      <c r="BA3058" s="1">
        <v>0.0</v>
      </c>
      <c r="BB3058" s="1">
        <v>0.0</v>
      </c>
      <c r="BC3058" s="1">
        <v>0.0</v>
      </c>
      <c r="BD3058" s="1">
        <v>0.0</v>
      </c>
      <c r="BE3058" s="1">
        <v>0.0</v>
      </c>
      <c r="BF3058" s="1">
        <v>0.0</v>
      </c>
      <c r="BG3058" s="1">
        <v>0.0</v>
      </c>
      <c r="BH3058" s="1">
        <v>0.0</v>
      </c>
      <c r="BI3058" s="1">
        <v>0.0</v>
      </c>
      <c r="BJ3058" s="1">
        <v>0.0</v>
      </c>
      <c r="BP3058" s="1">
        <v>0.268</v>
      </c>
      <c r="BQ3058" s="1" t="s">
        <v>9162</v>
      </c>
      <c r="BV3058" s="1">
        <v>1.1</v>
      </c>
      <c r="EQ3058" s="9" t="s">
        <v>9161</v>
      </c>
      <c r="ER3058" s="21">
        <v>46045.303923611114</v>
      </c>
    </row>
    <row r="3059">
      <c r="A3059" s="9" t="s">
        <v>8877</v>
      </c>
      <c r="B3059" s="20" t="str">
        <f>IFERROR(__xludf.DUMMYFUNCTION("REGEXREPLACE(A3059, ""^https?://[^/]+"", """")"),"/no-access/download-id/29203/")</f>
        <v>/no-access/download-id/29203/</v>
      </c>
      <c r="C3059" s="1" t="s">
        <v>6664</v>
      </c>
      <c r="F3059" s="1" t="s">
        <v>965</v>
      </c>
      <c r="G3059" s="1">
        <v>200.0</v>
      </c>
      <c r="H3059" s="1" t="s">
        <v>966</v>
      </c>
      <c r="I3059" s="1" t="s">
        <v>1214</v>
      </c>
      <c r="J3059" s="1" t="s">
        <v>1215</v>
      </c>
      <c r="K3059" s="1" t="s">
        <v>6665</v>
      </c>
      <c r="L3059" s="1">
        <v>29.0</v>
      </c>
      <c r="M3059" s="1">
        <v>265.0</v>
      </c>
      <c r="O3059" s="1">
        <v>0.0</v>
      </c>
      <c r="P3059" s="1">
        <v>0.0</v>
      </c>
      <c r="R3059" s="1">
        <v>0.0</v>
      </c>
      <c r="S3059" s="1">
        <v>0.0</v>
      </c>
      <c r="U3059" s="1">
        <v>0.0</v>
      </c>
      <c r="V3059" s="1" t="s">
        <v>6664</v>
      </c>
      <c r="W3059" s="1">
        <v>9.0</v>
      </c>
      <c r="Y3059" s="1">
        <v>0.0</v>
      </c>
      <c r="AA3059" s="1">
        <v>0.0</v>
      </c>
      <c r="AC3059" s="1">
        <v>0.0</v>
      </c>
      <c r="AD3059" s="1" t="s">
        <v>971</v>
      </c>
      <c r="AG3059" s="9" t="s">
        <v>6666</v>
      </c>
      <c r="AM3059" s="1">
        <v>145754.0</v>
      </c>
      <c r="AN3059" s="1">
        <v>28288.0</v>
      </c>
      <c r="AO3059" s="1">
        <v>28288.0</v>
      </c>
      <c r="AP3059" s="1">
        <v>10.837</v>
      </c>
      <c r="AR3059" s="1">
        <v>538.0</v>
      </c>
      <c r="AS3059" s="1">
        <v>93.0</v>
      </c>
      <c r="AT3059" s="1">
        <v>5.785</v>
      </c>
      <c r="AU3059" s="1">
        <v>61.483</v>
      </c>
      <c r="AV3059" s="1" t="s">
        <v>990</v>
      </c>
      <c r="AW3059" s="1">
        <v>3.905</v>
      </c>
      <c r="AX3059" s="1">
        <v>8.0</v>
      </c>
      <c r="AY3059" s="1">
        <v>3.0</v>
      </c>
      <c r="BA3059" s="1">
        <v>0.0</v>
      </c>
      <c r="BB3059" s="1">
        <v>0.0</v>
      </c>
      <c r="BC3059" s="1">
        <v>0.0</v>
      </c>
      <c r="BD3059" s="1">
        <v>0.0</v>
      </c>
      <c r="BE3059" s="1">
        <v>123.0</v>
      </c>
      <c r="BF3059" s="1">
        <v>42.0</v>
      </c>
      <c r="BG3059" s="1">
        <v>0.0</v>
      </c>
      <c r="BH3059" s="1">
        <v>16.0</v>
      </c>
      <c r="BI3059" s="1">
        <v>8.0</v>
      </c>
      <c r="BJ3059" s="1">
        <v>0.0</v>
      </c>
      <c r="BO3059" s="1" t="s">
        <v>9163</v>
      </c>
      <c r="BP3059" s="1">
        <v>0.929</v>
      </c>
      <c r="BU3059" s="1" t="s">
        <v>974</v>
      </c>
      <c r="BV3059" s="1">
        <v>1.1</v>
      </c>
      <c r="EQ3059" s="9" t="s">
        <v>8877</v>
      </c>
      <c r="ER3059" s="21">
        <v>46045.303923611114</v>
      </c>
    </row>
    <row r="3060">
      <c r="A3060" s="9" t="s">
        <v>9164</v>
      </c>
      <c r="B3060" s="20" t="str">
        <f>IFERROR(__xludf.DUMMYFUNCTION("REGEXREPLACE(A3060, ""^https?://[^/]+"", """")"),"/wp-content/uploads/2018/04/newyayaya.jpg")</f>
        <v>/wp-content/uploads/2018/04/newyayaya.jpg</v>
      </c>
      <c r="F3060" s="1" t="s">
        <v>1004</v>
      </c>
      <c r="G3060" s="1">
        <v>200.0</v>
      </c>
      <c r="H3060" s="1" t="s">
        <v>966</v>
      </c>
      <c r="I3060" s="1" t="s">
        <v>967</v>
      </c>
      <c r="L3060" s="1">
        <v>0.0</v>
      </c>
      <c r="M3060" s="1">
        <v>0.0</v>
      </c>
      <c r="O3060" s="1">
        <v>0.0</v>
      </c>
      <c r="P3060" s="1">
        <v>0.0</v>
      </c>
      <c r="R3060" s="1">
        <v>0.0</v>
      </c>
      <c r="S3060" s="1">
        <v>0.0</v>
      </c>
      <c r="U3060" s="1">
        <v>0.0</v>
      </c>
      <c r="W3060" s="1">
        <v>0.0</v>
      </c>
      <c r="Y3060" s="1">
        <v>0.0</v>
      </c>
      <c r="AA3060" s="1">
        <v>0.0</v>
      </c>
      <c r="AC3060" s="1">
        <v>0.0</v>
      </c>
      <c r="AM3060" s="1">
        <v>50571.0</v>
      </c>
      <c r="AN3060" s="1">
        <v>50571.0</v>
      </c>
      <c r="AO3060" s="1">
        <v>50571.0</v>
      </c>
      <c r="AP3060" s="1">
        <v>19.373</v>
      </c>
      <c r="AR3060" s="1">
        <v>0.0</v>
      </c>
      <c r="AW3060" s="1">
        <v>0.0</v>
      </c>
      <c r="AX3060" s="1">
        <v>8.0</v>
      </c>
      <c r="AY3060" s="1">
        <v>4.0</v>
      </c>
      <c r="BA3060" s="1">
        <v>0.0</v>
      </c>
      <c r="BB3060" s="1">
        <v>0.0</v>
      </c>
      <c r="BC3060" s="1">
        <v>0.0</v>
      </c>
      <c r="BD3060" s="1">
        <v>0.0</v>
      </c>
      <c r="BE3060" s="1">
        <v>0.0</v>
      </c>
      <c r="BF3060" s="1">
        <v>0.0</v>
      </c>
      <c r="BG3060" s="1">
        <v>0.0</v>
      </c>
      <c r="BH3060" s="1">
        <v>0.0</v>
      </c>
      <c r="BI3060" s="1">
        <v>0.0</v>
      </c>
      <c r="BJ3060" s="1">
        <v>0.0</v>
      </c>
      <c r="BP3060" s="1">
        <v>0.271</v>
      </c>
      <c r="BQ3060" s="1" t="s">
        <v>9165</v>
      </c>
      <c r="BV3060" s="1">
        <v>1.1</v>
      </c>
      <c r="EQ3060" s="9" t="s">
        <v>9164</v>
      </c>
      <c r="ER3060" s="21">
        <v>46045.303935185184</v>
      </c>
    </row>
    <row r="3061">
      <c r="A3061" s="9" t="s">
        <v>9166</v>
      </c>
      <c r="B3061" s="20" t="str">
        <f>IFERROR(__xludf.DUMMYFUNCTION("REGEXREPLACE(A3061, ""^https?://[^/]+"", """")"),"/lemonade-from-lemons-how-to-turn-a-lost-sale-into-a-positive-experience")</f>
        <v>/lemonade-from-lemons-how-to-turn-a-lost-sale-into-a-positive-experience</v>
      </c>
      <c r="F3061" s="1" t="s">
        <v>965</v>
      </c>
      <c r="G3061" s="1">
        <v>301.0</v>
      </c>
      <c r="H3061" s="1" t="s">
        <v>1304</v>
      </c>
      <c r="I3061" s="1" t="s">
        <v>1214</v>
      </c>
      <c r="J3061" s="1" t="s">
        <v>1305</v>
      </c>
      <c r="L3061" s="1">
        <v>0.0</v>
      </c>
      <c r="M3061" s="1">
        <v>0.0</v>
      </c>
      <c r="O3061" s="1">
        <v>0.0</v>
      </c>
      <c r="P3061" s="1">
        <v>0.0</v>
      </c>
      <c r="R3061" s="1">
        <v>0.0</v>
      </c>
      <c r="S3061" s="1">
        <v>0.0</v>
      </c>
      <c r="U3061" s="1">
        <v>0.0</v>
      </c>
      <c r="W3061" s="1">
        <v>0.0</v>
      </c>
      <c r="Y3061" s="1">
        <v>0.0</v>
      </c>
      <c r="AA3061" s="1">
        <v>0.0</v>
      </c>
      <c r="AC3061" s="1">
        <v>0.0</v>
      </c>
      <c r="AM3061" s="1">
        <v>0.0</v>
      </c>
      <c r="AN3061" s="1">
        <v>0.0</v>
      </c>
      <c r="AO3061" s="1">
        <v>0.0</v>
      </c>
      <c r="AP3061" s="1">
        <v>0.0</v>
      </c>
      <c r="AR3061" s="1">
        <v>0.0</v>
      </c>
      <c r="AW3061" s="1">
        <v>0.0</v>
      </c>
      <c r="AX3061" s="1">
        <v>8.0</v>
      </c>
      <c r="AY3061" s="1">
        <v>0.0</v>
      </c>
      <c r="BA3061" s="1">
        <v>1.0</v>
      </c>
      <c r="BB3061" s="1">
        <v>1.0</v>
      </c>
      <c r="BC3061" s="1">
        <v>0.0</v>
      </c>
      <c r="BD3061" s="1">
        <v>0.13</v>
      </c>
      <c r="BE3061" s="1">
        <v>0.0</v>
      </c>
      <c r="BF3061" s="1">
        <v>0.0</v>
      </c>
      <c r="BG3061" s="1">
        <v>0.0</v>
      </c>
      <c r="BH3061" s="1">
        <v>0.0</v>
      </c>
      <c r="BI3061" s="1">
        <v>0.0</v>
      </c>
      <c r="BJ3061" s="1">
        <v>0.0</v>
      </c>
      <c r="BP3061" s="1">
        <v>0.554</v>
      </c>
      <c r="BR3061" s="9" t="s">
        <v>9167</v>
      </c>
      <c r="BS3061" s="1" t="s">
        <v>1307</v>
      </c>
      <c r="BV3061" s="1">
        <v>1.1</v>
      </c>
      <c r="EQ3061" s="9" t="s">
        <v>9166</v>
      </c>
      <c r="ER3061" s="21">
        <v>46045.303923611114</v>
      </c>
    </row>
    <row r="3062">
      <c r="A3062" s="9" t="s">
        <v>9168</v>
      </c>
      <c r="B3062" s="20" t="str">
        <f>IFERROR(__xludf.DUMMYFUNCTION("REGEXREPLACE(A3062, ""^https?://[^/]+"", """")"),"/wp-content/themes/salesxceleratione/assets/css/style.css?ver=1769123859")</f>
        <v>/wp-content/themes/salesxceleratione/assets/css/style.css?ver=1769123859</v>
      </c>
      <c r="F3062" s="1" t="s">
        <v>1016</v>
      </c>
      <c r="G3062" s="1">
        <v>200.0</v>
      </c>
      <c r="H3062" s="1" t="s">
        <v>966</v>
      </c>
      <c r="I3062" s="1" t="s">
        <v>967</v>
      </c>
      <c r="L3062" s="1">
        <v>0.0</v>
      </c>
      <c r="M3062" s="1">
        <v>0.0</v>
      </c>
      <c r="O3062" s="1">
        <v>0.0</v>
      </c>
      <c r="P3062" s="1">
        <v>0.0</v>
      </c>
      <c r="R3062" s="1">
        <v>0.0</v>
      </c>
      <c r="S3062" s="1">
        <v>0.0</v>
      </c>
      <c r="U3062" s="1">
        <v>0.0</v>
      </c>
      <c r="W3062" s="1">
        <v>0.0</v>
      </c>
      <c r="Y3062" s="1">
        <v>0.0</v>
      </c>
      <c r="AA3062" s="1">
        <v>0.0</v>
      </c>
      <c r="AC3062" s="1">
        <v>0.0</v>
      </c>
      <c r="AM3062" s="1">
        <v>17704.0</v>
      </c>
      <c r="AN3062" s="1">
        <v>17704.0</v>
      </c>
      <c r="AO3062" s="1">
        <v>17704.0</v>
      </c>
      <c r="AP3062" s="1">
        <v>6.782</v>
      </c>
      <c r="AR3062" s="1">
        <v>0.0</v>
      </c>
      <c r="AW3062" s="1">
        <v>0.0</v>
      </c>
      <c r="AX3062" s="1">
        <v>9.0</v>
      </c>
      <c r="AY3062" s="1">
        <v>5.0</v>
      </c>
      <c r="BA3062" s="1">
        <v>0.0</v>
      </c>
      <c r="BB3062" s="1">
        <v>0.0</v>
      </c>
      <c r="BC3062" s="1">
        <v>0.0</v>
      </c>
      <c r="BD3062" s="1">
        <v>0.0</v>
      </c>
      <c r="BE3062" s="1">
        <v>0.0</v>
      </c>
      <c r="BF3062" s="1">
        <v>0.0</v>
      </c>
      <c r="BG3062" s="1">
        <v>0.0</v>
      </c>
      <c r="BH3062" s="1">
        <v>0.0</v>
      </c>
      <c r="BI3062" s="1">
        <v>0.0</v>
      </c>
      <c r="BJ3062" s="1">
        <v>0.0</v>
      </c>
      <c r="BP3062" s="1">
        <v>0.269</v>
      </c>
      <c r="BQ3062" s="1" t="s">
        <v>9169</v>
      </c>
      <c r="BV3062" s="1">
        <v>1.1</v>
      </c>
      <c r="EQ3062" s="9" t="s">
        <v>9168</v>
      </c>
      <c r="ER3062" s="21">
        <v>46045.303935185184</v>
      </c>
    </row>
    <row r="3063">
      <c r="A3063" s="9" t="s">
        <v>9170</v>
      </c>
      <c r="B3063" s="20" t="str">
        <f>IFERROR(__xludf.DUMMYFUNCTION("REGEXREPLACE(A3063, ""^https?://[^/]+"", """")"),"/wp-content/uploads/2016/06/CEO-Breakfast-Workshop.png")</f>
        <v>/wp-content/uploads/2016/06/CEO-Breakfast-Workshop.png</v>
      </c>
      <c r="F3063" s="1" t="s">
        <v>1047</v>
      </c>
      <c r="G3063" s="1">
        <v>200.0</v>
      </c>
      <c r="H3063" s="1" t="s">
        <v>966</v>
      </c>
      <c r="I3063" s="1" t="s">
        <v>967</v>
      </c>
      <c r="L3063" s="1">
        <v>0.0</v>
      </c>
      <c r="M3063" s="1">
        <v>0.0</v>
      </c>
      <c r="O3063" s="1">
        <v>0.0</v>
      </c>
      <c r="P3063" s="1">
        <v>0.0</v>
      </c>
      <c r="R3063" s="1">
        <v>0.0</v>
      </c>
      <c r="S3063" s="1">
        <v>0.0</v>
      </c>
      <c r="U3063" s="1">
        <v>0.0</v>
      </c>
      <c r="W3063" s="1">
        <v>0.0</v>
      </c>
      <c r="Y3063" s="1">
        <v>0.0</v>
      </c>
      <c r="AA3063" s="1">
        <v>0.0</v>
      </c>
      <c r="AC3063" s="1">
        <v>0.0</v>
      </c>
      <c r="AM3063" s="1">
        <v>111643.0</v>
      </c>
      <c r="AN3063" s="1">
        <v>111643.0</v>
      </c>
      <c r="AO3063" s="1">
        <v>111643.0</v>
      </c>
      <c r="AP3063" s="1">
        <v>42.768</v>
      </c>
      <c r="AR3063" s="1">
        <v>0.0</v>
      </c>
      <c r="AW3063" s="1">
        <v>0.0</v>
      </c>
      <c r="AX3063" s="1">
        <v>9.0</v>
      </c>
      <c r="AY3063" s="1">
        <v>4.0</v>
      </c>
      <c r="BA3063" s="1">
        <v>0.0</v>
      </c>
      <c r="BB3063" s="1">
        <v>0.0</v>
      </c>
      <c r="BC3063" s="1">
        <v>0.0</v>
      </c>
      <c r="BD3063" s="1">
        <v>0.0</v>
      </c>
      <c r="BE3063" s="1">
        <v>0.0</v>
      </c>
      <c r="BF3063" s="1">
        <v>0.0</v>
      </c>
      <c r="BG3063" s="1">
        <v>0.0</v>
      </c>
      <c r="BH3063" s="1">
        <v>0.0</v>
      </c>
      <c r="BI3063" s="1">
        <v>0.0</v>
      </c>
      <c r="BJ3063" s="1">
        <v>0.0</v>
      </c>
      <c r="BP3063" s="1">
        <v>0.266</v>
      </c>
      <c r="BQ3063" s="1" t="s">
        <v>9171</v>
      </c>
      <c r="BV3063" s="1">
        <v>1.1</v>
      </c>
      <c r="EQ3063" s="9" t="s">
        <v>9170</v>
      </c>
      <c r="ER3063" s="21">
        <v>46045.303935185184</v>
      </c>
    </row>
    <row r="3064">
      <c r="A3064" s="9" t="s">
        <v>9172</v>
      </c>
      <c r="B3064" s="20" t="str">
        <f>IFERROR(__xludf.DUMMYFUNCTION("REGEXREPLACE(A3064, ""^https?://[^/]+"", """")"),"/wp-content/themes/salesxceleratione/assets/css/style.css?ver=1769123858")</f>
        <v>/wp-content/themes/salesxceleratione/assets/css/style.css?ver=1769123858</v>
      </c>
      <c r="F3064" s="1" t="s">
        <v>1016</v>
      </c>
      <c r="G3064" s="1">
        <v>200.0</v>
      </c>
      <c r="H3064" s="1" t="s">
        <v>966</v>
      </c>
      <c r="I3064" s="1" t="s">
        <v>967</v>
      </c>
      <c r="L3064" s="1">
        <v>0.0</v>
      </c>
      <c r="M3064" s="1">
        <v>0.0</v>
      </c>
      <c r="O3064" s="1">
        <v>0.0</v>
      </c>
      <c r="P3064" s="1">
        <v>0.0</v>
      </c>
      <c r="R3064" s="1">
        <v>0.0</v>
      </c>
      <c r="S3064" s="1">
        <v>0.0</v>
      </c>
      <c r="U3064" s="1">
        <v>0.0</v>
      </c>
      <c r="W3064" s="1">
        <v>0.0</v>
      </c>
      <c r="Y3064" s="1">
        <v>0.0</v>
      </c>
      <c r="AA3064" s="1">
        <v>0.0</v>
      </c>
      <c r="AC3064" s="1">
        <v>0.0</v>
      </c>
      <c r="AM3064" s="1">
        <v>17704.0</v>
      </c>
      <c r="AN3064" s="1">
        <v>17704.0</v>
      </c>
      <c r="AO3064" s="1">
        <v>17704.0</v>
      </c>
      <c r="AP3064" s="1">
        <v>6.782</v>
      </c>
      <c r="AR3064" s="1">
        <v>0.0</v>
      </c>
      <c r="AW3064" s="1">
        <v>0.0</v>
      </c>
      <c r="AX3064" s="1">
        <v>9.0</v>
      </c>
      <c r="AY3064" s="1">
        <v>5.0</v>
      </c>
      <c r="BA3064" s="1">
        <v>0.0</v>
      </c>
      <c r="BB3064" s="1">
        <v>0.0</v>
      </c>
      <c r="BC3064" s="1">
        <v>0.0</v>
      </c>
      <c r="BD3064" s="1">
        <v>0.0</v>
      </c>
      <c r="BE3064" s="1">
        <v>0.0</v>
      </c>
      <c r="BF3064" s="1">
        <v>0.0</v>
      </c>
      <c r="BG3064" s="1">
        <v>0.0</v>
      </c>
      <c r="BH3064" s="1">
        <v>0.0</v>
      </c>
      <c r="BI3064" s="1">
        <v>0.0</v>
      </c>
      <c r="BJ3064" s="1">
        <v>0.0</v>
      </c>
      <c r="BP3064" s="1">
        <v>0.286</v>
      </c>
      <c r="BQ3064" s="1" t="s">
        <v>9169</v>
      </c>
      <c r="BV3064" s="1">
        <v>1.1</v>
      </c>
      <c r="EQ3064" s="9" t="s">
        <v>9172</v>
      </c>
      <c r="ER3064" s="21">
        <v>46045.303935185184</v>
      </c>
    </row>
    <row r="3065">
      <c r="A3065" s="9" t="s">
        <v>9173</v>
      </c>
      <c r="B3065" s="20" t="str">
        <f>IFERROR(__xludf.DUMMYFUNCTION("REGEXREPLACE(A3065, ""^https?://[^/]+"", """")"),"/author/admin/")</f>
        <v>/author/admin/</v>
      </c>
      <c r="C3065" s="1" t="s">
        <v>9174</v>
      </c>
      <c r="F3065" s="1" t="s">
        <v>965</v>
      </c>
      <c r="G3065" s="1">
        <v>200.0</v>
      </c>
      <c r="H3065" s="1" t="s">
        <v>966</v>
      </c>
      <c r="I3065" s="1" t="s">
        <v>967</v>
      </c>
      <c r="K3065" s="1" t="s">
        <v>9175</v>
      </c>
      <c r="L3065" s="1">
        <v>34.0</v>
      </c>
      <c r="M3065" s="1">
        <v>309.0</v>
      </c>
      <c r="O3065" s="1">
        <v>0.0</v>
      </c>
      <c r="P3065" s="1">
        <v>0.0</v>
      </c>
      <c r="R3065" s="1">
        <v>0.0</v>
      </c>
      <c r="S3065" s="1">
        <v>0.0</v>
      </c>
      <c r="U3065" s="1">
        <v>0.0</v>
      </c>
      <c r="V3065" s="1" t="s">
        <v>9174</v>
      </c>
      <c r="W3065" s="1">
        <v>5.0</v>
      </c>
      <c r="Y3065" s="1">
        <v>0.0</v>
      </c>
      <c r="AA3065" s="1">
        <v>0.0</v>
      </c>
      <c r="AC3065" s="1">
        <v>0.0</v>
      </c>
      <c r="AD3065" s="1" t="s">
        <v>971</v>
      </c>
      <c r="AG3065" s="9" t="s">
        <v>9173</v>
      </c>
      <c r="AM3065" s="1">
        <v>159871.0</v>
      </c>
      <c r="AN3065" s="1">
        <v>30633.0</v>
      </c>
      <c r="AO3065" s="1">
        <v>30633.0</v>
      </c>
      <c r="AP3065" s="1">
        <v>11.735</v>
      </c>
      <c r="AR3065" s="1">
        <v>682.0</v>
      </c>
      <c r="AS3065" s="1">
        <v>119.0</v>
      </c>
      <c r="AT3065" s="1">
        <v>5.731</v>
      </c>
      <c r="AU3065" s="1">
        <v>59.48</v>
      </c>
      <c r="AV3065" s="1" t="s">
        <v>972</v>
      </c>
      <c r="AW3065" s="1">
        <v>4.165</v>
      </c>
      <c r="AX3065" s="1">
        <v>9.0</v>
      </c>
      <c r="AY3065" s="1">
        <v>2.0</v>
      </c>
      <c r="AZ3065" s="1">
        <v>1.0</v>
      </c>
      <c r="BA3065" s="1">
        <v>9.0</v>
      </c>
      <c r="BB3065" s="1">
        <v>3.0</v>
      </c>
      <c r="BC3065" s="1">
        <v>0.0</v>
      </c>
      <c r="BD3065" s="1">
        <v>0.4</v>
      </c>
      <c r="BE3065" s="1">
        <v>137.0</v>
      </c>
      <c r="BF3065" s="1">
        <v>47.0</v>
      </c>
      <c r="BG3065" s="1">
        <v>0.0</v>
      </c>
      <c r="BH3065" s="1">
        <v>16.0</v>
      </c>
      <c r="BI3065" s="1">
        <v>8.0</v>
      </c>
      <c r="BJ3065" s="1">
        <v>0.0</v>
      </c>
      <c r="BO3065" s="1" t="s">
        <v>9176</v>
      </c>
      <c r="BP3065" s="1">
        <v>0.979</v>
      </c>
      <c r="BU3065" s="1" t="s">
        <v>974</v>
      </c>
      <c r="BV3065" s="1">
        <v>1.1</v>
      </c>
      <c r="EQ3065" s="9" t="s">
        <v>9173</v>
      </c>
      <c r="ER3065" s="21">
        <v>46045.303935185184</v>
      </c>
    </row>
    <row r="3066">
      <c r="A3066" s="9" t="s">
        <v>9167</v>
      </c>
      <c r="B3066" s="20" t="str">
        <f>IFERROR(__xludf.DUMMYFUNCTION("REGEXREPLACE(A3066, ""^https?://[^/]+"", """")"),"/lemonade-from-lemons-how-to-turn-a-lost-sale-into-a-positive-experience/")</f>
        <v>/lemonade-from-lemons-how-to-turn-a-lost-sale-into-a-positive-experience/</v>
      </c>
      <c r="C3066" s="1" t="s">
        <v>9177</v>
      </c>
      <c r="F3066" s="1" t="s">
        <v>965</v>
      </c>
      <c r="G3066" s="1">
        <v>200.0</v>
      </c>
      <c r="H3066" s="1" t="s">
        <v>966</v>
      </c>
      <c r="I3066" s="1" t="s">
        <v>967</v>
      </c>
      <c r="K3066" s="1" t="s">
        <v>9178</v>
      </c>
      <c r="L3066" s="1">
        <v>97.0</v>
      </c>
      <c r="M3066" s="1">
        <v>893.0</v>
      </c>
      <c r="O3066" s="1">
        <v>0.0</v>
      </c>
      <c r="P3066" s="1">
        <v>0.0</v>
      </c>
      <c r="Q3066" s="1" t="s">
        <v>9179</v>
      </c>
      <c r="R3066" s="1">
        <v>121.0</v>
      </c>
      <c r="S3066" s="1">
        <v>761.0</v>
      </c>
      <c r="U3066" s="1">
        <v>0.0</v>
      </c>
      <c r="V3066" s="1" t="s">
        <v>9177</v>
      </c>
      <c r="W3066" s="1">
        <v>72.0</v>
      </c>
      <c r="Y3066" s="1">
        <v>0.0</v>
      </c>
      <c r="AA3066" s="1">
        <v>0.0</v>
      </c>
      <c r="AC3066" s="1">
        <v>0.0</v>
      </c>
      <c r="AD3066" s="1" t="s">
        <v>971</v>
      </c>
      <c r="AG3066" s="9" t="s">
        <v>9167</v>
      </c>
      <c r="AM3066" s="1">
        <v>204527.0</v>
      </c>
      <c r="AN3066" s="1">
        <v>36263.0</v>
      </c>
      <c r="AO3066" s="1">
        <v>36263.0</v>
      </c>
      <c r="AP3066" s="1">
        <v>13.892</v>
      </c>
      <c r="AR3066" s="1">
        <v>1414.0</v>
      </c>
      <c r="AS3066" s="1">
        <v>213.0</v>
      </c>
      <c r="AT3066" s="1">
        <v>6.638</v>
      </c>
      <c r="AU3066" s="1">
        <v>73.317</v>
      </c>
      <c r="AV3066" s="1" t="s">
        <v>1264</v>
      </c>
      <c r="AW3066" s="1">
        <v>5.265</v>
      </c>
      <c r="AX3066" s="1">
        <v>9.0</v>
      </c>
      <c r="AY3066" s="1">
        <v>1.0</v>
      </c>
      <c r="AZ3066" s="1">
        <v>1.0</v>
      </c>
      <c r="BA3066" s="1">
        <v>0.0</v>
      </c>
      <c r="BB3066" s="1">
        <v>0.0</v>
      </c>
      <c r="BC3066" s="1">
        <v>0.0</v>
      </c>
      <c r="BD3066" s="1">
        <v>0.0</v>
      </c>
      <c r="BE3066" s="1">
        <v>131.0</v>
      </c>
      <c r="BF3066" s="1">
        <v>49.0</v>
      </c>
      <c r="BG3066" s="1">
        <v>0.0</v>
      </c>
      <c r="BH3066" s="1">
        <v>16.0</v>
      </c>
      <c r="BI3066" s="1">
        <v>8.0</v>
      </c>
      <c r="BJ3066" s="1">
        <v>0.0</v>
      </c>
      <c r="BO3066" s="1" t="s">
        <v>9180</v>
      </c>
      <c r="BP3066" s="1">
        <v>1.021</v>
      </c>
      <c r="BU3066" s="1" t="s">
        <v>974</v>
      </c>
      <c r="BV3066" s="1">
        <v>1.1</v>
      </c>
      <c r="EQ3066" s="9" t="s">
        <v>9167</v>
      </c>
      <c r="ER3066" s="21">
        <v>46045.303935185184</v>
      </c>
    </row>
    <row r="3067">
      <c r="A3067" s="9" t="s">
        <v>9181</v>
      </c>
      <c r="B3067" s="20" t="str">
        <f>IFERROR(__xludf.DUMMYFUNCTION("REGEXREPLACE(A3067, ""^https?://[^/]+"", """")"),"/wp-content/uploads/2021/12/Sales-Process-for-Modern-Buyers-scaled.jpg")</f>
        <v>/wp-content/uploads/2021/12/Sales-Process-for-Modern-Buyers-scaled.jpg</v>
      </c>
      <c r="F3067" s="1" t="s">
        <v>1004</v>
      </c>
      <c r="G3067" s="1">
        <v>200.0</v>
      </c>
      <c r="H3067" s="1" t="s">
        <v>966</v>
      </c>
      <c r="I3067" s="1" t="s">
        <v>967</v>
      </c>
      <c r="L3067" s="1">
        <v>0.0</v>
      </c>
      <c r="M3067" s="1">
        <v>0.0</v>
      </c>
      <c r="O3067" s="1">
        <v>0.0</v>
      </c>
      <c r="P3067" s="1">
        <v>0.0</v>
      </c>
      <c r="R3067" s="1">
        <v>0.0</v>
      </c>
      <c r="S3067" s="1">
        <v>0.0</v>
      </c>
      <c r="U3067" s="1">
        <v>0.0</v>
      </c>
      <c r="W3067" s="1">
        <v>0.0</v>
      </c>
      <c r="Y3067" s="1">
        <v>0.0</v>
      </c>
      <c r="AA3067" s="1">
        <v>0.0</v>
      </c>
      <c r="AC3067" s="1">
        <v>0.0</v>
      </c>
      <c r="AM3067" s="1">
        <v>317997.0</v>
      </c>
      <c r="AN3067" s="1">
        <v>317997.0</v>
      </c>
      <c r="AO3067" s="1">
        <v>317997.0</v>
      </c>
      <c r="AP3067" s="1">
        <v>121.819</v>
      </c>
      <c r="AR3067" s="1">
        <v>0.0</v>
      </c>
      <c r="AW3067" s="1">
        <v>0.0</v>
      </c>
      <c r="AX3067" s="1">
        <v>9.0</v>
      </c>
      <c r="AY3067" s="1">
        <v>4.0</v>
      </c>
      <c r="BA3067" s="1">
        <v>0.0</v>
      </c>
      <c r="BB3067" s="1">
        <v>0.0</v>
      </c>
      <c r="BC3067" s="1">
        <v>0.0</v>
      </c>
      <c r="BD3067" s="1">
        <v>0.0</v>
      </c>
      <c r="BE3067" s="1">
        <v>0.0</v>
      </c>
      <c r="BF3067" s="1">
        <v>0.0</v>
      </c>
      <c r="BG3067" s="1">
        <v>0.0</v>
      </c>
      <c r="BH3067" s="1">
        <v>0.0</v>
      </c>
      <c r="BI3067" s="1">
        <v>0.0</v>
      </c>
      <c r="BJ3067" s="1">
        <v>0.0</v>
      </c>
      <c r="BP3067" s="1">
        <v>0.257</v>
      </c>
      <c r="BQ3067" s="1" t="s">
        <v>9182</v>
      </c>
      <c r="BV3067" s="1">
        <v>1.1</v>
      </c>
      <c r="EQ3067" s="9" t="s">
        <v>9181</v>
      </c>
      <c r="ER3067" s="21">
        <v>46045.30395833333</v>
      </c>
    </row>
    <row r="3068">
      <c r="A3068" s="9" t="s">
        <v>9183</v>
      </c>
      <c r="B3068" s="20" t="str">
        <f>IFERROR(__xludf.DUMMYFUNCTION("REGEXREPLACE(A3068, ""^https?://[^/]+"", """")"),"/wp-content/uploads/2020/09/Setting-Smarter-Sales-Goals-scaled-1.jpg")</f>
        <v>/wp-content/uploads/2020/09/Setting-Smarter-Sales-Goals-scaled-1.jpg</v>
      </c>
      <c r="F3068" s="1" t="s">
        <v>1004</v>
      </c>
      <c r="G3068" s="1">
        <v>200.0</v>
      </c>
      <c r="H3068" s="1" t="s">
        <v>966</v>
      </c>
      <c r="I3068" s="1" t="s">
        <v>967</v>
      </c>
      <c r="L3068" s="1">
        <v>0.0</v>
      </c>
      <c r="M3068" s="1">
        <v>0.0</v>
      </c>
      <c r="O3068" s="1">
        <v>0.0</v>
      </c>
      <c r="P3068" s="1">
        <v>0.0</v>
      </c>
      <c r="R3068" s="1">
        <v>0.0</v>
      </c>
      <c r="S3068" s="1">
        <v>0.0</v>
      </c>
      <c r="U3068" s="1">
        <v>0.0</v>
      </c>
      <c r="W3068" s="1">
        <v>0.0</v>
      </c>
      <c r="Y3068" s="1">
        <v>0.0</v>
      </c>
      <c r="AA3068" s="1">
        <v>0.0</v>
      </c>
      <c r="AC3068" s="1">
        <v>0.0</v>
      </c>
      <c r="AM3068" s="1">
        <v>197062.0</v>
      </c>
      <c r="AN3068" s="1">
        <v>197062.0</v>
      </c>
      <c r="AO3068" s="1">
        <v>197062.0</v>
      </c>
      <c r="AP3068" s="1">
        <v>75.491</v>
      </c>
      <c r="AR3068" s="1">
        <v>0.0</v>
      </c>
      <c r="AW3068" s="1">
        <v>0.0</v>
      </c>
      <c r="AX3068" s="1">
        <v>9.0</v>
      </c>
      <c r="AY3068" s="1">
        <v>4.0</v>
      </c>
      <c r="BA3068" s="1">
        <v>0.0</v>
      </c>
      <c r="BB3068" s="1">
        <v>0.0</v>
      </c>
      <c r="BC3068" s="1">
        <v>0.0</v>
      </c>
      <c r="BD3068" s="1">
        <v>0.0</v>
      </c>
      <c r="BE3068" s="1">
        <v>0.0</v>
      </c>
      <c r="BF3068" s="1">
        <v>0.0</v>
      </c>
      <c r="BG3068" s="1">
        <v>0.0</v>
      </c>
      <c r="BH3068" s="1">
        <v>0.0</v>
      </c>
      <c r="BI3068" s="1">
        <v>0.0</v>
      </c>
      <c r="BJ3068" s="1">
        <v>0.0</v>
      </c>
      <c r="BP3068" s="1">
        <v>0.265</v>
      </c>
      <c r="BQ3068" s="1" t="s">
        <v>9184</v>
      </c>
      <c r="BV3068" s="1">
        <v>1.1</v>
      </c>
      <c r="EQ3068" s="9" t="s">
        <v>9183</v>
      </c>
      <c r="ER3068" s="21">
        <v>46045.30396990741</v>
      </c>
    </row>
    <row r="3069">
      <c r="A3069" s="9" t="s">
        <v>9185</v>
      </c>
      <c r="B3069" s="20" t="str">
        <f>IFERROR(__xludf.DUMMYFUNCTION("REGEXREPLACE(A3069, ""^https?://[^/]+"", """")"),"/wp-content/themes/salesxceleratione/assets/css/style.css?ver=1769123857")</f>
        <v>/wp-content/themes/salesxceleratione/assets/css/style.css?ver=1769123857</v>
      </c>
      <c r="F3069" s="1" t="s">
        <v>1016</v>
      </c>
      <c r="G3069" s="1">
        <v>200.0</v>
      </c>
      <c r="H3069" s="1" t="s">
        <v>966</v>
      </c>
      <c r="I3069" s="1" t="s">
        <v>967</v>
      </c>
      <c r="L3069" s="1">
        <v>0.0</v>
      </c>
      <c r="M3069" s="1">
        <v>0.0</v>
      </c>
      <c r="O3069" s="1">
        <v>0.0</v>
      </c>
      <c r="P3069" s="1">
        <v>0.0</v>
      </c>
      <c r="R3069" s="1">
        <v>0.0</v>
      </c>
      <c r="S3069" s="1">
        <v>0.0</v>
      </c>
      <c r="U3069" s="1">
        <v>0.0</v>
      </c>
      <c r="W3069" s="1">
        <v>0.0</v>
      </c>
      <c r="Y3069" s="1">
        <v>0.0</v>
      </c>
      <c r="AA3069" s="1">
        <v>0.0</v>
      </c>
      <c r="AC3069" s="1">
        <v>0.0</v>
      </c>
      <c r="AM3069" s="1">
        <v>17704.0</v>
      </c>
      <c r="AN3069" s="1">
        <v>17704.0</v>
      </c>
      <c r="AO3069" s="1">
        <v>17704.0</v>
      </c>
      <c r="AP3069" s="1">
        <v>6.782</v>
      </c>
      <c r="AR3069" s="1">
        <v>0.0</v>
      </c>
      <c r="AW3069" s="1">
        <v>0.0</v>
      </c>
      <c r="AX3069" s="1">
        <v>9.0</v>
      </c>
      <c r="AY3069" s="1">
        <v>5.0</v>
      </c>
      <c r="BA3069" s="1">
        <v>0.0</v>
      </c>
      <c r="BB3069" s="1">
        <v>0.0</v>
      </c>
      <c r="BC3069" s="1">
        <v>0.0</v>
      </c>
      <c r="BD3069" s="1">
        <v>0.0</v>
      </c>
      <c r="BE3069" s="1">
        <v>0.0</v>
      </c>
      <c r="BF3069" s="1">
        <v>0.0</v>
      </c>
      <c r="BG3069" s="1">
        <v>0.0</v>
      </c>
      <c r="BH3069" s="1">
        <v>0.0</v>
      </c>
      <c r="BI3069" s="1">
        <v>0.0</v>
      </c>
      <c r="BJ3069" s="1">
        <v>0.0</v>
      </c>
      <c r="BP3069" s="1">
        <v>0.274</v>
      </c>
      <c r="BQ3069" s="1" t="s">
        <v>9186</v>
      </c>
      <c r="BV3069" s="1">
        <v>1.1</v>
      </c>
      <c r="EQ3069" s="9" t="s">
        <v>9185</v>
      </c>
      <c r="ER3069" s="21">
        <v>46045.30396990741</v>
      </c>
    </row>
    <row r="3070">
      <c r="A3070" s="9" t="s">
        <v>9187</v>
      </c>
      <c r="B3070" s="20" t="str">
        <f>IFERROR(__xludf.DUMMYFUNCTION("REGEXREPLACE(A3070, ""^https?://[^/]+"", """")"),"/wp-content/uploads/2022/02/Buinessman-Standing-in-Front-of-Blackboard.jpg")</f>
        <v>/wp-content/uploads/2022/02/Buinessman-Standing-in-Front-of-Blackboard.jpg</v>
      </c>
      <c r="F3070" s="1" t="s">
        <v>1004</v>
      </c>
      <c r="G3070" s="1">
        <v>200.0</v>
      </c>
      <c r="H3070" s="1" t="s">
        <v>966</v>
      </c>
      <c r="I3070" s="1" t="s">
        <v>967</v>
      </c>
      <c r="L3070" s="1">
        <v>0.0</v>
      </c>
      <c r="M3070" s="1">
        <v>0.0</v>
      </c>
      <c r="O3070" s="1">
        <v>0.0</v>
      </c>
      <c r="P3070" s="1">
        <v>0.0</v>
      </c>
      <c r="R3070" s="1">
        <v>0.0</v>
      </c>
      <c r="S3070" s="1">
        <v>0.0</v>
      </c>
      <c r="U3070" s="1">
        <v>0.0</v>
      </c>
      <c r="W3070" s="1">
        <v>0.0</v>
      </c>
      <c r="Y3070" s="1">
        <v>0.0</v>
      </c>
      <c r="AA3070" s="1">
        <v>0.0</v>
      </c>
      <c r="AC3070" s="1">
        <v>0.0</v>
      </c>
      <c r="AM3070" s="1">
        <v>347030.0</v>
      </c>
      <c r="AN3070" s="1">
        <v>347030.0</v>
      </c>
      <c r="AO3070" s="1">
        <v>347030.0</v>
      </c>
      <c r="AP3070" s="1">
        <v>132.941</v>
      </c>
      <c r="AR3070" s="1">
        <v>0.0</v>
      </c>
      <c r="AW3070" s="1">
        <v>0.0</v>
      </c>
      <c r="AX3070" s="1">
        <v>9.0</v>
      </c>
      <c r="AY3070" s="1">
        <v>4.0</v>
      </c>
      <c r="BA3070" s="1">
        <v>0.0</v>
      </c>
      <c r="BB3070" s="1">
        <v>0.0</v>
      </c>
      <c r="BC3070" s="1">
        <v>0.0</v>
      </c>
      <c r="BD3070" s="1">
        <v>0.0</v>
      </c>
      <c r="BE3070" s="1">
        <v>0.0</v>
      </c>
      <c r="BF3070" s="1">
        <v>0.0</v>
      </c>
      <c r="BG3070" s="1">
        <v>0.0</v>
      </c>
      <c r="BH3070" s="1">
        <v>0.0</v>
      </c>
      <c r="BI3070" s="1">
        <v>0.0</v>
      </c>
      <c r="BJ3070" s="1">
        <v>0.0</v>
      </c>
      <c r="BP3070" s="1">
        <v>0.267</v>
      </c>
      <c r="BQ3070" s="1" t="s">
        <v>9188</v>
      </c>
      <c r="BV3070" s="1">
        <v>1.1</v>
      </c>
      <c r="EQ3070" s="9" t="s">
        <v>9187</v>
      </c>
      <c r="ER3070" s="21">
        <v>46045.30396990741</v>
      </c>
    </row>
    <row r="3071">
      <c r="A3071" s="9" t="s">
        <v>9189</v>
      </c>
      <c r="B3071" s="20" t="str">
        <f>IFERROR(__xludf.DUMMYFUNCTION("REGEXREPLACE(A3071, ""^https?://[^/]+"", """")"),"/wp-content/uploads/2021/11/Salesperson-Looking-at-CRM-scaled.jpeg")</f>
        <v>/wp-content/uploads/2021/11/Salesperson-Looking-at-CRM-scaled.jpeg</v>
      </c>
      <c r="F3071" s="1" t="s">
        <v>1004</v>
      </c>
      <c r="G3071" s="1">
        <v>200.0</v>
      </c>
      <c r="H3071" s="1" t="s">
        <v>966</v>
      </c>
      <c r="I3071" s="1" t="s">
        <v>967</v>
      </c>
      <c r="L3071" s="1">
        <v>0.0</v>
      </c>
      <c r="M3071" s="1">
        <v>0.0</v>
      </c>
      <c r="O3071" s="1">
        <v>0.0</v>
      </c>
      <c r="P3071" s="1">
        <v>0.0</v>
      </c>
      <c r="R3071" s="1">
        <v>0.0</v>
      </c>
      <c r="S3071" s="1">
        <v>0.0</v>
      </c>
      <c r="U3071" s="1">
        <v>0.0</v>
      </c>
      <c r="W3071" s="1">
        <v>0.0</v>
      </c>
      <c r="Y3071" s="1">
        <v>0.0</v>
      </c>
      <c r="AA3071" s="1">
        <v>0.0</v>
      </c>
      <c r="AC3071" s="1">
        <v>0.0</v>
      </c>
      <c r="AM3071" s="1">
        <v>252072.0</v>
      </c>
      <c r="AN3071" s="1">
        <v>252072.0</v>
      </c>
      <c r="AO3071" s="1">
        <v>252072.0</v>
      </c>
      <c r="AP3071" s="1">
        <v>96.564</v>
      </c>
      <c r="AR3071" s="1">
        <v>0.0</v>
      </c>
      <c r="AW3071" s="1">
        <v>0.0</v>
      </c>
      <c r="AX3071" s="1">
        <v>9.0</v>
      </c>
      <c r="AY3071" s="1">
        <v>4.0</v>
      </c>
      <c r="BA3071" s="1">
        <v>0.0</v>
      </c>
      <c r="BB3071" s="1">
        <v>0.0</v>
      </c>
      <c r="BC3071" s="1">
        <v>0.0</v>
      </c>
      <c r="BD3071" s="1">
        <v>0.0</v>
      </c>
      <c r="BE3071" s="1">
        <v>0.0</v>
      </c>
      <c r="BF3071" s="1">
        <v>0.0</v>
      </c>
      <c r="BG3071" s="1">
        <v>0.0</v>
      </c>
      <c r="BH3071" s="1">
        <v>0.0</v>
      </c>
      <c r="BI3071" s="1">
        <v>0.0</v>
      </c>
      <c r="BJ3071" s="1">
        <v>0.0</v>
      </c>
      <c r="BP3071" s="1">
        <v>0.279</v>
      </c>
      <c r="BQ3071" s="1" t="s">
        <v>9190</v>
      </c>
      <c r="BV3071" s="1">
        <v>1.1</v>
      </c>
      <c r="EQ3071" s="9" t="s">
        <v>9189</v>
      </c>
      <c r="ER3071" s="21">
        <v>46045.30396990741</v>
      </c>
    </row>
    <row r="3072">
      <c r="A3072" s="9" t="s">
        <v>9191</v>
      </c>
      <c r="B3072" s="20" t="str">
        <f>IFERROR(__xludf.DUMMYFUNCTION("REGEXREPLACE(A3072, ""^https?://[^/]+"", """")"),"/wp-content/uploads/2015/07/Stop-Sign-RS-72-dpi.jpg")</f>
        <v>/wp-content/uploads/2015/07/Stop-Sign-RS-72-dpi.jpg</v>
      </c>
      <c r="F3072" s="1" t="s">
        <v>1004</v>
      </c>
      <c r="G3072" s="1">
        <v>200.0</v>
      </c>
      <c r="H3072" s="1" t="s">
        <v>966</v>
      </c>
      <c r="I3072" s="1" t="s">
        <v>967</v>
      </c>
      <c r="L3072" s="1">
        <v>0.0</v>
      </c>
      <c r="M3072" s="1">
        <v>0.0</v>
      </c>
      <c r="O3072" s="1">
        <v>0.0</v>
      </c>
      <c r="P3072" s="1">
        <v>0.0</v>
      </c>
      <c r="R3072" s="1">
        <v>0.0</v>
      </c>
      <c r="S3072" s="1">
        <v>0.0</v>
      </c>
      <c r="U3072" s="1">
        <v>0.0</v>
      </c>
      <c r="W3072" s="1">
        <v>0.0</v>
      </c>
      <c r="Y3072" s="1">
        <v>0.0</v>
      </c>
      <c r="AA3072" s="1">
        <v>0.0</v>
      </c>
      <c r="AC3072" s="1">
        <v>0.0</v>
      </c>
      <c r="AM3072" s="1">
        <v>19051.0</v>
      </c>
      <c r="AN3072" s="1">
        <v>19051.0</v>
      </c>
      <c r="AO3072" s="1">
        <v>19051.0</v>
      </c>
      <c r="AP3072" s="1">
        <v>7.298</v>
      </c>
      <c r="AR3072" s="1">
        <v>0.0</v>
      </c>
      <c r="AW3072" s="1">
        <v>0.0</v>
      </c>
      <c r="AX3072" s="1">
        <v>9.0</v>
      </c>
      <c r="AY3072" s="1">
        <v>4.0</v>
      </c>
      <c r="BA3072" s="1">
        <v>0.0</v>
      </c>
      <c r="BB3072" s="1">
        <v>0.0</v>
      </c>
      <c r="BC3072" s="1">
        <v>0.0</v>
      </c>
      <c r="BD3072" s="1">
        <v>0.0</v>
      </c>
      <c r="BE3072" s="1">
        <v>0.0</v>
      </c>
      <c r="BF3072" s="1">
        <v>0.0</v>
      </c>
      <c r="BG3072" s="1">
        <v>0.0</v>
      </c>
      <c r="BH3072" s="1">
        <v>0.0</v>
      </c>
      <c r="BI3072" s="1">
        <v>0.0</v>
      </c>
      <c r="BJ3072" s="1">
        <v>0.0</v>
      </c>
      <c r="BP3072" s="1">
        <v>0.269</v>
      </c>
      <c r="BQ3072" s="1" t="s">
        <v>9192</v>
      </c>
      <c r="BV3072" s="1">
        <v>1.1</v>
      </c>
      <c r="EQ3072" s="9" t="s">
        <v>9191</v>
      </c>
      <c r="ER3072" s="21">
        <v>46045.30396990741</v>
      </c>
    </row>
    <row r="3073">
      <c r="A3073" s="9" t="s">
        <v>9193</v>
      </c>
      <c r="B3073" s="20" t="str">
        <f>IFERROR(__xludf.DUMMYFUNCTION("REGEXREPLACE(A3073, ""^https?://[^/]+"", """")"),"/wp-content/themes/salesxceleratione/assets/css/style.css?ver=1769123856")</f>
        <v>/wp-content/themes/salesxceleratione/assets/css/style.css?ver=1769123856</v>
      </c>
      <c r="F3073" s="1" t="s">
        <v>1016</v>
      </c>
      <c r="G3073" s="1">
        <v>200.0</v>
      </c>
      <c r="H3073" s="1" t="s">
        <v>966</v>
      </c>
      <c r="I3073" s="1" t="s">
        <v>967</v>
      </c>
      <c r="L3073" s="1">
        <v>0.0</v>
      </c>
      <c r="M3073" s="1">
        <v>0.0</v>
      </c>
      <c r="O3073" s="1">
        <v>0.0</v>
      </c>
      <c r="P3073" s="1">
        <v>0.0</v>
      </c>
      <c r="R3073" s="1">
        <v>0.0</v>
      </c>
      <c r="S3073" s="1">
        <v>0.0</v>
      </c>
      <c r="U3073" s="1">
        <v>0.0</v>
      </c>
      <c r="W3073" s="1">
        <v>0.0</v>
      </c>
      <c r="Y3073" s="1">
        <v>0.0</v>
      </c>
      <c r="AA3073" s="1">
        <v>0.0</v>
      </c>
      <c r="AC3073" s="1">
        <v>0.0</v>
      </c>
      <c r="AM3073" s="1">
        <v>17704.0</v>
      </c>
      <c r="AN3073" s="1">
        <v>17704.0</v>
      </c>
      <c r="AO3073" s="1">
        <v>17704.0</v>
      </c>
      <c r="AP3073" s="1">
        <v>6.782</v>
      </c>
      <c r="AR3073" s="1">
        <v>0.0</v>
      </c>
      <c r="AW3073" s="1">
        <v>0.0</v>
      </c>
      <c r="AX3073" s="1">
        <v>9.0</v>
      </c>
      <c r="AY3073" s="1">
        <v>5.0</v>
      </c>
      <c r="BA3073" s="1">
        <v>0.0</v>
      </c>
      <c r="BB3073" s="1">
        <v>0.0</v>
      </c>
      <c r="BC3073" s="1">
        <v>0.0</v>
      </c>
      <c r="BD3073" s="1">
        <v>0.0</v>
      </c>
      <c r="BE3073" s="1">
        <v>0.0</v>
      </c>
      <c r="BF3073" s="1">
        <v>0.0</v>
      </c>
      <c r="BG3073" s="1">
        <v>0.0</v>
      </c>
      <c r="BH3073" s="1">
        <v>0.0</v>
      </c>
      <c r="BI3073" s="1">
        <v>0.0</v>
      </c>
      <c r="BJ3073" s="1">
        <v>0.0</v>
      </c>
      <c r="BP3073" s="1">
        <v>0.282</v>
      </c>
      <c r="BQ3073" s="1" t="s">
        <v>9186</v>
      </c>
      <c r="BV3073" s="1">
        <v>1.1</v>
      </c>
      <c r="EQ3073" s="9" t="s">
        <v>9193</v>
      </c>
      <c r="ER3073" s="21">
        <v>46045.30396990741</v>
      </c>
    </row>
    <row r="3074">
      <c r="A3074" s="9" t="s">
        <v>9194</v>
      </c>
      <c r="B3074" s="20" t="str">
        <f>IFERROR(__xludf.DUMMYFUNCTION("REGEXREPLACE(A3074, ""^https?://[^/]+"", """")"),"/wp-content/themes/salesxceleratione/assets/css/style.css?ver=1769123855")</f>
        <v>/wp-content/themes/salesxceleratione/assets/css/style.css?ver=1769123855</v>
      </c>
      <c r="F3074" s="1" t="s">
        <v>1016</v>
      </c>
      <c r="G3074" s="1">
        <v>200.0</v>
      </c>
      <c r="H3074" s="1" t="s">
        <v>966</v>
      </c>
      <c r="I3074" s="1" t="s">
        <v>967</v>
      </c>
      <c r="L3074" s="1">
        <v>0.0</v>
      </c>
      <c r="M3074" s="1">
        <v>0.0</v>
      </c>
      <c r="O3074" s="1">
        <v>0.0</v>
      </c>
      <c r="P3074" s="1">
        <v>0.0</v>
      </c>
      <c r="R3074" s="1">
        <v>0.0</v>
      </c>
      <c r="S3074" s="1">
        <v>0.0</v>
      </c>
      <c r="U3074" s="1">
        <v>0.0</v>
      </c>
      <c r="W3074" s="1">
        <v>0.0</v>
      </c>
      <c r="Y3074" s="1">
        <v>0.0</v>
      </c>
      <c r="AA3074" s="1">
        <v>0.0</v>
      </c>
      <c r="AC3074" s="1">
        <v>0.0</v>
      </c>
      <c r="AM3074" s="1">
        <v>17704.0</v>
      </c>
      <c r="AN3074" s="1">
        <v>17704.0</v>
      </c>
      <c r="AO3074" s="1">
        <v>17704.0</v>
      </c>
      <c r="AP3074" s="1">
        <v>6.782</v>
      </c>
      <c r="AR3074" s="1">
        <v>0.0</v>
      </c>
      <c r="AW3074" s="1">
        <v>0.0</v>
      </c>
      <c r="AX3074" s="1">
        <v>9.0</v>
      </c>
      <c r="AY3074" s="1">
        <v>5.0</v>
      </c>
      <c r="BA3074" s="1">
        <v>0.0</v>
      </c>
      <c r="BB3074" s="1">
        <v>0.0</v>
      </c>
      <c r="BC3074" s="1">
        <v>0.0</v>
      </c>
      <c r="BD3074" s="1">
        <v>0.0</v>
      </c>
      <c r="BE3074" s="1">
        <v>0.0</v>
      </c>
      <c r="BF3074" s="1">
        <v>0.0</v>
      </c>
      <c r="BG3074" s="1">
        <v>0.0</v>
      </c>
      <c r="BH3074" s="1">
        <v>0.0</v>
      </c>
      <c r="BI3074" s="1">
        <v>0.0</v>
      </c>
      <c r="BJ3074" s="1">
        <v>0.0</v>
      </c>
      <c r="BP3074" s="1">
        <v>0.267</v>
      </c>
      <c r="BQ3074" s="1" t="s">
        <v>9186</v>
      </c>
      <c r="BV3074" s="1">
        <v>1.1</v>
      </c>
      <c r="EQ3074" s="9" t="s">
        <v>9194</v>
      </c>
      <c r="ER3074" s="21">
        <v>46045.30396990741</v>
      </c>
    </row>
    <row r="3075">
      <c r="A3075" s="9" t="s">
        <v>9195</v>
      </c>
      <c r="B3075" s="20" t="str">
        <f>IFERROR(__xludf.DUMMYFUNCTION("REGEXREPLACE(A3075, ""^https?://[^/]+"", """")"),"/wp-content/uploads/2015/03/lemons-to-lemonade-sales-xceleration.png")</f>
        <v>/wp-content/uploads/2015/03/lemons-to-lemonade-sales-xceleration.png</v>
      </c>
      <c r="F3075" s="1" t="s">
        <v>1047</v>
      </c>
      <c r="G3075" s="1">
        <v>200.0</v>
      </c>
      <c r="H3075" s="1" t="s">
        <v>966</v>
      </c>
      <c r="I3075" s="1" t="s">
        <v>967</v>
      </c>
      <c r="L3075" s="1">
        <v>0.0</v>
      </c>
      <c r="M3075" s="1">
        <v>0.0</v>
      </c>
      <c r="O3075" s="1">
        <v>0.0</v>
      </c>
      <c r="P3075" s="1">
        <v>0.0</v>
      </c>
      <c r="R3075" s="1">
        <v>0.0</v>
      </c>
      <c r="S3075" s="1">
        <v>0.0</v>
      </c>
      <c r="U3075" s="1">
        <v>0.0</v>
      </c>
      <c r="W3075" s="1">
        <v>0.0</v>
      </c>
      <c r="Y3075" s="1">
        <v>0.0</v>
      </c>
      <c r="AA3075" s="1">
        <v>0.0</v>
      </c>
      <c r="AC3075" s="1">
        <v>0.0</v>
      </c>
      <c r="AM3075" s="1">
        <v>298689.0</v>
      </c>
      <c r="AN3075" s="1">
        <v>298689.0</v>
      </c>
      <c r="AO3075" s="1">
        <v>298689.0</v>
      </c>
      <c r="AP3075" s="1">
        <v>114.422</v>
      </c>
      <c r="AR3075" s="1">
        <v>0.0</v>
      </c>
      <c r="AW3075" s="1">
        <v>0.0</v>
      </c>
      <c r="AX3075" s="1">
        <v>10.0</v>
      </c>
      <c r="AY3075" s="1">
        <v>4.0</v>
      </c>
      <c r="BA3075" s="1">
        <v>0.0</v>
      </c>
      <c r="BB3075" s="1">
        <v>0.0</v>
      </c>
      <c r="BC3075" s="1">
        <v>0.0</v>
      </c>
      <c r="BD3075" s="1">
        <v>0.0</v>
      </c>
      <c r="BE3075" s="1">
        <v>0.0</v>
      </c>
      <c r="BF3075" s="1">
        <v>0.0</v>
      </c>
      <c r="BG3075" s="1">
        <v>0.0</v>
      </c>
      <c r="BH3075" s="1">
        <v>0.0</v>
      </c>
      <c r="BI3075" s="1">
        <v>0.0</v>
      </c>
      <c r="BJ3075" s="1">
        <v>0.0</v>
      </c>
      <c r="BP3075" s="1">
        <v>0.274</v>
      </c>
      <c r="BQ3075" s="1" t="s">
        <v>9196</v>
      </c>
      <c r="BV3075" s="1">
        <v>1.1</v>
      </c>
      <c r="EQ3075" s="9" t="s">
        <v>9195</v>
      </c>
      <c r="ER3075" s="21">
        <v>46045.30396990741</v>
      </c>
    </row>
    <row r="3076">
      <c r="A3076" s="9" t="s">
        <v>9197</v>
      </c>
      <c r="B3076" s="20" t="str">
        <f>IFERROR(__xludf.DUMMYFUNCTION("REGEXREPLACE(A3076, ""^https?://[^/]+"", """")"),"/wp-content/uploads/2016/06/June-2016-Advisors-copy-1-scaled-1-300x135.jpg")</f>
        <v>/wp-content/uploads/2016/06/June-2016-Advisors-copy-1-scaled-1-300x135.jpg</v>
      </c>
      <c r="F3076" s="1" t="s">
        <v>1004</v>
      </c>
      <c r="G3076" s="1">
        <v>200.0</v>
      </c>
      <c r="H3076" s="1" t="s">
        <v>966</v>
      </c>
      <c r="I3076" s="1" t="s">
        <v>967</v>
      </c>
      <c r="L3076" s="1">
        <v>0.0</v>
      </c>
      <c r="M3076" s="1">
        <v>0.0</v>
      </c>
      <c r="O3076" s="1">
        <v>0.0</v>
      </c>
      <c r="P3076" s="1">
        <v>0.0</v>
      </c>
      <c r="R3076" s="1">
        <v>0.0</v>
      </c>
      <c r="S3076" s="1">
        <v>0.0</v>
      </c>
      <c r="U3076" s="1">
        <v>0.0</v>
      </c>
      <c r="W3076" s="1">
        <v>0.0</v>
      </c>
      <c r="Y3076" s="1">
        <v>0.0</v>
      </c>
      <c r="AA3076" s="1">
        <v>0.0</v>
      </c>
      <c r="AC3076" s="1">
        <v>0.0</v>
      </c>
      <c r="AM3076" s="1">
        <v>9624.0</v>
      </c>
      <c r="AN3076" s="1">
        <v>9624.0</v>
      </c>
      <c r="AO3076" s="1">
        <v>9624.0</v>
      </c>
      <c r="AP3076" s="1">
        <v>3.687</v>
      </c>
      <c r="AR3076" s="1">
        <v>0.0</v>
      </c>
      <c r="AW3076" s="1">
        <v>0.0</v>
      </c>
      <c r="AX3076" s="1">
        <v>10.0</v>
      </c>
      <c r="AY3076" s="1">
        <v>4.0</v>
      </c>
      <c r="BA3076" s="1">
        <v>0.0</v>
      </c>
      <c r="BB3076" s="1">
        <v>0.0</v>
      </c>
      <c r="BC3076" s="1">
        <v>0.0</v>
      </c>
      <c r="BD3076" s="1">
        <v>0.0</v>
      </c>
      <c r="BE3076" s="1">
        <v>0.0</v>
      </c>
      <c r="BF3076" s="1">
        <v>0.0</v>
      </c>
      <c r="BG3076" s="1">
        <v>0.0</v>
      </c>
      <c r="BH3076" s="1">
        <v>0.0</v>
      </c>
      <c r="BI3076" s="1">
        <v>0.0</v>
      </c>
      <c r="BJ3076" s="1">
        <v>0.0</v>
      </c>
      <c r="BP3076" s="1">
        <v>0.293</v>
      </c>
      <c r="BQ3076" s="1" t="s">
        <v>9198</v>
      </c>
      <c r="BV3076" s="1">
        <v>1.1</v>
      </c>
      <c r="EQ3076" s="9" t="s">
        <v>9197</v>
      </c>
      <c r="ER3076" s="21">
        <v>46045.303981481484</v>
      </c>
    </row>
    <row r="3077">
      <c r="A3077" s="9" t="s">
        <v>9199</v>
      </c>
      <c r="B3077" s="20" t="str">
        <f>IFERROR(__xludf.DUMMYFUNCTION("REGEXREPLACE(A3077, ""^https?://[^/]+"", """")"),"/wp-content/uploads/2016/06/CEO-Breakfast-Workshop-300x300.png")</f>
        <v>/wp-content/uploads/2016/06/CEO-Breakfast-Workshop-300x300.png</v>
      </c>
      <c r="F3077" s="1" t="s">
        <v>1047</v>
      </c>
      <c r="G3077" s="1">
        <v>200.0</v>
      </c>
      <c r="H3077" s="1" t="s">
        <v>966</v>
      </c>
      <c r="I3077" s="1" t="s">
        <v>967</v>
      </c>
      <c r="L3077" s="1">
        <v>0.0</v>
      </c>
      <c r="M3077" s="1">
        <v>0.0</v>
      </c>
      <c r="O3077" s="1">
        <v>0.0</v>
      </c>
      <c r="P3077" s="1">
        <v>0.0</v>
      </c>
      <c r="R3077" s="1">
        <v>0.0</v>
      </c>
      <c r="S3077" s="1">
        <v>0.0</v>
      </c>
      <c r="U3077" s="1">
        <v>0.0</v>
      </c>
      <c r="W3077" s="1">
        <v>0.0</v>
      </c>
      <c r="Y3077" s="1">
        <v>0.0</v>
      </c>
      <c r="AA3077" s="1">
        <v>0.0</v>
      </c>
      <c r="AC3077" s="1">
        <v>0.0</v>
      </c>
      <c r="AM3077" s="1">
        <v>43491.0</v>
      </c>
      <c r="AN3077" s="1">
        <v>43491.0</v>
      </c>
      <c r="AO3077" s="1">
        <v>43491.0</v>
      </c>
      <c r="AP3077" s="1">
        <v>16.661</v>
      </c>
      <c r="AR3077" s="1">
        <v>0.0</v>
      </c>
      <c r="AW3077" s="1">
        <v>0.0</v>
      </c>
      <c r="AX3077" s="1">
        <v>10.0</v>
      </c>
      <c r="AY3077" s="1">
        <v>4.0</v>
      </c>
      <c r="BA3077" s="1">
        <v>0.0</v>
      </c>
      <c r="BB3077" s="1">
        <v>0.0</v>
      </c>
      <c r="BC3077" s="1">
        <v>0.0</v>
      </c>
      <c r="BD3077" s="1">
        <v>0.0</v>
      </c>
      <c r="BE3077" s="1">
        <v>0.0</v>
      </c>
      <c r="BF3077" s="1">
        <v>0.0</v>
      </c>
      <c r="BG3077" s="1">
        <v>0.0</v>
      </c>
      <c r="BH3077" s="1">
        <v>0.0</v>
      </c>
      <c r="BI3077" s="1">
        <v>0.0</v>
      </c>
      <c r="BJ3077" s="1">
        <v>0.0</v>
      </c>
      <c r="BP3077" s="1">
        <v>0.473</v>
      </c>
      <c r="BQ3077" s="1" t="s">
        <v>9200</v>
      </c>
      <c r="BV3077" s="1">
        <v>1.1</v>
      </c>
      <c r="EQ3077" s="9" t="s">
        <v>9199</v>
      </c>
      <c r="ER3077" s="21">
        <v>46045.30396990741</v>
      </c>
    </row>
    <row r="3078">
      <c r="A3078" s="9" t="s">
        <v>9201</v>
      </c>
      <c r="B3078" s="20" t="str">
        <f>IFERROR(__xludf.DUMMYFUNCTION("REGEXREPLACE(A3078, ""^https?://[^/]+"", """")"),"/wp-content/uploads/2017/11/smallbusinesssaturdayjpeg-300x150.jpeg")</f>
        <v>/wp-content/uploads/2017/11/smallbusinesssaturdayjpeg-300x150.jpeg</v>
      </c>
      <c r="F3078" s="1" t="s">
        <v>1004</v>
      </c>
      <c r="G3078" s="1">
        <v>200.0</v>
      </c>
      <c r="H3078" s="1" t="s">
        <v>966</v>
      </c>
      <c r="I3078" s="1" t="s">
        <v>967</v>
      </c>
      <c r="L3078" s="1">
        <v>0.0</v>
      </c>
      <c r="M3078" s="1">
        <v>0.0</v>
      </c>
      <c r="O3078" s="1">
        <v>0.0</v>
      </c>
      <c r="P3078" s="1">
        <v>0.0</v>
      </c>
      <c r="R3078" s="1">
        <v>0.0</v>
      </c>
      <c r="S3078" s="1">
        <v>0.0</v>
      </c>
      <c r="U3078" s="1">
        <v>0.0</v>
      </c>
      <c r="W3078" s="1">
        <v>0.0</v>
      </c>
      <c r="Y3078" s="1">
        <v>0.0</v>
      </c>
      <c r="AA3078" s="1">
        <v>0.0</v>
      </c>
      <c r="AC3078" s="1">
        <v>0.0</v>
      </c>
      <c r="AM3078" s="1">
        <v>14336.0</v>
      </c>
      <c r="AN3078" s="1">
        <v>14336.0</v>
      </c>
      <c r="AO3078" s="1">
        <v>14336.0</v>
      </c>
      <c r="AP3078" s="1">
        <v>5.492</v>
      </c>
      <c r="AR3078" s="1">
        <v>0.0</v>
      </c>
      <c r="AW3078" s="1">
        <v>0.0</v>
      </c>
      <c r="AX3078" s="1">
        <v>10.0</v>
      </c>
      <c r="AY3078" s="1">
        <v>4.0</v>
      </c>
      <c r="BA3078" s="1">
        <v>0.0</v>
      </c>
      <c r="BB3078" s="1">
        <v>0.0</v>
      </c>
      <c r="BC3078" s="1">
        <v>0.0</v>
      </c>
      <c r="BD3078" s="1">
        <v>0.0</v>
      </c>
      <c r="BE3078" s="1">
        <v>0.0</v>
      </c>
      <c r="BF3078" s="1">
        <v>0.0</v>
      </c>
      <c r="BG3078" s="1">
        <v>0.0</v>
      </c>
      <c r="BH3078" s="1">
        <v>0.0</v>
      </c>
      <c r="BI3078" s="1">
        <v>0.0</v>
      </c>
      <c r="BJ3078" s="1">
        <v>0.0</v>
      </c>
      <c r="BP3078" s="1">
        <v>0.488</v>
      </c>
      <c r="BQ3078" s="1" t="s">
        <v>9202</v>
      </c>
      <c r="BV3078" s="1">
        <v>1.1</v>
      </c>
      <c r="EQ3078" s="9" t="s">
        <v>9201</v>
      </c>
      <c r="ER3078" s="21">
        <v>46045.303981481484</v>
      </c>
    </row>
    <row r="3079">
      <c r="A3079" s="9" t="s">
        <v>9203</v>
      </c>
      <c r="B3079" s="20" t="str">
        <f>IFERROR(__xludf.DUMMYFUNCTION("REGEXREPLACE(A3079, ""^https?://[^/]+"", """")"),"/wp-content/uploads/2021/10/Metal-Fab-768x434.jpg")</f>
        <v>/wp-content/uploads/2021/10/Metal-Fab-768x434.jpg</v>
      </c>
      <c r="F3079" s="1" t="s">
        <v>1004</v>
      </c>
      <c r="G3079" s="1">
        <v>200.0</v>
      </c>
      <c r="H3079" s="1" t="s">
        <v>966</v>
      </c>
      <c r="I3079" s="1" t="s">
        <v>967</v>
      </c>
      <c r="L3079" s="1">
        <v>0.0</v>
      </c>
      <c r="M3079" s="1">
        <v>0.0</v>
      </c>
      <c r="O3079" s="1">
        <v>0.0</v>
      </c>
      <c r="P3079" s="1">
        <v>0.0</v>
      </c>
      <c r="R3079" s="1">
        <v>0.0</v>
      </c>
      <c r="S3079" s="1">
        <v>0.0</v>
      </c>
      <c r="U3079" s="1">
        <v>0.0</v>
      </c>
      <c r="W3079" s="1">
        <v>0.0</v>
      </c>
      <c r="Y3079" s="1">
        <v>0.0</v>
      </c>
      <c r="AA3079" s="1">
        <v>0.0</v>
      </c>
      <c r="AC3079" s="1">
        <v>0.0</v>
      </c>
      <c r="AM3079" s="1">
        <v>103148.0</v>
      </c>
      <c r="AN3079" s="1">
        <v>103148.0</v>
      </c>
      <c r="AO3079" s="1">
        <v>103148.0</v>
      </c>
      <c r="AP3079" s="1">
        <v>39.514</v>
      </c>
      <c r="AR3079" s="1">
        <v>0.0</v>
      </c>
      <c r="AW3079" s="1">
        <v>0.0</v>
      </c>
      <c r="AX3079" s="1">
        <v>10.0</v>
      </c>
      <c r="AY3079" s="1">
        <v>4.0</v>
      </c>
      <c r="BA3079" s="1">
        <v>0.0</v>
      </c>
      <c r="BB3079" s="1">
        <v>0.0</v>
      </c>
      <c r="BC3079" s="1">
        <v>0.0</v>
      </c>
      <c r="BD3079" s="1">
        <v>0.0</v>
      </c>
      <c r="BE3079" s="1">
        <v>0.0</v>
      </c>
      <c r="BF3079" s="1">
        <v>0.0</v>
      </c>
      <c r="BG3079" s="1">
        <v>0.0</v>
      </c>
      <c r="BH3079" s="1">
        <v>0.0</v>
      </c>
      <c r="BI3079" s="1">
        <v>0.0</v>
      </c>
      <c r="BJ3079" s="1">
        <v>0.0</v>
      </c>
      <c r="BP3079" s="1">
        <v>0.254</v>
      </c>
      <c r="BQ3079" s="1" t="s">
        <v>3482</v>
      </c>
      <c r="BV3079" s="1">
        <v>1.1</v>
      </c>
      <c r="EQ3079" s="9" t="s">
        <v>9203</v>
      </c>
      <c r="ER3079" s="21">
        <v>46045.303981481484</v>
      </c>
    </row>
    <row r="3080">
      <c r="A3080" s="9" t="s">
        <v>9204</v>
      </c>
      <c r="B3080" s="20" t="str">
        <f>IFERROR(__xludf.DUMMYFUNCTION("REGEXREPLACE(A3080, ""^https?://[^/]+"", """")"),"/wp-content/uploads/2021/10/Calibration_Manufacturing-768x439.jpg")</f>
        <v>/wp-content/uploads/2021/10/Calibration_Manufacturing-768x439.jpg</v>
      </c>
      <c r="F3080" s="1" t="s">
        <v>1004</v>
      </c>
      <c r="G3080" s="1">
        <v>200.0</v>
      </c>
      <c r="H3080" s="1" t="s">
        <v>966</v>
      </c>
      <c r="I3080" s="1" t="s">
        <v>967</v>
      </c>
      <c r="L3080" s="1">
        <v>0.0</v>
      </c>
      <c r="M3080" s="1">
        <v>0.0</v>
      </c>
      <c r="O3080" s="1">
        <v>0.0</v>
      </c>
      <c r="P3080" s="1">
        <v>0.0</v>
      </c>
      <c r="R3080" s="1">
        <v>0.0</v>
      </c>
      <c r="S3080" s="1">
        <v>0.0</v>
      </c>
      <c r="U3080" s="1">
        <v>0.0</v>
      </c>
      <c r="W3080" s="1">
        <v>0.0</v>
      </c>
      <c r="Y3080" s="1">
        <v>0.0</v>
      </c>
      <c r="AA3080" s="1">
        <v>0.0</v>
      </c>
      <c r="AC3080" s="1">
        <v>0.0</v>
      </c>
      <c r="AM3080" s="1">
        <v>63312.0</v>
      </c>
      <c r="AN3080" s="1">
        <v>63312.0</v>
      </c>
      <c r="AO3080" s="1">
        <v>63312.0</v>
      </c>
      <c r="AP3080" s="1">
        <v>24.254</v>
      </c>
      <c r="AR3080" s="1">
        <v>0.0</v>
      </c>
      <c r="AW3080" s="1">
        <v>0.0</v>
      </c>
      <c r="AX3080" s="1">
        <v>10.0</v>
      </c>
      <c r="AY3080" s="1">
        <v>4.0</v>
      </c>
      <c r="BA3080" s="1">
        <v>0.0</v>
      </c>
      <c r="BB3080" s="1">
        <v>0.0</v>
      </c>
      <c r="BC3080" s="1">
        <v>0.0</v>
      </c>
      <c r="BD3080" s="1">
        <v>0.0</v>
      </c>
      <c r="BE3080" s="1">
        <v>0.0</v>
      </c>
      <c r="BF3080" s="1">
        <v>0.0</v>
      </c>
      <c r="BG3080" s="1">
        <v>0.0</v>
      </c>
      <c r="BH3080" s="1">
        <v>0.0</v>
      </c>
      <c r="BI3080" s="1">
        <v>0.0</v>
      </c>
      <c r="BJ3080" s="1">
        <v>0.0</v>
      </c>
      <c r="BP3080" s="1">
        <v>0.275</v>
      </c>
      <c r="BQ3080" s="1" t="s">
        <v>3444</v>
      </c>
      <c r="BV3080" s="1">
        <v>1.1</v>
      </c>
      <c r="EQ3080" s="9" t="s">
        <v>9204</v>
      </c>
      <c r="ER3080" s="21">
        <v>46045.303981481484</v>
      </c>
    </row>
    <row r="3081">
      <c r="A3081" s="9" t="s">
        <v>9205</v>
      </c>
      <c r="B3081" s="20" t="str">
        <f>IFERROR(__xludf.DUMMYFUNCTION("REGEXREPLACE(A3081, ""^https?://[^/]+"", """")"),"/wp-content/themes/salesxceleratione/assets/css/style.css?ver=1769123860")</f>
        <v>/wp-content/themes/salesxceleratione/assets/css/style.css?ver=1769123860</v>
      </c>
      <c r="F3081" s="1" t="s">
        <v>1016</v>
      </c>
      <c r="G3081" s="1">
        <v>200.0</v>
      </c>
      <c r="H3081" s="1" t="s">
        <v>966</v>
      </c>
      <c r="I3081" s="1" t="s">
        <v>967</v>
      </c>
      <c r="L3081" s="1">
        <v>0.0</v>
      </c>
      <c r="M3081" s="1">
        <v>0.0</v>
      </c>
      <c r="O3081" s="1">
        <v>0.0</v>
      </c>
      <c r="P3081" s="1">
        <v>0.0</v>
      </c>
      <c r="R3081" s="1">
        <v>0.0</v>
      </c>
      <c r="S3081" s="1">
        <v>0.0</v>
      </c>
      <c r="U3081" s="1">
        <v>0.0</v>
      </c>
      <c r="W3081" s="1">
        <v>0.0</v>
      </c>
      <c r="Y3081" s="1">
        <v>0.0</v>
      </c>
      <c r="AA3081" s="1">
        <v>0.0</v>
      </c>
      <c r="AC3081" s="1">
        <v>0.0</v>
      </c>
      <c r="AM3081" s="1">
        <v>17704.0</v>
      </c>
      <c r="AN3081" s="1">
        <v>17704.0</v>
      </c>
      <c r="AO3081" s="1">
        <v>17704.0</v>
      </c>
      <c r="AP3081" s="1">
        <v>6.782</v>
      </c>
      <c r="AR3081" s="1">
        <v>0.0</v>
      </c>
      <c r="AW3081" s="1">
        <v>0.0</v>
      </c>
      <c r="AX3081" s="1">
        <v>10.0</v>
      </c>
      <c r="AY3081" s="1">
        <v>5.0</v>
      </c>
      <c r="BA3081" s="1">
        <v>0.0</v>
      </c>
      <c r="BB3081" s="1">
        <v>0.0</v>
      </c>
      <c r="BC3081" s="1">
        <v>0.0</v>
      </c>
      <c r="BD3081" s="1">
        <v>0.0</v>
      </c>
      <c r="BE3081" s="1">
        <v>0.0</v>
      </c>
      <c r="BF3081" s="1">
        <v>0.0</v>
      </c>
      <c r="BG3081" s="1">
        <v>0.0</v>
      </c>
      <c r="BH3081" s="1">
        <v>0.0</v>
      </c>
      <c r="BI3081" s="1">
        <v>0.0</v>
      </c>
      <c r="BJ3081" s="1">
        <v>0.0</v>
      </c>
      <c r="BP3081" s="1">
        <v>0.283</v>
      </c>
      <c r="BQ3081" s="1" t="s">
        <v>9169</v>
      </c>
      <c r="BV3081" s="1">
        <v>1.1</v>
      </c>
      <c r="EQ3081" s="9" t="s">
        <v>9205</v>
      </c>
      <c r="ER3081" s="21">
        <v>46045.303981481484</v>
      </c>
    </row>
    <row r="3082">
      <c r="A3082" s="9" t="s">
        <v>9206</v>
      </c>
      <c r="B3082" s="20" t="str">
        <f>IFERROR(__xludf.DUMMYFUNCTION("REGEXREPLACE(A3082, ""^https?://[^/]+"", """")"),"/small-business-sales-tips/")</f>
        <v>/small-business-sales-tips/</v>
      </c>
      <c r="C3082" s="1" t="s">
        <v>9207</v>
      </c>
      <c r="D3082" s="1" t="s">
        <v>9208</v>
      </c>
      <c r="F3082" s="1" t="s">
        <v>965</v>
      </c>
      <c r="G3082" s="1">
        <v>200.0</v>
      </c>
      <c r="H3082" s="1" t="s">
        <v>966</v>
      </c>
      <c r="I3082" s="1" t="s">
        <v>967</v>
      </c>
      <c r="K3082" s="1" t="s">
        <v>9209</v>
      </c>
      <c r="L3082" s="1">
        <v>87.0</v>
      </c>
      <c r="M3082" s="1">
        <v>793.0</v>
      </c>
      <c r="O3082" s="1">
        <v>0.0</v>
      </c>
      <c r="P3082" s="1">
        <v>0.0</v>
      </c>
      <c r="Q3082" s="1" t="s">
        <v>9210</v>
      </c>
      <c r="R3082" s="1">
        <v>133.0</v>
      </c>
      <c r="S3082" s="1">
        <v>816.0</v>
      </c>
      <c r="U3082" s="1">
        <v>0.0</v>
      </c>
      <c r="V3082" s="1" t="s">
        <v>9207</v>
      </c>
      <c r="W3082" s="1">
        <v>62.0</v>
      </c>
      <c r="Y3082" s="1">
        <v>0.0</v>
      </c>
      <c r="Z3082" s="1" t="s">
        <v>9208</v>
      </c>
      <c r="AA3082" s="1">
        <v>104.0</v>
      </c>
      <c r="AC3082" s="1">
        <v>0.0</v>
      </c>
      <c r="AD3082" s="1" t="s">
        <v>971</v>
      </c>
      <c r="AG3082" s="9" t="s">
        <v>9206</v>
      </c>
      <c r="AM3082" s="1">
        <v>205489.0</v>
      </c>
      <c r="AN3082" s="1">
        <v>36054.0</v>
      </c>
      <c r="AO3082" s="1">
        <v>36054.0</v>
      </c>
      <c r="AP3082" s="1">
        <v>13.812</v>
      </c>
      <c r="AR3082" s="1">
        <v>1118.0</v>
      </c>
      <c r="AS3082" s="1">
        <v>168.0</v>
      </c>
      <c r="AT3082" s="1">
        <v>6.655</v>
      </c>
      <c r="AU3082" s="1">
        <v>58.652</v>
      </c>
      <c r="AV3082" s="1" t="s">
        <v>972</v>
      </c>
      <c r="AW3082" s="1">
        <v>4.588</v>
      </c>
      <c r="AX3082" s="1">
        <v>10.0</v>
      </c>
      <c r="AY3082" s="1">
        <v>1.0</v>
      </c>
      <c r="AZ3082" s="1">
        <v>1.0</v>
      </c>
      <c r="BA3082" s="1">
        <v>3.0</v>
      </c>
      <c r="BB3082" s="1">
        <v>1.0</v>
      </c>
      <c r="BC3082" s="1">
        <v>0.0</v>
      </c>
      <c r="BD3082" s="1">
        <v>0.13</v>
      </c>
      <c r="BE3082" s="1">
        <v>129.0</v>
      </c>
      <c r="BF3082" s="1">
        <v>47.0</v>
      </c>
      <c r="BG3082" s="1">
        <v>0.0</v>
      </c>
      <c r="BH3082" s="1">
        <v>19.0</v>
      </c>
      <c r="BI3082" s="1">
        <v>11.0</v>
      </c>
      <c r="BJ3082" s="1">
        <v>0.0</v>
      </c>
      <c r="BO3082" s="1" t="s">
        <v>9211</v>
      </c>
      <c r="BP3082" s="1">
        <v>1.042</v>
      </c>
      <c r="BU3082" s="1" t="s">
        <v>974</v>
      </c>
      <c r="BV3082" s="1">
        <v>1.1</v>
      </c>
      <c r="EQ3082" s="9" t="s">
        <v>9206</v>
      </c>
      <c r="ER3082" s="21">
        <v>46045.303981481484</v>
      </c>
    </row>
    <row r="3083">
      <c r="A3083" s="9" t="s">
        <v>9212</v>
      </c>
      <c r="B3083" s="20" t="str">
        <f>IFERROR(__xludf.DUMMYFUNCTION("REGEXREPLACE(A3083, ""^https?://[^/]+"", """")"),"/sales-xceleration-announces-addition-4-new-advisors-expanding-existing-footprint-entering-new-markets/")</f>
        <v>/sales-xceleration-announces-addition-4-new-advisors-expanding-existing-footprint-entering-new-markets/</v>
      </c>
      <c r="C3083" s="1" t="s">
        <v>9213</v>
      </c>
      <c r="F3083" s="1" t="s">
        <v>965</v>
      </c>
      <c r="G3083" s="1">
        <v>200.0</v>
      </c>
      <c r="H3083" s="1" t="s">
        <v>966</v>
      </c>
      <c r="I3083" s="1" t="s">
        <v>967</v>
      </c>
      <c r="K3083" s="1" t="s">
        <v>9214</v>
      </c>
      <c r="L3083" s="1">
        <v>157.0</v>
      </c>
      <c r="M3083" s="1">
        <v>1439.0</v>
      </c>
      <c r="O3083" s="1">
        <v>0.0</v>
      </c>
      <c r="P3083" s="1">
        <v>0.0</v>
      </c>
      <c r="Q3083" s="1" t="s">
        <v>9215</v>
      </c>
      <c r="R3083" s="1">
        <v>66.0</v>
      </c>
      <c r="S3083" s="1">
        <v>436.0</v>
      </c>
      <c r="U3083" s="1">
        <v>0.0</v>
      </c>
      <c r="V3083" s="1" t="s">
        <v>9213</v>
      </c>
      <c r="W3083" s="1">
        <v>132.0</v>
      </c>
      <c r="Y3083" s="1">
        <v>0.0</v>
      </c>
      <c r="AA3083" s="1">
        <v>0.0</v>
      </c>
      <c r="AC3083" s="1">
        <v>0.0</v>
      </c>
      <c r="AD3083" s="1" t="s">
        <v>971</v>
      </c>
      <c r="AG3083" s="9" t="s">
        <v>9212</v>
      </c>
      <c r="AM3083" s="1">
        <v>199703.0</v>
      </c>
      <c r="AN3083" s="1">
        <v>34922.0</v>
      </c>
      <c r="AO3083" s="1">
        <v>34922.0</v>
      </c>
      <c r="AP3083" s="1">
        <v>13.378</v>
      </c>
      <c r="AR3083" s="1">
        <v>910.0</v>
      </c>
      <c r="AS3083" s="1">
        <v>148.0</v>
      </c>
      <c r="AT3083" s="1">
        <v>6.149</v>
      </c>
      <c r="AU3083" s="1">
        <v>59.935</v>
      </c>
      <c r="AV3083" s="1" t="s">
        <v>972</v>
      </c>
      <c r="AW3083" s="1">
        <v>4.057</v>
      </c>
      <c r="AX3083" s="1">
        <v>10.0</v>
      </c>
      <c r="AY3083" s="1">
        <v>1.0</v>
      </c>
      <c r="AZ3083" s="1">
        <v>1.0</v>
      </c>
      <c r="BA3083" s="1">
        <v>3.0</v>
      </c>
      <c r="BB3083" s="1">
        <v>1.0</v>
      </c>
      <c r="BC3083" s="1">
        <v>0.0</v>
      </c>
      <c r="BD3083" s="1">
        <v>0.13</v>
      </c>
      <c r="BE3083" s="1">
        <v>132.0</v>
      </c>
      <c r="BF3083" s="1">
        <v>49.0</v>
      </c>
      <c r="BG3083" s="1">
        <v>0.0</v>
      </c>
      <c r="BH3083" s="1">
        <v>16.0</v>
      </c>
      <c r="BI3083" s="1">
        <v>8.0</v>
      </c>
      <c r="BJ3083" s="1">
        <v>0.0</v>
      </c>
      <c r="BO3083" s="1" t="s">
        <v>9216</v>
      </c>
      <c r="BP3083" s="1">
        <v>0.997</v>
      </c>
      <c r="BU3083" s="1" t="s">
        <v>974</v>
      </c>
      <c r="BV3083" s="1">
        <v>1.1</v>
      </c>
      <c r="EQ3083" s="9" t="s">
        <v>9212</v>
      </c>
      <c r="ER3083" s="21">
        <v>46045.303981481484</v>
      </c>
    </row>
    <row r="3084">
      <c r="A3084" s="9" t="s">
        <v>9217</v>
      </c>
      <c r="B3084" s="20" t="str">
        <f>IFERROR(__xludf.DUMMYFUNCTION("REGEXREPLACE(A3084, ""^https?://[^/]+"", """")"),"/wp-content/uploads/2017/11/smallbusinesssaturdayjpeg.jpeg")</f>
        <v>/wp-content/uploads/2017/11/smallbusinesssaturdayjpeg.jpeg</v>
      </c>
      <c r="F3084" s="1" t="s">
        <v>1004</v>
      </c>
      <c r="G3084" s="1">
        <v>200.0</v>
      </c>
      <c r="H3084" s="1" t="s">
        <v>966</v>
      </c>
      <c r="I3084" s="1" t="s">
        <v>967</v>
      </c>
      <c r="L3084" s="1">
        <v>0.0</v>
      </c>
      <c r="M3084" s="1">
        <v>0.0</v>
      </c>
      <c r="O3084" s="1">
        <v>0.0</v>
      </c>
      <c r="P3084" s="1">
        <v>0.0</v>
      </c>
      <c r="R3084" s="1">
        <v>0.0</v>
      </c>
      <c r="S3084" s="1">
        <v>0.0</v>
      </c>
      <c r="U3084" s="1">
        <v>0.0</v>
      </c>
      <c r="W3084" s="1">
        <v>0.0</v>
      </c>
      <c r="Y3084" s="1">
        <v>0.0</v>
      </c>
      <c r="AA3084" s="1">
        <v>0.0</v>
      </c>
      <c r="AC3084" s="1">
        <v>0.0</v>
      </c>
      <c r="AM3084" s="1">
        <v>94810.0</v>
      </c>
      <c r="AN3084" s="1">
        <v>94810.0</v>
      </c>
      <c r="AO3084" s="1">
        <v>94810.0</v>
      </c>
      <c r="AP3084" s="1">
        <v>36.32</v>
      </c>
      <c r="AR3084" s="1">
        <v>0.0</v>
      </c>
      <c r="AW3084" s="1">
        <v>0.0</v>
      </c>
      <c r="AX3084" s="1">
        <v>11.0</v>
      </c>
      <c r="AY3084" s="1">
        <v>4.0</v>
      </c>
      <c r="BA3084" s="1">
        <v>0.0</v>
      </c>
      <c r="BB3084" s="1">
        <v>0.0</v>
      </c>
      <c r="BC3084" s="1">
        <v>0.0</v>
      </c>
      <c r="BD3084" s="1">
        <v>0.0</v>
      </c>
      <c r="BE3084" s="1">
        <v>0.0</v>
      </c>
      <c r="BF3084" s="1">
        <v>0.0</v>
      </c>
      <c r="BG3084" s="1">
        <v>0.0</v>
      </c>
      <c r="BH3084" s="1">
        <v>0.0</v>
      </c>
      <c r="BI3084" s="1">
        <v>0.0</v>
      </c>
      <c r="BJ3084" s="1">
        <v>0.0</v>
      </c>
      <c r="BP3084" s="1">
        <v>0.385</v>
      </c>
      <c r="BQ3084" s="1" t="s">
        <v>9202</v>
      </c>
      <c r="BV3084" s="1">
        <v>1.1</v>
      </c>
      <c r="EQ3084" s="9" t="s">
        <v>9217</v>
      </c>
      <c r="ER3084" s="21">
        <v>46045.30399305555</v>
      </c>
    </row>
    <row r="3085">
      <c r="A3085" s="9" t="s">
        <v>9218</v>
      </c>
      <c r="B3085" s="20" t="str">
        <f>IFERROR(__xludf.DUMMYFUNCTION("REGEXREPLACE(A3085, ""^https?://[^/]+"", """")"),"/wp-content/uploads/2017/11/US-Small-Business-Statistics-1024x487.png")</f>
        <v>/wp-content/uploads/2017/11/US-Small-Business-Statistics-1024x487.png</v>
      </c>
      <c r="F3085" s="1" t="s">
        <v>1047</v>
      </c>
      <c r="G3085" s="1">
        <v>200.0</v>
      </c>
      <c r="H3085" s="1" t="s">
        <v>966</v>
      </c>
      <c r="I3085" s="1" t="s">
        <v>967</v>
      </c>
      <c r="L3085" s="1">
        <v>0.0</v>
      </c>
      <c r="M3085" s="1">
        <v>0.0</v>
      </c>
      <c r="O3085" s="1">
        <v>0.0</v>
      </c>
      <c r="P3085" s="1">
        <v>0.0</v>
      </c>
      <c r="R3085" s="1">
        <v>0.0</v>
      </c>
      <c r="S3085" s="1">
        <v>0.0</v>
      </c>
      <c r="U3085" s="1">
        <v>0.0</v>
      </c>
      <c r="W3085" s="1">
        <v>0.0</v>
      </c>
      <c r="Y3085" s="1">
        <v>0.0</v>
      </c>
      <c r="AA3085" s="1">
        <v>0.0</v>
      </c>
      <c r="AC3085" s="1">
        <v>0.0</v>
      </c>
      <c r="AM3085" s="1">
        <v>120540.0</v>
      </c>
      <c r="AN3085" s="1">
        <v>120540.0</v>
      </c>
      <c r="AO3085" s="1">
        <v>120540.0</v>
      </c>
      <c r="AP3085" s="1">
        <v>46.177</v>
      </c>
      <c r="AR3085" s="1">
        <v>0.0</v>
      </c>
      <c r="AW3085" s="1">
        <v>0.0</v>
      </c>
      <c r="AX3085" s="1">
        <v>11.0</v>
      </c>
      <c r="AY3085" s="1">
        <v>4.0</v>
      </c>
      <c r="BA3085" s="1">
        <v>0.0</v>
      </c>
      <c r="BB3085" s="1">
        <v>0.0</v>
      </c>
      <c r="BC3085" s="1">
        <v>0.0</v>
      </c>
      <c r="BD3085" s="1">
        <v>0.0</v>
      </c>
      <c r="BE3085" s="1">
        <v>0.0</v>
      </c>
      <c r="BF3085" s="1">
        <v>0.0</v>
      </c>
      <c r="BG3085" s="1">
        <v>0.0</v>
      </c>
      <c r="BH3085" s="1">
        <v>0.0</v>
      </c>
      <c r="BI3085" s="1">
        <v>0.0</v>
      </c>
      <c r="BJ3085" s="1">
        <v>0.0</v>
      </c>
      <c r="BP3085" s="1">
        <v>0.386</v>
      </c>
      <c r="BQ3085" s="1" t="s">
        <v>9219</v>
      </c>
      <c r="BV3085" s="1">
        <v>1.1</v>
      </c>
      <c r="EQ3085" s="9" t="s">
        <v>9218</v>
      </c>
      <c r="ER3085" s="21">
        <v>46045.30399305555</v>
      </c>
    </row>
    <row r="3086">
      <c r="A3086" s="9" t="s">
        <v>9220</v>
      </c>
      <c r="B3086" s="20" t="str">
        <f>IFERROR(__xludf.DUMMYFUNCTION("REGEXREPLACE(A3086, ""^https?://[^/]+"", """")"),"/wp-content/uploads/2017/11/Top-Five-sales-ways-to-grow-small-businesses-410x1024.png")</f>
        <v>/wp-content/uploads/2017/11/Top-Five-sales-ways-to-grow-small-businesses-410x1024.png</v>
      </c>
      <c r="F3086" s="1" t="s">
        <v>1047</v>
      </c>
      <c r="G3086" s="1">
        <v>200.0</v>
      </c>
      <c r="H3086" s="1" t="s">
        <v>966</v>
      </c>
      <c r="I3086" s="1" t="s">
        <v>967</v>
      </c>
      <c r="L3086" s="1">
        <v>0.0</v>
      </c>
      <c r="M3086" s="1">
        <v>0.0</v>
      </c>
      <c r="O3086" s="1">
        <v>0.0</v>
      </c>
      <c r="P3086" s="1">
        <v>0.0</v>
      </c>
      <c r="R3086" s="1">
        <v>0.0</v>
      </c>
      <c r="S3086" s="1">
        <v>0.0</v>
      </c>
      <c r="U3086" s="1">
        <v>0.0</v>
      </c>
      <c r="W3086" s="1">
        <v>0.0</v>
      </c>
      <c r="Y3086" s="1">
        <v>0.0</v>
      </c>
      <c r="AA3086" s="1">
        <v>0.0</v>
      </c>
      <c r="AC3086" s="1">
        <v>0.0</v>
      </c>
      <c r="AM3086" s="1">
        <v>113549.0</v>
      </c>
      <c r="AN3086" s="1">
        <v>113549.0</v>
      </c>
      <c r="AO3086" s="1">
        <v>113549.0</v>
      </c>
      <c r="AP3086" s="1">
        <v>43.498</v>
      </c>
      <c r="AR3086" s="1">
        <v>0.0</v>
      </c>
      <c r="AW3086" s="1">
        <v>0.0</v>
      </c>
      <c r="AX3086" s="1">
        <v>11.0</v>
      </c>
      <c r="AY3086" s="1">
        <v>4.0</v>
      </c>
      <c r="BA3086" s="1">
        <v>0.0</v>
      </c>
      <c r="BB3086" s="1">
        <v>0.0</v>
      </c>
      <c r="BC3086" s="1">
        <v>0.0</v>
      </c>
      <c r="BD3086" s="1">
        <v>0.0</v>
      </c>
      <c r="BE3086" s="1">
        <v>0.0</v>
      </c>
      <c r="BF3086" s="1">
        <v>0.0</v>
      </c>
      <c r="BG3086" s="1">
        <v>0.0</v>
      </c>
      <c r="BH3086" s="1">
        <v>0.0</v>
      </c>
      <c r="BI3086" s="1">
        <v>0.0</v>
      </c>
      <c r="BJ3086" s="1">
        <v>0.0</v>
      </c>
      <c r="BP3086" s="1">
        <v>0.293</v>
      </c>
      <c r="BQ3086" s="1" t="s">
        <v>9221</v>
      </c>
      <c r="BV3086" s="1">
        <v>1.1</v>
      </c>
      <c r="EQ3086" s="9" t="s">
        <v>9220</v>
      </c>
      <c r="ER3086" s="21">
        <v>46045.30399305555</v>
      </c>
    </row>
    <row r="3087">
      <c r="A3087" s="9" t="s">
        <v>9222</v>
      </c>
      <c r="B3087" s="20" t="str">
        <f>IFERROR(__xludf.DUMMYFUNCTION("REGEXREPLACE(A3087, ""^https?://[^/]+"", """")"),"/wp-content/uploads/2016/06/June-2016-Advisors-copy-1-scaled-1.jpg")</f>
        <v>/wp-content/uploads/2016/06/June-2016-Advisors-copy-1-scaled-1.jpg</v>
      </c>
      <c r="F3087" s="1" t="s">
        <v>1004</v>
      </c>
      <c r="G3087" s="1">
        <v>200.0</v>
      </c>
      <c r="H3087" s="1" t="s">
        <v>966</v>
      </c>
      <c r="I3087" s="1" t="s">
        <v>967</v>
      </c>
      <c r="L3087" s="1">
        <v>0.0</v>
      </c>
      <c r="M3087" s="1">
        <v>0.0</v>
      </c>
      <c r="O3087" s="1">
        <v>0.0</v>
      </c>
      <c r="P3087" s="1">
        <v>0.0</v>
      </c>
      <c r="R3087" s="1">
        <v>0.0</v>
      </c>
      <c r="S3087" s="1">
        <v>0.0</v>
      </c>
      <c r="U3087" s="1">
        <v>0.0</v>
      </c>
      <c r="W3087" s="1">
        <v>0.0</v>
      </c>
      <c r="Y3087" s="1">
        <v>0.0</v>
      </c>
      <c r="AA3087" s="1">
        <v>0.0</v>
      </c>
      <c r="AC3087" s="1">
        <v>0.0</v>
      </c>
      <c r="AM3087" s="1">
        <v>194277.0</v>
      </c>
      <c r="AN3087" s="1">
        <v>194277.0</v>
      </c>
      <c r="AO3087" s="1">
        <v>194277.0</v>
      </c>
      <c r="AP3087" s="1">
        <v>74.424</v>
      </c>
      <c r="AR3087" s="1">
        <v>0.0</v>
      </c>
      <c r="AW3087" s="1">
        <v>0.0</v>
      </c>
      <c r="AX3087" s="1">
        <v>11.0</v>
      </c>
      <c r="AY3087" s="1">
        <v>4.0</v>
      </c>
      <c r="BA3087" s="1">
        <v>0.0</v>
      </c>
      <c r="BB3087" s="1">
        <v>0.0</v>
      </c>
      <c r="BC3087" s="1">
        <v>0.0</v>
      </c>
      <c r="BD3087" s="1">
        <v>0.0</v>
      </c>
      <c r="BE3087" s="1">
        <v>0.0</v>
      </c>
      <c r="BF3087" s="1">
        <v>0.0</v>
      </c>
      <c r="BG3087" s="1">
        <v>0.0</v>
      </c>
      <c r="BH3087" s="1">
        <v>0.0</v>
      </c>
      <c r="BI3087" s="1">
        <v>0.0</v>
      </c>
      <c r="BJ3087" s="1">
        <v>0.0</v>
      </c>
      <c r="BP3087" s="1">
        <v>0.301</v>
      </c>
      <c r="BQ3087" s="1" t="s">
        <v>9223</v>
      </c>
      <c r="BV3087" s="1">
        <v>1.1</v>
      </c>
      <c r="EQ3087" s="9" t="s">
        <v>9222</v>
      </c>
      <c r="ER3087" s="21">
        <v>46045.30399305555</v>
      </c>
    </row>
    <row r="3088">
      <c r="A3088" s="9" t="s">
        <v>9224</v>
      </c>
      <c r="B3088" s="20" t="str">
        <f>IFERROR(__xludf.DUMMYFUNCTION("REGEXREPLACE(A3088, ""^https?://[^/]+"", """")"),"/wp-content/themes/salesxceleratione/assets/css/style.css?ver=1769123864")</f>
        <v>/wp-content/themes/salesxceleratione/assets/css/style.css?ver=1769123864</v>
      </c>
      <c r="F3088" s="1" t="s">
        <v>1016</v>
      </c>
      <c r="G3088" s="1">
        <v>200.0</v>
      </c>
      <c r="H3088" s="1" t="s">
        <v>966</v>
      </c>
      <c r="I3088" s="1" t="s">
        <v>967</v>
      </c>
      <c r="L3088" s="1">
        <v>0.0</v>
      </c>
      <c r="M3088" s="1">
        <v>0.0</v>
      </c>
      <c r="O3088" s="1">
        <v>0.0</v>
      </c>
      <c r="P3088" s="1">
        <v>0.0</v>
      </c>
      <c r="R3088" s="1">
        <v>0.0</v>
      </c>
      <c r="S3088" s="1">
        <v>0.0</v>
      </c>
      <c r="U3088" s="1">
        <v>0.0</v>
      </c>
      <c r="W3088" s="1">
        <v>0.0</v>
      </c>
      <c r="Y3088" s="1">
        <v>0.0</v>
      </c>
      <c r="AA3088" s="1">
        <v>0.0</v>
      </c>
      <c r="AC3088" s="1">
        <v>0.0</v>
      </c>
      <c r="AM3088" s="1">
        <v>17704.0</v>
      </c>
      <c r="AN3088" s="1">
        <v>17704.0</v>
      </c>
      <c r="AO3088" s="1">
        <v>17704.0</v>
      </c>
      <c r="AP3088" s="1">
        <v>6.782</v>
      </c>
      <c r="AR3088" s="1">
        <v>0.0</v>
      </c>
      <c r="AW3088" s="1">
        <v>0.0</v>
      </c>
      <c r="AX3088" s="1">
        <v>11.0</v>
      </c>
      <c r="AY3088" s="1">
        <v>5.0</v>
      </c>
      <c r="BA3088" s="1">
        <v>0.0</v>
      </c>
      <c r="BB3088" s="1">
        <v>0.0</v>
      </c>
      <c r="BC3088" s="1">
        <v>0.0</v>
      </c>
      <c r="BD3088" s="1">
        <v>0.0</v>
      </c>
      <c r="BE3088" s="1">
        <v>0.0</v>
      </c>
      <c r="BF3088" s="1">
        <v>0.0</v>
      </c>
      <c r="BG3088" s="1">
        <v>0.0</v>
      </c>
      <c r="BH3088" s="1">
        <v>0.0</v>
      </c>
      <c r="BI3088" s="1">
        <v>0.0</v>
      </c>
      <c r="BJ3088" s="1">
        <v>0.0</v>
      </c>
      <c r="BP3088" s="1">
        <v>0.289</v>
      </c>
      <c r="BQ3088" s="1" t="s">
        <v>9225</v>
      </c>
      <c r="BV3088" s="1">
        <v>1.1</v>
      </c>
      <c r="EQ3088" s="9" t="s">
        <v>9224</v>
      </c>
      <c r="ER3088" s="21">
        <v>46045.30400462963</v>
      </c>
    </row>
    <row r="3089">
      <c r="B3089" s="20" t="str">
        <f>IFERROR(__xludf.DUMMYFUNCTION("REGEXREPLACE(A3089, ""^https?://[^/]+"", """")"),"")</f>
        <v/>
      </c>
    </row>
    <row r="3090">
      <c r="B3090" s="20" t="str">
        <f>IFERROR(__xludf.DUMMYFUNCTION("REGEXREPLACE(A3090, ""^https?://[^/]+"", """")"),"")</f>
        <v/>
      </c>
    </row>
  </sheetData>
  <hyperlinks>
    <hyperlink r:id="rId1" ref="A2"/>
    <hyperlink r:id="rId2" ref="AG2"/>
    <hyperlink r:id="rId3" ref="EQ2"/>
    <hyperlink r:id="rId4" ref="A3"/>
    <hyperlink r:id="rId5" ref="EQ3"/>
    <hyperlink r:id="rId6" ref="A4"/>
    <hyperlink r:id="rId7" ref="AG4"/>
    <hyperlink r:id="rId8" ref="EQ4"/>
    <hyperlink r:id="rId9" ref="A5"/>
    <hyperlink r:id="rId10" ref="AG5"/>
    <hyperlink r:id="rId11" ref="EQ5"/>
    <hyperlink r:id="rId12" ref="A6"/>
    <hyperlink r:id="rId13" ref="EQ6"/>
    <hyperlink r:id="rId14" ref="A7"/>
    <hyperlink r:id="rId15" ref="EQ7"/>
    <hyperlink r:id="rId16" ref="A8"/>
    <hyperlink r:id="rId17" ref="AG8"/>
    <hyperlink r:id="rId18" ref="EQ8"/>
    <hyperlink r:id="rId19" ref="A9"/>
    <hyperlink r:id="rId20" ref="EQ9"/>
    <hyperlink r:id="rId21" ref="A10"/>
    <hyperlink r:id="rId22" ref="AG10"/>
    <hyperlink r:id="rId23" ref="EQ10"/>
    <hyperlink r:id="rId24" ref="A11"/>
    <hyperlink r:id="rId25" ref="AG11"/>
    <hyperlink r:id="rId26" ref="EQ11"/>
    <hyperlink r:id="rId27" ref="A12"/>
    <hyperlink r:id="rId28" ref="AG12"/>
    <hyperlink r:id="rId29" ref="EQ12"/>
    <hyperlink r:id="rId30" ref="A13"/>
    <hyperlink r:id="rId31" ref="EQ13"/>
    <hyperlink r:id="rId32" ref="A14"/>
    <hyperlink r:id="rId33" ref="EQ14"/>
    <hyperlink r:id="rId34" ref="A15"/>
    <hyperlink r:id="rId35" ref="EQ15"/>
    <hyperlink r:id="rId36" ref="A16"/>
    <hyperlink r:id="rId37" ref="EQ16"/>
    <hyperlink r:id="rId38" ref="A17"/>
    <hyperlink r:id="rId39" ref="AG17"/>
    <hyperlink r:id="rId40" ref="EQ17"/>
    <hyperlink r:id="rId41" ref="A18"/>
    <hyperlink r:id="rId42" ref="EQ18"/>
    <hyperlink r:id="rId43" ref="A19"/>
    <hyperlink r:id="rId44" ref="EQ19"/>
    <hyperlink r:id="rId45" ref="A20"/>
    <hyperlink r:id="rId46" ref="AG20"/>
    <hyperlink r:id="rId47" ref="EQ20"/>
    <hyperlink r:id="rId48" ref="A21"/>
    <hyperlink r:id="rId49" ref="EQ21"/>
    <hyperlink r:id="rId50" ref="A22"/>
    <hyperlink r:id="rId51" ref="EQ22"/>
    <hyperlink r:id="rId52" ref="A23"/>
    <hyperlink r:id="rId53" ref="EQ23"/>
    <hyperlink r:id="rId54" ref="A24"/>
    <hyperlink r:id="rId55" ref="AG24"/>
    <hyperlink r:id="rId56" ref="EQ24"/>
    <hyperlink r:id="rId57" ref="A25"/>
    <hyperlink r:id="rId58" ref="EQ25"/>
    <hyperlink r:id="rId59" ref="A26"/>
    <hyperlink r:id="rId60" ref="AG26"/>
    <hyperlink r:id="rId61" ref="EQ26"/>
    <hyperlink r:id="rId62" ref="A27"/>
    <hyperlink r:id="rId63" ref="AG27"/>
    <hyperlink r:id="rId64" ref="EQ27"/>
    <hyperlink r:id="rId65" ref="A28"/>
    <hyperlink r:id="rId66" ref="AG28"/>
    <hyperlink r:id="rId67" ref="EQ28"/>
    <hyperlink r:id="rId68" ref="A29"/>
    <hyperlink r:id="rId69" ref="AG29"/>
    <hyperlink r:id="rId70" ref="EQ29"/>
    <hyperlink r:id="rId71" ref="A30"/>
    <hyperlink r:id="rId72" ref="EQ30"/>
    <hyperlink r:id="rId73" ref="A31"/>
    <hyperlink r:id="rId74" ref="AG31"/>
    <hyperlink r:id="rId75" ref="EQ31"/>
    <hyperlink r:id="rId76" ref="A32"/>
    <hyperlink r:id="rId77" ref="EQ32"/>
    <hyperlink r:id="rId78" ref="A33"/>
    <hyperlink r:id="rId79" ref="AG33"/>
    <hyperlink r:id="rId80" ref="EQ33"/>
    <hyperlink r:id="rId81" ref="A34"/>
    <hyperlink r:id="rId82" ref="AG34"/>
    <hyperlink r:id="rId83" ref="EQ34"/>
    <hyperlink r:id="rId84" ref="A35"/>
    <hyperlink r:id="rId85" ref="EQ35"/>
    <hyperlink r:id="rId86" ref="A36"/>
    <hyperlink r:id="rId87" ref="EQ36"/>
    <hyperlink r:id="rId88" ref="A37"/>
    <hyperlink r:id="rId89" ref="EQ37"/>
    <hyperlink r:id="rId90" ref="A38"/>
    <hyperlink r:id="rId91" ref="AG38"/>
    <hyperlink r:id="rId92" ref="EQ38"/>
    <hyperlink r:id="rId93" ref="A39"/>
    <hyperlink r:id="rId94" ref="AG39"/>
    <hyperlink r:id="rId95" ref="EQ39"/>
    <hyperlink r:id="rId96" ref="A40"/>
    <hyperlink r:id="rId97" ref="EQ40"/>
    <hyperlink r:id="rId98" ref="A41"/>
    <hyperlink r:id="rId99" ref="AG41"/>
    <hyperlink r:id="rId100" ref="EQ41"/>
    <hyperlink r:id="rId101" ref="A42"/>
    <hyperlink r:id="rId102" ref="EQ42"/>
    <hyperlink r:id="rId103" ref="A43"/>
    <hyperlink r:id="rId104" ref="EQ43"/>
    <hyperlink r:id="rId105" ref="A44"/>
    <hyperlink r:id="rId106" ref="AG44"/>
    <hyperlink r:id="rId107" ref="EQ44"/>
    <hyperlink r:id="rId108" ref="A45"/>
    <hyperlink r:id="rId109" ref="AG45"/>
    <hyperlink r:id="rId110" ref="EQ45"/>
    <hyperlink r:id="rId111" ref="A46"/>
    <hyperlink r:id="rId112" ref="EQ46"/>
    <hyperlink r:id="rId113" ref="A47"/>
    <hyperlink r:id="rId114" ref="AG47"/>
    <hyperlink r:id="rId115" ref="EQ47"/>
    <hyperlink r:id="rId116" ref="A48"/>
    <hyperlink r:id="rId117" ref="EQ48"/>
    <hyperlink r:id="rId118" ref="A49"/>
    <hyperlink r:id="rId119" ref="AG49"/>
    <hyperlink r:id="rId120" ref="EQ49"/>
    <hyperlink r:id="rId121" ref="A50"/>
    <hyperlink r:id="rId122" ref="EQ50"/>
    <hyperlink r:id="rId123" ref="A51"/>
    <hyperlink r:id="rId124" ref="EQ51"/>
    <hyperlink r:id="rId125" ref="A52"/>
    <hyperlink r:id="rId126" ref="EQ52"/>
    <hyperlink r:id="rId127" ref="A53"/>
    <hyperlink r:id="rId128" ref="EQ53"/>
    <hyperlink r:id="rId129" ref="A54"/>
    <hyperlink r:id="rId130" ref="AG54"/>
    <hyperlink r:id="rId131" ref="EQ54"/>
    <hyperlink r:id="rId132" ref="A55"/>
    <hyperlink r:id="rId133" ref="AG55"/>
    <hyperlink r:id="rId134" ref="EQ55"/>
    <hyperlink r:id="rId135" ref="A56"/>
    <hyperlink r:id="rId136" ref="AG56"/>
    <hyperlink r:id="rId137" ref="EQ56"/>
    <hyperlink r:id="rId138" ref="A57"/>
    <hyperlink r:id="rId139" ref="EQ57"/>
    <hyperlink r:id="rId140" ref="A58"/>
    <hyperlink r:id="rId141" ref="EQ58"/>
    <hyperlink r:id="rId142" ref="A59"/>
    <hyperlink r:id="rId143" ref="EQ59"/>
    <hyperlink r:id="rId144" ref="A60"/>
    <hyperlink r:id="rId145" ref="EQ60"/>
    <hyperlink r:id="rId146" ref="A61"/>
    <hyperlink r:id="rId147" ref="AG61"/>
    <hyperlink r:id="rId148" ref="EQ61"/>
    <hyperlink r:id="rId149" ref="A62"/>
    <hyperlink r:id="rId150" ref="EQ62"/>
    <hyperlink r:id="rId151" ref="A63"/>
    <hyperlink r:id="rId152" ref="EQ63"/>
    <hyperlink r:id="rId153" ref="A64"/>
    <hyperlink r:id="rId154" ref="EQ64"/>
    <hyperlink r:id="rId155" ref="A65"/>
    <hyperlink r:id="rId156" ref="EQ65"/>
    <hyperlink r:id="rId157" ref="A66"/>
    <hyperlink r:id="rId158" ref="EQ66"/>
    <hyperlink r:id="rId159" ref="A67"/>
    <hyperlink r:id="rId160" ref="EQ67"/>
    <hyperlink r:id="rId161" ref="A68"/>
    <hyperlink r:id="rId162" ref="AG68"/>
    <hyperlink r:id="rId163" ref="EQ68"/>
    <hyperlink r:id="rId164" ref="A69"/>
    <hyperlink r:id="rId165" ref="AG69"/>
    <hyperlink r:id="rId166" ref="EQ69"/>
    <hyperlink r:id="rId167" ref="A70"/>
    <hyperlink r:id="rId168" ref="AG70"/>
    <hyperlink r:id="rId169" ref="EQ70"/>
    <hyperlink r:id="rId170" ref="A71"/>
    <hyperlink r:id="rId171" ref="AG71"/>
    <hyperlink r:id="rId172" ref="EQ71"/>
    <hyperlink r:id="rId173" ref="A72"/>
    <hyperlink r:id="rId174" ref="EQ72"/>
    <hyperlink r:id="rId175" ref="A73"/>
    <hyperlink r:id="rId176" ref="EQ73"/>
    <hyperlink r:id="rId177" ref="A74"/>
    <hyperlink r:id="rId178" ref="EQ74"/>
    <hyperlink r:id="rId179" ref="A75"/>
    <hyperlink r:id="rId180" ref="EQ75"/>
    <hyperlink r:id="rId181" ref="A76"/>
    <hyperlink r:id="rId182" ref="AG76"/>
    <hyperlink r:id="rId183" ref="EQ76"/>
    <hyperlink r:id="rId184" ref="A77"/>
    <hyperlink r:id="rId185" ref="EQ77"/>
    <hyperlink r:id="rId186" ref="A78"/>
    <hyperlink r:id="rId187" ref="EQ78"/>
    <hyperlink r:id="rId188" ref="A79"/>
    <hyperlink r:id="rId189" ref="EQ79"/>
    <hyperlink r:id="rId190" ref="A80"/>
    <hyperlink r:id="rId191" ref="EQ80"/>
    <hyperlink r:id="rId192" ref="A81"/>
    <hyperlink r:id="rId193" ref="EQ81"/>
    <hyperlink r:id="rId194" ref="A82"/>
    <hyperlink r:id="rId195" ref="EQ82"/>
    <hyperlink r:id="rId196" ref="A83"/>
    <hyperlink r:id="rId197" ref="EQ83"/>
    <hyperlink r:id="rId198" ref="A84"/>
    <hyperlink r:id="rId199" ref="AG84"/>
    <hyperlink r:id="rId200" ref="EQ84"/>
    <hyperlink r:id="rId201" ref="A85"/>
    <hyperlink r:id="rId202" ref="EQ85"/>
    <hyperlink r:id="rId203" ref="A86"/>
    <hyperlink r:id="rId204" ref="EQ86"/>
    <hyperlink r:id="rId205" ref="A87"/>
    <hyperlink r:id="rId206" ref="EQ87"/>
    <hyperlink r:id="rId207" ref="A88"/>
    <hyperlink r:id="rId208" ref="BR88"/>
    <hyperlink r:id="rId209" ref="EQ88"/>
    <hyperlink r:id="rId210" ref="A89"/>
    <hyperlink r:id="rId211" ref="EQ89"/>
    <hyperlink r:id="rId212" ref="A90"/>
    <hyperlink r:id="rId213" ref="AG90"/>
    <hyperlink r:id="rId214" ref="EQ90"/>
    <hyperlink r:id="rId215" ref="A91"/>
    <hyperlink r:id="rId216" ref="EQ91"/>
    <hyperlink r:id="rId217" ref="A92"/>
    <hyperlink r:id="rId218" ref="AG92"/>
    <hyperlink r:id="rId219" ref="EQ92"/>
    <hyperlink r:id="rId220" ref="A93"/>
    <hyperlink r:id="rId221" ref="AG93"/>
    <hyperlink r:id="rId222" ref="EQ93"/>
    <hyperlink r:id="rId223" ref="A94"/>
    <hyperlink r:id="rId224" ref="EQ94"/>
    <hyperlink r:id="rId225" ref="A95"/>
    <hyperlink r:id="rId226" ref="AG95"/>
    <hyperlink r:id="rId227" ref="EQ95"/>
    <hyperlink r:id="rId228" ref="A96"/>
    <hyperlink r:id="rId229" ref="EQ96"/>
    <hyperlink r:id="rId230" ref="A97"/>
    <hyperlink r:id="rId231" ref="EQ97"/>
    <hyperlink r:id="rId232" ref="A98"/>
    <hyperlink r:id="rId233" ref="EQ98"/>
    <hyperlink r:id="rId234" ref="A99"/>
    <hyperlink r:id="rId235" ref="EQ99"/>
    <hyperlink r:id="rId236" ref="A100"/>
    <hyperlink r:id="rId237" ref="EQ100"/>
    <hyperlink r:id="rId238" ref="A101"/>
    <hyperlink r:id="rId239" ref="EQ101"/>
    <hyperlink r:id="rId240" ref="A102"/>
    <hyperlink r:id="rId241" ref="EQ102"/>
    <hyperlink r:id="rId242" ref="A103"/>
    <hyperlink r:id="rId243" ref="EQ103"/>
    <hyperlink r:id="rId244" ref="A104"/>
    <hyperlink r:id="rId245" ref="EQ104"/>
    <hyperlink r:id="rId246" ref="A105"/>
    <hyperlink r:id="rId247" ref="EQ105"/>
    <hyperlink r:id="rId248" ref="A106"/>
    <hyperlink r:id="rId249" ref="EQ106"/>
    <hyperlink r:id="rId250" ref="A107"/>
    <hyperlink r:id="rId251" ref="EQ107"/>
    <hyperlink r:id="rId252" ref="A108"/>
    <hyperlink r:id="rId253" ref="EQ108"/>
    <hyperlink r:id="rId254" ref="A109"/>
    <hyperlink r:id="rId255" ref="EQ109"/>
    <hyperlink r:id="rId256" ref="A110"/>
    <hyperlink r:id="rId257" ref="EQ110"/>
    <hyperlink r:id="rId258" ref="A111"/>
    <hyperlink r:id="rId259" ref="EQ111"/>
    <hyperlink r:id="rId260" ref="A112"/>
    <hyperlink r:id="rId261" ref="EQ112"/>
    <hyperlink r:id="rId262" ref="A113"/>
    <hyperlink r:id="rId263" ref="AG113"/>
    <hyperlink r:id="rId264" ref="EQ113"/>
    <hyperlink r:id="rId265" ref="A114"/>
    <hyperlink r:id="rId266" ref="EQ114"/>
    <hyperlink r:id="rId267" ref="A115"/>
    <hyperlink r:id="rId268" ref="EQ115"/>
    <hyperlink r:id="rId269" ref="A116"/>
    <hyperlink r:id="rId270" ref="AG116"/>
    <hyperlink r:id="rId271" ref="EQ116"/>
    <hyperlink r:id="rId272" ref="A117"/>
    <hyperlink r:id="rId273" ref="EQ117"/>
    <hyperlink r:id="rId274" ref="A118"/>
    <hyperlink r:id="rId275" ref="EQ118"/>
    <hyperlink r:id="rId276" ref="A119"/>
    <hyperlink r:id="rId277" ref="EQ119"/>
    <hyperlink r:id="rId278" ref="A120"/>
    <hyperlink r:id="rId279" ref="EQ120"/>
    <hyperlink r:id="rId280" ref="A121"/>
    <hyperlink r:id="rId281" ref="EQ121"/>
    <hyperlink r:id="rId282" ref="A122"/>
    <hyperlink r:id="rId283" ref="EQ122"/>
    <hyperlink r:id="rId284" ref="A123"/>
    <hyperlink r:id="rId285" ref="EQ123"/>
    <hyperlink r:id="rId286" ref="A124"/>
    <hyperlink r:id="rId287" ref="AG124"/>
    <hyperlink r:id="rId288" ref="EQ124"/>
    <hyperlink r:id="rId289" ref="A125"/>
    <hyperlink r:id="rId290" ref="EQ125"/>
    <hyperlink r:id="rId291" ref="A126"/>
    <hyperlink r:id="rId292" ref="EQ126"/>
    <hyperlink r:id="rId293" ref="A127"/>
    <hyperlink r:id="rId294" ref="EQ127"/>
    <hyperlink r:id="rId295" ref="A128"/>
    <hyperlink r:id="rId296" ref="EQ128"/>
    <hyperlink r:id="rId297" ref="A129"/>
    <hyperlink r:id="rId298" ref="AG129"/>
    <hyperlink r:id="rId299" ref="EQ129"/>
    <hyperlink r:id="rId300" ref="A130"/>
    <hyperlink r:id="rId301" ref="EQ130"/>
    <hyperlink r:id="rId302" ref="A131"/>
    <hyperlink r:id="rId303" ref="AG131"/>
    <hyperlink r:id="rId304" ref="EQ131"/>
    <hyperlink r:id="rId305" ref="A132"/>
    <hyperlink r:id="rId306" ref="AG132"/>
    <hyperlink r:id="rId307" ref="EQ132"/>
    <hyperlink r:id="rId308" ref="A133"/>
    <hyperlink r:id="rId309" ref="EQ133"/>
    <hyperlink r:id="rId310" ref="A134"/>
    <hyperlink r:id="rId311" ref="AG134"/>
    <hyperlink r:id="rId312" ref="EQ134"/>
    <hyperlink r:id="rId313" ref="A135"/>
    <hyperlink r:id="rId314" ref="EQ135"/>
    <hyperlink r:id="rId315" ref="A136"/>
    <hyperlink r:id="rId316" ref="EQ136"/>
    <hyperlink r:id="rId317" ref="A137"/>
    <hyperlink r:id="rId318" ref="EQ137"/>
    <hyperlink r:id="rId319" ref="A138"/>
    <hyperlink r:id="rId320" ref="EQ138"/>
    <hyperlink r:id="rId321" ref="A139"/>
    <hyperlink r:id="rId322" ref="EQ139"/>
    <hyperlink r:id="rId323" ref="A140"/>
    <hyperlink r:id="rId324" ref="EQ140"/>
    <hyperlink r:id="rId325" ref="A141"/>
    <hyperlink r:id="rId326" ref="EQ141"/>
    <hyperlink r:id="rId327" ref="A142"/>
    <hyperlink r:id="rId328" ref="EQ142"/>
    <hyperlink r:id="rId329" ref="A143"/>
    <hyperlink r:id="rId330" ref="EQ143"/>
    <hyperlink r:id="rId331" ref="A144"/>
    <hyperlink r:id="rId332" ref="EQ144"/>
    <hyperlink r:id="rId333" ref="A145"/>
    <hyperlink r:id="rId334" ref="AG145"/>
    <hyperlink r:id="rId335" ref="EQ145"/>
    <hyperlink r:id="rId336" ref="A146"/>
    <hyperlink r:id="rId337" ref="AG146"/>
    <hyperlink r:id="rId338" ref="EQ146"/>
    <hyperlink r:id="rId339" ref="A147"/>
    <hyperlink r:id="rId340" ref="EQ147"/>
    <hyperlink r:id="rId341" ref="A148"/>
    <hyperlink r:id="rId342" ref="EQ148"/>
    <hyperlink r:id="rId343" ref="A149"/>
    <hyperlink r:id="rId344" ref="EQ149"/>
    <hyperlink r:id="rId345" ref="A150"/>
    <hyperlink r:id="rId346" ref="AG150"/>
    <hyperlink r:id="rId347" ref="EQ150"/>
    <hyperlink r:id="rId348" ref="A151"/>
    <hyperlink r:id="rId349" ref="AG151"/>
    <hyperlink r:id="rId350" ref="EQ151"/>
    <hyperlink r:id="rId351" ref="A152"/>
    <hyperlink r:id="rId352" ref="EQ152"/>
    <hyperlink r:id="rId353" ref="A153"/>
    <hyperlink r:id="rId354" ref="AG153"/>
    <hyperlink r:id="rId355" ref="AH153"/>
    <hyperlink r:id="rId356" ref="EQ153"/>
    <hyperlink r:id="rId357" ref="A154"/>
    <hyperlink r:id="rId358" ref="EQ154"/>
    <hyperlink r:id="rId359" ref="A155"/>
    <hyperlink r:id="rId360" ref="AG155"/>
    <hyperlink r:id="rId361" ref="EQ155"/>
    <hyperlink r:id="rId362" ref="A156"/>
    <hyperlink r:id="rId363" ref="EQ156"/>
    <hyperlink r:id="rId364" ref="A157"/>
    <hyperlink r:id="rId365" ref="AG157"/>
    <hyperlink r:id="rId366" ref="EQ157"/>
    <hyperlink r:id="rId367" ref="A158"/>
    <hyperlink r:id="rId368" ref="EQ158"/>
    <hyperlink r:id="rId369" ref="A159"/>
    <hyperlink r:id="rId370" ref="EQ159"/>
    <hyperlink r:id="rId371" ref="A160"/>
    <hyperlink r:id="rId372" ref="EQ160"/>
    <hyperlink r:id="rId373" ref="A161"/>
    <hyperlink r:id="rId374" ref="AG161"/>
    <hyperlink r:id="rId375" ref="AH161"/>
    <hyperlink r:id="rId376" ref="EQ161"/>
    <hyperlink r:id="rId377" ref="A162"/>
    <hyperlink r:id="rId378" ref="EQ162"/>
    <hyperlink r:id="rId379" ref="A163"/>
    <hyperlink r:id="rId380" ref="EQ163"/>
    <hyperlink r:id="rId381" ref="A164"/>
    <hyperlink r:id="rId382" ref="AG164"/>
    <hyperlink r:id="rId383" ref="AH164"/>
    <hyperlink r:id="rId384" ref="EQ164"/>
    <hyperlink r:id="rId385" ref="A165"/>
    <hyperlink r:id="rId386" ref="AG165"/>
    <hyperlink r:id="rId387" ref="EQ165"/>
    <hyperlink r:id="rId388" ref="A166"/>
    <hyperlink r:id="rId389" ref="AG166"/>
    <hyperlink r:id="rId390" ref="EQ166"/>
    <hyperlink r:id="rId391" ref="A167"/>
    <hyperlink r:id="rId392" ref="EQ167"/>
    <hyperlink r:id="rId393" ref="A168"/>
    <hyperlink r:id="rId394" ref="EQ168"/>
    <hyperlink r:id="rId395" ref="A169"/>
    <hyperlink r:id="rId396" ref="AG169"/>
    <hyperlink r:id="rId397" ref="EQ169"/>
    <hyperlink r:id="rId398" ref="A170"/>
    <hyperlink r:id="rId399" ref="EQ170"/>
    <hyperlink r:id="rId400" ref="A171"/>
    <hyperlink r:id="rId401" ref="EQ171"/>
    <hyperlink r:id="rId402" ref="A172"/>
    <hyperlink r:id="rId403" ref="AG172"/>
    <hyperlink r:id="rId404" ref="EQ172"/>
    <hyperlink r:id="rId405" ref="A173"/>
    <hyperlink r:id="rId406" ref="EQ173"/>
    <hyperlink r:id="rId407" ref="A174"/>
    <hyperlink r:id="rId408" ref="EQ174"/>
    <hyperlink r:id="rId409" ref="A175"/>
    <hyperlink r:id="rId410" ref="EQ175"/>
    <hyperlink r:id="rId411" ref="A176"/>
    <hyperlink r:id="rId412" ref="EQ176"/>
    <hyperlink r:id="rId413" ref="A177"/>
    <hyperlink r:id="rId414" ref="EQ177"/>
    <hyperlink r:id="rId415" ref="A178"/>
    <hyperlink r:id="rId416" ref="EQ178"/>
    <hyperlink r:id="rId417" ref="A179"/>
    <hyperlink r:id="rId418" ref="EQ179"/>
    <hyperlink r:id="rId419" ref="A180"/>
    <hyperlink r:id="rId420" ref="EQ180"/>
    <hyperlink r:id="rId421" ref="A181"/>
    <hyperlink r:id="rId422" ref="EQ181"/>
    <hyperlink r:id="rId423" ref="A182"/>
    <hyperlink r:id="rId424" ref="EQ182"/>
    <hyperlink r:id="rId425" ref="A183"/>
    <hyperlink r:id="rId426" ref="EQ183"/>
    <hyperlink r:id="rId427" ref="A184"/>
    <hyperlink r:id="rId428" ref="EQ184"/>
    <hyperlink r:id="rId429" ref="A185"/>
    <hyperlink r:id="rId430" ref="EQ185"/>
    <hyperlink r:id="rId431" ref="A186"/>
    <hyperlink r:id="rId432" ref="EQ186"/>
    <hyperlink r:id="rId433" ref="A187"/>
    <hyperlink r:id="rId434" ref="EQ187"/>
    <hyperlink r:id="rId435" ref="A188"/>
    <hyperlink r:id="rId436" ref="EQ188"/>
    <hyperlink r:id="rId437" ref="A189"/>
    <hyperlink r:id="rId438" ref="EQ189"/>
    <hyperlink r:id="rId439" ref="A190"/>
    <hyperlink r:id="rId440" ref="EQ190"/>
    <hyperlink r:id="rId441" ref="A191"/>
    <hyperlink r:id="rId442" ref="EQ191"/>
    <hyperlink r:id="rId443" ref="A192"/>
    <hyperlink r:id="rId444" ref="EQ192"/>
    <hyperlink r:id="rId445" ref="A193"/>
    <hyperlink r:id="rId446" ref="EQ193"/>
    <hyperlink r:id="rId447" ref="A194"/>
    <hyperlink r:id="rId448" ref="EQ194"/>
    <hyperlink r:id="rId449" ref="A195"/>
    <hyperlink r:id="rId450" ref="EQ195"/>
    <hyperlink r:id="rId451" ref="A196"/>
    <hyperlink r:id="rId452" ref="EQ196"/>
    <hyperlink r:id="rId453" ref="A197"/>
    <hyperlink r:id="rId454" ref="EQ197"/>
    <hyperlink r:id="rId455" ref="A198"/>
    <hyperlink r:id="rId456" ref="EQ198"/>
    <hyperlink r:id="rId457" ref="A199"/>
    <hyperlink r:id="rId458" ref="EQ199"/>
    <hyperlink r:id="rId459" ref="A200"/>
    <hyperlink r:id="rId460" ref="EQ200"/>
    <hyperlink r:id="rId461" ref="A201"/>
    <hyperlink r:id="rId462" ref="EQ201"/>
    <hyperlink r:id="rId463" ref="A202"/>
    <hyperlink r:id="rId464" ref="EQ202"/>
    <hyperlink r:id="rId465" ref="A203"/>
    <hyperlink r:id="rId466" ref="EQ203"/>
    <hyperlink r:id="rId467" ref="A204"/>
    <hyperlink r:id="rId468" ref="EQ204"/>
    <hyperlink r:id="rId469" ref="A205"/>
    <hyperlink r:id="rId470" ref="EQ205"/>
    <hyperlink r:id="rId471" ref="A206"/>
    <hyperlink r:id="rId472" ref="AG206"/>
    <hyperlink r:id="rId473" ref="EQ206"/>
    <hyperlink r:id="rId474" ref="A207"/>
    <hyperlink r:id="rId475" ref="EQ207"/>
    <hyperlink r:id="rId476" ref="A208"/>
    <hyperlink r:id="rId477" ref="EQ208"/>
    <hyperlink r:id="rId478" ref="A209"/>
    <hyperlink r:id="rId479" ref="EQ209"/>
    <hyperlink r:id="rId480" ref="A210"/>
    <hyperlink r:id="rId481" ref="AG210"/>
    <hyperlink r:id="rId482" ref="EQ210"/>
    <hyperlink r:id="rId483" ref="A211"/>
    <hyperlink r:id="rId484" ref="EQ211"/>
    <hyperlink r:id="rId485" ref="A212"/>
    <hyperlink r:id="rId486" ref="EQ212"/>
    <hyperlink r:id="rId487" ref="A213"/>
    <hyperlink r:id="rId488" ref="EQ213"/>
    <hyperlink r:id="rId489" ref="A214"/>
    <hyperlink r:id="rId490" ref="EQ214"/>
    <hyperlink r:id="rId491" ref="A215"/>
    <hyperlink r:id="rId492" ref="EQ215"/>
    <hyperlink r:id="rId493" ref="A216"/>
    <hyperlink r:id="rId494" ref="EQ216"/>
    <hyperlink r:id="rId495" ref="A217"/>
    <hyperlink r:id="rId496" ref="EQ217"/>
    <hyperlink r:id="rId497" ref="A218"/>
    <hyperlink r:id="rId498" ref="EQ218"/>
    <hyperlink r:id="rId499" ref="A219"/>
    <hyperlink r:id="rId500" ref="EQ219"/>
    <hyperlink r:id="rId501" ref="A220"/>
    <hyperlink r:id="rId502" ref="EQ220"/>
    <hyperlink r:id="rId503" ref="A221"/>
    <hyperlink r:id="rId504" ref="EQ221"/>
    <hyperlink r:id="rId505" ref="A222"/>
    <hyperlink r:id="rId506" ref="EQ222"/>
    <hyperlink r:id="rId507" ref="A223"/>
    <hyperlink r:id="rId508" ref="EQ223"/>
    <hyperlink r:id="rId509" ref="A224"/>
    <hyperlink r:id="rId510" ref="EQ224"/>
    <hyperlink r:id="rId511" ref="A225"/>
    <hyperlink r:id="rId512" ref="EQ225"/>
    <hyperlink r:id="rId513" ref="A226"/>
    <hyperlink r:id="rId514" ref="EQ226"/>
    <hyperlink r:id="rId515" ref="A227"/>
    <hyperlink r:id="rId516" ref="EQ227"/>
    <hyperlink r:id="rId517" ref="A228"/>
    <hyperlink r:id="rId518" ref="EQ228"/>
    <hyperlink r:id="rId519" ref="A229"/>
    <hyperlink r:id="rId520" ref="EQ229"/>
    <hyperlink r:id="rId521" ref="A230"/>
    <hyperlink r:id="rId522" ref="EQ230"/>
    <hyperlink r:id="rId523" ref="A231"/>
    <hyperlink r:id="rId524" ref="EQ231"/>
    <hyperlink r:id="rId525" ref="A232"/>
    <hyperlink r:id="rId526" ref="AG232"/>
    <hyperlink r:id="rId527" ref="EQ232"/>
    <hyperlink r:id="rId528" ref="A233"/>
    <hyperlink r:id="rId529" ref="EQ233"/>
    <hyperlink r:id="rId530" ref="A234"/>
    <hyperlink r:id="rId531" ref="EQ234"/>
    <hyperlink r:id="rId532" ref="A235"/>
    <hyperlink r:id="rId533" ref="EQ235"/>
    <hyperlink r:id="rId534" ref="A236"/>
    <hyperlink r:id="rId535" ref="EQ236"/>
    <hyperlink r:id="rId536" ref="A237"/>
    <hyperlink r:id="rId537" ref="EQ237"/>
    <hyperlink r:id="rId538" ref="A238"/>
    <hyperlink r:id="rId539" ref="EQ238"/>
    <hyperlink r:id="rId540" ref="A239"/>
    <hyperlink r:id="rId541" ref="EQ239"/>
    <hyperlink r:id="rId542" ref="A240"/>
    <hyperlink r:id="rId543" ref="EQ240"/>
    <hyperlink r:id="rId544" ref="A241"/>
    <hyperlink r:id="rId545" ref="EQ241"/>
    <hyperlink r:id="rId546" ref="A242"/>
    <hyperlink r:id="rId547" ref="EQ242"/>
    <hyperlink r:id="rId548" ref="A243"/>
    <hyperlink r:id="rId549" ref="EQ243"/>
    <hyperlink r:id="rId550" ref="A244"/>
    <hyperlink r:id="rId551" ref="EQ244"/>
    <hyperlink r:id="rId552" ref="A245"/>
    <hyperlink r:id="rId553" ref="EQ245"/>
    <hyperlink r:id="rId554" ref="A246"/>
    <hyperlink r:id="rId555" ref="EQ246"/>
    <hyperlink r:id="rId556" ref="A247"/>
    <hyperlink r:id="rId557" ref="EQ247"/>
    <hyperlink r:id="rId558" ref="A248"/>
    <hyperlink r:id="rId559" ref="EQ248"/>
    <hyperlink r:id="rId560" ref="A249"/>
    <hyperlink r:id="rId561" ref="EQ249"/>
    <hyperlink r:id="rId562" ref="A250"/>
    <hyperlink r:id="rId563" ref="EQ250"/>
    <hyperlink r:id="rId564" ref="A251"/>
    <hyperlink r:id="rId565" ref="AG251"/>
    <hyperlink r:id="rId566" ref="EQ251"/>
    <hyperlink r:id="rId567" ref="A252"/>
    <hyperlink r:id="rId568" ref="EQ252"/>
    <hyperlink r:id="rId569" ref="A253"/>
    <hyperlink r:id="rId570" ref="EQ253"/>
    <hyperlink r:id="rId571" ref="A254"/>
    <hyperlink r:id="rId572" ref="AG254"/>
    <hyperlink r:id="rId573" ref="EQ254"/>
    <hyperlink r:id="rId574" ref="A255"/>
    <hyperlink r:id="rId575" ref="EQ255"/>
    <hyperlink r:id="rId576" ref="A256"/>
    <hyperlink r:id="rId577" ref="EQ256"/>
    <hyperlink r:id="rId578" ref="A257"/>
    <hyperlink r:id="rId579" ref="AG257"/>
    <hyperlink r:id="rId580" ref="EQ257"/>
    <hyperlink r:id="rId581" ref="A258"/>
    <hyperlink r:id="rId582" ref="EQ258"/>
    <hyperlink r:id="rId583" ref="A259"/>
    <hyperlink r:id="rId584" ref="EQ259"/>
    <hyperlink r:id="rId585" ref="A260"/>
    <hyperlink r:id="rId586" ref="EQ260"/>
    <hyperlink r:id="rId587" ref="A261"/>
    <hyperlink r:id="rId588" ref="AG261"/>
    <hyperlink r:id="rId589" ref="EQ261"/>
    <hyperlink r:id="rId590" ref="A262"/>
    <hyperlink r:id="rId591" ref="EQ262"/>
    <hyperlink r:id="rId592" ref="A263"/>
    <hyperlink r:id="rId593" ref="EQ263"/>
    <hyperlink r:id="rId594" ref="A264"/>
    <hyperlink r:id="rId595" ref="EQ264"/>
    <hyperlink r:id="rId596" ref="A265"/>
    <hyperlink r:id="rId597" ref="EQ265"/>
    <hyperlink r:id="rId598" ref="A266"/>
    <hyperlink r:id="rId599" ref="AG266"/>
    <hyperlink r:id="rId600" ref="EQ266"/>
    <hyperlink r:id="rId601" ref="A267"/>
    <hyperlink r:id="rId602" ref="AG267"/>
    <hyperlink r:id="rId603" ref="EQ267"/>
    <hyperlink r:id="rId604" ref="A268"/>
    <hyperlink r:id="rId605" ref="EQ268"/>
    <hyperlink r:id="rId606" ref="A269"/>
    <hyperlink r:id="rId607" ref="EQ269"/>
    <hyperlink r:id="rId608" ref="A270"/>
    <hyperlink r:id="rId609" ref="EQ270"/>
    <hyperlink r:id="rId610" ref="A271"/>
    <hyperlink r:id="rId611" ref="AG271"/>
    <hyperlink r:id="rId612" ref="EQ271"/>
    <hyperlink r:id="rId613" ref="A272"/>
    <hyperlink r:id="rId614" ref="AG272"/>
    <hyperlink r:id="rId615" ref="EQ272"/>
    <hyperlink r:id="rId616" ref="A273"/>
    <hyperlink r:id="rId617" ref="EQ273"/>
    <hyperlink r:id="rId618" ref="A274"/>
    <hyperlink r:id="rId619" ref="EQ274"/>
    <hyperlink r:id="rId620" ref="A275"/>
    <hyperlink r:id="rId621" ref="EQ275"/>
    <hyperlink r:id="rId622" ref="A276"/>
    <hyperlink r:id="rId623" ref="EQ276"/>
    <hyperlink r:id="rId624" ref="A277"/>
    <hyperlink r:id="rId625" ref="AG277"/>
    <hyperlink r:id="rId626" ref="EQ277"/>
    <hyperlink r:id="rId627" ref="A278"/>
    <hyperlink r:id="rId628" ref="AG278"/>
    <hyperlink r:id="rId629" ref="EQ278"/>
    <hyperlink r:id="rId630" ref="A279"/>
    <hyperlink r:id="rId631" ref="EQ279"/>
    <hyperlink r:id="rId632" ref="A280"/>
    <hyperlink r:id="rId633" ref="EQ280"/>
    <hyperlink r:id="rId634" ref="A281"/>
    <hyperlink r:id="rId635" ref="EQ281"/>
    <hyperlink r:id="rId636" ref="A282"/>
    <hyperlink r:id="rId637" ref="BR282"/>
    <hyperlink r:id="rId638" ref="EQ282"/>
    <hyperlink r:id="rId639" ref="A283"/>
    <hyperlink r:id="rId640" ref="EQ283"/>
    <hyperlink r:id="rId641" ref="A284"/>
    <hyperlink r:id="rId642" ref="AG284"/>
    <hyperlink r:id="rId643" ref="EQ284"/>
    <hyperlink r:id="rId644" ref="A285"/>
    <hyperlink r:id="rId645" ref="EQ285"/>
    <hyperlink r:id="rId646" ref="A286"/>
    <hyperlink r:id="rId647" ref="EQ286"/>
    <hyperlink r:id="rId648" ref="A287"/>
    <hyperlink r:id="rId649" ref="EQ287"/>
    <hyperlink r:id="rId650" ref="A288"/>
    <hyperlink r:id="rId651" ref="EQ288"/>
    <hyperlink r:id="rId652" ref="A289"/>
    <hyperlink r:id="rId653" ref="AG289"/>
    <hyperlink r:id="rId654" ref="EQ289"/>
    <hyperlink r:id="rId655" ref="A290"/>
    <hyperlink r:id="rId656" ref="AG290"/>
    <hyperlink r:id="rId657" ref="EQ290"/>
    <hyperlink r:id="rId658" ref="A291"/>
    <hyperlink r:id="rId659" ref="EQ291"/>
    <hyperlink r:id="rId660" ref="A292"/>
    <hyperlink r:id="rId661" ref="EQ292"/>
    <hyperlink r:id="rId662" ref="A293"/>
    <hyperlink r:id="rId663" ref="EQ293"/>
    <hyperlink r:id="rId664" ref="A294"/>
    <hyperlink r:id="rId665" ref="EQ294"/>
    <hyperlink r:id="rId666" ref="A295"/>
    <hyperlink r:id="rId667" ref="EQ295"/>
    <hyperlink r:id="rId668" ref="A296"/>
    <hyperlink r:id="rId669" ref="AG296"/>
    <hyperlink r:id="rId670" ref="EQ296"/>
    <hyperlink r:id="rId671" ref="A297"/>
    <hyperlink r:id="rId672" ref="AG297"/>
    <hyperlink r:id="rId673" ref="EQ297"/>
    <hyperlink r:id="rId674" ref="A298"/>
    <hyperlink r:id="rId675" ref="EQ298"/>
    <hyperlink r:id="rId676" ref="A299"/>
    <hyperlink r:id="rId677" ref="AG299"/>
    <hyperlink r:id="rId678" ref="EQ299"/>
    <hyperlink r:id="rId679" ref="A300"/>
    <hyperlink r:id="rId680" ref="EQ300"/>
    <hyperlink r:id="rId681" ref="A301"/>
    <hyperlink r:id="rId682" ref="EQ301"/>
    <hyperlink r:id="rId683" ref="A302"/>
    <hyperlink r:id="rId684" ref="AG302"/>
    <hyperlink r:id="rId685" ref="EQ302"/>
    <hyperlink r:id="rId686" ref="A303"/>
    <hyperlink r:id="rId687" ref="AG303"/>
    <hyperlink r:id="rId688" ref="EQ303"/>
    <hyperlink r:id="rId689" ref="A304"/>
    <hyperlink r:id="rId690" ref="AG304"/>
    <hyperlink r:id="rId691" ref="EQ304"/>
    <hyperlink r:id="rId692" ref="A305"/>
    <hyperlink r:id="rId693" ref="AG305"/>
    <hyperlink r:id="rId694" ref="EQ305"/>
    <hyperlink r:id="rId695" ref="A306"/>
    <hyperlink r:id="rId696" ref="AG306"/>
    <hyperlink r:id="rId697" ref="EQ306"/>
    <hyperlink r:id="rId698" ref="A307"/>
    <hyperlink r:id="rId699" ref="EQ307"/>
    <hyperlink r:id="rId700" ref="A308"/>
    <hyperlink r:id="rId701" ref="AG308"/>
    <hyperlink r:id="rId702" ref="EQ308"/>
    <hyperlink r:id="rId703" ref="A309"/>
    <hyperlink r:id="rId704" ref="EQ309"/>
    <hyperlink r:id="rId705" ref="A310"/>
    <hyperlink r:id="rId706" ref="EQ310"/>
    <hyperlink r:id="rId707" ref="A311"/>
    <hyperlink r:id="rId708" ref="EQ311"/>
    <hyperlink r:id="rId709" ref="A312"/>
    <hyperlink r:id="rId710" ref="EQ312"/>
    <hyperlink r:id="rId711" ref="A313"/>
    <hyperlink r:id="rId712" ref="EQ313"/>
    <hyperlink r:id="rId713" ref="A314"/>
    <hyperlink r:id="rId714" ref="EQ314"/>
    <hyperlink r:id="rId715" ref="A315"/>
    <hyperlink r:id="rId716" ref="EQ315"/>
    <hyperlink r:id="rId717" ref="A316"/>
    <hyperlink r:id="rId718" ref="EQ316"/>
    <hyperlink r:id="rId719" ref="A317"/>
    <hyperlink r:id="rId720" ref="AG317"/>
    <hyperlink r:id="rId721" ref="EQ317"/>
    <hyperlink r:id="rId722" ref="A318"/>
    <hyperlink r:id="rId723" ref="EQ318"/>
    <hyperlink r:id="rId724" ref="A319"/>
    <hyperlink r:id="rId725" ref="EQ319"/>
    <hyperlink r:id="rId726" ref="A320"/>
    <hyperlink r:id="rId727" ref="EQ320"/>
    <hyperlink r:id="rId728" ref="A321"/>
    <hyperlink r:id="rId729" ref="EQ321"/>
    <hyperlink r:id="rId730" ref="A322"/>
    <hyperlink r:id="rId731" ref="AG322"/>
    <hyperlink r:id="rId732" ref="EQ322"/>
    <hyperlink r:id="rId733" ref="A323"/>
    <hyperlink r:id="rId734" ref="EQ323"/>
    <hyperlink r:id="rId735" ref="A324"/>
    <hyperlink r:id="rId736" ref="EQ324"/>
    <hyperlink r:id="rId737" ref="A325"/>
    <hyperlink r:id="rId738" ref="EQ325"/>
    <hyperlink r:id="rId739" ref="A326"/>
    <hyperlink r:id="rId740" ref="EQ326"/>
    <hyperlink r:id="rId741" ref="A327"/>
    <hyperlink r:id="rId742" ref="EQ327"/>
    <hyperlink r:id="rId743" ref="A328"/>
    <hyperlink r:id="rId744" ref="EQ328"/>
    <hyperlink r:id="rId745" ref="A329"/>
    <hyperlink r:id="rId746" ref="EQ329"/>
    <hyperlink r:id="rId747" ref="A330"/>
    <hyperlink r:id="rId748" ref="EQ330"/>
    <hyperlink r:id="rId749" ref="A331"/>
    <hyperlink r:id="rId750" ref="EQ331"/>
    <hyperlink r:id="rId751" ref="A332"/>
    <hyperlink r:id="rId752" ref="EQ332"/>
    <hyperlink r:id="rId753" ref="A333"/>
    <hyperlink r:id="rId754" ref="EQ333"/>
    <hyperlink r:id="rId755" ref="A334"/>
    <hyperlink r:id="rId756" ref="EQ334"/>
    <hyperlink r:id="rId757" ref="A335"/>
    <hyperlink r:id="rId758" ref="EQ335"/>
    <hyperlink r:id="rId759" ref="A336"/>
    <hyperlink r:id="rId760" ref="EQ336"/>
    <hyperlink r:id="rId761" ref="A337"/>
    <hyperlink r:id="rId762" ref="EQ337"/>
    <hyperlink r:id="rId763" ref="A338"/>
    <hyperlink r:id="rId764" ref="AG338"/>
    <hyperlink r:id="rId765" ref="EQ338"/>
    <hyperlink r:id="rId766" ref="A339"/>
    <hyperlink r:id="rId767" ref="EQ339"/>
    <hyperlink r:id="rId768" ref="A340"/>
    <hyperlink r:id="rId769" ref="EQ340"/>
    <hyperlink r:id="rId770" ref="A341"/>
    <hyperlink r:id="rId771" ref="EQ341"/>
    <hyperlink r:id="rId772" ref="A342"/>
    <hyperlink r:id="rId773" ref="EQ342"/>
    <hyperlink r:id="rId774" ref="A343"/>
    <hyperlink r:id="rId775" ref="EQ343"/>
    <hyperlink r:id="rId776" ref="A344"/>
    <hyperlink r:id="rId777" ref="EQ344"/>
    <hyperlink r:id="rId778" ref="A345"/>
    <hyperlink r:id="rId779" ref="EQ345"/>
    <hyperlink r:id="rId780" ref="A346"/>
    <hyperlink r:id="rId781" ref="EQ346"/>
    <hyperlink r:id="rId782" ref="A347"/>
    <hyperlink r:id="rId783" ref="EQ347"/>
    <hyperlink r:id="rId784" ref="A348"/>
    <hyperlink r:id="rId785" ref="EQ348"/>
    <hyperlink r:id="rId786" ref="A349"/>
    <hyperlink r:id="rId787" ref="EQ349"/>
    <hyperlink r:id="rId788" ref="A350"/>
    <hyperlink r:id="rId789" ref="EQ350"/>
    <hyperlink r:id="rId790" ref="A351"/>
    <hyperlink r:id="rId791" ref="EQ351"/>
    <hyperlink r:id="rId792" ref="A352"/>
    <hyperlink r:id="rId793" ref="EQ352"/>
    <hyperlink r:id="rId794" ref="A353"/>
    <hyperlink r:id="rId795" ref="EQ353"/>
    <hyperlink r:id="rId796" ref="A354"/>
    <hyperlink r:id="rId797" ref="EQ354"/>
    <hyperlink r:id="rId798" ref="A355"/>
    <hyperlink r:id="rId799" ref="EQ355"/>
    <hyperlink r:id="rId800" ref="A356"/>
    <hyperlink r:id="rId801" ref="EQ356"/>
    <hyperlink r:id="rId802" ref="A357"/>
    <hyperlink r:id="rId803" ref="EQ357"/>
    <hyperlink r:id="rId804" ref="A358"/>
    <hyperlink r:id="rId805" ref="EQ358"/>
    <hyperlink r:id="rId806" ref="A359"/>
    <hyperlink r:id="rId807" ref="EQ359"/>
    <hyperlink r:id="rId808" ref="A360"/>
    <hyperlink r:id="rId809" ref="EQ360"/>
    <hyperlink r:id="rId810" ref="A361"/>
    <hyperlink r:id="rId811" ref="EQ361"/>
    <hyperlink r:id="rId812" ref="A362"/>
    <hyperlink r:id="rId813" ref="EQ362"/>
    <hyperlink r:id="rId814" ref="A363"/>
    <hyperlink r:id="rId815" ref="EQ363"/>
    <hyperlink r:id="rId816" ref="A364"/>
    <hyperlink r:id="rId817" ref="EQ364"/>
    <hyperlink r:id="rId818" ref="A365"/>
    <hyperlink r:id="rId819" ref="EQ365"/>
    <hyperlink r:id="rId820" ref="A366"/>
    <hyperlink r:id="rId821" ref="EQ366"/>
    <hyperlink r:id="rId822" ref="A367"/>
    <hyperlink r:id="rId823" ref="EQ367"/>
    <hyperlink r:id="rId824" ref="A368"/>
    <hyperlink r:id="rId825" ref="EQ368"/>
    <hyperlink r:id="rId826" ref="A369"/>
    <hyperlink r:id="rId827" ref="EQ369"/>
    <hyperlink r:id="rId828" ref="A370"/>
    <hyperlink r:id="rId829" ref="EQ370"/>
    <hyperlink r:id="rId830" ref="A371"/>
    <hyperlink r:id="rId831" ref="EQ371"/>
    <hyperlink r:id="rId832" ref="A372"/>
    <hyperlink r:id="rId833" ref="EQ372"/>
    <hyperlink r:id="rId834" ref="A373"/>
    <hyperlink r:id="rId835" ref="EQ373"/>
    <hyperlink r:id="rId836" ref="A374"/>
    <hyperlink r:id="rId837" ref="EQ374"/>
    <hyperlink r:id="rId838" ref="A375"/>
    <hyperlink r:id="rId839" ref="EQ375"/>
    <hyperlink r:id="rId840" ref="A376"/>
    <hyperlink r:id="rId841" ref="EQ376"/>
    <hyperlink r:id="rId842" ref="A377"/>
    <hyperlink r:id="rId843" ref="EQ377"/>
    <hyperlink r:id="rId844" ref="A378"/>
    <hyperlink r:id="rId845" ref="EQ378"/>
    <hyperlink r:id="rId846" ref="A379"/>
    <hyperlink r:id="rId847" ref="EQ379"/>
    <hyperlink r:id="rId848" ref="A380"/>
    <hyperlink r:id="rId849" ref="EQ380"/>
    <hyperlink r:id="rId850" ref="A381"/>
    <hyperlink r:id="rId851" ref="EQ381"/>
    <hyperlink r:id="rId852" ref="A382"/>
    <hyperlink r:id="rId853" ref="EQ382"/>
    <hyperlink r:id="rId854" ref="A383"/>
    <hyperlink r:id="rId855" ref="EQ383"/>
    <hyperlink r:id="rId856" ref="A384"/>
    <hyperlink r:id="rId857" ref="EQ384"/>
    <hyperlink r:id="rId858" ref="A385"/>
    <hyperlink r:id="rId859" ref="EQ385"/>
    <hyperlink r:id="rId860" ref="A386"/>
    <hyperlink r:id="rId861" ref="EQ386"/>
    <hyperlink r:id="rId862" ref="A387"/>
    <hyperlink r:id="rId863" ref="EQ387"/>
    <hyperlink r:id="rId864" ref="A388"/>
    <hyperlink r:id="rId865" ref="EQ388"/>
    <hyperlink r:id="rId866" ref="A389"/>
    <hyperlink r:id="rId867" ref="EQ389"/>
    <hyperlink r:id="rId868" ref="A390"/>
    <hyperlink r:id="rId869" ref="EQ390"/>
    <hyperlink r:id="rId870" ref="A391"/>
    <hyperlink r:id="rId871" ref="EQ391"/>
    <hyperlink r:id="rId872" ref="A392"/>
    <hyperlink r:id="rId873" ref="EQ392"/>
    <hyperlink r:id="rId874" ref="A393"/>
    <hyperlink r:id="rId875" ref="EQ393"/>
    <hyperlink r:id="rId876" ref="A394"/>
    <hyperlink r:id="rId877" ref="EQ394"/>
    <hyperlink r:id="rId878" ref="A395"/>
    <hyperlink r:id="rId879" ref="EQ395"/>
    <hyperlink r:id="rId880" ref="A396"/>
    <hyperlink r:id="rId881" ref="EQ396"/>
    <hyperlink r:id="rId882" ref="A397"/>
    <hyperlink r:id="rId883" ref="EQ397"/>
    <hyperlink r:id="rId884" ref="A398"/>
    <hyperlink r:id="rId885" ref="EQ398"/>
    <hyperlink r:id="rId886" ref="A399"/>
    <hyperlink r:id="rId887" ref="EQ399"/>
    <hyperlink r:id="rId888" ref="A400"/>
    <hyperlink r:id="rId889" ref="EQ400"/>
    <hyperlink r:id="rId890" ref="A401"/>
    <hyperlink r:id="rId891" ref="EQ401"/>
    <hyperlink r:id="rId892" ref="A402"/>
    <hyperlink r:id="rId893" ref="EQ402"/>
    <hyperlink r:id="rId894" ref="A403"/>
    <hyperlink r:id="rId895" ref="EQ403"/>
    <hyperlink r:id="rId896" ref="A404"/>
    <hyperlink r:id="rId897" ref="EQ404"/>
    <hyperlink r:id="rId898" ref="A405"/>
    <hyperlink r:id="rId899" ref="EQ405"/>
    <hyperlink r:id="rId900" ref="A406"/>
    <hyperlink r:id="rId901" ref="EQ406"/>
    <hyperlink r:id="rId902" ref="A407"/>
    <hyperlink r:id="rId903" ref="EQ407"/>
    <hyperlink r:id="rId904" ref="A408"/>
    <hyperlink r:id="rId905" ref="EQ408"/>
    <hyperlink r:id="rId906" ref="A409"/>
    <hyperlink r:id="rId907" ref="EQ409"/>
    <hyperlink r:id="rId908" ref="A410"/>
    <hyperlink r:id="rId909" ref="EQ410"/>
    <hyperlink r:id="rId910" ref="A411"/>
    <hyperlink r:id="rId911" ref="EQ411"/>
    <hyperlink r:id="rId912" ref="A412"/>
    <hyperlink r:id="rId913" ref="EQ412"/>
    <hyperlink r:id="rId914" ref="A413"/>
    <hyperlink r:id="rId915" ref="EQ413"/>
    <hyperlink r:id="rId916" ref="A414"/>
    <hyperlink r:id="rId917" ref="EQ414"/>
    <hyperlink r:id="rId918" ref="A415"/>
    <hyperlink r:id="rId919" ref="EQ415"/>
    <hyperlink r:id="rId920" ref="A416"/>
    <hyperlink r:id="rId921" ref="EQ416"/>
    <hyperlink r:id="rId922" ref="A417"/>
    <hyperlink r:id="rId923" ref="EQ417"/>
    <hyperlink r:id="rId924" ref="A418"/>
    <hyperlink r:id="rId925" ref="EQ418"/>
    <hyperlink r:id="rId926" ref="A419"/>
    <hyperlink r:id="rId927" ref="EQ419"/>
    <hyperlink r:id="rId928" ref="A420"/>
    <hyperlink r:id="rId929" ref="EQ420"/>
    <hyperlink r:id="rId930" ref="A421"/>
    <hyperlink r:id="rId931" ref="EQ421"/>
    <hyperlink r:id="rId932" ref="A422"/>
    <hyperlink r:id="rId933" ref="EQ422"/>
    <hyperlink r:id="rId934" ref="A423"/>
    <hyperlink r:id="rId935" ref="EQ423"/>
    <hyperlink r:id="rId936" ref="A424"/>
    <hyperlink r:id="rId937" ref="EQ424"/>
    <hyperlink r:id="rId938" ref="A425"/>
    <hyperlink r:id="rId939" ref="EQ425"/>
    <hyperlink r:id="rId940" ref="A426"/>
    <hyperlink r:id="rId941" ref="EQ426"/>
    <hyperlink r:id="rId942" ref="A427"/>
    <hyperlink r:id="rId943" ref="EQ427"/>
    <hyperlink r:id="rId944" ref="A428"/>
    <hyperlink r:id="rId945" ref="EQ428"/>
    <hyperlink r:id="rId946" ref="A429"/>
    <hyperlink r:id="rId947" ref="EQ429"/>
    <hyperlink r:id="rId948" ref="A430"/>
    <hyperlink r:id="rId949" ref="EQ430"/>
    <hyperlink r:id="rId950" ref="A431"/>
    <hyperlink r:id="rId951" ref="EQ431"/>
    <hyperlink r:id="rId952" ref="A432"/>
    <hyperlink r:id="rId953" ref="EQ432"/>
    <hyperlink r:id="rId954" ref="A433"/>
    <hyperlink r:id="rId955" ref="EQ433"/>
    <hyperlink r:id="rId956" ref="A434"/>
    <hyperlink r:id="rId957" ref="EQ434"/>
    <hyperlink r:id="rId958" ref="A435"/>
    <hyperlink r:id="rId959" ref="EQ435"/>
    <hyperlink r:id="rId960" ref="A436"/>
    <hyperlink r:id="rId961" ref="EQ436"/>
    <hyperlink r:id="rId962" ref="A437"/>
    <hyperlink r:id="rId963" ref="EQ437"/>
    <hyperlink r:id="rId964" ref="A438"/>
    <hyperlink r:id="rId965" ref="EQ438"/>
    <hyperlink r:id="rId966" ref="A439"/>
    <hyperlink r:id="rId967" ref="EQ439"/>
    <hyperlink r:id="rId968" ref="A440"/>
    <hyperlink r:id="rId969" ref="EQ440"/>
    <hyperlink r:id="rId970" ref="A441"/>
    <hyperlink r:id="rId971" ref="EQ441"/>
    <hyperlink r:id="rId972" ref="A442"/>
    <hyperlink r:id="rId973" ref="EQ442"/>
    <hyperlink r:id="rId974" ref="A443"/>
    <hyperlink r:id="rId975" ref="EQ443"/>
    <hyperlink r:id="rId976" ref="A444"/>
    <hyperlink r:id="rId977" ref="EQ444"/>
    <hyperlink r:id="rId978" ref="A445"/>
    <hyperlink r:id="rId979" ref="EQ445"/>
    <hyperlink r:id="rId980" ref="A446"/>
    <hyperlink r:id="rId981" ref="EQ446"/>
    <hyperlink r:id="rId982" ref="A447"/>
    <hyperlink r:id="rId983" ref="EQ447"/>
    <hyperlink r:id="rId984" ref="A448"/>
    <hyperlink r:id="rId985" ref="EQ448"/>
    <hyperlink r:id="rId986" ref="A449"/>
    <hyperlink r:id="rId987" ref="EQ449"/>
    <hyperlink r:id="rId988" ref="A450"/>
    <hyperlink r:id="rId989" ref="EQ450"/>
    <hyperlink r:id="rId990" ref="A451"/>
    <hyperlink r:id="rId991" ref="EQ451"/>
    <hyperlink r:id="rId992" ref="A452"/>
    <hyperlink r:id="rId993" ref="EQ452"/>
    <hyperlink r:id="rId994" ref="A453"/>
    <hyperlink r:id="rId995" ref="EQ453"/>
    <hyperlink r:id="rId996" ref="A454"/>
    <hyperlink r:id="rId997" ref="EQ454"/>
    <hyperlink r:id="rId998" ref="A455"/>
    <hyperlink r:id="rId999" ref="EQ455"/>
    <hyperlink r:id="rId1000" ref="A456"/>
    <hyperlink r:id="rId1001" ref="EQ456"/>
    <hyperlink r:id="rId1002" ref="A457"/>
    <hyperlink r:id="rId1003" ref="AG457"/>
    <hyperlink r:id="rId1004" ref="EQ457"/>
    <hyperlink r:id="rId1005" ref="A458"/>
    <hyperlink r:id="rId1006" ref="EQ458"/>
    <hyperlink r:id="rId1007" ref="A459"/>
    <hyperlink r:id="rId1008" ref="EQ459"/>
    <hyperlink r:id="rId1009" ref="A460"/>
    <hyperlink r:id="rId1010" ref="EQ460"/>
    <hyperlink r:id="rId1011" ref="A461"/>
    <hyperlink r:id="rId1012" ref="EQ461"/>
    <hyperlink r:id="rId1013" ref="A462"/>
    <hyperlink r:id="rId1014" ref="EQ462"/>
    <hyperlink r:id="rId1015" ref="A463"/>
    <hyperlink r:id="rId1016" ref="EQ463"/>
    <hyperlink r:id="rId1017" ref="A464"/>
    <hyperlink r:id="rId1018" ref="EQ464"/>
    <hyperlink r:id="rId1019" ref="A465"/>
    <hyperlink r:id="rId1020" ref="EQ465"/>
    <hyperlink r:id="rId1021" ref="A466"/>
    <hyperlink r:id="rId1022" ref="EQ466"/>
    <hyperlink r:id="rId1023" ref="A467"/>
    <hyperlink r:id="rId1024" ref="EQ467"/>
    <hyperlink r:id="rId1025" ref="A468"/>
    <hyperlink r:id="rId1026" ref="EQ468"/>
    <hyperlink r:id="rId1027" ref="A469"/>
    <hyperlink r:id="rId1028" ref="EQ469"/>
    <hyperlink r:id="rId1029" ref="A470"/>
    <hyperlink r:id="rId1030" ref="EQ470"/>
    <hyperlink r:id="rId1031" ref="A471"/>
    <hyperlink r:id="rId1032" ref="EQ471"/>
    <hyperlink r:id="rId1033" ref="A472"/>
    <hyperlink r:id="rId1034" ref="EQ472"/>
    <hyperlink r:id="rId1035" ref="A473"/>
    <hyperlink r:id="rId1036" ref="EQ473"/>
    <hyperlink r:id="rId1037" ref="A474"/>
    <hyperlink r:id="rId1038" ref="EQ474"/>
    <hyperlink r:id="rId1039" ref="A475"/>
    <hyperlink r:id="rId1040" ref="EQ475"/>
    <hyperlink r:id="rId1041" ref="A476"/>
    <hyperlink r:id="rId1042" ref="EQ476"/>
    <hyperlink r:id="rId1043" ref="A477"/>
    <hyperlink r:id="rId1044" ref="EQ477"/>
    <hyperlink r:id="rId1045" ref="A478"/>
    <hyperlink r:id="rId1046" ref="EQ478"/>
    <hyperlink r:id="rId1047" ref="A479"/>
    <hyperlink r:id="rId1048" ref="EQ479"/>
    <hyperlink r:id="rId1049" ref="A480"/>
    <hyperlink r:id="rId1050" ref="EQ480"/>
    <hyperlink r:id="rId1051" ref="A481"/>
    <hyperlink r:id="rId1052" ref="EQ481"/>
    <hyperlink r:id="rId1053" ref="A482"/>
    <hyperlink r:id="rId1054" ref="EQ482"/>
    <hyperlink r:id="rId1055" ref="A483"/>
    <hyperlink r:id="rId1056" ref="EQ483"/>
    <hyperlink r:id="rId1057" ref="A484"/>
    <hyperlink r:id="rId1058" ref="EQ484"/>
    <hyperlink r:id="rId1059" ref="A485"/>
    <hyperlink r:id="rId1060" ref="EQ485"/>
    <hyperlink r:id="rId1061" ref="A486"/>
    <hyperlink r:id="rId1062" ref="EQ486"/>
    <hyperlink r:id="rId1063" ref="A487"/>
    <hyperlink r:id="rId1064" ref="EQ487"/>
    <hyperlink r:id="rId1065" ref="A488"/>
    <hyperlink r:id="rId1066" ref="EQ488"/>
    <hyperlink r:id="rId1067" ref="A489"/>
    <hyperlink r:id="rId1068" ref="EQ489"/>
    <hyperlink r:id="rId1069" ref="A490"/>
    <hyperlink r:id="rId1070" ref="EQ490"/>
    <hyperlink r:id="rId1071" ref="A491"/>
    <hyperlink r:id="rId1072" ref="EQ491"/>
    <hyperlink r:id="rId1073" ref="A492"/>
    <hyperlink r:id="rId1074" ref="EQ492"/>
    <hyperlink r:id="rId1075" ref="A493"/>
    <hyperlink r:id="rId1076" ref="EQ493"/>
    <hyperlink r:id="rId1077" ref="A494"/>
    <hyperlink r:id="rId1078" ref="EQ494"/>
    <hyperlink r:id="rId1079" ref="A495"/>
    <hyperlink r:id="rId1080" ref="EQ495"/>
    <hyperlink r:id="rId1081" ref="A496"/>
    <hyperlink r:id="rId1082" ref="EQ496"/>
    <hyperlink r:id="rId1083" ref="A497"/>
    <hyperlink r:id="rId1084" ref="EQ497"/>
    <hyperlink r:id="rId1085" ref="A498"/>
    <hyperlink r:id="rId1086" ref="EQ498"/>
    <hyperlink r:id="rId1087" ref="A499"/>
    <hyperlink r:id="rId1088" ref="EQ499"/>
    <hyperlink r:id="rId1089" ref="A500"/>
    <hyperlink r:id="rId1090" ref="EQ500"/>
    <hyperlink r:id="rId1091" ref="A501"/>
    <hyperlink r:id="rId1092" ref="EQ501"/>
    <hyperlink r:id="rId1093" ref="A502"/>
    <hyperlink r:id="rId1094" ref="EQ502"/>
    <hyperlink r:id="rId1095" ref="A503"/>
    <hyperlink r:id="rId1096" ref="EQ503"/>
    <hyperlink r:id="rId1097" ref="A504"/>
    <hyperlink r:id="rId1098" ref="EQ504"/>
    <hyperlink r:id="rId1099" ref="A505"/>
    <hyperlink r:id="rId1100" ref="EQ505"/>
    <hyperlink r:id="rId1101" ref="A506"/>
    <hyperlink r:id="rId1102" ref="EQ506"/>
    <hyperlink r:id="rId1103" ref="A507"/>
    <hyperlink r:id="rId1104" ref="EQ507"/>
    <hyperlink r:id="rId1105" ref="A508"/>
    <hyperlink r:id="rId1106" ref="EQ508"/>
    <hyperlink r:id="rId1107" ref="A509"/>
    <hyperlink r:id="rId1108" ref="EQ509"/>
    <hyperlink r:id="rId1109" ref="A510"/>
    <hyperlink r:id="rId1110" ref="EQ510"/>
    <hyperlink r:id="rId1111" ref="A511"/>
    <hyperlink r:id="rId1112" ref="EQ511"/>
    <hyperlink r:id="rId1113" ref="A512"/>
    <hyperlink r:id="rId1114" ref="EQ512"/>
    <hyperlink r:id="rId1115" ref="A513"/>
    <hyperlink r:id="rId1116" ref="EQ513"/>
    <hyperlink r:id="rId1117" ref="A514"/>
    <hyperlink r:id="rId1118" ref="EQ514"/>
    <hyperlink r:id="rId1119" ref="A515"/>
    <hyperlink r:id="rId1120" ref="EQ515"/>
    <hyperlink r:id="rId1121" ref="A516"/>
    <hyperlink r:id="rId1122" ref="EQ516"/>
    <hyperlink r:id="rId1123" ref="A517"/>
    <hyperlink r:id="rId1124" ref="EQ517"/>
    <hyperlink r:id="rId1125" ref="A518"/>
    <hyperlink r:id="rId1126" ref="EQ518"/>
    <hyperlink r:id="rId1127" ref="A519"/>
    <hyperlink r:id="rId1128" ref="EQ519"/>
    <hyperlink r:id="rId1129" ref="A520"/>
    <hyperlink r:id="rId1130" ref="EQ520"/>
    <hyperlink r:id="rId1131" ref="A521"/>
    <hyperlink r:id="rId1132" ref="EQ521"/>
    <hyperlink r:id="rId1133" ref="A522"/>
    <hyperlink r:id="rId1134" ref="EQ522"/>
    <hyperlink r:id="rId1135" ref="A523"/>
    <hyperlink r:id="rId1136" ref="EQ523"/>
    <hyperlink r:id="rId1137" ref="A524"/>
    <hyperlink r:id="rId1138" ref="EQ524"/>
    <hyperlink r:id="rId1139" ref="A525"/>
    <hyperlink r:id="rId1140" ref="EQ525"/>
    <hyperlink r:id="rId1141" ref="A526"/>
    <hyperlink r:id="rId1142" ref="EQ526"/>
    <hyperlink r:id="rId1143" ref="A527"/>
    <hyperlink r:id="rId1144" ref="EQ527"/>
    <hyperlink r:id="rId1145" ref="A528"/>
    <hyperlink r:id="rId1146" ref="EQ528"/>
    <hyperlink r:id="rId1147" ref="A529"/>
    <hyperlink r:id="rId1148" ref="EQ529"/>
    <hyperlink r:id="rId1149" ref="A530"/>
    <hyperlink r:id="rId1150" ref="EQ530"/>
    <hyperlink r:id="rId1151" ref="A531"/>
    <hyperlink r:id="rId1152" ref="EQ531"/>
    <hyperlink r:id="rId1153" ref="A532"/>
    <hyperlink r:id="rId1154" ref="EQ532"/>
    <hyperlink r:id="rId1155" ref="A533"/>
    <hyperlink r:id="rId1156" ref="EQ533"/>
    <hyperlink r:id="rId1157" ref="A534"/>
    <hyperlink r:id="rId1158" ref="EQ534"/>
    <hyperlink r:id="rId1159" ref="A535"/>
    <hyperlink r:id="rId1160" ref="EQ535"/>
    <hyperlink r:id="rId1161" ref="A536"/>
    <hyperlink r:id="rId1162" ref="EQ536"/>
    <hyperlink r:id="rId1163" ref="A537"/>
    <hyperlink r:id="rId1164" ref="EQ537"/>
    <hyperlink r:id="rId1165" ref="A538"/>
    <hyperlink r:id="rId1166" ref="EQ538"/>
    <hyperlink r:id="rId1167" ref="A539"/>
    <hyperlink r:id="rId1168" ref="EQ539"/>
    <hyperlink r:id="rId1169" ref="A540"/>
    <hyperlink r:id="rId1170" ref="EQ540"/>
    <hyperlink r:id="rId1171" ref="A541"/>
    <hyperlink r:id="rId1172" ref="EQ541"/>
    <hyperlink r:id="rId1173" ref="A542"/>
    <hyperlink r:id="rId1174" ref="AG542"/>
    <hyperlink r:id="rId1175" ref="EQ542"/>
    <hyperlink r:id="rId1176" ref="A543"/>
    <hyperlink r:id="rId1177" ref="EQ543"/>
    <hyperlink r:id="rId1178" ref="A544"/>
    <hyperlink r:id="rId1179" ref="EQ544"/>
    <hyperlink r:id="rId1180" ref="A545"/>
    <hyperlink r:id="rId1181" ref="AG545"/>
    <hyperlink r:id="rId1182" ref="EQ545"/>
    <hyperlink r:id="rId1183" ref="A546"/>
    <hyperlink r:id="rId1184" ref="EQ546"/>
    <hyperlink r:id="rId1185" ref="A547"/>
    <hyperlink r:id="rId1186" ref="EQ547"/>
    <hyperlink r:id="rId1187" ref="A548"/>
    <hyperlink r:id="rId1188" ref="EQ548"/>
    <hyperlink r:id="rId1189" ref="A549"/>
    <hyperlink r:id="rId1190" ref="EQ549"/>
    <hyperlink r:id="rId1191" ref="A550"/>
    <hyperlink r:id="rId1192" ref="EQ550"/>
    <hyperlink r:id="rId1193" ref="A551"/>
    <hyperlink r:id="rId1194" ref="EQ551"/>
    <hyperlink r:id="rId1195" ref="A552"/>
    <hyperlink r:id="rId1196" ref="EQ552"/>
    <hyperlink r:id="rId1197" ref="A553"/>
    <hyperlink r:id="rId1198" ref="EQ553"/>
    <hyperlink r:id="rId1199" ref="A554"/>
    <hyperlink r:id="rId1200" ref="EQ554"/>
    <hyperlink r:id="rId1201" ref="A555"/>
    <hyperlink r:id="rId1202" ref="EQ555"/>
    <hyperlink r:id="rId1203" ref="A556"/>
    <hyperlink r:id="rId1204" ref="EQ556"/>
    <hyperlink r:id="rId1205" ref="A557"/>
    <hyperlink r:id="rId1206" ref="EQ557"/>
    <hyperlink r:id="rId1207" ref="A558"/>
    <hyperlink r:id="rId1208" ref="EQ558"/>
    <hyperlink r:id="rId1209" ref="A559"/>
    <hyperlink r:id="rId1210" ref="EQ559"/>
    <hyperlink r:id="rId1211" ref="A560"/>
    <hyperlink r:id="rId1212" ref="EQ560"/>
    <hyperlink r:id="rId1213" ref="A561"/>
    <hyperlink r:id="rId1214" ref="EQ561"/>
    <hyperlink r:id="rId1215" ref="A562"/>
    <hyperlink r:id="rId1216" ref="EQ562"/>
    <hyperlink r:id="rId1217" ref="A563"/>
    <hyperlink r:id="rId1218" ref="EQ563"/>
    <hyperlink r:id="rId1219" ref="A564"/>
    <hyperlink r:id="rId1220" ref="EQ564"/>
    <hyperlink r:id="rId1221" ref="A565"/>
    <hyperlink r:id="rId1222" ref="EQ565"/>
    <hyperlink r:id="rId1223" ref="A566"/>
    <hyperlink r:id="rId1224" ref="EQ566"/>
    <hyperlink r:id="rId1225" ref="A567"/>
    <hyperlink r:id="rId1226" ref="EQ567"/>
    <hyperlink r:id="rId1227" ref="A568"/>
    <hyperlink r:id="rId1228" ref="AG568"/>
    <hyperlink r:id="rId1229" ref="EQ568"/>
    <hyperlink r:id="rId1230" ref="A569"/>
    <hyperlink r:id="rId1231" ref="AG569"/>
    <hyperlink r:id="rId1232" ref="AH569"/>
    <hyperlink r:id="rId1233" ref="EQ569"/>
    <hyperlink r:id="rId1234" ref="A570"/>
    <hyperlink r:id="rId1235" ref="AG570"/>
    <hyperlink r:id="rId1236" ref="EQ570"/>
    <hyperlink r:id="rId1237" ref="A571"/>
    <hyperlink r:id="rId1238" ref="AG571"/>
    <hyperlink r:id="rId1239" ref="EQ571"/>
    <hyperlink r:id="rId1240" ref="A572"/>
    <hyperlink r:id="rId1241" ref="AG572"/>
    <hyperlink r:id="rId1242" ref="EQ572"/>
    <hyperlink r:id="rId1243" ref="A573"/>
    <hyperlink r:id="rId1244" ref="AG573"/>
    <hyperlink r:id="rId1245" ref="EQ573"/>
    <hyperlink r:id="rId1246" ref="A574"/>
    <hyperlink r:id="rId1247" ref="AG574"/>
    <hyperlink r:id="rId1248" ref="EQ574"/>
    <hyperlink r:id="rId1249" ref="A575"/>
    <hyperlink r:id="rId1250" ref="AG575"/>
    <hyperlink r:id="rId1251" ref="EQ575"/>
    <hyperlink r:id="rId1252" ref="A576"/>
    <hyperlink r:id="rId1253" ref="AG576"/>
    <hyperlink r:id="rId1254" ref="EQ576"/>
    <hyperlink r:id="rId1255" ref="A577"/>
    <hyperlink r:id="rId1256" ref="AG577"/>
    <hyperlink r:id="rId1257" ref="EQ577"/>
    <hyperlink r:id="rId1258" ref="A578"/>
    <hyperlink r:id="rId1259" ref="AG578"/>
    <hyperlink r:id="rId1260" ref="EQ578"/>
    <hyperlink r:id="rId1261" ref="A579"/>
    <hyperlink r:id="rId1262" ref="AG579"/>
    <hyperlink r:id="rId1263" ref="EQ579"/>
    <hyperlink r:id="rId1264" ref="A580"/>
    <hyperlink r:id="rId1265" ref="AG580"/>
    <hyperlink r:id="rId1266" ref="EQ580"/>
    <hyperlink r:id="rId1267" ref="A581"/>
    <hyperlink r:id="rId1268" ref="AG581"/>
    <hyperlink r:id="rId1269" ref="EQ581"/>
    <hyperlink r:id="rId1270" ref="A582"/>
    <hyperlink r:id="rId1271" ref="AG582"/>
    <hyperlink r:id="rId1272" ref="EQ582"/>
    <hyperlink r:id="rId1273" ref="EQ583"/>
    <hyperlink r:id="rId1274" ref="A584"/>
    <hyperlink r:id="rId1275" ref="AG584"/>
    <hyperlink r:id="rId1276" ref="EQ584"/>
    <hyperlink r:id="rId1277" ref="A585"/>
    <hyperlink r:id="rId1278" ref="AG585"/>
    <hyperlink r:id="rId1279" ref="EQ585"/>
    <hyperlink r:id="rId1280" ref="A586"/>
    <hyperlink r:id="rId1281" ref="AG586"/>
    <hyperlink r:id="rId1282" ref="EQ586"/>
    <hyperlink r:id="rId1283" ref="A587"/>
    <hyperlink r:id="rId1284" ref="AG587"/>
    <hyperlink r:id="rId1285" ref="EQ587"/>
    <hyperlink r:id="rId1286" ref="A588"/>
    <hyperlink r:id="rId1287" ref="AG588"/>
    <hyperlink r:id="rId1288" ref="EQ588"/>
    <hyperlink r:id="rId1289" ref="A589"/>
    <hyperlink r:id="rId1290" ref="AG589"/>
    <hyperlink r:id="rId1291" ref="EQ589"/>
    <hyperlink r:id="rId1292" ref="A590"/>
    <hyperlink r:id="rId1293" ref="AG590"/>
    <hyperlink r:id="rId1294" ref="EQ590"/>
    <hyperlink r:id="rId1295" ref="A591"/>
    <hyperlink r:id="rId1296" ref="AG591"/>
    <hyperlink r:id="rId1297" ref="EQ591"/>
    <hyperlink r:id="rId1298" ref="A592"/>
    <hyperlink r:id="rId1299" ref="AG592"/>
    <hyperlink r:id="rId1300" ref="EQ592"/>
    <hyperlink r:id="rId1301" ref="A593"/>
    <hyperlink r:id="rId1302" ref="AG593"/>
    <hyperlink r:id="rId1303" ref="EQ593"/>
    <hyperlink r:id="rId1304" ref="A594"/>
    <hyperlink r:id="rId1305" ref="AG594"/>
    <hyperlink r:id="rId1306" ref="EQ594"/>
    <hyperlink r:id="rId1307" ref="A595"/>
    <hyperlink r:id="rId1308" ref="AG595"/>
    <hyperlink r:id="rId1309" ref="EQ595"/>
    <hyperlink r:id="rId1310" ref="A596"/>
    <hyperlink r:id="rId1311" ref="AG596"/>
    <hyperlink r:id="rId1312" ref="EQ596"/>
    <hyperlink r:id="rId1313" ref="A597"/>
    <hyperlink r:id="rId1314" ref="AG597"/>
    <hyperlink r:id="rId1315" ref="EQ597"/>
    <hyperlink r:id="rId1316" ref="A598"/>
    <hyperlink r:id="rId1317" ref="AG598"/>
    <hyperlink r:id="rId1318" ref="EQ598"/>
    <hyperlink r:id="rId1319" ref="A599"/>
    <hyperlink r:id="rId1320" ref="AG599"/>
    <hyperlink r:id="rId1321" ref="EQ599"/>
    <hyperlink r:id="rId1322" ref="A600"/>
    <hyperlink r:id="rId1323" ref="AG600"/>
    <hyperlink r:id="rId1324" ref="EQ600"/>
    <hyperlink r:id="rId1325" ref="A601"/>
    <hyperlink r:id="rId1326" ref="AG601"/>
    <hyperlink r:id="rId1327" ref="EQ601"/>
    <hyperlink r:id="rId1328" ref="A602"/>
    <hyperlink r:id="rId1329" ref="AG602"/>
    <hyperlink r:id="rId1330" ref="EQ602"/>
    <hyperlink r:id="rId1331" ref="A603"/>
    <hyperlink r:id="rId1332" ref="AG603"/>
    <hyperlink r:id="rId1333" ref="EQ603"/>
    <hyperlink r:id="rId1334" ref="A604"/>
    <hyperlink r:id="rId1335" ref="AG604"/>
    <hyperlink r:id="rId1336" ref="EQ604"/>
    <hyperlink r:id="rId1337" ref="A605"/>
    <hyperlink r:id="rId1338" ref="AG605"/>
    <hyperlink r:id="rId1339" ref="EQ605"/>
    <hyperlink r:id="rId1340" ref="A606"/>
    <hyperlink r:id="rId1341" ref="AG606"/>
    <hyperlink r:id="rId1342" ref="EQ606"/>
    <hyperlink r:id="rId1343" ref="A607"/>
    <hyperlink r:id="rId1344" ref="AG607"/>
    <hyperlink r:id="rId1345" ref="EQ607"/>
    <hyperlink r:id="rId1346" ref="A608"/>
    <hyperlink r:id="rId1347" ref="AG608"/>
    <hyperlink r:id="rId1348" ref="EQ608"/>
    <hyperlink r:id="rId1349" ref="A609"/>
    <hyperlink r:id="rId1350" ref="AG609"/>
    <hyperlink r:id="rId1351" ref="EQ609"/>
    <hyperlink r:id="rId1352" ref="A610"/>
    <hyperlink r:id="rId1353" ref="AG610"/>
    <hyperlink r:id="rId1354" ref="EQ610"/>
    <hyperlink r:id="rId1355" ref="A611"/>
    <hyperlink r:id="rId1356" ref="AG611"/>
    <hyperlink r:id="rId1357" ref="EQ611"/>
    <hyperlink r:id="rId1358" ref="A612"/>
    <hyperlink r:id="rId1359" ref="AG612"/>
    <hyperlink r:id="rId1360" ref="EQ612"/>
    <hyperlink r:id="rId1361" ref="A613"/>
    <hyperlink r:id="rId1362" ref="AG613"/>
    <hyperlink r:id="rId1363" ref="EQ613"/>
    <hyperlink r:id="rId1364" ref="A614"/>
    <hyperlink r:id="rId1365" ref="AG614"/>
    <hyperlink r:id="rId1366" ref="EQ614"/>
    <hyperlink r:id="rId1367" ref="A615"/>
    <hyperlink r:id="rId1368" ref="AG615"/>
    <hyperlink r:id="rId1369" ref="EQ615"/>
    <hyperlink r:id="rId1370" ref="A616"/>
    <hyperlink r:id="rId1371" ref="AG616"/>
    <hyperlink r:id="rId1372" ref="EQ616"/>
    <hyperlink r:id="rId1373" ref="A617"/>
    <hyperlink r:id="rId1374" ref="AG617"/>
    <hyperlink r:id="rId1375" ref="EQ617"/>
    <hyperlink r:id="rId1376" ref="A618"/>
    <hyperlink r:id="rId1377" ref="AG618"/>
    <hyperlink r:id="rId1378" ref="EQ618"/>
    <hyperlink r:id="rId1379" ref="A619"/>
    <hyperlink r:id="rId1380" ref="AG619"/>
    <hyperlink r:id="rId1381" ref="EQ619"/>
    <hyperlink r:id="rId1382" ref="A620"/>
    <hyperlink r:id="rId1383" ref="AG620"/>
    <hyperlink r:id="rId1384" ref="EQ620"/>
    <hyperlink r:id="rId1385" ref="A621"/>
    <hyperlink r:id="rId1386" ref="AG621"/>
    <hyperlink r:id="rId1387" ref="EQ621"/>
    <hyperlink r:id="rId1388" ref="A622"/>
    <hyperlink r:id="rId1389" ref="AG622"/>
    <hyperlink r:id="rId1390" ref="EQ622"/>
    <hyperlink r:id="rId1391" ref="A623"/>
    <hyperlink r:id="rId1392" ref="AG623"/>
    <hyperlink r:id="rId1393" ref="EQ623"/>
    <hyperlink r:id="rId1394" ref="A624"/>
    <hyperlink r:id="rId1395" ref="AG624"/>
    <hyperlink r:id="rId1396" ref="EQ624"/>
    <hyperlink r:id="rId1397" ref="A625"/>
    <hyperlink r:id="rId1398" ref="AG625"/>
    <hyperlink r:id="rId1399" ref="EQ625"/>
    <hyperlink r:id="rId1400" ref="A626"/>
    <hyperlink r:id="rId1401" ref="AG626"/>
    <hyperlink r:id="rId1402" ref="EQ626"/>
    <hyperlink r:id="rId1403" ref="A627"/>
    <hyperlink r:id="rId1404" ref="AG627"/>
    <hyperlink r:id="rId1405" ref="EQ627"/>
    <hyperlink r:id="rId1406" ref="A628"/>
    <hyperlink r:id="rId1407" ref="AG628"/>
    <hyperlink r:id="rId1408" ref="EQ628"/>
    <hyperlink r:id="rId1409" ref="A629"/>
    <hyperlink r:id="rId1410" ref="AG629"/>
    <hyperlink r:id="rId1411" ref="EQ629"/>
    <hyperlink r:id="rId1412" ref="A630"/>
    <hyperlink r:id="rId1413" ref="AG630"/>
    <hyperlink r:id="rId1414" ref="EQ630"/>
    <hyperlink r:id="rId1415" ref="A631"/>
    <hyperlink r:id="rId1416" ref="AG631"/>
    <hyperlink r:id="rId1417" ref="EQ631"/>
    <hyperlink r:id="rId1418" ref="A632"/>
    <hyperlink r:id="rId1419" ref="AG632"/>
    <hyperlink r:id="rId1420" ref="EQ632"/>
    <hyperlink r:id="rId1421" ref="A633"/>
    <hyperlink r:id="rId1422" ref="AG633"/>
    <hyperlink r:id="rId1423" ref="EQ633"/>
    <hyperlink r:id="rId1424" ref="A634"/>
    <hyperlink r:id="rId1425" ref="AG634"/>
    <hyperlink r:id="rId1426" ref="EQ634"/>
    <hyperlink r:id="rId1427" ref="A635"/>
    <hyperlink r:id="rId1428" ref="AG635"/>
    <hyperlink r:id="rId1429" ref="EQ635"/>
    <hyperlink r:id="rId1430" ref="A636"/>
    <hyperlink r:id="rId1431" ref="AG636"/>
    <hyperlink r:id="rId1432" ref="EQ636"/>
    <hyperlink r:id="rId1433" ref="A637"/>
    <hyperlink r:id="rId1434" ref="AG637"/>
    <hyperlink r:id="rId1435" ref="EQ637"/>
    <hyperlink r:id="rId1436" ref="A638"/>
    <hyperlink r:id="rId1437" ref="AG638"/>
    <hyperlink r:id="rId1438" ref="EQ638"/>
    <hyperlink r:id="rId1439" ref="A639"/>
    <hyperlink r:id="rId1440" ref="AG639"/>
    <hyperlink r:id="rId1441" ref="EQ639"/>
    <hyperlink r:id="rId1442" ref="A640"/>
    <hyperlink r:id="rId1443" ref="AG640"/>
    <hyperlink r:id="rId1444" ref="EQ640"/>
    <hyperlink r:id="rId1445" ref="A641"/>
    <hyperlink r:id="rId1446" ref="AG641"/>
    <hyperlink r:id="rId1447" ref="EQ641"/>
    <hyperlink r:id="rId1448" ref="A642"/>
    <hyperlink r:id="rId1449" ref="AG642"/>
    <hyperlink r:id="rId1450" ref="EQ642"/>
    <hyperlink r:id="rId1451" ref="A643"/>
    <hyperlink r:id="rId1452" ref="AG643"/>
    <hyperlink r:id="rId1453" ref="EQ643"/>
    <hyperlink r:id="rId1454" ref="A644"/>
    <hyperlink r:id="rId1455" ref="AG644"/>
    <hyperlink r:id="rId1456" ref="EQ644"/>
    <hyperlink r:id="rId1457" ref="A645"/>
    <hyperlink r:id="rId1458" ref="AG645"/>
    <hyperlink r:id="rId1459" ref="EQ645"/>
    <hyperlink r:id="rId1460" ref="A646"/>
    <hyperlink r:id="rId1461" ref="AG646"/>
    <hyperlink r:id="rId1462" ref="EQ646"/>
    <hyperlink r:id="rId1463" ref="A647"/>
    <hyperlink r:id="rId1464" ref="AG647"/>
    <hyperlink r:id="rId1465" ref="EQ647"/>
    <hyperlink r:id="rId1466" ref="A648"/>
    <hyperlink r:id="rId1467" ref="AG648"/>
    <hyperlink r:id="rId1468" ref="EQ648"/>
    <hyperlink r:id="rId1469" ref="A649"/>
    <hyperlink r:id="rId1470" ref="AG649"/>
    <hyperlink r:id="rId1471" ref="EQ649"/>
    <hyperlink r:id="rId1472" ref="A650"/>
    <hyperlink r:id="rId1473" ref="AG650"/>
    <hyperlink r:id="rId1474" ref="EQ650"/>
    <hyperlink r:id="rId1475" ref="A651"/>
    <hyperlink r:id="rId1476" ref="AG651"/>
    <hyperlink r:id="rId1477" ref="EQ651"/>
    <hyperlink r:id="rId1478" ref="A652"/>
    <hyperlink r:id="rId1479" ref="AG652"/>
    <hyperlink r:id="rId1480" ref="EQ652"/>
    <hyperlink r:id="rId1481" ref="A653"/>
    <hyperlink r:id="rId1482" ref="AG653"/>
    <hyperlink r:id="rId1483" ref="EQ653"/>
    <hyperlink r:id="rId1484" ref="A654"/>
    <hyperlink r:id="rId1485" ref="AG654"/>
    <hyperlink r:id="rId1486" ref="EQ654"/>
    <hyperlink r:id="rId1487" ref="A655"/>
    <hyperlink r:id="rId1488" ref="AG655"/>
    <hyperlink r:id="rId1489" ref="EQ655"/>
    <hyperlink r:id="rId1490" ref="A656"/>
    <hyperlink r:id="rId1491" ref="AG656"/>
    <hyperlink r:id="rId1492" ref="EQ656"/>
    <hyperlink r:id="rId1493" ref="A657"/>
    <hyperlink r:id="rId1494" ref="AG657"/>
    <hyperlink r:id="rId1495" ref="EQ657"/>
    <hyperlink r:id="rId1496" ref="A658"/>
    <hyperlink r:id="rId1497" ref="AG658"/>
    <hyperlink r:id="rId1498" ref="EQ658"/>
    <hyperlink r:id="rId1499" ref="A659"/>
    <hyperlink r:id="rId1500" ref="AG659"/>
    <hyperlink r:id="rId1501" ref="EQ659"/>
    <hyperlink r:id="rId1502" ref="A660"/>
    <hyperlink r:id="rId1503" ref="AG660"/>
    <hyperlink r:id="rId1504" ref="EQ660"/>
    <hyperlink r:id="rId1505" ref="A661"/>
    <hyperlink r:id="rId1506" ref="AG661"/>
    <hyperlink r:id="rId1507" ref="EQ661"/>
    <hyperlink r:id="rId1508" ref="A662"/>
    <hyperlink r:id="rId1509" ref="AG662"/>
    <hyperlink r:id="rId1510" ref="EQ662"/>
    <hyperlink r:id="rId1511" ref="A663"/>
    <hyperlink r:id="rId1512" ref="AG663"/>
    <hyperlink r:id="rId1513" ref="EQ663"/>
    <hyperlink r:id="rId1514" ref="A664"/>
    <hyperlink r:id="rId1515" ref="AG664"/>
    <hyperlink r:id="rId1516" ref="EQ664"/>
    <hyperlink r:id="rId1517" ref="A665"/>
    <hyperlink r:id="rId1518" ref="AG665"/>
    <hyperlink r:id="rId1519" ref="EQ665"/>
    <hyperlink r:id="rId1520" ref="A666"/>
    <hyperlink r:id="rId1521" ref="AG666"/>
    <hyperlink r:id="rId1522" ref="EQ666"/>
    <hyperlink r:id="rId1523" ref="A667"/>
    <hyperlink r:id="rId1524" ref="AG667"/>
    <hyperlink r:id="rId1525" ref="EQ667"/>
    <hyperlink r:id="rId1526" ref="A668"/>
    <hyperlink r:id="rId1527" ref="AG668"/>
    <hyperlink r:id="rId1528" ref="EQ668"/>
    <hyperlink r:id="rId1529" ref="A669"/>
    <hyperlink r:id="rId1530" ref="AG669"/>
    <hyperlink r:id="rId1531" ref="EQ669"/>
    <hyperlink r:id="rId1532" ref="A670"/>
    <hyperlink r:id="rId1533" ref="AG670"/>
    <hyperlink r:id="rId1534" ref="EQ670"/>
    <hyperlink r:id="rId1535" ref="A671"/>
    <hyperlink r:id="rId1536" ref="AG671"/>
    <hyperlink r:id="rId1537" ref="EQ671"/>
    <hyperlink r:id="rId1538" ref="A672"/>
    <hyperlink r:id="rId1539" ref="AG672"/>
    <hyperlink r:id="rId1540" ref="EQ672"/>
    <hyperlink r:id="rId1541" ref="A673"/>
    <hyperlink r:id="rId1542" ref="AG673"/>
    <hyperlink r:id="rId1543" ref="EQ673"/>
    <hyperlink r:id="rId1544" ref="A674"/>
    <hyperlink r:id="rId1545" ref="EQ674"/>
    <hyperlink r:id="rId1546" ref="A675"/>
    <hyperlink r:id="rId1547" ref="EQ675"/>
    <hyperlink r:id="rId1548" ref="A676"/>
    <hyperlink r:id="rId1549" ref="BR676"/>
    <hyperlink r:id="rId1550" ref="EQ676"/>
    <hyperlink r:id="rId1551" ref="A677"/>
    <hyperlink r:id="rId1552" ref="EQ677"/>
    <hyperlink r:id="rId1553" ref="A678"/>
    <hyperlink r:id="rId1554" ref="AG678"/>
    <hyperlink r:id="rId1555" ref="EQ678"/>
    <hyperlink r:id="rId1556" ref="A679"/>
    <hyperlink r:id="rId1557" ref="EQ679"/>
    <hyperlink r:id="rId1558" ref="A680"/>
    <hyperlink r:id="rId1559" ref="AG680"/>
    <hyperlink r:id="rId1560" ref="EQ680"/>
    <hyperlink r:id="rId1561" ref="A681"/>
    <hyperlink r:id="rId1562" ref="AG681"/>
    <hyperlink r:id="rId1563" ref="EQ681"/>
    <hyperlink r:id="rId1564" ref="A682"/>
    <hyperlink r:id="rId1565" ref="EQ682"/>
    <hyperlink r:id="rId1566" ref="A683"/>
    <hyperlink r:id="rId1567" ref="EQ683"/>
    <hyperlink r:id="rId1568" ref="A684"/>
    <hyperlink r:id="rId1569" ref="EQ684"/>
    <hyperlink r:id="rId1570" ref="A685"/>
    <hyperlink r:id="rId1571" ref="AG685"/>
    <hyperlink r:id="rId1572" ref="EQ685"/>
    <hyperlink r:id="rId1573" ref="A686"/>
    <hyperlink r:id="rId1574" ref="EQ686"/>
    <hyperlink r:id="rId1575" ref="A687"/>
    <hyperlink r:id="rId1576" ref="EQ687"/>
    <hyperlink r:id="rId1577" ref="A688"/>
    <hyperlink r:id="rId1578" ref="EQ688"/>
    <hyperlink r:id="rId1579" ref="A689"/>
    <hyperlink r:id="rId1580" ref="EQ689"/>
    <hyperlink r:id="rId1581" ref="A690"/>
    <hyperlink r:id="rId1582" ref="EQ690"/>
    <hyperlink r:id="rId1583" ref="A691"/>
    <hyperlink r:id="rId1584" ref="EQ691"/>
    <hyperlink r:id="rId1585" ref="A692"/>
    <hyperlink r:id="rId1586" ref="EQ692"/>
    <hyperlink r:id="rId1587" ref="A693"/>
    <hyperlink r:id="rId1588" ref="EQ693"/>
    <hyperlink r:id="rId1589" ref="A694"/>
    <hyperlink r:id="rId1590" ref="AG694"/>
    <hyperlink r:id="rId1591" ref="EQ694"/>
    <hyperlink r:id="rId1592" ref="A695"/>
    <hyperlink r:id="rId1593" ref="BR695"/>
    <hyperlink r:id="rId1594" ref="EQ695"/>
    <hyperlink r:id="rId1595" ref="A696"/>
    <hyperlink r:id="rId1596" ref="BR696"/>
    <hyperlink r:id="rId1597" ref="EQ696"/>
    <hyperlink r:id="rId1598" ref="A697"/>
    <hyperlink r:id="rId1599" ref="BR697"/>
    <hyperlink r:id="rId1600" ref="EQ697"/>
    <hyperlink r:id="rId1601" ref="A698"/>
    <hyperlink r:id="rId1602" ref="BR698"/>
    <hyperlink r:id="rId1603" ref="EQ698"/>
    <hyperlink r:id="rId1604" ref="A699"/>
    <hyperlink r:id="rId1605" ref="EQ699"/>
    <hyperlink r:id="rId1606" ref="A700"/>
    <hyperlink r:id="rId1607" ref="EQ700"/>
    <hyperlink r:id="rId1608" ref="A701"/>
    <hyperlink r:id="rId1609" ref="EQ701"/>
    <hyperlink r:id="rId1610" ref="A702"/>
    <hyperlink r:id="rId1611" ref="BR702"/>
    <hyperlink r:id="rId1612" ref="EQ702"/>
    <hyperlink r:id="rId1613" ref="A703"/>
    <hyperlink r:id="rId1614" ref="EQ703"/>
    <hyperlink r:id="rId1615" ref="A704"/>
    <hyperlink r:id="rId1616" ref="BR704"/>
    <hyperlink r:id="rId1617" ref="EQ704"/>
    <hyperlink r:id="rId1618" ref="A705"/>
    <hyperlink r:id="rId1619" ref="EQ705"/>
    <hyperlink r:id="rId1620" ref="A706"/>
    <hyperlink r:id="rId1621" ref="BR706"/>
    <hyperlink r:id="rId1622" ref="EQ706"/>
    <hyperlink r:id="rId1623" ref="A707"/>
    <hyperlink r:id="rId1624" ref="BR707"/>
    <hyperlink r:id="rId1625" ref="EQ707"/>
    <hyperlink r:id="rId1626" ref="A708"/>
    <hyperlink r:id="rId1627" ref="EQ708"/>
    <hyperlink r:id="rId1628" ref="A709"/>
    <hyperlink r:id="rId1629" ref="EQ709"/>
    <hyperlink r:id="rId1630" ref="A710"/>
    <hyperlink r:id="rId1631" ref="EQ710"/>
    <hyperlink r:id="rId1632" ref="A711"/>
    <hyperlink r:id="rId1633" ref="EQ711"/>
    <hyperlink r:id="rId1634" ref="A712"/>
    <hyperlink r:id="rId1635" ref="EQ712"/>
    <hyperlink r:id="rId1636" ref="A713"/>
    <hyperlink r:id="rId1637" ref="EQ713"/>
    <hyperlink r:id="rId1638" ref="A714"/>
    <hyperlink r:id="rId1639" ref="EQ714"/>
    <hyperlink r:id="rId1640" ref="A715"/>
    <hyperlink r:id="rId1641" ref="EQ715"/>
    <hyperlink r:id="rId1642" ref="A716"/>
    <hyperlink r:id="rId1643" ref="EQ716"/>
    <hyperlink r:id="rId1644" ref="A717"/>
    <hyperlink r:id="rId1645" ref="EQ717"/>
    <hyperlink r:id="rId1646" ref="A718"/>
    <hyperlink r:id="rId1647" ref="EQ718"/>
    <hyperlink r:id="rId1648" ref="A719"/>
    <hyperlink r:id="rId1649" ref="EQ719"/>
    <hyperlink r:id="rId1650" ref="A720"/>
    <hyperlink r:id="rId1651" ref="EQ720"/>
    <hyperlink r:id="rId1652" ref="A721"/>
    <hyperlink r:id="rId1653" ref="EQ721"/>
    <hyperlink r:id="rId1654" ref="A722"/>
    <hyperlink r:id="rId1655" ref="EQ722"/>
    <hyperlink r:id="rId1656" ref="A723"/>
    <hyperlink r:id="rId1657" ref="EQ723"/>
    <hyperlink r:id="rId1658" ref="A724"/>
    <hyperlink r:id="rId1659" ref="EQ724"/>
    <hyperlink r:id="rId1660" ref="A725"/>
    <hyperlink r:id="rId1661" ref="BR725"/>
    <hyperlink r:id="rId1662" ref="EQ725"/>
    <hyperlink r:id="rId1663" ref="A726"/>
    <hyperlink r:id="rId1664" ref="BR726"/>
    <hyperlink r:id="rId1665" ref="EQ726"/>
    <hyperlink r:id="rId1666" ref="A727"/>
    <hyperlink r:id="rId1667" ref="EQ727"/>
    <hyperlink r:id="rId1668" ref="A728"/>
    <hyperlink r:id="rId1669" ref="Q728"/>
    <hyperlink r:id="rId1670" ref="AG728"/>
    <hyperlink r:id="rId1671" ref="EQ728"/>
    <hyperlink r:id="rId1672" ref="A729"/>
    <hyperlink r:id="rId1673" ref="EQ729"/>
    <hyperlink r:id="rId1674" ref="A730"/>
    <hyperlink r:id="rId1675" ref="BR730"/>
    <hyperlink r:id="rId1676" ref="EQ730"/>
    <hyperlink r:id="rId1677" ref="A731"/>
    <hyperlink r:id="rId1678" ref="EQ731"/>
    <hyperlink r:id="rId1679" ref="A732"/>
    <hyperlink r:id="rId1680" ref="EQ732"/>
    <hyperlink r:id="rId1681" ref="A733"/>
    <hyperlink r:id="rId1682" ref="AG733"/>
    <hyperlink r:id="rId1683" ref="EQ733"/>
    <hyperlink r:id="rId1684" ref="A734"/>
    <hyperlink r:id="rId1685" ref="AG734"/>
    <hyperlink r:id="rId1686" ref="EQ734"/>
    <hyperlink r:id="rId1687" ref="A735"/>
    <hyperlink r:id="rId1688" ref="EQ735"/>
    <hyperlink r:id="rId1689" ref="A736"/>
    <hyperlink r:id="rId1690" ref="AG736"/>
    <hyperlink r:id="rId1691" ref="EQ736"/>
    <hyperlink r:id="rId1692" ref="A737"/>
    <hyperlink r:id="rId1693" ref="EQ737"/>
    <hyperlink r:id="rId1694" ref="A738"/>
    <hyperlink r:id="rId1695" ref="EQ738"/>
    <hyperlink r:id="rId1696" ref="A739"/>
    <hyperlink r:id="rId1697" ref="AG739"/>
    <hyperlink r:id="rId1698" ref="EQ739"/>
    <hyperlink r:id="rId1699" ref="A740"/>
    <hyperlink r:id="rId1700" ref="EQ740"/>
    <hyperlink r:id="rId1701" ref="A741"/>
    <hyperlink r:id="rId1702" ref="AG741"/>
    <hyperlink r:id="rId1703" ref="EQ741"/>
    <hyperlink r:id="rId1704" ref="A742"/>
    <hyperlink r:id="rId1705" ref="EQ742"/>
    <hyperlink r:id="rId1706" ref="A743"/>
    <hyperlink r:id="rId1707" ref="EQ743"/>
    <hyperlink r:id="rId1708" ref="A744"/>
    <hyperlink r:id="rId1709" ref="BR744"/>
    <hyperlink r:id="rId1710" ref="EQ744"/>
    <hyperlink r:id="rId1711" ref="A745"/>
    <hyperlink r:id="rId1712" ref="EQ745"/>
    <hyperlink r:id="rId1713" ref="A746"/>
    <hyperlink r:id="rId1714" ref="AG746"/>
    <hyperlink r:id="rId1715" ref="EQ746"/>
    <hyperlink r:id="rId1716" ref="A747"/>
    <hyperlink r:id="rId1717" ref="EQ747"/>
    <hyperlink r:id="rId1718" ref="A748"/>
    <hyperlink r:id="rId1719" ref="AG748"/>
    <hyperlink r:id="rId1720" ref="EQ748"/>
    <hyperlink r:id="rId1721" ref="A749"/>
    <hyperlink r:id="rId1722" ref="EQ749"/>
    <hyperlink r:id="rId1723" ref="A750"/>
    <hyperlink r:id="rId1724" ref="EQ750"/>
    <hyperlink r:id="rId1725" ref="A751"/>
    <hyperlink r:id="rId1726" ref="EQ751"/>
    <hyperlink r:id="rId1727" ref="A752"/>
    <hyperlink r:id="rId1728" ref="AG752"/>
    <hyperlink r:id="rId1729" ref="EQ752"/>
    <hyperlink r:id="rId1730" ref="A753"/>
    <hyperlink r:id="rId1731" ref="BR753"/>
    <hyperlink r:id="rId1732" ref="EQ753"/>
    <hyperlink r:id="rId1733" ref="A754"/>
    <hyperlink r:id="rId1734" ref="EQ754"/>
    <hyperlink r:id="rId1735" ref="A755"/>
    <hyperlink r:id="rId1736" ref="AG755"/>
    <hyperlink r:id="rId1737" ref="EQ755"/>
    <hyperlink r:id="rId1738" ref="A756"/>
    <hyperlink r:id="rId1739" ref="EQ756"/>
    <hyperlink r:id="rId1740" ref="A757"/>
    <hyperlink r:id="rId1741" ref="EQ757"/>
    <hyperlink r:id="rId1742" ref="A758"/>
    <hyperlink r:id="rId1743" ref="AG758"/>
    <hyperlink r:id="rId1744" ref="EQ758"/>
    <hyperlink r:id="rId1745" ref="A759"/>
    <hyperlink r:id="rId1746" ref="EQ759"/>
    <hyperlink r:id="rId1747" ref="A760"/>
    <hyperlink r:id="rId1748" ref="AG760"/>
    <hyperlink r:id="rId1749" ref="EQ760"/>
    <hyperlink r:id="rId1750" ref="A761"/>
    <hyperlink r:id="rId1751" ref="EQ761"/>
    <hyperlink r:id="rId1752" ref="A762"/>
    <hyperlink r:id="rId1753" ref="EQ762"/>
    <hyperlink r:id="rId1754" ref="A763"/>
    <hyperlink r:id="rId1755" ref="EQ763"/>
    <hyperlink r:id="rId1756" ref="A764"/>
    <hyperlink r:id="rId1757" ref="EQ764"/>
    <hyperlink r:id="rId1758" ref="A765"/>
    <hyperlink r:id="rId1759" ref="EQ765"/>
    <hyperlink r:id="rId1760" ref="A766"/>
    <hyperlink r:id="rId1761" ref="EQ766"/>
    <hyperlink r:id="rId1762" ref="A767"/>
    <hyperlink r:id="rId1763" ref="EQ767"/>
    <hyperlink r:id="rId1764" ref="A768"/>
    <hyperlink r:id="rId1765" ref="EQ768"/>
    <hyperlink r:id="rId1766" ref="A769"/>
    <hyperlink r:id="rId1767" ref="EQ769"/>
    <hyperlink r:id="rId1768" ref="A770"/>
    <hyperlink r:id="rId1769" ref="EQ770"/>
    <hyperlink r:id="rId1770" ref="A771"/>
    <hyperlink r:id="rId1771" ref="EQ771"/>
    <hyperlink r:id="rId1772" ref="A772"/>
    <hyperlink r:id="rId1773" ref="EQ772"/>
    <hyperlink r:id="rId1774" ref="A773"/>
    <hyperlink r:id="rId1775" ref="EQ773"/>
    <hyperlink r:id="rId1776" ref="A774"/>
    <hyperlink r:id="rId1777" ref="EQ774"/>
    <hyperlink r:id="rId1778" ref="A775"/>
    <hyperlink r:id="rId1779" ref="EQ775"/>
    <hyperlink r:id="rId1780" ref="A776"/>
    <hyperlink r:id="rId1781" ref="EQ776"/>
    <hyperlink r:id="rId1782" ref="A777"/>
    <hyperlink r:id="rId1783" ref="EQ777"/>
    <hyperlink r:id="rId1784" ref="A778"/>
    <hyperlink r:id="rId1785" ref="EQ778"/>
    <hyperlink r:id="rId1786" ref="A779"/>
    <hyperlink r:id="rId1787" ref="EQ779"/>
    <hyperlink r:id="rId1788" ref="A780"/>
    <hyperlink r:id="rId1789" ref="EQ780"/>
    <hyperlink r:id="rId1790" ref="A781"/>
    <hyperlink r:id="rId1791" ref="EQ781"/>
    <hyperlink r:id="rId1792" ref="A782"/>
    <hyperlink r:id="rId1793" ref="EQ782"/>
    <hyperlink r:id="rId1794" ref="A783"/>
    <hyperlink r:id="rId1795" ref="EQ783"/>
    <hyperlink r:id="rId1796" ref="A784"/>
    <hyperlink r:id="rId1797" ref="EQ784"/>
    <hyperlink r:id="rId1798" ref="A785"/>
    <hyperlink r:id="rId1799" ref="EQ785"/>
    <hyperlink r:id="rId1800" ref="A786"/>
    <hyperlink r:id="rId1801" ref="EQ786"/>
    <hyperlink r:id="rId1802" ref="A787"/>
    <hyperlink r:id="rId1803" ref="EQ787"/>
    <hyperlink r:id="rId1804" ref="A788"/>
    <hyperlink r:id="rId1805" ref="EQ788"/>
    <hyperlink r:id="rId1806" ref="A789"/>
    <hyperlink r:id="rId1807" ref="EQ789"/>
    <hyperlink r:id="rId1808" ref="A790"/>
    <hyperlink r:id="rId1809" ref="EQ790"/>
    <hyperlink r:id="rId1810" ref="A791"/>
    <hyperlink r:id="rId1811" ref="EQ791"/>
    <hyperlink r:id="rId1812" ref="A792"/>
    <hyperlink r:id="rId1813" ref="EQ792"/>
    <hyperlink r:id="rId1814" ref="A793"/>
    <hyperlink r:id="rId1815" ref="EQ793"/>
    <hyperlink r:id="rId1816" ref="A794"/>
    <hyperlink r:id="rId1817" ref="EQ794"/>
    <hyperlink r:id="rId1818" ref="A795"/>
    <hyperlink r:id="rId1819" ref="EQ795"/>
    <hyperlink r:id="rId1820" ref="A796"/>
    <hyperlink r:id="rId1821" ref="EQ796"/>
    <hyperlink r:id="rId1822" ref="A797"/>
    <hyperlink r:id="rId1823" ref="EQ797"/>
    <hyperlink r:id="rId1824" ref="A798"/>
    <hyperlink r:id="rId1825" ref="EQ798"/>
    <hyperlink r:id="rId1826" ref="A799"/>
    <hyperlink r:id="rId1827" ref="AG799"/>
    <hyperlink r:id="rId1828" ref="EQ799"/>
    <hyperlink r:id="rId1829" ref="A800"/>
    <hyperlink r:id="rId1830" ref="EQ800"/>
    <hyperlink r:id="rId1831" ref="A801"/>
    <hyperlink r:id="rId1832" ref="EQ801"/>
    <hyperlink r:id="rId1833" ref="A802"/>
    <hyperlink r:id="rId1834" ref="EQ802"/>
    <hyperlink r:id="rId1835" ref="A803"/>
    <hyperlink r:id="rId1836" ref="EQ803"/>
    <hyperlink r:id="rId1837" ref="A804"/>
    <hyperlink r:id="rId1838" ref="EQ804"/>
    <hyperlink r:id="rId1839" ref="A805"/>
    <hyperlink r:id="rId1840" ref="EQ805"/>
    <hyperlink r:id="rId1841" ref="A806"/>
    <hyperlink r:id="rId1842" ref="AG806"/>
    <hyperlink r:id="rId1843" ref="AH806"/>
    <hyperlink r:id="rId1844" ref="EQ806"/>
    <hyperlink r:id="rId1845" ref="A807"/>
    <hyperlink r:id="rId1846" ref="EQ807"/>
    <hyperlink r:id="rId1847" ref="A808"/>
    <hyperlink r:id="rId1848" ref="AG808"/>
    <hyperlink r:id="rId1849" ref="EQ808"/>
    <hyperlink r:id="rId1850" ref="A809"/>
    <hyperlink r:id="rId1851" ref="AG809"/>
    <hyperlink r:id="rId1852" ref="EQ809"/>
    <hyperlink r:id="rId1853" ref="A810"/>
    <hyperlink r:id="rId1854" ref="EQ810"/>
    <hyperlink r:id="rId1855" ref="A811"/>
    <hyperlink r:id="rId1856" ref="EQ811"/>
    <hyperlink r:id="rId1857" ref="A812"/>
    <hyperlink r:id="rId1858" ref="EQ812"/>
    <hyperlink r:id="rId1859" ref="A813"/>
    <hyperlink r:id="rId1860" ref="EQ813"/>
    <hyperlink r:id="rId1861" ref="A814"/>
    <hyperlink r:id="rId1862" ref="EQ814"/>
    <hyperlink r:id="rId1863" ref="A815"/>
    <hyperlink r:id="rId1864" ref="EQ815"/>
    <hyperlink r:id="rId1865" ref="A816"/>
    <hyperlink r:id="rId1866" ref="AG816"/>
    <hyperlink r:id="rId1867" ref="EQ816"/>
    <hyperlink r:id="rId1868" ref="A817"/>
    <hyperlink r:id="rId1869" ref="EQ817"/>
    <hyperlink r:id="rId1870" ref="A818"/>
    <hyperlink r:id="rId1871" ref="EQ818"/>
    <hyperlink r:id="rId1872" ref="A819"/>
    <hyperlink r:id="rId1873" ref="EQ819"/>
    <hyperlink r:id="rId1874" ref="A820"/>
    <hyperlink r:id="rId1875" ref="EQ820"/>
    <hyperlink r:id="rId1876" ref="A821"/>
    <hyperlink r:id="rId1877" ref="EQ821"/>
    <hyperlink r:id="rId1878" ref="A822"/>
    <hyperlink r:id="rId1879" ref="EQ822"/>
    <hyperlink r:id="rId1880" ref="A823"/>
    <hyperlink r:id="rId1881" ref="EQ823"/>
    <hyperlink r:id="rId1882" ref="A824"/>
    <hyperlink r:id="rId1883" ref="EQ824"/>
    <hyperlink r:id="rId1884" ref="A825"/>
    <hyperlink r:id="rId1885" ref="EQ825"/>
    <hyperlink r:id="rId1886" ref="A826"/>
    <hyperlink r:id="rId1887" ref="EQ826"/>
    <hyperlink r:id="rId1888" ref="A827"/>
    <hyperlink r:id="rId1889" ref="EQ827"/>
    <hyperlink r:id="rId1890" ref="A828"/>
    <hyperlink r:id="rId1891" ref="EQ828"/>
    <hyperlink r:id="rId1892" ref="A829"/>
    <hyperlink r:id="rId1893" ref="EQ829"/>
    <hyperlink r:id="rId1894" ref="A830"/>
    <hyperlink r:id="rId1895" ref="EQ830"/>
    <hyperlink r:id="rId1896" ref="A831"/>
    <hyperlink r:id="rId1897" ref="EQ831"/>
    <hyperlink r:id="rId1898" ref="A832"/>
    <hyperlink r:id="rId1899" ref="EQ832"/>
    <hyperlink r:id="rId1900" ref="A833"/>
    <hyperlink r:id="rId1901" ref="EQ833"/>
    <hyperlink r:id="rId1902" ref="A834"/>
    <hyperlink r:id="rId1903" ref="EQ834"/>
    <hyperlink r:id="rId1904" ref="A835"/>
    <hyperlink r:id="rId1905" ref="EQ835"/>
    <hyperlink r:id="rId1906" ref="A836"/>
    <hyperlink r:id="rId1907" ref="EQ836"/>
    <hyperlink r:id="rId1908" ref="A837"/>
    <hyperlink r:id="rId1909" ref="EQ837"/>
    <hyperlink r:id="rId1910" ref="A838"/>
    <hyperlink r:id="rId1911" ref="EQ838"/>
    <hyperlink r:id="rId1912" ref="A839"/>
    <hyperlink r:id="rId1913" ref="EQ839"/>
    <hyperlink r:id="rId1914" ref="A840"/>
    <hyperlink r:id="rId1915" ref="EQ840"/>
    <hyperlink r:id="rId1916" ref="A841"/>
    <hyperlink r:id="rId1917" ref="EQ841"/>
    <hyperlink r:id="rId1918" ref="A842"/>
    <hyperlink r:id="rId1919" ref="EQ842"/>
    <hyperlink r:id="rId1920" ref="A843"/>
    <hyperlink r:id="rId1921" ref="EQ843"/>
    <hyperlink r:id="rId1922" ref="A844"/>
    <hyperlink r:id="rId1923" ref="EQ844"/>
    <hyperlink r:id="rId1924" ref="A845"/>
    <hyperlink r:id="rId1925" ref="EQ845"/>
    <hyperlink r:id="rId1926" ref="A846"/>
    <hyperlink r:id="rId1927" ref="EQ846"/>
    <hyperlink r:id="rId1928" ref="A847"/>
    <hyperlink r:id="rId1929" ref="EQ847"/>
    <hyperlink r:id="rId1930" ref="A848"/>
    <hyperlink r:id="rId1931" ref="EQ848"/>
    <hyperlink r:id="rId1932" ref="A849"/>
    <hyperlink r:id="rId1933" ref="EQ849"/>
    <hyperlink r:id="rId1934" ref="A850"/>
    <hyperlink r:id="rId1935" ref="EQ850"/>
    <hyperlink r:id="rId1936" ref="A851"/>
    <hyperlink r:id="rId1937" ref="EQ851"/>
    <hyperlink r:id="rId1938" ref="A852"/>
    <hyperlink r:id="rId1939" ref="AG852"/>
    <hyperlink r:id="rId1940" ref="EQ852"/>
    <hyperlink r:id="rId1941" ref="A853"/>
    <hyperlink r:id="rId1942" ref="AG853"/>
    <hyperlink r:id="rId1943" ref="EQ853"/>
    <hyperlink r:id="rId1944" ref="A854"/>
    <hyperlink r:id="rId1945" ref="EQ854"/>
    <hyperlink r:id="rId1946" ref="A855"/>
    <hyperlink r:id="rId1947" ref="EQ855"/>
    <hyperlink r:id="rId1948" ref="A856"/>
    <hyperlink r:id="rId1949" ref="AG856"/>
    <hyperlink r:id="rId1950" ref="AH856"/>
    <hyperlink r:id="rId1951" ref="EQ856"/>
    <hyperlink r:id="rId1952" ref="A857"/>
    <hyperlink r:id="rId1953" ref="EQ857"/>
    <hyperlink r:id="rId1954" ref="A858"/>
    <hyperlink r:id="rId1955" ref="EQ858"/>
    <hyperlink r:id="rId1956" ref="A859"/>
    <hyperlink r:id="rId1957" ref="EQ859"/>
    <hyperlink r:id="rId1958" ref="A860"/>
    <hyperlink r:id="rId1959" ref="EQ860"/>
    <hyperlink r:id="rId1960" ref="A861"/>
    <hyperlink r:id="rId1961" ref="EQ861"/>
    <hyperlink r:id="rId1962" ref="A862"/>
    <hyperlink r:id="rId1963" ref="EQ862"/>
    <hyperlink r:id="rId1964" ref="A863"/>
    <hyperlink r:id="rId1965" ref="EQ863"/>
    <hyperlink r:id="rId1966" ref="A864"/>
    <hyperlink r:id="rId1967" ref="EQ864"/>
    <hyperlink r:id="rId1968" ref="A865"/>
    <hyperlink r:id="rId1969" ref="EQ865"/>
    <hyperlink r:id="rId1970" ref="A866"/>
    <hyperlink r:id="rId1971" ref="EQ866"/>
    <hyperlink r:id="rId1972" ref="A867"/>
    <hyperlink r:id="rId1973" ref="EQ867"/>
    <hyperlink r:id="rId1974" ref="A868"/>
    <hyperlink r:id="rId1975" ref="EQ868"/>
    <hyperlink r:id="rId1976" ref="A869"/>
    <hyperlink r:id="rId1977" ref="EQ869"/>
    <hyperlink r:id="rId1978" ref="A870"/>
    <hyperlink r:id="rId1979" ref="AG870"/>
    <hyperlink r:id="rId1980" ref="EQ870"/>
    <hyperlink r:id="rId1981" ref="A871"/>
    <hyperlink r:id="rId1982" ref="AG871"/>
    <hyperlink r:id="rId1983" ref="EQ871"/>
    <hyperlink r:id="rId1984" ref="A872"/>
    <hyperlink r:id="rId1985" ref="EQ872"/>
    <hyperlink r:id="rId1986" ref="A873"/>
    <hyperlink r:id="rId1987" ref="AG873"/>
    <hyperlink r:id="rId1988" ref="EQ873"/>
    <hyperlink r:id="rId1989" ref="A874"/>
    <hyperlink r:id="rId1990" ref="AG874"/>
    <hyperlink r:id="rId1991" ref="EQ874"/>
    <hyperlink r:id="rId1992" ref="A875"/>
    <hyperlink r:id="rId1993" ref="AG875"/>
    <hyperlink r:id="rId1994" ref="EQ875"/>
    <hyperlink r:id="rId1995" ref="A876"/>
    <hyperlink r:id="rId1996" ref="EQ876"/>
    <hyperlink r:id="rId1997" ref="A877"/>
    <hyperlink r:id="rId1998" ref="EQ877"/>
    <hyperlink r:id="rId1999" ref="A878"/>
    <hyperlink r:id="rId2000" ref="AG878"/>
    <hyperlink r:id="rId2001" ref="EQ878"/>
    <hyperlink r:id="rId2002" ref="A879"/>
    <hyperlink r:id="rId2003" ref="EQ879"/>
    <hyperlink r:id="rId2004" ref="A880"/>
    <hyperlink r:id="rId2005" ref="EQ880"/>
    <hyperlink r:id="rId2006" ref="A881"/>
    <hyperlink r:id="rId2007" ref="EQ881"/>
    <hyperlink r:id="rId2008" ref="A882"/>
    <hyperlink r:id="rId2009" ref="AG882"/>
    <hyperlink r:id="rId2010" ref="EQ882"/>
    <hyperlink r:id="rId2011" ref="A883"/>
    <hyperlink r:id="rId2012" ref="EQ883"/>
    <hyperlink r:id="rId2013" ref="A884"/>
    <hyperlink r:id="rId2014" ref="EQ884"/>
    <hyperlink r:id="rId2015" ref="A885"/>
    <hyperlink r:id="rId2016" ref="EQ885"/>
    <hyperlink r:id="rId2017" ref="A886"/>
    <hyperlink r:id="rId2018" ref="EQ886"/>
    <hyperlink r:id="rId2019" ref="A887"/>
    <hyperlink r:id="rId2020" ref="EQ887"/>
    <hyperlink r:id="rId2021" ref="A888"/>
    <hyperlink r:id="rId2022" ref="AG888"/>
    <hyperlink r:id="rId2023" ref="EQ888"/>
    <hyperlink r:id="rId2024" ref="A889"/>
    <hyperlink r:id="rId2025" ref="EQ889"/>
    <hyperlink r:id="rId2026" ref="A890"/>
    <hyperlink r:id="rId2027" ref="AG890"/>
    <hyperlink r:id="rId2028" ref="EQ890"/>
    <hyperlink r:id="rId2029" ref="A891"/>
    <hyperlink r:id="rId2030" ref="EQ891"/>
    <hyperlink r:id="rId2031" ref="A892"/>
    <hyperlink r:id="rId2032" ref="EQ892"/>
    <hyperlink r:id="rId2033" ref="A893"/>
    <hyperlink r:id="rId2034" ref="EQ893"/>
    <hyperlink r:id="rId2035" ref="A894"/>
    <hyperlink r:id="rId2036" ref="EQ894"/>
    <hyperlink r:id="rId2037" ref="A895"/>
    <hyperlink r:id="rId2038" ref="AG895"/>
    <hyperlink r:id="rId2039" ref="EQ895"/>
    <hyperlink r:id="rId2040" ref="A896"/>
    <hyperlink r:id="rId2041" ref="EQ896"/>
    <hyperlink r:id="rId2042" ref="A897"/>
    <hyperlink r:id="rId2043" ref="AG897"/>
    <hyperlink r:id="rId2044" ref="EQ897"/>
    <hyperlink r:id="rId2045" ref="A898"/>
    <hyperlink r:id="rId2046" ref="EQ898"/>
    <hyperlink r:id="rId2047" ref="A899"/>
    <hyperlink r:id="rId2048" ref="EQ899"/>
    <hyperlink r:id="rId2049" ref="A900"/>
    <hyperlink r:id="rId2050" ref="AG900"/>
    <hyperlink r:id="rId2051" ref="EQ900"/>
    <hyperlink r:id="rId2052" ref="A901"/>
    <hyperlink r:id="rId2053" ref="EQ901"/>
    <hyperlink r:id="rId2054" ref="A902"/>
    <hyperlink r:id="rId2055" ref="EQ902"/>
    <hyperlink r:id="rId2056" ref="A903"/>
    <hyperlink r:id="rId2057" ref="AG903"/>
    <hyperlink r:id="rId2058" ref="EQ903"/>
    <hyperlink r:id="rId2059" ref="A904"/>
    <hyperlink r:id="rId2060" ref="EQ904"/>
    <hyperlink r:id="rId2061" ref="A905"/>
    <hyperlink r:id="rId2062" ref="EQ905"/>
    <hyperlink r:id="rId2063" ref="A906"/>
    <hyperlink r:id="rId2064" ref="AG906"/>
    <hyperlink r:id="rId2065" ref="EQ906"/>
    <hyperlink r:id="rId2066" ref="A907"/>
    <hyperlink r:id="rId2067" ref="AG907"/>
    <hyperlink r:id="rId2068" ref="EQ907"/>
    <hyperlink r:id="rId2069" ref="A908"/>
    <hyperlink r:id="rId2070" ref="EQ908"/>
    <hyperlink r:id="rId2071" ref="A909"/>
    <hyperlink r:id="rId2072" ref="EQ909"/>
    <hyperlink r:id="rId2073" ref="A910"/>
    <hyperlink r:id="rId2074" ref="AG910"/>
    <hyperlink r:id="rId2075" ref="EQ910"/>
    <hyperlink r:id="rId2076" ref="A911"/>
    <hyperlink r:id="rId2077" ref="AG911"/>
    <hyperlink r:id="rId2078" ref="EQ911"/>
    <hyperlink r:id="rId2079" ref="A912"/>
    <hyperlink r:id="rId2080" ref="AG912"/>
    <hyperlink r:id="rId2081" ref="EQ912"/>
    <hyperlink r:id="rId2082" ref="A913"/>
    <hyperlink r:id="rId2083" ref="EQ913"/>
    <hyperlink r:id="rId2084" ref="A914"/>
    <hyperlink r:id="rId2085" ref="EQ914"/>
    <hyperlink r:id="rId2086" ref="A915"/>
    <hyperlink r:id="rId2087" ref="AG915"/>
    <hyperlink r:id="rId2088" ref="EQ915"/>
    <hyperlink r:id="rId2089" ref="A916"/>
    <hyperlink r:id="rId2090" ref="EQ916"/>
    <hyperlink r:id="rId2091" ref="A917"/>
    <hyperlink r:id="rId2092" ref="AG917"/>
    <hyperlink r:id="rId2093" ref="EQ917"/>
    <hyperlink r:id="rId2094" ref="A918"/>
    <hyperlink r:id="rId2095" ref="EQ918"/>
    <hyperlink r:id="rId2096" ref="A919"/>
    <hyperlink r:id="rId2097" ref="AG919"/>
    <hyperlink r:id="rId2098" ref="EQ919"/>
    <hyperlink r:id="rId2099" ref="A920"/>
    <hyperlink r:id="rId2100" ref="EQ920"/>
    <hyperlink r:id="rId2101" ref="A921"/>
    <hyperlink r:id="rId2102" ref="AG921"/>
    <hyperlink r:id="rId2103" ref="EQ921"/>
    <hyperlink r:id="rId2104" ref="A922"/>
    <hyperlink r:id="rId2105" ref="EQ922"/>
    <hyperlink r:id="rId2106" ref="A923"/>
    <hyperlink r:id="rId2107" ref="EQ923"/>
    <hyperlink r:id="rId2108" ref="A924"/>
    <hyperlink r:id="rId2109" ref="EQ924"/>
    <hyperlink r:id="rId2110" ref="A925"/>
    <hyperlink r:id="rId2111" ref="AG925"/>
    <hyperlink r:id="rId2112" ref="EQ925"/>
    <hyperlink r:id="rId2113" ref="A926"/>
    <hyperlink r:id="rId2114" ref="EQ926"/>
    <hyperlink r:id="rId2115" ref="A927"/>
    <hyperlink r:id="rId2116" ref="EQ927"/>
    <hyperlink r:id="rId2117" ref="A928"/>
    <hyperlink r:id="rId2118" ref="EQ928"/>
    <hyperlink r:id="rId2119" ref="A929"/>
    <hyperlink r:id="rId2120" ref="AG929"/>
    <hyperlink r:id="rId2121" ref="EQ929"/>
    <hyperlink r:id="rId2122" ref="A930"/>
    <hyperlink r:id="rId2123" ref="AG930"/>
    <hyperlink r:id="rId2124" ref="EQ930"/>
    <hyperlink r:id="rId2125" ref="A931"/>
    <hyperlink r:id="rId2126" ref="AG931"/>
    <hyperlink r:id="rId2127" ref="EQ931"/>
    <hyperlink r:id="rId2128" ref="A932"/>
    <hyperlink r:id="rId2129" ref="AG932"/>
    <hyperlink r:id="rId2130" ref="EQ932"/>
    <hyperlink r:id="rId2131" ref="A933"/>
    <hyperlink r:id="rId2132" ref="AG933"/>
    <hyperlink r:id="rId2133" ref="EQ933"/>
    <hyperlink r:id="rId2134" ref="A934"/>
    <hyperlink r:id="rId2135" ref="AG934"/>
    <hyperlink r:id="rId2136" ref="EQ934"/>
    <hyperlink r:id="rId2137" ref="A935"/>
    <hyperlink r:id="rId2138" ref="EQ935"/>
    <hyperlink r:id="rId2139" ref="A936"/>
    <hyperlink r:id="rId2140" ref="AG936"/>
    <hyperlink r:id="rId2141" ref="EQ936"/>
    <hyperlink r:id="rId2142" ref="A937"/>
    <hyperlink r:id="rId2143" ref="AG937"/>
    <hyperlink r:id="rId2144" ref="EQ937"/>
    <hyperlink r:id="rId2145" ref="A938"/>
    <hyperlink r:id="rId2146" ref="AG938"/>
    <hyperlink r:id="rId2147" ref="EQ938"/>
    <hyperlink r:id="rId2148" ref="A939"/>
    <hyperlink r:id="rId2149" ref="EQ939"/>
    <hyperlink r:id="rId2150" ref="A940"/>
    <hyperlink r:id="rId2151" ref="EQ940"/>
    <hyperlink r:id="rId2152" ref="A941"/>
    <hyperlink r:id="rId2153" ref="EQ941"/>
    <hyperlink r:id="rId2154" ref="A942"/>
    <hyperlink r:id="rId2155" ref="AG942"/>
    <hyperlink r:id="rId2156" ref="EQ942"/>
    <hyperlink r:id="rId2157" ref="A943"/>
    <hyperlink r:id="rId2158" ref="AG943"/>
    <hyperlink r:id="rId2159" ref="EQ943"/>
    <hyperlink r:id="rId2160" ref="A944"/>
    <hyperlink r:id="rId2161" ref="EQ944"/>
    <hyperlink r:id="rId2162" ref="A945"/>
    <hyperlink r:id="rId2163" ref="EQ945"/>
    <hyperlink r:id="rId2164" ref="A946"/>
    <hyperlink r:id="rId2165" ref="EQ946"/>
    <hyperlink r:id="rId2166" ref="A947"/>
    <hyperlink r:id="rId2167" ref="EQ947"/>
    <hyperlink r:id="rId2168" ref="A948"/>
    <hyperlink r:id="rId2169" ref="EQ948"/>
    <hyperlink r:id="rId2170" ref="A949"/>
    <hyperlink r:id="rId2171" ref="EQ949"/>
    <hyperlink r:id="rId2172" ref="A950"/>
    <hyperlink r:id="rId2173" ref="AG950"/>
    <hyperlink r:id="rId2174" ref="EQ950"/>
    <hyperlink r:id="rId2175" ref="A951"/>
    <hyperlink r:id="rId2176" ref="EQ951"/>
    <hyperlink r:id="rId2177" ref="A952"/>
    <hyperlink r:id="rId2178" ref="EQ952"/>
    <hyperlink r:id="rId2179" ref="A953"/>
    <hyperlink r:id="rId2180" ref="EQ953"/>
    <hyperlink r:id="rId2181" ref="A954"/>
    <hyperlink r:id="rId2182" ref="EQ954"/>
    <hyperlink r:id="rId2183" ref="A955"/>
    <hyperlink r:id="rId2184" ref="EQ955"/>
    <hyperlink r:id="rId2185" ref="A956"/>
    <hyperlink r:id="rId2186" ref="EQ956"/>
    <hyperlink r:id="rId2187" ref="A957"/>
    <hyperlink r:id="rId2188" ref="EQ957"/>
    <hyperlink r:id="rId2189" ref="A958"/>
    <hyperlink r:id="rId2190" ref="EQ958"/>
    <hyperlink r:id="rId2191" ref="A959"/>
    <hyperlink r:id="rId2192" ref="EQ959"/>
    <hyperlink r:id="rId2193" ref="A960"/>
    <hyperlink r:id="rId2194" ref="EQ960"/>
    <hyperlink r:id="rId2195" ref="A961"/>
    <hyperlink r:id="rId2196" ref="EQ961"/>
    <hyperlink r:id="rId2197" ref="A962"/>
    <hyperlink r:id="rId2198" ref="EQ962"/>
    <hyperlink r:id="rId2199" ref="A963"/>
    <hyperlink r:id="rId2200" ref="EQ963"/>
    <hyperlink r:id="rId2201" ref="A964"/>
    <hyperlink r:id="rId2202" ref="EQ964"/>
    <hyperlink r:id="rId2203" ref="A965"/>
    <hyperlink r:id="rId2204" ref="EQ965"/>
    <hyperlink r:id="rId2205" ref="A966"/>
    <hyperlink r:id="rId2206" ref="EQ966"/>
    <hyperlink r:id="rId2207" ref="A967"/>
    <hyperlink r:id="rId2208" ref="EQ967"/>
    <hyperlink r:id="rId2209" ref="A968"/>
    <hyperlink r:id="rId2210" ref="EQ968"/>
    <hyperlink r:id="rId2211" ref="A969"/>
    <hyperlink r:id="rId2212" ref="EQ969"/>
    <hyperlink r:id="rId2213" ref="A970"/>
    <hyperlink r:id="rId2214" ref="EQ970"/>
    <hyperlink r:id="rId2215" ref="A971"/>
    <hyperlink r:id="rId2216" ref="EQ971"/>
    <hyperlink r:id="rId2217" ref="A972"/>
    <hyperlink r:id="rId2218" ref="EQ972"/>
    <hyperlink r:id="rId2219" ref="A973"/>
    <hyperlink r:id="rId2220" ref="EQ973"/>
    <hyperlink r:id="rId2221" ref="A974"/>
    <hyperlink r:id="rId2222" ref="EQ974"/>
    <hyperlink r:id="rId2223" ref="A975"/>
    <hyperlink r:id="rId2224" ref="AG975"/>
    <hyperlink r:id="rId2225" ref="EQ975"/>
    <hyperlink r:id="rId2226" ref="A976"/>
    <hyperlink r:id="rId2227" ref="AG976"/>
    <hyperlink r:id="rId2228" ref="EQ976"/>
    <hyperlink r:id="rId2229" ref="A977"/>
    <hyperlink r:id="rId2230" ref="EQ977"/>
    <hyperlink r:id="rId2231" ref="A978"/>
    <hyperlink r:id="rId2232" ref="EQ978"/>
    <hyperlink r:id="rId2233" ref="A979"/>
    <hyperlink r:id="rId2234" ref="EQ979"/>
    <hyperlink r:id="rId2235" ref="A980"/>
    <hyperlink r:id="rId2236" ref="EQ980"/>
    <hyperlink r:id="rId2237" ref="A981"/>
    <hyperlink r:id="rId2238" ref="EQ981"/>
    <hyperlink r:id="rId2239" ref="A982"/>
    <hyperlink r:id="rId2240" ref="EQ982"/>
    <hyperlink r:id="rId2241" ref="A983"/>
    <hyperlink r:id="rId2242" ref="AG983"/>
    <hyperlink r:id="rId2243" ref="EQ983"/>
    <hyperlink r:id="rId2244" ref="A984"/>
    <hyperlink r:id="rId2245" ref="AG984"/>
    <hyperlink r:id="rId2246" ref="EQ984"/>
    <hyperlink r:id="rId2247" ref="A985"/>
    <hyperlink r:id="rId2248" ref="EQ985"/>
    <hyperlink r:id="rId2249" ref="A986"/>
    <hyperlink r:id="rId2250" ref="EQ986"/>
    <hyperlink r:id="rId2251" ref="A987"/>
    <hyperlink r:id="rId2252" ref="AG987"/>
    <hyperlink r:id="rId2253" ref="EQ987"/>
    <hyperlink r:id="rId2254" ref="A988"/>
    <hyperlink r:id="rId2255" ref="AG988"/>
    <hyperlink r:id="rId2256" ref="EQ988"/>
    <hyperlink r:id="rId2257" ref="A989"/>
    <hyperlink r:id="rId2258" ref="AG989"/>
    <hyperlink r:id="rId2259" ref="EQ989"/>
    <hyperlink r:id="rId2260" ref="A990"/>
    <hyperlink r:id="rId2261" ref="EQ990"/>
    <hyperlink r:id="rId2262" ref="A991"/>
    <hyperlink r:id="rId2263" ref="EQ991"/>
    <hyperlink r:id="rId2264" ref="A992"/>
    <hyperlink r:id="rId2265" ref="AG992"/>
    <hyperlink r:id="rId2266" ref="EQ992"/>
    <hyperlink r:id="rId2267" ref="A993"/>
    <hyperlink r:id="rId2268" ref="AG993"/>
    <hyperlink r:id="rId2269" ref="EQ993"/>
    <hyperlink r:id="rId2270" ref="A994"/>
    <hyperlink r:id="rId2271" ref="AG994"/>
    <hyperlink r:id="rId2272" ref="EQ994"/>
    <hyperlink r:id="rId2273" ref="A995"/>
    <hyperlink r:id="rId2274" ref="EQ995"/>
    <hyperlink r:id="rId2275" ref="A996"/>
    <hyperlink r:id="rId2276" ref="EQ996"/>
    <hyperlink r:id="rId2277" ref="A997"/>
    <hyperlink r:id="rId2278" ref="AG997"/>
    <hyperlink r:id="rId2279" ref="EQ997"/>
    <hyperlink r:id="rId2280" ref="A998"/>
    <hyperlink r:id="rId2281" ref="AG998"/>
    <hyperlink r:id="rId2282" ref="AH998"/>
    <hyperlink r:id="rId2283" ref="AI998"/>
    <hyperlink r:id="rId2284" ref="EQ998"/>
    <hyperlink r:id="rId2285" ref="A999"/>
    <hyperlink r:id="rId2286" ref="EQ999"/>
    <hyperlink r:id="rId2287" ref="A1000"/>
    <hyperlink r:id="rId2288" ref="EQ1000"/>
    <hyperlink r:id="rId2289" ref="A1001"/>
    <hyperlink r:id="rId2290" ref="EQ1001"/>
    <hyperlink r:id="rId2291" ref="A1002"/>
    <hyperlink r:id="rId2292" ref="AG1002"/>
    <hyperlink r:id="rId2293" ref="AH1002"/>
    <hyperlink r:id="rId2294" ref="AI1002"/>
    <hyperlink r:id="rId2295" ref="EQ1002"/>
    <hyperlink r:id="rId2296" ref="A1003"/>
    <hyperlink r:id="rId2297" ref="EQ1003"/>
    <hyperlink r:id="rId2298" ref="A1004"/>
    <hyperlink r:id="rId2299" ref="AG1004"/>
    <hyperlink r:id="rId2300" ref="EQ1004"/>
    <hyperlink r:id="rId2301" ref="A1005"/>
    <hyperlink r:id="rId2302" ref="AG1005"/>
    <hyperlink r:id="rId2303" ref="EQ1005"/>
    <hyperlink r:id="rId2304" ref="A1006"/>
    <hyperlink r:id="rId2305" ref="AG1006"/>
    <hyperlink r:id="rId2306" ref="EQ1006"/>
    <hyperlink r:id="rId2307" ref="A1007"/>
    <hyperlink r:id="rId2308" ref="EQ1007"/>
    <hyperlink r:id="rId2309" ref="A1008"/>
    <hyperlink r:id="rId2310" ref="EQ1008"/>
    <hyperlink r:id="rId2311" ref="A1009"/>
    <hyperlink r:id="rId2312" ref="AG1009"/>
    <hyperlink r:id="rId2313" ref="EQ1009"/>
    <hyperlink r:id="rId2314" ref="A1010"/>
    <hyperlink r:id="rId2315" ref="AG1010"/>
    <hyperlink r:id="rId2316" ref="AH1010"/>
    <hyperlink r:id="rId2317" ref="AI1010"/>
    <hyperlink r:id="rId2318" ref="EQ1010"/>
    <hyperlink r:id="rId2319" ref="A1011"/>
    <hyperlink r:id="rId2320" ref="EQ1011"/>
    <hyperlink r:id="rId2321" ref="A1012"/>
    <hyperlink r:id="rId2322" ref="AG1012"/>
    <hyperlink r:id="rId2323" ref="AH1012"/>
    <hyperlink r:id="rId2324" ref="AI1012"/>
    <hyperlink r:id="rId2325" ref="EQ1012"/>
    <hyperlink r:id="rId2326" ref="A1013"/>
    <hyperlink r:id="rId2327" ref="EQ1013"/>
    <hyperlink r:id="rId2328" ref="A1014"/>
    <hyperlink r:id="rId2329" ref="AG1014"/>
    <hyperlink r:id="rId2330" ref="EQ1014"/>
    <hyperlink r:id="rId2331" ref="A1015"/>
    <hyperlink r:id="rId2332" ref="AG1015"/>
    <hyperlink r:id="rId2333" ref="EQ1015"/>
    <hyperlink r:id="rId2334" ref="A1016"/>
    <hyperlink r:id="rId2335" ref="EQ1016"/>
    <hyperlink r:id="rId2336" ref="A1017"/>
    <hyperlink r:id="rId2337" ref="EQ1017"/>
    <hyperlink r:id="rId2338" ref="A1018"/>
    <hyperlink r:id="rId2339" ref="EQ1018"/>
    <hyperlink r:id="rId2340" ref="A1019"/>
    <hyperlink r:id="rId2341" ref="EQ1019"/>
    <hyperlink r:id="rId2342" ref="A1020"/>
    <hyperlink r:id="rId2343" ref="EQ1020"/>
    <hyperlink r:id="rId2344" ref="A1021"/>
    <hyperlink r:id="rId2345" ref="AG1021"/>
    <hyperlink r:id="rId2346" ref="EQ1021"/>
    <hyperlink r:id="rId2347" ref="A1022"/>
    <hyperlink r:id="rId2348" ref="EQ1022"/>
    <hyperlink r:id="rId2349" ref="A1023"/>
    <hyperlink r:id="rId2350" ref="AG1023"/>
    <hyperlink r:id="rId2351" ref="EQ1023"/>
    <hyperlink r:id="rId2352" ref="A1024"/>
    <hyperlink r:id="rId2353" ref="AG1024"/>
    <hyperlink r:id="rId2354" ref="EQ1024"/>
    <hyperlink r:id="rId2355" ref="A1025"/>
    <hyperlink r:id="rId2356" ref="AG1025"/>
    <hyperlink r:id="rId2357" ref="EQ1025"/>
    <hyperlink r:id="rId2358" ref="A1026"/>
    <hyperlink r:id="rId2359" ref="AG1026"/>
    <hyperlink r:id="rId2360" ref="EQ1026"/>
    <hyperlink r:id="rId2361" ref="A1027"/>
    <hyperlink r:id="rId2362" ref="EQ1027"/>
    <hyperlink r:id="rId2363" ref="A1028"/>
    <hyperlink r:id="rId2364" ref="EQ1028"/>
    <hyperlink r:id="rId2365" ref="A1029"/>
    <hyperlink r:id="rId2366" ref="AG1029"/>
    <hyperlink r:id="rId2367" ref="EQ1029"/>
    <hyperlink r:id="rId2368" ref="A1030"/>
    <hyperlink r:id="rId2369" ref="AG1030"/>
    <hyperlink r:id="rId2370" ref="EQ1030"/>
    <hyperlink r:id="rId2371" ref="A1031"/>
    <hyperlink r:id="rId2372" ref="EQ1031"/>
    <hyperlink r:id="rId2373" ref="A1032"/>
    <hyperlink r:id="rId2374" ref="EQ1032"/>
    <hyperlink r:id="rId2375" ref="A1033"/>
    <hyperlink r:id="rId2376" ref="EQ1033"/>
    <hyperlink r:id="rId2377" ref="A1034"/>
    <hyperlink r:id="rId2378" ref="EQ1034"/>
    <hyperlink r:id="rId2379" ref="A1035"/>
    <hyperlink r:id="rId2380" ref="AG1035"/>
    <hyperlink r:id="rId2381" ref="EQ1035"/>
    <hyperlink r:id="rId2382" ref="A1036"/>
    <hyperlink r:id="rId2383" ref="EQ1036"/>
    <hyperlink r:id="rId2384" ref="A1037"/>
    <hyperlink r:id="rId2385" ref="EQ1037"/>
    <hyperlink r:id="rId2386" ref="A1038"/>
    <hyperlink r:id="rId2387" ref="AG1038"/>
    <hyperlink r:id="rId2388" ref="EQ1038"/>
    <hyperlink r:id="rId2389" ref="A1039"/>
    <hyperlink r:id="rId2390" ref="AG1039"/>
    <hyperlink r:id="rId2391" ref="EQ1039"/>
    <hyperlink r:id="rId2392" ref="A1040"/>
    <hyperlink r:id="rId2393" ref="EQ1040"/>
    <hyperlink r:id="rId2394" ref="A1041"/>
    <hyperlink r:id="rId2395" ref="AG1041"/>
    <hyperlink r:id="rId2396" ref="EQ1041"/>
    <hyperlink r:id="rId2397" ref="A1042"/>
    <hyperlink r:id="rId2398" ref="AG1042"/>
    <hyperlink r:id="rId2399" ref="AH1042"/>
    <hyperlink r:id="rId2400" ref="AI1042"/>
    <hyperlink r:id="rId2401" ref="EQ1042"/>
    <hyperlink r:id="rId2402" ref="A1043"/>
    <hyperlink r:id="rId2403" ref="AG1043"/>
    <hyperlink r:id="rId2404" ref="EQ1043"/>
    <hyperlink r:id="rId2405" ref="A1044"/>
    <hyperlink r:id="rId2406" ref="EQ1044"/>
    <hyperlink r:id="rId2407" ref="A1045"/>
    <hyperlink r:id="rId2408" ref="AG1045"/>
    <hyperlink r:id="rId2409" ref="AH1045"/>
    <hyperlink r:id="rId2410" ref="AI1045"/>
    <hyperlink r:id="rId2411" ref="EQ1045"/>
    <hyperlink r:id="rId2412" ref="A1046"/>
    <hyperlink r:id="rId2413" ref="EQ1046"/>
    <hyperlink r:id="rId2414" ref="A1047"/>
    <hyperlink r:id="rId2415" ref="EQ1047"/>
    <hyperlink r:id="rId2416" ref="A1048"/>
    <hyperlink r:id="rId2417" ref="AG1048"/>
    <hyperlink r:id="rId2418" ref="EQ1048"/>
    <hyperlink r:id="rId2419" ref="A1049"/>
    <hyperlink r:id="rId2420" ref="EQ1049"/>
    <hyperlink r:id="rId2421" ref="A1050"/>
    <hyperlink r:id="rId2422" ref="EQ1050"/>
    <hyperlink r:id="rId2423" ref="A1051"/>
    <hyperlink r:id="rId2424" ref="AG1051"/>
    <hyperlink r:id="rId2425" ref="EQ1051"/>
    <hyperlink r:id="rId2426" ref="A1052"/>
    <hyperlink r:id="rId2427" ref="EQ1052"/>
    <hyperlink r:id="rId2428" ref="A1053"/>
    <hyperlink r:id="rId2429" ref="AG1053"/>
    <hyperlink r:id="rId2430" ref="EQ1053"/>
    <hyperlink r:id="rId2431" ref="A1054"/>
    <hyperlink r:id="rId2432" ref="EQ1054"/>
    <hyperlink r:id="rId2433" ref="A1055"/>
    <hyperlink r:id="rId2434" ref="AG1055"/>
    <hyperlink r:id="rId2435" ref="EQ1055"/>
    <hyperlink r:id="rId2436" ref="A1056"/>
    <hyperlink r:id="rId2437" ref="EQ1056"/>
    <hyperlink r:id="rId2438" ref="A1057"/>
    <hyperlink r:id="rId2439" ref="EQ1057"/>
    <hyperlink r:id="rId2440" ref="A1058"/>
    <hyperlink r:id="rId2441" ref="EQ1058"/>
    <hyperlink r:id="rId2442" ref="A1059"/>
    <hyperlink r:id="rId2443" ref="AG1059"/>
    <hyperlink r:id="rId2444" ref="EQ1059"/>
    <hyperlink r:id="rId2445" ref="A1060"/>
    <hyperlink r:id="rId2446" ref="AG1060"/>
    <hyperlink r:id="rId2447" ref="EQ1060"/>
    <hyperlink r:id="rId2448" ref="A1061"/>
    <hyperlink r:id="rId2449" ref="EQ1061"/>
    <hyperlink r:id="rId2450" ref="A1062"/>
    <hyperlink r:id="rId2451" ref="EQ1062"/>
    <hyperlink r:id="rId2452" ref="A1063"/>
    <hyperlink r:id="rId2453" ref="AG1063"/>
    <hyperlink r:id="rId2454" ref="AH1063"/>
    <hyperlink r:id="rId2455" ref="AI1063"/>
    <hyperlink r:id="rId2456" ref="EQ1063"/>
    <hyperlink r:id="rId2457" ref="A1064"/>
    <hyperlink r:id="rId2458" ref="AG1064"/>
    <hyperlink r:id="rId2459" ref="AH1064"/>
    <hyperlink r:id="rId2460" ref="AI1064"/>
    <hyperlink r:id="rId2461" ref="EQ1064"/>
    <hyperlink r:id="rId2462" ref="A1065"/>
    <hyperlink r:id="rId2463" ref="EQ1065"/>
    <hyperlink r:id="rId2464" ref="A1066"/>
    <hyperlink r:id="rId2465" ref="EQ1066"/>
    <hyperlink r:id="rId2466" ref="A1067"/>
    <hyperlink r:id="rId2467" ref="EQ1067"/>
    <hyperlink r:id="rId2468" ref="A1068"/>
    <hyperlink r:id="rId2469" ref="EQ1068"/>
    <hyperlink r:id="rId2470" ref="A1069"/>
    <hyperlink r:id="rId2471" ref="AG1069"/>
    <hyperlink r:id="rId2472" ref="EQ1069"/>
    <hyperlink r:id="rId2473" ref="A1070"/>
    <hyperlink r:id="rId2474" ref="AG1070"/>
    <hyperlink r:id="rId2475" ref="AI1070"/>
    <hyperlink r:id="rId2476" ref="EQ1070"/>
    <hyperlink r:id="rId2477" ref="A1071"/>
    <hyperlink r:id="rId2478" ref="AG1071"/>
    <hyperlink r:id="rId2479" ref="EQ1071"/>
    <hyperlink r:id="rId2480" ref="A1072"/>
    <hyperlink r:id="rId2481" ref="AG1072"/>
    <hyperlink r:id="rId2482" ref="EQ1072"/>
    <hyperlink r:id="rId2483" ref="A1073"/>
    <hyperlink r:id="rId2484" ref="AG1073"/>
    <hyperlink r:id="rId2485" ref="EQ1073"/>
    <hyperlink r:id="rId2486" ref="A1074"/>
    <hyperlink r:id="rId2487" ref="EQ1074"/>
    <hyperlink r:id="rId2488" ref="A1075"/>
    <hyperlink r:id="rId2489" ref="EQ1075"/>
    <hyperlink r:id="rId2490" ref="A1076"/>
    <hyperlink r:id="rId2491" ref="EQ1076"/>
    <hyperlink r:id="rId2492" ref="A1077"/>
    <hyperlink r:id="rId2493" ref="AG1077"/>
    <hyperlink r:id="rId2494" ref="EQ1077"/>
    <hyperlink r:id="rId2495" ref="A1078"/>
    <hyperlink r:id="rId2496" ref="EQ1078"/>
    <hyperlink r:id="rId2497" ref="A1079"/>
    <hyperlink r:id="rId2498" ref="AG1079"/>
    <hyperlink r:id="rId2499" ref="EQ1079"/>
    <hyperlink r:id="rId2500" ref="A1080"/>
    <hyperlink r:id="rId2501" ref="EQ1080"/>
    <hyperlink r:id="rId2502" ref="A1081"/>
    <hyperlink r:id="rId2503" ref="AG1081"/>
    <hyperlink r:id="rId2504" ref="EQ1081"/>
    <hyperlink r:id="rId2505" ref="A1082"/>
    <hyperlink r:id="rId2506" ref="AG1082"/>
    <hyperlink r:id="rId2507" ref="EQ1082"/>
    <hyperlink r:id="rId2508" ref="A1083"/>
    <hyperlink r:id="rId2509" ref="AG1083"/>
    <hyperlink r:id="rId2510" ref="EQ1083"/>
    <hyperlink r:id="rId2511" ref="A1084"/>
    <hyperlink r:id="rId2512" ref="EQ1084"/>
    <hyperlink r:id="rId2513" ref="A1085"/>
    <hyperlink r:id="rId2514" ref="EQ1085"/>
    <hyperlink r:id="rId2515" ref="A1086"/>
    <hyperlink r:id="rId2516" ref="EQ1086"/>
    <hyperlink r:id="rId2517" ref="A1087"/>
    <hyperlink r:id="rId2518" ref="BR1087"/>
    <hyperlink r:id="rId2519" ref="EQ1087"/>
    <hyperlink r:id="rId2520" ref="A1088"/>
    <hyperlink r:id="rId2521" ref="AG1088"/>
    <hyperlink r:id="rId2522" ref="EQ1088"/>
    <hyperlink r:id="rId2523" ref="A1089"/>
    <hyperlink r:id="rId2524" ref="EQ1089"/>
    <hyperlink r:id="rId2525" ref="A1090"/>
    <hyperlink r:id="rId2526" ref="EQ1090"/>
    <hyperlink r:id="rId2527" ref="A1091"/>
    <hyperlink r:id="rId2528" ref="EQ1091"/>
    <hyperlink r:id="rId2529" ref="A1092"/>
    <hyperlink r:id="rId2530" ref="AG1092"/>
    <hyperlink r:id="rId2531" ref="EQ1092"/>
    <hyperlink r:id="rId2532" ref="A1093"/>
    <hyperlink r:id="rId2533" ref="EQ1093"/>
    <hyperlink r:id="rId2534" ref="A1094"/>
    <hyperlink r:id="rId2535" ref="EQ1094"/>
    <hyperlink r:id="rId2536" ref="A1095"/>
    <hyperlink r:id="rId2537" ref="AG1095"/>
    <hyperlink r:id="rId2538" ref="EQ1095"/>
    <hyperlink r:id="rId2539" ref="A1096"/>
    <hyperlink r:id="rId2540" ref="EQ1096"/>
    <hyperlink r:id="rId2541" ref="A1097"/>
    <hyperlink r:id="rId2542" ref="EQ1097"/>
    <hyperlink r:id="rId2543" ref="A1098"/>
    <hyperlink r:id="rId2544" ref="EQ1098"/>
    <hyperlink r:id="rId2545" ref="A1099"/>
    <hyperlink r:id="rId2546" ref="EQ1099"/>
    <hyperlink r:id="rId2547" ref="A1100"/>
    <hyperlink r:id="rId2548" ref="EQ1100"/>
    <hyperlink r:id="rId2549" ref="A1101"/>
    <hyperlink r:id="rId2550" ref="EQ1101"/>
    <hyperlink r:id="rId2551" ref="A1102"/>
    <hyperlink r:id="rId2552" ref="AG1102"/>
    <hyperlink r:id="rId2553" ref="EQ1102"/>
    <hyperlink r:id="rId2554" ref="A1103"/>
    <hyperlink r:id="rId2555" ref="EQ1103"/>
    <hyperlink r:id="rId2556" ref="A1104"/>
    <hyperlink r:id="rId2557" ref="EQ1104"/>
    <hyperlink r:id="rId2558" ref="A1105"/>
    <hyperlink r:id="rId2559" ref="EQ1105"/>
    <hyperlink r:id="rId2560" ref="A1106"/>
    <hyperlink r:id="rId2561" ref="EQ1106"/>
    <hyperlink r:id="rId2562" ref="A1107"/>
    <hyperlink r:id="rId2563" ref="EQ1107"/>
    <hyperlink r:id="rId2564" ref="A1108"/>
    <hyperlink r:id="rId2565" ref="EQ1108"/>
    <hyperlink r:id="rId2566" ref="A1109"/>
    <hyperlink r:id="rId2567" ref="EQ1109"/>
    <hyperlink r:id="rId2568" ref="A1110"/>
    <hyperlink r:id="rId2569" ref="EQ1110"/>
    <hyperlink r:id="rId2570" ref="A1111"/>
    <hyperlink r:id="rId2571" ref="EQ1111"/>
    <hyperlink r:id="rId2572" ref="A1112"/>
    <hyperlink r:id="rId2573" ref="EQ1112"/>
    <hyperlink r:id="rId2574" ref="A1113"/>
    <hyperlink r:id="rId2575" ref="EQ1113"/>
    <hyperlink r:id="rId2576" ref="A1114"/>
    <hyperlink r:id="rId2577" ref="EQ1114"/>
    <hyperlink r:id="rId2578" ref="A1115"/>
    <hyperlink r:id="rId2579" ref="EQ1115"/>
    <hyperlink r:id="rId2580" ref="A1116"/>
    <hyperlink r:id="rId2581" ref="EQ1116"/>
    <hyperlink r:id="rId2582" ref="A1117"/>
    <hyperlink r:id="rId2583" ref="EQ1117"/>
    <hyperlink r:id="rId2584" ref="A1118"/>
    <hyperlink r:id="rId2585" ref="EQ1118"/>
    <hyperlink r:id="rId2586" ref="A1119"/>
    <hyperlink r:id="rId2587" ref="EQ1119"/>
    <hyperlink r:id="rId2588" ref="A1120"/>
    <hyperlink r:id="rId2589" ref="EQ1120"/>
    <hyperlink r:id="rId2590" ref="A1121"/>
    <hyperlink r:id="rId2591" ref="EQ1121"/>
    <hyperlink r:id="rId2592" ref="A1122"/>
    <hyperlink r:id="rId2593" ref="EQ1122"/>
    <hyperlink r:id="rId2594" ref="A1123"/>
    <hyperlink r:id="rId2595" ref="EQ1123"/>
    <hyperlink r:id="rId2596" ref="A1124"/>
    <hyperlink r:id="rId2597" ref="EQ1124"/>
    <hyperlink r:id="rId2598" ref="A1125"/>
    <hyperlink r:id="rId2599" ref="EQ1125"/>
    <hyperlink r:id="rId2600" ref="A1126"/>
    <hyperlink r:id="rId2601" ref="EQ1126"/>
    <hyperlink r:id="rId2602" ref="A1127"/>
    <hyperlink r:id="rId2603" ref="EQ1127"/>
    <hyperlink r:id="rId2604" ref="A1128"/>
    <hyperlink r:id="rId2605" ref="EQ1128"/>
    <hyperlink r:id="rId2606" ref="A1129"/>
    <hyperlink r:id="rId2607" ref="EQ1129"/>
    <hyperlink r:id="rId2608" ref="A1130"/>
    <hyperlink r:id="rId2609" ref="EQ1130"/>
    <hyperlink r:id="rId2610" ref="A1131"/>
    <hyperlink r:id="rId2611" ref="EQ1131"/>
    <hyperlink r:id="rId2612" ref="A1132"/>
    <hyperlink r:id="rId2613" ref="EQ1132"/>
    <hyperlink r:id="rId2614" ref="A1133"/>
    <hyperlink r:id="rId2615" ref="EQ1133"/>
    <hyperlink r:id="rId2616" ref="A1134"/>
    <hyperlink r:id="rId2617" ref="EQ1134"/>
    <hyperlink r:id="rId2618" ref="A1135"/>
    <hyperlink r:id="rId2619" ref="AG1135"/>
    <hyperlink r:id="rId2620" ref="EQ1135"/>
    <hyperlink r:id="rId2621" ref="A1136"/>
    <hyperlink r:id="rId2622" ref="AG1136"/>
    <hyperlink r:id="rId2623" ref="EQ1136"/>
    <hyperlink r:id="rId2624" ref="A1137"/>
    <hyperlink r:id="rId2625" ref="EQ1137"/>
    <hyperlink r:id="rId2626" ref="A1138"/>
    <hyperlink r:id="rId2627" ref="EQ1138"/>
    <hyperlink r:id="rId2628" ref="A1139"/>
    <hyperlink r:id="rId2629" ref="EQ1139"/>
    <hyperlink r:id="rId2630" ref="A1140"/>
    <hyperlink r:id="rId2631" ref="AG1140"/>
    <hyperlink r:id="rId2632" ref="EQ1140"/>
    <hyperlink r:id="rId2633" ref="A1141"/>
    <hyperlink r:id="rId2634" ref="EQ1141"/>
    <hyperlink r:id="rId2635" ref="A1142"/>
    <hyperlink r:id="rId2636" ref="EQ1142"/>
    <hyperlink r:id="rId2637" ref="A1143"/>
    <hyperlink r:id="rId2638" ref="EQ1143"/>
    <hyperlink r:id="rId2639" ref="A1144"/>
    <hyperlink r:id="rId2640" ref="BR1144"/>
    <hyperlink r:id="rId2641" ref="EQ1144"/>
    <hyperlink r:id="rId2642" ref="A1145"/>
    <hyperlink r:id="rId2643" ref="AG1145"/>
    <hyperlink r:id="rId2644" ref="EQ1145"/>
    <hyperlink r:id="rId2645" ref="A1146"/>
    <hyperlink r:id="rId2646" ref="EQ1146"/>
    <hyperlink r:id="rId2647" ref="A1147"/>
    <hyperlink r:id="rId2648" ref="BR1147"/>
    <hyperlink r:id="rId2649" ref="EQ1147"/>
    <hyperlink r:id="rId2650" ref="A1148"/>
    <hyperlink r:id="rId2651" ref="EQ1148"/>
    <hyperlink r:id="rId2652" ref="A1149"/>
    <hyperlink r:id="rId2653" ref="AG1149"/>
    <hyperlink r:id="rId2654" ref="EQ1149"/>
    <hyperlink r:id="rId2655" ref="A1150"/>
    <hyperlink r:id="rId2656" ref="EQ1150"/>
    <hyperlink r:id="rId2657" ref="A1151"/>
    <hyperlink r:id="rId2658" ref="EQ1151"/>
    <hyperlink r:id="rId2659" ref="A1152"/>
    <hyperlink r:id="rId2660" ref="EQ1152"/>
    <hyperlink r:id="rId2661" ref="A1153"/>
    <hyperlink r:id="rId2662" ref="EQ1153"/>
    <hyperlink r:id="rId2663" ref="A1154"/>
    <hyperlink r:id="rId2664" ref="EQ1154"/>
    <hyperlink r:id="rId2665" ref="A1155"/>
    <hyperlink r:id="rId2666" ref="BR1155"/>
    <hyperlink r:id="rId2667" ref="EQ1155"/>
    <hyperlink r:id="rId2668" ref="A1156"/>
    <hyperlink r:id="rId2669" ref="EQ1156"/>
    <hyperlink r:id="rId2670" ref="A1157"/>
    <hyperlink r:id="rId2671" ref="AG1157"/>
    <hyperlink r:id="rId2672" ref="AH1157"/>
    <hyperlink r:id="rId2673" ref="EQ1157"/>
    <hyperlink r:id="rId2674" ref="A1158"/>
    <hyperlink r:id="rId2675" ref="AG1158"/>
    <hyperlink r:id="rId2676" ref="EQ1158"/>
    <hyperlink r:id="rId2677" ref="A1159"/>
    <hyperlink r:id="rId2678" ref="EQ1159"/>
    <hyperlink r:id="rId2679" ref="A1160"/>
    <hyperlink r:id="rId2680" ref="EQ1160"/>
    <hyperlink r:id="rId2681" ref="A1161"/>
    <hyperlink r:id="rId2682" ref="EQ1161"/>
    <hyperlink r:id="rId2683" ref="A1162"/>
    <hyperlink r:id="rId2684" ref="EQ1162"/>
    <hyperlink r:id="rId2685" ref="A1163"/>
    <hyperlink r:id="rId2686" ref="EQ1163"/>
    <hyperlink r:id="rId2687" ref="A1164"/>
    <hyperlink r:id="rId2688" ref="EQ1164"/>
    <hyperlink r:id="rId2689" ref="A1165"/>
    <hyperlink r:id="rId2690" ref="EQ1165"/>
    <hyperlink r:id="rId2691" ref="A1166"/>
    <hyperlink r:id="rId2692" ref="EQ1166"/>
    <hyperlink r:id="rId2693" ref="A1167"/>
    <hyperlink r:id="rId2694" ref="EQ1167"/>
    <hyperlink r:id="rId2695" ref="A1168"/>
    <hyperlink r:id="rId2696" ref="EQ1168"/>
    <hyperlink r:id="rId2697" ref="A1169"/>
    <hyperlink r:id="rId2698" ref="EQ1169"/>
    <hyperlink r:id="rId2699" ref="A1170"/>
    <hyperlink r:id="rId2700" ref="EQ1170"/>
    <hyperlink r:id="rId2701" ref="A1171"/>
    <hyperlink r:id="rId2702" ref="EQ1171"/>
    <hyperlink r:id="rId2703" ref="A1172"/>
    <hyperlink r:id="rId2704" ref="EQ1172"/>
    <hyperlink r:id="rId2705" ref="A1173"/>
    <hyperlink r:id="rId2706" ref="EQ1173"/>
    <hyperlink r:id="rId2707" ref="A1174"/>
    <hyperlink r:id="rId2708" ref="EQ1174"/>
    <hyperlink r:id="rId2709" ref="A1175"/>
    <hyperlink r:id="rId2710" ref="EQ1175"/>
    <hyperlink r:id="rId2711" ref="A1176"/>
    <hyperlink r:id="rId2712" ref="EQ1176"/>
    <hyperlink r:id="rId2713" ref="A1177"/>
    <hyperlink r:id="rId2714" ref="EQ1177"/>
    <hyperlink r:id="rId2715" ref="A1178"/>
    <hyperlink r:id="rId2716" ref="EQ1178"/>
    <hyperlink r:id="rId2717" ref="A1179"/>
    <hyperlink r:id="rId2718" ref="EQ1179"/>
    <hyperlink r:id="rId2719" ref="A1180"/>
    <hyperlink r:id="rId2720" ref="EQ1180"/>
    <hyperlink r:id="rId2721" ref="A1181"/>
    <hyperlink r:id="rId2722" ref="EQ1181"/>
    <hyperlink r:id="rId2723" ref="A1182"/>
    <hyperlink r:id="rId2724" ref="EQ1182"/>
    <hyperlink r:id="rId2725" ref="A1183"/>
    <hyperlink r:id="rId2726" ref="EQ1183"/>
    <hyperlink r:id="rId2727" ref="A1184"/>
    <hyperlink r:id="rId2728" ref="EQ1184"/>
    <hyperlink r:id="rId2729" ref="A1185"/>
    <hyperlink r:id="rId2730" ref="EQ1185"/>
    <hyperlink r:id="rId2731" ref="A1186"/>
    <hyperlink r:id="rId2732" ref="EQ1186"/>
    <hyperlink r:id="rId2733" ref="A1187"/>
    <hyperlink r:id="rId2734" ref="EQ1187"/>
    <hyperlink r:id="rId2735" ref="A1188"/>
    <hyperlink r:id="rId2736" ref="EQ1188"/>
    <hyperlink r:id="rId2737" ref="A1189"/>
    <hyperlink r:id="rId2738" ref="EQ1189"/>
    <hyperlink r:id="rId2739" ref="A1190"/>
    <hyperlink r:id="rId2740" ref="EQ1190"/>
    <hyperlink r:id="rId2741" ref="A1191"/>
    <hyperlink r:id="rId2742" ref="EQ1191"/>
    <hyperlink r:id="rId2743" ref="A1192"/>
    <hyperlink r:id="rId2744" ref="EQ1192"/>
    <hyperlink r:id="rId2745" ref="A1193"/>
    <hyperlink r:id="rId2746" ref="EQ1193"/>
    <hyperlink r:id="rId2747" ref="A1194"/>
    <hyperlink r:id="rId2748" ref="EQ1194"/>
    <hyperlink r:id="rId2749" ref="A1195"/>
    <hyperlink r:id="rId2750" ref="EQ1195"/>
    <hyperlink r:id="rId2751" ref="A1196"/>
    <hyperlink r:id="rId2752" ref="EQ1196"/>
    <hyperlink r:id="rId2753" ref="A1197"/>
    <hyperlink r:id="rId2754" ref="EQ1197"/>
    <hyperlink r:id="rId2755" ref="A1198"/>
    <hyperlink r:id="rId2756" ref="EQ1198"/>
    <hyperlink r:id="rId2757" ref="A1199"/>
    <hyperlink r:id="rId2758" ref="EQ1199"/>
    <hyperlink r:id="rId2759" ref="A1200"/>
    <hyperlink r:id="rId2760" ref="EQ1200"/>
    <hyperlink r:id="rId2761" ref="A1201"/>
    <hyperlink r:id="rId2762" ref="EQ1201"/>
    <hyperlink r:id="rId2763" ref="A1202"/>
    <hyperlink r:id="rId2764" ref="EQ1202"/>
    <hyperlink r:id="rId2765" ref="A1203"/>
    <hyperlink r:id="rId2766" ref="EQ1203"/>
    <hyperlink r:id="rId2767" ref="A1204"/>
    <hyperlink r:id="rId2768" ref="EQ1204"/>
    <hyperlink r:id="rId2769" ref="A1205"/>
    <hyperlink r:id="rId2770" ref="EQ1205"/>
    <hyperlink r:id="rId2771" ref="A1206"/>
    <hyperlink r:id="rId2772" ref="BR1206"/>
    <hyperlink r:id="rId2773" ref="EQ1206"/>
    <hyperlink r:id="rId2774" ref="A1207"/>
    <hyperlink r:id="rId2775" ref="EQ1207"/>
    <hyperlink r:id="rId2776" ref="A1208"/>
    <hyperlink r:id="rId2777" ref="EQ1208"/>
    <hyperlink r:id="rId2778" ref="A1209"/>
    <hyperlink r:id="rId2779" ref="EQ1209"/>
    <hyperlink r:id="rId2780" ref="A1210"/>
    <hyperlink r:id="rId2781" ref="EQ1210"/>
    <hyperlink r:id="rId2782" ref="A1211"/>
    <hyperlink r:id="rId2783" ref="EQ1211"/>
    <hyperlink r:id="rId2784" ref="A1212"/>
    <hyperlink r:id="rId2785" ref="EQ1212"/>
    <hyperlink r:id="rId2786" ref="A1213"/>
    <hyperlink r:id="rId2787" ref="BR1213"/>
    <hyperlink r:id="rId2788" ref="EQ1213"/>
    <hyperlink r:id="rId2789" ref="A1214"/>
    <hyperlink r:id="rId2790" ref="EQ1214"/>
    <hyperlink r:id="rId2791" ref="A1215"/>
    <hyperlink r:id="rId2792" ref="EQ1215"/>
    <hyperlink r:id="rId2793" ref="A1216"/>
    <hyperlink r:id="rId2794" ref="EQ1216"/>
    <hyperlink r:id="rId2795" ref="A1217"/>
    <hyperlink r:id="rId2796" ref="EQ1217"/>
    <hyperlink r:id="rId2797" ref="A1218"/>
    <hyperlink r:id="rId2798" ref="EQ1218"/>
    <hyperlink r:id="rId2799" ref="A1219"/>
    <hyperlink r:id="rId2800" ref="EQ1219"/>
    <hyperlink r:id="rId2801" ref="A1220"/>
    <hyperlink r:id="rId2802" ref="EQ1220"/>
    <hyperlink r:id="rId2803" ref="A1221"/>
    <hyperlink r:id="rId2804" ref="EQ1221"/>
    <hyperlink r:id="rId2805" ref="A1222"/>
    <hyperlink r:id="rId2806" ref="EQ1222"/>
    <hyperlink r:id="rId2807" ref="A1223"/>
    <hyperlink r:id="rId2808" ref="EQ1223"/>
    <hyperlink r:id="rId2809" ref="A1224"/>
    <hyperlink r:id="rId2810" ref="EQ1224"/>
    <hyperlink r:id="rId2811" ref="A1225"/>
    <hyperlink r:id="rId2812" ref="EQ1225"/>
    <hyperlink r:id="rId2813" ref="A1226"/>
    <hyperlink r:id="rId2814" ref="EQ1226"/>
    <hyperlink r:id="rId2815" ref="A1227"/>
    <hyperlink r:id="rId2816" ref="EQ1227"/>
    <hyperlink r:id="rId2817" ref="A1228"/>
    <hyperlink r:id="rId2818" ref="EQ1228"/>
    <hyperlink r:id="rId2819" ref="A1229"/>
    <hyperlink r:id="rId2820" ref="EQ1229"/>
    <hyperlink r:id="rId2821" ref="A1230"/>
    <hyperlink r:id="rId2822" ref="EQ1230"/>
    <hyperlink r:id="rId2823" ref="A1231"/>
    <hyperlink r:id="rId2824" ref="EQ1231"/>
    <hyperlink r:id="rId2825" ref="A1232"/>
    <hyperlink r:id="rId2826" ref="EQ1232"/>
    <hyperlink r:id="rId2827" ref="A1233"/>
    <hyperlink r:id="rId2828" ref="EQ1233"/>
    <hyperlink r:id="rId2829" ref="A1234"/>
    <hyperlink r:id="rId2830" ref="EQ1234"/>
    <hyperlink r:id="rId2831" ref="A1235"/>
    <hyperlink r:id="rId2832" ref="EQ1235"/>
    <hyperlink r:id="rId2833" ref="A1236"/>
    <hyperlink r:id="rId2834" ref="EQ1236"/>
    <hyperlink r:id="rId2835" ref="A1237"/>
    <hyperlink r:id="rId2836" ref="EQ1237"/>
    <hyperlink r:id="rId2837" ref="A1238"/>
    <hyperlink r:id="rId2838" ref="EQ1238"/>
    <hyperlink r:id="rId2839" ref="A1239"/>
    <hyperlink r:id="rId2840" ref="EQ1239"/>
    <hyperlink r:id="rId2841" ref="A1240"/>
    <hyperlink r:id="rId2842" ref="EQ1240"/>
    <hyperlink r:id="rId2843" ref="A1241"/>
    <hyperlink r:id="rId2844" ref="EQ1241"/>
    <hyperlink r:id="rId2845" ref="A1242"/>
    <hyperlink r:id="rId2846" ref="EQ1242"/>
    <hyperlink r:id="rId2847" ref="A1243"/>
    <hyperlink r:id="rId2848" ref="EQ1243"/>
    <hyperlink r:id="rId2849" ref="A1244"/>
    <hyperlink r:id="rId2850" ref="EQ1244"/>
    <hyperlink r:id="rId2851" ref="A1245"/>
    <hyperlink r:id="rId2852" ref="AG1245"/>
    <hyperlink r:id="rId2853" ref="EQ1245"/>
    <hyperlink r:id="rId2854" ref="A1246"/>
    <hyperlink r:id="rId2855" ref="EQ1246"/>
    <hyperlink r:id="rId2856" ref="A1247"/>
    <hyperlink r:id="rId2857" ref="EQ1247"/>
    <hyperlink r:id="rId2858" ref="A1248"/>
    <hyperlink r:id="rId2859" ref="EQ1248"/>
    <hyperlink r:id="rId2860" ref="A1249"/>
    <hyperlink r:id="rId2861" ref="BR1249"/>
    <hyperlink r:id="rId2862" ref="EQ1249"/>
    <hyperlink r:id="rId2863" ref="A1250"/>
    <hyperlink r:id="rId2864" ref="EQ1250"/>
    <hyperlink r:id="rId2865" ref="A1251"/>
    <hyperlink r:id="rId2866" ref="EQ1251"/>
    <hyperlink r:id="rId2867" ref="A1252"/>
    <hyperlink r:id="rId2868" ref="EQ1252"/>
    <hyperlink r:id="rId2869" ref="A1253"/>
    <hyperlink r:id="rId2870" ref="EQ1253"/>
    <hyperlink r:id="rId2871" ref="A1254"/>
    <hyperlink r:id="rId2872" ref="EQ1254"/>
    <hyperlink r:id="rId2873" ref="A1255"/>
    <hyperlink r:id="rId2874" ref="EQ1255"/>
    <hyperlink r:id="rId2875" ref="A1256"/>
    <hyperlink r:id="rId2876" ref="EQ1256"/>
    <hyperlink r:id="rId2877" ref="A1257"/>
    <hyperlink r:id="rId2878" ref="EQ1257"/>
    <hyperlink r:id="rId2879" ref="A1258"/>
    <hyperlink r:id="rId2880" ref="EQ1258"/>
    <hyperlink r:id="rId2881" ref="A1259"/>
    <hyperlink r:id="rId2882" ref="EQ1259"/>
    <hyperlink r:id="rId2883" ref="A1260"/>
    <hyperlink r:id="rId2884" ref="EQ1260"/>
    <hyperlink r:id="rId2885" ref="A1261"/>
    <hyperlink r:id="rId2886" ref="EQ1261"/>
    <hyperlink r:id="rId2887" ref="A1262"/>
    <hyperlink r:id="rId2888" ref="BR1262"/>
    <hyperlink r:id="rId2889" ref="EQ1262"/>
    <hyperlink r:id="rId2890" ref="A1263"/>
    <hyperlink r:id="rId2891" ref="BR1263"/>
    <hyperlink r:id="rId2892" ref="EQ1263"/>
    <hyperlink r:id="rId2893" ref="A1264"/>
    <hyperlink r:id="rId2894" ref="BR1264"/>
    <hyperlink r:id="rId2895" ref="EQ1264"/>
    <hyperlink r:id="rId2896" ref="A1265"/>
    <hyperlink r:id="rId2897" ref="BR1265"/>
    <hyperlink r:id="rId2898" ref="EQ1265"/>
    <hyperlink r:id="rId2899" ref="A1266"/>
    <hyperlink r:id="rId2900" ref="BR1266"/>
    <hyperlink r:id="rId2901" ref="EQ1266"/>
    <hyperlink r:id="rId2902" ref="A1267"/>
    <hyperlink r:id="rId2903" ref="BR1267"/>
    <hyperlink r:id="rId2904" ref="EQ1267"/>
    <hyperlink r:id="rId2905" ref="A1268"/>
    <hyperlink r:id="rId2906" ref="EQ1268"/>
    <hyperlink r:id="rId2907" ref="A1269"/>
    <hyperlink r:id="rId2908" ref="EQ1269"/>
    <hyperlink r:id="rId2909" ref="A1270"/>
    <hyperlink r:id="rId2910" ref="EQ1270"/>
    <hyperlink r:id="rId2911" ref="A1271"/>
    <hyperlink r:id="rId2912" ref="EQ1271"/>
    <hyperlink r:id="rId2913" ref="A1272"/>
    <hyperlink r:id="rId2914" ref="EQ1272"/>
    <hyperlink r:id="rId2915" ref="A1273"/>
    <hyperlink r:id="rId2916" ref="EQ1273"/>
    <hyperlink r:id="rId2917" ref="A1274"/>
    <hyperlink r:id="rId2918" ref="EQ1274"/>
    <hyperlink r:id="rId2919" ref="A1275"/>
    <hyperlink r:id="rId2920" ref="EQ1275"/>
    <hyperlink r:id="rId2921" ref="A1276"/>
    <hyperlink r:id="rId2922" ref="EQ1276"/>
    <hyperlink r:id="rId2923" ref="A1277"/>
    <hyperlink r:id="rId2924" ref="EQ1277"/>
    <hyperlink r:id="rId2925" ref="A1278"/>
    <hyperlink r:id="rId2926" ref="EQ1278"/>
    <hyperlink r:id="rId2927" ref="A1279"/>
    <hyperlink r:id="rId2928" ref="EQ1279"/>
    <hyperlink r:id="rId2929" ref="A1280"/>
    <hyperlink r:id="rId2930" ref="EQ1280"/>
    <hyperlink r:id="rId2931" ref="A1281"/>
    <hyperlink r:id="rId2932" ref="EQ1281"/>
    <hyperlink r:id="rId2933" ref="A1282"/>
    <hyperlink r:id="rId2934" ref="EQ1282"/>
    <hyperlink r:id="rId2935" ref="A1283"/>
    <hyperlink r:id="rId2936" ref="EQ1283"/>
    <hyperlink r:id="rId2937" ref="A1284"/>
    <hyperlink r:id="rId2938" ref="EQ1284"/>
    <hyperlink r:id="rId2939" ref="A1285"/>
    <hyperlink r:id="rId2940" ref="EQ1285"/>
    <hyperlink r:id="rId2941" ref="A1286"/>
    <hyperlink r:id="rId2942" ref="EQ1286"/>
    <hyperlink r:id="rId2943" ref="A1287"/>
    <hyperlink r:id="rId2944" ref="EQ1287"/>
    <hyperlink r:id="rId2945" ref="A1288"/>
    <hyperlink r:id="rId2946" ref="EQ1288"/>
    <hyperlink r:id="rId2947" ref="A1289"/>
    <hyperlink r:id="rId2948" ref="EQ1289"/>
    <hyperlink r:id="rId2949" ref="A1290"/>
    <hyperlink r:id="rId2950" ref="EQ1290"/>
    <hyperlink r:id="rId2951" ref="A1291"/>
    <hyperlink r:id="rId2952" ref="EQ1291"/>
    <hyperlink r:id="rId2953" ref="A1292"/>
    <hyperlink r:id="rId2954" ref="EQ1292"/>
    <hyperlink r:id="rId2955" ref="A1293"/>
    <hyperlink r:id="rId2956" ref="EQ1293"/>
    <hyperlink r:id="rId2957" ref="A1294"/>
    <hyperlink r:id="rId2958" ref="EQ1294"/>
    <hyperlink r:id="rId2959" ref="A1295"/>
    <hyperlink r:id="rId2960" ref="EQ1295"/>
    <hyperlink r:id="rId2961" ref="A1296"/>
    <hyperlink r:id="rId2962" ref="EQ1296"/>
    <hyperlink r:id="rId2963" ref="A1297"/>
    <hyperlink r:id="rId2964" ref="AG1297"/>
    <hyperlink r:id="rId2965" ref="EQ1297"/>
    <hyperlink r:id="rId2966" ref="A1298"/>
    <hyperlink r:id="rId2967" ref="EQ1298"/>
    <hyperlink r:id="rId2968" ref="A1299"/>
    <hyperlink r:id="rId2969" ref="EQ1299"/>
    <hyperlink r:id="rId2970" ref="A1300"/>
    <hyperlink r:id="rId2971" ref="EQ1300"/>
    <hyperlink r:id="rId2972" ref="A1301"/>
    <hyperlink r:id="rId2973" ref="AG1301"/>
    <hyperlink r:id="rId2974" ref="EQ1301"/>
    <hyperlink r:id="rId2975" ref="A1302"/>
    <hyperlink r:id="rId2976" ref="EQ1302"/>
    <hyperlink r:id="rId2977" ref="A1303"/>
    <hyperlink r:id="rId2978" ref="AG1303"/>
    <hyperlink r:id="rId2979" ref="EQ1303"/>
    <hyperlink r:id="rId2980" ref="A1304"/>
    <hyperlink r:id="rId2981" ref="AG1304"/>
    <hyperlink r:id="rId2982" ref="EQ1304"/>
    <hyperlink r:id="rId2983" ref="A1305"/>
    <hyperlink r:id="rId2984" ref="EQ1305"/>
    <hyperlink r:id="rId2985" ref="A1306"/>
    <hyperlink r:id="rId2986" ref="EQ1306"/>
    <hyperlink r:id="rId2987" ref="A1307"/>
    <hyperlink r:id="rId2988" ref="EQ1307"/>
    <hyperlink r:id="rId2989" ref="A1308"/>
    <hyperlink r:id="rId2990" ref="AG1308"/>
    <hyperlink r:id="rId2991" ref="EQ1308"/>
    <hyperlink r:id="rId2992" ref="A1309"/>
    <hyperlink r:id="rId2993" ref="EQ1309"/>
    <hyperlink r:id="rId2994" ref="A1310"/>
    <hyperlink r:id="rId2995" ref="EQ1310"/>
    <hyperlink r:id="rId2996" ref="A1311"/>
    <hyperlink r:id="rId2997" ref="EQ1311"/>
    <hyperlink r:id="rId2998" ref="A1312"/>
    <hyperlink r:id="rId2999" ref="EQ1312"/>
    <hyperlink r:id="rId3000" ref="A1313"/>
    <hyperlink r:id="rId3001" ref="AG1313"/>
    <hyperlink r:id="rId3002" ref="AI1313"/>
    <hyperlink r:id="rId3003" ref="EQ1313"/>
    <hyperlink r:id="rId3004" ref="A1314"/>
    <hyperlink r:id="rId3005" ref="AG1314"/>
    <hyperlink r:id="rId3006" ref="EQ1314"/>
    <hyperlink r:id="rId3007" ref="A1315"/>
    <hyperlink r:id="rId3008" ref="EQ1315"/>
    <hyperlink r:id="rId3009" ref="A1316"/>
    <hyperlink r:id="rId3010" ref="EQ1316"/>
    <hyperlink r:id="rId3011" ref="A1317"/>
    <hyperlink r:id="rId3012" ref="EQ1317"/>
    <hyperlink r:id="rId3013" ref="A1318"/>
    <hyperlink r:id="rId3014" ref="EQ1318"/>
    <hyperlink r:id="rId3015" ref="A1319"/>
    <hyperlink r:id="rId3016" ref="EQ1319"/>
    <hyperlink r:id="rId3017" ref="A1320"/>
    <hyperlink r:id="rId3018" ref="EQ1320"/>
    <hyperlink r:id="rId3019" ref="A1321"/>
    <hyperlink r:id="rId3020" ref="EQ1321"/>
    <hyperlink r:id="rId3021" ref="A1322"/>
    <hyperlink r:id="rId3022" ref="EQ1322"/>
    <hyperlink r:id="rId3023" ref="A1323"/>
    <hyperlink r:id="rId3024" ref="AG1323"/>
    <hyperlink r:id="rId3025" ref="EQ1323"/>
    <hyperlink r:id="rId3026" ref="A1324"/>
    <hyperlink r:id="rId3027" ref="EQ1324"/>
    <hyperlink r:id="rId3028" ref="A1325"/>
    <hyperlink r:id="rId3029" ref="EQ1325"/>
    <hyperlink r:id="rId3030" ref="A1326"/>
    <hyperlink r:id="rId3031" ref="EQ1326"/>
    <hyperlink r:id="rId3032" ref="A1327"/>
    <hyperlink r:id="rId3033" ref="EQ1327"/>
    <hyperlink r:id="rId3034" ref="A1328"/>
    <hyperlink r:id="rId3035" ref="EQ1328"/>
    <hyperlink r:id="rId3036" ref="A1329"/>
    <hyperlink r:id="rId3037" ref="EQ1329"/>
    <hyperlink r:id="rId3038" ref="A1330"/>
    <hyperlink r:id="rId3039" ref="EQ1330"/>
    <hyperlink r:id="rId3040" ref="A1331"/>
    <hyperlink r:id="rId3041" ref="EQ1331"/>
    <hyperlink r:id="rId3042" ref="A1332"/>
    <hyperlink r:id="rId3043" ref="EQ1332"/>
    <hyperlink r:id="rId3044" ref="A1333"/>
    <hyperlink r:id="rId3045" ref="EQ1333"/>
    <hyperlink r:id="rId3046" ref="A1334"/>
    <hyperlink r:id="rId3047" ref="EQ1334"/>
    <hyperlink r:id="rId3048" ref="A1335"/>
    <hyperlink r:id="rId3049" ref="EQ1335"/>
    <hyperlink r:id="rId3050" ref="A1336"/>
    <hyperlink r:id="rId3051" ref="EQ1336"/>
    <hyperlink r:id="rId3052" ref="A1337"/>
    <hyperlink r:id="rId3053" ref="EQ1337"/>
    <hyperlink r:id="rId3054" ref="A1338"/>
    <hyperlink r:id="rId3055" ref="EQ1338"/>
    <hyperlink r:id="rId3056" ref="A1339"/>
    <hyperlink r:id="rId3057" ref="EQ1339"/>
    <hyperlink r:id="rId3058" ref="A1340"/>
    <hyperlink r:id="rId3059" ref="EQ1340"/>
    <hyperlink r:id="rId3060" ref="A1341"/>
    <hyperlink r:id="rId3061" ref="EQ1341"/>
    <hyperlink r:id="rId3062" ref="A1342"/>
    <hyperlink r:id="rId3063" ref="EQ1342"/>
    <hyperlink r:id="rId3064" ref="A1343"/>
    <hyperlink r:id="rId3065" ref="AG1343"/>
    <hyperlink r:id="rId3066" ref="EQ1343"/>
    <hyperlink r:id="rId3067" ref="A1344"/>
    <hyperlink r:id="rId3068" ref="EQ1344"/>
    <hyperlink r:id="rId3069" ref="A1345"/>
    <hyperlink r:id="rId3070" ref="EQ1345"/>
    <hyperlink r:id="rId3071" ref="A1346"/>
    <hyperlink r:id="rId3072" ref="EQ1346"/>
    <hyperlink r:id="rId3073" ref="A1347"/>
    <hyperlink r:id="rId3074" ref="EQ1347"/>
    <hyperlink r:id="rId3075" ref="A1348"/>
    <hyperlink r:id="rId3076" ref="EQ1348"/>
    <hyperlink r:id="rId3077" ref="A1349"/>
    <hyperlink r:id="rId3078" ref="EQ1349"/>
    <hyperlink r:id="rId3079" ref="A1350"/>
    <hyperlink r:id="rId3080" ref="EQ1350"/>
    <hyperlink r:id="rId3081" ref="A1351"/>
    <hyperlink r:id="rId3082" ref="EQ1351"/>
    <hyperlink r:id="rId3083" ref="A1352"/>
    <hyperlink r:id="rId3084" ref="EQ1352"/>
    <hyperlink r:id="rId3085" ref="A1353"/>
    <hyperlink r:id="rId3086" ref="EQ1353"/>
    <hyperlink r:id="rId3087" ref="A1354"/>
    <hyperlink r:id="rId3088" ref="EQ1354"/>
    <hyperlink r:id="rId3089" ref="A1355"/>
    <hyperlink r:id="rId3090" ref="EQ1355"/>
    <hyperlink r:id="rId3091" ref="A1356"/>
    <hyperlink r:id="rId3092" ref="EQ1356"/>
    <hyperlink r:id="rId3093" ref="A1357"/>
    <hyperlink r:id="rId3094" ref="EQ1357"/>
    <hyperlink r:id="rId3095" ref="A1358"/>
    <hyperlink r:id="rId3096" ref="EQ1358"/>
    <hyperlink r:id="rId3097" ref="A1359"/>
    <hyperlink r:id="rId3098" ref="EQ1359"/>
    <hyperlink r:id="rId3099" ref="A1360"/>
    <hyperlink r:id="rId3100" ref="EQ1360"/>
    <hyperlink r:id="rId3101" ref="A1361"/>
    <hyperlink r:id="rId3102" ref="EQ1361"/>
    <hyperlink r:id="rId3103" ref="A1362"/>
    <hyperlink r:id="rId3104" ref="EQ1362"/>
    <hyperlink r:id="rId3105" ref="A1363"/>
    <hyperlink r:id="rId3106" ref="EQ1363"/>
    <hyperlink r:id="rId3107" ref="A1364"/>
    <hyperlink r:id="rId3108" ref="EQ1364"/>
    <hyperlink r:id="rId3109" ref="A1365"/>
    <hyperlink r:id="rId3110" ref="EQ1365"/>
    <hyperlink r:id="rId3111" ref="A1366"/>
    <hyperlink r:id="rId3112" ref="EQ1366"/>
    <hyperlink r:id="rId3113" ref="A1367"/>
    <hyperlink r:id="rId3114" ref="EQ1367"/>
    <hyperlink r:id="rId3115" ref="A1368"/>
    <hyperlink r:id="rId3116" ref="EQ1368"/>
    <hyperlink r:id="rId3117" ref="A1369"/>
    <hyperlink r:id="rId3118" ref="EQ1369"/>
    <hyperlink r:id="rId3119" ref="A1370"/>
    <hyperlink r:id="rId3120" ref="EQ1370"/>
    <hyperlink r:id="rId3121" ref="A1371"/>
    <hyperlink r:id="rId3122" ref="EQ1371"/>
    <hyperlink r:id="rId3123" ref="A1372"/>
    <hyperlink r:id="rId3124" ref="EQ1372"/>
    <hyperlink r:id="rId3125" ref="A1373"/>
    <hyperlink r:id="rId3126" ref="EQ1373"/>
    <hyperlink r:id="rId3127" ref="A1374"/>
    <hyperlink r:id="rId3128" ref="EQ1374"/>
    <hyperlink r:id="rId3129" ref="A1375"/>
    <hyperlink r:id="rId3130" ref="EQ1375"/>
    <hyperlink r:id="rId3131" ref="A1376"/>
    <hyperlink r:id="rId3132" ref="EQ1376"/>
    <hyperlink r:id="rId3133" ref="A1377"/>
    <hyperlink r:id="rId3134" ref="EQ1377"/>
    <hyperlink r:id="rId3135" ref="A1378"/>
    <hyperlink r:id="rId3136" ref="EQ1378"/>
    <hyperlink r:id="rId3137" ref="A1379"/>
    <hyperlink r:id="rId3138" ref="EQ1379"/>
    <hyperlink r:id="rId3139" ref="A1380"/>
    <hyperlink r:id="rId3140" ref="EQ1380"/>
    <hyperlink r:id="rId3141" ref="A1381"/>
    <hyperlink r:id="rId3142" ref="EQ1381"/>
    <hyperlink r:id="rId3143" ref="A1382"/>
    <hyperlink r:id="rId3144" ref="EQ1382"/>
    <hyperlink r:id="rId3145" ref="A1383"/>
    <hyperlink r:id="rId3146" ref="EQ1383"/>
    <hyperlink r:id="rId3147" ref="A1384"/>
    <hyperlink r:id="rId3148" ref="EQ1384"/>
    <hyperlink r:id="rId3149" ref="A1385"/>
    <hyperlink r:id="rId3150" ref="EQ1385"/>
    <hyperlink r:id="rId3151" ref="A1386"/>
    <hyperlink r:id="rId3152" ref="EQ1386"/>
    <hyperlink r:id="rId3153" ref="A1387"/>
    <hyperlink r:id="rId3154" ref="EQ1387"/>
    <hyperlink r:id="rId3155" ref="A1388"/>
    <hyperlink r:id="rId3156" ref="EQ1388"/>
    <hyperlink r:id="rId3157" ref="A1389"/>
    <hyperlink r:id="rId3158" ref="EQ1389"/>
    <hyperlink r:id="rId3159" ref="A1390"/>
    <hyperlink r:id="rId3160" ref="EQ1390"/>
    <hyperlink r:id="rId3161" ref="A1391"/>
    <hyperlink r:id="rId3162" ref="EQ1391"/>
    <hyperlink r:id="rId3163" ref="A1392"/>
    <hyperlink r:id="rId3164" ref="EQ1392"/>
    <hyperlink r:id="rId3165" ref="A1393"/>
    <hyperlink r:id="rId3166" ref="EQ1393"/>
    <hyperlink r:id="rId3167" ref="A1394"/>
    <hyperlink r:id="rId3168" ref="EQ1394"/>
    <hyperlink r:id="rId3169" ref="A1395"/>
    <hyperlink r:id="rId3170" ref="EQ1395"/>
    <hyperlink r:id="rId3171" ref="A1396"/>
    <hyperlink r:id="rId3172" ref="EQ1396"/>
    <hyperlink r:id="rId3173" ref="A1397"/>
    <hyperlink r:id="rId3174" ref="EQ1397"/>
    <hyperlink r:id="rId3175" ref="A1398"/>
    <hyperlink r:id="rId3176" ref="EQ1398"/>
    <hyperlink r:id="rId3177" ref="A1399"/>
    <hyperlink r:id="rId3178" ref="EQ1399"/>
    <hyperlink r:id="rId3179" ref="A1400"/>
    <hyperlink r:id="rId3180" ref="EQ1400"/>
    <hyperlink r:id="rId3181" ref="A1401"/>
    <hyperlink r:id="rId3182" ref="EQ1401"/>
    <hyperlink r:id="rId3183" ref="A1402"/>
    <hyperlink r:id="rId3184" ref="EQ1402"/>
    <hyperlink r:id="rId3185" ref="A1403"/>
    <hyperlink r:id="rId3186" ref="EQ1403"/>
    <hyperlink r:id="rId3187" ref="A1404"/>
    <hyperlink r:id="rId3188" ref="EQ1404"/>
    <hyperlink r:id="rId3189" ref="A1405"/>
    <hyperlink r:id="rId3190" ref="EQ1405"/>
    <hyperlink r:id="rId3191" ref="A1406"/>
    <hyperlink r:id="rId3192" ref="EQ1406"/>
    <hyperlink r:id="rId3193" ref="A1407"/>
    <hyperlink r:id="rId3194" ref="EQ1407"/>
    <hyperlink r:id="rId3195" ref="A1408"/>
    <hyperlink r:id="rId3196" ref="EQ1408"/>
    <hyperlink r:id="rId3197" ref="A1409"/>
    <hyperlink r:id="rId3198" ref="EQ1409"/>
    <hyperlink r:id="rId3199" ref="A1410"/>
    <hyperlink r:id="rId3200" ref="EQ1410"/>
    <hyperlink r:id="rId3201" ref="A1411"/>
    <hyperlink r:id="rId3202" ref="EQ1411"/>
    <hyperlink r:id="rId3203" ref="A1412"/>
    <hyperlink r:id="rId3204" ref="EQ1412"/>
    <hyperlink r:id="rId3205" ref="A1413"/>
    <hyperlink r:id="rId3206" ref="EQ1413"/>
    <hyperlink r:id="rId3207" ref="A1414"/>
    <hyperlink r:id="rId3208" ref="EQ1414"/>
    <hyperlink r:id="rId3209" ref="A1415"/>
    <hyperlink r:id="rId3210" ref="EQ1415"/>
    <hyperlink r:id="rId3211" ref="A1416"/>
    <hyperlink r:id="rId3212" ref="EQ1416"/>
    <hyperlink r:id="rId3213" ref="A1417"/>
    <hyperlink r:id="rId3214" ref="EQ1417"/>
    <hyperlink r:id="rId3215" ref="A1418"/>
    <hyperlink r:id="rId3216" ref="EQ1418"/>
    <hyperlink r:id="rId3217" ref="A1419"/>
    <hyperlink r:id="rId3218" ref="EQ1419"/>
    <hyperlink r:id="rId3219" ref="A1420"/>
    <hyperlink r:id="rId3220" ref="EQ1420"/>
    <hyperlink r:id="rId3221" ref="A1421"/>
    <hyperlink r:id="rId3222" ref="EQ1421"/>
    <hyperlink r:id="rId3223" ref="A1422"/>
    <hyperlink r:id="rId3224" ref="EQ1422"/>
    <hyperlink r:id="rId3225" ref="A1423"/>
    <hyperlink r:id="rId3226" ref="EQ1423"/>
    <hyperlink r:id="rId3227" ref="A1424"/>
    <hyperlink r:id="rId3228" ref="EQ1424"/>
    <hyperlink r:id="rId3229" ref="A1425"/>
    <hyperlink r:id="rId3230" ref="EQ1425"/>
    <hyperlink r:id="rId3231" ref="A1426"/>
    <hyperlink r:id="rId3232" ref="EQ1426"/>
    <hyperlink r:id="rId3233" ref="A1427"/>
    <hyperlink r:id="rId3234" ref="EQ1427"/>
    <hyperlink r:id="rId3235" ref="A1428"/>
    <hyperlink r:id="rId3236" ref="EQ1428"/>
    <hyperlink r:id="rId3237" ref="A1429"/>
    <hyperlink r:id="rId3238" ref="EQ1429"/>
    <hyperlink r:id="rId3239" ref="A1430"/>
    <hyperlink r:id="rId3240" ref="EQ1430"/>
    <hyperlink r:id="rId3241" ref="A1431"/>
    <hyperlink r:id="rId3242" ref="EQ1431"/>
    <hyperlink r:id="rId3243" ref="A1432"/>
    <hyperlink r:id="rId3244" ref="EQ1432"/>
    <hyperlink r:id="rId3245" ref="A1433"/>
    <hyperlink r:id="rId3246" ref="EQ1433"/>
    <hyperlink r:id="rId3247" ref="A1434"/>
    <hyperlink r:id="rId3248" ref="EQ1434"/>
    <hyperlink r:id="rId3249" ref="A1435"/>
    <hyperlink r:id="rId3250" ref="EQ1435"/>
    <hyperlink r:id="rId3251" ref="A1436"/>
    <hyperlink r:id="rId3252" ref="EQ1436"/>
    <hyperlink r:id="rId3253" ref="A1437"/>
    <hyperlink r:id="rId3254" ref="EQ1437"/>
    <hyperlink r:id="rId3255" ref="A1438"/>
    <hyperlink r:id="rId3256" ref="EQ1438"/>
    <hyperlink r:id="rId3257" ref="A1439"/>
    <hyperlink r:id="rId3258" ref="EQ1439"/>
    <hyperlink r:id="rId3259" ref="A1440"/>
    <hyperlink r:id="rId3260" ref="EQ1440"/>
    <hyperlink r:id="rId3261" ref="A1441"/>
    <hyperlink r:id="rId3262" ref="EQ1441"/>
    <hyperlink r:id="rId3263" ref="A1442"/>
    <hyperlink r:id="rId3264" ref="EQ1442"/>
    <hyperlink r:id="rId3265" ref="A1443"/>
    <hyperlink r:id="rId3266" ref="EQ1443"/>
    <hyperlink r:id="rId3267" ref="A1444"/>
    <hyperlink r:id="rId3268" ref="EQ1444"/>
    <hyperlink r:id="rId3269" ref="A1445"/>
    <hyperlink r:id="rId3270" ref="EQ1445"/>
    <hyperlink r:id="rId3271" ref="A1446"/>
    <hyperlink r:id="rId3272" ref="EQ1446"/>
    <hyperlink r:id="rId3273" ref="A1447"/>
    <hyperlink r:id="rId3274" ref="AG1447"/>
    <hyperlink r:id="rId3275" ref="EQ1447"/>
    <hyperlink r:id="rId3276" ref="A1448"/>
    <hyperlink r:id="rId3277" ref="EQ1448"/>
    <hyperlink r:id="rId3278" ref="A1449"/>
    <hyperlink r:id="rId3279" ref="EQ1449"/>
    <hyperlink r:id="rId3280" ref="A1450"/>
    <hyperlink r:id="rId3281" ref="EQ1450"/>
    <hyperlink r:id="rId3282" ref="A1451"/>
    <hyperlink r:id="rId3283" ref="EQ1451"/>
    <hyperlink r:id="rId3284" ref="A1452"/>
    <hyperlink r:id="rId3285" ref="AG1452"/>
    <hyperlink r:id="rId3286" ref="EQ1452"/>
    <hyperlink r:id="rId3287" ref="A1453"/>
    <hyperlink r:id="rId3288" ref="AG1453"/>
    <hyperlink r:id="rId3289" ref="EQ1453"/>
    <hyperlink r:id="rId3290" ref="A1454"/>
    <hyperlink r:id="rId3291" ref="AG1454"/>
    <hyperlink r:id="rId3292" ref="EQ1454"/>
    <hyperlink r:id="rId3293" ref="A1455"/>
    <hyperlink r:id="rId3294" ref="EQ1455"/>
    <hyperlink r:id="rId3295" ref="A1456"/>
    <hyperlink r:id="rId3296" ref="EQ1456"/>
    <hyperlink r:id="rId3297" ref="A1457"/>
    <hyperlink r:id="rId3298" ref="EQ1457"/>
    <hyperlink r:id="rId3299" ref="A1458"/>
    <hyperlink r:id="rId3300" ref="EQ1458"/>
    <hyperlink r:id="rId3301" ref="A1459"/>
    <hyperlink r:id="rId3302" ref="EQ1459"/>
    <hyperlink r:id="rId3303" ref="A1460"/>
    <hyperlink r:id="rId3304" ref="AG1460"/>
    <hyperlink r:id="rId3305" ref="EQ1460"/>
    <hyperlink r:id="rId3306" ref="A1461"/>
    <hyperlink r:id="rId3307" ref="EQ1461"/>
    <hyperlink r:id="rId3308" ref="A1462"/>
    <hyperlink r:id="rId3309" ref="EQ1462"/>
    <hyperlink r:id="rId3310" ref="A1463"/>
    <hyperlink r:id="rId3311" ref="EQ1463"/>
    <hyperlink r:id="rId3312" ref="A1464"/>
    <hyperlink r:id="rId3313" ref="AG1464"/>
    <hyperlink r:id="rId3314" ref="EQ1464"/>
    <hyperlink r:id="rId3315" ref="A1465"/>
    <hyperlink r:id="rId3316" ref="AG1465"/>
    <hyperlink r:id="rId3317" ref="EQ1465"/>
    <hyperlink r:id="rId3318" ref="A1466"/>
    <hyperlink r:id="rId3319" ref="EQ1466"/>
    <hyperlink r:id="rId3320" ref="A1467"/>
    <hyperlink r:id="rId3321" ref="EQ1467"/>
    <hyperlink r:id="rId3322" ref="A1468"/>
    <hyperlink r:id="rId3323" ref="EQ1468"/>
    <hyperlink r:id="rId3324" ref="A1469"/>
    <hyperlink r:id="rId3325" ref="AG1469"/>
    <hyperlink r:id="rId3326" ref="EQ1469"/>
    <hyperlink r:id="rId3327" ref="A1470"/>
    <hyperlink r:id="rId3328" ref="EQ1470"/>
    <hyperlink r:id="rId3329" ref="A1471"/>
    <hyperlink r:id="rId3330" ref="EQ1471"/>
    <hyperlink r:id="rId3331" ref="A1472"/>
    <hyperlink r:id="rId3332" ref="AG1472"/>
    <hyperlink r:id="rId3333" ref="EQ1472"/>
    <hyperlink r:id="rId3334" ref="A1473"/>
    <hyperlink r:id="rId3335" ref="EQ1473"/>
    <hyperlink r:id="rId3336" ref="A1474"/>
    <hyperlink r:id="rId3337" ref="EQ1474"/>
    <hyperlink r:id="rId3338" ref="A1475"/>
    <hyperlink r:id="rId3339" ref="EQ1475"/>
    <hyperlink r:id="rId3340" ref="A1476"/>
    <hyperlink r:id="rId3341" ref="EQ1476"/>
    <hyperlink r:id="rId3342" ref="A1477"/>
    <hyperlink r:id="rId3343" ref="EQ1477"/>
    <hyperlink r:id="rId3344" ref="A1478"/>
    <hyperlink r:id="rId3345" ref="EQ1478"/>
    <hyperlink r:id="rId3346" ref="A1479"/>
    <hyperlink r:id="rId3347" ref="EQ1479"/>
    <hyperlink r:id="rId3348" ref="A1480"/>
    <hyperlink r:id="rId3349" ref="EQ1480"/>
    <hyperlink r:id="rId3350" ref="A1481"/>
    <hyperlink r:id="rId3351" ref="EQ1481"/>
    <hyperlink r:id="rId3352" ref="A1482"/>
    <hyperlink r:id="rId3353" ref="EQ1482"/>
    <hyperlink r:id="rId3354" ref="A1483"/>
    <hyperlink r:id="rId3355" ref="BR1483"/>
    <hyperlink r:id="rId3356" ref="EQ1483"/>
    <hyperlink r:id="rId3357" ref="A1484"/>
    <hyperlink r:id="rId3358" ref="BR1484"/>
    <hyperlink r:id="rId3359" ref="EQ1484"/>
    <hyperlink r:id="rId3360" ref="A1485"/>
    <hyperlink r:id="rId3361" ref="EQ1485"/>
    <hyperlink r:id="rId3362" ref="A1486"/>
    <hyperlink r:id="rId3363" ref="BR1486"/>
    <hyperlink r:id="rId3364" ref="EQ1486"/>
    <hyperlink r:id="rId3365" ref="A1487"/>
    <hyperlink r:id="rId3366" ref="EQ1487"/>
    <hyperlink r:id="rId3367" ref="A1488"/>
    <hyperlink r:id="rId3368" ref="EQ1488"/>
    <hyperlink r:id="rId3369" ref="A1489"/>
    <hyperlink r:id="rId3370" ref="EQ1489"/>
    <hyperlink r:id="rId3371" ref="A1490"/>
    <hyperlink r:id="rId3372" ref="EQ1490"/>
    <hyperlink r:id="rId3373" ref="A1491"/>
    <hyperlink r:id="rId3374" ref="EQ1491"/>
    <hyperlink r:id="rId3375" ref="A1492"/>
    <hyperlink r:id="rId3376" ref="EQ1492"/>
    <hyperlink r:id="rId3377" ref="A1493"/>
    <hyperlink r:id="rId3378" ref="EQ1493"/>
    <hyperlink r:id="rId3379" ref="A1494"/>
    <hyperlink r:id="rId3380" ref="EQ1494"/>
    <hyperlink r:id="rId3381" ref="A1495"/>
    <hyperlink r:id="rId3382" ref="EQ1495"/>
    <hyperlink r:id="rId3383" ref="A1496"/>
    <hyperlink r:id="rId3384" ref="AG1496"/>
    <hyperlink r:id="rId3385" ref="EQ1496"/>
    <hyperlink r:id="rId3386" ref="A1497"/>
    <hyperlink r:id="rId3387" ref="AG1497"/>
    <hyperlink r:id="rId3388" ref="EQ1497"/>
    <hyperlink r:id="rId3389" ref="A1498"/>
    <hyperlink r:id="rId3390" ref="AG1498"/>
    <hyperlink r:id="rId3391" ref="EQ1498"/>
    <hyperlink r:id="rId3392" ref="A1499"/>
    <hyperlink r:id="rId3393" ref="AG1499"/>
    <hyperlink r:id="rId3394" ref="EQ1499"/>
    <hyperlink r:id="rId3395" ref="A1500"/>
    <hyperlink r:id="rId3396" ref="EQ1500"/>
    <hyperlink r:id="rId3397" ref="A1501"/>
    <hyperlink r:id="rId3398" ref="EQ1501"/>
    <hyperlink r:id="rId3399" ref="A1502"/>
    <hyperlink r:id="rId3400" ref="EQ1502"/>
    <hyperlink r:id="rId3401" ref="A1503"/>
    <hyperlink r:id="rId3402" ref="AG1503"/>
    <hyperlink r:id="rId3403" ref="EQ1503"/>
    <hyperlink r:id="rId3404" ref="A1504"/>
    <hyperlink r:id="rId3405" ref="AG1504"/>
    <hyperlink r:id="rId3406" ref="AH1504"/>
    <hyperlink r:id="rId3407" ref="AI1504"/>
    <hyperlink r:id="rId3408" ref="EQ1504"/>
    <hyperlink r:id="rId3409" ref="A1505"/>
    <hyperlink r:id="rId3410" ref="AG1505"/>
    <hyperlink r:id="rId3411" ref="AH1505"/>
    <hyperlink r:id="rId3412" ref="AI1505"/>
    <hyperlink r:id="rId3413" ref="EQ1505"/>
    <hyperlink r:id="rId3414" ref="A1506"/>
    <hyperlink r:id="rId3415" ref="EQ1506"/>
    <hyperlink r:id="rId3416" ref="A1507"/>
    <hyperlink r:id="rId3417" ref="AG1507"/>
    <hyperlink r:id="rId3418" ref="EQ1507"/>
    <hyperlink r:id="rId3419" ref="A1508"/>
    <hyperlink r:id="rId3420" ref="EQ1508"/>
    <hyperlink r:id="rId3421" ref="A1509"/>
    <hyperlink r:id="rId3422" ref="EQ1509"/>
    <hyperlink r:id="rId3423" ref="A1510"/>
    <hyperlink r:id="rId3424" ref="AG1510"/>
    <hyperlink r:id="rId3425" ref="EQ1510"/>
    <hyperlink r:id="rId3426" ref="A1511"/>
    <hyperlink r:id="rId3427" ref="AG1511"/>
    <hyperlink r:id="rId3428" ref="EQ1511"/>
    <hyperlink r:id="rId3429" ref="A1512"/>
    <hyperlink r:id="rId3430" ref="AG1512"/>
    <hyperlink r:id="rId3431" ref="AH1512"/>
    <hyperlink r:id="rId3432" ref="AI1512"/>
    <hyperlink r:id="rId3433" ref="EQ1512"/>
    <hyperlink r:id="rId3434" ref="A1513"/>
    <hyperlink r:id="rId3435" ref="AG1513"/>
    <hyperlink r:id="rId3436" ref="AH1513"/>
    <hyperlink r:id="rId3437" ref="AI1513"/>
    <hyperlink r:id="rId3438" ref="EQ1513"/>
    <hyperlink r:id="rId3439" ref="A1514"/>
    <hyperlink r:id="rId3440" ref="AG1514"/>
    <hyperlink r:id="rId3441" ref="EQ1514"/>
    <hyperlink r:id="rId3442" ref="A1515"/>
    <hyperlink r:id="rId3443" ref="BR1515"/>
    <hyperlink r:id="rId3444" ref="EQ1515"/>
    <hyperlink r:id="rId3445" ref="A1516"/>
    <hyperlink r:id="rId3446" ref="EQ1516"/>
    <hyperlink r:id="rId3447" ref="A1517"/>
    <hyperlink r:id="rId3448" ref="AG1517"/>
    <hyperlink r:id="rId3449" ref="EQ1517"/>
    <hyperlink r:id="rId3450" ref="A1518"/>
    <hyperlink r:id="rId3451" ref="AG1518"/>
    <hyperlink r:id="rId3452" ref="EQ1518"/>
    <hyperlink r:id="rId3453" ref="A1519"/>
    <hyperlink r:id="rId3454" ref="AG1519"/>
    <hyperlink r:id="rId3455" ref="EQ1519"/>
    <hyperlink r:id="rId3456" ref="A1520"/>
    <hyperlink r:id="rId3457" ref="EQ1520"/>
    <hyperlink r:id="rId3458" ref="A1521"/>
    <hyperlink r:id="rId3459" ref="EQ1521"/>
    <hyperlink r:id="rId3460" ref="A1522"/>
    <hyperlink r:id="rId3461" ref="BR1522"/>
    <hyperlink r:id="rId3462" ref="EQ1522"/>
    <hyperlink r:id="rId3463" ref="A1523"/>
    <hyperlink r:id="rId3464" ref="BR1523"/>
    <hyperlink r:id="rId3465" ref="EQ1523"/>
    <hyperlink r:id="rId3466" ref="A1524"/>
    <hyperlink r:id="rId3467" ref="EQ1524"/>
    <hyperlink r:id="rId3468" ref="A1525"/>
    <hyperlink r:id="rId3469" ref="AG1525"/>
    <hyperlink r:id="rId3470" ref="EQ1525"/>
    <hyperlink r:id="rId3471" ref="A1526"/>
    <hyperlink r:id="rId3472" ref="EQ1526"/>
    <hyperlink r:id="rId3473" ref="A1527"/>
    <hyperlink r:id="rId3474" ref="AG1527"/>
    <hyperlink r:id="rId3475" ref="EQ1527"/>
    <hyperlink r:id="rId3476" ref="A1528"/>
    <hyperlink r:id="rId3477" ref="BR1528"/>
    <hyperlink r:id="rId3478" ref="EQ1528"/>
    <hyperlink r:id="rId3479" ref="A1529"/>
    <hyperlink r:id="rId3480" ref="EQ1529"/>
    <hyperlink r:id="rId3481" ref="A1530"/>
    <hyperlink r:id="rId3482" ref="BR1530"/>
    <hyperlink r:id="rId3483" ref="EQ1530"/>
    <hyperlink r:id="rId3484" ref="A1531"/>
    <hyperlink r:id="rId3485" ref="AG1531"/>
    <hyperlink r:id="rId3486" ref="EQ1531"/>
    <hyperlink r:id="rId3487" ref="A1532"/>
    <hyperlink r:id="rId3488" ref="EQ1532"/>
    <hyperlink r:id="rId3489" ref="A1533"/>
    <hyperlink r:id="rId3490" ref="EQ1533"/>
    <hyperlink r:id="rId3491" ref="A1534"/>
    <hyperlink r:id="rId3492" ref="EQ1534"/>
    <hyperlink r:id="rId3493" ref="A1535"/>
    <hyperlink r:id="rId3494" ref="EQ1535"/>
    <hyperlink r:id="rId3495" ref="A1536"/>
    <hyperlink r:id="rId3496" ref="EQ1536"/>
    <hyperlink r:id="rId3497" ref="A1537"/>
    <hyperlink r:id="rId3498" ref="EQ1537"/>
    <hyperlink r:id="rId3499" ref="A1538"/>
    <hyperlink r:id="rId3500" ref="EQ1538"/>
    <hyperlink r:id="rId3501" ref="A1539"/>
    <hyperlink r:id="rId3502" ref="AG1539"/>
    <hyperlink r:id="rId3503" ref="EQ1539"/>
    <hyperlink r:id="rId3504" ref="A1540"/>
    <hyperlink r:id="rId3505" ref="BR1540"/>
    <hyperlink r:id="rId3506" ref="EQ1540"/>
    <hyperlink r:id="rId3507" ref="A1541"/>
    <hyperlink r:id="rId3508" ref="EQ1541"/>
    <hyperlink r:id="rId3509" ref="A1542"/>
    <hyperlink r:id="rId3510" ref="EQ1542"/>
    <hyperlink r:id="rId3511" ref="A1543"/>
    <hyperlink r:id="rId3512" ref="EQ1543"/>
    <hyperlink r:id="rId3513" ref="A1544"/>
    <hyperlink r:id="rId3514" ref="EQ1544"/>
    <hyperlink r:id="rId3515" ref="A1545"/>
    <hyperlink r:id="rId3516" ref="BR1545"/>
    <hyperlink r:id="rId3517" ref="EQ1545"/>
    <hyperlink r:id="rId3518" ref="A1546"/>
    <hyperlink r:id="rId3519" ref="EQ1546"/>
    <hyperlink r:id="rId3520" ref="A1547"/>
    <hyperlink r:id="rId3521" ref="EQ1547"/>
    <hyperlink r:id="rId3522" ref="A1548"/>
    <hyperlink r:id="rId3523" ref="AG1548"/>
    <hyperlink r:id="rId3524" ref="EQ1548"/>
    <hyperlink r:id="rId3525" ref="A1549"/>
    <hyperlink r:id="rId3526" ref="EQ1549"/>
    <hyperlink r:id="rId3527" ref="A1550"/>
    <hyperlink r:id="rId3528" ref="EQ1550"/>
    <hyperlink r:id="rId3529" ref="A1551"/>
    <hyperlink r:id="rId3530" ref="BR1551"/>
    <hyperlink r:id="rId3531" ref="EQ1551"/>
    <hyperlink r:id="rId3532" ref="A1552"/>
    <hyperlink r:id="rId3533" ref="EQ1552"/>
    <hyperlink r:id="rId3534" ref="A1553"/>
    <hyperlink r:id="rId3535" ref="AG1553"/>
    <hyperlink r:id="rId3536" ref="EQ1553"/>
    <hyperlink r:id="rId3537" ref="A1554"/>
    <hyperlink r:id="rId3538" ref="EQ1554"/>
    <hyperlink r:id="rId3539" ref="A1555"/>
    <hyperlink r:id="rId3540" ref="EQ1555"/>
    <hyperlink r:id="rId3541" ref="A1556"/>
    <hyperlink r:id="rId3542" ref="EQ1556"/>
    <hyperlink r:id="rId3543" ref="A1557"/>
    <hyperlink r:id="rId3544" ref="AG1557"/>
    <hyperlink r:id="rId3545" ref="EQ1557"/>
    <hyperlink r:id="rId3546" ref="A1558"/>
    <hyperlink r:id="rId3547" ref="AG1558"/>
    <hyperlink r:id="rId3548" ref="EQ1558"/>
    <hyperlink r:id="rId3549" ref="A1559"/>
    <hyperlink r:id="rId3550" ref="EQ1559"/>
    <hyperlink r:id="rId3551" ref="A1560"/>
    <hyperlink r:id="rId3552" ref="EQ1560"/>
    <hyperlink r:id="rId3553" ref="A1561"/>
    <hyperlink r:id="rId3554" ref="EQ1561"/>
    <hyperlink r:id="rId3555" ref="A1562"/>
    <hyperlink r:id="rId3556" ref="AG1562"/>
    <hyperlink r:id="rId3557" ref="EQ1562"/>
    <hyperlink r:id="rId3558" ref="A1563"/>
    <hyperlink r:id="rId3559" ref="AG1563"/>
    <hyperlink r:id="rId3560" ref="EQ1563"/>
    <hyperlink r:id="rId3561" ref="A1564"/>
    <hyperlink r:id="rId3562" ref="AG1564"/>
    <hyperlink r:id="rId3563" ref="EQ1564"/>
    <hyperlink r:id="rId3564" ref="A1565"/>
    <hyperlink r:id="rId3565" ref="AG1565"/>
    <hyperlink r:id="rId3566" ref="EQ1565"/>
    <hyperlink r:id="rId3567" ref="A1566"/>
    <hyperlink r:id="rId3568" ref="AG1566"/>
    <hyperlink r:id="rId3569" ref="EQ1566"/>
    <hyperlink r:id="rId3570" ref="A1567"/>
    <hyperlink r:id="rId3571" ref="EQ1567"/>
    <hyperlink r:id="rId3572" ref="A1568"/>
    <hyperlink r:id="rId3573" ref="EQ1568"/>
    <hyperlink r:id="rId3574" ref="A1569"/>
    <hyperlink r:id="rId3575" ref="EQ1569"/>
    <hyperlink r:id="rId3576" ref="A1570"/>
    <hyperlink r:id="rId3577" ref="EQ1570"/>
    <hyperlink r:id="rId3578" ref="A1571"/>
    <hyperlink r:id="rId3579" ref="EQ1571"/>
    <hyperlink r:id="rId3580" ref="A1572"/>
    <hyperlink r:id="rId3581" ref="EQ1572"/>
    <hyperlink r:id="rId3582" ref="A1573"/>
    <hyperlink r:id="rId3583" ref="EQ1573"/>
    <hyperlink r:id="rId3584" ref="A1574"/>
    <hyperlink r:id="rId3585" ref="EQ1574"/>
    <hyperlink r:id="rId3586" ref="A1575"/>
    <hyperlink r:id="rId3587" ref="AG1575"/>
    <hyperlink r:id="rId3588" ref="EQ1575"/>
    <hyperlink r:id="rId3589" ref="A1576"/>
    <hyperlink r:id="rId3590" ref="EQ1576"/>
    <hyperlink r:id="rId3591" ref="A1577"/>
    <hyperlink r:id="rId3592" ref="AG1577"/>
    <hyperlink r:id="rId3593" ref="EQ1577"/>
    <hyperlink r:id="rId3594" ref="A1578"/>
    <hyperlink r:id="rId3595" ref="AG1578"/>
    <hyperlink r:id="rId3596" ref="EQ1578"/>
    <hyperlink r:id="rId3597" ref="A1579"/>
    <hyperlink r:id="rId3598" ref="EQ1579"/>
    <hyperlink r:id="rId3599" ref="A1580"/>
    <hyperlink r:id="rId3600" ref="AG1580"/>
    <hyperlink r:id="rId3601" ref="EQ1580"/>
    <hyperlink r:id="rId3602" ref="A1581"/>
    <hyperlink r:id="rId3603" ref="EQ1581"/>
    <hyperlink r:id="rId3604" ref="A1582"/>
    <hyperlink r:id="rId3605" ref="EQ1582"/>
    <hyperlink r:id="rId3606" ref="A1583"/>
    <hyperlink r:id="rId3607" ref="EQ1583"/>
    <hyperlink r:id="rId3608" ref="A1584"/>
    <hyperlink r:id="rId3609" ref="AG1584"/>
    <hyperlink r:id="rId3610" ref="EQ1584"/>
    <hyperlink r:id="rId3611" ref="A1585"/>
    <hyperlink r:id="rId3612" ref="AG1585"/>
    <hyperlink r:id="rId3613" ref="EQ1585"/>
    <hyperlink r:id="rId3614" ref="A1586"/>
    <hyperlink r:id="rId3615" ref="AG1586"/>
    <hyperlink r:id="rId3616" ref="EQ1586"/>
    <hyperlink r:id="rId3617" ref="A1587"/>
    <hyperlink r:id="rId3618" ref="EQ1587"/>
    <hyperlink r:id="rId3619" ref="A1588"/>
    <hyperlink r:id="rId3620" ref="EQ1588"/>
    <hyperlink r:id="rId3621" ref="A1589"/>
    <hyperlink r:id="rId3622" ref="EQ1589"/>
    <hyperlink r:id="rId3623" ref="A1590"/>
    <hyperlink r:id="rId3624" ref="AG1590"/>
    <hyperlink r:id="rId3625" ref="EQ1590"/>
    <hyperlink r:id="rId3626" ref="A1591"/>
    <hyperlink r:id="rId3627" ref="EQ1591"/>
    <hyperlink r:id="rId3628" ref="A1592"/>
    <hyperlink r:id="rId3629" ref="EQ1592"/>
    <hyperlink r:id="rId3630" ref="A1593"/>
    <hyperlink r:id="rId3631" ref="EQ1593"/>
    <hyperlink r:id="rId3632" ref="A1594"/>
    <hyperlink r:id="rId3633" ref="AG1594"/>
    <hyperlink r:id="rId3634" ref="EQ1594"/>
    <hyperlink r:id="rId3635" ref="A1595"/>
    <hyperlink r:id="rId3636" ref="AG1595"/>
    <hyperlink r:id="rId3637" ref="EQ1595"/>
    <hyperlink r:id="rId3638" ref="A1596"/>
    <hyperlink r:id="rId3639" ref="AG1596"/>
    <hyperlink r:id="rId3640" ref="EQ1596"/>
    <hyperlink r:id="rId3641" ref="A1597"/>
    <hyperlink r:id="rId3642" ref="EQ1597"/>
    <hyperlink r:id="rId3643" ref="A1598"/>
    <hyperlink r:id="rId3644" ref="AG1598"/>
    <hyperlink r:id="rId3645" ref="EQ1598"/>
    <hyperlink r:id="rId3646" ref="A1599"/>
    <hyperlink r:id="rId3647" ref="EQ1599"/>
    <hyperlink r:id="rId3648" ref="A1600"/>
    <hyperlink r:id="rId3649" ref="EQ1600"/>
    <hyperlink r:id="rId3650" ref="A1601"/>
    <hyperlink r:id="rId3651" ref="EQ1601"/>
    <hyperlink r:id="rId3652" ref="A1602"/>
    <hyperlink r:id="rId3653" ref="EQ1602"/>
    <hyperlink r:id="rId3654" ref="A1603"/>
    <hyperlink r:id="rId3655" ref="EQ1603"/>
    <hyperlink r:id="rId3656" ref="A1604"/>
    <hyperlink r:id="rId3657" ref="EQ1604"/>
    <hyperlink r:id="rId3658" ref="A1605"/>
    <hyperlink r:id="rId3659" ref="AG1605"/>
    <hyperlink r:id="rId3660" ref="EQ1605"/>
    <hyperlink r:id="rId3661" ref="A1606"/>
    <hyperlink r:id="rId3662" ref="EQ1606"/>
    <hyperlink r:id="rId3663" ref="A1607"/>
    <hyperlink r:id="rId3664" ref="AG1607"/>
    <hyperlink r:id="rId3665" ref="EQ1607"/>
    <hyperlink r:id="rId3666" ref="A1608"/>
    <hyperlink r:id="rId3667" ref="AG1608"/>
    <hyperlink r:id="rId3668" ref="EQ1608"/>
    <hyperlink r:id="rId3669" ref="A1609"/>
    <hyperlink r:id="rId3670" ref="AG1609"/>
    <hyperlink r:id="rId3671" ref="EQ1609"/>
    <hyperlink r:id="rId3672" ref="A1610"/>
    <hyperlink r:id="rId3673" ref="AG1610"/>
    <hyperlink r:id="rId3674" ref="EQ1610"/>
    <hyperlink r:id="rId3675" ref="A1611"/>
    <hyperlink r:id="rId3676" ref="EQ1611"/>
    <hyperlink r:id="rId3677" ref="A1612"/>
    <hyperlink r:id="rId3678" ref="EQ1612"/>
    <hyperlink r:id="rId3679" ref="A1613"/>
    <hyperlink r:id="rId3680" ref="AG1613"/>
    <hyperlink r:id="rId3681" ref="EQ1613"/>
    <hyperlink r:id="rId3682" ref="A1614"/>
    <hyperlink r:id="rId3683" ref="EQ1614"/>
    <hyperlink r:id="rId3684" ref="A1615"/>
    <hyperlink r:id="rId3685" ref="EQ1615"/>
    <hyperlink r:id="rId3686" ref="A1616"/>
    <hyperlink r:id="rId3687" ref="EQ1616"/>
    <hyperlink r:id="rId3688" ref="A1617"/>
    <hyperlink r:id="rId3689" ref="EQ1617"/>
    <hyperlink r:id="rId3690" ref="A1618"/>
    <hyperlink r:id="rId3691" ref="EQ1618"/>
    <hyperlink r:id="rId3692" ref="A1619"/>
    <hyperlink r:id="rId3693" ref="EQ1619"/>
    <hyperlink r:id="rId3694" ref="A1620"/>
    <hyperlink r:id="rId3695" ref="EQ1620"/>
    <hyperlink r:id="rId3696" ref="A1621"/>
    <hyperlink r:id="rId3697" ref="EQ1621"/>
    <hyperlink r:id="rId3698" ref="A1622"/>
    <hyperlink r:id="rId3699" ref="EQ1622"/>
    <hyperlink r:id="rId3700" ref="A1623"/>
    <hyperlink r:id="rId3701" ref="EQ1623"/>
    <hyperlink r:id="rId3702" ref="A1624"/>
    <hyperlink r:id="rId3703" ref="EQ1624"/>
    <hyperlink r:id="rId3704" ref="A1625"/>
    <hyperlink r:id="rId3705" ref="AG1625"/>
    <hyperlink r:id="rId3706" ref="EQ1625"/>
    <hyperlink r:id="rId3707" ref="A1626"/>
    <hyperlink r:id="rId3708" ref="EQ1626"/>
    <hyperlink r:id="rId3709" ref="A1627"/>
    <hyperlink r:id="rId3710" ref="EQ1627"/>
    <hyperlink r:id="rId3711" ref="A1628"/>
    <hyperlink r:id="rId3712" ref="AG1628"/>
    <hyperlink r:id="rId3713" ref="EQ1628"/>
    <hyperlink r:id="rId3714" ref="A1629"/>
    <hyperlink r:id="rId3715" ref="EQ1629"/>
    <hyperlink r:id="rId3716" ref="A1630"/>
    <hyperlink r:id="rId3717" ref="EQ1630"/>
    <hyperlink r:id="rId3718" ref="A1631"/>
    <hyperlink r:id="rId3719" ref="EQ1631"/>
    <hyperlink r:id="rId3720" ref="A1632"/>
    <hyperlink r:id="rId3721" ref="EQ1632"/>
    <hyperlink r:id="rId3722" ref="A1633"/>
    <hyperlink r:id="rId3723" ref="AG1633"/>
    <hyperlink r:id="rId3724" ref="EQ1633"/>
    <hyperlink r:id="rId3725" ref="A1634"/>
    <hyperlink r:id="rId3726" ref="EQ1634"/>
    <hyperlink r:id="rId3727" ref="A1635"/>
    <hyperlink r:id="rId3728" ref="EQ1635"/>
    <hyperlink r:id="rId3729" ref="A1636"/>
    <hyperlink r:id="rId3730" ref="EQ1636"/>
    <hyperlink r:id="rId3731" ref="A1637"/>
    <hyperlink r:id="rId3732" ref="EQ1637"/>
    <hyperlink r:id="rId3733" ref="A1638"/>
    <hyperlink r:id="rId3734" ref="EQ1638"/>
    <hyperlink r:id="rId3735" ref="A1639"/>
    <hyperlink r:id="rId3736" ref="EQ1639"/>
    <hyperlink r:id="rId3737" ref="A1640"/>
    <hyperlink r:id="rId3738" ref="EQ1640"/>
    <hyperlink r:id="rId3739" ref="A1641"/>
    <hyperlink r:id="rId3740" ref="EQ1641"/>
    <hyperlink r:id="rId3741" ref="A1642"/>
    <hyperlink r:id="rId3742" ref="AG1642"/>
    <hyperlink r:id="rId3743" ref="EQ1642"/>
    <hyperlink r:id="rId3744" ref="A1643"/>
    <hyperlink r:id="rId3745" ref="EQ1643"/>
    <hyperlink r:id="rId3746" ref="A1644"/>
    <hyperlink r:id="rId3747" ref="AG1644"/>
    <hyperlink r:id="rId3748" ref="EQ1644"/>
    <hyperlink r:id="rId3749" ref="A1645"/>
    <hyperlink r:id="rId3750" ref="EQ1645"/>
    <hyperlink r:id="rId3751" ref="A1646"/>
    <hyperlink r:id="rId3752" ref="EQ1646"/>
    <hyperlink r:id="rId3753" ref="A1647"/>
    <hyperlink r:id="rId3754" ref="AG1647"/>
    <hyperlink r:id="rId3755" ref="EQ1647"/>
    <hyperlink r:id="rId3756" ref="A1648"/>
    <hyperlink r:id="rId3757" ref="EQ1648"/>
    <hyperlink r:id="rId3758" ref="A1649"/>
    <hyperlink r:id="rId3759" ref="AG1649"/>
    <hyperlink r:id="rId3760" ref="EQ1649"/>
    <hyperlink r:id="rId3761" ref="A1650"/>
    <hyperlink r:id="rId3762" ref="EQ1650"/>
    <hyperlink r:id="rId3763" ref="A1651"/>
    <hyperlink r:id="rId3764" ref="EQ1651"/>
    <hyperlink r:id="rId3765" ref="A1652"/>
    <hyperlink r:id="rId3766" ref="EQ1652"/>
    <hyperlink r:id="rId3767" ref="A1653"/>
    <hyperlink r:id="rId3768" ref="AG1653"/>
    <hyperlink r:id="rId3769" ref="EQ1653"/>
    <hyperlink r:id="rId3770" ref="A1654"/>
    <hyperlink r:id="rId3771" ref="EQ1654"/>
    <hyperlink r:id="rId3772" ref="A1655"/>
    <hyperlink r:id="rId3773" ref="AG1655"/>
    <hyperlink r:id="rId3774" ref="EQ1655"/>
    <hyperlink r:id="rId3775" ref="A1656"/>
    <hyperlink r:id="rId3776" ref="EQ1656"/>
    <hyperlink r:id="rId3777" ref="A1657"/>
    <hyperlink r:id="rId3778" ref="EQ1657"/>
    <hyperlink r:id="rId3779" ref="A1658"/>
    <hyperlink r:id="rId3780" ref="EQ1658"/>
    <hyperlink r:id="rId3781" ref="A1659"/>
    <hyperlink r:id="rId3782" ref="AG1659"/>
    <hyperlink r:id="rId3783" ref="EQ1659"/>
    <hyperlink r:id="rId3784" ref="A1660"/>
    <hyperlink r:id="rId3785" ref="EQ1660"/>
    <hyperlink r:id="rId3786" ref="A1661"/>
    <hyperlink r:id="rId3787" ref="AG1661"/>
    <hyperlink r:id="rId3788" ref="EQ1661"/>
    <hyperlink r:id="rId3789" ref="A1662"/>
    <hyperlink r:id="rId3790" ref="EQ1662"/>
    <hyperlink r:id="rId3791" ref="A1663"/>
    <hyperlink r:id="rId3792" ref="AG1663"/>
    <hyperlink r:id="rId3793" ref="EQ1663"/>
    <hyperlink r:id="rId3794" ref="A1664"/>
    <hyperlink r:id="rId3795" ref="EQ1664"/>
    <hyperlink r:id="rId3796" ref="A1665"/>
    <hyperlink r:id="rId3797" ref="EQ1665"/>
    <hyperlink r:id="rId3798" ref="A1666"/>
    <hyperlink r:id="rId3799" ref="AG1666"/>
    <hyperlink r:id="rId3800" ref="EQ1666"/>
    <hyperlink r:id="rId3801" ref="A1667"/>
    <hyperlink r:id="rId3802" ref="AG1667"/>
    <hyperlink r:id="rId3803" ref="EQ1667"/>
    <hyperlink r:id="rId3804" ref="A1668"/>
    <hyperlink r:id="rId3805" ref="EQ1668"/>
    <hyperlink r:id="rId3806" ref="A1669"/>
    <hyperlink r:id="rId3807" ref="EQ1669"/>
    <hyperlink r:id="rId3808" ref="A1670"/>
    <hyperlink r:id="rId3809" ref="AG1670"/>
    <hyperlink r:id="rId3810" ref="EQ1670"/>
    <hyperlink r:id="rId3811" ref="A1671"/>
    <hyperlink r:id="rId3812" ref="EQ1671"/>
    <hyperlink r:id="rId3813" ref="A1672"/>
    <hyperlink r:id="rId3814" ref="EQ1672"/>
    <hyperlink r:id="rId3815" ref="A1673"/>
    <hyperlink r:id="rId3816" ref="AG1673"/>
    <hyperlink r:id="rId3817" ref="EQ1673"/>
    <hyperlink r:id="rId3818" ref="A1674"/>
    <hyperlink r:id="rId3819" ref="AG1674"/>
    <hyperlink r:id="rId3820" ref="EQ1674"/>
    <hyperlink r:id="rId3821" ref="A1675"/>
    <hyperlink r:id="rId3822" ref="AG1675"/>
    <hyperlink r:id="rId3823" ref="EQ1675"/>
    <hyperlink r:id="rId3824" ref="A1676"/>
    <hyperlink r:id="rId3825" ref="AG1676"/>
    <hyperlink r:id="rId3826" ref="EQ1676"/>
    <hyperlink r:id="rId3827" ref="A1677"/>
    <hyperlink r:id="rId3828" ref="EQ1677"/>
    <hyperlink r:id="rId3829" ref="A1678"/>
    <hyperlink r:id="rId3830" ref="AG1678"/>
    <hyperlink r:id="rId3831" ref="EQ1678"/>
    <hyperlink r:id="rId3832" ref="A1679"/>
    <hyperlink r:id="rId3833" ref="AG1679"/>
    <hyperlink r:id="rId3834" ref="EQ1679"/>
    <hyperlink r:id="rId3835" ref="A1680"/>
    <hyperlink r:id="rId3836" ref="EQ1680"/>
    <hyperlink r:id="rId3837" ref="A1681"/>
    <hyperlink r:id="rId3838" ref="EQ1681"/>
    <hyperlink r:id="rId3839" ref="A1682"/>
    <hyperlink r:id="rId3840" ref="EQ1682"/>
    <hyperlink r:id="rId3841" ref="A1683"/>
    <hyperlink r:id="rId3842" ref="EQ1683"/>
    <hyperlink r:id="rId3843" ref="A1684"/>
    <hyperlink r:id="rId3844" ref="EQ1684"/>
    <hyperlink r:id="rId3845" ref="A1685"/>
    <hyperlink r:id="rId3846" ref="AG1685"/>
    <hyperlink r:id="rId3847" ref="EQ1685"/>
    <hyperlink r:id="rId3848" ref="A1686"/>
    <hyperlink r:id="rId3849" ref="EQ1686"/>
    <hyperlink r:id="rId3850" ref="A1687"/>
    <hyperlink r:id="rId3851" ref="BR1687"/>
    <hyperlink r:id="rId3852" ref="EQ1687"/>
    <hyperlink r:id="rId3853" ref="A1688"/>
    <hyperlink r:id="rId3854" ref="BR1688"/>
    <hyperlink r:id="rId3855" ref="EQ1688"/>
    <hyperlink r:id="rId3856" ref="A1689"/>
    <hyperlink r:id="rId3857" ref="EQ1689"/>
    <hyperlink r:id="rId3858" ref="A1690"/>
    <hyperlink r:id="rId3859" ref="AG1690"/>
    <hyperlink r:id="rId3860" ref="EQ1690"/>
    <hyperlink r:id="rId3861" ref="A1691"/>
    <hyperlink r:id="rId3862" ref="AG1691"/>
    <hyperlink r:id="rId3863" ref="EQ1691"/>
    <hyperlink r:id="rId3864" ref="A1692"/>
    <hyperlink r:id="rId3865" ref="EQ1692"/>
    <hyperlink r:id="rId3866" ref="A1693"/>
    <hyperlink r:id="rId3867" ref="EQ1693"/>
    <hyperlink r:id="rId3868" ref="A1694"/>
    <hyperlink r:id="rId3869" ref="EQ1694"/>
    <hyperlink r:id="rId3870" ref="A1695"/>
    <hyperlink r:id="rId3871" ref="EQ1695"/>
    <hyperlink r:id="rId3872" ref="A1696"/>
    <hyperlink r:id="rId3873" ref="EQ1696"/>
    <hyperlink r:id="rId3874" ref="A1697"/>
    <hyperlink r:id="rId3875" ref="EQ1697"/>
    <hyperlink r:id="rId3876" ref="A1698"/>
    <hyperlink r:id="rId3877" ref="EQ1698"/>
    <hyperlink r:id="rId3878" ref="A1699"/>
    <hyperlink r:id="rId3879" ref="AG1699"/>
    <hyperlink r:id="rId3880" ref="EQ1699"/>
    <hyperlink r:id="rId3881" ref="A1700"/>
    <hyperlink r:id="rId3882" ref="BR1700"/>
    <hyperlink r:id="rId3883" ref="EQ1700"/>
    <hyperlink r:id="rId3884" ref="A1701"/>
    <hyperlink r:id="rId3885" ref="EQ1701"/>
    <hyperlink r:id="rId3886" ref="A1702"/>
    <hyperlink r:id="rId3887" ref="EQ1702"/>
    <hyperlink r:id="rId3888" ref="A1703"/>
    <hyperlink r:id="rId3889" ref="EQ1703"/>
    <hyperlink r:id="rId3890" ref="A1704"/>
    <hyperlink r:id="rId3891" ref="EQ1704"/>
    <hyperlink r:id="rId3892" ref="A1705"/>
    <hyperlink r:id="rId3893" ref="AG1705"/>
    <hyperlink r:id="rId3894" ref="EQ1705"/>
    <hyperlink r:id="rId3895" ref="A1706"/>
    <hyperlink r:id="rId3896" ref="AG1706"/>
    <hyperlink r:id="rId3897" ref="AH1706"/>
    <hyperlink r:id="rId3898" ref="EQ1706"/>
    <hyperlink r:id="rId3899" ref="A1707"/>
    <hyperlink r:id="rId3900" ref="EQ1707"/>
    <hyperlink r:id="rId3901" ref="A1708"/>
    <hyperlink r:id="rId3902" ref="EQ1708"/>
    <hyperlink r:id="rId3903" ref="A1709"/>
    <hyperlink r:id="rId3904" ref="EQ1709"/>
    <hyperlink r:id="rId3905" ref="A1710"/>
    <hyperlink r:id="rId3906" ref="EQ1710"/>
    <hyperlink r:id="rId3907" ref="A1711"/>
    <hyperlink r:id="rId3908" ref="AG1711"/>
    <hyperlink r:id="rId3909" ref="EQ1711"/>
    <hyperlink r:id="rId3910" ref="A1712"/>
    <hyperlink r:id="rId3911" ref="AG1712"/>
    <hyperlink r:id="rId3912" ref="EQ1712"/>
    <hyperlink r:id="rId3913" ref="A1713"/>
    <hyperlink r:id="rId3914" ref="AG1713"/>
    <hyperlink r:id="rId3915" ref="EQ1713"/>
    <hyperlink r:id="rId3916" ref="A1714"/>
    <hyperlink r:id="rId3917" ref="AG1714"/>
    <hyperlink r:id="rId3918" ref="EQ1714"/>
    <hyperlink r:id="rId3919" ref="A1715"/>
    <hyperlink r:id="rId3920" ref="AG1715"/>
    <hyperlink r:id="rId3921" ref="EQ1715"/>
    <hyperlink r:id="rId3922" ref="A1716"/>
    <hyperlink r:id="rId3923" ref="EQ1716"/>
    <hyperlink r:id="rId3924" ref="A1717"/>
    <hyperlink r:id="rId3925" ref="AG1717"/>
    <hyperlink r:id="rId3926" ref="EQ1717"/>
    <hyperlink r:id="rId3927" ref="A1718"/>
    <hyperlink r:id="rId3928" ref="EQ1718"/>
    <hyperlink r:id="rId3929" ref="A1719"/>
    <hyperlink r:id="rId3930" ref="EQ1719"/>
    <hyperlink r:id="rId3931" ref="A1720"/>
    <hyperlink r:id="rId3932" ref="EQ1720"/>
    <hyperlink r:id="rId3933" ref="A1721"/>
    <hyperlink r:id="rId3934" ref="EQ1721"/>
    <hyperlink r:id="rId3935" ref="A1722"/>
    <hyperlink r:id="rId3936" ref="EQ1722"/>
    <hyperlink r:id="rId3937" ref="A1723"/>
    <hyperlink r:id="rId3938" ref="AG1723"/>
    <hyperlink r:id="rId3939" ref="EQ1723"/>
    <hyperlink r:id="rId3940" ref="A1724"/>
    <hyperlink r:id="rId3941" ref="AG1724"/>
    <hyperlink r:id="rId3942" ref="EQ1724"/>
    <hyperlink r:id="rId3943" ref="A1725"/>
    <hyperlink r:id="rId3944" ref="EQ1725"/>
    <hyperlink r:id="rId3945" ref="A1726"/>
    <hyperlink r:id="rId3946" ref="EQ1726"/>
    <hyperlink r:id="rId3947" ref="A1727"/>
    <hyperlink r:id="rId3948" ref="AG1727"/>
    <hyperlink r:id="rId3949" ref="EQ1727"/>
    <hyperlink r:id="rId3950" ref="A1728"/>
    <hyperlink r:id="rId3951" ref="EQ1728"/>
    <hyperlink r:id="rId3952" ref="A1729"/>
    <hyperlink r:id="rId3953" ref="AG1729"/>
    <hyperlink r:id="rId3954" ref="EQ1729"/>
    <hyperlink r:id="rId3955" ref="A1730"/>
    <hyperlink r:id="rId3956" ref="AG1730"/>
    <hyperlink r:id="rId3957" ref="EQ1730"/>
    <hyperlink r:id="rId3958" ref="A1731"/>
    <hyperlink r:id="rId3959" ref="EQ1731"/>
    <hyperlink r:id="rId3960" ref="A1732"/>
    <hyperlink r:id="rId3961" ref="EQ1732"/>
    <hyperlink r:id="rId3962" ref="A1733"/>
    <hyperlink r:id="rId3963" ref="AG1733"/>
    <hyperlink r:id="rId3964" ref="EQ1733"/>
    <hyperlink r:id="rId3965" ref="A1734"/>
    <hyperlink r:id="rId3966" ref="EQ1734"/>
    <hyperlink r:id="rId3967" ref="A1735"/>
    <hyperlink r:id="rId3968" ref="EQ1735"/>
    <hyperlink r:id="rId3969" ref="A1736"/>
    <hyperlink r:id="rId3970" ref="AG1736"/>
    <hyperlink r:id="rId3971" ref="EQ1736"/>
    <hyperlink r:id="rId3972" ref="A1737"/>
    <hyperlink r:id="rId3973" ref="EQ1737"/>
    <hyperlink r:id="rId3974" ref="A1738"/>
    <hyperlink r:id="rId3975" ref="EQ1738"/>
    <hyperlink r:id="rId3976" ref="A1739"/>
    <hyperlink r:id="rId3977" ref="EQ1739"/>
    <hyperlink r:id="rId3978" ref="A1740"/>
    <hyperlink r:id="rId3979" ref="EQ1740"/>
    <hyperlink r:id="rId3980" ref="A1741"/>
    <hyperlink r:id="rId3981" ref="AG1741"/>
    <hyperlink r:id="rId3982" ref="EQ1741"/>
    <hyperlink r:id="rId3983" ref="A1742"/>
    <hyperlink r:id="rId3984" ref="AG1742"/>
    <hyperlink r:id="rId3985" ref="EQ1742"/>
    <hyperlink r:id="rId3986" ref="A1743"/>
    <hyperlink r:id="rId3987" ref="AG1743"/>
    <hyperlink r:id="rId3988" ref="EQ1743"/>
    <hyperlink r:id="rId3989" ref="A1744"/>
    <hyperlink r:id="rId3990" ref="EQ1744"/>
    <hyperlink r:id="rId3991" ref="A1745"/>
    <hyperlink r:id="rId3992" ref="EQ1745"/>
    <hyperlink r:id="rId3993" ref="A1746"/>
    <hyperlink r:id="rId3994" ref="AG1746"/>
    <hyperlink r:id="rId3995" ref="EQ1746"/>
    <hyperlink r:id="rId3996" ref="A1747"/>
    <hyperlink r:id="rId3997" ref="AG1747"/>
    <hyperlink r:id="rId3998" ref="EQ1747"/>
    <hyperlink r:id="rId3999" ref="A1748"/>
    <hyperlink r:id="rId4000" ref="AG1748"/>
    <hyperlink r:id="rId4001" ref="EQ1748"/>
    <hyperlink r:id="rId4002" ref="A1749"/>
    <hyperlink r:id="rId4003" ref="AG1749"/>
    <hyperlink r:id="rId4004" ref="EQ1749"/>
    <hyperlink r:id="rId4005" ref="A1750"/>
    <hyperlink r:id="rId4006" ref="EQ1750"/>
    <hyperlink r:id="rId4007" ref="A1751"/>
    <hyperlink r:id="rId4008" ref="EQ1751"/>
    <hyperlink r:id="rId4009" ref="A1752"/>
    <hyperlink r:id="rId4010" ref="EQ1752"/>
    <hyperlink r:id="rId4011" ref="A1753"/>
    <hyperlink r:id="rId4012" ref="AG1753"/>
    <hyperlink r:id="rId4013" ref="EQ1753"/>
    <hyperlink r:id="rId4014" ref="A1754"/>
    <hyperlink r:id="rId4015" ref="EQ1754"/>
    <hyperlink r:id="rId4016" ref="A1755"/>
    <hyperlink r:id="rId4017" ref="EQ1755"/>
    <hyperlink r:id="rId4018" ref="A1756"/>
    <hyperlink r:id="rId4019" ref="AG1756"/>
    <hyperlink r:id="rId4020" ref="EQ1756"/>
    <hyperlink r:id="rId4021" ref="A1757"/>
    <hyperlink r:id="rId4022" ref="EQ1757"/>
    <hyperlink r:id="rId4023" ref="A1758"/>
    <hyperlink r:id="rId4024" ref="EQ1758"/>
    <hyperlink r:id="rId4025" ref="A1759"/>
    <hyperlink r:id="rId4026" ref="EQ1759"/>
    <hyperlink r:id="rId4027" ref="A1760"/>
    <hyperlink r:id="rId4028" ref="EQ1760"/>
    <hyperlink r:id="rId4029" ref="A1761"/>
    <hyperlink r:id="rId4030" ref="EQ1761"/>
    <hyperlink r:id="rId4031" ref="A1762"/>
    <hyperlink r:id="rId4032" ref="EQ1762"/>
    <hyperlink r:id="rId4033" ref="A1763"/>
    <hyperlink r:id="rId4034" ref="EQ1763"/>
    <hyperlink r:id="rId4035" ref="A1764"/>
    <hyperlink r:id="rId4036" ref="AG1764"/>
    <hyperlink r:id="rId4037" ref="EQ1764"/>
    <hyperlink r:id="rId4038" ref="A1765"/>
    <hyperlink r:id="rId4039" ref="EQ1765"/>
    <hyperlink r:id="rId4040" ref="A1766"/>
    <hyperlink r:id="rId4041" ref="AG1766"/>
    <hyperlink r:id="rId4042" ref="EQ1766"/>
    <hyperlink r:id="rId4043" ref="A1767"/>
    <hyperlink r:id="rId4044" ref="AG1767"/>
    <hyperlink r:id="rId4045" ref="EQ1767"/>
    <hyperlink r:id="rId4046" ref="A1768"/>
    <hyperlink r:id="rId4047" ref="AG1768"/>
    <hyperlink r:id="rId4048" ref="EQ1768"/>
    <hyperlink r:id="rId4049" ref="A1769"/>
    <hyperlink r:id="rId4050" ref="EQ1769"/>
    <hyperlink r:id="rId4051" ref="A1770"/>
    <hyperlink r:id="rId4052" ref="AG1770"/>
    <hyperlink r:id="rId4053" ref="EQ1770"/>
    <hyperlink r:id="rId4054" ref="A1771"/>
    <hyperlink r:id="rId4055" ref="AG1771"/>
    <hyperlink r:id="rId4056" ref="EQ1771"/>
    <hyperlink r:id="rId4057" ref="A1772"/>
    <hyperlink r:id="rId4058" ref="EQ1772"/>
    <hyperlink r:id="rId4059" ref="A1773"/>
    <hyperlink r:id="rId4060" ref="AG1773"/>
    <hyperlink r:id="rId4061" ref="EQ1773"/>
    <hyperlink r:id="rId4062" ref="A1774"/>
    <hyperlink r:id="rId4063" ref="EQ1774"/>
    <hyperlink r:id="rId4064" ref="A1775"/>
    <hyperlink r:id="rId4065" ref="EQ1775"/>
    <hyperlink r:id="rId4066" ref="A1776"/>
    <hyperlink r:id="rId4067" ref="AG1776"/>
    <hyperlink r:id="rId4068" ref="EQ1776"/>
    <hyperlink r:id="rId4069" ref="A1777"/>
    <hyperlink r:id="rId4070" ref="AG1777"/>
    <hyperlink r:id="rId4071" ref="EQ1777"/>
    <hyperlink r:id="rId4072" ref="A1778"/>
    <hyperlink r:id="rId4073" ref="EQ1778"/>
    <hyperlink r:id="rId4074" ref="A1779"/>
    <hyperlink r:id="rId4075" ref="EQ1779"/>
    <hyperlink r:id="rId4076" ref="A1780"/>
    <hyperlink r:id="rId4077" ref="AG1780"/>
    <hyperlink r:id="rId4078" ref="EQ1780"/>
    <hyperlink r:id="rId4079" ref="A1781"/>
    <hyperlink r:id="rId4080" ref="AG1781"/>
    <hyperlink r:id="rId4081" ref="EQ1781"/>
    <hyperlink r:id="rId4082" ref="A1782"/>
    <hyperlink r:id="rId4083" ref="EQ1782"/>
    <hyperlink r:id="rId4084" ref="A1783"/>
    <hyperlink r:id="rId4085" ref="EQ1783"/>
    <hyperlink r:id="rId4086" ref="A1784"/>
    <hyperlink r:id="rId4087" ref="EQ1784"/>
    <hyperlink r:id="rId4088" ref="A1785"/>
    <hyperlink r:id="rId4089" ref="AG1785"/>
    <hyperlink r:id="rId4090" ref="EQ1785"/>
    <hyperlink r:id="rId4091" ref="A1786"/>
    <hyperlink r:id="rId4092" ref="EQ1786"/>
    <hyperlink r:id="rId4093" ref="A1787"/>
    <hyperlink r:id="rId4094" ref="EQ1787"/>
    <hyperlink r:id="rId4095" ref="A1788"/>
    <hyperlink r:id="rId4096" ref="AG1788"/>
    <hyperlink r:id="rId4097" ref="EQ1788"/>
    <hyperlink r:id="rId4098" ref="A1789"/>
    <hyperlink r:id="rId4099" ref="AG1789"/>
    <hyperlink r:id="rId4100" ref="EQ1789"/>
    <hyperlink r:id="rId4101" ref="A1790"/>
    <hyperlink r:id="rId4102" ref="EQ1790"/>
    <hyperlink r:id="rId4103" ref="A1791"/>
    <hyperlink r:id="rId4104" ref="AG1791"/>
    <hyperlink r:id="rId4105" ref="EQ1791"/>
    <hyperlink r:id="rId4106" ref="A1792"/>
    <hyperlink r:id="rId4107" ref="EQ1792"/>
    <hyperlink r:id="rId4108" ref="A1793"/>
    <hyperlink r:id="rId4109" ref="AG1793"/>
    <hyperlink r:id="rId4110" ref="EQ1793"/>
    <hyperlink r:id="rId4111" ref="A1794"/>
    <hyperlink r:id="rId4112" ref="AG1794"/>
    <hyperlink r:id="rId4113" ref="EQ1794"/>
    <hyperlink r:id="rId4114" ref="A1795"/>
    <hyperlink r:id="rId4115" ref="EQ1795"/>
    <hyperlink r:id="rId4116" ref="A1796"/>
    <hyperlink r:id="rId4117" ref="AG1796"/>
    <hyperlink r:id="rId4118" ref="EQ1796"/>
    <hyperlink r:id="rId4119" ref="A1797"/>
    <hyperlink r:id="rId4120" ref="EQ1797"/>
    <hyperlink r:id="rId4121" ref="A1798"/>
    <hyperlink r:id="rId4122" ref="AG1798"/>
    <hyperlink r:id="rId4123" ref="EQ1798"/>
    <hyperlink r:id="rId4124" ref="A1799"/>
    <hyperlink r:id="rId4125" ref="EQ1799"/>
    <hyperlink r:id="rId4126" ref="A1800"/>
    <hyperlink r:id="rId4127" ref="EQ1800"/>
    <hyperlink r:id="rId4128" ref="A1801"/>
    <hyperlink r:id="rId4129" ref="AG1801"/>
    <hyperlink r:id="rId4130" ref="EQ1801"/>
    <hyperlink r:id="rId4131" ref="A1802"/>
    <hyperlink r:id="rId4132" ref="EQ1802"/>
    <hyperlink r:id="rId4133" ref="A1803"/>
    <hyperlink r:id="rId4134" ref="AG1803"/>
    <hyperlink r:id="rId4135" ref="EQ1803"/>
    <hyperlink r:id="rId4136" ref="A1804"/>
    <hyperlink r:id="rId4137" ref="EQ1804"/>
    <hyperlink r:id="rId4138" ref="A1805"/>
    <hyperlink r:id="rId4139" ref="EQ1805"/>
    <hyperlink r:id="rId4140" ref="A1806"/>
    <hyperlink r:id="rId4141" ref="AG1806"/>
    <hyperlink r:id="rId4142" ref="EQ1806"/>
    <hyperlink r:id="rId4143" ref="A1807"/>
    <hyperlink r:id="rId4144" ref="AG1807"/>
    <hyperlink r:id="rId4145" ref="EQ1807"/>
    <hyperlink r:id="rId4146" ref="A1808"/>
    <hyperlink r:id="rId4147" ref="EQ1808"/>
    <hyperlink r:id="rId4148" ref="A1809"/>
    <hyperlink r:id="rId4149" ref="BR1809"/>
    <hyperlink r:id="rId4150" ref="EQ1809"/>
    <hyperlink r:id="rId4151" ref="A1810"/>
    <hyperlink r:id="rId4152" ref="AG1810"/>
    <hyperlink r:id="rId4153" ref="EQ1810"/>
    <hyperlink r:id="rId4154" ref="A1811"/>
    <hyperlink r:id="rId4155" ref="EQ1811"/>
    <hyperlink r:id="rId4156" ref="A1812"/>
    <hyperlink r:id="rId4157" ref="EQ1812"/>
    <hyperlink r:id="rId4158" ref="A1813"/>
    <hyperlink r:id="rId4159" ref="AG1813"/>
    <hyperlink r:id="rId4160" ref="EQ1813"/>
    <hyperlink r:id="rId4161" ref="A1814"/>
    <hyperlink r:id="rId4162" ref="AG1814"/>
    <hyperlink r:id="rId4163" ref="EQ1814"/>
    <hyperlink r:id="rId4164" ref="A1815"/>
    <hyperlink r:id="rId4165" ref="EQ1815"/>
    <hyperlink r:id="rId4166" ref="A1816"/>
    <hyperlink r:id="rId4167" ref="BR1816"/>
    <hyperlink r:id="rId4168" ref="EQ1816"/>
    <hyperlink r:id="rId4169" ref="A1817"/>
    <hyperlink r:id="rId4170" ref="EQ1817"/>
    <hyperlink r:id="rId4171" ref="A1818"/>
    <hyperlink r:id="rId4172" ref="EQ1818"/>
    <hyperlink r:id="rId4173" ref="A1819"/>
    <hyperlink r:id="rId4174" ref="EQ1819"/>
    <hyperlink r:id="rId4175" ref="A1820"/>
    <hyperlink r:id="rId4176" ref="EQ1820"/>
    <hyperlink r:id="rId4177" ref="A1821"/>
    <hyperlink r:id="rId4178" ref="EQ1821"/>
    <hyperlink r:id="rId4179" ref="A1822"/>
    <hyperlink r:id="rId4180" ref="EQ1822"/>
    <hyperlink r:id="rId4181" ref="A1823"/>
    <hyperlink r:id="rId4182" ref="EQ1823"/>
    <hyperlink r:id="rId4183" ref="A1824"/>
    <hyperlink r:id="rId4184" ref="EQ1824"/>
    <hyperlink r:id="rId4185" ref="A1825"/>
    <hyperlink r:id="rId4186" ref="AG1825"/>
    <hyperlink r:id="rId4187" ref="AH1825"/>
    <hyperlink r:id="rId4188" ref="EQ1825"/>
    <hyperlink r:id="rId4189" ref="A1826"/>
    <hyperlink r:id="rId4190" ref="EQ1826"/>
    <hyperlink r:id="rId4191" ref="A1827"/>
    <hyperlink r:id="rId4192" ref="EQ1827"/>
    <hyperlink r:id="rId4193" ref="A1828"/>
    <hyperlink r:id="rId4194" ref="EQ1828"/>
    <hyperlink r:id="rId4195" ref="A1829"/>
    <hyperlink r:id="rId4196" ref="EQ1829"/>
    <hyperlink r:id="rId4197" ref="A1830"/>
    <hyperlink r:id="rId4198" ref="AG1830"/>
    <hyperlink r:id="rId4199" ref="EQ1830"/>
    <hyperlink r:id="rId4200" ref="A1831"/>
    <hyperlink r:id="rId4201" ref="AG1831"/>
    <hyperlink r:id="rId4202" ref="EQ1831"/>
    <hyperlink r:id="rId4203" ref="A1832"/>
    <hyperlink r:id="rId4204" ref="AG1832"/>
    <hyperlink r:id="rId4205" ref="EQ1832"/>
    <hyperlink r:id="rId4206" ref="A1833"/>
    <hyperlink r:id="rId4207" ref="EQ1833"/>
    <hyperlink r:id="rId4208" ref="A1834"/>
    <hyperlink r:id="rId4209" ref="EQ1834"/>
    <hyperlink r:id="rId4210" ref="A1835"/>
    <hyperlink r:id="rId4211" ref="AG1835"/>
    <hyperlink r:id="rId4212" ref="EQ1835"/>
    <hyperlink r:id="rId4213" ref="A1836"/>
    <hyperlink r:id="rId4214" ref="AG1836"/>
    <hyperlink r:id="rId4215" ref="EQ1836"/>
    <hyperlink r:id="rId4216" ref="A1837"/>
    <hyperlink r:id="rId4217" ref="EQ1837"/>
    <hyperlink r:id="rId4218" ref="A1838"/>
    <hyperlink r:id="rId4219" ref="EQ1838"/>
    <hyperlink r:id="rId4220" ref="A1839"/>
    <hyperlink r:id="rId4221" ref="EQ1839"/>
    <hyperlink r:id="rId4222" ref="A1840"/>
    <hyperlink r:id="rId4223" ref="EQ1840"/>
    <hyperlink r:id="rId4224" ref="A1841"/>
    <hyperlink r:id="rId4225" ref="EQ1841"/>
    <hyperlink r:id="rId4226" ref="A1842"/>
    <hyperlink r:id="rId4227" ref="AG1842"/>
    <hyperlink r:id="rId4228" ref="EQ1842"/>
    <hyperlink r:id="rId4229" ref="A1843"/>
    <hyperlink r:id="rId4230" ref="AG1843"/>
    <hyperlink r:id="rId4231" ref="EQ1843"/>
    <hyperlink r:id="rId4232" ref="A1844"/>
    <hyperlink r:id="rId4233" ref="EQ1844"/>
    <hyperlink r:id="rId4234" ref="A1845"/>
    <hyperlink r:id="rId4235" ref="EQ1845"/>
    <hyperlink r:id="rId4236" ref="A1846"/>
    <hyperlink r:id="rId4237" ref="EQ1846"/>
    <hyperlink r:id="rId4238" ref="A1847"/>
    <hyperlink r:id="rId4239" ref="AG1847"/>
    <hyperlink r:id="rId4240" ref="EQ1847"/>
    <hyperlink r:id="rId4241" ref="A1848"/>
    <hyperlink r:id="rId4242" ref="AG1848"/>
    <hyperlink r:id="rId4243" ref="EQ1848"/>
    <hyperlink r:id="rId4244" ref="A1849"/>
    <hyperlink r:id="rId4245" ref="EQ1849"/>
    <hyperlink r:id="rId4246" ref="A1850"/>
    <hyperlink r:id="rId4247" ref="EQ1850"/>
    <hyperlink r:id="rId4248" ref="A1851"/>
    <hyperlink r:id="rId4249" ref="EQ1851"/>
    <hyperlink r:id="rId4250" ref="A1852"/>
    <hyperlink r:id="rId4251" ref="EQ1852"/>
    <hyperlink r:id="rId4252" ref="A1853"/>
    <hyperlink r:id="rId4253" ref="AG1853"/>
    <hyperlink r:id="rId4254" ref="EQ1853"/>
    <hyperlink r:id="rId4255" ref="A1854"/>
    <hyperlink r:id="rId4256" ref="EQ1854"/>
    <hyperlink r:id="rId4257" ref="A1855"/>
    <hyperlink r:id="rId4258" ref="AG1855"/>
    <hyperlink r:id="rId4259" ref="EQ1855"/>
    <hyperlink r:id="rId4260" ref="A1856"/>
    <hyperlink r:id="rId4261" ref="AG1856"/>
    <hyperlink r:id="rId4262" ref="EQ1856"/>
    <hyperlink r:id="rId4263" ref="A1857"/>
    <hyperlink r:id="rId4264" ref="EQ1857"/>
    <hyperlink r:id="rId4265" ref="A1858"/>
    <hyperlink r:id="rId4266" ref="EQ1858"/>
    <hyperlink r:id="rId4267" ref="A1859"/>
    <hyperlink r:id="rId4268" ref="AG1859"/>
    <hyperlink r:id="rId4269" ref="EQ1859"/>
    <hyperlink r:id="rId4270" ref="A1860"/>
    <hyperlink r:id="rId4271" ref="EQ1860"/>
    <hyperlink r:id="rId4272" ref="A1861"/>
    <hyperlink r:id="rId4273" ref="EQ1861"/>
    <hyperlink r:id="rId4274" ref="A1862"/>
    <hyperlink r:id="rId4275" ref="AG1862"/>
    <hyperlink r:id="rId4276" ref="EQ1862"/>
    <hyperlink r:id="rId4277" ref="A1863"/>
    <hyperlink r:id="rId4278" ref="EQ1863"/>
    <hyperlink r:id="rId4279" ref="A1864"/>
    <hyperlink r:id="rId4280" ref="EQ1864"/>
    <hyperlink r:id="rId4281" ref="A1865"/>
    <hyperlink r:id="rId4282" ref="EQ1865"/>
    <hyperlink r:id="rId4283" ref="A1866"/>
    <hyperlink r:id="rId4284" ref="EQ1866"/>
    <hyperlink r:id="rId4285" ref="A1867"/>
    <hyperlink r:id="rId4286" ref="AG1867"/>
    <hyperlink r:id="rId4287" ref="EQ1867"/>
    <hyperlink r:id="rId4288" ref="A1868"/>
    <hyperlink r:id="rId4289" ref="AG1868"/>
    <hyperlink r:id="rId4290" ref="EQ1868"/>
    <hyperlink r:id="rId4291" ref="A1869"/>
    <hyperlink r:id="rId4292" ref="EQ1869"/>
    <hyperlink r:id="rId4293" ref="A1870"/>
    <hyperlink r:id="rId4294" ref="EQ1870"/>
    <hyperlink r:id="rId4295" ref="A1871"/>
    <hyperlink r:id="rId4296" ref="AG1871"/>
    <hyperlink r:id="rId4297" ref="EQ1871"/>
    <hyperlink r:id="rId4298" ref="A1872"/>
    <hyperlink r:id="rId4299" ref="AG1872"/>
    <hyperlink r:id="rId4300" ref="EQ1872"/>
    <hyperlink r:id="rId4301" ref="A1873"/>
    <hyperlink r:id="rId4302" ref="EQ1873"/>
    <hyperlink r:id="rId4303" ref="A1874"/>
    <hyperlink r:id="rId4304" ref="AG1874"/>
    <hyperlink r:id="rId4305" ref="EQ1874"/>
    <hyperlink r:id="rId4306" ref="A1875"/>
    <hyperlink r:id="rId4307" ref="EQ1875"/>
    <hyperlink r:id="rId4308" ref="A1876"/>
    <hyperlink r:id="rId4309" ref="EQ1876"/>
    <hyperlink r:id="rId4310" ref="A1877"/>
    <hyperlink r:id="rId4311" ref="EQ1877"/>
    <hyperlink r:id="rId4312" ref="A1878"/>
    <hyperlink r:id="rId4313" ref="EQ1878"/>
    <hyperlink r:id="rId4314" ref="A1879"/>
    <hyperlink r:id="rId4315" ref="AG1879"/>
    <hyperlink r:id="rId4316" ref="EQ1879"/>
    <hyperlink r:id="rId4317" ref="A1880"/>
    <hyperlink r:id="rId4318" ref="AG1880"/>
    <hyperlink r:id="rId4319" ref="EQ1880"/>
    <hyperlink r:id="rId4320" ref="A1881"/>
    <hyperlink r:id="rId4321" ref="AG1881"/>
    <hyperlink r:id="rId4322" ref="EQ1881"/>
    <hyperlink r:id="rId4323" ref="A1882"/>
    <hyperlink r:id="rId4324" ref="EQ1882"/>
    <hyperlink r:id="rId4325" ref="A1883"/>
    <hyperlink r:id="rId4326" ref="AG1883"/>
    <hyperlink r:id="rId4327" ref="EQ1883"/>
    <hyperlink r:id="rId4328" ref="A1884"/>
    <hyperlink r:id="rId4329" ref="EQ1884"/>
    <hyperlink r:id="rId4330" ref="A1885"/>
    <hyperlink r:id="rId4331" ref="EQ1885"/>
    <hyperlink r:id="rId4332" ref="A1886"/>
    <hyperlink r:id="rId4333" ref="AG1886"/>
    <hyperlink r:id="rId4334" ref="EQ1886"/>
    <hyperlink r:id="rId4335" ref="A1887"/>
    <hyperlink r:id="rId4336" ref="AG1887"/>
    <hyperlink r:id="rId4337" ref="EQ1887"/>
    <hyperlink r:id="rId4338" ref="A1888"/>
    <hyperlink r:id="rId4339" ref="AG1888"/>
    <hyperlink r:id="rId4340" ref="EQ1888"/>
    <hyperlink r:id="rId4341" ref="A1889"/>
    <hyperlink r:id="rId4342" ref="EQ1889"/>
    <hyperlink r:id="rId4343" ref="A1890"/>
    <hyperlink r:id="rId4344" ref="EQ1890"/>
    <hyperlink r:id="rId4345" ref="A1891"/>
    <hyperlink r:id="rId4346" ref="AG1891"/>
    <hyperlink r:id="rId4347" ref="EQ1891"/>
    <hyperlink r:id="rId4348" ref="A1892"/>
    <hyperlink r:id="rId4349" ref="AG1892"/>
    <hyperlink r:id="rId4350" ref="EQ1892"/>
    <hyperlink r:id="rId4351" ref="A1893"/>
    <hyperlink r:id="rId4352" ref="BR1893"/>
    <hyperlink r:id="rId4353" ref="EQ1893"/>
    <hyperlink r:id="rId4354" ref="A1894"/>
    <hyperlink r:id="rId4355" ref="EQ1894"/>
    <hyperlink r:id="rId4356" ref="A1895"/>
    <hyperlink r:id="rId4357" ref="EQ1895"/>
    <hyperlink r:id="rId4358" ref="A1896"/>
    <hyperlink r:id="rId4359" ref="EQ1896"/>
    <hyperlink r:id="rId4360" ref="A1897"/>
    <hyperlink r:id="rId4361" ref="EQ1897"/>
    <hyperlink r:id="rId4362" ref="A1898"/>
    <hyperlink r:id="rId4363" ref="EQ1898"/>
    <hyperlink r:id="rId4364" ref="A1899"/>
    <hyperlink r:id="rId4365" ref="EQ1899"/>
    <hyperlink r:id="rId4366" ref="A1900"/>
    <hyperlink r:id="rId4367" ref="AG1900"/>
    <hyperlink r:id="rId4368" ref="EQ1900"/>
    <hyperlink r:id="rId4369" ref="A1901"/>
    <hyperlink r:id="rId4370" ref="EQ1901"/>
    <hyperlink r:id="rId4371" ref="A1902"/>
    <hyperlink r:id="rId4372" ref="AG1902"/>
    <hyperlink r:id="rId4373" ref="EQ1902"/>
    <hyperlink r:id="rId4374" ref="A1903"/>
    <hyperlink r:id="rId4375" ref="AG1903"/>
    <hyperlink r:id="rId4376" ref="EQ1903"/>
    <hyperlink r:id="rId4377" ref="A1904"/>
    <hyperlink r:id="rId4378" ref="EQ1904"/>
    <hyperlink r:id="rId4379" ref="A1905"/>
    <hyperlink r:id="rId4380" ref="EQ1905"/>
    <hyperlink r:id="rId4381" ref="A1906"/>
    <hyperlink r:id="rId4382" ref="EQ1906"/>
    <hyperlink r:id="rId4383" ref="A1907"/>
    <hyperlink r:id="rId4384" ref="EQ1907"/>
    <hyperlink r:id="rId4385" ref="A1908"/>
    <hyperlink r:id="rId4386" ref="EQ1908"/>
    <hyperlink r:id="rId4387" ref="A1909"/>
    <hyperlink r:id="rId4388" ref="AG1909"/>
    <hyperlink r:id="rId4389" ref="EQ1909"/>
    <hyperlink r:id="rId4390" ref="A1910"/>
    <hyperlink r:id="rId4391" ref="EQ1910"/>
    <hyperlink r:id="rId4392" ref="A1911"/>
    <hyperlink r:id="rId4393" ref="EQ1911"/>
    <hyperlink r:id="rId4394" ref="A1912"/>
    <hyperlink r:id="rId4395" ref="EQ1912"/>
    <hyperlink r:id="rId4396" ref="A1913"/>
    <hyperlink r:id="rId4397" ref="EQ1913"/>
    <hyperlink r:id="rId4398" ref="A1914"/>
    <hyperlink r:id="rId4399" ref="EQ1914"/>
    <hyperlink r:id="rId4400" ref="A1915"/>
    <hyperlink r:id="rId4401" ref="BR1915"/>
    <hyperlink r:id="rId4402" ref="EQ1915"/>
    <hyperlink r:id="rId4403" ref="A1916"/>
    <hyperlink r:id="rId4404" ref="AG1916"/>
    <hyperlink r:id="rId4405" ref="EQ1916"/>
    <hyperlink r:id="rId4406" ref="A1917"/>
    <hyperlink r:id="rId4407" ref="AG1917"/>
    <hyperlink r:id="rId4408" ref="EQ1917"/>
    <hyperlink r:id="rId4409" ref="A1918"/>
    <hyperlink r:id="rId4410" ref="EQ1918"/>
    <hyperlink r:id="rId4411" ref="A1919"/>
    <hyperlink r:id="rId4412" ref="AG1919"/>
    <hyperlink r:id="rId4413" ref="EQ1919"/>
    <hyperlink r:id="rId4414" ref="A1920"/>
    <hyperlink r:id="rId4415" ref="AG1920"/>
    <hyperlink r:id="rId4416" ref="EQ1920"/>
    <hyperlink r:id="rId4417" ref="A1921"/>
    <hyperlink r:id="rId4418" ref="EQ1921"/>
    <hyperlink r:id="rId4419" ref="A1922"/>
    <hyperlink r:id="rId4420" ref="AG1922"/>
    <hyperlink r:id="rId4421" ref="EQ1922"/>
    <hyperlink r:id="rId4422" ref="A1923"/>
    <hyperlink r:id="rId4423" ref="EQ1923"/>
    <hyperlink r:id="rId4424" ref="A1924"/>
    <hyperlink r:id="rId4425" ref="AG1924"/>
    <hyperlink r:id="rId4426" ref="EQ1924"/>
    <hyperlink r:id="rId4427" ref="A1925"/>
    <hyperlink r:id="rId4428" ref="EQ1925"/>
    <hyperlink r:id="rId4429" ref="A1926"/>
    <hyperlink r:id="rId4430" ref="EQ1926"/>
    <hyperlink r:id="rId4431" ref="A1927"/>
    <hyperlink r:id="rId4432" ref="AG1927"/>
    <hyperlink r:id="rId4433" ref="EQ1927"/>
    <hyperlink r:id="rId4434" ref="A1928"/>
    <hyperlink r:id="rId4435" ref="EQ1928"/>
    <hyperlink r:id="rId4436" ref="A1929"/>
    <hyperlink r:id="rId4437" ref="AG1929"/>
    <hyperlink r:id="rId4438" ref="EQ1929"/>
    <hyperlink r:id="rId4439" ref="A1930"/>
    <hyperlink r:id="rId4440" ref="AG1930"/>
    <hyperlink r:id="rId4441" ref="EQ1930"/>
    <hyperlink r:id="rId4442" ref="A1931"/>
    <hyperlink r:id="rId4443" ref="AG1931"/>
    <hyperlink r:id="rId4444" ref="EQ1931"/>
    <hyperlink r:id="rId4445" ref="A1932"/>
    <hyperlink r:id="rId4446" ref="AG1932"/>
    <hyperlink r:id="rId4447" ref="EQ1932"/>
    <hyperlink r:id="rId4448" ref="A1933"/>
    <hyperlink r:id="rId4449" ref="AG1933"/>
    <hyperlink r:id="rId4450" ref="EQ1933"/>
    <hyperlink r:id="rId4451" ref="A1934"/>
    <hyperlink r:id="rId4452" ref="EQ1934"/>
    <hyperlink r:id="rId4453" ref="A1935"/>
    <hyperlink r:id="rId4454" ref="EQ1935"/>
    <hyperlink r:id="rId4455" ref="A1936"/>
    <hyperlink r:id="rId4456" ref="EQ1936"/>
    <hyperlink r:id="rId4457" ref="A1937"/>
    <hyperlink r:id="rId4458" ref="EQ1937"/>
    <hyperlink r:id="rId4459" ref="A1938"/>
    <hyperlink r:id="rId4460" ref="EQ1938"/>
    <hyperlink r:id="rId4461" ref="A1939"/>
    <hyperlink r:id="rId4462" ref="EQ1939"/>
    <hyperlink r:id="rId4463" ref="A1940"/>
    <hyperlink r:id="rId4464" ref="AG1940"/>
    <hyperlink r:id="rId4465" ref="EQ1940"/>
    <hyperlink r:id="rId4466" ref="A1941"/>
    <hyperlink r:id="rId4467" ref="EQ1941"/>
    <hyperlink r:id="rId4468" ref="A1942"/>
    <hyperlink r:id="rId4469" ref="AG1942"/>
    <hyperlink r:id="rId4470" ref="EQ1942"/>
    <hyperlink r:id="rId4471" ref="A1943"/>
    <hyperlink r:id="rId4472" ref="EQ1943"/>
    <hyperlink r:id="rId4473" ref="A1944"/>
    <hyperlink r:id="rId4474" ref="AG1944"/>
    <hyperlink r:id="rId4475" ref="EQ1944"/>
    <hyperlink r:id="rId4476" ref="A1945"/>
    <hyperlink r:id="rId4477" ref="EQ1945"/>
    <hyperlink r:id="rId4478" ref="A1946"/>
    <hyperlink r:id="rId4479" ref="AG1946"/>
    <hyperlink r:id="rId4480" ref="EQ1946"/>
    <hyperlink r:id="rId4481" ref="A1947"/>
    <hyperlink r:id="rId4482" ref="AG1947"/>
    <hyperlink r:id="rId4483" ref="EQ1947"/>
    <hyperlink r:id="rId4484" ref="A1948"/>
    <hyperlink r:id="rId4485" ref="EQ1948"/>
    <hyperlink r:id="rId4486" ref="A1949"/>
    <hyperlink r:id="rId4487" ref="EQ1949"/>
    <hyperlink r:id="rId4488" ref="A1950"/>
    <hyperlink r:id="rId4489" ref="AG1950"/>
    <hyperlink r:id="rId4490" ref="EQ1950"/>
    <hyperlink r:id="rId4491" ref="A1951"/>
    <hyperlink r:id="rId4492" ref="EQ1951"/>
    <hyperlink r:id="rId4493" ref="A1952"/>
    <hyperlink r:id="rId4494" ref="AG1952"/>
    <hyperlink r:id="rId4495" ref="EQ1952"/>
    <hyperlink r:id="rId4496" ref="A1953"/>
    <hyperlink r:id="rId4497" ref="EQ1953"/>
    <hyperlink r:id="rId4498" ref="A1954"/>
    <hyperlink r:id="rId4499" ref="AG1954"/>
    <hyperlink r:id="rId4500" ref="EQ1954"/>
    <hyperlink r:id="rId4501" ref="A1955"/>
    <hyperlink r:id="rId4502" ref="EQ1955"/>
    <hyperlink r:id="rId4503" ref="A1956"/>
    <hyperlink r:id="rId4504" ref="EQ1956"/>
    <hyperlink r:id="rId4505" ref="A1957"/>
    <hyperlink r:id="rId4506" ref="AG1957"/>
    <hyperlink r:id="rId4507" ref="EQ1957"/>
    <hyperlink r:id="rId4508" ref="A1958"/>
    <hyperlink r:id="rId4509" ref="AG1958"/>
    <hyperlink r:id="rId4510" ref="EQ1958"/>
    <hyperlink r:id="rId4511" ref="A1959"/>
    <hyperlink r:id="rId4512" ref="EQ1959"/>
    <hyperlink r:id="rId4513" ref="A1960"/>
    <hyperlink r:id="rId4514" ref="EQ1960"/>
    <hyperlink r:id="rId4515" ref="A1961"/>
    <hyperlink r:id="rId4516" ref="AG1961"/>
    <hyperlink r:id="rId4517" ref="EQ1961"/>
    <hyperlink r:id="rId4518" ref="A1962"/>
    <hyperlink r:id="rId4519" ref="AG1962"/>
    <hyperlink r:id="rId4520" ref="EQ1962"/>
    <hyperlink r:id="rId4521" ref="A1963"/>
    <hyperlink r:id="rId4522" ref="EQ1963"/>
    <hyperlink r:id="rId4523" ref="A1964"/>
    <hyperlink r:id="rId4524" ref="AG1964"/>
    <hyperlink r:id="rId4525" ref="EQ1964"/>
    <hyperlink r:id="rId4526" ref="A1965"/>
    <hyperlink r:id="rId4527" ref="EQ1965"/>
    <hyperlink r:id="rId4528" ref="A1966"/>
    <hyperlink r:id="rId4529" ref="EQ1966"/>
    <hyperlink r:id="rId4530" ref="A1967"/>
    <hyperlink r:id="rId4531" ref="EQ1967"/>
    <hyperlink r:id="rId4532" ref="A1968"/>
    <hyperlink r:id="rId4533" ref="EQ1968"/>
    <hyperlink r:id="rId4534" ref="A1969"/>
    <hyperlink r:id="rId4535" ref="BR1969"/>
    <hyperlink r:id="rId4536" ref="EQ1969"/>
    <hyperlink r:id="rId4537" ref="A1970"/>
    <hyperlink r:id="rId4538" ref="EQ1970"/>
    <hyperlink r:id="rId4539" ref="A1971"/>
    <hyperlink r:id="rId4540" ref="EQ1971"/>
    <hyperlink r:id="rId4541" ref="A1972"/>
    <hyperlink r:id="rId4542" ref="AG1972"/>
    <hyperlink r:id="rId4543" ref="EQ1972"/>
    <hyperlink r:id="rId4544" ref="A1973"/>
    <hyperlink r:id="rId4545" ref="AG1973"/>
    <hyperlink r:id="rId4546" ref="EQ1973"/>
    <hyperlink r:id="rId4547" ref="A1974"/>
    <hyperlink r:id="rId4548" ref="EQ1974"/>
    <hyperlink r:id="rId4549" ref="A1975"/>
    <hyperlink r:id="rId4550" ref="EQ1975"/>
    <hyperlink r:id="rId4551" ref="A1976"/>
    <hyperlink r:id="rId4552" ref="EQ1976"/>
    <hyperlink r:id="rId4553" ref="A1977"/>
    <hyperlink r:id="rId4554" ref="AG1977"/>
    <hyperlink r:id="rId4555" ref="EQ1977"/>
    <hyperlink r:id="rId4556" ref="A1978"/>
    <hyperlink r:id="rId4557" ref="EQ1978"/>
    <hyperlink r:id="rId4558" ref="A1979"/>
    <hyperlink r:id="rId4559" ref="EQ1979"/>
    <hyperlink r:id="rId4560" ref="A1980"/>
    <hyperlink r:id="rId4561" ref="EQ1980"/>
    <hyperlink r:id="rId4562" ref="A1981"/>
    <hyperlink r:id="rId4563" ref="EQ1981"/>
    <hyperlink r:id="rId4564" ref="A1982"/>
    <hyperlink r:id="rId4565" ref="EQ1982"/>
    <hyperlink r:id="rId4566" ref="A1983"/>
    <hyperlink r:id="rId4567" ref="EQ1983"/>
    <hyperlink r:id="rId4568" ref="A1984"/>
    <hyperlink r:id="rId4569" ref="AG1984"/>
    <hyperlink r:id="rId4570" ref="EQ1984"/>
    <hyperlink r:id="rId4571" ref="A1985"/>
    <hyperlink r:id="rId4572" ref="EQ1985"/>
    <hyperlink r:id="rId4573" ref="A1986"/>
    <hyperlink r:id="rId4574" ref="EQ1986"/>
    <hyperlink r:id="rId4575" ref="A1987"/>
    <hyperlink r:id="rId4576" ref="AG1987"/>
    <hyperlink r:id="rId4577" ref="EQ1987"/>
    <hyperlink r:id="rId4578" ref="A1988"/>
    <hyperlink r:id="rId4579" ref="EQ1988"/>
    <hyperlink r:id="rId4580" ref="A1989"/>
    <hyperlink r:id="rId4581" ref="EQ1989"/>
    <hyperlink r:id="rId4582" ref="A1990"/>
    <hyperlink r:id="rId4583" ref="AG1990"/>
    <hyperlink r:id="rId4584" ref="EQ1990"/>
    <hyperlink r:id="rId4585" ref="A1991"/>
    <hyperlink r:id="rId4586" ref="EQ1991"/>
    <hyperlink r:id="rId4587" ref="A1992"/>
    <hyperlink r:id="rId4588" ref="EQ1992"/>
    <hyperlink r:id="rId4589" ref="A1993"/>
    <hyperlink r:id="rId4590" ref="EQ1993"/>
    <hyperlink r:id="rId4591" ref="A1994"/>
    <hyperlink r:id="rId4592" ref="EQ1994"/>
    <hyperlink r:id="rId4593" ref="A1995"/>
    <hyperlink r:id="rId4594" ref="EQ1995"/>
    <hyperlink r:id="rId4595" ref="A1996"/>
    <hyperlink r:id="rId4596" ref="EQ1996"/>
    <hyperlink r:id="rId4597" ref="A1997"/>
    <hyperlink r:id="rId4598" ref="AG1997"/>
    <hyperlink r:id="rId4599" ref="EQ1997"/>
    <hyperlink r:id="rId4600" ref="A1998"/>
    <hyperlink r:id="rId4601" ref="EQ1998"/>
    <hyperlink r:id="rId4602" ref="A1999"/>
    <hyperlink r:id="rId4603" ref="AG1999"/>
    <hyperlink r:id="rId4604" ref="EQ1999"/>
    <hyperlink r:id="rId4605" ref="A2000"/>
    <hyperlink r:id="rId4606" ref="EQ2000"/>
    <hyperlink r:id="rId4607" ref="A2001"/>
    <hyperlink r:id="rId4608" ref="EQ2001"/>
    <hyperlink r:id="rId4609" ref="A2002"/>
    <hyperlink r:id="rId4610" ref="AG2002"/>
    <hyperlink r:id="rId4611" ref="EQ2002"/>
    <hyperlink r:id="rId4612" ref="A2003"/>
    <hyperlink r:id="rId4613" ref="AG2003"/>
    <hyperlink r:id="rId4614" ref="EQ2003"/>
    <hyperlink r:id="rId4615" ref="A2004"/>
    <hyperlink r:id="rId4616" ref="EQ2004"/>
    <hyperlink r:id="rId4617" ref="A2005"/>
    <hyperlink r:id="rId4618" ref="EQ2005"/>
    <hyperlink r:id="rId4619" ref="A2006"/>
    <hyperlink r:id="rId4620" ref="AG2006"/>
    <hyperlink r:id="rId4621" ref="EQ2006"/>
    <hyperlink r:id="rId4622" ref="A2007"/>
    <hyperlink r:id="rId4623" ref="EQ2007"/>
    <hyperlink r:id="rId4624" ref="A2008"/>
    <hyperlink r:id="rId4625" ref="EQ2008"/>
    <hyperlink r:id="rId4626" ref="A2009"/>
    <hyperlink r:id="rId4627" ref="EQ2009"/>
    <hyperlink r:id="rId4628" ref="A2010"/>
    <hyperlink r:id="rId4629" ref="AG2010"/>
    <hyperlink r:id="rId4630" ref="EQ2010"/>
    <hyperlink r:id="rId4631" ref="A2011"/>
    <hyperlink r:id="rId4632" ref="AG2011"/>
    <hyperlink r:id="rId4633" ref="EQ2011"/>
    <hyperlink r:id="rId4634" ref="A2012"/>
    <hyperlink r:id="rId4635" ref="AG2012"/>
    <hyperlink r:id="rId4636" ref="EQ2012"/>
    <hyperlink r:id="rId4637" ref="A2013"/>
    <hyperlink r:id="rId4638" ref="AG2013"/>
    <hyperlink r:id="rId4639" ref="EQ2013"/>
    <hyperlink r:id="rId4640" ref="A2014"/>
    <hyperlink r:id="rId4641" ref="AG2014"/>
    <hyperlink r:id="rId4642" ref="EQ2014"/>
    <hyperlink r:id="rId4643" ref="A2015"/>
    <hyperlink r:id="rId4644" ref="AG2015"/>
    <hyperlink r:id="rId4645" ref="EQ2015"/>
    <hyperlink r:id="rId4646" ref="A2016"/>
    <hyperlink r:id="rId4647" ref="EQ2016"/>
    <hyperlink r:id="rId4648" ref="A2017"/>
    <hyperlink r:id="rId4649" ref="EQ2017"/>
    <hyperlink r:id="rId4650" ref="A2018"/>
    <hyperlink r:id="rId4651" ref="AG2018"/>
    <hyperlink r:id="rId4652" ref="EQ2018"/>
    <hyperlink r:id="rId4653" ref="A2019"/>
    <hyperlink r:id="rId4654" ref="EQ2019"/>
    <hyperlink r:id="rId4655" ref="A2020"/>
    <hyperlink r:id="rId4656" ref="AG2020"/>
    <hyperlink r:id="rId4657" ref="EQ2020"/>
    <hyperlink r:id="rId4658" ref="A2021"/>
    <hyperlink r:id="rId4659" ref="EQ2021"/>
    <hyperlink r:id="rId4660" ref="A2022"/>
    <hyperlink r:id="rId4661" ref="EQ2022"/>
    <hyperlink r:id="rId4662" ref="A2023"/>
    <hyperlink r:id="rId4663" ref="EQ2023"/>
    <hyperlink r:id="rId4664" ref="A2024"/>
    <hyperlink r:id="rId4665" ref="EQ2024"/>
    <hyperlink r:id="rId4666" ref="A2025"/>
    <hyperlink r:id="rId4667" ref="EQ2025"/>
    <hyperlink r:id="rId4668" ref="A2026"/>
    <hyperlink r:id="rId4669" ref="EQ2026"/>
    <hyperlink r:id="rId4670" ref="A2027"/>
    <hyperlink r:id="rId4671" ref="EQ2027"/>
    <hyperlink r:id="rId4672" ref="A2028"/>
    <hyperlink r:id="rId4673" ref="AG2028"/>
    <hyperlink r:id="rId4674" ref="EQ2028"/>
    <hyperlink r:id="rId4675" ref="A2029"/>
    <hyperlink r:id="rId4676" ref="EQ2029"/>
    <hyperlink r:id="rId4677" ref="A2030"/>
    <hyperlink r:id="rId4678" ref="EQ2030"/>
    <hyperlink r:id="rId4679" ref="A2031"/>
    <hyperlink r:id="rId4680" ref="EQ2031"/>
    <hyperlink r:id="rId4681" ref="A2032"/>
    <hyperlink r:id="rId4682" ref="EQ2032"/>
    <hyperlink r:id="rId4683" ref="A2033"/>
    <hyperlink r:id="rId4684" ref="EQ2033"/>
    <hyperlink r:id="rId4685" ref="A2034"/>
    <hyperlink r:id="rId4686" ref="EQ2034"/>
    <hyperlink r:id="rId4687" ref="A2035"/>
    <hyperlink r:id="rId4688" ref="EQ2035"/>
    <hyperlink r:id="rId4689" ref="A2036"/>
    <hyperlink r:id="rId4690" ref="EQ2036"/>
    <hyperlink r:id="rId4691" ref="A2037"/>
    <hyperlink r:id="rId4692" ref="EQ2037"/>
    <hyperlink r:id="rId4693" ref="A2038"/>
    <hyperlink r:id="rId4694" ref="EQ2038"/>
    <hyperlink r:id="rId4695" ref="A2039"/>
    <hyperlink r:id="rId4696" ref="EQ2039"/>
    <hyperlink r:id="rId4697" ref="A2040"/>
    <hyperlink r:id="rId4698" ref="EQ2040"/>
    <hyperlink r:id="rId4699" ref="A2041"/>
    <hyperlink r:id="rId4700" ref="BR2041"/>
    <hyperlink r:id="rId4701" ref="EQ2041"/>
    <hyperlink r:id="rId4702" ref="A2042"/>
    <hyperlink r:id="rId4703" ref="EQ2042"/>
    <hyperlink r:id="rId4704" ref="A2043"/>
    <hyperlink r:id="rId4705" ref="EQ2043"/>
    <hyperlink r:id="rId4706" ref="A2044"/>
    <hyperlink r:id="rId4707" ref="AG2044"/>
    <hyperlink r:id="rId4708" ref="EQ2044"/>
    <hyperlink r:id="rId4709" ref="A2045"/>
    <hyperlink r:id="rId4710" ref="EQ2045"/>
    <hyperlink r:id="rId4711" ref="A2046"/>
    <hyperlink r:id="rId4712" ref="EQ2046"/>
    <hyperlink r:id="rId4713" ref="A2047"/>
    <hyperlink r:id="rId4714" ref="AG2047"/>
    <hyperlink r:id="rId4715" ref="EQ2047"/>
    <hyperlink r:id="rId4716" ref="A2048"/>
    <hyperlink r:id="rId4717" ref="EQ2048"/>
    <hyperlink r:id="rId4718" ref="A2049"/>
    <hyperlink r:id="rId4719" ref="EQ2049"/>
    <hyperlink r:id="rId4720" ref="A2050"/>
    <hyperlink r:id="rId4721" ref="EQ2050"/>
    <hyperlink r:id="rId4722" ref="A2051"/>
    <hyperlink r:id="rId4723" ref="EQ2051"/>
    <hyperlink r:id="rId4724" ref="A2052"/>
    <hyperlink r:id="rId4725" ref="EQ2052"/>
    <hyperlink r:id="rId4726" ref="A2053"/>
    <hyperlink r:id="rId4727" ref="EQ2053"/>
    <hyperlink r:id="rId4728" ref="A2054"/>
    <hyperlink r:id="rId4729" ref="EQ2054"/>
    <hyperlink r:id="rId4730" ref="A2055"/>
    <hyperlink r:id="rId4731" ref="AG2055"/>
    <hyperlink r:id="rId4732" ref="EQ2055"/>
    <hyperlink r:id="rId4733" ref="A2056"/>
    <hyperlink r:id="rId4734" ref="EQ2056"/>
    <hyperlink r:id="rId4735" ref="A2057"/>
    <hyperlink r:id="rId4736" ref="EQ2057"/>
    <hyperlink r:id="rId4737" ref="A2058"/>
    <hyperlink r:id="rId4738" ref="EQ2058"/>
    <hyperlink r:id="rId4739" ref="A2059"/>
    <hyperlink r:id="rId4740" ref="AG2059"/>
    <hyperlink r:id="rId4741" ref="EQ2059"/>
    <hyperlink r:id="rId4742" ref="A2060"/>
    <hyperlink r:id="rId4743" ref="AG2060"/>
    <hyperlink r:id="rId4744" ref="EQ2060"/>
    <hyperlink r:id="rId4745" ref="A2061"/>
    <hyperlink r:id="rId4746" ref="EQ2061"/>
    <hyperlink r:id="rId4747" ref="A2062"/>
    <hyperlink r:id="rId4748" ref="EQ2062"/>
    <hyperlink r:id="rId4749" ref="A2063"/>
    <hyperlink r:id="rId4750" ref="EQ2063"/>
    <hyperlink r:id="rId4751" ref="A2064"/>
    <hyperlink r:id="rId4752" ref="AG2064"/>
    <hyperlink r:id="rId4753" ref="EQ2064"/>
    <hyperlink r:id="rId4754" ref="A2065"/>
    <hyperlink r:id="rId4755" ref="EQ2065"/>
    <hyperlink r:id="rId4756" ref="A2066"/>
    <hyperlink r:id="rId4757" ref="EQ2066"/>
    <hyperlink r:id="rId4758" ref="A2067"/>
    <hyperlink r:id="rId4759" ref="EQ2067"/>
    <hyperlink r:id="rId4760" ref="A2068"/>
    <hyperlink r:id="rId4761" ref="EQ2068"/>
    <hyperlink r:id="rId4762" ref="A2069"/>
    <hyperlink r:id="rId4763" ref="EQ2069"/>
    <hyperlink r:id="rId4764" ref="A2070"/>
    <hyperlink r:id="rId4765" ref="EQ2070"/>
    <hyperlink r:id="rId4766" ref="A2071"/>
    <hyperlink r:id="rId4767" ref="AG2071"/>
    <hyperlink r:id="rId4768" ref="EQ2071"/>
    <hyperlink r:id="rId4769" ref="A2072"/>
    <hyperlink r:id="rId4770" ref="AG2072"/>
    <hyperlink r:id="rId4771" ref="EQ2072"/>
    <hyperlink r:id="rId4772" ref="A2073"/>
    <hyperlink r:id="rId4773" ref="EQ2073"/>
    <hyperlink r:id="rId4774" ref="A2074"/>
    <hyperlink r:id="rId4775" ref="EQ2074"/>
    <hyperlink r:id="rId4776" ref="A2075"/>
    <hyperlink r:id="rId4777" ref="AG2075"/>
    <hyperlink r:id="rId4778" ref="EQ2075"/>
    <hyperlink r:id="rId4779" ref="A2076"/>
    <hyperlink r:id="rId4780" ref="AG2076"/>
    <hyperlink r:id="rId4781" ref="EQ2076"/>
    <hyperlink r:id="rId4782" ref="A2077"/>
    <hyperlink r:id="rId4783" ref="EQ2077"/>
    <hyperlink r:id="rId4784" ref="A2078"/>
    <hyperlink r:id="rId4785" ref="AG2078"/>
    <hyperlink r:id="rId4786" ref="EQ2078"/>
    <hyperlink r:id="rId4787" ref="A2079"/>
    <hyperlink r:id="rId4788" ref="EQ2079"/>
    <hyperlink r:id="rId4789" ref="A2080"/>
    <hyperlink r:id="rId4790" ref="EQ2080"/>
    <hyperlink r:id="rId4791" ref="A2081"/>
    <hyperlink r:id="rId4792" ref="BR2081"/>
    <hyperlink r:id="rId4793" ref="EQ2081"/>
    <hyperlink r:id="rId4794" ref="A2082"/>
    <hyperlink r:id="rId4795" ref="EQ2082"/>
    <hyperlink r:id="rId4796" ref="A2083"/>
    <hyperlink r:id="rId4797" ref="EQ2083"/>
    <hyperlink r:id="rId4798" ref="A2084"/>
    <hyperlink r:id="rId4799" ref="AG2084"/>
    <hyperlink r:id="rId4800" ref="EQ2084"/>
    <hyperlink r:id="rId4801" ref="A2085"/>
    <hyperlink r:id="rId4802" ref="EQ2085"/>
    <hyperlink r:id="rId4803" ref="A2086"/>
    <hyperlink r:id="rId4804" ref="EQ2086"/>
    <hyperlink r:id="rId4805" ref="A2087"/>
    <hyperlink r:id="rId4806" ref="BR2087"/>
    <hyperlink r:id="rId4807" ref="EQ2087"/>
    <hyperlink r:id="rId4808" ref="A2088"/>
    <hyperlink r:id="rId4809" ref="EQ2088"/>
    <hyperlink r:id="rId4810" ref="A2089"/>
    <hyperlink r:id="rId4811" ref="EQ2089"/>
    <hyperlink r:id="rId4812" ref="A2090"/>
    <hyperlink r:id="rId4813" ref="EQ2090"/>
    <hyperlink r:id="rId4814" ref="A2091"/>
    <hyperlink r:id="rId4815" ref="AG2091"/>
    <hyperlink r:id="rId4816" ref="EQ2091"/>
    <hyperlink r:id="rId4817" ref="A2092"/>
    <hyperlink r:id="rId4818" ref="EQ2092"/>
    <hyperlink r:id="rId4819" ref="A2093"/>
    <hyperlink r:id="rId4820" ref="EQ2093"/>
    <hyperlink r:id="rId4821" ref="A2094"/>
    <hyperlink r:id="rId4822" ref="EQ2094"/>
    <hyperlink r:id="rId4823" ref="A2095"/>
    <hyperlink r:id="rId4824" ref="EQ2095"/>
    <hyperlink r:id="rId4825" ref="A2096"/>
    <hyperlink r:id="rId4826" ref="EQ2096"/>
    <hyperlink r:id="rId4827" ref="A2097"/>
    <hyperlink r:id="rId4828" ref="EQ2097"/>
    <hyperlink r:id="rId4829" ref="A2098"/>
    <hyperlink r:id="rId4830" ref="EQ2098"/>
    <hyperlink r:id="rId4831" ref="A2099"/>
    <hyperlink r:id="rId4832" ref="EQ2099"/>
    <hyperlink r:id="rId4833" ref="A2100"/>
    <hyperlink r:id="rId4834" ref="EQ2100"/>
    <hyperlink r:id="rId4835" ref="A2101"/>
    <hyperlink r:id="rId4836" ref="EQ2101"/>
    <hyperlink r:id="rId4837" ref="A2102"/>
    <hyperlink r:id="rId4838" ref="BR2102"/>
    <hyperlink r:id="rId4839" ref="EQ2102"/>
    <hyperlink r:id="rId4840" ref="A2103"/>
    <hyperlink r:id="rId4841" ref="AG2103"/>
    <hyperlink r:id="rId4842" ref="EQ2103"/>
    <hyperlink r:id="rId4843" ref="A2104"/>
    <hyperlink r:id="rId4844" ref="EQ2104"/>
    <hyperlink r:id="rId4845" ref="A2105"/>
    <hyperlink r:id="rId4846" ref="AG2105"/>
    <hyperlink r:id="rId4847" ref="EQ2105"/>
    <hyperlink r:id="rId4848" ref="A2106"/>
    <hyperlink r:id="rId4849" ref="EQ2106"/>
    <hyperlink r:id="rId4850" ref="A2107"/>
    <hyperlink r:id="rId4851" ref="EQ2107"/>
    <hyperlink r:id="rId4852" ref="A2108"/>
    <hyperlink r:id="rId4853" ref="EQ2108"/>
    <hyperlink r:id="rId4854" ref="A2109"/>
    <hyperlink r:id="rId4855" ref="EQ2109"/>
    <hyperlink r:id="rId4856" ref="A2110"/>
    <hyperlink r:id="rId4857" ref="EQ2110"/>
    <hyperlink r:id="rId4858" ref="A2111"/>
    <hyperlink r:id="rId4859" ref="EQ2111"/>
    <hyperlink r:id="rId4860" ref="A2112"/>
    <hyperlink r:id="rId4861" ref="EQ2112"/>
    <hyperlink r:id="rId4862" ref="A2113"/>
    <hyperlink r:id="rId4863" ref="EQ2113"/>
    <hyperlink r:id="rId4864" ref="A2114"/>
    <hyperlink r:id="rId4865" ref="EQ2114"/>
    <hyperlink r:id="rId4866" ref="A2115"/>
    <hyperlink r:id="rId4867" ref="EQ2115"/>
    <hyperlink r:id="rId4868" ref="A2116"/>
    <hyperlink r:id="rId4869" ref="EQ2116"/>
    <hyperlink r:id="rId4870" ref="A2117"/>
    <hyperlink r:id="rId4871" ref="AG2117"/>
    <hyperlink r:id="rId4872" ref="EQ2117"/>
    <hyperlink r:id="rId4873" ref="A2118"/>
    <hyperlink r:id="rId4874" ref="EQ2118"/>
    <hyperlink r:id="rId4875" ref="A2119"/>
    <hyperlink r:id="rId4876" ref="EQ2119"/>
    <hyperlink r:id="rId4877" ref="A2120"/>
    <hyperlink r:id="rId4878" ref="EQ2120"/>
    <hyperlink r:id="rId4879" ref="A2121"/>
    <hyperlink r:id="rId4880" ref="EQ2121"/>
    <hyperlink r:id="rId4881" ref="A2122"/>
    <hyperlink r:id="rId4882" ref="AG2122"/>
    <hyperlink r:id="rId4883" ref="EQ2122"/>
    <hyperlink r:id="rId4884" ref="A2123"/>
    <hyperlink r:id="rId4885" ref="EQ2123"/>
    <hyperlink r:id="rId4886" ref="A2124"/>
    <hyperlink r:id="rId4887" ref="EQ2124"/>
    <hyperlink r:id="rId4888" ref="A2125"/>
    <hyperlink r:id="rId4889" ref="EQ2125"/>
    <hyperlink r:id="rId4890" ref="A2126"/>
    <hyperlink r:id="rId4891" ref="AG2126"/>
    <hyperlink r:id="rId4892" ref="EQ2126"/>
    <hyperlink r:id="rId4893" ref="A2127"/>
    <hyperlink r:id="rId4894" ref="EQ2127"/>
    <hyperlink r:id="rId4895" ref="A2128"/>
    <hyperlink r:id="rId4896" ref="AG2128"/>
    <hyperlink r:id="rId4897" ref="EQ2128"/>
    <hyperlink r:id="rId4898" ref="A2129"/>
    <hyperlink r:id="rId4899" ref="EQ2129"/>
    <hyperlink r:id="rId4900" ref="A2130"/>
    <hyperlink r:id="rId4901" ref="EQ2130"/>
    <hyperlink r:id="rId4902" ref="A2131"/>
    <hyperlink r:id="rId4903" ref="EQ2131"/>
    <hyperlink r:id="rId4904" ref="A2132"/>
    <hyperlink r:id="rId4905" ref="EQ2132"/>
    <hyperlink r:id="rId4906" ref="A2133"/>
    <hyperlink r:id="rId4907" ref="EQ2133"/>
    <hyperlink r:id="rId4908" ref="A2134"/>
    <hyperlink r:id="rId4909" ref="EQ2134"/>
    <hyperlink r:id="rId4910" ref="A2135"/>
    <hyperlink r:id="rId4911" ref="AG2135"/>
    <hyperlink r:id="rId4912" ref="EQ2135"/>
    <hyperlink r:id="rId4913" ref="A2136"/>
    <hyperlink r:id="rId4914" ref="EQ2136"/>
    <hyperlink r:id="rId4915" ref="A2137"/>
    <hyperlink r:id="rId4916" ref="AG2137"/>
    <hyperlink r:id="rId4917" ref="EQ2137"/>
    <hyperlink r:id="rId4918" ref="A2138"/>
    <hyperlink r:id="rId4919" ref="EQ2138"/>
    <hyperlink r:id="rId4920" ref="A2139"/>
    <hyperlink r:id="rId4921" ref="EQ2139"/>
    <hyperlink r:id="rId4922" ref="A2140"/>
    <hyperlink r:id="rId4923" ref="EQ2140"/>
    <hyperlink r:id="rId4924" ref="A2141"/>
    <hyperlink r:id="rId4925" ref="BR2141"/>
    <hyperlink r:id="rId4926" ref="EQ2141"/>
    <hyperlink r:id="rId4927" ref="A2142"/>
    <hyperlink r:id="rId4928" ref="EQ2142"/>
    <hyperlink r:id="rId4929" ref="A2143"/>
    <hyperlink r:id="rId4930" ref="EQ2143"/>
    <hyperlink r:id="rId4931" ref="A2144"/>
    <hyperlink r:id="rId4932" ref="EQ2144"/>
    <hyperlink r:id="rId4933" ref="A2145"/>
    <hyperlink r:id="rId4934" ref="EQ2145"/>
    <hyperlink r:id="rId4935" ref="A2146"/>
    <hyperlink r:id="rId4936" ref="AG2146"/>
    <hyperlink r:id="rId4937" ref="EQ2146"/>
    <hyperlink r:id="rId4938" ref="A2147"/>
    <hyperlink r:id="rId4939" ref="EQ2147"/>
    <hyperlink r:id="rId4940" ref="A2148"/>
    <hyperlink r:id="rId4941" ref="AG2148"/>
    <hyperlink r:id="rId4942" ref="EQ2148"/>
    <hyperlink r:id="rId4943" ref="A2149"/>
    <hyperlink r:id="rId4944" ref="EQ2149"/>
    <hyperlink r:id="rId4945" ref="A2150"/>
    <hyperlink r:id="rId4946" ref="EQ2150"/>
    <hyperlink r:id="rId4947" ref="A2151"/>
    <hyperlink r:id="rId4948" ref="EQ2151"/>
    <hyperlink r:id="rId4949" ref="A2152"/>
    <hyperlink r:id="rId4950" ref="EQ2152"/>
    <hyperlink r:id="rId4951" ref="A2153"/>
    <hyperlink r:id="rId4952" ref="AG2153"/>
    <hyperlink r:id="rId4953" ref="EQ2153"/>
    <hyperlink r:id="rId4954" ref="A2154"/>
    <hyperlink r:id="rId4955" ref="EQ2154"/>
    <hyperlink r:id="rId4956" ref="A2155"/>
    <hyperlink r:id="rId4957" ref="EQ2155"/>
    <hyperlink r:id="rId4958" ref="A2156"/>
    <hyperlink r:id="rId4959" ref="EQ2156"/>
    <hyperlink r:id="rId4960" ref="A2157"/>
    <hyperlink r:id="rId4961" ref="EQ2157"/>
    <hyperlink r:id="rId4962" ref="A2158"/>
    <hyperlink r:id="rId4963" ref="AG2158"/>
    <hyperlink r:id="rId4964" ref="EQ2158"/>
    <hyperlink r:id="rId4965" ref="A2159"/>
    <hyperlink r:id="rId4966" ref="EQ2159"/>
    <hyperlink r:id="rId4967" ref="A2160"/>
    <hyperlink r:id="rId4968" ref="EQ2160"/>
    <hyperlink r:id="rId4969" ref="A2161"/>
    <hyperlink r:id="rId4970" ref="EQ2161"/>
    <hyperlink r:id="rId4971" ref="A2162"/>
    <hyperlink r:id="rId4972" ref="EQ2162"/>
    <hyperlink r:id="rId4973" ref="A2163"/>
    <hyperlink r:id="rId4974" ref="AG2163"/>
    <hyperlink r:id="rId4975" ref="EQ2163"/>
    <hyperlink r:id="rId4976" ref="A2164"/>
    <hyperlink r:id="rId4977" ref="EQ2164"/>
    <hyperlink r:id="rId4978" ref="A2165"/>
    <hyperlink r:id="rId4979" ref="AG2165"/>
    <hyperlink r:id="rId4980" ref="EQ2165"/>
    <hyperlink r:id="rId4981" ref="A2166"/>
    <hyperlink r:id="rId4982" ref="AG2166"/>
    <hyperlink r:id="rId4983" ref="EQ2166"/>
    <hyperlink r:id="rId4984" ref="A2167"/>
    <hyperlink r:id="rId4985" ref="EQ2167"/>
    <hyperlink r:id="rId4986" ref="A2168"/>
    <hyperlink r:id="rId4987" ref="AG2168"/>
    <hyperlink r:id="rId4988" ref="EQ2168"/>
    <hyperlink r:id="rId4989" ref="A2169"/>
    <hyperlink r:id="rId4990" ref="EQ2169"/>
    <hyperlink r:id="rId4991" ref="A2170"/>
    <hyperlink r:id="rId4992" ref="EQ2170"/>
    <hyperlink r:id="rId4993" ref="A2171"/>
    <hyperlink r:id="rId4994" ref="AG2171"/>
    <hyperlink r:id="rId4995" ref="EQ2171"/>
    <hyperlink r:id="rId4996" ref="A2172"/>
    <hyperlink r:id="rId4997" ref="BR2172"/>
    <hyperlink r:id="rId4998" ref="EQ2172"/>
    <hyperlink r:id="rId4999" ref="A2173"/>
    <hyperlink r:id="rId5000" ref="EQ2173"/>
    <hyperlink r:id="rId5001" ref="A2174"/>
    <hyperlink r:id="rId5002" ref="EQ2174"/>
    <hyperlink r:id="rId5003" ref="A2175"/>
    <hyperlink r:id="rId5004" ref="EQ2175"/>
    <hyperlink r:id="rId5005" ref="A2176"/>
    <hyperlink r:id="rId5006" ref="EQ2176"/>
    <hyperlink r:id="rId5007" ref="A2177"/>
    <hyperlink r:id="rId5008" ref="AG2177"/>
    <hyperlink r:id="rId5009" ref="EQ2177"/>
    <hyperlink r:id="rId5010" ref="A2178"/>
    <hyperlink r:id="rId5011" ref="EQ2178"/>
    <hyperlink r:id="rId5012" ref="A2179"/>
    <hyperlink r:id="rId5013" ref="AG2179"/>
    <hyperlink r:id="rId5014" ref="EQ2179"/>
    <hyperlink r:id="rId5015" ref="A2180"/>
    <hyperlink r:id="rId5016" ref="EQ2180"/>
    <hyperlink r:id="rId5017" ref="A2181"/>
    <hyperlink r:id="rId5018" ref="AG2181"/>
    <hyperlink r:id="rId5019" ref="EQ2181"/>
    <hyperlink r:id="rId5020" ref="A2182"/>
    <hyperlink r:id="rId5021" ref="EQ2182"/>
    <hyperlink r:id="rId5022" ref="A2183"/>
    <hyperlink r:id="rId5023" ref="AG2183"/>
    <hyperlink r:id="rId5024" ref="EQ2183"/>
    <hyperlink r:id="rId5025" ref="A2184"/>
    <hyperlink r:id="rId5026" ref="EQ2184"/>
    <hyperlink r:id="rId5027" ref="A2185"/>
    <hyperlink r:id="rId5028" ref="EQ2185"/>
    <hyperlink r:id="rId5029" ref="A2186"/>
    <hyperlink r:id="rId5030" ref="AG2186"/>
    <hyperlink r:id="rId5031" ref="EQ2186"/>
    <hyperlink r:id="rId5032" ref="A2187"/>
    <hyperlink r:id="rId5033" ref="AG2187"/>
    <hyperlink r:id="rId5034" ref="EQ2187"/>
    <hyperlink r:id="rId5035" ref="A2188"/>
    <hyperlink r:id="rId5036" ref="EQ2188"/>
    <hyperlink r:id="rId5037" ref="A2189"/>
    <hyperlink r:id="rId5038" ref="AG2189"/>
    <hyperlink r:id="rId5039" ref="EQ2189"/>
    <hyperlink r:id="rId5040" ref="A2190"/>
    <hyperlink r:id="rId5041" ref="EQ2190"/>
    <hyperlink r:id="rId5042" ref="A2191"/>
    <hyperlink r:id="rId5043" ref="EQ2191"/>
    <hyperlink r:id="rId5044" ref="A2192"/>
    <hyperlink r:id="rId5045" ref="EQ2192"/>
    <hyperlink r:id="rId5046" ref="A2193"/>
    <hyperlink r:id="rId5047" ref="BR2193"/>
    <hyperlink r:id="rId5048" ref="EQ2193"/>
    <hyperlink r:id="rId5049" ref="A2194"/>
    <hyperlink r:id="rId5050" ref="EQ2194"/>
    <hyperlink r:id="rId5051" ref="A2195"/>
    <hyperlink r:id="rId5052" ref="EQ2195"/>
    <hyperlink r:id="rId5053" ref="A2196"/>
    <hyperlink r:id="rId5054" ref="BR2196"/>
    <hyperlink r:id="rId5055" ref="EQ2196"/>
    <hyperlink r:id="rId5056" ref="A2197"/>
    <hyperlink r:id="rId5057" ref="AG2197"/>
    <hyperlink r:id="rId5058" ref="EQ2197"/>
    <hyperlink r:id="rId5059" ref="A2198"/>
    <hyperlink r:id="rId5060" ref="EQ2198"/>
    <hyperlink r:id="rId5061" ref="A2199"/>
    <hyperlink r:id="rId5062" ref="EQ2199"/>
    <hyperlink r:id="rId5063" ref="A2200"/>
    <hyperlink r:id="rId5064" ref="EQ2200"/>
    <hyperlink r:id="rId5065" ref="A2201"/>
    <hyperlink r:id="rId5066" ref="EQ2201"/>
    <hyperlink r:id="rId5067" ref="A2202"/>
    <hyperlink r:id="rId5068" ref="EQ2202"/>
    <hyperlink r:id="rId5069" ref="A2203"/>
    <hyperlink r:id="rId5070" ref="AG2203"/>
    <hyperlink r:id="rId5071" ref="EQ2203"/>
    <hyperlink r:id="rId5072" ref="A2204"/>
    <hyperlink r:id="rId5073" ref="AG2204"/>
    <hyperlink r:id="rId5074" ref="EQ2204"/>
    <hyperlink r:id="rId5075" ref="A2205"/>
    <hyperlink r:id="rId5076" ref="EQ2205"/>
    <hyperlink r:id="rId5077" ref="A2206"/>
    <hyperlink r:id="rId5078" ref="EQ2206"/>
    <hyperlink r:id="rId5079" ref="A2207"/>
    <hyperlink r:id="rId5080" ref="EQ2207"/>
    <hyperlink r:id="rId5081" ref="A2208"/>
    <hyperlink r:id="rId5082" ref="EQ2208"/>
    <hyperlink r:id="rId5083" ref="A2209"/>
    <hyperlink r:id="rId5084" ref="EQ2209"/>
    <hyperlink r:id="rId5085" ref="A2210"/>
    <hyperlink r:id="rId5086" ref="EQ2210"/>
    <hyperlink r:id="rId5087" ref="A2211"/>
    <hyperlink r:id="rId5088" ref="EQ2211"/>
    <hyperlink r:id="rId5089" ref="A2212"/>
    <hyperlink r:id="rId5090" ref="EQ2212"/>
    <hyperlink r:id="rId5091" ref="A2213"/>
    <hyperlink r:id="rId5092" ref="EQ2213"/>
    <hyperlink r:id="rId5093" ref="A2214"/>
    <hyperlink r:id="rId5094" ref="EQ2214"/>
    <hyperlink r:id="rId5095" ref="A2215"/>
    <hyperlink r:id="rId5096" ref="EQ2215"/>
    <hyperlink r:id="rId5097" ref="A2216"/>
    <hyperlink r:id="rId5098" ref="EQ2216"/>
    <hyperlink r:id="rId5099" ref="A2217"/>
    <hyperlink r:id="rId5100" ref="AG2217"/>
    <hyperlink r:id="rId5101" ref="EQ2217"/>
    <hyperlink r:id="rId5102" ref="A2218"/>
    <hyperlink r:id="rId5103" ref="EQ2218"/>
    <hyperlink r:id="rId5104" ref="A2219"/>
    <hyperlink r:id="rId5105" ref="EQ2219"/>
    <hyperlink r:id="rId5106" ref="A2220"/>
    <hyperlink r:id="rId5107" ref="EQ2220"/>
    <hyperlink r:id="rId5108" ref="A2221"/>
    <hyperlink r:id="rId5109" ref="EQ2221"/>
    <hyperlink r:id="rId5110" ref="A2222"/>
    <hyperlink r:id="rId5111" ref="EQ2222"/>
    <hyperlink r:id="rId5112" ref="A2223"/>
    <hyperlink r:id="rId5113" ref="EQ2223"/>
    <hyperlink r:id="rId5114" ref="A2224"/>
    <hyperlink r:id="rId5115" ref="AG2224"/>
    <hyperlink r:id="rId5116" ref="EQ2224"/>
    <hyperlink r:id="rId5117" ref="A2225"/>
    <hyperlink r:id="rId5118" ref="AG2225"/>
    <hyperlink r:id="rId5119" ref="EQ2225"/>
    <hyperlink r:id="rId5120" ref="A2226"/>
    <hyperlink r:id="rId5121" ref="EQ2226"/>
    <hyperlink r:id="rId5122" ref="A2227"/>
    <hyperlink r:id="rId5123" ref="AG2227"/>
    <hyperlink r:id="rId5124" ref="EQ2227"/>
    <hyperlink r:id="rId5125" ref="A2228"/>
    <hyperlink r:id="rId5126" ref="EQ2228"/>
    <hyperlink r:id="rId5127" ref="A2229"/>
    <hyperlink r:id="rId5128" ref="AG2229"/>
    <hyperlink r:id="rId5129" ref="EQ2229"/>
    <hyperlink r:id="rId5130" ref="A2230"/>
    <hyperlink r:id="rId5131" ref="AG2230"/>
    <hyperlink r:id="rId5132" ref="EQ2230"/>
    <hyperlink r:id="rId5133" ref="A2231"/>
    <hyperlink r:id="rId5134" ref="AG2231"/>
    <hyperlink r:id="rId5135" ref="EQ2231"/>
    <hyperlink r:id="rId5136" ref="A2232"/>
    <hyperlink r:id="rId5137" ref="AG2232"/>
    <hyperlink r:id="rId5138" ref="EQ2232"/>
    <hyperlink r:id="rId5139" ref="A2233"/>
    <hyperlink r:id="rId5140" ref="AG2233"/>
    <hyperlink r:id="rId5141" ref="EQ2233"/>
    <hyperlink r:id="rId5142" ref="A2234"/>
    <hyperlink r:id="rId5143" ref="EQ2234"/>
    <hyperlink r:id="rId5144" ref="A2235"/>
    <hyperlink r:id="rId5145" ref="EQ2235"/>
    <hyperlink r:id="rId5146" ref="A2236"/>
    <hyperlink r:id="rId5147" ref="EQ2236"/>
    <hyperlink r:id="rId5148" ref="A2237"/>
    <hyperlink r:id="rId5149" ref="EQ2237"/>
    <hyperlink r:id="rId5150" ref="A2238"/>
    <hyperlink r:id="rId5151" ref="EQ2238"/>
    <hyperlink r:id="rId5152" ref="A2239"/>
    <hyperlink r:id="rId5153" ref="BR2239"/>
    <hyperlink r:id="rId5154" ref="EQ2239"/>
    <hyperlink r:id="rId5155" ref="A2240"/>
    <hyperlink r:id="rId5156" ref="AG2240"/>
    <hyperlink r:id="rId5157" ref="EQ2240"/>
    <hyperlink r:id="rId5158" ref="A2241"/>
    <hyperlink r:id="rId5159" ref="AG2241"/>
    <hyperlink r:id="rId5160" ref="EQ2241"/>
    <hyperlink r:id="rId5161" ref="A2242"/>
    <hyperlink r:id="rId5162" ref="EQ2242"/>
    <hyperlink r:id="rId5163" ref="A2243"/>
    <hyperlink r:id="rId5164" ref="EQ2243"/>
    <hyperlink r:id="rId5165" ref="A2244"/>
    <hyperlink r:id="rId5166" ref="EQ2244"/>
    <hyperlink r:id="rId5167" ref="A2245"/>
    <hyperlink r:id="rId5168" ref="AG2245"/>
    <hyperlink r:id="rId5169" ref="EQ2245"/>
    <hyperlink r:id="rId5170" ref="A2246"/>
    <hyperlink r:id="rId5171" ref="EQ2246"/>
    <hyperlink r:id="rId5172" ref="A2247"/>
    <hyperlink r:id="rId5173" ref="EQ2247"/>
    <hyperlink r:id="rId5174" ref="A2248"/>
    <hyperlink r:id="rId5175" ref="AG2248"/>
    <hyperlink r:id="rId5176" ref="EQ2248"/>
    <hyperlink r:id="rId5177" ref="A2249"/>
    <hyperlink r:id="rId5178" ref="EQ2249"/>
    <hyperlink r:id="rId5179" ref="A2250"/>
    <hyperlink r:id="rId5180" ref="EQ2250"/>
    <hyperlink r:id="rId5181" ref="A2251"/>
    <hyperlink r:id="rId5182" ref="EQ2251"/>
    <hyperlink r:id="rId5183" ref="A2252"/>
    <hyperlink r:id="rId5184" ref="EQ2252"/>
    <hyperlink r:id="rId5185" ref="A2253"/>
    <hyperlink r:id="rId5186" ref="AG2253"/>
    <hyperlink r:id="rId5187" ref="EQ2253"/>
    <hyperlink r:id="rId5188" ref="A2254"/>
    <hyperlink r:id="rId5189" ref="EQ2254"/>
    <hyperlink r:id="rId5190" ref="A2255"/>
    <hyperlink r:id="rId5191" ref="EQ2255"/>
    <hyperlink r:id="rId5192" ref="A2256"/>
    <hyperlink r:id="rId5193" ref="AG2256"/>
    <hyperlink r:id="rId5194" ref="EQ2256"/>
    <hyperlink r:id="rId5195" ref="A2257"/>
    <hyperlink r:id="rId5196" ref="EQ2257"/>
    <hyperlink r:id="rId5197" ref="A2258"/>
    <hyperlink r:id="rId5198" ref="EQ2258"/>
    <hyperlink r:id="rId5199" ref="A2259"/>
    <hyperlink r:id="rId5200" ref="EQ2259"/>
    <hyperlink r:id="rId5201" ref="A2260"/>
    <hyperlink r:id="rId5202" ref="AG2260"/>
    <hyperlink r:id="rId5203" ref="EQ2260"/>
    <hyperlink r:id="rId5204" ref="A2261"/>
    <hyperlink r:id="rId5205" ref="EQ2261"/>
    <hyperlink r:id="rId5206" ref="A2262"/>
    <hyperlink r:id="rId5207" ref="EQ2262"/>
    <hyperlink r:id="rId5208" ref="A2263"/>
    <hyperlink r:id="rId5209" ref="EQ2263"/>
    <hyperlink r:id="rId5210" ref="A2264"/>
    <hyperlink r:id="rId5211" ref="AG2264"/>
    <hyperlink r:id="rId5212" ref="EQ2264"/>
    <hyperlink r:id="rId5213" ref="A2265"/>
    <hyperlink r:id="rId5214" ref="EQ2265"/>
    <hyperlink r:id="rId5215" ref="A2266"/>
    <hyperlink r:id="rId5216" ref="EQ2266"/>
    <hyperlink r:id="rId5217" ref="A2267"/>
    <hyperlink r:id="rId5218" ref="EQ2267"/>
    <hyperlink r:id="rId5219" ref="A2268"/>
    <hyperlink r:id="rId5220" ref="AG2268"/>
    <hyperlink r:id="rId5221" ref="EQ2268"/>
    <hyperlink r:id="rId5222" ref="A2269"/>
    <hyperlink r:id="rId5223" ref="EQ2269"/>
    <hyperlink r:id="rId5224" ref="A2270"/>
    <hyperlink r:id="rId5225" ref="EQ2270"/>
    <hyperlink r:id="rId5226" ref="A2271"/>
    <hyperlink r:id="rId5227" ref="AG2271"/>
    <hyperlink r:id="rId5228" ref="EQ2271"/>
    <hyperlink r:id="rId5229" ref="A2272"/>
    <hyperlink r:id="rId5230" ref="EQ2272"/>
    <hyperlink r:id="rId5231" ref="A2273"/>
    <hyperlink r:id="rId5232" ref="BR2273"/>
    <hyperlink r:id="rId5233" ref="EQ2273"/>
    <hyperlink r:id="rId5234" ref="A2274"/>
    <hyperlink r:id="rId5235" ref="AG2274"/>
    <hyperlink r:id="rId5236" ref="EQ2274"/>
    <hyperlink r:id="rId5237" ref="A2275"/>
    <hyperlink r:id="rId5238" ref="EQ2275"/>
    <hyperlink r:id="rId5239" ref="A2276"/>
    <hyperlink r:id="rId5240" ref="AG2276"/>
    <hyperlink r:id="rId5241" ref="EQ2276"/>
    <hyperlink r:id="rId5242" ref="A2277"/>
    <hyperlink r:id="rId5243" ref="EQ2277"/>
    <hyperlink r:id="rId5244" ref="A2278"/>
    <hyperlink r:id="rId5245" ref="EQ2278"/>
    <hyperlink r:id="rId5246" ref="A2279"/>
    <hyperlink r:id="rId5247" ref="AG2279"/>
    <hyperlink r:id="rId5248" ref="EQ2279"/>
    <hyperlink r:id="rId5249" ref="A2280"/>
    <hyperlink r:id="rId5250" ref="AG2280"/>
    <hyperlink r:id="rId5251" ref="EQ2280"/>
    <hyperlink r:id="rId5252" ref="A2281"/>
    <hyperlink r:id="rId5253" ref="EQ2281"/>
    <hyperlink r:id="rId5254" ref="A2282"/>
    <hyperlink r:id="rId5255" ref="EQ2282"/>
    <hyperlink r:id="rId5256" ref="A2283"/>
    <hyperlink r:id="rId5257" ref="EQ2283"/>
    <hyperlink r:id="rId5258" ref="A2284"/>
    <hyperlink r:id="rId5259" ref="EQ2284"/>
    <hyperlink r:id="rId5260" ref="A2285"/>
    <hyperlink r:id="rId5261" ref="AG2285"/>
    <hyperlink r:id="rId5262" ref="EQ2285"/>
    <hyperlink r:id="rId5263" ref="A2286"/>
    <hyperlink r:id="rId5264" ref="AG2286"/>
    <hyperlink r:id="rId5265" ref="EQ2286"/>
    <hyperlink r:id="rId5266" ref="A2287"/>
    <hyperlink r:id="rId5267" ref="AG2287"/>
    <hyperlink r:id="rId5268" ref="EQ2287"/>
    <hyperlink r:id="rId5269" ref="A2288"/>
    <hyperlink r:id="rId5270" ref="AG2288"/>
    <hyperlink r:id="rId5271" ref="EQ2288"/>
    <hyperlink r:id="rId5272" ref="A2289"/>
    <hyperlink r:id="rId5273" ref="EQ2289"/>
    <hyperlink r:id="rId5274" ref="A2290"/>
    <hyperlink r:id="rId5275" ref="EQ2290"/>
    <hyperlink r:id="rId5276" ref="A2291"/>
    <hyperlink r:id="rId5277" ref="EQ2291"/>
    <hyperlink r:id="rId5278" ref="A2292"/>
    <hyperlink r:id="rId5279" ref="EQ2292"/>
    <hyperlink r:id="rId5280" ref="A2293"/>
    <hyperlink r:id="rId5281" ref="EQ2293"/>
    <hyperlink r:id="rId5282" ref="A2294"/>
    <hyperlink r:id="rId5283" ref="EQ2294"/>
    <hyperlink r:id="rId5284" ref="A2295"/>
    <hyperlink r:id="rId5285" ref="EQ2295"/>
    <hyperlink r:id="rId5286" ref="A2296"/>
    <hyperlink r:id="rId5287" ref="EQ2296"/>
    <hyperlink r:id="rId5288" ref="A2297"/>
    <hyperlink r:id="rId5289" ref="EQ2297"/>
    <hyperlink r:id="rId5290" ref="A2298"/>
    <hyperlink r:id="rId5291" ref="BR2298"/>
    <hyperlink r:id="rId5292" ref="EQ2298"/>
    <hyperlink r:id="rId5293" ref="A2299"/>
    <hyperlink r:id="rId5294" ref="EQ2299"/>
    <hyperlink r:id="rId5295" ref="A2300"/>
    <hyperlink r:id="rId5296" ref="EQ2300"/>
    <hyperlink r:id="rId5297" ref="A2301"/>
    <hyperlink r:id="rId5298" ref="EQ2301"/>
    <hyperlink r:id="rId5299" ref="A2302"/>
    <hyperlink r:id="rId5300" ref="EQ2302"/>
    <hyperlink r:id="rId5301" ref="A2303"/>
    <hyperlink r:id="rId5302" ref="EQ2303"/>
    <hyperlink r:id="rId5303" ref="A2304"/>
    <hyperlink r:id="rId5304" ref="EQ2304"/>
    <hyperlink r:id="rId5305" ref="A2305"/>
    <hyperlink r:id="rId5306" ref="AG2305"/>
    <hyperlink r:id="rId5307" ref="EQ2305"/>
    <hyperlink r:id="rId5308" ref="A2306"/>
    <hyperlink r:id="rId5309" ref="EQ2306"/>
    <hyperlink r:id="rId5310" ref="A2307"/>
    <hyperlink r:id="rId5311" ref="EQ2307"/>
    <hyperlink r:id="rId5312" ref="A2308"/>
    <hyperlink r:id="rId5313" ref="EQ2308"/>
    <hyperlink r:id="rId5314" ref="A2309"/>
    <hyperlink r:id="rId5315" ref="EQ2309"/>
    <hyperlink r:id="rId5316" ref="A2310"/>
    <hyperlink r:id="rId5317" ref="EQ2310"/>
    <hyperlink r:id="rId5318" ref="A2311"/>
    <hyperlink r:id="rId5319" ref="EQ2311"/>
    <hyperlink r:id="rId5320" ref="A2312"/>
    <hyperlink r:id="rId5321" ref="EQ2312"/>
    <hyperlink r:id="rId5322" ref="A2313"/>
    <hyperlink r:id="rId5323" ref="EQ2313"/>
    <hyperlink r:id="rId5324" ref="A2314"/>
    <hyperlink r:id="rId5325" ref="EQ2314"/>
    <hyperlink r:id="rId5326" ref="A2315"/>
    <hyperlink r:id="rId5327" ref="EQ2315"/>
    <hyperlink r:id="rId5328" ref="A2316"/>
    <hyperlink r:id="rId5329" ref="EQ2316"/>
    <hyperlink r:id="rId5330" ref="A2317"/>
    <hyperlink r:id="rId5331" ref="EQ2317"/>
    <hyperlink r:id="rId5332" ref="A2318"/>
    <hyperlink r:id="rId5333" ref="AG2318"/>
    <hyperlink r:id="rId5334" ref="EQ2318"/>
    <hyperlink r:id="rId5335" ref="A2319"/>
    <hyperlink r:id="rId5336" ref="EQ2319"/>
    <hyperlink r:id="rId5337" ref="A2320"/>
    <hyperlink r:id="rId5338" ref="EQ2320"/>
    <hyperlink r:id="rId5339" ref="A2321"/>
    <hyperlink r:id="rId5340" ref="AG2321"/>
    <hyperlink r:id="rId5341" ref="EQ2321"/>
    <hyperlink r:id="rId5342" ref="A2322"/>
    <hyperlink r:id="rId5343" ref="AG2322"/>
    <hyperlink r:id="rId5344" ref="EQ2322"/>
    <hyperlink r:id="rId5345" ref="A2323"/>
    <hyperlink r:id="rId5346" ref="AG2323"/>
    <hyperlink r:id="rId5347" ref="EQ2323"/>
    <hyperlink r:id="rId5348" ref="A2324"/>
    <hyperlink r:id="rId5349" ref="EQ2324"/>
    <hyperlink r:id="rId5350" ref="A2325"/>
    <hyperlink r:id="rId5351" ref="EQ2325"/>
    <hyperlink r:id="rId5352" ref="A2326"/>
    <hyperlink r:id="rId5353" ref="EQ2326"/>
    <hyperlink r:id="rId5354" ref="A2327"/>
    <hyperlink r:id="rId5355" ref="EQ2327"/>
    <hyperlink r:id="rId5356" ref="A2328"/>
    <hyperlink r:id="rId5357" ref="EQ2328"/>
    <hyperlink r:id="rId5358" ref="A2329"/>
    <hyperlink r:id="rId5359" ref="EQ2329"/>
    <hyperlink r:id="rId5360" ref="A2330"/>
    <hyperlink r:id="rId5361" ref="EQ2330"/>
    <hyperlink r:id="rId5362" ref="A2331"/>
    <hyperlink r:id="rId5363" ref="EQ2331"/>
    <hyperlink r:id="rId5364" ref="A2332"/>
    <hyperlink r:id="rId5365" ref="EQ2332"/>
    <hyperlink r:id="rId5366" ref="A2333"/>
    <hyperlink r:id="rId5367" ref="EQ2333"/>
    <hyperlink r:id="rId5368" ref="A2334"/>
    <hyperlink r:id="rId5369" ref="EQ2334"/>
    <hyperlink r:id="rId5370" ref="A2335"/>
    <hyperlink r:id="rId5371" ref="EQ2335"/>
    <hyperlink r:id="rId5372" ref="A2336"/>
    <hyperlink r:id="rId5373" ref="EQ2336"/>
    <hyperlink r:id="rId5374" ref="A2337"/>
    <hyperlink r:id="rId5375" ref="EQ2337"/>
    <hyperlink r:id="rId5376" ref="A2338"/>
    <hyperlink r:id="rId5377" ref="EQ2338"/>
    <hyperlink r:id="rId5378" ref="A2339"/>
    <hyperlink r:id="rId5379" ref="EQ2339"/>
    <hyperlink r:id="rId5380" ref="A2340"/>
    <hyperlink r:id="rId5381" ref="EQ2340"/>
    <hyperlink r:id="rId5382" ref="A2341"/>
    <hyperlink r:id="rId5383" ref="EQ2341"/>
    <hyperlink r:id="rId5384" ref="A2342"/>
    <hyperlink r:id="rId5385" ref="EQ2342"/>
    <hyperlink r:id="rId5386" ref="A2343"/>
    <hyperlink r:id="rId5387" ref="EQ2343"/>
    <hyperlink r:id="rId5388" ref="A2344"/>
    <hyperlink r:id="rId5389" ref="EQ2344"/>
    <hyperlink r:id="rId5390" ref="A2345"/>
    <hyperlink r:id="rId5391" ref="BR2345"/>
    <hyperlink r:id="rId5392" ref="EQ2345"/>
    <hyperlink r:id="rId5393" ref="A2346"/>
    <hyperlink r:id="rId5394" ref="EQ2346"/>
    <hyperlink r:id="rId5395" ref="A2347"/>
    <hyperlink r:id="rId5396" ref="EQ2347"/>
    <hyperlink r:id="rId5397" ref="A2348"/>
    <hyperlink r:id="rId5398" ref="EQ2348"/>
    <hyperlink r:id="rId5399" ref="A2349"/>
    <hyperlink r:id="rId5400" ref="EQ2349"/>
    <hyperlink r:id="rId5401" ref="A2350"/>
    <hyperlink r:id="rId5402" ref="AG2350"/>
    <hyperlink r:id="rId5403" ref="AH2350"/>
    <hyperlink r:id="rId5404" ref="EQ2350"/>
    <hyperlink r:id="rId5405" ref="A2351"/>
    <hyperlink r:id="rId5406" ref="EQ2351"/>
    <hyperlink r:id="rId5407" ref="A2352"/>
    <hyperlink r:id="rId5408" ref="EQ2352"/>
    <hyperlink r:id="rId5409" ref="A2353"/>
    <hyperlink r:id="rId5410" ref="BR2353"/>
    <hyperlink r:id="rId5411" ref="EQ2353"/>
    <hyperlink r:id="rId5412" ref="A2354"/>
    <hyperlink r:id="rId5413" ref="EQ2354"/>
    <hyperlink r:id="rId5414" ref="A2355"/>
    <hyperlink r:id="rId5415" ref="EQ2355"/>
    <hyperlink r:id="rId5416" ref="A2356"/>
    <hyperlink r:id="rId5417" ref="EQ2356"/>
    <hyperlink r:id="rId5418" ref="A2357"/>
    <hyperlink r:id="rId5419" ref="AG2357"/>
    <hyperlink r:id="rId5420" ref="EQ2357"/>
    <hyperlink r:id="rId5421" ref="A2358"/>
    <hyperlink r:id="rId5422" ref="EQ2358"/>
    <hyperlink r:id="rId5423" ref="A2359"/>
    <hyperlink r:id="rId5424" ref="EQ2359"/>
    <hyperlink r:id="rId5425" ref="A2360"/>
    <hyperlink r:id="rId5426" ref="EQ2360"/>
    <hyperlink r:id="rId5427" ref="A2361"/>
    <hyperlink r:id="rId5428" ref="EQ2361"/>
    <hyperlink r:id="rId5429" ref="A2362"/>
    <hyperlink r:id="rId5430" ref="EQ2362"/>
    <hyperlink r:id="rId5431" ref="A2363"/>
    <hyperlink r:id="rId5432" ref="EQ2363"/>
    <hyperlink r:id="rId5433" ref="A2364"/>
    <hyperlink r:id="rId5434" ref="AG2364"/>
    <hyperlink r:id="rId5435" ref="EQ2364"/>
    <hyperlink r:id="rId5436" ref="A2365"/>
    <hyperlink r:id="rId5437" ref="EQ2365"/>
    <hyperlink r:id="rId5438" ref="A2366"/>
    <hyperlink r:id="rId5439" ref="EQ2366"/>
    <hyperlink r:id="rId5440" ref="A2367"/>
    <hyperlink r:id="rId5441" ref="EQ2367"/>
    <hyperlink r:id="rId5442" ref="A2368"/>
    <hyperlink r:id="rId5443" ref="EQ2368"/>
    <hyperlink r:id="rId5444" ref="A2369"/>
    <hyperlink r:id="rId5445" ref="AG2369"/>
    <hyperlink r:id="rId5446" ref="EQ2369"/>
    <hyperlink r:id="rId5447" ref="A2370"/>
    <hyperlink r:id="rId5448" ref="EQ2370"/>
    <hyperlink r:id="rId5449" ref="A2371"/>
    <hyperlink r:id="rId5450" ref="EQ2371"/>
    <hyperlink r:id="rId5451" ref="A2372"/>
    <hyperlink r:id="rId5452" ref="EQ2372"/>
    <hyperlink r:id="rId5453" ref="A2373"/>
    <hyperlink r:id="rId5454" ref="EQ2373"/>
    <hyperlink r:id="rId5455" ref="A2374"/>
    <hyperlink r:id="rId5456" ref="EQ2374"/>
    <hyperlink r:id="rId5457" ref="A2375"/>
    <hyperlink r:id="rId5458" ref="EQ2375"/>
    <hyperlink r:id="rId5459" ref="A2376"/>
    <hyperlink r:id="rId5460" ref="AG2376"/>
    <hyperlink r:id="rId5461" ref="EQ2376"/>
    <hyperlink r:id="rId5462" ref="A2377"/>
    <hyperlink r:id="rId5463" ref="AG2377"/>
    <hyperlink r:id="rId5464" ref="EQ2377"/>
    <hyperlink r:id="rId5465" ref="A2378"/>
    <hyperlink r:id="rId5466" ref="EQ2378"/>
    <hyperlink r:id="rId5467" ref="A2379"/>
    <hyperlink r:id="rId5468" ref="AG2379"/>
    <hyperlink r:id="rId5469" ref="EQ2379"/>
    <hyperlink r:id="rId5470" ref="A2380"/>
    <hyperlink r:id="rId5471" ref="EQ2380"/>
    <hyperlink r:id="rId5472" ref="A2381"/>
    <hyperlink r:id="rId5473" ref="AG2381"/>
    <hyperlink r:id="rId5474" ref="EQ2381"/>
    <hyperlink r:id="rId5475" ref="A2382"/>
    <hyperlink r:id="rId5476" ref="EQ2382"/>
    <hyperlink r:id="rId5477" ref="A2383"/>
    <hyperlink r:id="rId5478" ref="AG2383"/>
    <hyperlink r:id="rId5479" ref="EQ2383"/>
    <hyperlink r:id="rId5480" ref="A2384"/>
    <hyperlink r:id="rId5481" ref="AG2384"/>
    <hyperlink r:id="rId5482" ref="EQ2384"/>
    <hyperlink r:id="rId5483" ref="A2385"/>
    <hyperlink r:id="rId5484" ref="EQ2385"/>
    <hyperlink r:id="rId5485" ref="A2386"/>
    <hyperlink r:id="rId5486" ref="EQ2386"/>
    <hyperlink r:id="rId5487" ref="A2387"/>
    <hyperlink r:id="rId5488" ref="EQ2387"/>
    <hyperlink r:id="rId5489" ref="A2388"/>
    <hyperlink r:id="rId5490" ref="EQ2388"/>
    <hyperlink r:id="rId5491" ref="A2389"/>
    <hyperlink r:id="rId5492" ref="EQ2389"/>
    <hyperlink r:id="rId5493" ref="A2390"/>
    <hyperlink r:id="rId5494" ref="AG2390"/>
    <hyperlink r:id="rId5495" ref="EQ2390"/>
    <hyperlink r:id="rId5496" ref="A2391"/>
    <hyperlink r:id="rId5497" ref="EQ2391"/>
    <hyperlink r:id="rId5498" ref="A2392"/>
    <hyperlink r:id="rId5499" ref="EQ2392"/>
    <hyperlink r:id="rId5500" ref="A2393"/>
    <hyperlink r:id="rId5501" ref="AG2393"/>
    <hyperlink r:id="rId5502" ref="EQ2393"/>
    <hyperlink r:id="rId5503" ref="A2394"/>
    <hyperlink r:id="rId5504" ref="EQ2394"/>
    <hyperlink r:id="rId5505" ref="A2395"/>
    <hyperlink r:id="rId5506" ref="EQ2395"/>
    <hyperlink r:id="rId5507" ref="A2396"/>
    <hyperlink r:id="rId5508" ref="EQ2396"/>
    <hyperlink r:id="rId5509" ref="A2397"/>
    <hyperlink r:id="rId5510" ref="AG2397"/>
    <hyperlink r:id="rId5511" ref="EQ2397"/>
    <hyperlink r:id="rId5512" ref="A2398"/>
    <hyperlink r:id="rId5513" ref="EQ2398"/>
    <hyperlink r:id="rId5514" ref="A2399"/>
    <hyperlink r:id="rId5515" ref="EQ2399"/>
    <hyperlink r:id="rId5516" ref="A2400"/>
    <hyperlink r:id="rId5517" ref="AG2400"/>
    <hyperlink r:id="rId5518" ref="EQ2400"/>
    <hyperlink r:id="rId5519" ref="A2401"/>
    <hyperlink r:id="rId5520" ref="AG2401"/>
    <hyperlink r:id="rId5521" ref="EQ2401"/>
    <hyperlink r:id="rId5522" ref="A2402"/>
    <hyperlink r:id="rId5523" ref="EQ2402"/>
    <hyperlink r:id="rId5524" ref="A2403"/>
    <hyperlink r:id="rId5525" ref="EQ2403"/>
    <hyperlink r:id="rId5526" ref="A2404"/>
    <hyperlink r:id="rId5527" ref="EQ2404"/>
    <hyperlink r:id="rId5528" ref="A2405"/>
    <hyperlink r:id="rId5529" ref="EQ2405"/>
    <hyperlink r:id="rId5530" ref="A2406"/>
    <hyperlink r:id="rId5531" ref="EQ2406"/>
    <hyperlink r:id="rId5532" ref="A2407"/>
    <hyperlink r:id="rId5533" ref="EQ2407"/>
    <hyperlink r:id="rId5534" ref="A2408"/>
    <hyperlink r:id="rId5535" ref="EQ2408"/>
    <hyperlink r:id="rId5536" ref="A2409"/>
    <hyperlink r:id="rId5537" ref="EQ2409"/>
    <hyperlink r:id="rId5538" ref="A2410"/>
    <hyperlink r:id="rId5539" ref="EQ2410"/>
    <hyperlink r:id="rId5540" ref="A2411"/>
    <hyperlink r:id="rId5541" ref="EQ2411"/>
    <hyperlink r:id="rId5542" ref="A2412"/>
    <hyperlink r:id="rId5543" ref="EQ2412"/>
    <hyperlink r:id="rId5544" ref="A2413"/>
    <hyperlink r:id="rId5545" ref="EQ2413"/>
    <hyperlink r:id="rId5546" ref="A2414"/>
    <hyperlink r:id="rId5547" ref="EQ2414"/>
    <hyperlink r:id="rId5548" ref="A2415"/>
    <hyperlink r:id="rId5549" ref="EQ2415"/>
    <hyperlink r:id="rId5550" ref="A2416"/>
    <hyperlink r:id="rId5551" ref="EQ2416"/>
    <hyperlink r:id="rId5552" ref="A2417"/>
    <hyperlink r:id="rId5553" ref="EQ2417"/>
    <hyperlink r:id="rId5554" ref="A2418"/>
    <hyperlink r:id="rId5555" ref="EQ2418"/>
    <hyperlink r:id="rId5556" ref="A2419"/>
    <hyperlink r:id="rId5557" ref="BR2419"/>
    <hyperlink r:id="rId5558" ref="EQ2419"/>
    <hyperlink r:id="rId5559" ref="A2420"/>
    <hyperlink r:id="rId5560" ref="EQ2420"/>
    <hyperlink r:id="rId5561" ref="A2421"/>
    <hyperlink r:id="rId5562" ref="AG2421"/>
    <hyperlink r:id="rId5563" ref="EQ2421"/>
    <hyperlink r:id="rId5564" ref="A2422"/>
    <hyperlink r:id="rId5565" ref="EQ2422"/>
    <hyperlink r:id="rId5566" ref="A2423"/>
    <hyperlink r:id="rId5567" ref="EQ2423"/>
    <hyperlink r:id="rId5568" ref="A2424"/>
    <hyperlink r:id="rId5569" ref="EQ2424"/>
    <hyperlink r:id="rId5570" ref="A2425"/>
    <hyperlink r:id="rId5571" ref="EQ2425"/>
    <hyperlink r:id="rId5572" ref="A2426"/>
    <hyperlink r:id="rId5573" ref="EQ2426"/>
    <hyperlink r:id="rId5574" ref="A2427"/>
    <hyperlink r:id="rId5575" ref="EQ2427"/>
    <hyperlink r:id="rId5576" ref="A2428"/>
    <hyperlink r:id="rId5577" ref="AG2428"/>
    <hyperlink r:id="rId5578" ref="EQ2428"/>
    <hyperlink r:id="rId5579" ref="A2429"/>
    <hyperlink r:id="rId5580" ref="EQ2429"/>
    <hyperlink r:id="rId5581" ref="A2430"/>
    <hyperlink r:id="rId5582" ref="EQ2430"/>
    <hyperlink r:id="rId5583" ref="A2431"/>
    <hyperlink r:id="rId5584" ref="BR2431"/>
    <hyperlink r:id="rId5585" ref="EQ2431"/>
    <hyperlink r:id="rId5586" ref="A2432"/>
    <hyperlink r:id="rId5587" ref="EQ2432"/>
    <hyperlink r:id="rId5588" ref="A2433"/>
    <hyperlink r:id="rId5589" ref="EQ2433"/>
    <hyperlink r:id="rId5590" ref="A2434"/>
    <hyperlink r:id="rId5591" ref="EQ2434"/>
    <hyperlink r:id="rId5592" ref="A2435"/>
    <hyperlink r:id="rId5593" ref="EQ2435"/>
    <hyperlink r:id="rId5594" ref="A2436"/>
    <hyperlink r:id="rId5595" ref="EQ2436"/>
    <hyperlink r:id="rId5596" ref="A2437"/>
    <hyperlink r:id="rId5597" ref="EQ2437"/>
    <hyperlink r:id="rId5598" ref="A2438"/>
    <hyperlink r:id="rId5599" ref="EQ2438"/>
    <hyperlink r:id="rId5600" ref="A2439"/>
    <hyperlink r:id="rId5601" ref="BR2439"/>
    <hyperlink r:id="rId5602" ref="EQ2439"/>
    <hyperlink r:id="rId5603" ref="A2440"/>
    <hyperlink r:id="rId5604" ref="EQ2440"/>
    <hyperlink r:id="rId5605" ref="A2441"/>
    <hyperlink r:id="rId5606" ref="EQ2441"/>
    <hyperlink r:id="rId5607" ref="A2442"/>
    <hyperlink r:id="rId5608" ref="EQ2442"/>
    <hyperlink r:id="rId5609" ref="A2443"/>
    <hyperlink r:id="rId5610" ref="AG2443"/>
    <hyperlink r:id="rId5611" ref="EQ2443"/>
    <hyperlink r:id="rId5612" ref="A2444"/>
    <hyperlink r:id="rId5613" ref="AG2444"/>
    <hyperlink r:id="rId5614" ref="EQ2444"/>
    <hyperlink r:id="rId5615" ref="A2445"/>
    <hyperlink r:id="rId5616" ref="AG2445"/>
    <hyperlink r:id="rId5617" ref="EQ2445"/>
    <hyperlink r:id="rId5618" ref="A2446"/>
    <hyperlink r:id="rId5619" ref="EQ2446"/>
    <hyperlink r:id="rId5620" ref="A2447"/>
    <hyperlink r:id="rId5621" ref="AG2447"/>
    <hyperlink r:id="rId5622" ref="EQ2447"/>
    <hyperlink r:id="rId5623" ref="A2448"/>
    <hyperlink r:id="rId5624" ref="EQ2448"/>
    <hyperlink r:id="rId5625" ref="A2449"/>
    <hyperlink r:id="rId5626" ref="AG2449"/>
    <hyperlink r:id="rId5627" ref="EQ2449"/>
    <hyperlink r:id="rId5628" ref="A2450"/>
    <hyperlink r:id="rId5629" ref="AG2450"/>
    <hyperlink r:id="rId5630" ref="EQ2450"/>
    <hyperlink r:id="rId5631" ref="A2451"/>
    <hyperlink r:id="rId5632" ref="EQ2451"/>
    <hyperlink r:id="rId5633" ref="A2452"/>
    <hyperlink r:id="rId5634" ref="EQ2452"/>
    <hyperlink r:id="rId5635" ref="A2453"/>
    <hyperlink r:id="rId5636" ref="EQ2453"/>
    <hyperlink r:id="rId5637" ref="A2454"/>
    <hyperlink r:id="rId5638" ref="EQ2454"/>
    <hyperlink r:id="rId5639" ref="A2455"/>
    <hyperlink r:id="rId5640" ref="EQ2455"/>
    <hyperlink r:id="rId5641" ref="A2456"/>
    <hyperlink r:id="rId5642" ref="EQ2456"/>
    <hyperlink r:id="rId5643" ref="A2457"/>
    <hyperlink r:id="rId5644" ref="EQ2457"/>
    <hyperlink r:id="rId5645" ref="A2458"/>
    <hyperlink r:id="rId5646" ref="EQ2458"/>
    <hyperlink r:id="rId5647" ref="A2459"/>
    <hyperlink r:id="rId5648" ref="AG2459"/>
    <hyperlink r:id="rId5649" ref="EQ2459"/>
    <hyperlink r:id="rId5650" ref="A2460"/>
    <hyperlink r:id="rId5651" ref="EQ2460"/>
    <hyperlink r:id="rId5652" ref="A2461"/>
    <hyperlink r:id="rId5653" ref="EQ2461"/>
    <hyperlink r:id="rId5654" ref="A2462"/>
    <hyperlink r:id="rId5655" ref="EQ2462"/>
    <hyperlink r:id="rId5656" ref="A2463"/>
    <hyperlink r:id="rId5657" ref="EQ2463"/>
    <hyperlink r:id="rId5658" ref="A2464"/>
    <hyperlink r:id="rId5659" ref="EQ2464"/>
    <hyperlink r:id="rId5660" ref="A2465"/>
    <hyperlink r:id="rId5661" ref="EQ2465"/>
    <hyperlink r:id="rId5662" ref="A2466"/>
    <hyperlink r:id="rId5663" ref="EQ2466"/>
    <hyperlink r:id="rId5664" ref="A2467"/>
    <hyperlink r:id="rId5665" ref="BR2467"/>
    <hyperlink r:id="rId5666" ref="EQ2467"/>
    <hyperlink r:id="rId5667" ref="A2468"/>
    <hyperlink r:id="rId5668" ref="EQ2468"/>
    <hyperlink r:id="rId5669" ref="A2469"/>
    <hyperlink r:id="rId5670" ref="EQ2469"/>
    <hyperlink r:id="rId5671" ref="A2470"/>
    <hyperlink r:id="rId5672" ref="EQ2470"/>
    <hyperlink r:id="rId5673" ref="A2471"/>
    <hyperlink r:id="rId5674" ref="EQ2471"/>
    <hyperlink r:id="rId5675" ref="A2472"/>
    <hyperlink r:id="rId5676" ref="BR2472"/>
    <hyperlink r:id="rId5677" ref="EQ2472"/>
    <hyperlink r:id="rId5678" ref="A2473"/>
    <hyperlink r:id="rId5679" ref="EQ2473"/>
    <hyperlink r:id="rId5680" ref="A2474"/>
    <hyperlink r:id="rId5681" ref="EQ2474"/>
    <hyperlink r:id="rId5682" ref="A2475"/>
    <hyperlink r:id="rId5683" ref="EQ2475"/>
    <hyperlink r:id="rId5684" ref="A2476"/>
    <hyperlink r:id="rId5685" ref="EQ2476"/>
    <hyperlink r:id="rId5686" ref="A2477"/>
    <hyperlink r:id="rId5687" ref="EQ2477"/>
    <hyperlink r:id="rId5688" ref="A2478"/>
    <hyperlink r:id="rId5689" ref="EQ2478"/>
    <hyperlink r:id="rId5690" ref="A2479"/>
    <hyperlink r:id="rId5691" ref="EQ2479"/>
    <hyperlink r:id="rId5692" ref="A2480"/>
    <hyperlink r:id="rId5693" ref="EQ2480"/>
    <hyperlink r:id="rId5694" ref="A2481"/>
    <hyperlink r:id="rId5695" ref="AG2481"/>
    <hyperlink r:id="rId5696" ref="EQ2481"/>
    <hyperlink r:id="rId5697" ref="A2482"/>
    <hyperlink r:id="rId5698" ref="AG2482"/>
    <hyperlink r:id="rId5699" ref="EQ2482"/>
    <hyperlink r:id="rId5700" ref="A2483"/>
    <hyperlink r:id="rId5701" ref="EQ2483"/>
    <hyperlink r:id="rId5702" ref="A2484"/>
    <hyperlink r:id="rId5703" ref="EQ2484"/>
    <hyperlink r:id="rId5704" ref="A2485"/>
    <hyperlink r:id="rId5705" ref="EQ2485"/>
    <hyperlink r:id="rId5706" ref="A2486"/>
    <hyperlink r:id="rId5707" ref="AG2486"/>
    <hyperlink r:id="rId5708" ref="EQ2486"/>
    <hyperlink r:id="rId5709" ref="A2487"/>
    <hyperlink r:id="rId5710" ref="EQ2487"/>
    <hyperlink r:id="rId5711" ref="A2488"/>
    <hyperlink r:id="rId5712" ref="EQ2488"/>
    <hyperlink r:id="rId5713" ref="A2489"/>
    <hyperlink r:id="rId5714" ref="AG2489"/>
    <hyperlink r:id="rId5715" ref="EQ2489"/>
    <hyperlink r:id="rId5716" ref="A2490"/>
    <hyperlink r:id="rId5717" ref="AG2490"/>
    <hyperlink r:id="rId5718" ref="EQ2490"/>
    <hyperlink r:id="rId5719" ref="A2491"/>
    <hyperlink r:id="rId5720" ref="EQ2491"/>
    <hyperlink r:id="rId5721" ref="A2492"/>
    <hyperlink r:id="rId5722" ref="EQ2492"/>
    <hyperlink r:id="rId5723" ref="A2493"/>
    <hyperlink r:id="rId5724" ref="EQ2493"/>
    <hyperlink r:id="rId5725" ref="A2494"/>
    <hyperlink r:id="rId5726" ref="EQ2494"/>
    <hyperlink r:id="rId5727" ref="A2495"/>
    <hyperlink r:id="rId5728" ref="EQ2495"/>
    <hyperlink r:id="rId5729" ref="A2496"/>
    <hyperlink r:id="rId5730" ref="AG2496"/>
    <hyperlink r:id="rId5731" ref="EQ2496"/>
    <hyperlink r:id="rId5732" ref="A2497"/>
    <hyperlink r:id="rId5733" ref="EQ2497"/>
    <hyperlink r:id="rId5734" ref="A2498"/>
    <hyperlink r:id="rId5735" ref="EQ2498"/>
    <hyperlink r:id="rId5736" ref="A2499"/>
    <hyperlink r:id="rId5737" ref="AG2499"/>
    <hyperlink r:id="rId5738" ref="EQ2499"/>
    <hyperlink r:id="rId5739" ref="A2500"/>
    <hyperlink r:id="rId5740" ref="EQ2500"/>
    <hyperlink r:id="rId5741" ref="A2501"/>
    <hyperlink r:id="rId5742" ref="EQ2501"/>
    <hyperlink r:id="rId5743" ref="A2502"/>
    <hyperlink r:id="rId5744" ref="AG2502"/>
    <hyperlink r:id="rId5745" ref="EQ2502"/>
    <hyperlink r:id="rId5746" ref="A2503"/>
    <hyperlink r:id="rId5747" ref="EQ2503"/>
    <hyperlink r:id="rId5748" ref="A2504"/>
    <hyperlink r:id="rId5749" ref="EQ2504"/>
    <hyperlink r:id="rId5750" ref="A2505"/>
    <hyperlink r:id="rId5751" ref="EQ2505"/>
    <hyperlink r:id="rId5752" ref="A2506"/>
    <hyperlink r:id="rId5753" ref="EQ2506"/>
    <hyperlink r:id="rId5754" ref="A2507"/>
    <hyperlink r:id="rId5755" ref="AG2507"/>
    <hyperlink r:id="rId5756" ref="EQ2507"/>
    <hyperlink r:id="rId5757" ref="A2508"/>
    <hyperlink r:id="rId5758" ref="EQ2508"/>
    <hyperlink r:id="rId5759" ref="A2509"/>
    <hyperlink r:id="rId5760" ref="EQ2509"/>
    <hyperlink r:id="rId5761" ref="A2510"/>
    <hyperlink r:id="rId5762" ref="AG2510"/>
    <hyperlink r:id="rId5763" ref="EQ2510"/>
    <hyperlink r:id="rId5764" ref="A2511"/>
    <hyperlink r:id="rId5765" ref="EQ2511"/>
    <hyperlink r:id="rId5766" ref="A2512"/>
    <hyperlink r:id="rId5767" ref="EQ2512"/>
    <hyperlink r:id="rId5768" ref="A2513"/>
    <hyperlink r:id="rId5769" ref="AG2513"/>
    <hyperlink r:id="rId5770" ref="EQ2513"/>
    <hyperlink r:id="rId5771" ref="A2514"/>
    <hyperlink r:id="rId5772" ref="EQ2514"/>
    <hyperlink r:id="rId5773" ref="A2515"/>
    <hyperlink r:id="rId5774" ref="AG2515"/>
    <hyperlink r:id="rId5775" ref="EQ2515"/>
    <hyperlink r:id="rId5776" ref="A2516"/>
    <hyperlink r:id="rId5777" ref="EQ2516"/>
    <hyperlink r:id="rId5778" ref="A2517"/>
    <hyperlink r:id="rId5779" ref="EQ2517"/>
    <hyperlink r:id="rId5780" ref="A2518"/>
    <hyperlink r:id="rId5781" ref="EQ2518"/>
    <hyperlink r:id="rId5782" ref="A2519"/>
    <hyperlink r:id="rId5783" ref="AG2519"/>
    <hyperlink r:id="rId5784" ref="EQ2519"/>
    <hyperlink r:id="rId5785" ref="A2520"/>
    <hyperlink r:id="rId5786" ref="EQ2520"/>
    <hyperlink r:id="rId5787" ref="A2521"/>
    <hyperlink r:id="rId5788" ref="AG2521"/>
    <hyperlink r:id="rId5789" ref="EQ2521"/>
    <hyperlink r:id="rId5790" ref="A2522"/>
    <hyperlink r:id="rId5791" ref="EQ2522"/>
    <hyperlink r:id="rId5792" ref="A2523"/>
    <hyperlink r:id="rId5793" ref="EQ2523"/>
    <hyperlink r:id="rId5794" ref="A2524"/>
    <hyperlink r:id="rId5795" ref="EQ2524"/>
    <hyperlink r:id="rId5796" ref="A2525"/>
    <hyperlink r:id="rId5797" ref="EQ2525"/>
    <hyperlink r:id="rId5798" ref="A2526"/>
    <hyperlink r:id="rId5799" ref="EQ2526"/>
    <hyperlink r:id="rId5800" ref="A2527"/>
    <hyperlink r:id="rId5801" ref="EQ2527"/>
    <hyperlink r:id="rId5802" ref="A2528"/>
    <hyperlink r:id="rId5803" ref="EQ2528"/>
    <hyperlink r:id="rId5804" ref="A2529"/>
    <hyperlink r:id="rId5805" ref="EQ2529"/>
    <hyperlink r:id="rId5806" ref="A2530"/>
    <hyperlink r:id="rId5807" ref="EQ2530"/>
    <hyperlink r:id="rId5808" ref="A2531"/>
    <hyperlink r:id="rId5809" ref="EQ2531"/>
    <hyperlink r:id="rId5810" ref="A2532"/>
    <hyperlink r:id="rId5811" ref="AG2532"/>
    <hyperlink r:id="rId5812" ref="EQ2532"/>
    <hyperlink r:id="rId5813" ref="A2533"/>
    <hyperlink r:id="rId5814" ref="EQ2533"/>
    <hyperlink r:id="rId5815" ref="A2534"/>
    <hyperlink r:id="rId5816" ref="AG2534"/>
    <hyperlink r:id="rId5817" ref="EQ2534"/>
    <hyperlink r:id="rId5818" ref="A2535"/>
    <hyperlink r:id="rId5819" ref="EQ2535"/>
    <hyperlink r:id="rId5820" ref="A2536"/>
    <hyperlink r:id="rId5821" ref="AG2536"/>
    <hyperlink r:id="rId5822" ref="EQ2536"/>
    <hyperlink r:id="rId5823" ref="A2537"/>
    <hyperlink r:id="rId5824" ref="AG2537"/>
    <hyperlink r:id="rId5825" ref="EQ2537"/>
    <hyperlink r:id="rId5826" ref="A2538"/>
    <hyperlink r:id="rId5827" ref="EQ2538"/>
    <hyperlink r:id="rId5828" ref="A2539"/>
    <hyperlink r:id="rId5829" ref="EQ2539"/>
    <hyperlink r:id="rId5830" ref="A2540"/>
    <hyperlink r:id="rId5831" ref="EQ2540"/>
    <hyperlink r:id="rId5832" ref="A2541"/>
    <hyperlink r:id="rId5833" ref="EQ2541"/>
    <hyperlink r:id="rId5834" ref="A2542"/>
    <hyperlink r:id="rId5835" ref="EQ2542"/>
    <hyperlink r:id="rId5836" ref="A2543"/>
    <hyperlink r:id="rId5837" ref="EQ2543"/>
    <hyperlink r:id="rId5838" ref="A2544"/>
    <hyperlink r:id="rId5839" ref="EQ2544"/>
    <hyperlink r:id="rId5840" ref="A2545"/>
    <hyperlink r:id="rId5841" ref="EQ2545"/>
    <hyperlink r:id="rId5842" ref="A2546"/>
    <hyperlink r:id="rId5843" ref="AG2546"/>
    <hyperlink r:id="rId5844" ref="EQ2546"/>
    <hyperlink r:id="rId5845" ref="A2547"/>
    <hyperlink r:id="rId5846" ref="EQ2547"/>
    <hyperlink r:id="rId5847" ref="A2548"/>
    <hyperlink r:id="rId5848" ref="EQ2548"/>
    <hyperlink r:id="rId5849" ref="A2549"/>
    <hyperlink r:id="rId5850" ref="EQ2549"/>
    <hyperlink r:id="rId5851" ref="A2550"/>
    <hyperlink r:id="rId5852" ref="EQ2550"/>
    <hyperlink r:id="rId5853" ref="A2551"/>
    <hyperlink r:id="rId5854" ref="EQ2551"/>
    <hyperlink r:id="rId5855" ref="A2552"/>
    <hyperlink r:id="rId5856" ref="EQ2552"/>
    <hyperlink r:id="rId5857" ref="A2553"/>
    <hyperlink r:id="rId5858" ref="AG2553"/>
    <hyperlink r:id="rId5859" ref="EQ2553"/>
    <hyperlink r:id="rId5860" ref="A2554"/>
    <hyperlink r:id="rId5861" ref="EQ2554"/>
    <hyperlink r:id="rId5862" ref="A2555"/>
    <hyperlink r:id="rId5863" ref="EQ2555"/>
    <hyperlink r:id="rId5864" ref="A2556"/>
    <hyperlink r:id="rId5865" ref="EQ2556"/>
    <hyperlink r:id="rId5866" ref="A2557"/>
    <hyperlink r:id="rId5867" ref="EQ2557"/>
    <hyperlink r:id="rId5868" ref="A2558"/>
    <hyperlink r:id="rId5869" ref="EQ2558"/>
    <hyperlink r:id="rId5870" ref="A2559"/>
    <hyperlink r:id="rId5871" ref="EQ2559"/>
    <hyperlink r:id="rId5872" ref="A2560"/>
    <hyperlink r:id="rId5873" ref="EQ2560"/>
    <hyperlink r:id="rId5874" ref="A2561"/>
    <hyperlink r:id="rId5875" ref="BR2561"/>
    <hyperlink r:id="rId5876" ref="EQ2561"/>
    <hyperlink r:id="rId5877" ref="A2562"/>
    <hyperlink r:id="rId5878" ref="AG2562"/>
    <hyperlink r:id="rId5879" ref="EQ2562"/>
    <hyperlink r:id="rId5880" ref="A2563"/>
    <hyperlink r:id="rId5881" ref="BR2563"/>
    <hyperlink r:id="rId5882" ref="EQ2563"/>
    <hyperlink r:id="rId5883" ref="A2564"/>
    <hyperlink r:id="rId5884" ref="EQ2564"/>
    <hyperlink r:id="rId5885" ref="A2565"/>
    <hyperlink r:id="rId5886" ref="EQ2565"/>
    <hyperlink r:id="rId5887" ref="A2566"/>
    <hyperlink r:id="rId5888" ref="AG2566"/>
    <hyperlink r:id="rId5889" ref="EQ2566"/>
    <hyperlink r:id="rId5890" ref="A2567"/>
    <hyperlink r:id="rId5891" ref="EQ2567"/>
    <hyperlink r:id="rId5892" ref="A2568"/>
    <hyperlink r:id="rId5893" ref="EQ2568"/>
    <hyperlink r:id="rId5894" ref="A2569"/>
    <hyperlink r:id="rId5895" ref="EQ2569"/>
    <hyperlink r:id="rId5896" ref="A2570"/>
    <hyperlink r:id="rId5897" ref="EQ2570"/>
    <hyperlink r:id="rId5898" ref="A2571"/>
    <hyperlink r:id="rId5899" ref="EQ2571"/>
    <hyperlink r:id="rId5900" ref="A2572"/>
    <hyperlink r:id="rId5901" ref="EQ2572"/>
    <hyperlink r:id="rId5902" ref="A2573"/>
    <hyperlink r:id="rId5903" ref="AG2573"/>
    <hyperlink r:id="rId5904" ref="AH2573"/>
    <hyperlink r:id="rId5905" ref="EQ2573"/>
    <hyperlink r:id="rId5906" ref="A2574"/>
    <hyperlink r:id="rId5907" ref="EQ2574"/>
    <hyperlink r:id="rId5908" ref="A2575"/>
    <hyperlink r:id="rId5909" ref="EQ2575"/>
    <hyperlink r:id="rId5910" ref="A2576"/>
    <hyperlink r:id="rId5911" ref="EQ2576"/>
    <hyperlink r:id="rId5912" ref="A2577"/>
    <hyperlink r:id="rId5913" ref="EQ2577"/>
    <hyperlink r:id="rId5914" ref="A2578"/>
    <hyperlink r:id="rId5915" ref="EQ2578"/>
    <hyperlink r:id="rId5916" ref="A2579"/>
    <hyperlink r:id="rId5917" ref="EQ2579"/>
    <hyperlink r:id="rId5918" ref="A2580"/>
    <hyperlink r:id="rId5919" ref="EQ2580"/>
    <hyperlink r:id="rId5920" ref="A2581"/>
    <hyperlink r:id="rId5921" ref="EQ2581"/>
    <hyperlink r:id="rId5922" ref="A2582"/>
    <hyperlink r:id="rId5923" ref="EQ2582"/>
    <hyperlink r:id="rId5924" ref="A2583"/>
    <hyperlink r:id="rId5925" ref="EQ2583"/>
    <hyperlink r:id="rId5926" ref="A2584"/>
    <hyperlink r:id="rId5927" ref="EQ2584"/>
    <hyperlink r:id="rId5928" ref="A2585"/>
    <hyperlink r:id="rId5929" ref="EQ2585"/>
    <hyperlink r:id="rId5930" ref="A2586"/>
    <hyperlink r:id="rId5931" ref="AG2586"/>
    <hyperlink r:id="rId5932" ref="EQ2586"/>
    <hyperlink r:id="rId5933" ref="A2587"/>
    <hyperlink r:id="rId5934" ref="AG2587"/>
    <hyperlink r:id="rId5935" ref="EQ2587"/>
    <hyperlink r:id="rId5936" ref="A2588"/>
    <hyperlink r:id="rId5937" ref="EQ2588"/>
    <hyperlink r:id="rId5938" ref="A2589"/>
    <hyperlink r:id="rId5939" ref="EQ2589"/>
    <hyperlink r:id="rId5940" ref="A2590"/>
    <hyperlink r:id="rId5941" ref="EQ2590"/>
    <hyperlink r:id="rId5942" ref="A2591"/>
    <hyperlink r:id="rId5943" ref="EQ2591"/>
    <hyperlink r:id="rId5944" ref="A2592"/>
    <hyperlink r:id="rId5945" ref="EQ2592"/>
    <hyperlink r:id="rId5946" ref="A2593"/>
    <hyperlink r:id="rId5947" ref="AG2593"/>
    <hyperlink r:id="rId5948" ref="EQ2593"/>
    <hyperlink r:id="rId5949" ref="A2594"/>
    <hyperlink r:id="rId5950" ref="EQ2594"/>
    <hyperlink r:id="rId5951" ref="A2595"/>
    <hyperlink r:id="rId5952" ref="EQ2595"/>
    <hyperlink r:id="rId5953" ref="A2596"/>
    <hyperlink r:id="rId5954" ref="AG2596"/>
    <hyperlink r:id="rId5955" ref="EQ2596"/>
    <hyperlink r:id="rId5956" ref="A2597"/>
    <hyperlink r:id="rId5957" ref="AG2597"/>
    <hyperlink r:id="rId5958" ref="EQ2597"/>
    <hyperlink r:id="rId5959" ref="A2598"/>
    <hyperlink r:id="rId5960" ref="EQ2598"/>
    <hyperlink r:id="rId5961" ref="A2599"/>
    <hyperlink r:id="rId5962" ref="EQ2599"/>
    <hyperlink r:id="rId5963" ref="A2600"/>
    <hyperlink r:id="rId5964" ref="EQ2600"/>
    <hyperlink r:id="rId5965" ref="A2601"/>
    <hyperlink r:id="rId5966" ref="EQ2601"/>
    <hyperlink r:id="rId5967" ref="A2602"/>
    <hyperlink r:id="rId5968" ref="AG2602"/>
    <hyperlink r:id="rId5969" ref="EQ2602"/>
    <hyperlink r:id="rId5970" ref="A2603"/>
    <hyperlink r:id="rId5971" ref="EQ2603"/>
    <hyperlink r:id="rId5972" ref="A2604"/>
    <hyperlink r:id="rId5973" ref="EQ2604"/>
    <hyperlink r:id="rId5974" ref="A2605"/>
    <hyperlink r:id="rId5975" ref="AG2605"/>
    <hyperlink r:id="rId5976" ref="EQ2605"/>
    <hyperlink r:id="rId5977" ref="A2606"/>
    <hyperlink r:id="rId5978" ref="EQ2606"/>
    <hyperlink r:id="rId5979" ref="A2607"/>
    <hyperlink r:id="rId5980" ref="AG2607"/>
    <hyperlink r:id="rId5981" ref="EQ2607"/>
    <hyperlink r:id="rId5982" ref="A2608"/>
    <hyperlink r:id="rId5983" ref="EQ2608"/>
    <hyperlink r:id="rId5984" ref="A2609"/>
    <hyperlink r:id="rId5985" ref="EQ2609"/>
    <hyperlink r:id="rId5986" ref="A2610"/>
    <hyperlink r:id="rId5987" ref="AG2610"/>
    <hyperlink r:id="rId5988" ref="EQ2610"/>
    <hyperlink r:id="rId5989" ref="A2611"/>
    <hyperlink r:id="rId5990" ref="EQ2611"/>
    <hyperlink r:id="rId5991" ref="A2612"/>
    <hyperlink r:id="rId5992" ref="AG2612"/>
    <hyperlink r:id="rId5993" ref="EQ2612"/>
    <hyperlink r:id="rId5994" ref="A2613"/>
    <hyperlink r:id="rId5995" ref="AG2613"/>
    <hyperlink r:id="rId5996" ref="EQ2613"/>
    <hyperlink r:id="rId5997" ref="A2614"/>
    <hyperlink r:id="rId5998" ref="EQ2614"/>
    <hyperlink r:id="rId5999" ref="A2615"/>
    <hyperlink r:id="rId6000" ref="EQ2615"/>
    <hyperlink r:id="rId6001" ref="A2616"/>
    <hyperlink r:id="rId6002" ref="EQ2616"/>
    <hyperlink r:id="rId6003" ref="A2617"/>
    <hyperlink r:id="rId6004" ref="BR2617"/>
    <hyperlink r:id="rId6005" ref="EQ2617"/>
    <hyperlink r:id="rId6006" ref="A2618"/>
    <hyperlink r:id="rId6007" ref="BR2618"/>
    <hyperlink r:id="rId6008" ref="EQ2618"/>
    <hyperlink r:id="rId6009" ref="A2619"/>
    <hyperlink r:id="rId6010" ref="EQ2619"/>
    <hyperlink r:id="rId6011" ref="A2620"/>
    <hyperlink r:id="rId6012" ref="EQ2620"/>
    <hyperlink r:id="rId6013" ref="A2621"/>
    <hyperlink r:id="rId6014" ref="EQ2621"/>
    <hyperlink r:id="rId6015" ref="A2622"/>
    <hyperlink r:id="rId6016" ref="EQ2622"/>
    <hyperlink r:id="rId6017" ref="A2623"/>
    <hyperlink r:id="rId6018" ref="BR2623"/>
    <hyperlink r:id="rId6019" ref="EQ2623"/>
    <hyperlink r:id="rId6020" ref="A2624"/>
    <hyperlink r:id="rId6021" ref="EQ2624"/>
    <hyperlink r:id="rId6022" ref="A2625"/>
    <hyperlink r:id="rId6023" ref="EQ2625"/>
    <hyperlink r:id="rId6024" ref="A2626"/>
    <hyperlink r:id="rId6025" ref="EQ2626"/>
    <hyperlink r:id="rId6026" ref="A2627"/>
    <hyperlink r:id="rId6027" ref="EQ2627"/>
    <hyperlink r:id="rId6028" ref="A2628"/>
    <hyperlink r:id="rId6029" ref="EQ2628"/>
    <hyperlink r:id="rId6030" ref="A2629"/>
    <hyperlink r:id="rId6031" ref="AG2629"/>
    <hyperlink r:id="rId6032" ref="EQ2629"/>
    <hyperlink r:id="rId6033" ref="A2630"/>
    <hyperlink r:id="rId6034" ref="EQ2630"/>
    <hyperlink r:id="rId6035" ref="A2631"/>
    <hyperlink r:id="rId6036" ref="EQ2631"/>
    <hyperlink r:id="rId6037" ref="A2632"/>
    <hyperlink r:id="rId6038" ref="EQ2632"/>
    <hyperlink r:id="rId6039" ref="A2633"/>
    <hyperlink r:id="rId6040" ref="EQ2633"/>
    <hyperlink r:id="rId6041" ref="A2634"/>
    <hyperlink r:id="rId6042" ref="EQ2634"/>
    <hyperlink r:id="rId6043" ref="A2635"/>
    <hyperlink r:id="rId6044" ref="AG2635"/>
    <hyperlink r:id="rId6045" ref="EQ2635"/>
    <hyperlink r:id="rId6046" ref="A2636"/>
    <hyperlink r:id="rId6047" ref="EQ2636"/>
    <hyperlink r:id="rId6048" ref="A2637"/>
    <hyperlink r:id="rId6049" ref="EQ2637"/>
    <hyperlink r:id="rId6050" ref="A2638"/>
    <hyperlink r:id="rId6051" ref="BR2638"/>
    <hyperlink r:id="rId6052" ref="EQ2638"/>
    <hyperlink r:id="rId6053" ref="A2639"/>
    <hyperlink r:id="rId6054" ref="EQ2639"/>
    <hyperlink r:id="rId6055" ref="A2640"/>
    <hyperlink r:id="rId6056" ref="AG2640"/>
    <hyperlink r:id="rId6057" ref="EQ2640"/>
    <hyperlink r:id="rId6058" ref="A2641"/>
    <hyperlink r:id="rId6059" ref="AG2641"/>
    <hyperlink r:id="rId6060" ref="EQ2641"/>
    <hyperlink r:id="rId6061" ref="A2642"/>
    <hyperlink r:id="rId6062" ref="EQ2642"/>
    <hyperlink r:id="rId6063" ref="A2643"/>
    <hyperlink r:id="rId6064" ref="EQ2643"/>
    <hyperlink r:id="rId6065" ref="A2644"/>
    <hyperlink r:id="rId6066" ref="AG2644"/>
    <hyperlink r:id="rId6067" ref="EQ2644"/>
    <hyperlink r:id="rId6068" ref="A2645"/>
    <hyperlink r:id="rId6069" ref="AG2645"/>
    <hyperlink r:id="rId6070" ref="EQ2645"/>
    <hyperlink r:id="rId6071" ref="A2646"/>
    <hyperlink r:id="rId6072" ref="EQ2646"/>
    <hyperlink r:id="rId6073" ref="A2647"/>
    <hyperlink r:id="rId6074" ref="EQ2647"/>
    <hyperlink r:id="rId6075" ref="A2648"/>
    <hyperlink r:id="rId6076" ref="EQ2648"/>
    <hyperlink r:id="rId6077" ref="A2649"/>
    <hyperlink r:id="rId6078" ref="EQ2649"/>
    <hyperlink r:id="rId6079" ref="A2650"/>
    <hyperlink r:id="rId6080" ref="EQ2650"/>
    <hyperlink r:id="rId6081" ref="A2651"/>
    <hyperlink r:id="rId6082" ref="EQ2651"/>
    <hyperlink r:id="rId6083" ref="A2652"/>
    <hyperlink r:id="rId6084" ref="AG2652"/>
    <hyperlink r:id="rId6085" ref="EQ2652"/>
    <hyperlink r:id="rId6086" ref="A2653"/>
    <hyperlink r:id="rId6087" ref="EQ2653"/>
    <hyperlink r:id="rId6088" ref="A2654"/>
    <hyperlink r:id="rId6089" ref="EQ2654"/>
    <hyperlink r:id="rId6090" ref="A2655"/>
    <hyperlink r:id="rId6091" ref="AG2655"/>
    <hyperlink r:id="rId6092" ref="EQ2655"/>
    <hyperlink r:id="rId6093" ref="A2656"/>
    <hyperlink r:id="rId6094" ref="AG2656"/>
    <hyperlink r:id="rId6095" ref="EQ2656"/>
    <hyperlink r:id="rId6096" ref="A2657"/>
    <hyperlink r:id="rId6097" ref="EQ2657"/>
    <hyperlink r:id="rId6098" ref="A2658"/>
    <hyperlink r:id="rId6099" ref="EQ2658"/>
    <hyperlink r:id="rId6100" ref="A2659"/>
    <hyperlink r:id="rId6101" ref="AG2659"/>
    <hyperlink r:id="rId6102" ref="EQ2659"/>
    <hyperlink r:id="rId6103" ref="A2660"/>
    <hyperlink r:id="rId6104" ref="AG2660"/>
    <hyperlink r:id="rId6105" ref="EQ2660"/>
    <hyperlink r:id="rId6106" ref="A2661"/>
    <hyperlink r:id="rId6107" ref="AG2661"/>
    <hyperlink r:id="rId6108" ref="EQ2661"/>
    <hyperlink r:id="rId6109" ref="A2662"/>
    <hyperlink r:id="rId6110" ref="EQ2662"/>
    <hyperlink r:id="rId6111" ref="A2663"/>
    <hyperlink r:id="rId6112" ref="EQ2663"/>
    <hyperlink r:id="rId6113" ref="A2664"/>
    <hyperlink r:id="rId6114" ref="EQ2664"/>
    <hyperlink r:id="rId6115" ref="A2665"/>
    <hyperlink r:id="rId6116" ref="EQ2665"/>
    <hyperlink r:id="rId6117" ref="A2666"/>
    <hyperlink r:id="rId6118" ref="EQ2666"/>
    <hyperlink r:id="rId6119" ref="A2667"/>
    <hyperlink r:id="rId6120" ref="AG2667"/>
    <hyperlink r:id="rId6121" ref="EQ2667"/>
    <hyperlink r:id="rId6122" ref="A2668"/>
    <hyperlink r:id="rId6123" ref="AG2668"/>
    <hyperlink r:id="rId6124" ref="EQ2668"/>
    <hyperlink r:id="rId6125" ref="A2669"/>
    <hyperlink r:id="rId6126" ref="EQ2669"/>
    <hyperlink r:id="rId6127" ref="A2670"/>
    <hyperlink r:id="rId6128" ref="EQ2670"/>
    <hyperlink r:id="rId6129" ref="A2671"/>
    <hyperlink r:id="rId6130" ref="EQ2671"/>
    <hyperlink r:id="rId6131" ref="A2672"/>
    <hyperlink r:id="rId6132" ref="AG2672"/>
    <hyperlink r:id="rId6133" ref="EQ2672"/>
    <hyperlink r:id="rId6134" ref="A2673"/>
    <hyperlink r:id="rId6135" ref="BR2673"/>
    <hyperlink r:id="rId6136" ref="EQ2673"/>
    <hyperlink r:id="rId6137" ref="A2674"/>
    <hyperlink r:id="rId6138" ref="EQ2674"/>
    <hyperlink r:id="rId6139" ref="A2675"/>
    <hyperlink r:id="rId6140" ref="EQ2675"/>
    <hyperlink r:id="rId6141" ref="A2676"/>
    <hyperlink r:id="rId6142" ref="EQ2676"/>
    <hyperlink r:id="rId6143" ref="A2677"/>
    <hyperlink r:id="rId6144" ref="EQ2677"/>
    <hyperlink r:id="rId6145" ref="A2678"/>
    <hyperlink r:id="rId6146" ref="AG2678"/>
    <hyperlink r:id="rId6147" ref="EQ2678"/>
    <hyperlink r:id="rId6148" ref="A2679"/>
    <hyperlink r:id="rId6149" ref="EQ2679"/>
    <hyperlink r:id="rId6150" ref="A2680"/>
    <hyperlink r:id="rId6151" ref="EQ2680"/>
    <hyperlink r:id="rId6152" ref="A2681"/>
    <hyperlink r:id="rId6153" ref="AG2681"/>
    <hyperlink r:id="rId6154" ref="EQ2681"/>
    <hyperlink r:id="rId6155" ref="A2682"/>
    <hyperlink r:id="rId6156" ref="EQ2682"/>
    <hyperlink r:id="rId6157" ref="A2683"/>
    <hyperlink r:id="rId6158" ref="EQ2683"/>
    <hyperlink r:id="rId6159" ref="A2684"/>
    <hyperlink r:id="rId6160" ref="EQ2684"/>
    <hyperlink r:id="rId6161" ref="A2685"/>
    <hyperlink r:id="rId6162" ref="AG2685"/>
    <hyperlink r:id="rId6163" ref="EQ2685"/>
    <hyperlink r:id="rId6164" ref="A2686"/>
    <hyperlink r:id="rId6165" ref="AG2686"/>
    <hyperlink r:id="rId6166" ref="EQ2686"/>
    <hyperlink r:id="rId6167" ref="A2687"/>
    <hyperlink r:id="rId6168" ref="EQ2687"/>
    <hyperlink r:id="rId6169" ref="A2688"/>
    <hyperlink r:id="rId6170" ref="EQ2688"/>
    <hyperlink r:id="rId6171" ref="A2689"/>
    <hyperlink r:id="rId6172" ref="AG2689"/>
    <hyperlink r:id="rId6173" ref="EQ2689"/>
    <hyperlink r:id="rId6174" ref="A2690"/>
    <hyperlink r:id="rId6175" ref="EQ2690"/>
    <hyperlink r:id="rId6176" ref="A2691"/>
    <hyperlink r:id="rId6177" ref="EQ2691"/>
    <hyperlink r:id="rId6178" ref="A2692"/>
    <hyperlink r:id="rId6179" ref="EQ2692"/>
    <hyperlink r:id="rId6180" ref="A2693"/>
    <hyperlink r:id="rId6181" ref="EQ2693"/>
    <hyperlink r:id="rId6182" ref="A2694"/>
    <hyperlink r:id="rId6183" ref="EQ2694"/>
    <hyperlink r:id="rId6184" ref="A2695"/>
    <hyperlink r:id="rId6185" ref="EQ2695"/>
    <hyperlink r:id="rId6186" ref="A2696"/>
    <hyperlink r:id="rId6187" ref="EQ2696"/>
    <hyperlink r:id="rId6188" ref="A2697"/>
    <hyperlink r:id="rId6189" ref="EQ2697"/>
    <hyperlink r:id="rId6190" ref="A2698"/>
    <hyperlink r:id="rId6191" ref="EQ2698"/>
    <hyperlink r:id="rId6192" ref="A2699"/>
    <hyperlink r:id="rId6193" ref="EQ2699"/>
    <hyperlink r:id="rId6194" ref="A2700"/>
    <hyperlink r:id="rId6195" ref="AG2700"/>
    <hyperlink r:id="rId6196" ref="EQ2700"/>
    <hyperlink r:id="rId6197" ref="A2701"/>
    <hyperlink r:id="rId6198" ref="AG2701"/>
    <hyperlink r:id="rId6199" ref="EQ2701"/>
    <hyperlink r:id="rId6200" ref="A2702"/>
    <hyperlink r:id="rId6201" ref="EQ2702"/>
    <hyperlink r:id="rId6202" ref="A2703"/>
    <hyperlink r:id="rId6203" ref="EQ2703"/>
    <hyperlink r:id="rId6204" ref="A2704"/>
    <hyperlink r:id="rId6205" ref="EQ2704"/>
    <hyperlink r:id="rId6206" ref="A2705"/>
    <hyperlink r:id="rId6207" ref="EQ2705"/>
    <hyperlink r:id="rId6208" ref="A2706"/>
    <hyperlink r:id="rId6209" ref="EQ2706"/>
    <hyperlink r:id="rId6210" ref="A2707"/>
    <hyperlink r:id="rId6211" ref="EQ2707"/>
    <hyperlink r:id="rId6212" ref="A2708"/>
    <hyperlink r:id="rId6213" ref="EQ2708"/>
    <hyperlink r:id="rId6214" ref="A2709"/>
    <hyperlink r:id="rId6215" ref="AG2709"/>
    <hyperlink r:id="rId6216" ref="EQ2709"/>
    <hyperlink r:id="rId6217" ref="A2710"/>
    <hyperlink r:id="rId6218" ref="EQ2710"/>
    <hyperlink r:id="rId6219" ref="A2711"/>
    <hyperlink r:id="rId6220" ref="EQ2711"/>
    <hyperlink r:id="rId6221" ref="A2712"/>
    <hyperlink r:id="rId6222" ref="AG2712"/>
    <hyperlink r:id="rId6223" ref="EQ2712"/>
    <hyperlink r:id="rId6224" ref="A2713"/>
    <hyperlink r:id="rId6225" ref="EQ2713"/>
    <hyperlink r:id="rId6226" ref="A2714"/>
    <hyperlink r:id="rId6227" ref="EQ2714"/>
    <hyperlink r:id="rId6228" ref="A2715"/>
    <hyperlink r:id="rId6229" ref="EQ2715"/>
    <hyperlink r:id="rId6230" ref="A2716"/>
    <hyperlink r:id="rId6231" ref="EQ2716"/>
    <hyperlink r:id="rId6232" ref="A2717"/>
    <hyperlink r:id="rId6233" ref="AG2717"/>
    <hyperlink r:id="rId6234" ref="EQ2717"/>
    <hyperlink r:id="rId6235" ref="A2718"/>
    <hyperlink r:id="rId6236" ref="EQ2718"/>
    <hyperlink r:id="rId6237" ref="A2719"/>
    <hyperlink r:id="rId6238" ref="EQ2719"/>
    <hyperlink r:id="rId6239" ref="A2720"/>
    <hyperlink r:id="rId6240" ref="EQ2720"/>
    <hyperlink r:id="rId6241" ref="A2721"/>
    <hyperlink r:id="rId6242" ref="EQ2721"/>
    <hyperlink r:id="rId6243" ref="A2722"/>
    <hyperlink r:id="rId6244" ref="EQ2722"/>
    <hyperlink r:id="rId6245" ref="A2723"/>
    <hyperlink r:id="rId6246" ref="EQ2723"/>
    <hyperlink r:id="rId6247" ref="A2724"/>
    <hyperlink r:id="rId6248" ref="EQ2724"/>
    <hyperlink r:id="rId6249" ref="A2725"/>
    <hyperlink r:id="rId6250" ref="EQ2725"/>
    <hyperlink r:id="rId6251" ref="A2726"/>
    <hyperlink r:id="rId6252" ref="EQ2726"/>
    <hyperlink r:id="rId6253" ref="A2727"/>
    <hyperlink r:id="rId6254" ref="EQ2727"/>
    <hyperlink r:id="rId6255" ref="A2728"/>
    <hyperlink r:id="rId6256" ref="BR2728"/>
    <hyperlink r:id="rId6257" ref="EQ2728"/>
    <hyperlink r:id="rId6258" ref="A2729"/>
    <hyperlink r:id="rId6259" ref="EQ2729"/>
    <hyperlink r:id="rId6260" ref="A2730"/>
    <hyperlink r:id="rId6261" ref="EQ2730"/>
    <hyperlink r:id="rId6262" ref="A2731"/>
    <hyperlink r:id="rId6263" ref="BR2731"/>
    <hyperlink r:id="rId6264" ref="EQ2731"/>
    <hyperlink r:id="rId6265" ref="A2732"/>
    <hyperlink r:id="rId6266" ref="EQ2732"/>
    <hyperlink r:id="rId6267" ref="A2733"/>
    <hyperlink r:id="rId6268" ref="EQ2733"/>
    <hyperlink r:id="rId6269" ref="A2734"/>
    <hyperlink r:id="rId6270" ref="AG2734"/>
    <hyperlink r:id="rId6271" ref="EQ2734"/>
    <hyperlink r:id="rId6272" ref="A2735"/>
    <hyperlink r:id="rId6273" ref="EQ2735"/>
    <hyperlink r:id="rId6274" ref="A2736"/>
    <hyperlink r:id="rId6275" ref="AG2736"/>
    <hyperlink r:id="rId6276" ref="EQ2736"/>
    <hyperlink r:id="rId6277" ref="A2737"/>
    <hyperlink r:id="rId6278" ref="EQ2737"/>
    <hyperlink r:id="rId6279" ref="A2738"/>
    <hyperlink r:id="rId6280" ref="EQ2738"/>
    <hyperlink r:id="rId6281" ref="A2739"/>
    <hyperlink r:id="rId6282" ref="EQ2739"/>
    <hyperlink r:id="rId6283" ref="A2740"/>
    <hyperlink r:id="rId6284" ref="EQ2740"/>
    <hyperlink r:id="rId6285" ref="A2741"/>
    <hyperlink r:id="rId6286" ref="AG2741"/>
    <hyperlink r:id="rId6287" ref="EQ2741"/>
    <hyperlink r:id="rId6288" ref="A2742"/>
    <hyperlink r:id="rId6289" ref="AG2742"/>
    <hyperlink r:id="rId6290" ref="EQ2742"/>
    <hyperlink r:id="rId6291" ref="A2743"/>
    <hyperlink r:id="rId6292" ref="EQ2743"/>
    <hyperlink r:id="rId6293" ref="A2744"/>
    <hyperlink r:id="rId6294" ref="EQ2744"/>
    <hyperlink r:id="rId6295" ref="A2745"/>
    <hyperlink r:id="rId6296" ref="EQ2745"/>
    <hyperlink r:id="rId6297" ref="A2746"/>
    <hyperlink r:id="rId6298" ref="AG2746"/>
    <hyperlink r:id="rId6299" ref="EQ2746"/>
    <hyperlink r:id="rId6300" ref="A2747"/>
    <hyperlink r:id="rId6301" ref="BR2747"/>
    <hyperlink r:id="rId6302" ref="EQ2747"/>
    <hyperlink r:id="rId6303" ref="A2748"/>
    <hyperlink r:id="rId6304" ref="EQ2748"/>
    <hyperlink r:id="rId6305" ref="A2749"/>
    <hyperlink r:id="rId6306" ref="EQ2749"/>
    <hyperlink r:id="rId6307" ref="A2750"/>
    <hyperlink r:id="rId6308" ref="EQ2750"/>
    <hyperlink r:id="rId6309" ref="A2751"/>
    <hyperlink r:id="rId6310" ref="AG2751"/>
    <hyperlink r:id="rId6311" ref="EQ2751"/>
    <hyperlink r:id="rId6312" ref="A2752"/>
    <hyperlink r:id="rId6313" ref="AG2752"/>
    <hyperlink r:id="rId6314" ref="EQ2752"/>
    <hyperlink r:id="rId6315" ref="A2753"/>
    <hyperlink r:id="rId6316" ref="EQ2753"/>
    <hyperlink r:id="rId6317" ref="A2754"/>
    <hyperlink r:id="rId6318" ref="EQ2754"/>
    <hyperlink r:id="rId6319" ref="A2755"/>
    <hyperlink r:id="rId6320" ref="EQ2755"/>
    <hyperlink r:id="rId6321" ref="A2756"/>
    <hyperlink r:id="rId6322" ref="AG2756"/>
    <hyperlink r:id="rId6323" ref="EQ2756"/>
    <hyperlink r:id="rId6324" ref="A2757"/>
    <hyperlink r:id="rId6325" ref="EQ2757"/>
    <hyperlink r:id="rId6326" ref="A2758"/>
    <hyperlink r:id="rId6327" ref="AG2758"/>
    <hyperlink r:id="rId6328" ref="EQ2758"/>
    <hyperlink r:id="rId6329" ref="A2759"/>
    <hyperlink r:id="rId6330" ref="AG2759"/>
    <hyperlink r:id="rId6331" ref="EQ2759"/>
    <hyperlink r:id="rId6332" ref="A2760"/>
    <hyperlink r:id="rId6333" ref="EQ2760"/>
    <hyperlink r:id="rId6334" ref="A2761"/>
    <hyperlink r:id="rId6335" ref="EQ2761"/>
    <hyperlink r:id="rId6336" ref="A2762"/>
    <hyperlink r:id="rId6337" ref="EQ2762"/>
    <hyperlink r:id="rId6338" ref="A2763"/>
    <hyperlink r:id="rId6339" ref="EQ2763"/>
    <hyperlink r:id="rId6340" ref="A2764"/>
    <hyperlink r:id="rId6341" ref="EQ2764"/>
    <hyperlink r:id="rId6342" ref="A2765"/>
    <hyperlink r:id="rId6343" ref="BR2765"/>
    <hyperlink r:id="rId6344" ref="EQ2765"/>
    <hyperlink r:id="rId6345" ref="A2766"/>
    <hyperlink r:id="rId6346" ref="EQ2766"/>
    <hyperlink r:id="rId6347" ref="A2767"/>
    <hyperlink r:id="rId6348" ref="AG2767"/>
    <hyperlink r:id="rId6349" ref="EQ2767"/>
    <hyperlink r:id="rId6350" ref="A2768"/>
    <hyperlink r:id="rId6351" ref="BR2768"/>
    <hyperlink r:id="rId6352" ref="EQ2768"/>
    <hyperlink r:id="rId6353" ref="A2769"/>
    <hyperlink r:id="rId6354" ref="EQ2769"/>
    <hyperlink r:id="rId6355" ref="A2770"/>
    <hyperlink r:id="rId6356" ref="EQ2770"/>
    <hyperlink r:id="rId6357" ref="A2771"/>
    <hyperlink r:id="rId6358" ref="AG2771"/>
    <hyperlink r:id="rId6359" ref="EQ2771"/>
    <hyperlink r:id="rId6360" ref="A2772"/>
    <hyperlink r:id="rId6361" ref="EQ2772"/>
    <hyperlink r:id="rId6362" ref="A2773"/>
    <hyperlink r:id="rId6363" ref="EQ2773"/>
    <hyperlink r:id="rId6364" ref="A2774"/>
    <hyperlink r:id="rId6365" ref="EQ2774"/>
    <hyperlink r:id="rId6366" ref="A2775"/>
    <hyperlink r:id="rId6367" ref="EQ2775"/>
    <hyperlink r:id="rId6368" ref="A2776"/>
    <hyperlink r:id="rId6369" ref="EQ2776"/>
    <hyperlink r:id="rId6370" ref="A2777"/>
    <hyperlink r:id="rId6371" ref="EQ2777"/>
    <hyperlink r:id="rId6372" ref="A2778"/>
    <hyperlink r:id="rId6373" ref="EQ2778"/>
    <hyperlink r:id="rId6374" ref="A2779"/>
    <hyperlink r:id="rId6375" ref="EQ2779"/>
    <hyperlink r:id="rId6376" ref="A2780"/>
    <hyperlink r:id="rId6377" ref="EQ2780"/>
    <hyperlink r:id="rId6378" ref="A2781"/>
    <hyperlink r:id="rId6379" ref="EQ2781"/>
    <hyperlink r:id="rId6380" ref="A2782"/>
    <hyperlink r:id="rId6381" ref="BR2782"/>
    <hyperlink r:id="rId6382" ref="EQ2782"/>
    <hyperlink r:id="rId6383" ref="A2783"/>
    <hyperlink r:id="rId6384" ref="EQ2783"/>
    <hyperlink r:id="rId6385" ref="A2784"/>
    <hyperlink r:id="rId6386" ref="EQ2784"/>
    <hyperlink r:id="rId6387" ref="A2785"/>
    <hyperlink r:id="rId6388" ref="EQ2785"/>
    <hyperlink r:id="rId6389" ref="A2786"/>
    <hyperlink r:id="rId6390" ref="BR2786"/>
    <hyperlink r:id="rId6391" ref="EQ2786"/>
    <hyperlink r:id="rId6392" ref="A2787"/>
    <hyperlink r:id="rId6393" ref="EQ2787"/>
    <hyperlink r:id="rId6394" ref="A2788"/>
    <hyperlink r:id="rId6395" ref="EQ2788"/>
    <hyperlink r:id="rId6396" ref="A2789"/>
    <hyperlink r:id="rId6397" ref="EQ2789"/>
    <hyperlink r:id="rId6398" ref="A2790"/>
    <hyperlink r:id="rId6399" ref="EQ2790"/>
    <hyperlink r:id="rId6400" ref="A2791"/>
    <hyperlink r:id="rId6401" ref="EQ2791"/>
    <hyperlink r:id="rId6402" ref="A2792"/>
    <hyperlink r:id="rId6403" ref="BR2792"/>
    <hyperlink r:id="rId6404" ref="EQ2792"/>
    <hyperlink r:id="rId6405" ref="A2793"/>
    <hyperlink r:id="rId6406" ref="EQ2793"/>
    <hyperlink r:id="rId6407" ref="A2794"/>
    <hyperlink r:id="rId6408" ref="EQ2794"/>
    <hyperlink r:id="rId6409" ref="A2795"/>
    <hyperlink r:id="rId6410" ref="EQ2795"/>
    <hyperlink r:id="rId6411" ref="A2796"/>
    <hyperlink r:id="rId6412" ref="EQ2796"/>
    <hyperlink r:id="rId6413" ref="A2797"/>
    <hyperlink r:id="rId6414" ref="EQ2797"/>
    <hyperlink r:id="rId6415" ref="A2798"/>
    <hyperlink r:id="rId6416" ref="BR2798"/>
    <hyperlink r:id="rId6417" ref="EQ2798"/>
    <hyperlink r:id="rId6418" ref="A2799"/>
    <hyperlink r:id="rId6419" ref="EQ2799"/>
    <hyperlink r:id="rId6420" ref="A2800"/>
    <hyperlink r:id="rId6421" ref="EQ2800"/>
    <hyperlink r:id="rId6422" ref="A2801"/>
    <hyperlink r:id="rId6423" ref="EQ2801"/>
    <hyperlink r:id="rId6424" ref="A2802"/>
    <hyperlink r:id="rId6425" ref="EQ2802"/>
    <hyperlink r:id="rId6426" ref="A2803"/>
    <hyperlink r:id="rId6427" ref="AG2803"/>
    <hyperlink r:id="rId6428" ref="EQ2803"/>
    <hyperlink r:id="rId6429" ref="A2804"/>
    <hyperlink r:id="rId6430" ref="EQ2804"/>
    <hyperlink r:id="rId6431" ref="A2805"/>
    <hyperlink r:id="rId6432" ref="EQ2805"/>
    <hyperlink r:id="rId6433" ref="A2806"/>
    <hyperlink r:id="rId6434" ref="EQ2806"/>
    <hyperlink r:id="rId6435" ref="A2807"/>
    <hyperlink r:id="rId6436" ref="EQ2807"/>
    <hyperlink r:id="rId6437" ref="A2808"/>
    <hyperlink r:id="rId6438" ref="EQ2808"/>
    <hyperlink r:id="rId6439" ref="A2809"/>
    <hyperlink r:id="rId6440" ref="EQ2809"/>
    <hyperlink r:id="rId6441" ref="A2810"/>
    <hyperlink r:id="rId6442" ref="EQ2810"/>
    <hyperlink r:id="rId6443" ref="A2811"/>
    <hyperlink r:id="rId6444" ref="BR2811"/>
    <hyperlink r:id="rId6445" ref="EQ2811"/>
    <hyperlink r:id="rId6446" ref="A2812"/>
    <hyperlink r:id="rId6447" ref="AG2812"/>
    <hyperlink r:id="rId6448" ref="EQ2812"/>
    <hyperlink r:id="rId6449" ref="A2813"/>
    <hyperlink r:id="rId6450" ref="EQ2813"/>
    <hyperlink r:id="rId6451" ref="A2814"/>
    <hyperlink r:id="rId6452" ref="EQ2814"/>
    <hyperlink r:id="rId6453" ref="A2815"/>
    <hyperlink r:id="rId6454" ref="BR2815"/>
    <hyperlink r:id="rId6455" ref="EQ2815"/>
    <hyperlink r:id="rId6456" ref="A2816"/>
    <hyperlink r:id="rId6457" ref="EQ2816"/>
    <hyperlink r:id="rId6458" ref="A2817"/>
    <hyperlink r:id="rId6459" ref="AG2817"/>
    <hyperlink r:id="rId6460" ref="EQ2817"/>
    <hyperlink r:id="rId6461" ref="A2818"/>
    <hyperlink r:id="rId6462" ref="EQ2818"/>
    <hyperlink r:id="rId6463" ref="A2819"/>
    <hyperlink r:id="rId6464" ref="EQ2819"/>
    <hyperlink r:id="rId6465" ref="A2820"/>
    <hyperlink r:id="rId6466" ref="EQ2820"/>
    <hyperlink r:id="rId6467" ref="A2821"/>
    <hyperlink r:id="rId6468" ref="EQ2821"/>
    <hyperlink r:id="rId6469" ref="A2822"/>
    <hyperlink r:id="rId6470" ref="EQ2822"/>
    <hyperlink r:id="rId6471" ref="A2823"/>
    <hyperlink r:id="rId6472" ref="EQ2823"/>
    <hyperlink r:id="rId6473" ref="A2824"/>
    <hyperlink r:id="rId6474" ref="AG2824"/>
    <hyperlink r:id="rId6475" ref="EQ2824"/>
    <hyperlink r:id="rId6476" ref="A2825"/>
    <hyperlink r:id="rId6477" ref="EQ2825"/>
    <hyperlink r:id="rId6478" ref="A2826"/>
    <hyperlink r:id="rId6479" ref="EQ2826"/>
    <hyperlink r:id="rId6480" ref="A2827"/>
    <hyperlink r:id="rId6481" ref="EQ2827"/>
    <hyperlink r:id="rId6482" ref="A2828"/>
    <hyperlink r:id="rId6483" ref="EQ2828"/>
    <hyperlink r:id="rId6484" ref="A2829"/>
    <hyperlink r:id="rId6485" ref="AG2829"/>
    <hyperlink r:id="rId6486" ref="EQ2829"/>
    <hyperlink r:id="rId6487" ref="A2830"/>
    <hyperlink r:id="rId6488" ref="AG2830"/>
    <hyperlink r:id="rId6489" ref="EQ2830"/>
    <hyperlink r:id="rId6490" ref="A2831"/>
    <hyperlink r:id="rId6491" ref="BR2831"/>
    <hyperlink r:id="rId6492" ref="EQ2831"/>
    <hyperlink r:id="rId6493" ref="A2832"/>
    <hyperlink r:id="rId6494" ref="EQ2832"/>
    <hyperlink r:id="rId6495" ref="A2833"/>
    <hyperlink r:id="rId6496" ref="EQ2833"/>
    <hyperlink r:id="rId6497" ref="A2834"/>
    <hyperlink r:id="rId6498" ref="EQ2834"/>
    <hyperlink r:id="rId6499" ref="A2835"/>
    <hyperlink r:id="rId6500" ref="BR2835"/>
    <hyperlink r:id="rId6501" ref="EQ2835"/>
    <hyperlink r:id="rId6502" ref="A2836"/>
    <hyperlink r:id="rId6503" ref="EQ2836"/>
    <hyperlink r:id="rId6504" ref="A2837"/>
    <hyperlink r:id="rId6505" ref="EQ2837"/>
    <hyperlink r:id="rId6506" ref="A2838"/>
    <hyperlink r:id="rId6507" ref="EQ2838"/>
    <hyperlink r:id="rId6508" ref="A2839"/>
    <hyperlink r:id="rId6509" ref="EQ2839"/>
    <hyperlink r:id="rId6510" ref="A2840"/>
    <hyperlink r:id="rId6511" ref="EQ2840"/>
    <hyperlink r:id="rId6512" ref="A2841"/>
    <hyperlink r:id="rId6513" ref="AG2841"/>
    <hyperlink r:id="rId6514" ref="EQ2841"/>
    <hyperlink r:id="rId6515" ref="A2842"/>
    <hyperlink r:id="rId6516" ref="EQ2842"/>
    <hyperlink r:id="rId6517" ref="A2843"/>
    <hyperlink r:id="rId6518" ref="AG2843"/>
    <hyperlink r:id="rId6519" ref="EQ2843"/>
    <hyperlink r:id="rId6520" ref="A2844"/>
    <hyperlink r:id="rId6521" ref="EQ2844"/>
    <hyperlink r:id="rId6522" ref="A2845"/>
    <hyperlink r:id="rId6523" ref="EQ2845"/>
    <hyperlink r:id="rId6524" ref="A2846"/>
    <hyperlink r:id="rId6525" ref="EQ2846"/>
    <hyperlink r:id="rId6526" ref="A2847"/>
    <hyperlink r:id="rId6527" ref="EQ2847"/>
    <hyperlink r:id="rId6528" ref="A2848"/>
    <hyperlink r:id="rId6529" ref="AG2848"/>
    <hyperlink r:id="rId6530" ref="EQ2848"/>
    <hyperlink r:id="rId6531" ref="A2849"/>
    <hyperlink r:id="rId6532" ref="EQ2849"/>
    <hyperlink r:id="rId6533" ref="A2850"/>
    <hyperlink r:id="rId6534" ref="BR2850"/>
    <hyperlink r:id="rId6535" ref="EQ2850"/>
    <hyperlink r:id="rId6536" ref="A2851"/>
    <hyperlink r:id="rId6537" ref="BR2851"/>
    <hyperlink r:id="rId6538" ref="EQ2851"/>
    <hyperlink r:id="rId6539" ref="A2852"/>
    <hyperlink r:id="rId6540" ref="EQ2852"/>
    <hyperlink r:id="rId6541" ref="A2853"/>
    <hyperlink r:id="rId6542" ref="EQ2853"/>
    <hyperlink r:id="rId6543" ref="A2854"/>
    <hyperlink r:id="rId6544" ref="AG2854"/>
    <hyperlink r:id="rId6545" ref="EQ2854"/>
    <hyperlink r:id="rId6546" ref="A2855"/>
    <hyperlink r:id="rId6547" ref="AG2855"/>
    <hyperlink r:id="rId6548" ref="EQ2855"/>
    <hyperlink r:id="rId6549" ref="A2856"/>
    <hyperlink r:id="rId6550" ref="EQ2856"/>
    <hyperlink r:id="rId6551" ref="A2857"/>
    <hyperlink r:id="rId6552" ref="EQ2857"/>
    <hyperlink r:id="rId6553" ref="A2858"/>
    <hyperlink r:id="rId6554" ref="EQ2858"/>
    <hyperlink r:id="rId6555" ref="A2859"/>
    <hyperlink r:id="rId6556" ref="EQ2859"/>
    <hyperlink r:id="rId6557" ref="A2860"/>
    <hyperlink r:id="rId6558" ref="EQ2860"/>
    <hyperlink r:id="rId6559" ref="A2861"/>
    <hyperlink r:id="rId6560" ref="EQ2861"/>
    <hyperlink r:id="rId6561" ref="A2862"/>
    <hyperlink r:id="rId6562" ref="EQ2862"/>
    <hyperlink r:id="rId6563" ref="A2863"/>
    <hyperlink r:id="rId6564" ref="EQ2863"/>
    <hyperlink r:id="rId6565" ref="A2864"/>
    <hyperlink r:id="rId6566" ref="EQ2864"/>
    <hyperlink r:id="rId6567" ref="A2865"/>
    <hyperlink r:id="rId6568" ref="EQ2865"/>
    <hyperlink r:id="rId6569" ref="A2866"/>
    <hyperlink r:id="rId6570" ref="EQ2866"/>
    <hyperlink r:id="rId6571" ref="A2867"/>
    <hyperlink r:id="rId6572" ref="EQ2867"/>
    <hyperlink r:id="rId6573" ref="A2868"/>
    <hyperlink r:id="rId6574" ref="EQ2868"/>
    <hyperlink r:id="rId6575" ref="A2869"/>
    <hyperlink r:id="rId6576" ref="EQ2869"/>
    <hyperlink r:id="rId6577" ref="A2870"/>
    <hyperlink r:id="rId6578" ref="AG2870"/>
    <hyperlink r:id="rId6579" ref="EQ2870"/>
    <hyperlink r:id="rId6580" ref="A2871"/>
    <hyperlink r:id="rId6581" ref="EQ2871"/>
    <hyperlink r:id="rId6582" ref="A2872"/>
    <hyperlink r:id="rId6583" ref="EQ2872"/>
    <hyperlink r:id="rId6584" ref="A2873"/>
    <hyperlink r:id="rId6585" ref="EQ2873"/>
    <hyperlink r:id="rId6586" ref="A2874"/>
    <hyperlink r:id="rId6587" ref="EQ2874"/>
    <hyperlink r:id="rId6588" ref="A2875"/>
    <hyperlink r:id="rId6589" ref="EQ2875"/>
    <hyperlink r:id="rId6590" ref="A2876"/>
    <hyperlink r:id="rId6591" ref="EQ2876"/>
    <hyperlink r:id="rId6592" ref="A2877"/>
    <hyperlink r:id="rId6593" ref="EQ2877"/>
    <hyperlink r:id="rId6594" ref="A2878"/>
    <hyperlink r:id="rId6595" ref="AG2878"/>
    <hyperlink r:id="rId6596" ref="EQ2878"/>
    <hyperlink r:id="rId6597" ref="A2879"/>
    <hyperlink r:id="rId6598" ref="EQ2879"/>
    <hyperlink r:id="rId6599" ref="A2880"/>
    <hyperlink r:id="rId6600" ref="EQ2880"/>
    <hyperlink r:id="rId6601" ref="A2881"/>
    <hyperlink r:id="rId6602" ref="BR2881"/>
    <hyperlink r:id="rId6603" ref="EQ2881"/>
    <hyperlink r:id="rId6604" ref="A2882"/>
    <hyperlink r:id="rId6605" ref="EQ2882"/>
    <hyperlink r:id="rId6606" ref="A2883"/>
    <hyperlink r:id="rId6607" ref="BR2883"/>
    <hyperlink r:id="rId6608" ref="EQ2883"/>
    <hyperlink r:id="rId6609" ref="A2884"/>
    <hyperlink r:id="rId6610" ref="EQ2884"/>
    <hyperlink r:id="rId6611" ref="A2885"/>
    <hyperlink r:id="rId6612" ref="EQ2885"/>
    <hyperlink r:id="rId6613" ref="A2886"/>
    <hyperlink r:id="rId6614" ref="EQ2886"/>
    <hyperlink r:id="rId6615" ref="A2887"/>
    <hyperlink r:id="rId6616" ref="EQ2887"/>
    <hyperlink r:id="rId6617" ref="A2888"/>
    <hyperlink r:id="rId6618" ref="AG2888"/>
    <hyperlink r:id="rId6619" ref="EQ2888"/>
    <hyperlink r:id="rId6620" ref="A2889"/>
    <hyperlink r:id="rId6621" ref="EQ2889"/>
    <hyperlink r:id="rId6622" ref="A2890"/>
    <hyperlink r:id="rId6623" ref="EQ2890"/>
    <hyperlink r:id="rId6624" ref="A2891"/>
    <hyperlink r:id="rId6625" ref="AG2891"/>
    <hyperlink r:id="rId6626" ref="EQ2891"/>
    <hyperlink r:id="rId6627" ref="A2892"/>
    <hyperlink r:id="rId6628" ref="EQ2892"/>
    <hyperlink r:id="rId6629" ref="A2893"/>
    <hyperlink r:id="rId6630" ref="AG2893"/>
    <hyperlink r:id="rId6631" ref="EQ2893"/>
    <hyperlink r:id="rId6632" ref="A2894"/>
    <hyperlink r:id="rId6633" ref="EQ2894"/>
    <hyperlink r:id="rId6634" ref="A2895"/>
    <hyperlink r:id="rId6635" ref="EQ2895"/>
    <hyperlink r:id="rId6636" ref="A2896"/>
    <hyperlink r:id="rId6637" ref="EQ2896"/>
    <hyperlink r:id="rId6638" ref="A2897"/>
    <hyperlink r:id="rId6639" ref="EQ2897"/>
    <hyperlink r:id="rId6640" ref="A2898"/>
    <hyperlink r:id="rId6641" ref="EQ2898"/>
    <hyperlink r:id="rId6642" ref="A2899"/>
    <hyperlink r:id="rId6643" ref="EQ2899"/>
    <hyperlink r:id="rId6644" ref="A2900"/>
    <hyperlink r:id="rId6645" ref="EQ2900"/>
    <hyperlink r:id="rId6646" ref="A2901"/>
    <hyperlink r:id="rId6647" ref="AG2901"/>
    <hyperlink r:id="rId6648" ref="EQ2901"/>
    <hyperlink r:id="rId6649" ref="A2902"/>
    <hyperlink r:id="rId6650" ref="EQ2902"/>
    <hyperlink r:id="rId6651" ref="A2903"/>
    <hyperlink r:id="rId6652" ref="EQ2903"/>
    <hyperlink r:id="rId6653" ref="A2904"/>
    <hyperlink r:id="rId6654" ref="AG2904"/>
    <hyperlink r:id="rId6655" ref="EQ2904"/>
    <hyperlink r:id="rId6656" ref="A2905"/>
    <hyperlink r:id="rId6657" ref="EQ2905"/>
    <hyperlink r:id="rId6658" ref="A2906"/>
    <hyperlink r:id="rId6659" ref="EQ2906"/>
    <hyperlink r:id="rId6660" ref="A2907"/>
    <hyperlink r:id="rId6661" ref="EQ2907"/>
    <hyperlink r:id="rId6662" ref="A2908"/>
    <hyperlink r:id="rId6663" ref="EQ2908"/>
    <hyperlink r:id="rId6664" ref="A2909"/>
    <hyperlink r:id="rId6665" ref="EQ2909"/>
    <hyperlink r:id="rId6666" ref="A2910"/>
    <hyperlink r:id="rId6667" ref="EQ2910"/>
    <hyperlink r:id="rId6668" ref="A2911"/>
    <hyperlink r:id="rId6669" ref="EQ2911"/>
    <hyperlink r:id="rId6670" ref="A2912"/>
    <hyperlink r:id="rId6671" ref="EQ2912"/>
    <hyperlink r:id="rId6672" ref="A2913"/>
    <hyperlink r:id="rId6673" ref="EQ2913"/>
    <hyperlink r:id="rId6674" ref="A2914"/>
    <hyperlink r:id="rId6675" ref="AG2914"/>
    <hyperlink r:id="rId6676" ref="EQ2914"/>
    <hyperlink r:id="rId6677" ref="A2915"/>
    <hyperlink r:id="rId6678" ref="EQ2915"/>
    <hyperlink r:id="rId6679" ref="A2916"/>
    <hyperlink r:id="rId6680" ref="EQ2916"/>
    <hyperlink r:id="rId6681" ref="A2917"/>
    <hyperlink r:id="rId6682" ref="BR2917"/>
    <hyperlink r:id="rId6683" ref="EQ2917"/>
    <hyperlink r:id="rId6684" ref="A2918"/>
    <hyperlink r:id="rId6685" ref="BR2918"/>
    <hyperlink r:id="rId6686" ref="EQ2918"/>
    <hyperlink r:id="rId6687" ref="A2919"/>
    <hyperlink r:id="rId6688" ref="EQ2919"/>
    <hyperlink r:id="rId6689" ref="A2920"/>
    <hyperlink r:id="rId6690" ref="EQ2920"/>
    <hyperlink r:id="rId6691" ref="A2921"/>
    <hyperlink r:id="rId6692" ref="EQ2921"/>
    <hyperlink r:id="rId6693" ref="A2922"/>
    <hyperlink r:id="rId6694" ref="EQ2922"/>
    <hyperlink r:id="rId6695" ref="A2923"/>
    <hyperlink r:id="rId6696" ref="EQ2923"/>
    <hyperlink r:id="rId6697" ref="A2924"/>
    <hyperlink r:id="rId6698" ref="EQ2924"/>
    <hyperlink r:id="rId6699" ref="A2925"/>
    <hyperlink r:id="rId6700" ref="EQ2925"/>
    <hyperlink r:id="rId6701" ref="A2926"/>
    <hyperlink r:id="rId6702" ref="EQ2926"/>
    <hyperlink r:id="rId6703" ref="A2927"/>
    <hyperlink r:id="rId6704" ref="EQ2927"/>
    <hyperlink r:id="rId6705" ref="A2928"/>
    <hyperlink r:id="rId6706" ref="AG2928"/>
    <hyperlink r:id="rId6707" ref="EQ2928"/>
    <hyperlink r:id="rId6708" ref="A2929"/>
    <hyperlink r:id="rId6709" ref="EQ2929"/>
    <hyperlink r:id="rId6710" ref="A2930"/>
    <hyperlink r:id="rId6711" ref="EQ2930"/>
    <hyperlink r:id="rId6712" ref="A2931"/>
    <hyperlink r:id="rId6713" ref="EQ2931"/>
    <hyperlink r:id="rId6714" ref="A2932"/>
    <hyperlink r:id="rId6715" ref="EQ2932"/>
    <hyperlink r:id="rId6716" ref="A2933"/>
    <hyperlink r:id="rId6717" ref="AG2933"/>
    <hyperlink r:id="rId6718" ref="EQ2933"/>
    <hyperlink r:id="rId6719" ref="A2934"/>
    <hyperlink r:id="rId6720" ref="EQ2934"/>
    <hyperlink r:id="rId6721" ref="A2935"/>
    <hyperlink r:id="rId6722" ref="EQ2935"/>
    <hyperlink r:id="rId6723" ref="A2936"/>
    <hyperlink r:id="rId6724" ref="EQ2936"/>
    <hyperlink r:id="rId6725" ref="A2937"/>
    <hyperlink r:id="rId6726" ref="AG2937"/>
    <hyperlink r:id="rId6727" ref="EQ2937"/>
    <hyperlink r:id="rId6728" ref="A2938"/>
    <hyperlink r:id="rId6729" ref="BR2938"/>
    <hyperlink r:id="rId6730" ref="EQ2938"/>
    <hyperlink r:id="rId6731" ref="A2939"/>
    <hyperlink r:id="rId6732" ref="EQ2939"/>
    <hyperlink r:id="rId6733" ref="A2940"/>
    <hyperlink r:id="rId6734" ref="EQ2940"/>
    <hyperlink r:id="rId6735" ref="A2941"/>
    <hyperlink r:id="rId6736" ref="EQ2941"/>
    <hyperlink r:id="rId6737" ref="A2942"/>
    <hyperlink r:id="rId6738" ref="AG2942"/>
    <hyperlink r:id="rId6739" ref="EQ2942"/>
    <hyperlink r:id="rId6740" ref="A2943"/>
    <hyperlink r:id="rId6741" ref="EQ2943"/>
    <hyperlink r:id="rId6742" ref="A2944"/>
    <hyperlink r:id="rId6743" ref="EQ2944"/>
    <hyperlink r:id="rId6744" ref="A2945"/>
    <hyperlink r:id="rId6745" ref="EQ2945"/>
    <hyperlink r:id="rId6746" ref="A2946"/>
    <hyperlink r:id="rId6747" ref="EQ2946"/>
    <hyperlink r:id="rId6748" ref="A2947"/>
    <hyperlink r:id="rId6749" ref="EQ2947"/>
    <hyperlink r:id="rId6750" ref="A2948"/>
    <hyperlink r:id="rId6751" ref="EQ2948"/>
    <hyperlink r:id="rId6752" ref="A2949"/>
    <hyperlink r:id="rId6753" ref="EQ2949"/>
    <hyperlink r:id="rId6754" ref="A2950"/>
    <hyperlink r:id="rId6755" ref="EQ2950"/>
    <hyperlink r:id="rId6756" ref="A2951"/>
    <hyperlink r:id="rId6757" ref="EQ2951"/>
    <hyperlink r:id="rId6758" ref="A2952"/>
    <hyperlink r:id="rId6759" ref="EQ2952"/>
    <hyperlink r:id="rId6760" ref="A2953"/>
    <hyperlink r:id="rId6761" ref="EQ2953"/>
    <hyperlink r:id="rId6762" ref="A2954"/>
    <hyperlink r:id="rId6763" ref="EQ2954"/>
    <hyperlink r:id="rId6764" ref="A2955"/>
    <hyperlink r:id="rId6765" ref="EQ2955"/>
    <hyperlink r:id="rId6766" ref="A2956"/>
    <hyperlink r:id="rId6767" ref="EQ2956"/>
    <hyperlink r:id="rId6768" ref="A2957"/>
    <hyperlink r:id="rId6769" ref="BR2957"/>
    <hyperlink r:id="rId6770" ref="EQ2957"/>
    <hyperlink r:id="rId6771" ref="A2958"/>
    <hyperlink r:id="rId6772" ref="BR2958"/>
    <hyperlink r:id="rId6773" ref="EQ2958"/>
    <hyperlink r:id="rId6774" ref="A2959"/>
    <hyperlink r:id="rId6775" ref="EQ2959"/>
    <hyperlink r:id="rId6776" ref="A2960"/>
    <hyperlink r:id="rId6777" ref="AG2960"/>
    <hyperlink r:id="rId6778" ref="EQ2960"/>
    <hyperlink r:id="rId6779" ref="A2961"/>
    <hyperlink r:id="rId6780" ref="EQ2961"/>
    <hyperlink r:id="rId6781" ref="A2962"/>
    <hyperlink r:id="rId6782" ref="EQ2962"/>
    <hyperlink r:id="rId6783" ref="A2963"/>
    <hyperlink r:id="rId6784" ref="AG2963"/>
    <hyperlink r:id="rId6785" ref="EQ2963"/>
    <hyperlink r:id="rId6786" ref="A2964"/>
    <hyperlink r:id="rId6787" ref="EQ2964"/>
    <hyperlink r:id="rId6788" ref="A2965"/>
    <hyperlink r:id="rId6789" ref="AG2965"/>
    <hyperlink r:id="rId6790" ref="EQ2965"/>
    <hyperlink r:id="rId6791" ref="A2966"/>
    <hyperlink r:id="rId6792" ref="AG2966"/>
    <hyperlink r:id="rId6793" ref="EQ2966"/>
    <hyperlink r:id="rId6794" ref="A2967"/>
    <hyperlink r:id="rId6795" ref="EQ2967"/>
    <hyperlink r:id="rId6796" ref="A2968"/>
    <hyperlink r:id="rId6797" ref="EQ2968"/>
    <hyperlink r:id="rId6798" ref="A2969"/>
    <hyperlink r:id="rId6799" ref="EQ2969"/>
    <hyperlink r:id="rId6800" ref="A2970"/>
    <hyperlink r:id="rId6801" ref="EQ2970"/>
    <hyperlink r:id="rId6802" ref="A2971"/>
    <hyperlink r:id="rId6803" ref="EQ2971"/>
    <hyperlink r:id="rId6804" ref="A2972"/>
    <hyperlink r:id="rId6805" ref="EQ2972"/>
    <hyperlink r:id="rId6806" ref="A2973"/>
    <hyperlink r:id="rId6807" ref="EQ2973"/>
    <hyperlink r:id="rId6808" ref="A2974"/>
    <hyperlink r:id="rId6809" ref="EQ2974"/>
    <hyperlink r:id="rId6810" ref="A2975"/>
    <hyperlink r:id="rId6811" ref="EQ2975"/>
    <hyperlink r:id="rId6812" ref="A2976"/>
    <hyperlink r:id="rId6813" ref="EQ2976"/>
    <hyperlink r:id="rId6814" ref="A2977"/>
    <hyperlink r:id="rId6815" ref="EQ2977"/>
    <hyperlink r:id="rId6816" ref="A2978"/>
    <hyperlink r:id="rId6817" ref="EQ2978"/>
    <hyperlink r:id="rId6818" ref="A2979"/>
    <hyperlink r:id="rId6819" ref="EQ2979"/>
    <hyperlink r:id="rId6820" ref="A2980"/>
    <hyperlink r:id="rId6821" ref="EQ2980"/>
    <hyperlink r:id="rId6822" ref="A2981"/>
    <hyperlink r:id="rId6823" ref="EQ2981"/>
    <hyperlink r:id="rId6824" ref="A2982"/>
    <hyperlink r:id="rId6825" ref="EQ2982"/>
    <hyperlink r:id="rId6826" ref="A2983"/>
    <hyperlink r:id="rId6827" ref="EQ2983"/>
    <hyperlink r:id="rId6828" ref="A2984"/>
    <hyperlink r:id="rId6829" ref="AG2984"/>
    <hyperlink r:id="rId6830" ref="EQ2984"/>
    <hyperlink r:id="rId6831" ref="A2985"/>
    <hyperlink r:id="rId6832" ref="EQ2985"/>
    <hyperlink r:id="rId6833" ref="A2986"/>
    <hyperlink r:id="rId6834" ref="EQ2986"/>
    <hyperlink r:id="rId6835" ref="A2987"/>
    <hyperlink r:id="rId6836" ref="EQ2987"/>
    <hyperlink r:id="rId6837" ref="A2988"/>
    <hyperlink r:id="rId6838" ref="EQ2988"/>
    <hyperlink r:id="rId6839" ref="A2989"/>
    <hyperlink r:id="rId6840" ref="EQ2989"/>
    <hyperlink r:id="rId6841" ref="A2990"/>
    <hyperlink r:id="rId6842" ref="EQ2990"/>
    <hyperlink r:id="rId6843" ref="A2991"/>
    <hyperlink r:id="rId6844" ref="EQ2991"/>
    <hyperlink r:id="rId6845" ref="A2992"/>
    <hyperlink r:id="rId6846" ref="EQ2992"/>
    <hyperlink r:id="rId6847" ref="A2993"/>
    <hyperlink r:id="rId6848" ref="EQ2993"/>
    <hyperlink r:id="rId6849" ref="A2994"/>
    <hyperlink r:id="rId6850" ref="EQ2994"/>
    <hyperlink r:id="rId6851" ref="A2995"/>
    <hyperlink r:id="rId6852" ref="EQ2995"/>
    <hyperlink r:id="rId6853" ref="A2996"/>
    <hyperlink r:id="rId6854" ref="EQ2996"/>
    <hyperlink r:id="rId6855" ref="A2997"/>
    <hyperlink r:id="rId6856" ref="EQ2997"/>
    <hyperlink r:id="rId6857" ref="A2998"/>
    <hyperlink r:id="rId6858" ref="EQ2998"/>
    <hyperlink r:id="rId6859" ref="A2999"/>
    <hyperlink r:id="rId6860" ref="EQ2999"/>
    <hyperlink r:id="rId6861" ref="A3000"/>
    <hyperlink r:id="rId6862" ref="EQ3000"/>
    <hyperlink r:id="rId6863" ref="A3001"/>
    <hyperlink r:id="rId6864" ref="AG3001"/>
    <hyperlink r:id="rId6865" ref="EQ3001"/>
    <hyperlink r:id="rId6866" ref="A3002"/>
    <hyperlink r:id="rId6867" ref="EQ3002"/>
    <hyperlink r:id="rId6868" ref="A3003"/>
    <hyperlink r:id="rId6869" ref="AG3003"/>
    <hyperlink r:id="rId6870" ref="EQ3003"/>
    <hyperlink r:id="rId6871" ref="A3004"/>
    <hyperlink r:id="rId6872" ref="EQ3004"/>
    <hyperlink r:id="rId6873" ref="A3005"/>
    <hyperlink r:id="rId6874" ref="BR3005"/>
    <hyperlink r:id="rId6875" ref="EQ3005"/>
    <hyperlink r:id="rId6876" ref="A3006"/>
    <hyperlink r:id="rId6877" ref="BR3006"/>
    <hyperlink r:id="rId6878" ref="EQ3006"/>
    <hyperlink r:id="rId6879" ref="A3007"/>
    <hyperlink r:id="rId6880" ref="AG3007"/>
    <hyperlink r:id="rId6881" ref="EQ3007"/>
    <hyperlink r:id="rId6882" ref="A3008"/>
    <hyperlink r:id="rId6883" ref="EQ3008"/>
    <hyperlink r:id="rId6884" ref="A3009"/>
    <hyperlink r:id="rId6885" ref="EQ3009"/>
    <hyperlink r:id="rId6886" ref="A3010"/>
    <hyperlink r:id="rId6887" ref="EQ3010"/>
    <hyperlink r:id="rId6888" ref="A3011"/>
    <hyperlink r:id="rId6889" ref="EQ3011"/>
    <hyperlink r:id="rId6890" ref="A3012"/>
    <hyperlink r:id="rId6891" ref="EQ3012"/>
    <hyperlink r:id="rId6892" ref="A3013"/>
    <hyperlink r:id="rId6893" ref="EQ3013"/>
    <hyperlink r:id="rId6894" ref="A3014"/>
    <hyperlink r:id="rId6895" ref="EQ3014"/>
    <hyperlink r:id="rId6896" ref="A3015"/>
    <hyperlink r:id="rId6897" ref="EQ3015"/>
    <hyperlink r:id="rId6898" ref="A3016"/>
    <hyperlink r:id="rId6899" ref="EQ3016"/>
    <hyperlink r:id="rId6900" ref="A3017"/>
    <hyperlink r:id="rId6901" ref="EQ3017"/>
    <hyperlink r:id="rId6902" ref="A3018"/>
    <hyperlink r:id="rId6903" ref="EQ3018"/>
    <hyperlink r:id="rId6904" ref="A3019"/>
    <hyperlink r:id="rId6905" ref="EQ3019"/>
    <hyperlink r:id="rId6906" ref="A3020"/>
    <hyperlink r:id="rId6907" ref="EQ3020"/>
    <hyperlink r:id="rId6908" ref="A3021"/>
    <hyperlink r:id="rId6909" ref="EQ3021"/>
    <hyperlink r:id="rId6910" ref="A3022"/>
    <hyperlink r:id="rId6911" ref="EQ3022"/>
    <hyperlink r:id="rId6912" ref="A3023"/>
    <hyperlink r:id="rId6913" ref="EQ3023"/>
    <hyperlink r:id="rId6914" ref="A3024"/>
    <hyperlink r:id="rId6915" ref="EQ3024"/>
    <hyperlink r:id="rId6916" ref="A3025"/>
    <hyperlink r:id="rId6917" ref="EQ3025"/>
    <hyperlink r:id="rId6918" ref="A3026"/>
    <hyperlink r:id="rId6919" ref="EQ3026"/>
    <hyperlink r:id="rId6920" ref="A3027"/>
    <hyperlink r:id="rId6921" ref="EQ3027"/>
    <hyperlink r:id="rId6922" ref="A3028"/>
    <hyperlink r:id="rId6923" ref="EQ3028"/>
    <hyperlink r:id="rId6924" ref="A3029"/>
    <hyperlink r:id="rId6925" ref="AG3029"/>
    <hyperlink r:id="rId6926" ref="EQ3029"/>
    <hyperlink r:id="rId6927" ref="A3030"/>
    <hyperlink r:id="rId6928" ref="EQ3030"/>
    <hyperlink r:id="rId6929" ref="A3031"/>
    <hyperlink r:id="rId6930" ref="EQ3031"/>
    <hyperlink r:id="rId6931" ref="A3032"/>
    <hyperlink r:id="rId6932" ref="AG3032"/>
    <hyperlink r:id="rId6933" ref="EQ3032"/>
    <hyperlink r:id="rId6934" ref="A3033"/>
    <hyperlink r:id="rId6935" ref="AG3033"/>
    <hyperlink r:id="rId6936" ref="EQ3033"/>
    <hyperlink r:id="rId6937" ref="A3034"/>
    <hyperlink r:id="rId6938" ref="AG3034"/>
    <hyperlink r:id="rId6939" ref="EQ3034"/>
    <hyperlink r:id="rId6940" ref="A3035"/>
    <hyperlink r:id="rId6941" ref="EQ3035"/>
    <hyperlink r:id="rId6942" ref="A3036"/>
    <hyperlink r:id="rId6943" ref="AG3036"/>
    <hyperlink r:id="rId6944" ref="EQ3036"/>
    <hyperlink r:id="rId6945" ref="A3037"/>
    <hyperlink r:id="rId6946" ref="EQ3037"/>
    <hyperlink r:id="rId6947" ref="A3038"/>
    <hyperlink r:id="rId6948" ref="EQ3038"/>
    <hyperlink r:id="rId6949" ref="A3039"/>
    <hyperlink r:id="rId6950" ref="EQ3039"/>
    <hyperlink r:id="rId6951" ref="A3040"/>
    <hyperlink r:id="rId6952" ref="EQ3040"/>
    <hyperlink r:id="rId6953" ref="A3041"/>
    <hyperlink r:id="rId6954" ref="AG3041"/>
    <hyperlink r:id="rId6955" ref="EQ3041"/>
    <hyperlink r:id="rId6956" ref="A3042"/>
    <hyperlink r:id="rId6957" ref="AG3042"/>
    <hyperlink r:id="rId6958" ref="EQ3042"/>
    <hyperlink r:id="rId6959" ref="A3043"/>
    <hyperlink r:id="rId6960" ref="EQ3043"/>
    <hyperlink r:id="rId6961" ref="A3044"/>
    <hyperlink r:id="rId6962" ref="EQ3044"/>
    <hyperlink r:id="rId6963" ref="A3045"/>
    <hyperlink r:id="rId6964" ref="EQ3045"/>
    <hyperlink r:id="rId6965" ref="A3046"/>
    <hyperlink r:id="rId6966" ref="EQ3046"/>
    <hyperlink r:id="rId6967" ref="A3047"/>
    <hyperlink r:id="rId6968" ref="EQ3047"/>
    <hyperlink r:id="rId6969" ref="A3048"/>
    <hyperlink r:id="rId6970" ref="EQ3048"/>
    <hyperlink r:id="rId6971" ref="A3049"/>
    <hyperlink r:id="rId6972" ref="EQ3049"/>
    <hyperlink r:id="rId6973" ref="A3050"/>
    <hyperlink r:id="rId6974" ref="EQ3050"/>
    <hyperlink r:id="rId6975" ref="A3051"/>
    <hyperlink r:id="rId6976" ref="AG3051"/>
    <hyperlink r:id="rId6977" ref="EQ3051"/>
    <hyperlink r:id="rId6978" ref="A3052"/>
    <hyperlink r:id="rId6979" ref="AG3052"/>
    <hyperlink r:id="rId6980" ref="EQ3052"/>
    <hyperlink r:id="rId6981" ref="A3053"/>
    <hyperlink r:id="rId6982" ref="AG3053"/>
    <hyperlink r:id="rId6983" ref="EQ3053"/>
    <hyperlink r:id="rId6984" ref="A3054"/>
    <hyperlink r:id="rId6985" ref="EQ3054"/>
    <hyperlink r:id="rId6986" ref="A3055"/>
    <hyperlink r:id="rId6987" ref="EQ3055"/>
    <hyperlink r:id="rId6988" ref="A3056"/>
    <hyperlink r:id="rId6989" ref="AG3056"/>
    <hyperlink r:id="rId6990" ref="EQ3056"/>
    <hyperlink r:id="rId6991" ref="A3057"/>
    <hyperlink r:id="rId6992" ref="BR3057"/>
    <hyperlink r:id="rId6993" ref="EQ3057"/>
    <hyperlink r:id="rId6994" ref="A3058"/>
    <hyperlink r:id="rId6995" ref="EQ3058"/>
    <hyperlink r:id="rId6996" ref="A3059"/>
    <hyperlink r:id="rId6997" ref="AG3059"/>
    <hyperlink r:id="rId6998" ref="EQ3059"/>
    <hyperlink r:id="rId6999" ref="A3060"/>
    <hyperlink r:id="rId7000" ref="EQ3060"/>
    <hyperlink r:id="rId7001" ref="A3061"/>
    <hyperlink r:id="rId7002" ref="BR3061"/>
    <hyperlink r:id="rId7003" ref="EQ3061"/>
    <hyperlink r:id="rId7004" ref="A3062"/>
    <hyperlink r:id="rId7005" ref="EQ3062"/>
    <hyperlink r:id="rId7006" ref="A3063"/>
    <hyperlink r:id="rId7007" ref="EQ3063"/>
    <hyperlink r:id="rId7008" ref="A3064"/>
    <hyperlink r:id="rId7009" ref="EQ3064"/>
    <hyperlink r:id="rId7010" ref="A3065"/>
    <hyperlink r:id="rId7011" ref="AG3065"/>
    <hyperlink r:id="rId7012" ref="EQ3065"/>
    <hyperlink r:id="rId7013" ref="A3066"/>
    <hyperlink r:id="rId7014" ref="AG3066"/>
    <hyperlink r:id="rId7015" ref="EQ3066"/>
    <hyperlink r:id="rId7016" ref="A3067"/>
    <hyperlink r:id="rId7017" ref="EQ3067"/>
    <hyperlink r:id="rId7018" ref="A3068"/>
    <hyperlink r:id="rId7019" ref="EQ3068"/>
    <hyperlink r:id="rId7020" ref="A3069"/>
    <hyperlink r:id="rId7021" ref="EQ3069"/>
    <hyperlink r:id="rId7022" ref="A3070"/>
    <hyperlink r:id="rId7023" ref="EQ3070"/>
    <hyperlink r:id="rId7024" ref="A3071"/>
    <hyperlink r:id="rId7025" ref="EQ3071"/>
    <hyperlink r:id="rId7026" ref="A3072"/>
    <hyperlink r:id="rId7027" ref="EQ3072"/>
    <hyperlink r:id="rId7028" ref="A3073"/>
    <hyperlink r:id="rId7029" ref="EQ3073"/>
    <hyperlink r:id="rId7030" ref="A3074"/>
    <hyperlink r:id="rId7031" ref="EQ3074"/>
    <hyperlink r:id="rId7032" ref="A3075"/>
    <hyperlink r:id="rId7033" ref="EQ3075"/>
    <hyperlink r:id="rId7034" ref="A3076"/>
    <hyperlink r:id="rId7035" ref="EQ3076"/>
    <hyperlink r:id="rId7036" ref="A3077"/>
    <hyperlink r:id="rId7037" ref="EQ3077"/>
    <hyperlink r:id="rId7038" ref="A3078"/>
    <hyperlink r:id="rId7039" ref="EQ3078"/>
    <hyperlink r:id="rId7040" ref="A3079"/>
    <hyperlink r:id="rId7041" ref="EQ3079"/>
    <hyperlink r:id="rId7042" ref="A3080"/>
    <hyperlink r:id="rId7043" ref="EQ3080"/>
    <hyperlink r:id="rId7044" ref="A3081"/>
    <hyperlink r:id="rId7045" ref="EQ3081"/>
    <hyperlink r:id="rId7046" ref="A3082"/>
    <hyperlink r:id="rId7047" ref="AG3082"/>
    <hyperlink r:id="rId7048" ref="EQ3082"/>
    <hyperlink r:id="rId7049" ref="A3083"/>
    <hyperlink r:id="rId7050" ref="AG3083"/>
    <hyperlink r:id="rId7051" ref="EQ3083"/>
    <hyperlink r:id="rId7052" ref="A3084"/>
    <hyperlink r:id="rId7053" ref="EQ3084"/>
    <hyperlink r:id="rId7054" ref="A3085"/>
    <hyperlink r:id="rId7055" ref="EQ3085"/>
    <hyperlink r:id="rId7056" ref="A3086"/>
    <hyperlink r:id="rId7057" ref="EQ3086"/>
    <hyperlink r:id="rId7058" ref="A3087"/>
    <hyperlink r:id="rId7059" ref="EQ3087"/>
    <hyperlink r:id="rId7060" ref="A3088"/>
    <hyperlink r:id="rId7061" ref="EQ3088"/>
  </hyperlinks>
  <drawing r:id="rId7062"/>
</worksheet>
</file>